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ukuda\Desktop\"/>
    </mc:Choice>
  </mc:AlternateContent>
  <xr:revisionPtr revIDLastSave="0" documentId="13_ncr:1_{1923357E-D29F-4A92-AC19-842E00764B82}" xr6:coauthVersionLast="45" xr6:coauthVersionMax="45" xr10:uidLastSave="{00000000-0000-0000-0000-000000000000}"/>
  <bookViews>
    <workbookView xWindow="3534" yWindow="2280" windowWidth="17280" windowHeight="8994" tabRatio="757" firstSheet="2" activeTab="2" xr2:uid="{00000000-000D-0000-FFFF-FFFF00000000}"/>
  </bookViews>
  <sheets>
    <sheet name="_11_居宅介護（名前定義）" sheetId="425" state="hidden" r:id="rId1"/>
    <sheet name="_15_同行援護（名前定義）" sheetId="525" state="hidden" r:id="rId2"/>
    <sheet name="3同行援護(同行援護1、単一日中)" sheetId="526" r:id="rId3"/>
    <sheet name="3同行援護(同行援護1、単一早朝夜間)" sheetId="527" r:id="rId4"/>
    <sheet name="3同行援護(同行援護1、単一深夜)" sheetId="528" r:id="rId5"/>
    <sheet name="3同行援護(同行援護1、合成深夜)" sheetId="529" r:id="rId6"/>
    <sheet name="3同行援護(同行援護1、合成早朝)" sheetId="530" r:id="rId7"/>
    <sheet name="3同行援護(同行援護1、合成日中)" sheetId="531" r:id="rId8"/>
    <sheet name="3同行援護(同行援護1、合成夜間１)" sheetId="532" r:id="rId9"/>
    <sheet name="3同行援護(同行援護1、合成夜間２)" sheetId="533" r:id="rId10"/>
    <sheet name="3同行援護(同行援護1、2h未合成１)" sheetId="534" r:id="rId11"/>
    <sheet name="3同行援護(同行援護1、2h未合成２)" sheetId="535" r:id="rId12"/>
    <sheet name="3同行援護(同行援護1、2h未合成３)" sheetId="536" r:id="rId13"/>
    <sheet name="3同行援護(同行援護1、日中増分)" sheetId="537" r:id="rId14"/>
    <sheet name="3同行援護(同行援護1、早朝夜間増分)" sheetId="538" r:id="rId15"/>
    <sheet name="3同行援護(同行援護1、深夜増分)" sheetId="539" r:id="rId16"/>
    <sheet name="3同行援護(同行援護1盲ろう、単一日中)" sheetId="540" r:id="rId17"/>
    <sheet name="3同行援護(同行援護1盲ろう、単一早朝夜間)" sheetId="541" r:id="rId18"/>
    <sheet name="3同行援護(同行援護1盲ろう、単一深夜)" sheetId="542" r:id="rId19"/>
    <sheet name="3同行援護(同行援護1盲ろう、合成深夜)" sheetId="543" r:id="rId20"/>
    <sheet name="3同行援護(同行援護1盲ろう、合成早朝)" sheetId="544" r:id="rId21"/>
    <sheet name="3同行援護(同行援護1盲ろう、合成日中)" sheetId="545" r:id="rId22"/>
    <sheet name="3同行援護(同行援護1盲ろう、合成夜間１)" sheetId="546" r:id="rId23"/>
    <sheet name="3同行援護(同行援護1盲ろう、合成夜間２)" sheetId="547" r:id="rId24"/>
    <sheet name="3同行援護(同行援護1盲ろう、2h未合成１)" sheetId="548" r:id="rId25"/>
    <sheet name="3同行援護(同行援護1盲ろう、2h未合成２)" sheetId="549" r:id="rId26"/>
    <sheet name="3同行援護(同行援護1盲ろう、2h未合成３)" sheetId="550" r:id="rId27"/>
    <sheet name="3同行援護(同行援護1盲ろう、日中増分)" sheetId="551" r:id="rId28"/>
    <sheet name="3同行援護(同行援護1盲ろう、早朝夜間増分)" sheetId="552" r:id="rId29"/>
    <sheet name="3同行援護(同行援護1盲ろう、深夜増分)" sheetId="553" r:id="rId30"/>
    <sheet name="3同行援護(同行援護2、単一日中)" sheetId="554" r:id="rId31"/>
    <sheet name="3同行援護(同行援護2、単一早朝夜間)" sheetId="555" r:id="rId32"/>
    <sheet name="3同行援護(同行援護2、単一深夜)" sheetId="556" r:id="rId33"/>
    <sheet name="3同行援護(同行援護2、合成１)" sheetId="557" r:id="rId34"/>
    <sheet name="3同行援護(同行援護2、合成２)" sheetId="558" r:id="rId35"/>
    <sheet name="3同行援護(同行援護2、2h未合成１)" sheetId="559" r:id="rId36"/>
    <sheet name="3同行援護(同行援護2、日中増分)" sheetId="560" r:id="rId37"/>
    <sheet name="3同行援護(同行援護2、早朝夜間増分)" sheetId="561" r:id="rId38"/>
    <sheet name="3同行援護(同行援護2、深夜増分)" sheetId="562" r:id="rId39"/>
    <sheet name="3同行援護(同行援護2盲ろう、単一日中)" sheetId="563" r:id="rId40"/>
    <sheet name="3同行援護(同行援護2盲ろう、単一早朝夜間)" sheetId="564" r:id="rId41"/>
    <sheet name="3同行援護(同行援護2盲ろう、単一深夜)" sheetId="565" r:id="rId42"/>
    <sheet name="3同行援護(同行援護2盲ろう、合成１)" sheetId="566" r:id="rId43"/>
    <sheet name="3同行援護(同行援護2盲ろう、合成２)" sheetId="567" r:id="rId44"/>
    <sheet name="3同行援護(同行援護2盲ろう、2h未合成１)" sheetId="568" r:id="rId45"/>
    <sheet name="3同行援護(同行援護2盲ろう、日中増分)" sheetId="569" r:id="rId46"/>
    <sheet name="3同行援護(同行援護2盲ろう、早朝夜間増分)" sheetId="570" r:id="rId47"/>
    <sheet name="3同行援護(同行援護2盲ろう、深夜増分)" sheetId="571" r:id="rId48"/>
    <sheet name="3同行援護(同行援護、単一日中)" sheetId="572" r:id="rId49"/>
    <sheet name="3同行援護(同行援護、単一早朝夜間)" sheetId="573" r:id="rId50"/>
    <sheet name="3同行援護(同行援護、単一深夜)" sheetId="574" r:id="rId51"/>
    <sheet name="3同行援護(同行援護、合成深夜)" sheetId="575" r:id="rId52"/>
    <sheet name="3同行援護(同行援護、合成早朝)" sheetId="576" r:id="rId53"/>
    <sheet name="3同行援護(同行援護、合成日中)" sheetId="577" r:id="rId54"/>
    <sheet name="3同行援護(同行援護、合成夜間１)" sheetId="578" r:id="rId55"/>
    <sheet name="3同行援護(同行援護、合成夜間２)" sheetId="579" r:id="rId56"/>
    <sheet name="3同行援護(同行援護、2h未合成１)" sheetId="580" r:id="rId57"/>
    <sheet name="3同行援護(同行援護、2h未合成２)" sheetId="581" r:id="rId58"/>
    <sheet name="3同行援護(同行援護、2h未合成３)" sheetId="582" r:id="rId59"/>
    <sheet name="3同行援護(同行援護、日中増分)" sheetId="583" r:id="rId60"/>
    <sheet name="3同行援護(同行援護、早朝夜間増分)" sheetId="584" r:id="rId61"/>
    <sheet name="3同行援護(同行援護、深夜増分)" sheetId="585" r:id="rId62"/>
    <sheet name="3同行援護(同行援護盲ろう、単一日中)" sheetId="586" r:id="rId63"/>
    <sheet name="3同行援護(同行援護盲ろう、単一早朝夜間)" sheetId="587" r:id="rId64"/>
    <sheet name="3同行援護(同行援護盲ろう、単一深夜)" sheetId="588" r:id="rId65"/>
    <sheet name="3同行援護(同行援護盲ろう、合成深夜)" sheetId="589" r:id="rId66"/>
    <sheet name="3同行援護(同行援護盲ろう、合成早朝)" sheetId="590" r:id="rId67"/>
    <sheet name="3同行援護(同行援護盲ろう、合成日中)" sheetId="591" r:id="rId68"/>
    <sheet name="3同行援護(同行援護盲ろう、合成夜間１)" sheetId="592" r:id="rId69"/>
    <sheet name="3同行援護(同行援護盲ろう、合成夜間２)" sheetId="593" r:id="rId70"/>
    <sheet name="3同行援護(同行援護盲ろう、2h未合成１)" sheetId="594" r:id="rId71"/>
    <sheet name="3同行援護(同行援護盲ろう、2h未合成２)" sheetId="595" r:id="rId72"/>
    <sheet name="3同行援護(同行援護盲ろう、2h未合成３)" sheetId="596" r:id="rId73"/>
    <sheet name="3同行援護(同行援護盲ろう、日中増分)" sheetId="597" r:id="rId74"/>
    <sheet name="3同行援護(同行援護盲ろう、早朝夜間増分)" sheetId="598" r:id="rId75"/>
    <sheet name="3同行援護(同行援護盲ろう、深夜増分)" sheetId="599" r:id="rId76"/>
    <sheet name="3同行援護(単独加算)" sheetId="600" r:id="rId77"/>
  </sheets>
  <definedNames>
    <definedName name="_11_A家事０．５">'_11_居宅介護（名前定義）'!$C$129</definedName>
    <definedName name="_11_A家事０．７５">'_11_居宅介護（名前定義）'!$C$130</definedName>
    <definedName name="_11_A家事１．０">'_11_居宅介護（名前定義）'!$C$131</definedName>
    <definedName name="_11_A家事１．２５">'_11_居宅介護（名前定義）'!$C$132</definedName>
    <definedName name="_11_A家事１．５">'_11_居宅介護（名前定義）'!$C$133</definedName>
    <definedName name="_11_A家事１．７５">'_11_居宅介護（名前定義）'!$C$134</definedName>
    <definedName name="_11_A家事１０．０">'_11_居宅介護（名前定義）'!$C$167</definedName>
    <definedName name="_11_A家事１０．２５">'_11_居宅介護（名前定義）'!$C$168</definedName>
    <definedName name="_11_A家事１０．５">'_11_居宅介護（名前定義）'!$C$169</definedName>
    <definedName name="_11_A家事２．０">'_11_居宅介護（名前定義）'!$C$135</definedName>
    <definedName name="_11_A家事２．２５">'_11_居宅介護（名前定義）'!$C$136</definedName>
    <definedName name="_11_A家事２．５">'_11_居宅介護（名前定義）'!$C$137</definedName>
    <definedName name="_11_A家事２．７５">'_11_居宅介護（名前定義）'!$C$138</definedName>
    <definedName name="_11_A家事３．０">'_11_居宅介護（名前定義）'!$C$139</definedName>
    <definedName name="_11_A家事３．２５">'_11_居宅介護（名前定義）'!$C$140</definedName>
    <definedName name="_11_A家事３．５">'_11_居宅介護（名前定義）'!$C$141</definedName>
    <definedName name="_11_A家事３．７５">'_11_居宅介護（名前定義）'!$C$142</definedName>
    <definedName name="_11_A家事４．０">'_11_居宅介護（名前定義）'!$C$143</definedName>
    <definedName name="_11_A家事４．２５">'_11_居宅介護（名前定義）'!$C$144</definedName>
    <definedName name="_11_A家事４．５">'_11_居宅介護（名前定義）'!$C$145</definedName>
    <definedName name="_11_A家事４．７５">'_11_居宅介護（名前定義）'!$C$146</definedName>
    <definedName name="_11_A家事５．０">'_11_居宅介護（名前定義）'!$C$147</definedName>
    <definedName name="_11_A家事５．２５">'_11_居宅介護（名前定義）'!$C$148</definedName>
    <definedName name="_11_A家事５．５">'_11_居宅介護（名前定義）'!$C$149</definedName>
    <definedName name="_11_A家事５．７５">'_11_居宅介護（名前定義）'!$C$150</definedName>
    <definedName name="_11_A家事６．０">'_11_居宅介護（名前定義）'!$C$151</definedName>
    <definedName name="_11_A家事６．２５">'_11_居宅介護（名前定義）'!$C$152</definedName>
    <definedName name="_11_A家事６．５">'_11_居宅介護（名前定義）'!$C$153</definedName>
    <definedName name="_11_A家事６．７５">'_11_居宅介護（名前定義）'!$C$154</definedName>
    <definedName name="_11_A家事７．０">'_11_居宅介護（名前定義）'!$C$155</definedName>
    <definedName name="_11_A家事７．２５">'_11_居宅介護（名前定義）'!$C$156</definedName>
    <definedName name="_11_A家事７．５">'_11_居宅介護（名前定義）'!$C$157</definedName>
    <definedName name="_11_A家事７．７５">'_11_居宅介護（名前定義）'!$C$158</definedName>
    <definedName name="_11_A家事８．０">'_11_居宅介護（名前定義）'!$C$159</definedName>
    <definedName name="_11_A家事８．２５">'_11_居宅介護（名前定義）'!$C$160</definedName>
    <definedName name="_11_A家事８．５">'_11_居宅介護（名前定義）'!$C$161</definedName>
    <definedName name="_11_A家事８．７５">'_11_居宅介護（名前定義）'!$C$162</definedName>
    <definedName name="_11_A家事９．０">'_11_居宅介護（名前定義）'!$C$163</definedName>
    <definedName name="_11_A家事９．２５">'_11_居宅介護（名前定義）'!$C$164</definedName>
    <definedName name="_11_A家事９．５">'_11_居宅介護（名前定義）'!$C$165</definedName>
    <definedName name="_11_A家事９．７５">'_11_居宅介護（名前定義）'!$C$166</definedName>
    <definedName name="_11_A家事増０．２５">'_11_居宅介護（名前定義）'!$C$170</definedName>
    <definedName name="_11_A家事増０．５">'_11_居宅介護（名前定義）'!$C$171</definedName>
    <definedName name="_11_A家事増０．７５">'_11_居宅介護（名前定義）'!$C$172</definedName>
    <definedName name="_11_A家事増１．０">'_11_居宅介護（名前定義）'!$C$173</definedName>
    <definedName name="_11_A家事増１．２５">'_11_居宅介護（名前定義）'!$C$174</definedName>
    <definedName name="_11_A家事増１．５">'_11_居宅介護（名前定義）'!$C$175</definedName>
    <definedName name="_11_A家事増１．７５">'_11_居宅介護（名前定義）'!$C$176</definedName>
    <definedName name="_11_A家事増１０．０">'_11_居宅介護（名前定義）'!$C$209</definedName>
    <definedName name="_11_A家事増１０．２５">'_11_居宅介護（名前定義）'!$C$210</definedName>
    <definedName name="_11_A家事増１０．５">'_11_居宅介護（名前定義）'!$C$211</definedName>
    <definedName name="_11_A家事増２．０">'_11_居宅介護（名前定義）'!$C$177</definedName>
    <definedName name="_11_A家事増２．２５">'_11_居宅介護（名前定義）'!$C$178</definedName>
    <definedName name="_11_A家事増２．５">'_11_居宅介護（名前定義）'!$C$179</definedName>
    <definedName name="_11_A家事増２．７５">'_11_居宅介護（名前定義）'!$C$180</definedName>
    <definedName name="_11_A家事増３．０">'_11_居宅介護（名前定義）'!$C$181</definedName>
    <definedName name="_11_A家事増３．２５">'_11_居宅介護（名前定義）'!$C$182</definedName>
    <definedName name="_11_A家事増３．５">'_11_居宅介護（名前定義）'!$C$183</definedName>
    <definedName name="_11_A家事増３．７５">'_11_居宅介護（名前定義）'!$C$184</definedName>
    <definedName name="_11_A家事増４．０">'_11_居宅介護（名前定義）'!$C$185</definedName>
    <definedName name="_11_A家事増４．２５">'_11_居宅介護（名前定義）'!$C$186</definedName>
    <definedName name="_11_A家事増４．５">'_11_居宅介護（名前定義）'!$C$187</definedName>
    <definedName name="_11_A家事増４．７５">'_11_居宅介護（名前定義）'!$C$188</definedName>
    <definedName name="_11_A家事増５．０">'_11_居宅介護（名前定義）'!$C$189</definedName>
    <definedName name="_11_A家事増５．２５">'_11_居宅介護（名前定義）'!$C$190</definedName>
    <definedName name="_11_A家事増５．５">'_11_居宅介護（名前定義）'!$C$191</definedName>
    <definedName name="_11_A家事増５．７５">'_11_居宅介護（名前定義）'!$C$192</definedName>
    <definedName name="_11_A家事増６．０">'_11_居宅介護（名前定義）'!$C$193</definedName>
    <definedName name="_11_A家事増６．２５">'_11_居宅介護（名前定義）'!$C$194</definedName>
    <definedName name="_11_A家事増６．５">'_11_居宅介護（名前定義）'!$C$195</definedName>
    <definedName name="_11_A家事増６．７５">'_11_居宅介護（名前定義）'!$C$196</definedName>
    <definedName name="_11_A家事増７．０">'_11_居宅介護（名前定義）'!$C$197</definedName>
    <definedName name="_11_A家事増７．２５">'_11_居宅介護（名前定義）'!$C$198</definedName>
    <definedName name="_11_A家事増７．５">'_11_居宅介護（名前定義）'!$C$199</definedName>
    <definedName name="_11_A家事増７．７５">'_11_居宅介護（名前定義）'!$C$200</definedName>
    <definedName name="_11_A家事増８．０">'_11_居宅介護（名前定義）'!$C$201</definedName>
    <definedName name="_11_A家事増８．２５">'_11_居宅介護（名前定義）'!$C$202</definedName>
    <definedName name="_11_A家事増８．５">'_11_居宅介護（名前定義）'!$C$203</definedName>
    <definedName name="_11_A家事増８．７５">'_11_居宅介護（名前定義）'!$C$204</definedName>
    <definedName name="_11_A家事増９．０">'_11_居宅介護（名前定義）'!$C$205</definedName>
    <definedName name="_11_A家事増９．２５">'_11_居宅介護（名前定義）'!$C$206</definedName>
    <definedName name="_11_A家事増９．５">'_11_居宅介護（名前定義）'!$C$207</definedName>
    <definedName name="_11_A家事増９．７５">'_11_居宅介護（名前定義）'!$C$208</definedName>
    <definedName name="_11_A重度研修１．０">'_11_居宅介護（名前定義）'!$C$46</definedName>
    <definedName name="_11_A重度研修１．５">'_11_居宅介護（名前定義）'!$C$47</definedName>
    <definedName name="_11_A重度研修１０．０">'_11_居宅介護（名前定義）'!$C$64</definedName>
    <definedName name="_11_A重度研修１０．５">'_11_居宅介護（名前定義）'!$C$65</definedName>
    <definedName name="_11_A重度研修２．０">'_11_居宅介護（名前定義）'!$C$48</definedName>
    <definedName name="_11_A重度研修２．５">'_11_居宅介護（名前定義）'!$C$49</definedName>
    <definedName name="_11_A重度研修３．０">'_11_居宅介護（名前定義）'!$C$50</definedName>
    <definedName name="_11_A重度研修３．５">'_11_居宅介護（名前定義）'!$C$51</definedName>
    <definedName name="_11_A重度研修４．０">'_11_居宅介護（名前定義）'!$C$52</definedName>
    <definedName name="_11_A重度研修４．５">'_11_居宅介護（名前定義）'!$C$53</definedName>
    <definedName name="_11_A重度研修５．０">'_11_居宅介護（名前定義）'!$C$54</definedName>
    <definedName name="_11_A重度研修５．５">'_11_居宅介護（名前定義）'!$C$55</definedName>
    <definedName name="_11_A重度研修６．０">'_11_居宅介護（名前定義）'!$C$56</definedName>
    <definedName name="_11_A重度研修６．５">'_11_居宅介護（名前定義）'!$C$57</definedName>
    <definedName name="_11_A重度研修７．０">'_11_居宅介護（名前定義）'!$C$58</definedName>
    <definedName name="_11_A重度研修７．５">'_11_居宅介護（名前定義）'!$C$59</definedName>
    <definedName name="_11_A重度研修８．０">'_11_居宅介護（名前定義）'!$C$60</definedName>
    <definedName name="_11_A重度研修８．５">'_11_居宅介護（名前定義）'!$C$61</definedName>
    <definedName name="_11_A重度研修９．０">'_11_居宅介護（名前定義）'!$C$62</definedName>
    <definedName name="_11_A重度研修９．５">'_11_居宅介護（名前定義）'!$C$63</definedName>
    <definedName name="_11_A重度研修増０．５">'_11_居宅介護（名前定義）'!$C$66</definedName>
    <definedName name="_11_A重度研修増１．０">'_11_居宅介護（名前定義）'!$C$67</definedName>
    <definedName name="_11_A重度研修増１．５">'_11_居宅介護（名前定義）'!$C$68</definedName>
    <definedName name="_11_A重度研修増１０．０">'_11_居宅介護（名前定義）'!$C$85</definedName>
    <definedName name="_11_A重度研修増１０．５">'_11_居宅介護（名前定義）'!$C$86</definedName>
    <definedName name="_11_A重度研修増２．０">'_11_居宅介護（名前定義）'!$C$69</definedName>
    <definedName name="_11_A重度研修増２．５">'_11_居宅介護（名前定義）'!$C$70</definedName>
    <definedName name="_11_A重度研修増３．０">'_11_居宅介護（名前定義）'!$C$71</definedName>
    <definedName name="_11_A重度研修増３．５">'_11_居宅介護（名前定義）'!$C$72</definedName>
    <definedName name="_11_A重度研修増４．０">'_11_居宅介護（名前定義）'!$C$73</definedName>
    <definedName name="_11_A重度研修増４．５">'_11_居宅介護（名前定義）'!$C$74</definedName>
    <definedName name="_11_A重度研修増５．０">'_11_居宅介護（名前定義）'!$C$75</definedName>
    <definedName name="_11_A重度研修増５．５">'_11_居宅介護（名前定義）'!$C$76</definedName>
    <definedName name="_11_A重度研修増６．０">'_11_居宅介護（名前定義）'!$C$77</definedName>
    <definedName name="_11_A重度研修増６．５">'_11_居宅介護（名前定義）'!$C$78</definedName>
    <definedName name="_11_A重度研修増７．０">'_11_居宅介護（名前定義）'!$C$79</definedName>
    <definedName name="_11_A重度研修増７．５">'_11_居宅介護（名前定義）'!$C$80</definedName>
    <definedName name="_11_A重度研修増８．０">'_11_居宅介護（名前定義）'!$C$81</definedName>
    <definedName name="_11_A重度研修増８．５">'_11_居宅介護（名前定義）'!$C$82</definedName>
    <definedName name="_11_A重度研修増９．０">'_11_居宅介護（名前定義）'!$C$83</definedName>
    <definedName name="_11_A重度研修増９．５">'_11_居宅介護（名前定義）'!$C$84</definedName>
    <definedName name="_11_A身体０．５">'_11_居宅介護（名前定義）'!$C$4</definedName>
    <definedName name="_11_A身体１．０">'_11_居宅介護（名前定義）'!$C$5</definedName>
    <definedName name="_11_A身体１．５">'_11_居宅介護（名前定義）'!$C$6</definedName>
    <definedName name="_11_A身体１０．０">'_11_居宅介護（名前定義）'!$C$23</definedName>
    <definedName name="_11_A身体１０．５">'_11_居宅介護（名前定義）'!$C$24</definedName>
    <definedName name="_11_A身体２．０">'_11_居宅介護（名前定義）'!$C$7</definedName>
    <definedName name="_11_A身体２．５">'_11_居宅介護（名前定義）'!$C$8</definedName>
    <definedName name="_11_A身体３．０">'_11_居宅介護（名前定義）'!$C$9</definedName>
    <definedName name="_11_A身体３．５">'_11_居宅介護（名前定義）'!$C$10</definedName>
    <definedName name="_11_A身体４．０">'_11_居宅介護（名前定義）'!$C$11</definedName>
    <definedName name="_11_A身体４．５">'_11_居宅介護（名前定義）'!$C$12</definedName>
    <definedName name="_11_A身体５．０">'_11_居宅介護（名前定義）'!$C$13</definedName>
    <definedName name="_11_A身体５．５">'_11_居宅介護（名前定義）'!$C$14</definedName>
    <definedName name="_11_A身体６．０">'_11_居宅介護（名前定義）'!$C$15</definedName>
    <definedName name="_11_A身体６．５">'_11_居宅介護（名前定義）'!$C$16</definedName>
    <definedName name="_11_A身体７．０">'_11_居宅介護（名前定義）'!$C$17</definedName>
    <definedName name="_11_A身体７．５">'_11_居宅介護（名前定義）'!$C$18</definedName>
    <definedName name="_11_A身体８．０">'_11_居宅介護（名前定義）'!$C$19</definedName>
    <definedName name="_11_A身体８．５">'_11_居宅介護（名前定義）'!$C$20</definedName>
    <definedName name="_11_A身体９．０">'_11_居宅介護（名前定義）'!$C$21</definedName>
    <definedName name="_11_A身体９．５">'_11_居宅介護（名前定義）'!$C$22</definedName>
    <definedName name="_11_A身体増０．５">'_11_居宅介護（名前定義）'!$C$25</definedName>
    <definedName name="_11_A身体増１．０">'_11_居宅介護（名前定義）'!$C$26</definedName>
    <definedName name="_11_A身体増１．５">'_11_居宅介護（名前定義）'!$C$27</definedName>
    <definedName name="_11_A身体増１０．０">'_11_居宅介護（名前定義）'!$C$44</definedName>
    <definedName name="_11_A身体増１０．５">'_11_居宅介護（名前定義）'!$C$45</definedName>
    <definedName name="_11_A身体増２．０">'_11_居宅介護（名前定義）'!$C$28</definedName>
    <definedName name="_11_A身体増２．５">'_11_居宅介護（名前定義）'!$C$29</definedName>
    <definedName name="_11_A身体増３．０">'_11_居宅介護（名前定義）'!$C$30</definedName>
    <definedName name="_11_A身体増３．５">'_11_居宅介護（名前定義）'!$C$31</definedName>
    <definedName name="_11_A身体増４．０">'_11_居宅介護（名前定義）'!$C$32</definedName>
    <definedName name="_11_A身体増４．５">'_11_居宅介護（名前定義）'!$C$33</definedName>
    <definedName name="_11_A身体増５．０">'_11_居宅介護（名前定義）'!$C$34</definedName>
    <definedName name="_11_A身体増５．５">'_11_居宅介護（名前定義）'!$C$35</definedName>
    <definedName name="_11_A身体増６．０">'_11_居宅介護（名前定義）'!$C$36</definedName>
    <definedName name="_11_A身体増６．５">'_11_居宅介護（名前定義）'!$C$37</definedName>
    <definedName name="_11_A身体増７．０">'_11_居宅介護（名前定義）'!$C$38</definedName>
    <definedName name="_11_A身体増７．５">'_11_居宅介護（名前定義）'!$C$39</definedName>
    <definedName name="_11_A身体増８．０">'_11_居宅介護（名前定義）'!$C$40</definedName>
    <definedName name="_11_A身体増８．５">'_11_居宅介護（名前定義）'!$C$41</definedName>
    <definedName name="_11_A身体増９．０">'_11_居宅介護（名前定義）'!$C$42</definedName>
    <definedName name="_11_A身体増９．５">'_11_居宅介護（名前定義）'!$C$43</definedName>
    <definedName name="_11_A通院１０．５">'_11_居宅介護（名前定義）'!$C$87</definedName>
    <definedName name="_11_A通院１１．０">'_11_居宅介護（名前定義）'!$C$88</definedName>
    <definedName name="_11_A通院１１．５">'_11_居宅介護（名前定義）'!$C$89</definedName>
    <definedName name="_11_A通院１１０．０">'_11_居宅介護（名前定義）'!$C$106</definedName>
    <definedName name="_11_A通院１１０．５">'_11_居宅介護（名前定義）'!$C$107</definedName>
    <definedName name="_11_A通院１２．０">'_11_居宅介護（名前定義）'!$C$90</definedName>
    <definedName name="_11_A通院１２．５">'_11_居宅介護（名前定義）'!$C$91</definedName>
    <definedName name="_11_A通院１３．０">'_11_居宅介護（名前定義）'!$C$92</definedName>
    <definedName name="_11_A通院１３．５">'_11_居宅介護（名前定義）'!$C$93</definedName>
    <definedName name="_11_A通院１４．０">'_11_居宅介護（名前定義）'!$C$94</definedName>
    <definedName name="_11_A通院１４．５">'_11_居宅介護（名前定義）'!$C$95</definedName>
    <definedName name="_11_A通院１５．０">'_11_居宅介護（名前定義）'!$C$96</definedName>
    <definedName name="_11_A通院１５．５">'_11_居宅介護（名前定義）'!$C$97</definedName>
    <definedName name="_11_A通院１６．０">'_11_居宅介護（名前定義）'!$C$98</definedName>
    <definedName name="_11_A通院１６．５">'_11_居宅介護（名前定義）'!$C$99</definedName>
    <definedName name="_11_A通院１７．０">'_11_居宅介護（名前定義）'!$C$100</definedName>
    <definedName name="_11_A通院１７．５">'_11_居宅介護（名前定義）'!$C$101</definedName>
    <definedName name="_11_A通院１８．０">'_11_居宅介護（名前定義）'!$C$102</definedName>
    <definedName name="_11_A通院１８．５">'_11_居宅介護（名前定義）'!$C$103</definedName>
    <definedName name="_11_A通院１９．０">'_11_居宅介護（名前定義）'!$C$104</definedName>
    <definedName name="_11_A通院１９．５">'_11_居宅介護（名前定義）'!$C$105</definedName>
    <definedName name="_11_A通院１増０．５">'_11_居宅介護（名前定義）'!$C$108</definedName>
    <definedName name="_11_A通院１増１．０">'_11_居宅介護（名前定義）'!$C$109</definedName>
    <definedName name="_11_A通院１増１．５">'_11_居宅介護（名前定義）'!$C$110</definedName>
    <definedName name="_11_A通院１増１０．０">'_11_居宅介護（名前定義）'!$C$127</definedName>
    <definedName name="_11_A通院１増１０．５">'_11_居宅介護（名前定義）'!$C$128</definedName>
    <definedName name="_11_A通院１増２．０">'_11_居宅介護（名前定義）'!$C$111</definedName>
    <definedName name="_11_A通院１増２．５">'_11_居宅介護（名前定義）'!$C$112</definedName>
    <definedName name="_11_A通院１増３．０">'_11_居宅介護（名前定義）'!$C$113</definedName>
    <definedName name="_11_A通院１増３．５">'_11_居宅介護（名前定義）'!$C$114</definedName>
    <definedName name="_11_A通院１増４．０">'_11_居宅介護（名前定義）'!$C$115</definedName>
    <definedName name="_11_A通院１増４．５">'_11_居宅介護（名前定義）'!$C$116</definedName>
    <definedName name="_11_A通院１増５．０">'_11_居宅介護（名前定義）'!$C$117</definedName>
    <definedName name="_11_A通院１増５．５">'_11_居宅介護（名前定義）'!$C$118</definedName>
    <definedName name="_11_A通院１増６．０">'_11_居宅介護（名前定義）'!$C$119</definedName>
    <definedName name="_11_A通院１増６．５">'_11_居宅介護（名前定義）'!$C$120</definedName>
    <definedName name="_11_A通院１増７．０">'_11_居宅介護（名前定義）'!$C$121</definedName>
    <definedName name="_11_A通院１増７．５">'_11_居宅介護（名前定義）'!$C$122</definedName>
    <definedName name="_11_A通院１増８．０">'_11_居宅介護（名前定義）'!$C$123</definedName>
    <definedName name="_11_A通院１増８．５">'_11_居宅介護（名前定義）'!$C$124</definedName>
    <definedName name="_11_A通院１増９．０">'_11_居宅介護（名前定義）'!$C$125</definedName>
    <definedName name="_11_A通院１増９．５">'_11_居宅介護（名前定義）'!$C$126</definedName>
    <definedName name="_11_A通院２０．５">'_11_居宅介護（名前定義）'!$C$212</definedName>
    <definedName name="_11_A通院２１．０">'_11_居宅介護（名前定義）'!$C$213</definedName>
    <definedName name="_11_A通院２１．５">'_11_居宅介護（名前定義）'!$C$214</definedName>
    <definedName name="_11_A通院２１０．０">'_11_居宅介護（名前定義）'!$C$231</definedName>
    <definedName name="_11_A通院２１０．５">'_11_居宅介護（名前定義）'!$C$232</definedName>
    <definedName name="_11_A通院２２．０">'_11_居宅介護（名前定義）'!$C$215</definedName>
    <definedName name="_11_A通院２２．５">'_11_居宅介護（名前定義）'!$C$216</definedName>
    <definedName name="_11_A通院２３．０">'_11_居宅介護（名前定義）'!$C$217</definedName>
    <definedName name="_11_A通院２３．５">'_11_居宅介護（名前定義）'!$C$218</definedName>
    <definedName name="_11_A通院２４．０">'_11_居宅介護（名前定義）'!$C$219</definedName>
    <definedName name="_11_A通院２４．５">'_11_居宅介護（名前定義）'!$C$220</definedName>
    <definedName name="_11_A通院２５．０">'_11_居宅介護（名前定義）'!$C$221</definedName>
    <definedName name="_11_A通院２５．５">'_11_居宅介護（名前定義）'!$C$222</definedName>
    <definedName name="_11_A通院２６．０">'_11_居宅介護（名前定義）'!$C$223</definedName>
    <definedName name="_11_A通院２６．５">'_11_居宅介護（名前定義）'!$C$224</definedName>
    <definedName name="_11_A通院２７．０">'_11_居宅介護（名前定義）'!$C$225</definedName>
    <definedName name="_11_A通院２７．５">'_11_居宅介護（名前定義）'!$C$226</definedName>
    <definedName name="_11_A通院２８．０">'_11_居宅介護（名前定義）'!$C$227</definedName>
    <definedName name="_11_A通院２８．５">'_11_居宅介護（名前定義）'!$C$228</definedName>
    <definedName name="_11_A通院２９．０">'_11_居宅介護（名前定義）'!$C$229</definedName>
    <definedName name="_11_A通院２９．５">'_11_居宅介護（名前定義）'!$C$230</definedName>
    <definedName name="_11_A通院２増０．５">'_11_居宅介護（名前定義）'!$C$233</definedName>
    <definedName name="_11_A通院２増１．０">'_11_居宅介護（名前定義）'!$C$234</definedName>
    <definedName name="_11_A通院２増１．５">'_11_居宅介護（名前定義）'!$C$235</definedName>
    <definedName name="_11_A通院２増１０．０">'_11_居宅介護（名前定義）'!$C$252</definedName>
    <definedName name="_11_A通院２増１０．５">'_11_居宅介護（名前定義）'!$C$253</definedName>
    <definedName name="_11_A通院２増２．０">'_11_居宅介護（名前定義）'!$C$236</definedName>
    <definedName name="_11_A通院２増２．５">'_11_居宅介護（名前定義）'!$C$237</definedName>
    <definedName name="_11_A通院２増３．０">'_11_居宅介護（名前定義）'!$C$238</definedName>
    <definedName name="_11_A通院２増３．５">'_11_居宅介護（名前定義）'!$C$239</definedName>
    <definedName name="_11_A通院２増４．０">'_11_居宅介護（名前定義）'!$C$240</definedName>
    <definedName name="_11_A通院２増４．５">'_11_居宅介護（名前定義）'!$C$241</definedName>
    <definedName name="_11_A通院２増５．０">'_11_居宅介護（名前定義）'!$C$242</definedName>
    <definedName name="_11_A通院２増５．５">'_11_居宅介護（名前定義）'!$C$243</definedName>
    <definedName name="_11_A通院２増６．０">'_11_居宅介護（名前定義）'!$C$244</definedName>
    <definedName name="_11_A通院２増６．５">'_11_居宅介護（名前定義）'!$C$245</definedName>
    <definedName name="_11_A通院２増７．０">'_11_居宅介護（名前定義）'!$C$246</definedName>
    <definedName name="_11_A通院２増７．５">'_11_居宅介護（名前定義）'!$C$247</definedName>
    <definedName name="_11_A通院２増８．０">'_11_居宅介護（名前定義）'!$C$248</definedName>
    <definedName name="_11_A通院２増８．５">'_11_居宅介護（名前定義）'!$C$249</definedName>
    <definedName name="_11_A通院２増９．０">'_11_居宅介護（名前定義）'!$C$250</definedName>
    <definedName name="_11_A通院２増９．５">'_11_居宅介護（名前定義）'!$C$251</definedName>
    <definedName name="_11_A通院乗降">'_11_居宅介護（名前定義）'!$C$383</definedName>
    <definedName name="_11_B家事０．５＿０．２５">'_11_居宅介護（名前定義）'!$C$294</definedName>
    <definedName name="_11_B家事０．５＿０．５">'_11_居宅介護（名前定義）'!$C$295</definedName>
    <definedName name="_11_B家事０．５＿０．７５">'_11_居宅介護（名前定義）'!$C$296</definedName>
    <definedName name="_11_B家事０．５＿１．０">'_11_居宅介護（名前定義）'!$C$297</definedName>
    <definedName name="_11_B家事０．７５＿０．２５">'_11_居宅介護（名前定義）'!$C$298</definedName>
    <definedName name="_11_B家事０．７５＿０．５">'_11_居宅介護（名前定義）'!$C$299</definedName>
    <definedName name="_11_B家事０．７５＿０．７５">'_11_居宅介護（名前定義）'!$C$300</definedName>
    <definedName name="_11_B家事１．０＿０．２５">'_11_居宅介護（名前定義）'!$C$301</definedName>
    <definedName name="_11_B家事１．０＿０．５">'_11_居宅介護（名前定義）'!$C$302</definedName>
    <definedName name="_11_B家事１．２５＿０．２５">'_11_居宅介護（名前定義）'!$C$303</definedName>
    <definedName name="_11_B重度研修１．０＿０．５">'_11_居宅介護（名前定義）'!$C$284</definedName>
    <definedName name="_11_B重度研修１．０＿１．０">'_11_居宅介護（名前定義）'!$C$285</definedName>
    <definedName name="_11_B重度研修１．０＿１．５">'_11_居宅介護（名前定義）'!$C$286</definedName>
    <definedName name="_11_B重度研修１．０＿２．０">'_11_居宅介護（名前定義）'!$C$287</definedName>
    <definedName name="_11_B重度研修１．５＿０．５">'_11_居宅介護（名前定義）'!$C$288</definedName>
    <definedName name="_11_B重度研修１．５＿１．０">'_11_居宅介護（名前定義）'!$C$289</definedName>
    <definedName name="_11_B重度研修１．５＿１．５">'_11_居宅介護（名前定義）'!$C$290</definedName>
    <definedName name="_11_B重度研修２．０＿０．５">'_11_居宅介護（名前定義）'!$C$291</definedName>
    <definedName name="_11_B重度研修２．０＿１．０">'_11_居宅介護（名前定義）'!$C$292</definedName>
    <definedName name="_11_B重度研修２．５＿０．５">'_11_居宅介護（名前定義）'!$C$293</definedName>
    <definedName name="_11_B身体０．５＿０．５">'_11_居宅介護（名前定義）'!$C$254</definedName>
    <definedName name="_11_B身体０．５＿１．０">'_11_居宅介護（名前定義）'!$C$255</definedName>
    <definedName name="_11_B身体０．５＿１．５">'_11_居宅介護（名前定義）'!$C$256</definedName>
    <definedName name="_11_B身体０．５＿２．０">'_11_居宅介護（名前定義）'!$C$257</definedName>
    <definedName name="_11_B身体０．５＿２．５">'_11_居宅介護（名前定義）'!$C$258</definedName>
    <definedName name="_11_B身体１．０＿０．５">'_11_居宅介護（名前定義）'!$C$259</definedName>
    <definedName name="_11_B身体１．０＿１．０">'_11_居宅介護（名前定義）'!$C$260</definedName>
    <definedName name="_11_B身体１．０＿１．５">'_11_居宅介護（名前定義）'!$C$261</definedName>
    <definedName name="_11_B身体１．０＿２．０">'_11_居宅介護（名前定義）'!$C$262</definedName>
    <definedName name="_11_B身体１．５＿０．５">'_11_居宅介護（名前定義）'!$C$263</definedName>
    <definedName name="_11_B身体１．５＿１．０">'_11_居宅介護（名前定義）'!$C$264</definedName>
    <definedName name="_11_B身体１．５＿１．５">'_11_居宅介護（名前定義）'!$C$265</definedName>
    <definedName name="_11_B身体２．０＿０．５">'_11_居宅介護（名前定義）'!$C$266</definedName>
    <definedName name="_11_B身体２．０＿１．０">'_11_居宅介護（名前定義）'!$C$267</definedName>
    <definedName name="_11_B身体２．５＿０．５">'_11_居宅介護（名前定義）'!$C$268</definedName>
    <definedName name="_11_B通院１０．５＿０．５">'_11_居宅介護（名前定義）'!$C$269</definedName>
    <definedName name="_11_B通院１０．５＿１．０">'_11_居宅介護（名前定義）'!$C$270</definedName>
    <definedName name="_11_B通院１０．５＿１．５">'_11_居宅介護（名前定義）'!$C$271</definedName>
    <definedName name="_11_B通院１０．５＿２．０">'_11_居宅介護（名前定義）'!$C$272</definedName>
    <definedName name="_11_B通院１０．５＿２．５">'_11_居宅介護（名前定義）'!$C$273</definedName>
    <definedName name="_11_B通院１１．０＿０．５">'_11_居宅介護（名前定義）'!$C$274</definedName>
    <definedName name="_11_B通院１１．０＿１．０">'_11_居宅介護（名前定義）'!$C$275</definedName>
    <definedName name="_11_B通院１１．０＿１．５">'_11_居宅介護（名前定義）'!$C$276</definedName>
    <definedName name="_11_B通院１１．０＿２．０">'_11_居宅介護（名前定義）'!$C$277</definedName>
    <definedName name="_11_B通院１１．５＿０．５">'_11_居宅介護（名前定義）'!$C$278</definedName>
    <definedName name="_11_B通院１１．５＿１．０">'_11_居宅介護（名前定義）'!$C$279</definedName>
    <definedName name="_11_B通院１１．５＿１．５">'_11_居宅介護（名前定義）'!$C$280</definedName>
    <definedName name="_11_B通院１２．０＿０．５">'_11_居宅介護（名前定義）'!$C$281</definedName>
    <definedName name="_11_B通院１２．０＿１．０">'_11_居宅介護（名前定義）'!$C$282</definedName>
    <definedName name="_11_B通院１２．５＿０．５">'_11_居宅介護（名前定義）'!$C$283</definedName>
    <definedName name="_11_B通院２０．５＿０．５">'_11_居宅介護（名前定義）'!$C$304</definedName>
    <definedName name="_11_B通院２０．５＿１．０">'_11_居宅介護（名前定義）'!$C$305</definedName>
    <definedName name="_11_B通院２１．０＿０．５">'_11_居宅介護（名前定義）'!$C$306</definedName>
    <definedName name="_11_C家事０．５＿０．２５＿０．２５">'_11_居宅介護（名前定義）'!$C$357</definedName>
    <definedName name="_11_C家事０．５＿０．２５＿０．５">'_11_居宅介護（名前定義）'!$C$358</definedName>
    <definedName name="_11_C家事０．５＿０．２５＿０．７５">'_11_居宅介護（名前定義）'!$C$359</definedName>
    <definedName name="_11_C家事０．５＿０．５＿０．２５">'_11_居宅介護（名前定義）'!$C$360</definedName>
    <definedName name="_11_C家事０．５＿０．５＿０．５">'_11_居宅介護（名前定義）'!$C$361</definedName>
    <definedName name="_11_C家事０．５＿０．７５＿０．２５">'_11_居宅介護（名前定義）'!$C$362</definedName>
    <definedName name="_11_C家事０．７５＿０．２５＿０．２５">'_11_居宅介護（名前定義）'!$C$363</definedName>
    <definedName name="_11_C家事０．７５＿０．２５＿０．５">'_11_居宅介護（名前定義）'!$C$364</definedName>
    <definedName name="_11_C家事０．７５＿０．５＿０．２５">'_11_居宅介護（名前定義）'!$C$365</definedName>
    <definedName name="_11_C家事１．０＿０．２５＿０．２５">'_11_居宅介護（名前定義）'!$C$366</definedName>
    <definedName name="_11_C重度研修１．０＿０．５＿０．５">'_11_居宅介護（名前定義）'!$C$347</definedName>
    <definedName name="_11_C重度研修１．０＿０．５＿１．０">'_11_居宅介護（名前定義）'!$C$348</definedName>
    <definedName name="_11_C重度研修１．０＿０．５＿１．５">'_11_居宅介護（名前定義）'!$C$349</definedName>
    <definedName name="_11_C重度研修１．０＿１．０＿０．５">'_11_居宅介護（名前定義）'!$C$350</definedName>
    <definedName name="_11_C重度研修１．０＿１．０＿１．０">'_11_居宅介護（名前定義）'!$C$351</definedName>
    <definedName name="_11_C重度研修１．０＿１．５＿０．５">'_11_居宅介護（名前定義）'!$C$352</definedName>
    <definedName name="_11_C重度研修１．５＿０．５＿０．５">'_11_居宅介護（名前定義）'!$C$353</definedName>
    <definedName name="_11_C重度研修１．５＿０．５＿１．０">'_11_居宅介護（名前定義）'!$C$354</definedName>
    <definedName name="_11_C重度研修１．５＿１．０＿０．５">'_11_居宅介護（名前定義）'!$C$355</definedName>
    <definedName name="_11_C重度研修２．０＿０．５＿０．５">'_11_居宅介護（名前定義）'!$C$356</definedName>
    <definedName name="_11_C身体０．５＿０．５＿０．５">'_11_居宅介護（名前定義）'!$C$307</definedName>
    <definedName name="_11_C身体０．５＿０．５＿１．０">'_11_居宅介護（名前定義）'!$C$308</definedName>
    <definedName name="_11_C身体０．５＿０．５＿１．５">'_11_居宅介護（名前定義）'!$C$309</definedName>
    <definedName name="_11_C身体０．５＿０．５＿２．０">'_11_居宅介護（名前定義）'!$C$310</definedName>
    <definedName name="_11_C身体０．５＿１．０＿０．５">'_11_居宅介護（名前定義）'!$C$311</definedName>
    <definedName name="_11_C身体０．５＿１．０＿１．０">'_11_居宅介護（名前定義）'!$C$312</definedName>
    <definedName name="_11_C身体０．５＿１．０＿１．５">'_11_居宅介護（名前定義）'!$C$313</definedName>
    <definedName name="_11_C身体０．５＿１．５＿０．５">'_11_居宅介護（名前定義）'!$C$314</definedName>
    <definedName name="_11_C身体０．５＿１．５＿１．０">'_11_居宅介護（名前定義）'!$C$315</definedName>
    <definedName name="_11_C身体０．５＿２．０＿０．５">'_11_居宅介護（名前定義）'!$C$316</definedName>
    <definedName name="_11_C身体１．０＿０．５＿０．５">'_11_居宅介護（名前定義）'!$C$317</definedName>
    <definedName name="_11_C身体１．０＿０．５＿１．０">'_11_居宅介護（名前定義）'!$C$318</definedName>
    <definedName name="_11_C身体１．０＿０．５＿１．５">'_11_居宅介護（名前定義）'!$C$319</definedName>
    <definedName name="_11_C身体１．０＿１．０＿０．５">'_11_居宅介護（名前定義）'!$C$320</definedName>
    <definedName name="_11_C身体１．０＿１．０＿１．０">'_11_居宅介護（名前定義）'!$C$321</definedName>
    <definedName name="_11_C身体１．０＿１．５＿０．５">'_11_居宅介護（名前定義）'!$C$322</definedName>
    <definedName name="_11_C身体１．５＿０．５＿０．５">'_11_居宅介護（名前定義）'!$C$323</definedName>
    <definedName name="_11_C身体１．５＿０．５＿１．０">'_11_居宅介護（名前定義）'!$C$324</definedName>
    <definedName name="_11_C身体１．５＿１．０＿０．５">'_11_居宅介護（名前定義）'!$C$325</definedName>
    <definedName name="_11_C身体２．０＿０．５＿０．５">'_11_居宅介護（名前定義）'!$C$326</definedName>
    <definedName name="_11_C通院１０．５＿０．５＿０．５">'_11_居宅介護（名前定義）'!$C$327</definedName>
    <definedName name="_11_C通院１０．５＿０．５＿１．０">'_11_居宅介護（名前定義）'!$C$328</definedName>
    <definedName name="_11_C通院１０．５＿０．５＿１．５">'_11_居宅介護（名前定義）'!$C$329</definedName>
    <definedName name="_11_C通院１０．５＿０．５＿２．０">'_11_居宅介護（名前定義）'!$C$330</definedName>
    <definedName name="_11_C通院１０．５＿１．０＿０．５">'_11_居宅介護（名前定義）'!$C$331</definedName>
    <definedName name="_11_C通院１０．５＿１．０＿１．０">'_11_居宅介護（名前定義）'!$C$332</definedName>
    <definedName name="_11_C通院１０．５＿１．０＿１．５">'_11_居宅介護（名前定義）'!$C$333</definedName>
    <definedName name="_11_C通院１０．５＿１．５＿０．５">'_11_居宅介護（名前定義）'!$C$334</definedName>
    <definedName name="_11_C通院１０．５＿１．５＿１．０">'_11_居宅介護（名前定義）'!$C$335</definedName>
    <definedName name="_11_C通院１０．５＿２．０＿０．５">'_11_居宅介護（名前定義）'!$C$336</definedName>
    <definedName name="_11_C通院１１．０＿０．５＿０．５">'_11_居宅介護（名前定義）'!$C$337</definedName>
    <definedName name="_11_C通院１１．０＿０．５＿１．０">'_11_居宅介護（名前定義）'!$C$338</definedName>
    <definedName name="_11_C通院１１．０＿０．５＿１．５">'_11_居宅介護（名前定義）'!$C$339</definedName>
    <definedName name="_11_C通院１１．０＿１．０＿０．５">'_11_居宅介護（名前定義）'!$C$340</definedName>
    <definedName name="_11_C通院１１．０＿１．０＿１．０">'_11_居宅介護（名前定義）'!$C$341</definedName>
    <definedName name="_11_C通院１１．０＿１．５＿０．５">'_11_居宅介護（名前定義）'!$C$342</definedName>
    <definedName name="_11_C通院１１．５＿０．５＿０．５">'_11_居宅介護（名前定義）'!$C$343</definedName>
    <definedName name="_11_C通院１１．５＿０．５＿１．０">'_11_居宅介護（名前定義）'!$C$344</definedName>
    <definedName name="_11_C通院１１．５＿１．０＿０．５">'_11_居宅介護（名前定義）'!$C$345</definedName>
    <definedName name="_11_C通院１２．０＿０．５＿０．５">'_11_居宅介護（名前定義）'!$C$346</definedName>
    <definedName name="_11_C通院２０．５＿０．５＿０．５">'_11_居宅介護（名前定義）'!$C$367</definedName>
    <definedName name="_11・２人">'_11_居宅介護（名前定義）'!$C$368</definedName>
    <definedName name="_11・A深夜">'_11_居宅介護（名前定義）'!$C$369</definedName>
    <definedName name="_11・A早朝">'_11_居宅介護（名前定義）'!$C$370</definedName>
    <definedName name="_11・A夜間">'_11_居宅介護（名前定義）'!$C$371</definedName>
    <definedName name="_11・B深夜">'_11_居宅介護（名前定義）'!$C$372</definedName>
    <definedName name="_11・B早朝">'_11_居宅介護（名前定義）'!$C$373</definedName>
    <definedName name="_11・B夜間">'_11_居宅介護（名前定義）'!$C$374</definedName>
    <definedName name="_11・C深夜">'_11_居宅介護（名前定義）'!$C$375</definedName>
    <definedName name="_11・C夜間">'_11_居宅介護（名前定義）'!$C$376</definedName>
    <definedName name="_11・基礎１">'_11_居宅介護（名前定義）'!$C$377</definedName>
    <definedName name="_11・基礎２">'_11_居宅介護（名前定義）'!$C$378</definedName>
    <definedName name="_11・重度研修">'_11_居宅介護（名前定義）'!$C$379</definedName>
    <definedName name="_11・初任">'_11_居宅介護（名前定義）'!$C$380</definedName>
    <definedName name="_11・同建１">'_11_居宅介護（名前定義）'!$C$381</definedName>
    <definedName name="_11・同建２">'_11_居宅介護（名前定義）'!$C$382</definedName>
    <definedName name="_15_同援日０．５">'_15_同行援護（名前定義）'!$C$4</definedName>
    <definedName name="_15_同援日０．５＿０．５">'_15_同行援護（名前定義）'!$C$46</definedName>
    <definedName name="_15_同援日０．５＿０．５＿０．５">'_15_同行援護（名前定義）'!$C$61</definedName>
    <definedName name="_15_同援日０．５＿０．５＿１．０">'_15_同行援護（名前定義）'!$C$62</definedName>
    <definedName name="_15_同援日０．５＿０．５＿１．５">'_15_同行援護（名前定義）'!$C$63</definedName>
    <definedName name="_15_同援日０．５＿０．５＿２．０">'_15_同行援護（名前定義）'!$C$64</definedName>
    <definedName name="_15_同援日０．５＿１．０">'_15_同行援護（名前定義）'!$C$47</definedName>
    <definedName name="_15_同援日０．５＿１．０＿０．５">'_15_同行援護（名前定義）'!$C$65</definedName>
    <definedName name="_15_同援日０．５＿１．０＿１．０">'_15_同行援護（名前定義）'!$C$66</definedName>
    <definedName name="_15_同援日０．５＿１．０＿１．５">'_15_同行援護（名前定義）'!$C$67</definedName>
    <definedName name="_15_同援日０．５＿１．５">'_15_同行援護（名前定義）'!$C$48</definedName>
    <definedName name="_15_同援日０．５＿１．５＿０．５">'_15_同行援護（名前定義）'!$C$68</definedName>
    <definedName name="_15_同援日０．５＿１．５＿１．０">'_15_同行援護（名前定義）'!$C$69</definedName>
    <definedName name="_15_同援日０．５＿２．０">'_15_同行援護（名前定義）'!$C$49</definedName>
    <definedName name="_15_同援日０．５＿２．０＿０．５">'_15_同行援護（名前定義）'!$C$70</definedName>
    <definedName name="_15_同援日０．５＿２．５">'_15_同行援護（名前定義）'!$C$50</definedName>
    <definedName name="_15_同援日１．０">'_15_同行援護（名前定義）'!$C$5</definedName>
    <definedName name="_15_同援日１．０＿０．５">'_15_同行援護（名前定義）'!$C$51</definedName>
    <definedName name="_15_同援日１．０＿０．５＿０．５">'_15_同行援護（名前定義）'!$C$71</definedName>
    <definedName name="_15_同援日１．０＿０．５＿１．０">'_15_同行援護（名前定義）'!$C$72</definedName>
    <definedName name="_15_同援日１．０＿０．５＿１．５">'_15_同行援護（名前定義）'!$C$73</definedName>
    <definedName name="_15_同援日１．０＿１．０">'_15_同行援護（名前定義）'!$C$52</definedName>
    <definedName name="_15_同援日１．０＿１．０＿０．５">'_15_同行援護（名前定義）'!$C$74</definedName>
    <definedName name="_15_同援日１．０＿１．０＿１．０">'_15_同行援護（名前定義）'!$C$75</definedName>
    <definedName name="_15_同援日１．０＿１．５">'_15_同行援護（名前定義）'!$C$53</definedName>
    <definedName name="_15_同援日１．０＿１．５＿０．５">'_15_同行援護（名前定義）'!$C$76</definedName>
    <definedName name="_15_同援日１．０＿２．０">'_15_同行援護（名前定義）'!$C$54</definedName>
    <definedName name="_15_同援日１．５">'_15_同行援護（名前定義）'!$C$6</definedName>
    <definedName name="_15_同援日１．５＿０．５">'_15_同行援護（名前定義）'!$C$55</definedName>
    <definedName name="_15_同援日１．５＿０．５＿０．５">'_15_同行援護（名前定義）'!$C$77</definedName>
    <definedName name="_15_同援日１．５＿０．５＿１．０">'_15_同行援護（名前定義）'!$C$78</definedName>
    <definedName name="_15_同援日１．５＿１．０">'_15_同行援護（名前定義）'!$C$56</definedName>
    <definedName name="_15_同援日１．５＿１．０＿０．５">'_15_同行援護（名前定義）'!$C$79</definedName>
    <definedName name="_15_同援日１．５＿１．５">'_15_同行援護（名前定義）'!$C$57</definedName>
    <definedName name="_15_同援日１０．０">'_15_同行援護（名前定義）'!$C$23</definedName>
    <definedName name="_15_同援日１０．５">'_15_同行援護（名前定義）'!$C$24</definedName>
    <definedName name="_15_同援日２．０">'_15_同行援護（名前定義）'!$C$7</definedName>
    <definedName name="_15_同援日２．０＿０．５">'_15_同行援護（名前定義）'!$C$58</definedName>
    <definedName name="_15_同援日２．０＿０．５＿０．５">'_15_同行援護（名前定義）'!$C$80</definedName>
    <definedName name="_15_同援日２．０＿１．０">'_15_同行援護（名前定義）'!$C$59</definedName>
    <definedName name="_15_同援日２．５">'_15_同行援護（名前定義）'!$C$8</definedName>
    <definedName name="_15_同援日２．５＿０．５">'_15_同行援護（名前定義）'!$C$60</definedName>
    <definedName name="_15_同援日３．０">'_15_同行援護（名前定義）'!$C$9</definedName>
    <definedName name="_15_同援日３．５">'_15_同行援護（名前定義）'!$C$10</definedName>
    <definedName name="_15_同援日４．０">'_15_同行援護（名前定義）'!$C$11</definedName>
    <definedName name="_15_同援日４．５">'_15_同行援護（名前定義）'!$C$12</definedName>
    <definedName name="_15_同援日５．０">'_15_同行援護（名前定義）'!$C$13</definedName>
    <definedName name="_15_同援日５．５">'_15_同行援護（名前定義）'!$C$14</definedName>
    <definedName name="_15_同援日６．０">'_15_同行援護（名前定義）'!$C$15</definedName>
    <definedName name="_15_同援日６．５">'_15_同行援護（名前定義）'!$C$16</definedName>
    <definedName name="_15_同援日７．０">'_15_同行援護（名前定義）'!$C$17</definedName>
    <definedName name="_15_同援日７．５">'_15_同行援護（名前定義）'!$C$18</definedName>
    <definedName name="_15_同援日８．０">'_15_同行援護（名前定義）'!$C$19</definedName>
    <definedName name="_15_同援日８．５">'_15_同行援護（名前定義）'!$C$20</definedName>
    <definedName name="_15_同援日９．０">'_15_同行援護（名前定義）'!$C$21</definedName>
    <definedName name="_15_同援日９．５">'_15_同行援護（名前定義）'!$C$22</definedName>
    <definedName name="_15_同援日増０．５">'_15_同行援護（名前定義）'!$C$25</definedName>
    <definedName name="_15_同援日増１．０">'_15_同行援護（名前定義）'!$C$26</definedName>
    <definedName name="_15_同援日増１．５">'_15_同行援護（名前定義）'!$C$27</definedName>
    <definedName name="_15_同援日増１０．０">'_15_同行援護（名前定義）'!$C$44</definedName>
    <definedName name="_15_同援日増１０．５">'_15_同行援護（名前定義）'!$C$45</definedName>
    <definedName name="_15_同援日増２．０">'_15_同行援護（名前定義）'!$C$28</definedName>
    <definedName name="_15_同援日増２．５">'_15_同行援護（名前定義）'!$C$29</definedName>
    <definedName name="_15_同援日増３．０">'_15_同行援護（名前定義）'!$C$30</definedName>
    <definedName name="_15_同援日増３．５">'_15_同行援護（名前定義）'!$C$31</definedName>
    <definedName name="_15_同援日増４．０">'_15_同行援護（名前定義）'!$C$32</definedName>
    <definedName name="_15_同援日増４．５">'_15_同行援護（名前定義）'!$C$33</definedName>
    <definedName name="_15_同援日増５．０">'_15_同行援護（名前定義）'!$C$34</definedName>
    <definedName name="_15_同援日増５．５">'_15_同行援護（名前定義）'!$C$35</definedName>
    <definedName name="_15_同援日増６．０">'_15_同行援護（名前定義）'!$C$36</definedName>
    <definedName name="_15_同援日増６．５">'_15_同行援護（名前定義）'!$C$37</definedName>
    <definedName name="_15_同援日増７．０">'_15_同行援護（名前定義）'!$C$38</definedName>
    <definedName name="_15_同援日増７．５">'_15_同行援護（名前定義）'!$C$39</definedName>
    <definedName name="_15_同援日増８．０">'_15_同行援護（名前定義）'!$C$40</definedName>
    <definedName name="_15_同援日増８．５">'_15_同行援護（名前定義）'!$C$41</definedName>
    <definedName name="_15_同援日増９．０">'_15_同行援護（名前定義）'!$C$42</definedName>
    <definedName name="_15_同援日増９．５">'_15_同行援護（名前定義）'!$C$43</definedName>
    <definedName name="_15・２人">'_15_同行援護（名前定義）'!$C$83</definedName>
    <definedName name="_15・A深夜">'_15_同行援護（名前定義）'!$C$84</definedName>
    <definedName name="_15・A早朝">'_15_同行援護（名前定義）'!$C$85</definedName>
    <definedName name="_15・A夜間">'_15_同行援護（名前定義）'!$C$86</definedName>
    <definedName name="_15・B深夜">'_15_同行援護（名前定義）'!$C$87</definedName>
    <definedName name="_15・B早朝">'_15_同行援護（名前定義）'!$C$88</definedName>
    <definedName name="_15・B夜間">'_15_同行援護（名前定義）'!$C$89</definedName>
    <definedName name="_15・C深夜">'_15_同行援護（名前定義）'!$C$90</definedName>
    <definedName name="_15・C夜間">'_15_同行援護（名前定義）'!$C$91</definedName>
    <definedName name="_15・基礎２">'_15_同行援護（名前定義）'!$C$81</definedName>
    <definedName name="_15・区３">'_15_同行援護（名前定義）'!$C$93</definedName>
    <definedName name="_15・区４">'_15_同行援護（名前定義）'!$C$94</definedName>
    <definedName name="_15・通訳">'_15_同行援護（名前定義）'!$C$82</definedName>
    <definedName name="_15・盲ろう">'_15_同行援護（名前定義）'!$C$92</definedName>
    <definedName name="_xlnm._FilterDatabase" localSheetId="0" hidden="1">'_11_居宅介護（名前定義）'!$A$3:$B$382</definedName>
    <definedName name="_xlnm._FilterDatabase" localSheetId="1" hidden="1">'_15_同行援護（名前定義）'!$A$3:$B$94</definedName>
    <definedName name="_xlnm._FilterDatabase" localSheetId="56" hidden="1">'3同行援護(同行援護、2h未合成１)'!$A$6:$AF$462</definedName>
    <definedName name="_xlnm._FilterDatabase" localSheetId="57" hidden="1">'3同行援護(同行援護、2h未合成２)'!$AC$7:$AC$366</definedName>
    <definedName name="_xlnm._FilterDatabase" localSheetId="58" hidden="1">'3同行援護(同行援護、2h未合成３)'!$AH$6:$AH$515</definedName>
    <definedName name="_xlnm._FilterDatabase" localSheetId="51" hidden="1">'3同行援護(同行援護、合成深夜)'!$AE$7:$AE$366</definedName>
    <definedName name="_xlnm._FilterDatabase" localSheetId="52" hidden="1">'3同行援護(同行援護、合成早朝)'!$AC$7:$AC$366</definedName>
    <definedName name="_xlnm._FilterDatabase" localSheetId="53" hidden="1">'3同行援護(同行援護、合成日中)'!$AH$7:$AH$395</definedName>
    <definedName name="_xlnm._FilterDatabase" localSheetId="54" hidden="1">'3同行援護(同行援護、合成夜間１)'!$AE$7:$AE$366</definedName>
    <definedName name="_xlnm._FilterDatabase" localSheetId="55" hidden="1">'3同行援護(同行援護、合成夜間２)'!$AC$7:$AC$366</definedName>
    <definedName name="_xlnm._FilterDatabase" localSheetId="61" hidden="1">'3同行援護(同行援護、深夜増分)'!$Z$7:$Z$318</definedName>
    <definedName name="_xlnm._FilterDatabase" localSheetId="60" hidden="1">'3同行援護(同行援護、早朝夜間増分)'!$Z$7:$Z$347</definedName>
    <definedName name="_xlnm._FilterDatabase" localSheetId="50" hidden="1">'3同行援護(同行援護、単一深夜)'!$Z$6:$Z$318</definedName>
    <definedName name="_xlnm._FilterDatabase" localSheetId="49" hidden="1">'3同行援護(同行援護、単一早朝夜間)'!$Z$6:$Z$347</definedName>
    <definedName name="_xlnm._FilterDatabase" localSheetId="48" hidden="1">'3同行援護(同行援護、単一日中)'!$X$6:$X$510</definedName>
    <definedName name="_xlnm._FilterDatabase" localSheetId="59" hidden="1">'3同行援護(同行援護、日中増分)'!$X$7:$X$511</definedName>
    <definedName name="_xlnm._FilterDatabase" localSheetId="70" hidden="1">'3同行援護(同行援護盲ろう、2h未合成１)'!$AH$7:$AH$234</definedName>
    <definedName name="_xlnm._FilterDatabase" localSheetId="71" hidden="1">'3同行援護(同行援護盲ろう、2h未合成２)'!$AC$7:$AC$186</definedName>
    <definedName name="_xlnm._FilterDatabase" localSheetId="72" hidden="1">'3同行援護(同行援護盲ろう、2h未合成３)'!$AH$7:$AH$263</definedName>
    <definedName name="_xlnm._FilterDatabase" localSheetId="65" hidden="1">'3同行援護(同行援護盲ろう、合成深夜)'!$AE$7:$AE$186</definedName>
    <definedName name="_xlnm._FilterDatabase" localSheetId="66" hidden="1">'3同行援護(同行援護盲ろう、合成早朝)'!$AC$7:$AC$186</definedName>
    <definedName name="_xlnm._FilterDatabase" localSheetId="67" hidden="1">'3同行援護(同行援護盲ろう、合成日中)'!$AH$7:$AH$203</definedName>
    <definedName name="_xlnm._FilterDatabase" localSheetId="68" hidden="1">'3同行援護(同行援護盲ろう、合成夜間１)'!$AE$7:$AE$186</definedName>
    <definedName name="_xlnm._FilterDatabase" localSheetId="69" hidden="1">'3同行援護(同行援護盲ろう、合成夜間２)'!$AC$7:$AC$186</definedName>
    <definedName name="_xlnm._FilterDatabase" localSheetId="75" hidden="1">'3同行援護(同行援護盲ろう、深夜増分)'!$Z$6:$Z$162</definedName>
    <definedName name="_xlnm._FilterDatabase" localSheetId="74" hidden="1">'3同行援護(同行援護盲ろう、早朝夜間増分)'!$Z$7:$Z$179</definedName>
    <definedName name="_xlnm._FilterDatabase" localSheetId="64" hidden="1">'3同行援護(同行援護盲ろう、単一深夜)'!$Z$6:$Z$162</definedName>
    <definedName name="_xlnm._FilterDatabase" localSheetId="63" hidden="1">'3同行援護(同行援護盲ろう、単一早朝夜間)'!$Z$7:$Z$179</definedName>
    <definedName name="_xlnm._FilterDatabase" localSheetId="62" hidden="1">'3同行援護(同行援護盲ろう、単一日中)'!$X$7:$X$258</definedName>
    <definedName name="_xlnm._FilterDatabase" localSheetId="73" hidden="1">'3同行援護(同行援護盲ろう、日中増分)'!$X$6:$X$258</definedName>
    <definedName name="_xlnm.Print_Area" localSheetId="76">'3同行援護(単独加算)'!$A$1:$AQ$24</definedName>
    <definedName name="_xlnm.Print_Area" localSheetId="56">'3同行援護(同行援護、2h未合成１)'!$A$1:$AF$463</definedName>
    <definedName name="_xlnm.Print_Area" localSheetId="57">'3同行援護(同行援護、2h未合成２)'!$A$1:$AA$367</definedName>
    <definedName name="_xlnm.Print_Area" localSheetId="58">'3同行援護(同行援護、2h未合成３)'!$A$1:$AF$516</definedName>
    <definedName name="_xlnm.Print_Area" localSheetId="51">'3同行援護(同行援護、合成深夜)'!$A$1:$AC$367</definedName>
    <definedName name="_xlnm.Print_Area" localSheetId="52">'3同行援護(同行援護、合成早朝)'!$A$1:$AA$367</definedName>
    <definedName name="_xlnm.Print_Area" localSheetId="53">'3同行援護(同行援護、合成日中)'!$A$1:$AF$396</definedName>
    <definedName name="_xlnm.Print_Area" localSheetId="54">'3同行援護(同行援護、合成夜間１)'!$A$1:$AC$367</definedName>
    <definedName name="_xlnm.Print_Area" localSheetId="55">'3同行援護(同行援護、合成夜間２)'!$A$1:$AA$367</definedName>
    <definedName name="_xlnm.Print_Area" localSheetId="61">'3同行援護(同行援護、深夜増分)'!$A$1:$X$319</definedName>
    <definedName name="_xlnm.Print_Area" localSheetId="60">'3同行援護(同行援護、早朝夜間増分)'!$A$1:$X$348</definedName>
    <definedName name="_xlnm.Print_Area" localSheetId="50">'3同行援護(同行援護、単一深夜)'!$A$1:$X$319</definedName>
    <definedName name="_xlnm.Print_Area" localSheetId="49">'3同行援護(同行援護、単一早朝夜間)'!$A$1:$X$348</definedName>
    <definedName name="_xlnm.Print_Area" localSheetId="48">'3同行援護(同行援護、単一日中)'!$A$1:$V$511</definedName>
    <definedName name="_xlnm.Print_Area" localSheetId="59">'3同行援護(同行援護、日中増分)'!$A$1:$V$511</definedName>
    <definedName name="_xlnm.Print_Area" localSheetId="70">'3同行援護(同行援護盲ろう、2h未合成１)'!$A$1:$AF$235</definedName>
    <definedName name="_xlnm.Print_Area" localSheetId="71">'3同行援護(同行援護盲ろう、2h未合成２)'!$A$1:$AA$187</definedName>
    <definedName name="_xlnm.Print_Area" localSheetId="72">'3同行援護(同行援護盲ろう、2h未合成３)'!$A$1:$AF$264</definedName>
    <definedName name="_xlnm.Print_Area" localSheetId="65">'3同行援護(同行援護盲ろう、合成深夜)'!$A$1:$AC$187</definedName>
    <definedName name="_xlnm.Print_Area" localSheetId="66">'3同行援護(同行援護盲ろう、合成早朝)'!$A$1:$AA$187</definedName>
    <definedName name="_xlnm.Print_Area" localSheetId="67">'3同行援護(同行援護盲ろう、合成日中)'!$A$1:$AF$204</definedName>
    <definedName name="_xlnm.Print_Area" localSheetId="68">'3同行援護(同行援護盲ろう、合成夜間１)'!$A$1:$AC$187</definedName>
    <definedName name="_xlnm.Print_Area" localSheetId="69">'3同行援護(同行援護盲ろう、合成夜間２)'!$A$1:$AA$187</definedName>
    <definedName name="_xlnm.Print_Area" localSheetId="75">'3同行援護(同行援護盲ろう、深夜増分)'!$A$1:$X$163</definedName>
    <definedName name="_xlnm.Print_Area" localSheetId="74">'3同行援護(同行援護盲ろう、早朝夜間増分)'!$A$1:$X$180</definedName>
    <definedName name="_xlnm.Print_Area" localSheetId="64">'3同行援護(同行援護盲ろう、単一深夜)'!$A$1:$X$163</definedName>
    <definedName name="_xlnm.Print_Area" localSheetId="63">'3同行援護(同行援護盲ろう、単一早朝夜間)'!$A$1:$X$180</definedName>
    <definedName name="_xlnm.Print_Area" localSheetId="62">'3同行援護(同行援護盲ろう、単一日中)'!$A$1:$V$259</definedName>
    <definedName name="_xlnm.Print_Area" localSheetId="73">'3同行援護(同行援護盲ろう、日中増分)'!$A$1:$V$259</definedName>
    <definedName name="_xlnm.Print_Titles" localSheetId="76">'3同行援護(単独加算)'!$5:$6</definedName>
    <definedName name="_xlnm.Print_Titles" localSheetId="56">'3同行援護(同行援護、2h未合成１)'!$3:$6</definedName>
    <definedName name="_xlnm.Print_Titles" localSheetId="57">'3同行援護(同行援護、2h未合成２)'!$3:$6</definedName>
    <definedName name="_xlnm.Print_Titles" localSheetId="58">'3同行援護(同行援護、2h未合成３)'!$3:$6</definedName>
    <definedName name="_xlnm.Print_Titles" localSheetId="51">'3同行援護(同行援護、合成深夜)'!$3:$6</definedName>
    <definedName name="_xlnm.Print_Titles" localSheetId="52">'3同行援護(同行援護、合成早朝)'!$3:$6</definedName>
    <definedName name="_xlnm.Print_Titles" localSheetId="53">'3同行援護(同行援護、合成日中)'!$3:$6</definedName>
    <definedName name="_xlnm.Print_Titles" localSheetId="54">'3同行援護(同行援護、合成夜間１)'!$3:$6</definedName>
    <definedName name="_xlnm.Print_Titles" localSheetId="55">'3同行援護(同行援護、合成夜間２)'!$3:$6</definedName>
    <definedName name="_xlnm.Print_Titles" localSheetId="61">'3同行援護(同行援護、深夜増分)'!$3:$6</definedName>
    <definedName name="_xlnm.Print_Titles" localSheetId="60">'3同行援護(同行援護、早朝夜間増分)'!$5:$6</definedName>
    <definedName name="_xlnm.Print_Titles" localSheetId="50">'3同行援護(同行援護、単一深夜)'!$3:$6</definedName>
    <definedName name="_xlnm.Print_Titles" localSheetId="49">'3同行援護(同行援護、単一早朝夜間)'!$5:$6</definedName>
    <definedName name="_xlnm.Print_Titles" localSheetId="48">'3同行援護(同行援護、単一日中)'!$3:$6</definedName>
    <definedName name="_xlnm.Print_Titles" localSheetId="59">'3同行援護(同行援護、日中増分)'!$3:$6</definedName>
    <definedName name="_xlnm.Print_Titles" localSheetId="10">'3同行援護(同行援護1、2h未合成１)'!$3:$6</definedName>
    <definedName name="_xlnm.Print_Titles" localSheetId="11">'3同行援護(同行援護1、2h未合成２)'!$3:$6</definedName>
    <definedName name="_xlnm.Print_Titles" localSheetId="12">'3同行援護(同行援護1、2h未合成３)'!$3:$6</definedName>
    <definedName name="_xlnm.Print_Titles" localSheetId="5">'3同行援護(同行援護1、合成深夜)'!$3:$6</definedName>
    <definedName name="_xlnm.Print_Titles" localSheetId="6">'3同行援護(同行援護1、合成早朝)'!$3:$6</definedName>
    <definedName name="_xlnm.Print_Titles" localSheetId="7">'3同行援護(同行援護1、合成日中)'!$3:$6</definedName>
    <definedName name="_xlnm.Print_Titles" localSheetId="8">'3同行援護(同行援護1、合成夜間１)'!$3:$6</definedName>
    <definedName name="_xlnm.Print_Titles" localSheetId="9">'3同行援護(同行援護1、合成夜間２)'!$3:$6</definedName>
    <definedName name="_xlnm.Print_Titles" localSheetId="15">'3同行援護(同行援護1、深夜増分)'!$3:$6</definedName>
    <definedName name="_xlnm.Print_Titles" localSheetId="14">'3同行援護(同行援護1、早朝夜間増分)'!$3:$6</definedName>
    <definedName name="_xlnm.Print_Titles" localSheetId="4">'3同行援護(同行援護1、単一深夜)'!$3:$6</definedName>
    <definedName name="_xlnm.Print_Titles" localSheetId="3">'3同行援護(同行援護1、単一早朝夜間)'!$3:$6</definedName>
    <definedName name="_xlnm.Print_Titles" localSheetId="2">'3同行援護(同行援護1、単一日中)'!$3:$6</definedName>
    <definedName name="_xlnm.Print_Titles" localSheetId="13">'3同行援護(同行援護1、日中増分)'!$3:$6</definedName>
    <definedName name="_xlnm.Print_Titles" localSheetId="24">'3同行援護(同行援護1盲ろう、2h未合成１)'!$3:$6</definedName>
    <definedName name="_xlnm.Print_Titles" localSheetId="25">'3同行援護(同行援護1盲ろう、2h未合成２)'!$3:$6</definedName>
    <definedName name="_xlnm.Print_Titles" localSheetId="26">'3同行援護(同行援護1盲ろう、2h未合成３)'!$3:$6</definedName>
    <definedName name="_xlnm.Print_Titles" localSheetId="19">'3同行援護(同行援護1盲ろう、合成深夜)'!$3:$6</definedName>
    <definedName name="_xlnm.Print_Titles" localSheetId="20">'3同行援護(同行援護1盲ろう、合成早朝)'!$3:$6</definedName>
    <definedName name="_xlnm.Print_Titles" localSheetId="21">'3同行援護(同行援護1盲ろう、合成日中)'!$3:$6</definedName>
    <definedName name="_xlnm.Print_Titles" localSheetId="22">'3同行援護(同行援護1盲ろう、合成夜間１)'!$3:$6</definedName>
    <definedName name="_xlnm.Print_Titles" localSheetId="23">'3同行援護(同行援護1盲ろう、合成夜間２)'!$3:$6</definedName>
    <definedName name="_xlnm.Print_Titles" localSheetId="29">'3同行援護(同行援護1盲ろう、深夜増分)'!$3:$6</definedName>
    <definedName name="_xlnm.Print_Titles" localSheetId="28">'3同行援護(同行援護1盲ろう、早朝夜間増分)'!$3:$6</definedName>
    <definedName name="_xlnm.Print_Titles" localSheetId="18">'3同行援護(同行援護1盲ろう、単一深夜)'!$3:$6</definedName>
    <definedName name="_xlnm.Print_Titles" localSheetId="17">'3同行援護(同行援護1盲ろう、単一早朝夜間)'!$3:$6</definedName>
    <definedName name="_xlnm.Print_Titles" localSheetId="16">'3同行援護(同行援護1盲ろう、単一日中)'!$3:$6</definedName>
    <definedName name="_xlnm.Print_Titles" localSheetId="27">'3同行援護(同行援護1盲ろう、日中増分)'!$3:$6</definedName>
    <definedName name="_xlnm.Print_Titles" localSheetId="35">'3同行援護(同行援護2、2h未合成１)'!$3:$6</definedName>
    <definedName name="_xlnm.Print_Titles" localSheetId="33">'3同行援護(同行援護2、合成１)'!$3:$6</definedName>
    <definedName name="_xlnm.Print_Titles" localSheetId="34">'3同行援護(同行援護2、合成２)'!$3:$6</definedName>
    <definedName name="_xlnm.Print_Titles" localSheetId="38">'3同行援護(同行援護2、深夜増分)'!$3:$6</definedName>
    <definedName name="_xlnm.Print_Titles" localSheetId="37">'3同行援護(同行援護2、早朝夜間増分)'!$3:$6</definedName>
    <definedName name="_xlnm.Print_Titles" localSheetId="32">'3同行援護(同行援護2、単一深夜)'!$3:$6</definedName>
    <definedName name="_xlnm.Print_Titles" localSheetId="31">'3同行援護(同行援護2、単一早朝夜間)'!$5:$6</definedName>
    <definedName name="_xlnm.Print_Titles" localSheetId="30">'3同行援護(同行援護2、単一日中)'!$3:$6</definedName>
    <definedName name="_xlnm.Print_Titles" localSheetId="36">'3同行援護(同行援護2、日中増分)'!$3:$6</definedName>
    <definedName name="_xlnm.Print_Titles" localSheetId="44">'3同行援護(同行援護2盲ろう、2h未合成１)'!$3:$6</definedName>
    <definedName name="_xlnm.Print_Titles" localSheetId="42">'3同行援護(同行援護2盲ろう、合成１)'!$3:$6</definedName>
    <definedName name="_xlnm.Print_Titles" localSheetId="43">'3同行援護(同行援護2盲ろう、合成２)'!$3:$6</definedName>
    <definedName name="_xlnm.Print_Titles" localSheetId="47">'3同行援護(同行援護2盲ろう、深夜増分)'!$3:$6</definedName>
    <definedName name="_xlnm.Print_Titles" localSheetId="46">'3同行援護(同行援護2盲ろう、早朝夜間増分)'!$3:$6</definedName>
    <definedName name="_xlnm.Print_Titles" localSheetId="41">'3同行援護(同行援護2盲ろう、単一深夜)'!$3:$6</definedName>
    <definedName name="_xlnm.Print_Titles" localSheetId="40">'3同行援護(同行援護2盲ろう、単一早朝夜間)'!$3:$6</definedName>
    <definedName name="_xlnm.Print_Titles" localSheetId="39">'3同行援護(同行援護2盲ろう、単一日中)'!$3:$6</definedName>
    <definedName name="_xlnm.Print_Titles" localSheetId="45">'3同行援護(同行援護2盲ろう、日中増分)'!$3:$6</definedName>
    <definedName name="_xlnm.Print_Titles" localSheetId="70">'3同行援護(同行援護盲ろう、2h未合成１)'!$3:$6</definedName>
    <definedName name="_xlnm.Print_Titles" localSheetId="71">'3同行援護(同行援護盲ろう、2h未合成２)'!$3:$6</definedName>
    <definedName name="_xlnm.Print_Titles" localSheetId="65">'3同行援護(同行援護盲ろう、合成深夜)'!$5:$6</definedName>
    <definedName name="_xlnm.Print_Titles" localSheetId="66">'3同行援護(同行援護盲ろう、合成早朝)'!$3:$6</definedName>
    <definedName name="_xlnm.Print_Titles" localSheetId="67">'3同行援護(同行援護盲ろう、合成日中)'!$3:$6</definedName>
    <definedName name="_xlnm.Print_Titles" localSheetId="68">'3同行援護(同行援護盲ろう、合成夜間１)'!$3:$6</definedName>
    <definedName name="_xlnm.Print_Titles" localSheetId="69">'3同行援護(同行援護盲ろう、合成夜間２)'!$3:$6</definedName>
    <definedName name="_xlnm.Print_Titles" localSheetId="75">'3同行援護(同行援護盲ろう、深夜増分)'!$3:$6</definedName>
    <definedName name="_xlnm.Print_Titles" localSheetId="74">'3同行援護(同行援護盲ろう、早朝夜間増分)'!$3:$6</definedName>
    <definedName name="_xlnm.Print_Titles" localSheetId="64">'3同行援護(同行援護盲ろう、単一深夜)'!$3:$6</definedName>
    <definedName name="_xlnm.Print_Titles" localSheetId="62">'3同行援護(同行援護盲ろう、単一日中)'!$3:$6</definedName>
    <definedName name="_xlnm.Print_Titles" localSheetId="73">'3同行援護(同行援護盲ろう、日中増分)'!$3:$6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2" i="600" l="1"/>
  <c r="AP13" i="600"/>
  <c r="AP14" i="600"/>
  <c r="AP15" i="600"/>
  <c r="W7" i="599"/>
  <c r="W8" i="599"/>
  <c r="W9" i="599"/>
  <c r="W10" i="599"/>
  <c r="W11" i="599"/>
  <c r="W12" i="599"/>
  <c r="W13" i="599"/>
  <c r="W14" i="599"/>
  <c r="W15" i="599"/>
  <c r="W16" i="599"/>
  <c r="W17" i="599"/>
  <c r="W18" i="599"/>
  <c r="W19" i="599"/>
  <c r="W20" i="599"/>
  <c r="W21" i="599"/>
  <c r="W22" i="599"/>
  <c r="W23" i="599"/>
  <c r="W24" i="599"/>
  <c r="W25" i="599"/>
  <c r="W26" i="599"/>
  <c r="W27" i="599"/>
  <c r="W28" i="599"/>
  <c r="W29" i="599"/>
  <c r="W30" i="599"/>
  <c r="W31" i="599"/>
  <c r="W32" i="599"/>
  <c r="W33" i="599"/>
  <c r="W34" i="599"/>
  <c r="W35" i="599"/>
  <c r="W36" i="599"/>
  <c r="W37" i="599"/>
  <c r="W38" i="599"/>
  <c r="W39" i="599"/>
  <c r="W40" i="599"/>
  <c r="W41" i="599"/>
  <c r="W42" i="599"/>
  <c r="W43" i="599"/>
  <c r="W44" i="599"/>
  <c r="W45" i="599"/>
  <c r="W46" i="599"/>
  <c r="W47" i="599"/>
  <c r="W48" i="599"/>
  <c r="W49" i="599"/>
  <c r="W50" i="599"/>
  <c r="W51" i="599"/>
  <c r="W52" i="599"/>
  <c r="W53" i="599"/>
  <c r="W54" i="599"/>
  <c r="W55" i="599"/>
  <c r="W56" i="599"/>
  <c r="W57" i="599"/>
  <c r="W58" i="599"/>
  <c r="W59" i="599"/>
  <c r="W60" i="599"/>
  <c r="W61" i="599"/>
  <c r="W62" i="599"/>
  <c r="W63" i="599"/>
  <c r="W64" i="599"/>
  <c r="W65" i="599"/>
  <c r="W66" i="599"/>
  <c r="W67" i="599"/>
  <c r="W68" i="599"/>
  <c r="W69" i="599"/>
  <c r="W70" i="599"/>
  <c r="W71" i="599"/>
  <c r="W72" i="599"/>
  <c r="W73" i="599"/>
  <c r="W74" i="599"/>
  <c r="W75" i="599"/>
  <c r="W76" i="599"/>
  <c r="W77" i="599"/>
  <c r="W78" i="599"/>
  <c r="W79" i="599"/>
  <c r="W80" i="599"/>
  <c r="W81" i="599"/>
  <c r="W82" i="599"/>
  <c r="W83" i="599"/>
  <c r="W84" i="599"/>
  <c r="W85" i="599"/>
  <c r="W86" i="599"/>
  <c r="W87" i="599"/>
  <c r="W88" i="599"/>
  <c r="W89" i="599"/>
  <c r="W90" i="599"/>
  <c r="W91" i="599"/>
  <c r="W92" i="599"/>
  <c r="W93" i="599"/>
  <c r="W94" i="599"/>
  <c r="W95" i="599"/>
  <c r="W96" i="599"/>
  <c r="W97" i="599"/>
  <c r="W98" i="599"/>
  <c r="W99" i="599"/>
  <c r="W100" i="599"/>
  <c r="W101" i="599"/>
  <c r="W102" i="599"/>
  <c r="W103" i="599"/>
  <c r="W104" i="599"/>
  <c r="W105" i="599"/>
  <c r="W106" i="599"/>
  <c r="W107" i="599"/>
  <c r="W108" i="599"/>
  <c r="W109" i="599"/>
  <c r="W110" i="599"/>
  <c r="W111" i="599"/>
  <c r="W112" i="599"/>
  <c r="W113" i="599"/>
  <c r="W114" i="599"/>
  <c r="W115" i="599"/>
  <c r="W116" i="599"/>
  <c r="W117" i="599"/>
  <c r="W118" i="599"/>
  <c r="W119" i="599"/>
  <c r="W120" i="599"/>
  <c r="W121" i="599"/>
  <c r="W122" i="599"/>
  <c r="W123" i="599"/>
  <c r="W124" i="599"/>
  <c r="W125" i="599"/>
  <c r="W126" i="599"/>
  <c r="W127" i="599"/>
  <c r="W128" i="599"/>
  <c r="W129" i="599"/>
  <c r="W130" i="599"/>
  <c r="W131" i="599"/>
  <c r="W132" i="599"/>
  <c r="W133" i="599"/>
  <c r="W134" i="599"/>
  <c r="W135" i="599"/>
  <c r="W136" i="599"/>
  <c r="W137" i="599"/>
  <c r="W138" i="599"/>
  <c r="W139" i="599"/>
  <c r="W140" i="599"/>
  <c r="W141" i="599"/>
  <c r="W142" i="599"/>
  <c r="W143" i="599"/>
  <c r="W144" i="599"/>
  <c r="W145" i="599"/>
  <c r="W146" i="599"/>
  <c r="W147" i="599"/>
  <c r="W148" i="599"/>
  <c r="W149" i="599"/>
  <c r="W150" i="599"/>
  <c r="W151" i="599"/>
  <c r="W152" i="599"/>
  <c r="W153" i="599"/>
  <c r="W154" i="599"/>
  <c r="W155" i="599"/>
  <c r="W156" i="599"/>
  <c r="W157" i="599"/>
  <c r="W158" i="599"/>
  <c r="W159" i="599"/>
  <c r="W160" i="599"/>
  <c r="W161" i="599"/>
  <c r="W162" i="599"/>
  <c r="W7" i="598"/>
  <c r="W8" i="598"/>
  <c r="W9" i="598"/>
  <c r="W10" i="598"/>
  <c r="W11" i="598"/>
  <c r="W12" i="598"/>
  <c r="W13" i="598"/>
  <c r="W14" i="598"/>
  <c r="W15" i="598"/>
  <c r="W16" i="598"/>
  <c r="W17" i="598"/>
  <c r="W18" i="598"/>
  <c r="W19" i="598"/>
  <c r="W20" i="598"/>
  <c r="W21" i="598"/>
  <c r="W22" i="598"/>
  <c r="W23" i="598"/>
  <c r="W24" i="598"/>
  <c r="W25" i="598"/>
  <c r="W26" i="598"/>
  <c r="W27" i="598"/>
  <c r="W28" i="598"/>
  <c r="W29" i="598"/>
  <c r="W30" i="598"/>
  <c r="W31" i="598"/>
  <c r="W32" i="598"/>
  <c r="W33" i="598"/>
  <c r="W34" i="598"/>
  <c r="W35" i="598"/>
  <c r="W36" i="598"/>
  <c r="W37" i="598"/>
  <c r="W38" i="598"/>
  <c r="W39" i="598"/>
  <c r="W40" i="598"/>
  <c r="W41" i="598"/>
  <c r="W42" i="598"/>
  <c r="W43" i="598"/>
  <c r="W44" i="598"/>
  <c r="W45" i="598"/>
  <c r="W46" i="598"/>
  <c r="W47" i="598"/>
  <c r="W48" i="598"/>
  <c r="W49" i="598"/>
  <c r="W50" i="598"/>
  <c r="W51" i="598"/>
  <c r="W52" i="598"/>
  <c r="W53" i="598"/>
  <c r="W54" i="598"/>
  <c r="W55" i="598"/>
  <c r="W56" i="598"/>
  <c r="W57" i="598"/>
  <c r="W58" i="598"/>
  <c r="W59" i="598"/>
  <c r="W60" i="598"/>
  <c r="W61" i="598"/>
  <c r="W62" i="598"/>
  <c r="W63" i="598"/>
  <c r="W64" i="598"/>
  <c r="W65" i="598"/>
  <c r="W66" i="598"/>
  <c r="W72" i="598"/>
  <c r="W73" i="598"/>
  <c r="W74" i="598"/>
  <c r="W75" i="598"/>
  <c r="W76" i="598"/>
  <c r="W77" i="598"/>
  <c r="W78" i="598"/>
  <c r="W79" i="598"/>
  <c r="W80" i="598"/>
  <c r="W81" i="598"/>
  <c r="W82" i="598"/>
  <c r="W83" i="598"/>
  <c r="W84" i="598"/>
  <c r="W85" i="598"/>
  <c r="W86" i="598"/>
  <c r="W87" i="598"/>
  <c r="W88" i="598"/>
  <c r="W89" i="598"/>
  <c r="W90" i="598"/>
  <c r="W91" i="598"/>
  <c r="W92" i="598"/>
  <c r="W93" i="598"/>
  <c r="W94" i="598"/>
  <c r="W95" i="598"/>
  <c r="W96" i="598"/>
  <c r="W97" i="598"/>
  <c r="W98" i="598"/>
  <c r="W99" i="598"/>
  <c r="W100" i="598"/>
  <c r="W101" i="598"/>
  <c r="W102" i="598"/>
  <c r="W103" i="598"/>
  <c r="W104" i="598"/>
  <c r="W105" i="598"/>
  <c r="W106" i="598"/>
  <c r="W107" i="598"/>
  <c r="W108" i="598"/>
  <c r="W109" i="598"/>
  <c r="W110" i="598"/>
  <c r="W111" i="598"/>
  <c r="W112" i="598"/>
  <c r="W113" i="598"/>
  <c r="W114" i="598"/>
  <c r="W115" i="598"/>
  <c r="W116" i="598"/>
  <c r="W117" i="598"/>
  <c r="W118" i="598"/>
  <c r="W119" i="598"/>
  <c r="W120" i="598"/>
  <c r="W121" i="598"/>
  <c r="W122" i="598"/>
  <c r="W123" i="598"/>
  <c r="W124" i="598"/>
  <c r="W125" i="598"/>
  <c r="W126" i="598"/>
  <c r="W127" i="598"/>
  <c r="W128" i="598"/>
  <c r="W129" i="598"/>
  <c r="W130" i="598"/>
  <c r="W131" i="598"/>
  <c r="W132" i="598"/>
  <c r="W133" i="598"/>
  <c r="W134" i="598"/>
  <c r="W135" i="598"/>
  <c r="W136" i="598"/>
  <c r="W137" i="598"/>
  <c r="W138" i="598"/>
  <c r="W139" i="598"/>
  <c r="W140" i="598"/>
  <c r="W141" i="598"/>
  <c r="W142" i="598"/>
  <c r="W143" i="598"/>
  <c r="W144" i="598"/>
  <c r="W145" i="598"/>
  <c r="W146" i="598"/>
  <c r="W147" i="598"/>
  <c r="W148" i="598"/>
  <c r="W149" i="598"/>
  <c r="W150" i="598"/>
  <c r="W151" i="598"/>
  <c r="W152" i="598"/>
  <c r="W153" i="598"/>
  <c r="W154" i="598"/>
  <c r="W155" i="598"/>
  <c r="W156" i="598"/>
  <c r="W157" i="598"/>
  <c r="W158" i="598"/>
  <c r="W159" i="598"/>
  <c r="W160" i="598"/>
  <c r="W161" i="598"/>
  <c r="W162" i="598"/>
  <c r="W163" i="598"/>
  <c r="W164" i="598"/>
  <c r="W165" i="598"/>
  <c r="W166" i="598"/>
  <c r="W167" i="598"/>
  <c r="W168" i="598"/>
  <c r="W169" i="598"/>
  <c r="W170" i="598"/>
  <c r="W171" i="598"/>
  <c r="W172" i="598"/>
  <c r="W173" i="598"/>
  <c r="W174" i="598"/>
  <c r="W175" i="598"/>
  <c r="W176" i="598"/>
  <c r="W177" i="598"/>
  <c r="W178" i="598"/>
  <c r="W179" i="598"/>
  <c r="U7" i="597"/>
  <c r="U8" i="597"/>
  <c r="U9" i="597"/>
  <c r="U10" i="597"/>
  <c r="U11" i="597"/>
  <c r="U12" i="597"/>
  <c r="U13" i="597"/>
  <c r="U14" i="597"/>
  <c r="U15" i="597"/>
  <c r="U16" i="597"/>
  <c r="U17" i="597"/>
  <c r="U18" i="597"/>
  <c r="U19" i="597"/>
  <c r="U20" i="597"/>
  <c r="U21" i="597"/>
  <c r="U22" i="597"/>
  <c r="U23" i="597"/>
  <c r="U24" i="597"/>
  <c r="U25" i="597"/>
  <c r="U26" i="597"/>
  <c r="U27" i="597"/>
  <c r="U28" i="597"/>
  <c r="U29" i="597"/>
  <c r="U30" i="597"/>
  <c r="U31" i="597"/>
  <c r="U32" i="597"/>
  <c r="U33" i="597"/>
  <c r="U34" i="597"/>
  <c r="U35" i="597"/>
  <c r="U36" i="597"/>
  <c r="U37" i="597"/>
  <c r="U38" i="597"/>
  <c r="U39" i="597"/>
  <c r="U40" i="597"/>
  <c r="U41" i="597"/>
  <c r="U42" i="597"/>
  <c r="U43" i="597"/>
  <c r="U44" i="597"/>
  <c r="U45" i="597"/>
  <c r="U46" i="597"/>
  <c r="U47" i="597"/>
  <c r="U48" i="597"/>
  <c r="U49" i="597"/>
  <c r="U50" i="597"/>
  <c r="U51" i="597"/>
  <c r="U52" i="597"/>
  <c r="U53" i="597"/>
  <c r="U54" i="597"/>
  <c r="U55" i="597"/>
  <c r="U56" i="597"/>
  <c r="U57" i="597"/>
  <c r="U58" i="597"/>
  <c r="U59" i="597"/>
  <c r="U60" i="597"/>
  <c r="U61" i="597"/>
  <c r="U62" i="597"/>
  <c r="U63" i="597"/>
  <c r="U64" i="597"/>
  <c r="U65" i="597"/>
  <c r="U66" i="597"/>
  <c r="U67" i="597"/>
  <c r="U68" i="597"/>
  <c r="U69" i="597"/>
  <c r="U70" i="597"/>
  <c r="U71" i="597"/>
  <c r="U72" i="597"/>
  <c r="U73" i="597"/>
  <c r="U74" i="597"/>
  <c r="U75" i="597"/>
  <c r="U76" i="597"/>
  <c r="U77" i="597"/>
  <c r="U78" i="597"/>
  <c r="U79" i="597"/>
  <c r="U80" i="597"/>
  <c r="U81" i="597"/>
  <c r="U82" i="597"/>
  <c r="U83" i="597"/>
  <c r="U84" i="597"/>
  <c r="U85" i="597"/>
  <c r="U86" i="597"/>
  <c r="U87" i="597"/>
  <c r="U88" i="597"/>
  <c r="U89" i="597"/>
  <c r="U90" i="597"/>
  <c r="U91" i="597"/>
  <c r="U92" i="597"/>
  <c r="U93" i="597"/>
  <c r="U94" i="597"/>
  <c r="U95" i="597"/>
  <c r="U96" i="597"/>
  <c r="U97" i="597"/>
  <c r="U98" i="597"/>
  <c r="U99" i="597"/>
  <c r="U100" i="597"/>
  <c r="U101" i="597"/>
  <c r="U102" i="597"/>
  <c r="U103" i="597"/>
  <c r="U104" i="597"/>
  <c r="U105" i="597"/>
  <c r="U106" i="597"/>
  <c r="U107" i="597"/>
  <c r="U108" i="597"/>
  <c r="U109" i="597"/>
  <c r="U110" i="597"/>
  <c r="U111" i="597"/>
  <c r="U112" i="597"/>
  <c r="U113" i="597"/>
  <c r="U114" i="597"/>
  <c r="U115" i="597"/>
  <c r="U116" i="597"/>
  <c r="U117" i="597"/>
  <c r="U118" i="597"/>
  <c r="U119" i="597"/>
  <c r="U120" i="597"/>
  <c r="U121" i="597"/>
  <c r="U122" i="597"/>
  <c r="U123" i="597"/>
  <c r="U124" i="597"/>
  <c r="U125" i="597"/>
  <c r="U126" i="597"/>
  <c r="U127" i="597"/>
  <c r="U128" i="597"/>
  <c r="U129" i="597"/>
  <c r="U130" i="597"/>
  <c r="U131" i="597"/>
  <c r="U132" i="597"/>
  <c r="U133" i="597"/>
  <c r="U134" i="597"/>
  <c r="U135" i="597"/>
  <c r="U136" i="597"/>
  <c r="U137" i="597"/>
  <c r="U138" i="597"/>
  <c r="U139" i="597"/>
  <c r="U140" i="597"/>
  <c r="U141" i="597"/>
  <c r="U142" i="597"/>
  <c r="U143" i="597"/>
  <c r="U144" i="597"/>
  <c r="U145" i="597"/>
  <c r="U146" i="597"/>
  <c r="U147" i="597"/>
  <c r="U148" i="597"/>
  <c r="U149" i="597"/>
  <c r="U150" i="597"/>
  <c r="U151" i="597"/>
  <c r="U152" i="597"/>
  <c r="U153" i="597"/>
  <c r="U154" i="597"/>
  <c r="U155" i="597"/>
  <c r="U156" i="597"/>
  <c r="U157" i="597"/>
  <c r="U158" i="597"/>
  <c r="U159" i="597"/>
  <c r="U160" i="597"/>
  <c r="U161" i="597"/>
  <c r="U162" i="597"/>
  <c r="U163" i="597"/>
  <c r="U164" i="597"/>
  <c r="U165" i="597"/>
  <c r="U166" i="597"/>
  <c r="U167" i="597"/>
  <c r="U168" i="597"/>
  <c r="U169" i="597"/>
  <c r="U170" i="597"/>
  <c r="U171" i="597"/>
  <c r="U172" i="597"/>
  <c r="U173" i="597"/>
  <c r="U174" i="597"/>
  <c r="U175" i="597"/>
  <c r="U176" i="597"/>
  <c r="U177" i="597"/>
  <c r="U178" i="597"/>
  <c r="U179" i="597"/>
  <c r="U180" i="597"/>
  <c r="U181" i="597"/>
  <c r="U182" i="597"/>
  <c r="U183" i="597"/>
  <c r="U184" i="597"/>
  <c r="U185" i="597"/>
  <c r="U186" i="597"/>
  <c r="U187" i="597"/>
  <c r="U188" i="597"/>
  <c r="U189" i="597"/>
  <c r="U190" i="597"/>
  <c r="U191" i="597"/>
  <c r="U192" i="597"/>
  <c r="U193" i="597"/>
  <c r="U194" i="597"/>
  <c r="U195" i="597"/>
  <c r="U196" i="597"/>
  <c r="U197" i="597"/>
  <c r="U198" i="597"/>
  <c r="U199" i="597"/>
  <c r="U200" i="597"/>
  <c r="U201" i="597"/>
  <c r="U202" i="597"/>
  <c r="U203" i="597"/>
  <c r="U204" i="597"/>
  <c r="U205" i="597"/>
  <c r="U206" i="597"/>
  <c r="U207" i="597"/>
  <c r="U208" i="597"/>
  <c r="U209" i="597"/>
  <c r="U210" i="597"/>
  <c r="U211" i="597"/>
  <c r="U212" i="597"/>
  <c r="U213" i="597"/>
  <c r="U214" i="597"/>
  <c r="U215" i="597"/>
  <c r="U216" i="597"/>
  <c r="U217" i="597"/>
  <c r="U218" i="597"/>
  <c r="U219" i="597"/>
  <c r="U220" i="597"/>
  <c r="U221" i="597"/>
  <c r="U222" i="597"/>
  <c r="U223" i="597"/>
  <c r="U224" i="597"/>
  <c r="U225" i="597"/>
  <c r="U226" i="597"/>
  <c r="U227" i="597"/>
  <c r="U228" i="597"/>
  <c r="U229" i="597"/>
  <c r="U230" i="597"/>
  <c r="U231" i="597"/>
  <c r="U232" i="597"/>
  <c r="U233" i="597"/>
  <c r="U234" i="597"/>
  <c r="U235" i="597"/>
  <c r="U236" i="597"/>
  <c r="U237" i="597"/>
  <c r="U238" i="597"/>
  <c r="U239" i="597"/>
  <c r="U240" i="597"/>
  <c r="U241" i="597"/>
  <c r="U242" i="597"/>
  <c r="U243" i="597"/>
  <c r="U244" i="597"/>
  <c r="U245" i="597"/>
  <c r="U246" i="597"/>
  <c r="U247" i="597"/>
  <c r="U248" i="597"/>
  <c r="U249" i="597"/>
  <c r="U250" i="597"/>
  <c r="U251" i="597"/>
  <c r="U252" i="597"/>
  <c r="U253" i="597"/>
  <c r="U254" i="597"/>
  <c r="U255" i="597"/>
  <c r="U256" i="597"/>
  <c r="U257" i="597"/>
  <c r="U258" i="597"/>
  <c r="AE7" i="596"/>
  <c r="AE8" i="596"/>
  <c r="AE9" i="596"/>
  <c r="AE10" i="596"/>
  <c r="AE11" i="596"/>
  <c r="AE12" i="596"/>
  <c r="AE13" i="596"/>
  <c r="AE14" i="596"/>
  <c r="AE15" i="596"/>
  <c r="AE16" i="596"/>
  <c r="AE17" i="596"/>
  <c r="AE18" i="596"/>
  <c r="AE19" i="596"/>
  <c r="AE20" i="596"/>
  <c r="AE21" i="596"/>
  <c r="AE22" i="596"/>
  <c r="AE23" i="596"/>
  <c r="AE24" i="596"/>
  <c r="AE25" i="596"/>
  <c r="AE26" i="596"/>
  <c r="AE27" i="596"/>
  <c r="AE28" i="596"/>
  <c r="AE29" i="596"/>
  <c r="AE30" i="596"/>
  <c r="AE31" i="596"/>
  <c r="AE32" i="596"/>
  <c r="AE33" i="596"/>
  <c r="AE34" i="596"/>
  <c r="AE35" i="596"/>
  <c r="AE36" i="596"/>
  <c r="AE37" i="596"/>
  <c r="AE38" i="596"/>
  <c r="AE39" i="596"/>
  <c r="AE40" i="596"/>
  <c r="AE41" i="596"/>
  <c r="AE42" i="596"/>
  <c r="AE43" i="596"/>
  <c r="AE44" i="596"/>
  <c r="AE45" i="596"/>
  <c r="AE46" i="596"/>
  <c r="AE47" i="596"/>
  <c r="AE48" i="596"/>
  <c r="AE49" i="596"/>
  <c r="AE50" i="596"/>
  <c r="AE51" i="596"/>
  <c r="AE52" i="596"/>
  <c r="AE53" i="596"/>
  <c r="AE54" i="596"/>
  <c r="AE55" i="596"/>
  <c r="AE56" i="596"/>
  <c r="AE57" i="596"/>
  <c r="AE58" i="596"/>
  <c r="AE59" i="596"/>
  <c r="AE60" i="596"/>
  <c r="AE61" i="596"/>
  <c r="AE62" i="596"/>
  <c r="AE63" i="596"/>
  <c r="AE64" i="596"/>
  <c r="AE65" i="596"/>
  <c r="AE66" i="596"/>
  <c r="AE67" i="596"/>
  <c r="AE68" i="596"/>
  <c r="AE69" i="596"/>
  <c r="AE70" i="596"/>
  <c r="AE71" i="596"/>
  <c r="AE72" i="596"/>
  <c r="AE73" i="596"/>
  <c r="AE74" i="596"/>
  <c r="AE75" i="596"/>
  <c r="AE76" i="596"/>
  <c r="AE77" i="596"/>
  <c r="AE78" i="596"/>
  <c r="AE79" i="596"/>
  <c r="AE80" i="596"/>
  <c r="AE81" i="596"/>
  <c r="AE82" i="596"/>
  <c r="AE83" i="596"/>
  <c r="AE84" i="596"/>
  <c r="AE85" i="596"/>
  <c r="AE86" i="596"/>
  <c r="AE87" i="596"/>
  <c r="AE88" i="596"/>
  <c r="AE89" i="596"/>
  <c r="AE90" i="596"/>
  <c r="AE91" i="596"/>
  <c r="AE92" i="596"/>
  <c r="AE93" i="596"/>
  <c r="AE94" i="596"/>
  <c r="AE95" i="596"/>
  <c r="AE96" i="596"/>
  <c r="AE97" i="596"/>
  <c r="AE98" i="596"/>
  <c r="AE99" i="596"/>
  <c r="AE100" i="596"/>
  <c r="AE101" i="596"/>
  <c r="AE102" i="596"/>
  <c r="AE103" i="596"/>
  <c r="AE104" i="596"/>
  <c r="AE105" i="596"/>
  <c r="AE106" i="596"/>
  <c r="AE107" i="596"/>
  <c r="AE108" i="596"/>
  <c r="AE109" i="596"/>
  <c r="AE110" i="596"/>
  <c r="AE111" i="596"/>
  <c r="AE112" i="596"/>
  <c r="AE113" i="596"/>
  <c r="AE114" i="596"/>
  <c r="AE115" i="596"/>
  <c r="AE116" i="596"/>
  <c r="AE117" i="596"/>
  <c r="AE118" i="596"/>
  <c r="AE119" i="596"/>
  <c r="AE120" i="596"/>
  <c r="AE121" i="596"/>
  <c r="AE122" i="596"/>
  <c r="AE123" i="596"/>
  <c r="AE124" i="596"/>
  <c r="AE125" i="596"/>
  <c r="AE126" i="596"/>
  <c r="AE127" i="596"/>
  <c r="AE128" i="596"/>
  <c r="AE129" i="596"/>
  <c r="AE130" i="596"/>
  <c r="AE131" i="596"/>
  <c r="AE132" i="596"/>
  <c r="AE133" i="596"/>
  <c r="AE134" i="596"/>
  <c r="AE135" i="596"/>
  <c r="AE136" i="596"/>
  <c r="AE137" i="596"/>
  <c r="AE138" i="596"/>
  <c r="AE139" i="596"/>
  <c r="AE140" i="596"/>
  <c r="AE141" i="596"/>
  <c r="AE142" i="596"/>
  <c r="AE143" i="596"/>
  <c r="AE144" i="596"/>
  <c r="AE145" i="596"/>
  <c r="AE146" i="596"/>
  <c r="AE147" i="596"/>
  <c r="AE148" i="596"/>
  <c r="AE149" i="596"/>
  <c r="AE150" i="596"/>
  <c r="AE151" i="596"/>
  <c r="AE152" i="596"/>
  <c r="AE153" i="596"/>
  <c r="AE154" i="596"/>
  <c r="AE155" i="596"/>
  <c r="AE156" i="596"/>
  <c r="AE157" i="596"/>
  <c r="AE158" i="596"/>
  <c r="AE159" i="596"/>
  <c r="AE160" i="596"/>
  <c r="AE161" i="596"/>
  <c r="AE162" i="596"/>
  <c r="AE163" i="596"/>
  <c r="AE164" i="596"/>
  <c r="AE165" i="596"/>
  <c r="AE166" i="596"/>
  <c r="AE167" i="596"/>
  <c r="AE168" i="596"/>
  <c r="AE169" i="596"/>
  <c r="AE170" i="596"/>
  <c r="AE171" i="596"/>
  <c r="AE172" i="596"/>
  <c r="AE173" i="596"/>
  <c r="AE174" i="596"/>
  <c r="AE175" i="596"/>
  <c r="AE176" i="596"/>
  <c r="AE177" i="596"/>
  <c r="AE178" i="596"/>
  <c r="AE179" i="596"/>
  <c r="AE180" i="596"/>
  <c r="AE181" i="596"/>
  <c r="AE182" i="596"/>
  <c r="AE183" i="596"/>
  <c r="AE184" i="596"/>
  <c r="AE185" i="596"/>
  <c r="AE186" i="596"/>
  <c r="AE187" i="596"/>
  <c r="AE188" i="596"/>
  <c r="AE189" i="596"/>
  <c r="AE190" i="596"/>
  <c r="AE191" i="596"/>
  <c r="AE192" i="596"/>
  <c r="AE193" i="596"/>
  <c r="AE194" i="596"/>
  <c r="AE195" i="596"/>
  <c r="AE196" i="596"/>
  <c r="AE197" i="596"/>
  <c r="AE198" i="596"/>
  <c r="AE199" i="596"/>
  <c r="AE200" i="596"/>
  <c r="AE201" i="596"/>
  <c r="AE202" i="596"/>
  <c r="AE203" i="596"/>
  <c r="AE204" i="596"/>
  <c r="AE205" i="596"/>
  <c r="AE206" i="596"/>
  <c r="AE207" i="596"/>
  <c r="AE208" i="596"/>
  <c r="AE209" i="596"/>
  <c r="AE210" i="596"/>
  <c r="AE211" i="596"/>
  <c r="AE212" i="596"/>
  <c r="AE213" i="596"/>
  <c r="AE214" i="596"/>
  <c r="AE215" i="596"/>
  <c r="AE216" i="596"/>
  <c r="AE217" i="596"/>
  <c r="AE218" i="596"/>
  <c r="AE219" i="596"/>
  <c r="AE220" i="596"/>
  <c r="AE221" i="596"/>
  <c r="AE222" i="596"/>
  <c r="AE223" i="596"/>
  <c r="AE224" i="596"/>
  <c r="AE225" i="596"/>
  <c r="AE226" i="596"/>
  <c r="AE227" i="596"/>
  <c r="AE228" i="596"/>
  <c r="AE229" i="596"/>
  <c r="AE230" i="596"/>
  <c r="AE231" i="596"/>
  <c r="AE232" i="596"/>
  <c r="AE233" i="596"/>
  <c r="AE234" i="596"/>
  <c r="AE235" i="596"/>
  <c r="AE236" i="596"/>
  <c r="AE237" i="596"/>
  <c r="AE238" i="596"/>
  <c r="AE239" i="596"/>
  <c r="AE240" i="596"/>
  <c r="AE241" i="596"/>
  <c r="AE242" i="596"/>
  <c r="AE243" i="596"/>
  <c r="AE244" i="596"/>
  <c r="AE245" i="596"/>
  <c r="AE246" i="596"/>
  <c r="AE252" i="596"/>
  <c r="AE253" i="596"/>
  <c r="AE254" i="596"/>
  <c r="AE255" i="596"/>
  <c r="AE256" i="596"/>
  <c r="AE257" i="596"/>
  <c r="AE258" i="596"/>
  <c r="AE259" i="596"/>
  <c r="AE260" i="596"/>
  <c r="AE261" i="596"/>
  <c r="AE262" i="596"/>
  <c r="AE263" i="596"/>
  <c r="Z7" i="595"/>
  <c r="Z8" i="595"/>
  <c r="Z9" i="595"/>
  <c r="Z10" i="595"/>
  <c r="Z11" i="595"/>
  <c r="Z12" i="595"/>
  <c r="Z13" i="595"/>
  <c r="Z14" i="595"/>
  <c r="Z15" i="595"/>
  <c r="Z16" i="595"/>
  <c r="Z17" i="595"/>
  <c r="Z18" i="595"/>
  <c r="Z19" i="595"/>
  <c r="Z20" i="595"/>
  <c r="Z21" i="595"/>
  <c r="Z22" i="595"/>
  <c r="Z23" i="595"/>
  <c r="Z24" i="595"/>
  <c r="Z25" i="595"/>
  <c r="Z26" i="595"/>
  <c r="Z27" i="595"/>
  <c r="Z28" i="595"/>
  <c r="Z29" i="595"/>
  <c r="Z30" i="595"/>
  <c r="Z31" i="595"/>
  <c r="Z32" i="595"/>
  <c r="Z33" i="595"/>
  <c r="Z34" i="595"/>
  <c r="Z35" i="595"/>
  <c r="Z36" i="595"/>
  <c r="Z37" i="595"/>
  <c r="Z38" i="595"/>
  <c r="Z39" i="595"/>
  <c r="Z40" i="595"/>
  <c r="Z41" i="595"/>
  <c r="Z42" i="595"/>
  <c r="Z43" i="595"/>
  <c r="Z44" i="595"/>
  <c r="Z45" i="595"/>
  <c r="Z46" i="595"/>
  <c r="Z47" i="595"/>
  <c r="Z48" i="595"/>
  <c r="Z49" i="595"/>
  <c r="Z50" i="595"/>
  <c r="Z51" i="595"/>
  <c r="Z52" i="595"/>
  <c r="Z53" i="595"/>
  <c r="Z54" i="595"/>
  <c r="Z55" i="595"/>
  <c r="Z56" i="595"/>
  <c r="Z57" i="595"/>
  <c r="Z58" i="595"/>
  <c r="Z59" i="595"/>
  <c r="Z60" i="595"/>
  <c r="Z61" i="595"/>
  <c r="Z62" i="595"/>
  <c r="Z63" i="595"/>
  <c r="Z64" i="595"/>
  <c r="Z65" i="595"/>
  <c r="Z66" i="595"/>
  <c r="Z67" i="595"/>
  <c r="Z68" i="595"/>
  <c r="Z69" i="595"/>
  <c r="Z70" i="595"/>
  <c r="Z71" i="595"/>
  <c r="Z72" i="595"/>
  <c r="Z73" i="595"/>
  <c r="Z74" i="595"/>
  <c r="Z75" i="595"/>
  <c r="Z76" i="595"/>
  <c r="Z77" i="595"/>
  <c r="Z78" i="595"/>
  <c r="Z79" i="595"/>
  <c r="Z80" i="595"/>
  <c r="Z81" i="595"/>
  <c r="Z82" i="595"/>
  <c r="Z83" i="595"/>
  <c r="Z84" i="595"/>
  <c r="Z85" i="595"/>
  <c r="Z86" i="595"/>
  <c r="Z87" i="595"/>
  <c r="Z88" i="595"/>
  <c r="Z89" i="595"/>
  <c r="Z90" i="595"/>
  <c r="Z91" i="595"/>
  <c r="Z92" i="595"/>
  <c r="Z93" i="595"/>
  <c r="Z94" i="595"/>
  <c r="Z95" i="595"/>
  <c r="Z96" i="595"/>
  <c r="Z97" i="595"/>
  <c r="Z98" i="595"/>
  <c r="Z99" i="595"/>
  <c r="Z100" i="595"/>
  <c r="Z101" i="595"/>
  <c r="Z102" i="595"/>
  <c r="Z103" i="595"/>
  <c r="Z104" i="595"/>
  <c r="Z105" i="595"/>
  <c r="Z106" i="595"/>
  <c r="Z107" i="595"/>
  <c r="Z108" i="595"/>
  <c r="Z109" i="595"/>
  <c r="Z110" i="595"/>
  <c r="Z111" i="595"/>
  <c r="Z112" i="595"/>
  <c r="Z113" i="595"/>
  <c r="Z114" i="595"/>
  <c r="Z115" i="595"/>
  <c r="Z116" i="595"/>
  <c r="Z117" i="595"/>
  <c r="Z118" i="595"/>
  <c r="Z119" i="595"/>
  <c r="Z120" i="595"/>
  <c r="Z121" i="595"/>
  <c r="Z122" i="595"/>
  <c r="Z123" i="595"/>
  <c r="Z124" i="595"/>
  <c r="Z125" i="595"/>
  <c r="Z126" i="595"/>
  <c r="Z127" i="595"/>
  <c r="Z128" i="595"/>
  <c r="Z129" i="595"/>
  <c r="Z130" i="595"/>
  <c r="Z131" i="595"/>
  <c r="Z132" i="595"/>
  <c r="Z133" i="595"/>
  <c r="Z134" i="595"/>
  <c r="Z135" i="595"/>
  <c r="Z136" i="595"/>
  <c r="Z137" i="595"/>
  <c r="Z138" i="595"/>
  <c r="Z139" i="595"/>
  <c r="Z140" i="595"/>
  <c r="Z141" i="595"/>
  <c r="Z142" i="595"/>
  <c r="Z143" i="595"/>
  <c r="Z144" i="595"/>
  <c r="Z145" i="595"/>
  <c r="Z146" i="595"/>
  <c r="Z147" i="595"/>
  <c r="Z148" i="595"/>
  <c r="Z149" i="595"/>
  <c r="Z150" i="595"/>
  <c r="Z151" i="595"/>
  <c r="Z152" i="595"/>
  <c r="Z153" i="595"/>
  <c r="Z154" i="595"/>
  <c r="Z155" i="595"/>
  <c r="Z156" i="595"/>
  <c r="Z157" i="595"/>
  <c r="Z158" i="595"/>
  <c r="Z159" i="595"/>
  <c r="Z160" i="595"/>
  <c r="Z161" i="595"/>
  <c r="Z162" i="595"/>
  <c r="Z163" i="595"/>
  <c r="Z164" i="595"/>
  <c r="Z165" i="595"/>
  <c r="Z166" i="595"/>
  <c r="Z167" i="595"/>
  <c r="Z168" i="595"/>
  <c r="Z169" i="595"/>
  <c r="Z170" i="595"/>
  <c r="Z171" i="595"/>
  <c r="Z172" i="595"/>
  <c r="Z173" i="595"/>
  <c r="Z174" i="595"/>
  <c r="Z175" i="595"/>
  <c r="Z176" i="595"/>
  <c r="Z177" i="595"/>
  <c r="Z178" i="595"/>
  <c r="Z179" i="595"/>
  <c r="Z180" i="595"/>
  <c r="Z181" i="595"/>
  <c r="Z182" i="595"/>
  <c r="Z183" i="595"/>
  <c r="Z184" i="595"/>
  <c r="Z185" i="595"/>
  <c r="Z186" i="595"/>
  <c r="AE7" i="594"/>
  <c r="AE8" i="594"/>
  <c r="AE9" i="594"/>
  <c r="AE10" i="594"/>
  <c r="AE11" i="594"/>
  <c r="AE12" i="594"/>
  <c r="AE13" i="594"/>
  <c r="AE14" i="594"/>
  <c r="AE15" i="594"/>
  <c r="AE16" i="594"/>
  <c r="AE17" i="594"/>
  <c r="AE18" i="594"/>
  <c r="AE19" i="594"/>
  <c r="AE20" i="594"/>
  <c r="AE21" i="594"/>
  <c r="AE22" i="594"/>
  <c r="AE23" i="594"/>
  <c r="AE24" i="594"/>
  <c r="AE25" i="594"/>
  <c r="AE26" i="594"/>
  <c r="AE27" i="594"/>
  <c r="AE28" i="594"/>
  <c r="AE29" i="594"/>
  <c r="AE30" i="594"/>
  <c r="AE31" i="594"/>
  <c r="AE32" i="594"/>
  <c r="AE33" i="594"/>
  <c r="AE34" i="594"/>
  <c r="AE35" i="594"/>
  <c r="AE36" i="594"/>
  <c r="AE37" i="594"/>
  <c r="AE38" i="594"/>
  <c r="AE39" i="594"/>
  <c r="AE40" i="594"/>
  <c r="AE41" i="594"/>
  <c r="AE42" i="594"/>
  <c r="AE43" i="594"/>
  <c r="AE44" i="594"/>
  <c r="AE45" i="594"/>
  <c r="AE46" i="594"/>
  <c r="AE47" i="594"/>
  <c r="AE48" i="594"/>
  <c r="AE49" i="594"/>
  <c r="AE50" i="594"/>
  <c r="AE51" i="594"/>
  <c r="AE52" i="594"/>
  <c r="AE53" i="594"/>
  <c r="AE54" i="594"/>
  <c r="AE55" i="594"/>
  <c r="AE56" i="594"/>
  <c r="AE57" i="594"/>
  <c r="AE58" i="594"/>
  <c r="AE59" i="594"/>
  <c r="AE60" i="594"/>
  <c r="AE61" i="594"/>
  <c r="AE62" i="594"/>
  <c r="AE63" i="594"/>
  <c r="AE64" i="594"/>
  <c r="AE65" i="594"/>
  <c r="AE66" i="594"/>
  <c r="AE67" i="594"/>
  <c r="AE68" i="594"/>
  <c r="AE69" i="594"/>
  <c r="AE70" i="594"/>
  <c r="AE71" i="594"/>
  <c r="AE72" i="594"/>
  <c r="AE73" i="594"/>
  <c r="AE74" i="594"/>
  <c r="AE75" i="594"/>
  <c r="AE76" i="594"/>
  <c r="AE77" i="594"/>
  <c r="AE78" i="594"/>
  <c r="AE79" i="594"/>
  <c r="AE80" i="594"/>
  <c r="AE81" i="594"/>
  <c r="AE82" i="594"/>
  <c r="AE83" i="594"/>
  <c r="AE84" i="594"/>
  <c r="AE85" i="594"/>
  <c r="AE86" i="594"/>
  <c r="AE87" i="594"/>
  <c r="AE88" i="594"/>
  <c r="AE89" i="594"/>
  <c r="AE90" i="594"/>
  <c r="AE91" i="594"/>
  <c r="AE92" i="594"/>
  <c r="AE93" i="594"/>
  <c r="AE94" i="594"/>
  <c r="AE95" i="594"/>
  <c r="AE96" i="594"/>
  <c r="AE97" i="594"/>
  <c r="AE98" i="594"/>
  <c r="AE99" i="594"/>
  <c r="AE100" i="594"/>
  <c r="AE101" i="594"/>
  <c r="AE102" i="594"/>
  <c r="AE103" i="594"/>
  <c r="AE104" i="594"/>
  <c r="AE105" i="594"/>
  <c r="AE106" i="594"/>
  <c r="AE107" i="594"/>
  <c r="AE108" i="594"/>
  <c r="AE109" i="594"/>
  <c r="AE110" i="594"/>
  <c r="AE111" i="594"/>
  <c r="AE112" i="594"/>
  <c r="AE113" i="594"/>
  <c r="AE114" i="594"/>
  <c r="AE115" i="594"/>
  <c r="AE116" i="594"/>
  <c r="AE117" i="594"/>
  <c r="AE118" i="594"/>
  <c r="AE119" i="594"/>
  <c r="AE120" i="594"/>
  <c r="AE121" i="594"/>
  <c r="AE122" i="594"/>
  <c r="AE123" i="594"/>
  <c r="AE124" i="594"/>
  <c r="AE125" i="594"/>
  <c r="AE126" i="594"/>
  <c r="AE127" i="594"/>
  <c r="AE128" i="594"/>
  <c r="AE129" i="594"/>
  <c r="AE130" i="594"/>
  <c r="AE131" i="594"/>
  <c r="AE132" i="594"/>
  <c r="AE133" i="594"/>
  <c r="AE134" i="594"/>
  <c r="AE135" i="594"/>
  <c r="AE136" i="594"/>
  <c r="AE137" i="594"/>
  <c r="AE138" i="594"/>
  <c r="AE139" i="594"/>
  <c r="AE140" i="594"/>
  <c r="AE141" i="594"/>
  <c r="AE142" i="594"/>
  <c r="AE143" i="594"/>
  <c r="AE144" i="594"/>
  <c r="AE145" i="594"/>
  <c r="AE146" i="594"/>
  <c r="AE147" i="594"/>
  <c r="AE148" i="594"/>
  <c r="AE149" i="594"/>
  <c r="AE150" i="594"/>
  <c r="AE151" i="594"/>
  <c r="AE152" i="594"/>
  <c r="AE153" i="594"/>
  <c r="AE154" i="594"/>
  <c r="AE155" i="594"/>
  <c r="AE156" i="594"/>
  <c r="AE157" i="594"/>
  <c r="AE158" i="594"/>
  <c r="AE159" i="594"/>
  <c r="AE160" i="594"/>
  <c r="AE161" i="594"/>
  <c r="AE162" i="594"/>
  <c r="AE163" i="594"/>
  <c r="AE164" i="594"/>
  <c r="AE165" i="594"/>
  <c r="AE166" i="594"/>
  <c r="AE167" i="594"/>
  <c r="AE168" i="594"/>
  <c r="AE169" i="594"/>
  <c r="AE170" i="594"/>
  <c r="AE171" i="594"/>
  <c r="AE172" i="594"/>
  <c r="AE173" i="594"/>
  <c r="AE174" i="594"/>
  <c r="AE175" i="594"/>
  <c r="AE176" i="594"/>
  <c r="AE177" i="594"/>
  <c r="AE178" i="594"/>
  <c r="AE179" i="594"/>
  <c r="AE180" i="594"/>
  <c r="AE181" i="594"/>
  <c r="AE182" i="594"/>
  <c r="AE183" i="594"/>
  <c r="AE184" i="594"/>
  <c r="AE185" i="594"/>
  <c r="AE186" i="594"/>
  <c r="AE187" i="594"/>
  <c r="AE188" i="594"/>
  <c r="AE189" i="594"/>
  <c r="AE190" i="594"/>
  <c r="AE191" i="594"/>
  <c r="AE192" i="594"/>
  <c r="AE193" i="594"/>
  <c r="AE194" i="594"/>
  <c r="AE195" i="594"/>
  <c r="AE196" i="594"/>
  <c r="AE197" i="594"/>
  <c r="AE198" i="594"/>
  <c r="AE199" i="594"/>
  <c r="AE200" i="594"/>
  <c r="AE201" i="594"/>
  <c r="AE202" i="594"/>
  <c r="AE203" i="594"/>
  <c r="AE204" i="594"/>
  <c r="AE205" i="594"/>
  <c r="AE206" i="594"/>
  <c r="AE207" i="594"/>
  <c r="AE208" i="594"/>
  <c r="AE209" i="594"/>
  <c r="AE210" i="594"/>
  <c r="AE211" i="594"/>
  <c r="AE212" i="594"/>
  <c r="AE213" i="594"/>
  <c r="AE214" i="594"/>
  <c r="AE215" i="594"/>
  <c r="AE216" i="594"/>
  <c r="AE217" i="594"/>
  <c r="AE218" i="594"/>
  <c r="AE219" i="594"/>
  <c r="AE220" i="594"/>
  <c r="AE221" i="594"/>
  <c r="AE222" i="594"/>
  <c r="AE223" i="594"/>
  <c r="AE224" i="594"/>
  <c r="AE225" i="594"/>
  <c r="AE226" i="594"/>
  <c r="AE227" i="594"/>
  <c r="AE228" i="594"/>
  <c r="AE229" i="594"/>
  <c r="AE230" i="594"/>
  <c r="AE231" i="594"/>
  <c r="AE232" i="594"/>
  <c r="AE233" i="594"/>
  <c r="AE234" i="594"/>
  <c r="Z7" i="593"/>
  <c r="Z8" i="593"/>
  <c r="Z9" i="593"/>
  <c r="Z10" i="593"/>
  <c r="Z11" i="593"/>
  <c r="Z12" i="593"/>
  <c r="Z13" i="593"/>
  <c r="Z14" i="593"/>
  <c r="Z15" i="593"/>
  <c r="Z16" i="593"/>
  <c r="Z17" i="593"/>
  <c r="Z18" i="593"/>
  <c r="Z19" i="593"/>
  <c r="Z20" i="593"/>
  <c r="Z21" i="593"/>
  <c r="Z22" i="593"/>
  <c r="Z23" i="593"/>
  <c r="Z24" i="593"/>
  <c r="Z25" i="593"/>
  <c r="Z26" i="593"/>
  <c r="Z27" i="593"/>
  <c r="Z28" i="593"/>
  <c r="Z29" i="593"/>
  <c r="Z30" i="593"/>
  <c r="Z31" i="593"/>
  <c r="Z32" i="593"/>
  <c r="Z33" i="593"/>
  <c r="Z34" i="593"/>
  <c r="Z35" i="593"/>
  <c r="Z36" i="593"/>
  <c r="Z37" i="593"/>
  <c r="Z38" i="593"/>
  <c r="Z39" i="593"/>
  <c r="Z40" i="593"/>
  <c r="Z41" i="593"/>
  <c r="Z42" i="593"/>
  <c r="Z43" i="593"/>
  <c r="Z44" i="593"/>
  <c r="Z45" i="593"/>
  <c r="Z46" i="593"/>
  <c r="Z47" i="593"/>
  <c r="Z48" i="593"/>
  <c r="Z49" i="593"/>
  <c r="Z50" i="593"/>
  <c r="Z51" i="593"/>
  <c r="Z52" i="593"/>
  <c r="Z53" i="593"/>
  <c r="Z54" i="593"/>
  <c r="Z55" i="593"/>
  <c r="Z56" i="593"/>
  <c r="Z57" i="593"/>
  <c r="Z58" i="593"/>
  <c r="Z59" i="593"/>
  <c r="Z60" i="593"/>
  <c r="Z61" i="593"/>
  <c r="Z62" i="593"/>
  <c r="Z63" i="593"/>
  <c r="Z64" i="593"/>
  <c r="Z65" i="593"/>
  <c r="Z66" i="593"/>
  <c r="Z67" i="593"/>
  <c r="Z68" i="593"/>
  <c r="Z69" i="593"/>
  <c r="Z70" i="593"/>
  <c r="Z71" i="593"/>
  <c r="Z72" i="593"/>
  <c r="Z73" i="593"/>
  <c r="Z74" i="593"/>
  <c r="Z75" i="593"/>
  <c r="Z76" i="593"/>
  <c r="Z77" i="593"/>
  <c r="Z78" i="593"/>
  <c r="Z79" i="593"/>
  <c r="Z80" i="593"/>
  <c r="Z81" i="593"/>
  <c r="Z82" i="593"/>
  <c r="Z83" i="593"/>
  <c r="Z84" i="593"/>
  <c r="Z85" i="593"/>
  <c r="Z86" i="593"/>
  <c r="Z87" i="593"/>
  <c r="Z88" i="593"/>
  <c r="Z89" i="593"/>
  <c r="Z90" i="593"/>
  <c r="Z91" i="593"/>
  <c r="Z92" i="593"/>
  <c r="Z93" i="593"/>
  <c r="Z94" i="593"/>
  <c r="Z95" i="593"/>
  <c r="Z96" i="593"/>
  <c r="Z97" i="593"/>
  <c r="Z98" i="593"/>
  <c r="Z99" i="593"/>
  <c r="Z100" i="593"/>
  <c r="Z101" i="593"/>
  <c r="Z102" i="593"/>
  <c r="Z103" i="593"/>
  <c r="Z104" i="593"/>
  <c r="Z105" i="593"/>
  <c r="Z106" i="593"/>
  <c r="Z107" i="593"/>
  <c r="Z108" i="593"/>
  <c r="Z109" i="593"/>
  <c r="Z110" i="593"/>
  <c r="Z111" i="593"/>
  <c r="Z112" i="593"/>
  <c r="Z113" i="593"/>
  <c r="Z114" i="593"/>
  <c r="Z115" i="593"/>
  <c r="Z116" i="593"/>
  <c r="Z117" i="593"/>
  <c r="Z118" i="593"/>
  <c r="Z119" i="593"/>
  <c r="Z120" i="593"/>
  <c r="Z121" i="593"/>
  <c r="Z122" i="593"/>
  <c r="Z123" i="593"/>
  <c r="Z124" i="593"/>
  <c r="Z125" i="593"/>
  <c r="Z126" i="593"/>
  <c r="Z127" i="593"/>
  <c r="Z128" i="593"/>
  <c r="Z129" i="593"/>
  <c r="Z130" i="593"/>
  <c r="Z131" i="593"/>
  <c r="Z132" i="593"/>
  <c r="Z133" i="593"/>
  <c r="Z134" i="593"/>
  <c r="Z135" i="593"/>
  <c r="Z136" i="593"/>
  <c r="Z137" i="593"/>
  <c r="Z138" i="593"/>
  <c r="Z139" i="593"/>
  <c r="Z140" i="593"/>
  <c r="Z141" i="593"/>
  <c r="Z142" i="593"/>
  <c r="Z143" i="593"/>
  <c r="Z144" i="593"/>
  <c r="Z145" i="593"/>
  <c r="Z146" i="593"/>
  <c r="Z147" i="593"/>
  <c r="Z148" i="593"/>
  <c r="Z149" i="593"/>
  <c r="Z150" i="593"/>
  <c r="Z151" i="593"/>
  <c r="Z152" i="593"/>
  <c r="Z153" i="593"/>
  <c r="Z154" i="593"/>
  <c r="Z155" i="593"/>
  <c r="Z156" i="593"/>
  <c r="Z157" i="593"/>
  <c r="Z158" i="593"/>
  <c r="Z159" i="593"/>
  <c r="Z160" i="593"/>
  <c r="Z161" i="593"/>
  <c r="Z162" i="593"/>
  <c r="Z163" i="593"/>
  <c r="Z164" i="593"/>
  <c r="Z165" i="593"/>
  <c r="Z166" i="593"/>
  <c r="Z167" i="593"/>
  <c r="Z168" i="593"/>
  <c r="Z169" i="593"/>
  <c r="Z170" i="593"/>
  <c r="Z171" i="593"/>
  <c r="Z172" i="593"/>
  <c r="Z173" i="593"/>
  <c r="Z174" i="593"/>
  <c r="Z175" i="593"/>
  <c r="Z176" i="593"/>
  <c r="Z177" i="593"/>
  <c r="Z178" i="593"/>
  <c r="Z179" i="593"/>
  <c r="Z180" i="593"/>
  <c r="Z181" i="593"/>
  <c r="Z182" i="593"/>
  <c r="Z183" i="593"/>
  <c r="Z184" i="593"/>
  <c r="Z185" i="593"/>
  <c r="Z186" i="593"/>
  <c r="AB7" i="592"/>
  <c r="AB8" i="592"/>
  <c r="AB9" i="592"/>
  <c r="AB10" i="592"/>
  <c r="AB11" i="592"/>
  <c r="AB12" i="592"/>
  <c r="AB13" i="592"/>
  <c r="AB14" i="592"/>
  <c r="AB15" i="592"/>
  <c r="AB16" i="592"/>
  <c r="AB17" i="592"/>
  <c r="AB18" i="592"/>
  <c r="AB19" i="592"/>
  <c r="AB20" i="592"/>
  <c r="AB21" i="592"/>
  <c r="AB22" i="592"/>
  <c r="AB23" i="592"/>
  <c r="AB24" i="592"/>
  <c r="AB25" i="592"/>
  <c r="AB26" i="592"/>
  <c r="AB27" i="592"/>
  <c r="AB28" i="592"/>
  <c r="AB29" i="592"/>
  <c r="AB30" i="592"/>
  <c r="AB31" i="592"/>
  <c r="AB32" i="592"/>
  <c r="AB33" i="592"/>
  <c r="AB34" i="592"/>
  <c r="AB35" i="592"/>
  <c r="AB36" i="592"/>
  <c r="AB37" i="592"/>
  <c r="AB38" i="592"/>
  <c r="AB39" i="592"/>
  <c r="AB40" i="592"/>
  <c r="AB41" i="592"/>
  <c r="AB42" i="592"/>
  <c r="AB43" i="592"/>
  <c r="AB44" i="592"/>
  <c r="AB45" i="592"/>
  <c r="AB46" i="592"/>
  <c r="AB47" i="592"/>
  <c r="AB48" i="592"/>
  <c r="AB49" i="592"/>
  <c r="AB50" i="592"/>
  <c r="AB51" i="592"/>
  <c r="AB52" i="592"/>
  <c r="AB53" i="592"/>
  <c r="AB54" i="592"/>
  <c r="AB55" i="592"/>
  <c r="AB56" i="592"/>
  <c r="AB57" i="592"/>
  <c r="AB58" i="592"/>
  <c r="AB59" i="592"/>
  <c r="AB60" i="592"/>
  <c r="AB61" i="592"/>
  <c r="AB62" i="592"/>
  <c r="AB63" i="592"/>
  <c r="AB64" i="592"/>
  <c r="AB65" i="592"/>
  <c r="AB66" i="592"/>
  <c r="AB67" i="592"/>
  <c r="AB68" i="592"/>
  <c r="AB69" i="592"/>
  <c r="AB70" i="592"/>
  <c r="AB71" i="592"/>
  <c r="AB72" i="592"/>
  <c r="AB73" i="592"/>
  <c r="AB74" i="592"/>
  <c r="AB75" i="592"/>
  <c r="AB76" i="592"/>
  <c r="AB77" i="592"/>
  <c r="AB78" i="592"/>
  <c r="AB79" i="592"/>
  <c r="AB80" i="592"/>
  <c r="AB81" i="592"/>
  <c r="AB82" i="592"/>
  <c r="AB83" i="592"/>
  <c r="AB84" i="592"/>
  <c r="AB85" i="592"/>
  <c r="AB86" i="592"/>
  <c r="AB87" i="592"/>
  <c r="AB88" i="592"/>
  <c r="AB89" i="592"/>
  <c r="AB90" i="592"/>
  <c r="AB91" i="592"/>
  <c r="AB92" i="592"/>
  <c r="AB93" i="592"/>
  <c r="AB94" i="592"/>
  <c r="AB95" i="592"/>
  <c r="AB96" i="592"/>
  <c r="AB97" i="592"/>
  <c r="AB98" i="592"/>
  <c r="AB99" i="592"/>
  <c r="AB100" i="592"/>
  <c r="AB101" i="592"/>
  <c r="AB102" i="592"/>
  <c r="AB103" i="592"/>
  <c r="AB104" i="592"/>
  <c r="AB105" i="592"/>
  <c r="AB106" i="592"/>
  <c r="AB107" i="592"/>
  <c r="AB108" i="592"/>
  <c r="AB109" i="592"/>
  <c r="AB110" i="592"/>
  <c r="AB111" i="592"/>
  <c r="AB112" i="592"/>
  <c r="AB113" i="592"/>
  <c r="AB114" i="592"/>
  <c r="AB115" i="592"/>
  <c r="AB116" i="592"/>
  <c r="AB117" i="592"/>
  <c r="AB118" i="592"/>
  <c r="AB119" i="592"/>
  <c r="AB120" i="592"/>
  <c r="AB121" i="592"/>
  <c r="AB122" i="592"/>
  <c r="AB123" i="592"/>
  <c r="AB124" i="592"/>
  <c r="AB125" i="592"/>
  <c r="AB126" i="592"/>
  <c r="AB127" i="592"/>
  <c r="AB128" i="592"/>
  <c r="AB129" i="592"/>
  <c r="AB130" i="592"/>
  <c r="AB131" i="592"/>
  <c r="AB132" i="592"/>
  <c r="AB133" i="592"/>
  <c r="AB134" i="592"/>
  <c r="AB135" i="592"/>
  <c r="AB136" i="592"/>
  <c r="AB137" i="592"/>
  <c r="AB138" i="592"/>
  <c r="AB139" i="592"/>
  <c r="AB140" i="592"/>
  <c r="AB141" i="592"/>
  <c r="AB142" i="592"/>
  <c r="AB143" i="592"/>
  <c r="AB144" i="592"/>
  <c r="AB145" i="592"/>
  <c r="AB146" i="592"/>
  <c r="AB147" i="592"/>
  <c r="AB148" i="592"/>
  <c r="AB149" i="592"/>
  <c r="AB150" i="592"/>
  <c r="AB151" i="592"/>
  <c r="AB152" i="592"/>
  <c r="AB153" i="592"/>
  <c r="AB154" i="592"/>
  <c r="AB155" i="592"/>
  <c r="AB156" i="592"/>
  <c r="AB157" i="592"/>
  <c r="AB158" i="592"/>
  <c r="AB159" i="592"/>
  <c r="AB160" i="592"/>
  <c r="AB161" i="592"/>
  <c r="AB162" i="592"/>
  <c r="AB163" i="592"/>
  <c r="AB164" i="592"/>
  <c r="AB165" i="592"/>
  <c r="AB166" i="592"/>
  <c r="AB167" i="592"/>
  <c r="AB168" i="592"/>
  <c r="AB169" i="592"/>
  <c r="AB170" i="592"/>
  <c r="AB171" i="592"/>
  <c r="AB172" i="592"/>
  <c r="AB173" i="592"/>
  <c r="AB174" i="592"/>
  <c r="AB175" i="592"/>
  <c r="AB176" i="592"/>
  <c r="AB177" i="592"/>
  <c r="AB178" i="592"/>
  <c r="AB179" i="592"/>
  <c r="AB180" i="592"/>
  <c r="AB181" i="592"/>
  <c r="AB182" i="592"/>
  <c r="AB183" i="592"/>
  <c r="AB184" i="592"/>
  <c r="AB185" i="592"/>
  <c r="AB186" i="592"/>
  <c r="AE7" i="591"/>
  <c r="AE8" i="591"/>
  <c r="AE9" i="591"/>
  <c r="AE10" i="591"/>
  <c r="AE11" i="591"/>
  <c r="AE12" i="591"/>
  <c r="AE13" i="591"/>
  <c r="AE14" i="591"/>
  <c r="AE15" i="591"/>
  <c r="AE16" i="591"/>
  <c r="AE17" i="591"/>
  <c r="AE18" i="591"/>
  <c r="AE19" i="591"/>
  <c r="AE20" i="591"/>
  <c r="AE21" i="591"/>
  <c r="AE22" i="591"/>
  <c r="AE23" i="591"/>
  <c r="AE24" i="591"/>
  <c r="AE25" i="591"/>
  <c r="AE26" i="591"/>
  <c r="AE27" i="591"/>
  <c r="AE28" i="591"/>
  <c r="AE29" i="591"/>
  <c r="AE30" i="591"/>
  <c r="AE31" i="591"/>
  <c r="AE32" i="591"/>
  <c r="AE33" i="591"/>
  <c r="AE34" i="591"/>
  <c r="AE35" i="591"/>
  <c r="AE36" i="591"/>
  <c r="AE37" i="591"/>
  <c r="AE38" i="591"/>
  <c r="AE39" i="591"/>
  <c r="AE40" i="591"/>
  <c r="AE41" i="591"/>
  <c r="AE42" i="591"/>
  <c r="AE43" i="591"/>
  <c r="AE44" i="591"/>
  <c r="AE45" i="591"/>
  <c r="AE46" i="591"/>
  <c r="AE47" i="591"/>
  <c r="AE48" i="591"/>
  <c r="AE49" i="591"/>
  <c r="AE50" i="591"/>
  <c r="AE51" i="591"/>
  <c r="AE52" i="591"/>
  <c r="AE53" i="591"/>
  <c r="AE54" i="591"/>
  <c r="AE55" i="591"/>
  <c r="AE56" i="591"/>
  <c r="AE57" i="591"/>
  <c r="AE58" i="591"/>
  <c r="AE59" i="591"/>
  <c r="AE60" i="591"/>
  <c r="AE61" i="591"/>
  <c r="AE62" i="591"/>
  <c r="AE63" i="591"/>
  <c r="AE64" i="591"/>
  <c r="AE65" i="591"/>
  <c r="AE66" i="591"/>
  <c r="AE67" i="591"/>
  <c r="AE68" i="591"/>
  <c r="AE69" i="591"/>
  <c r="AE70" i="591"/>
  <c r="AE71" i="591"/>
  <c r="AE72" i="591"/>
  <c r="AE73" i="591"/>
  <c r="AE74" i="591"/>
  <c r="AE75" i="591"/>
  <c r="AE76" i="591"/>
  <c r="AE77" i="591"/>
  <c r="AE78" i="591"/>
  <c r="AE79" i="591"/>
  <c r="AE80" i="591"/>
  <c r="AE81" i="591"/>
  <c r="AE82" i="591"/>
  <c r="AE83" i="591"/>
  <c r="AE84" i="591"/>
  <c r="AE85" i="591"/>
  <c r="AE86" i="591"/>
  <c r="AE87" i="591"/>
  <c r="AE88" i="591"/>
  <c r="AE89" i="591"/>
  <c r="AE90" i="591"/>
  <c r="AE91" i="591"/>
  <c r="AE92" i="591"/>
  <c r="AE93" i="591"/>
  <c r="AE94" i="591"/>
  <c r="AE95" i="591"/>
  <c r="AE96" i="591"/>
  <c r="AE97" i="591"/>
  <c r="AE98" i="591"/>
  <c r="AE99" i="591"/>
  <c r="AE100" i="591"/>
  <c r="AE101" i="591"/>
  <c r="AE102" i="591"/>
  <c r="AE103" i="591"/>
  <c r="AE104" i="591"/>
  <c r="AE105" i="591"/>
  <c r="AE106" i="591"/>
  <c r="AE107" i="591"/>
  <c r="AE108" i="591"/>
  <c r="AE109" i="591"/>
  <c r="AE110" i="591"/>
  <c r="AE111" i="591"/>
  <c r="AE112" i="591"/>
  <c r="AE113" i="591"/>
  <c r="AE114" i="591"/>
  <c r="AE115" i="591"/>
  <c r="AE116" i="591"/>
  <c r="AE117" i="591"/>
  <c r="AE118" i="591"/>
  <c r="AE119" i="591"/>
  <c r="AE120" i="591"/>
  <c r="AE121" i="591"/>
  <c r="AE122" i="591"/>
  <c r="AE123" i="591"/>
  <c r="AE124" i="591"/>
  <c r="AE125" i="591"/>
  <c r="AE126" i="591"/>
  <c r="AE127" i="591"/>
  <c r="AE128" i="591"/>
  <c r="AE129" i="591"/>
  <c r="AE130" i="591"/>
  <c r="AE131" i="591"/>
  <c r="AE132" i="591"/>
  <c r="AE133" i="591"/>
  <c r="AE134" i="591"/>
  <c r="AE135" i="591"/>
  <c r="AE136" i="591"/>
  <c r="AE137" i="591"/>
  <c r="AE138" i="591"/>
  <c r="AE139" i="591"/>
  <c r="AE140" i="591"/>
  <c r="AE141" i="591"/>
  <c r="AE142" i="591"/>
  <c r="AE143" i="591"/>
  <c r="AE144" i="591"/>
  <c r="AE145" i="591"/>
  <c r="AE146" i="591"/>
  <c r="AE147" i="591"/>
  <c r="AE148" i="591"/>
  <c r="AE149" i="591"/>
  <c r="AE150" i="591"/>
  <c r="AE151" i="591"/>
  <c r="AE152" i="591"/>
  <c r="AE153" i="591"/>
  <c r="AE154" i="591"/>
  <c r="AE155" i="591"/>
  <c r="AE156" i="591"/>
  <c r="AE157" i="591"/>
  <c r="AE158" i="591"/>
  <c r="AE159" i="591"/>
  <c r="AE160" i="591"/>
  <c r="AE161" i="591"/>
  <c r="AE162" i="591"/>
  <c r="AE163" i="591"/>
  <c r="AE164" i="591"/>
  <c r="AE165" i="591"/>
  <c r="AE166" i="591"/>
  <c r="AE167" i="591"/>
  <c r="AE168" i="591"/>
  <c r="AE169" i="591"/>
  <c r="AE170" i="591"/>
  <c r="AE171" i="591"/>
  <c r="AE172" i="591"/>
  <c r="AE173" i="591"/>
  <c r="AE174" i="591"/>
  <c r="AE175" i="591"/>
  <c r="AE176" i="591"/>
  <c r="AE177" i="591"/>
  <c r="AE178" i="591"/>
  <c r="AE179" i="591"/>
  <c r="AE180" i="591"/>
  <c r="AE181" i="591"/>
  <c r="AE182" i="591"/>
  <c r="AE183" i="591"/>
  <c r="AE184" i="591"/>
  <c r="AE185" i="591"/>
  <c r="AE186" i="591"/>
  <c r="AE192" i="591"/>
  <c r="AE193" i="591"/>
  <c r="AE194" i="591"/>
  <c r="AE195" i="591"/>
  <c r="AE196" i="591"/>
  <c r="AE197" i="591"/>
  <c r="AE198" i="591"/>
  <c r="AE199" i="591"/>
  <c r="AE200" i="591"/>
  <c r="AE201" i="591"/>
  <c r="AE202" i="591"/>
  <c r="AE203" i="591"/>
  <c r="Z7" i="590"/>
  <c r="Z8" i="590"/>
  <c r="Z9" i="590"/>
  <c r="Z10" i="590"/>
  <c r="Z11" i="590"/>
  <c r="Z12" i="590"/>
  <c r="Z13" i="590"/>
  <c r="Z14" i="590"/>
  <c r="Z15" i="590"/>
  <c r="Z16" i="590"/>
  <c r="Z17" i="590"/>
  <c r="Z18" i="590"/>
  <c r="Z19" i="590"/>
  <c r="Z20" i="590"/>
  <c r="Z21" i="590"/>
  <c r="Z22" i="590"/>
  <c r="Z23" i="590"/>
  <c r="Z24" i="590"/>
  <c r="Z25" i="590"/>
  <c r="Z26" i="590"/>
  <c r="Z27" i="590"/>
  <c r="Z28" i="590"/>
  <c r="Z29" i="590"/>
  <c r="Z30" i="590"/>
  <c r="Z31" i="590"/>
  <c r="Z32" i="590"/>
  <c r="Z33" i="590"/>
  <c r="Z34" i="590"/>
  <c r="Z35" i="590"/>
  <c r="Z36" i="590"/>
  <c r="Z37" i="590"/>
  <c r="Z38" i="590"/>
  <c r="Z39" i="590"/>
  <c r="Z40" i="590"/>
  <c r="Z41" i="590"/>
  <c r="Z42" i="590"/>
  <c r="Z43" i="590"/>
  <c r="Z44" i="590"/>
  <c r="Z45" i="590"/>
  <c r="Z46" i="590"/>
  <c r="Z47" i="590"/>
  <c r="Z48" i="590"/>
  <c r="Z49" i="590"/>
  <c r="Z50" i="590"/>
  <c r="Z51" i="590"/>
  <c r="Z52" i="590"/>
  <c r="Z53" i="590"/>
  <c r="Z54" i="590"/>
  <c r="Z55" i="590"/>
  <c r="Z56" i="590"/>
  <c r="Z57" i="590"/>
  <c r="Z58" i="590"/>
  <c r="Z59" i="590"/>
  <c r="Z60" i="590"/>
  <c r="Z61" i="590"/>
  <c r="Z62" i="590"/>
  <c r="Z63" i="590"/>
  <c r="Z64" i="590"/>
  <c r="Z65" i="590"/>
  <c r="Z66" i="590"/>
  <c r="Z67" i="590"/>
  <c r="Z68" i="590"/>
  <c r="Z69" i="590"/>
  <c r="Z70" i="590"/>
  <c r="Z71" i="590"/>
  <c r="Z72" i="590"/>
  <c r="Z73" i="590"/>
  <c r="Z74" i="590"/>
  <c r="Z75" i="590"/>
  <c r="Z76" i="590"/>
  <c r="Z77" i="590"/>
  <c r="Z78" i="590"/>
  <c r="Z79" i="590"/>
  <c r="Z80" i="590"/>
  <c r="Z81" i="590"/>
  <c r="Z82" i="590"/>
  <c r="Z83" i="590"/>
  <c r="Z84" i="590"/>
  <c r="Z85" i="590"/>
  <c r="Z86" i="590"/>
  <c r="Z87" i="590"/>
  <c r="Z88" i="590"/>
  <c r="Z89" i="590"/>
  <c r="Z90" i="590"/>
  <c r="Z91" i="590"/>
  <c r="Z92" i="590"/>
  <c r="Z93" i="590"/>
  <c r="Z94" i="590"/>
  <c r="Z95" i="590"/>
  <c r="Z96" i="590"/>
  <c r="Z97" i="590"/>
  <c r="Z98" i="590"/>
  <c r="Z99" i="590"/>
  <c r="Z100" i="590"/>
  <c r="Z101" i="590"/>
  <c r="Z102" i="590"/>
  <c r="Z103" i="590"/>
  <c r="Z104" i="590"/>
  <c r="Z105" i="590"/>
  <c r="Z106" i="590"/>
  <c r="Z107" i="590"/>
  <c r="Z108" i="590"/>
  <c r="Z109" i="590"/>
  <c r="Z110" i="590"/>
  <c r="Z111" i="590"/>
  <c r="Z112" i="590"/>
  <c r="Z113" i="590"/>
  <c r="Z114" i="590"/>
  <c r="Z115" i="590"/>
  <c r="Z116" i="590"/>
  <c r="Z117" i="590"/>
  <c r="Z118" i="590"/>
  <c r="Z119" i="590"/>
  <c r="Z120" i="590"/>
  <c r="Z121" i="590"/>
  <c r="Z122" i="590"/>
  <c r="Z123" i="590"/>
  <c r="Z124" i="590"/>
  <c r="Z125" i="590"/>
  <c r="Z126" i="590"/>
  <c r="Z127" i="590"/>
  <c r="Z128" i="590"/>
  <c r="Z129" i="590"/>
  <c r="Z130" i="590"/>
  <c r="Z131" i="590"/>
  <c r="Z132" i="590"/>
  <c r="Z133" i="590"/>
  <c r="Z134" i="590"/>
  <c r="Z135" i="590"/>
  <c r="Z136" i="590"/>
  <c r="Z137" i="590"/>
  <c r="Z138" i="590"/>
  <c r="Z139" i="590"/>
  <c r="Z140" i="590"/>
  <c r="Z141" i="590"/>
  <c r="Z142" i="590"/>
  <c r="Z143" i="590"/>
  <c r="Z144" i="590"/>
  <c r="Z145" i="590"/>
  <c r="Z146" i="590"/>
  <c r="Z147" i="590"/>
  <c r="Z148" i="590"/>
  <c r="Z149" i="590"/>
  <c r="Z150" i="590"/>
  <c r="Z151" i="590"/>
  <c r="Z152" i="590"/>
  <c r="Z153" i="590"/>
  <c r="Z154" i="590"/>
  <c r="Z155" i="590"/>
  <c r="Z156" i="590"/>
  <c r="Z157" i="590"/>
  <c r="Z158" i="590"/>
  <c r="Z159" i="590"/>
  <c r="Z160" i="590"/>
  <c r="Z161" i="590"/>
  <c r="Z162" i="590"/>
  <c r="Z163" i="590"/>
  <c r="Z164" i="590"/>
  <c r="Z165" i="590"/>
  <c r="Z166" i="590"/>
  <c r="Z167" i="590"/>
  <c r="Z168" i="590"/>
  <c r="Z169" i="590"/>
  <c r="Z170" i="590"/>
  <c r="Z171" i="590"/>
  <c r="Z172" i="590"/>
  <c r="Z173" i="590"/>
  <c r="Z174" i="590"/>
  <c r="Z175" i="590"/>
  <c r="Z176" i="590"/>
  <c r="Z177" i="590"/>
  <c r="Z178" i="590"/>
  <c r="Z179" i="590"/>
  <c r="Z180" i="590"/>
  <c r="Z181" i="590"/>
  <c r="Z182" i="590"/>
  <c r="Z183" i="590"/>
  <c r="Z184" i="590"/>
  <c r="Z185" i="590"/>
  <c r="Z186" i="590"/>
  <c r="AB7" i="589"/>
  <c r="AB8" i="589"/>
  <c r="AB9" i="589"/>
  <c r="AB10" i="589"/>
  <c r="AB11" i="589"/>
  <c r="AB12" i="589"/>
  <c r="AB13" i="589"/>
  <c r="AB14" i="589"/>
  <c r="AB15" i="589"/>
  <c r="AB16" i="589"/>
  <c r="AB17" i="589"/>
  <c r="AB18" i="589"/>
  <c r="AB19" i="589"/>
  <c r="AB20" i="589"/>
  <c r="AB21" i="589"/>
  <c r="AB22" i="589"/>
  <c r="AB23" i="589"/>
  <c r="AB24" i="589"/>
  <c r="AB25" i="589"/>
  <c r="AB26" i="589"/>
  <c r="AB27" i="589"/>
  <c r="AB28" i="589"/>
  <c r="AB29" i="589"/>
  <c r="AB30" i="589"/>
  <c r="AB31" i="589"/>
  <c r="AB32" i="589"/>
  <c r="AB33" i="589"/>
  <c r="AB34" i="589"/>
  <c r="AB35" i="589"/>
  <c r="AB36" i="589"/>
  <c r="AB37" i="589"/>
  <c r="AB38" i="589"/>
  <c r="AB39" i="589"/>
  <c r="AB40" i="589"/>
  <c r="AB41" i="589"/>
  <c r="AB42" i="589"/>
  <c r="AB43" i="589"/>
  <c r="AB44" i="589"/>
  <c r="AB45" i="589"/>
  <c r="AB46" i="589"/>
  <c r="AB47" i="589"/>
  <c r="AB48" i="589"/>
  <c r="AB49" i="589"/>
  <c r="AB50" i="589"/>
  <c r="AB51" i="589"/>
  <c r="AB52" i="589"/>
  <c r="AB53" i="589"/>
  <c r="AB54" i="589"/>
  <c r="AB55" i="589"/>
  <c r="AB56" i="589"/>
  <c r="AB57" i="589"/>
  <c r="AB58" i="589"/>
  <c r="AB59" i="589"/>
  <c r="AB60" i="589"/>
  <c r="AB61" i="589"/>
  <c r="AB62" i="589"/>
  <c r="AB63" i="589"/>
  <c r="AB64" i="589"/>
  <c r="AB65" i="589"/>
  <c r="AB66" i="589"/>
  <c r="AB67" i="589"/>
  <c r="AB68" i="589"/>
  <c r="AB69" i="589"/>
  <c r="AB70" i="589"/>
  <c r="AB71" i="589"/>
  <c r="AB72" i="589"/>
  <c r="AB73" i="589"/>
  <c r="AB74" i="589"/>
  <c r="AB75" i="589"/>
  <c r="AB76" i="589"/>
  <c r="AB77" i="589"/>
  <c r="AB78" i="589"/>
  <c r="AB79" i="589"/>
  <c r="AB80" i="589"/>
  <c r="AB81" i="589"/>
  <c r="AB82" i="589"/>
  <c r="AB83" i="589"/>
  <c r="AB84" i="589"/>
  <c r="AB85" i="589"/>
  <c r="AB86" i="589"/>
  <c r="AB87" i="589"/>
  <c r="AB88" i="589"/>
  <c r="AB89" i="589"/>
  <c r="AB90" i="589"/>
  <c r="AB91" i="589"/>
  <c r="AB92" i="589"/>
  <c r="AB93" i="589"/>
  <c r="AB94" i="589"/>
  <c r="AB95" i="589"/>
  <c r="AB96" i="589"/>
  <c r="AB97" i="589"/>
  <c r="AB98" i="589"/>
  <c r="AB99" i="589"/>
  <c r="AB100" i="589"/>
  <c r="AB101" i="589"/>
  <c r="AB102" i="589"/>
  <c r="AB103" i="589"/>
  <c r="AB104" i="589"/>
  <c r="AB105" i="589"/>
  <c r="AB106" i="589"/>
  <c r="AB107" i="589"/>
  <c r="AB108" i="589"/>
  <c r="AB109" i="589"/>
  <c r="AB110" i="589"/>
  <c r="AB111" i="589"/>
  <c r="AB112" i="589"/>
  <c r="AB113" i="589"/>
  <c r="AB114" i="589"/>
  <c r="AB115" i="589"/>
  <c r="AB116" i="589"/>
  <c r="AB117" i="589"/>
  <c r="AB118" i="589"/>
  <c r="AB119" i="589"/>
  <c r="AB120" i="589"/>
  <c r="AB121" i="589"/>
  <c r="AB122" i="589"/>
  <c r="AB123" i="589"/>
  <c r="AB124" i="589"/>
  <c r="AB125" i="589"/>
  <c r="AB126" i="589"/>
  <c r="AB127" i="589"/>
  <c r="AB128" i="589"/>
  <c r="AB129" i="589"/>
  <c r="AB130" i="589"/>
  <c r="AB131" i="589"/>
  <c r="AB132" i="589"/>
  <c r="AB133" i="589"/>
  <c r="AB134" i="589"/>
  <c r="AB135" i="589"/>
  <c r="AB136" i="589"/>
  <c r="AB137" i="589"/>
  <c r="AB138" i="589"/>
  <c r="AB139" i="589"/>
  <c r="AB140" i="589"/>
  <c r="AB141" i="589"/>
  <c r="AB142" i="589"/>
  <c r="AB143" i="589"/>
  <c r="AB144" i="589"/>
  <c r="AB145" i="589"/>
  <c r="AB146" i="589"/>
  <c r="AB147" i="589"/>
  <c r="AB148" i="589"/>
  <c r="AB149" i="589"/>
  <c r="AB150" i="589"/>
  <c r="AB151" i="589"/>
  <c r="AB152" i="589"/>
  <c r="AB153" i="589"/>
  <c r="AB154" i="589"/>
  <c r="AB155" i="589"/>
  <c r="AB156" i="589"/>
  <c r="AB157" i="589"/>
  <c r="AB158" i="589"/>
  <c r="AB159" i="589"/>
  <c r="AB160" i="589"/>
  <c r="AB161" i="589"/>
  <c r="AB162" i="589"/>
  <c r="AB163" i="589"/>
  <c r="AB164" i="589"/>
  <c r="AB165" i="589"/>
  <c r="AB166" i="589"/>
  <c r="AB167" i="589"/>
  <c r="AB168" i="589"/>
  <c r="AB169" i="589"/>
  <c r="AB170" i="589"/>
  <c r="AB171" i="589"/>
  <c r="AB172" i="589"/>
  <c r="AB173" i="589"/>
  <c r="AB174" i="589"/>
  <c r="AB175" i="589"/>
  <c r="AB176" i="589"/>
  <c r="AB177" i="589"/>
  <c r="AB178" i="589"/>
  <c r="AB179" i="589"/>
  <c r="AB180" i="589"/>
  <c r="AB181" i="589"/>
  <c r="AB182" i="589"/>
  <c r="AB183" i="589"/>
  <c r="AB184" i="589"/>
  <c r="AB185" i="589"/>
  <c r="AB186" i="589"/>
  <c r="W7" i="588"/>
  <c r="W8" i="588"/>
  <c r="W9" i="588"/>
  <c r="W10" i="588"/>
  <c r="W11" i="588"/>
  <c r="W12" i="588"/>
  <c r="W13" i="588"/>
  <c r="W14" i="588"/>
  <c r="W15" i="588"/>
  <c r="W16" i="588"/>
  <c r="W17" i="588"/>
  <c r="W18" i="588"/>
  <c r="W19" i="588"/>
  <c r="W20" i="588"/>
  <c r="W21" i="588"/>
  <c r="W22" i="588"/>
  <c r="W23" i="588"/>
  <c r="W24" i="588"/>
  <c r="W25" i="588"/>
  <c r="W26" i="588"/>
  <c r="W27" i="588"/>
  <c r="W28" i="588"/>
  <c r="W29" i="588"/>
  <c r="W30" i="588"/>
  <c r="W31" i="588"/>
  <c r="W32" i="588"/>
  <c r="W33" i="588"/>
  <c r="W34" i="588"/>
  <c r="W35" i="588"/>
  <c r="W36" i="588"/>
  <c r="W37" i="588"/>
  <c r="W38" i="588"/>
  <c r="W39" i="588"/>
  <c r="W40" i="588"/>
  <c r="W41" i="588"/>
  <c r="W42" i="588"/>
  <c r="W43" i="588"/>
  <c r="W44" i="588"/>
  <c r="W45" i="588"/>
  <c r="W46" i="588"/>
  <c r="W47" i="588"/>
  <c r="W48" i="588"/>
  <c r="W49" i="588"/>
  <c r="W50" i="588"/>
  <c r="W51" i="588"/>
  <c r="W52" i="588"/>
  <c r="W53" i="588"/>
  <c r="W54" i="588"/>
  <c r="W55" i="588"/>
  <c r="W56" i="588"/>
  <c r="W57" i="588"/>
  <c r="W58" i="588"/>
  <c r="W59" i="588"/>
  <c r="W60" i="588"/>
  <c r="W61" i="588"/>
  <c r="W62" i="588"/>
  <c r="W63" i="588"/>
  <c r="W64" i="588"/>
  <c r="W65" i="588"/>
  <c r="W66" i="588"/>
  <c r="W67" i="588"/>
  <c r="W68" i="588"/>
  <c r="W69" i="588"/>
  <c r="W70" i="588"/>
  <c r="W71" i="588"/>
  <c r="W72" i="588"/>
  <c r="W73" i="588"/>
  <c r="W74" i="588"/>
  <c r="W75" i="588"/>
  <c r="W76" i="588"/>
  <c r="W77" i="588"/>
  <c r="W78" i="588"/>
  <c r="W79" i="588"/>
  <c r="W80" i="588"/>
  <c r="W81" i="588"/>
  <c r="W82" i="588"/>
  <c r="W83" i="588"/>
  <c r="W84" i="588"/>
  <c r="W85" i="588"/>
  <c r="W86" i="588"/>
  <c r="W87" i="588"/>
  <c r="W88" i="588"/>
  <c r="W89" i="588"/>
  <c r="W90" i="588"/>
  <c r="W91" i="588"/>
  <c r="W92" i="588"/>
  <c r="W93" i="588"/>
  <c r="W94" i="588"/>
  <c r="W95" i="588"/>
  <c r="W96" i="588"/>
  <c r="W97" i="588"/>
  <c r="W98" i="588"/>
  <c r="W99" i="588"/>
  <c r="W100" i="588"/>
  <c r="W101" i="588"/>
  <c r="W102" i="588"/>
  <c r="W103" i="588"/>
  <c r="W104" i="588"/>
  <c r="W105" i="588"/>
  <c r="W106" i="588"/>
  <c r="W107" i="588"/>
  <c r="W108" i="588"/>
  <c r="W109" i="588"/>
  <c r="W110" i="588"/>
  <c r="W111" i="588"/>
  <c r="W112" i="588"/>
  <c r="W113" i="588"/>
  <c r="W114" i="588"/>
  <c r="W115" i="588"/>
  <c r="W116" i="588"/>
  <c r="W117" i="588"/>
  <c r="W118" i="588"/>
  <c r="W119" i="588"/>
  <c r="W120" i="588"/>
  <c r="W121" i="588"/>
  <c r="W122" i="588"/>
  <c r="W123" i="588"/>
  <c r="W124" i="588"/>
  <c r="W125" i="588"/>
  <c r="W126" i="588"/>
  <c r="W127" i="588"/>
  <c r="W128" i="588"/>
  <c r="W129" i="588"/>
  <c r="W130" i="588"/>
  <c r="W131" i="588"/>
  <c r="W132" i="588"/>
  <c r="W133" i="588"/>
  <c r="W134" i="588"/>
  <c r="W135" i="588"/>
  <c r="W136" i="588"/>
  <c r="W137" i="588"/>
  <c r="W138" i="588"/>
  <c r="W139" i="588"/>
  <c r="W140" i="588"/>
  <c r="W141" i="588"/>
  <c r="W142" i="588"/>
  <c r="W143" i="588"/>
  <c r="W144" i="588"/>
  <c r="W145" i="588"/>
  <c r="W146" i="588"/>
  <c r="W147" i="588"/>
  <c r="W148" i="588"/>
  <c r="W149" i="588"/>
  <c r="W150" i="588"/>
  <c r="W151" i="588"/>
  <c r="W152" i="588"/>
  <c r="W153" i="588"/>
  <c r="W154" i="588"/>
  <c r="W155" i="588"/>
  <c r="W156" i="588"/>
  <c r="W157" i="588"/>
  <c r="W158" i="588"/>
  <c r="W159" i="588"/>
  <c r="W160" i="588"/>
  <c r="W161" i="588"/>
  <c r="W162" i="588"/>
  <c r="W7" i="587"/>
  <c r="W8" i="587"/>
  <c r="W9" i="587"/>
  <c r="W10" i="587"/>
  <c r="W11" i="587"/>
  <c r="W12" i="587"/>
  <c r="W13" i="587"/>
  <c r="W14" i="587"/>
  <c r="W15" i="587"/>
  <c r="W16" i="587"/>
  <c r="W17" i="587"/>
  <c r="W18" i="587"/>
  <c r="W19" i="587"/>
  <c r="W20" i="587"/>
  <c r="W21" i="587"/>
  <c r="W22" i="587"/>
  <c r="W23" i="587"/>
  <c r="W24" i="587"/>
  <c r="W25" i="587"/>
  <c r="W26" i="587"/>
  <c r="W27" i="587"/>
  <c r="W28" i="587"/>
  <c r="W29" i="587"/>
  <c r="W30" i="587"/>
  <c r="W31" i="587"/>
  <c r="W32" i="587"/>
  <c r="W33" i="587"/>
  <c r="W34" i="587"/>
  <c r="W35" i="587"/>
  <c r="W36" i="587"/>
  <c r="W37" i="587"/>
  <c r="W38" i="587"/>
  <c r="W39" i="587"/>
  <c r="W40" i="587"/>
  <c r="W41" i="587"/>
  <c r="W42" i="587"/>
  <c r="W43" i="587"/>
  <c r="W44" i="587"/>
  <c r="W45" i="587"/>
  <c r="W46" i="587"/>
  <c r="W47" i="587"/>
  <c r="W48" i="587"/>
  <c r="W49" i="587"/>
  <c r="W50" i="587"/>
  <c r="W51" i="587"/>
  <c r="W52" i="587"/>
  <c r="W53" i="587"/>
  <c r="W54" i="587"/>
  <c r="W55" i="587"/>
  <c r="W56" i="587"/>
  <c r="W57" i="587"/>
  <c r="W58" i="587"/>
  <c r="W59" i="587"/>
  <c r="W60" i="587"/>
  <c r="W61" i="587"/>
  <c r="W62" i="587"/>
  <c r="W63" i="587"/>
  <c r="W64" i="587"/>
  <c r="W65" i="587"/>
  <c r="W66" i="587"/>
  <c r="W72" i="587"/>
  <c r="W73" i="587"/>
  <c r="W74" i="587"/>
  <c r="W75" i="587"/>
  <c r="W76" i="587"/>
  <c r="W77" i="587"/>
  <c r="W78" i="587"/>
  <c r="W79" i="587"/>
  <c r="W80" i="587"/>
  <c r="W81" i="587"/>
  <c r="W82" i="587"/>
  <c r="W83" i="587"/>
  <c r="W84" i="587"/>
  <c r="W85" i="587"/>
  <c r="W86" i="587"/>
  <c r="W87" i="587"/>
  <c r="W88" i="587"/>
  <c r="W89" i="587"/>
  <c r="W90" i="587"/>
  <c r="W91" i="587"/>
  <c r="W92" i="587"/>
  <c r="W93" i="587"/>
  <c r="W94" i="587"/>
  <c r="W95" i="587"/>
  <c r="W96" i="587"/>
  <c r="W97" i="587"/>
  <c r="W98" i="587"/>
  <c r="W99" i="587"/>
  <c r="W100" i="587"/>
  <c r="W101" i="587"/>
  <c r="W102" i="587"/>
  <c r="W103" i="587"/>
  <c r="W104" i="587"/>
  <c r="W105" i="587"/>
  <c r="W106" i="587"/>
  <c r="W107" i="587"/>
  <c r="W108" i="587"/>
  <c r="W109" i="587"/>
  <c r="W110" i="587"/>
  <c r="W111" i="587"/>
  <c r="W112" i="587"/>
  <c r="W113" i="587"/>
  <c r="W114" i="587"/>
  <c r="W115" i="587"/>
  <c r="W116" i="587"/>
  <c r="W117" i="587"/>
  <c r="W118" i="587"/>
  <c r="W119" i="587"/>
  <c r="W120" i="587"/>
  <c r="W121" i="587"/>
  <c r="W122" i="587"/>
  <c r="W123" i="587"/>
  <c r="W124" i="587"/>
  <c r="W125" i="587"/>
  <c r="W126" i="587"/>
  <c r="W127" i="587"/>
  <c r="W128" i="587"/>
  <c r="W129" i="587"/>
  <c r="W130" i="587"/>
  <c r="W131" i="587"/>
  <c r="W132" i="587"/>
  <c r="W133" i="587"/>
  <c r="W134" i="587"/>
  <c r="W135" i="587"/>
  <c r="W136" i="587"/>
  <c r="W137" i="587"/>
  <c r="W138" i="587"/>
  <c r="W139" i="587"/>
  <c r="W140" i="587"/>
  <c r="W141" i="587"/>
  <c r="W142" i="587"/>
  <c r="W143" i="587"/>
  <c r="W144" i="587"/>
  <c r="W145" i="587"/>
  <c r="W146" i="587"/>
  <c r="W147" i="587"/>
  <c r="W148" i="587"/>
  <c r="W149" i="587"/>
  <c r="W150" i="587"/>
  <c r="W151" i="587"/>
  <c r="W152" i="587"/>
  <c r="W153" i="587"/>
  <c r="W154" i="587"/>
  <c r="W155" i="587"/>
  <c r="W156" i="587"/>
  <c r="W157" i="587"/>
  <c r="W158" i="587"/>
  <c r="W159" i="587"/>
  <c r="W160" i="587"/>
  <c r="W161" i="587"/>
  <c r="W162" i="587"/>
  <c r="W163" i="587"/>
  <c r="W164" i="587"/>
  <c r="W165" i="587"/>
  <c r="W166" i="587"/>
  <c r="W167" i="587"/>
  <c r="W168" i="587"/>
  <c r="W169" i="587"/>
  <c r="W170" i="587"/>
  <c r="W171" i="587"/>
  <c r="W172" i="587"/>
  <c r="W173" i="587"/>
  <c r="W174" i="587"/>
  <c r="W175" i="587"/>
  <c r="W176" i="587"/>
  <c r="W177" i="587"/>
  <c r="W178" i="587"/>
  <c r="W179" i="587"/>
  <c r="U7" i="586"/>
  <c r="U8" i="586"/>
  <c r="U9" i="586"/>
  <c r="U10" i="586"/>
  <c r="U11" i="586"/>
  <c r="U12" i="586"/>
  <c r="U13" i="586"/>
  <c r="U14" i="586"/>
  <c r="U15" i="586"/>
  <c r="U16" i="586"/>
  <c r="U17" i="586"/>
  <c r="U18" i="586"/>
  <c r="U19" i="586"/>
  <c r="U20" i="586"/>
  <c r="U21" i="586"/>
  <c r="U22" i="586"/>
  <c r="U23" i="586"/>
  <c r="U24" i="586"/>
  <c r="U25" i="586"/>
  <c r="U26" i="586"/>
  <c r="U27" i="586"/>
  <c r="U28" i="586"/>
  <c r="U29" i="586"/>
  <c r="U30" i="586"/>
  <c r="U31" i="586"/>
  <c r="U32" i="586"/>
  <c r="U33" i="586"/>
  <c r="U34" i="586"/>
  <c r="U35" i="586"/>
  <c r="U36" i="586"/>
  <c r="U37" i="586"/>
  <c r="U38" i="586"/>
  <c r="U39" i="586"/>
  <c r="U40" i="586"/>
  <c r="U41" i="586"/>
  <c r="U42" i="586"/>
  <c r="U43" i="586"/>
  <c r="U44" i="586"/>
  <c r="U45" i="586"/>
  <c r="U46" i="586"/>
  <c r="U47" i="586"/>
  <c r="U48" i="586"/>
  <c r="U49" i="586"/>
  <c r="U50" i="586"/>
  <c r="U51" i="586"/>
  <c r="U52" i="586"/>
  <c r="U53" i="586"/>
  <c r="U54" i="586"/>
  <c r="U55" i="586"/>
  <c r="U56" i="586"/>
  <c r="U57" i="586"/>
  <c r="U58" i="586"/>
  <c r="U59" i="586"/>
  <c r="U60" i="586"/>
  <c r="U61" i="586"/>
  <c r="U62" i="586"/>
  <c r="U63" i="586"/>
  <c r="U64" i="586"/>
  <c r="U65" i="586"/>
  <c r="U66" i="586"/>
  <c r="U67" i="586"/>
  <c r="U68" i="586"/>
  <c r="U69" i="586"/>
  <c r="U70" i="586"/>
  <c r="U71" i="586"/>
  <c r="U72" i="586"/>
  <c r="U73" i="586"/>
  <c r="U74" i="586"/>
  <c r="U75" i="586"/>
  <c r="U76" i="586"/>
  <c r="U77" i="586"/>
  <c r="U78" i="586"/>
  <c r="U79" i="586"/>
  <c r="U80" i="586"/>
  <c r="U81" i="586"/>
  <c r="U82" i="586"/>
  <c r="U83" i="586"/>
  <c r="U84" i="586"/>
  <c r="U85" i="586"/>
  <c r="U86" i="586"/>
  <c r="U87" i="586"/>
  <c r="U88" i="586"/>
  <c r="U89" i="586"/>
  <c r="U90" i="586"/>
  <c r="U91" i="586"/>
  <c r="U92" i="586"/>
  <c r="U93" i="586"/>
  <c r="U94" i="586"/>
  <c r="U95" i="586"/>
  <c r="U96" i="586"/>
  <c r="U97" i="586"/>
  <c r="U98" i="586"/>
  <c r="U99" i="586"/>
  <c r="U100" i="586"/>
  <c r="U101" i="586"/>
  <c r="U102" i="586"/>
  <c r="U103" i="586"/>
  <c r="U104" i="586"/>
  <c r="U105" i="586"/>
  <c r="U106" i="586"/>
  <c r="U107" i="586"/>
  <c r="U108" i="586"/>
  <c r="U109" i="586"/>
  <c r="U110" i="586"/>
  <c r="U111" i="586"/>
  <c r="U112" i="586"/>
  <c r="U113" i="586"/>
  <c r="U114" i="586"/>
  <c r="U115" i="586"/>
  <c r="U116" i="586"/>
  <c r="U117" i="586"/>
  <c r="U118" i="586"/>
  <c r="U119" i="586"/>
  <c r="U120" i="586"/>
  <c r="U121" i="586"/>
  <c r="U122" i="586"/>
  <c r="U123" i="586"/>
  <c r="U124" i="586"/>
  <c r="U125" i="586"/>
  <c r="U126" i="586"/>
  <c r="U127" i="586"/>
  <c r="U128" i="586"/>
  <c r="U129" i="586"/>
  <c r="U130" i="586"/>
  <c r="U131" i="586"/>
  <c r="U132" i="586"/>
  <c r="U133" i="586"/>
  <c r="U134" i="586"/>
  <c r="U135" i="586"/>
  <c r="U136" i="586"/>
  <c r="U137" i="586"/>
  <c r="U138" i="586"/>
  <c r="U139" i="586"/>
  <c r="U140" i="586"/>
  <c r="U141" i="586"/>
  <c r="U142" i="586"/>
  <c r="U143" i="586"/>
  <c r="U144" i="586"/>
  <c r="U145" i="586"/>
  <c r="U146" i="586"/>
  <c r="U147" i="586"/>
  <c r="U148" i="586"/>
  <c r="U149" i="586"/>
  <c r="U150" i="586"/>
  <c r="U151" i="586"/>
  <c r="U152" i="586"/>
  <c r="U153" i="586"/>
  <c r="U154" i="586"/>
  <c r="U155" i="586"/>
  <c r="U156" i="586"/>
  <c r="U157" i="586"/>
  <c r="U158" i="586"/>
  <c r="U159" i="586"/>
  <c r="U160" i="586"/>
  <c r="U161" i="586"/>
  <c r="U162" i="586"/>
  <c r="U163" i="586"/>
  <c r="U164" i="586"/>
  <c r="U165" i="586"/>
  <c r="U166" i="586"/>
  <c r="U167" i="586"/>
  <c r="U168" i="586"/>
  <c r="U169" i="586"/>
  <c r="U170" i="586"/>
  <c r="U171" i="586"/>
  <c r="U172" i="586"/>
  <c r="U173" i="586"/>
  <c r="U174" i="586"/>
  <c r="U175" i="586"/>
  <c r="U176" i="586"/>
  <c r="U177" i="586"/>
  <c r="U178" i="586"/>
  <c r="U179" i="586"/>
  <c r="U180" i="586"/>
  <c r="U181" i="586"/>
  <c r="U182" i="586"/>
  <c r="U183" i="586"/>
  <c r="U184" i="586"/>
  <c r="U185" i="586"/>
  <c r="U186" i="586"/>
  <c r="U187" i="586"/>
  <c r="U188" i="586"/>
  <c r="U189" i="586"/>
  <c r="U190" i="586"/>
  <c r="U191" i="586"/>
  <c r="U192" i="586"/>
  <c r="U193" i="586"/>
  <c r="U194" i="586"/>
  <c r="U195" i="586"/>
  <c r="U196" i="586"/>
  <c r="U197" i="586"/>
  <c r="U198" i="586"/>
  <c r="U199" i="586"/>
  <c r="U200" i="586"/>
  <c r="U201" i="586"/>
  <c r="U202" i="586"/>
  <c r="U203" i="586"/>
  <c r="U204" i="586"/>
  <c r="U205" i="586"/>
  <c r="U206" i="586"/>
  <c r="U207" i="586"/>
  <c r="U208" i="586"/>
  <c r="U209" i="586"/>
  <c r="U210" i="586"/>
  <c r="U211" i="586"/>
  <c r="U212" i="586"/>
  <c r="U213" i="586"/>
  <c r="U214" i="586"/>
  <c r="U215" i="586"/>
  <c r="U216" i="586"/>
  <c r="U217" i="586"/>
  <c r="U218" i="586"/>
  <c r="U219" i="586"/>
  <c r="U220" i="586"/>
  <c r="U221" i="586"/>
  <c r="U222" i="586"/>
  <c r="U223" i="586"/>
  <c r="U224" i="586"/>
  <c r="U225" i="586"/>
  <c r="U226" i="586"/>
  <c r="U227" i="586"/>
  <c r="U228" i="586"/>
  <c r="U229" i="586"/>
  <c r="U230" i="586"/>
  <c r="U231" i="586"/>
  <c r="U232" i="586"/>
  <c r="U233" i="586"/>
  <c r="U234" i="586"/>
  <c r="U235" i="586"/>
  <c r="U236" i="586"/>
  <c r="U237" i="586"/>
  <c r="U238" i="586"/>
  <c r="U239" i="586"/>
  <c r="U240" i="586"/>
  <c r="U241" i="586"/>
  <c r="U242" i="586"/>
  <c r="U243" i="586"/>
  <c r="U244" i="586"/>
  <c r="U245" i="586"/>
  <c r="U246" i="586"/>
  <c r="U247" i="586"/>
  <c r="U248" i="586"/>
  <c r="U249" i="586"/>
  <c r="U250" i="586"/>
  <c r="U251" i="586"/>
  <c r="U252" i="586"/>
  <c r="U253" i="586"/>
  <c r="U254" i="586"/>
  <c r="U255" i="586"/>
  <c r="U256" i="586"/>
  <c r="U257" i="586"/>
  <c r="U258" i="586"/>
  <c r="W7" i="585"/>
  <c r="W8" i="585"/>
  <c r="W9" i="585"/>
  <c r="W10" i="585"/>
  <c r="W11" i="585"/>
  <c r="W12" i="585"/>
  <c r="W13" i="585"/>
  <c r="W14" i="585"/>
  <c r="W15" i="585"/>
  <c r="W16" i="585"/>
  <c r="W17" i="585"/>
  <c r="W18" i="585"/>
  <c r="W19" i="585"/>
  <c r="W20" i="585"/>
  <c r="W21" i="585"/>
  <c r="W22" i="585"/>
  <c r="W23" i="585"/>
  <c r="W24" i="585"/>
  <c r="W25" i="585"/>
  <c r="W26" i="585"/>
  <c r="W27" i="585"/>
  <c r="W28" i="585"/>
  <c r="W29" i="585"/>
  <c r="W30" i="585"/>
  <c r="W31" i="585"/>
  <c r="W32" i="585"/>
  <c r="W33" i="585"/>
  <c r="W34" i="585"/>
  <c r="W35" i="585"/>
  <c r="W36" i="585"/>
  <c r="W37" i="585"/>
  <c r="W38" i="585"/>
  <c r="W39" i="585"/>
  <c r="W40" i="585"/>
  <c r="W41" i="585"/>
  <c r="W42" i="585"/>
  <c r="W43" i="585"/>
  <c r="W44" i="585"/>
  <c r="W45" i="585"/>
  <c r="W46" i="585"/>
  <c r="W47" i="585"/>
  <c r="W48" i="585"/>
  <c r="W49" i="585"/>
  <c r="W50" i="585"/>
  <c r="W51" i="585"/>
  <c r="W52" i="585"/>
  <c r="W53" i="585"/>
  <c r="W54" i="585"/>
  <c r="W55" i="585"/>
  <c r="W56" i="585"/>
  <c r="W57" i="585"/>
  <c r="W58" i="585"/>
  <c r="W59" i="585"/>
  <c r="W60" i="585"/>
  <c r="W61" i="585"/>
  <c r="W62" i="585"/>
  <c r="W63" i="585"/>
  <c r="W64" i="585"/>
  <c r="W65" i="585"/>
  <c r="W66" i="585"/>
  <c r="W67" i="585"/>
  <c r="W68" i="585"/>
  <c r="W69" i="585"/>
  <c r="W70" i="585"/>
  <c r="W71" i="585"/>
  <c r="W72" i="585"/>
  <c r="W73" i="585"/>
  <c r="W74" i="585"/>
  <c r="W75" i="585"/>
  <c r="W76" i="585"/>
  <c r="W77" i="585"/>
  <c r="W78" i="585"/>
  <c r="W79" i="585"/>
  <c r="W80" i="585"/>
  <c r="W81" i="585"/>
  <c r="W82" i="585"/>
  <c r="W83" i="585"/>
  <c r="W84" i="585"/>
  <c r="W85" i="585"/>
  <c r="W86" i="585"/>
  <c r="W87" i="585"/>
  <c r="W88" i="585"/>
  <c r="W89" i="585"/>
  <c r="W90" i="585"/>
  <c r="W91" i="585"/>
  <c r="W92" i="585"/>
  <c r="W93" i="585"/>
  <c r="W94" i="585"/>
  <c r="W95" i="585"/>
  <c r="W96" i="585"/>
  <c r="W97" i="585"/>
  <c r="W98" i="585"/>
  <c r="W99" i="585"/>
  <c r="W100" i="585"/>
  <c r="W101" i="585"/>
  <c r="W102" i="585"/>
  <c r="W103" i="585"/>
  <c r="W104" i="585"/>
  <c r="W105" i="585"/>
  <c r="W106" i="585"/>
  <c r="W107" i="585"/>
  <c r="W108" i="585"/>
  <c r="W109" i="585"/>
  <c r="W110" i="585"/>
  <c r="W111" i="585"/>
  <c r="W112" i="585"/>
  <c r="W113" i="585"/>
  <c r="W114" i="585"/>
  <c r="W115" i="585"/>
  <c r="W116" i="585"/>
  <c r="W117" i="585"/>
  <c r="W118" i="585"/>
  <c r="W119" i="585"/>
  <c r="W120" i="585"/>
  <c r="W121" i="585"/>
  <c r="W122" i="585"/>
  <c r="W123" i="585"/>
  <c r="W124" i="585"/>
  <c r="W125" i="585"/>
  <c r="W126" i="585"/>
  <c r="W127" i="585"/>
  <c r="W128" i="585"/>
  <c r="W129" i="585"/>
  <c r="W130" i="585"/>
  <c r="W131" i="585"/>
  <c r="W132" i="585"/>
  <c r="W133" i="585"/>
  <c r="W134" i="585"/>
  <c r="W135" i="585"/>
  <c r="W136" i="585"/>
  <c r="W137" i="585"/>
  <c r="W138" i="585"/>
  <c r="W139" i="585"/>
  <c r="W140" i="585"/>
  <c r="W141" i="585"/>
  <c r="W142" i="585"/>
  <c r="W143" i="585"/>
  <c r="W144" i="585"/>
  <c r="W145" i="585"/>
  <c r="W146" i="585"/>
  <c r="W147" i="585"/>
  <c r="W148" i="585"/>
  <c r="W149" i="585"/>
  <c r="W150" i="585"/>
  <c r="W151" i="585"/>
  <c r="W152" i="585"/>
  <c r="W153" i="585"/>
  <c r="W154" i="585"/>
  <c r="W155" i="585"/>
  <c r="W156" i="585"/>
  <c r="W157" i="585"/>
  <c r="W158" i="585"/>
  <c r="W159" i="585"/>
  <c r="W160" i="585"/>
  <c r="W161" i="585"/>
  <c r="W162" i="585"/>
  <c r="W163" i="585"/>
  <c r="W164" i="585"/>
  <c r="W165" i="585"/>
  <c r="W166" i="585"/>
  <c r="W167" i="585"/>
  <c r="W168" i="585"/>
  <c r="W169" i="585"/>
  <c r="W170" i="585"/>
  <c r="W171" i="585"/>
  <c r="W172" i="585"/>
  <c r="W173" i="585"/>
  <c r="W174" i="585"/>
  <c r="W175" i="585"/>
  <c r="W176" i="585"/>
  <c r="W177" i="585"/>
  <c r="W178" i="585"/>
  <c r="W179" i="585"/>
  <c r="W180" i="585"/>
  <c r="W181" i="585"/>
  <c r="W182" i="585"/>
  <c r="W183" i="585"/>
  <c r="W184" i="585"/>
  <c r="W185" i="585"/>
  <c r="W186" i="585"/>
  <c r="W187" i="585"/>
  <c r="W188" i="585"/>
  <c r="W189" i="585"/>
  <c r="W190" i="585"/>
  <c r="W191" i="585"/>
  <c r="W192" i="585"/>
  <c r="W193" i="585"/>
  <c r="W194" i="585"/>
  <c r="W195" i="585"/>
  <c r="W196" i="585"/>
  <c r="W197" i="585"/>
  <c r="W198" i="585"/>
  <c r="W199" i="585"/>
  <c r="W200" i="585"/>
  <c r="W201" i="585"/>
  <c r="W202" i="585"/>
  <c r="W203" i="585"/>
  <c r="W204" i="585"/>
  <c r="W205" i="585"/>
  <c r="W206" i="585"/>
  <c r="W207" i="585"/>
  <c r="W208" i="585"/>
  <c r="W209" i="585"/>
  <c r="W210" i="585"/>
  <c r="W211" i="585"/>
  <c r="W212" i="585"/>
  <c r="W213" i="585"/>
  <c r="W214" i="585"/>
  <c r="W215" i="585"/>
  <c r="W216" i="585"/>
  <c r="W217" i="585"/>
  <c r="W218" i="585"/>
  <c r="W219" i="585"/>
  <c r="W220" i="585"/>
  <c r="W221" i="585"/>
  <c r="W222" i="585"/>
  <c r="W223" i="585"/>
  <c r="W224" i="585"/>
  <c r="W225" i="585"/>
  <c r="W226" i="585"/>
  <c r="W227" i="585"/>
  <c r="W228" i="585"/>
  <c r="W229" i="585"/>
  <c r="W230" i="585"/>
  <c r="W231" i="585"/>
  <c r="W232" i="585"/>
  <c r="W233" i="585"/>
  <c r="W234" i="585"/>
  <c r="W235" i="585"/>
  <c r="W236" i="585"/>
  <c r="W237" i="585"/>
  <c r="W238" i="585"/>
  <c r="W239" i="585"/>
  <c r="W240" i="585"/>
  <c r="W241" i="585"/>
  <c r="W242" i="585"/>
  <c r="W243" i="585"/>
  <c r="W244" i="585"/>
  <c r="W245" i="585"/>
  <c r="W246" i="585"/>
  <c r="W247" i="585"/>
  <c r="W248" i="585"/>
  <c r="W249" i="585"/>
  <c r="W250" i="585"/>
  <c r="W251" i="585"/>
  <c r="W252" i="585"/>
  <c r="W253" i="585"/>
  <c r="W254" i="585"/>
  <c r="W255" i="585"/>
  <c r="W256" i="585"/>
  <c r="W257" i="585"/>
  <c r="W258" i="585"/>
  <c r="W259" i="585"/>
  <c r="W260" i="585"/>
  <c r="W261" i="585"/>
  <c r="W262" i="585"/>
  <c r="W263" i="585"/>
  <c r="W264" i="585"/>
  <c r="W265" i="585"/>
  <c r="W266" i="585"/>
  <c r="W267" i="585"/>
  <c r="W268" i="585"/>
  <c r="W269" i="585"/>
  <c r="W270" i="585"/>
  <c r="W271" i="585"/>
  <c r="W272" i="585"/>
  <c r="W273" i="585"/>
  <c r="W274" i="585"/>
  <c r="W275" i="585"/>
  <c r="W276" i="585"/>
  <c r="W277" i="585"/>
  <c r="W278" i="585"/>
  <c r="W279" i="585"/>
  <c r="W280" i="585"/>
  <c r="W281" i="585"/>
  <c r="W282" i="585"/>
  <c r="W283" i="585"/>
  <c r="W284" i="585"/>
  <c r="W285" i="585"/>
  <c r="W286" i="585"/>
  <c r="W287" i="585"/>
  <c r="W288" i="585"/>
  <c r="W289" i="585"/>
  <c r="W290" i="585"/>
  <c r="W291" i="585"/>
  <c r="W292" i="585"/>
  <c r="W293" i="585"/>
  <c r="W294" i="585"/>
  <c r="W295" i="585"/>
  <c r="W296" i="585"/>
  <c r="W297" i="585"/>
  <c r="W298" i="585"/>
  <c r="W299" i="585"/>
  <c r="W300" i="585"/>
  <c r="W301" i="585"/>
  <c r="W302" i="585"/>
  <c r="W303" i="585"/>
  <c r="W304" i="585"/>
  <c r="W305" i="585"/>
  <c r="W306" i="585"/>
  <c r="W307" i="585"/>
  <c r="W308" i="585"/>
  <c r="W309" i="585"/>
  <c r="W310" i="585"/>
  <c r="W311" i="585"/>
  <c r="W312" i="585"/>
  <c r="W313" i="585"/>
  <c r="W314" i="585"/>
  <c r="W315" i="585"/>
  <c r="W316" i="585"/>
  <c r="W317" i="585"/>
  <c r="W318" i="585"/>
  <c r="W7" i="584"/>
  <c r="W8" i="584"/>
  <c r="W9" i="584"/>
  <c r="W10" i="584"/>
  <c r="W11" i="584"/>
  <c r="W12" i="584"/>
  <c r="W13" i="584"/>
  <c r="W14" i="584"/>
  <c r="W15" i="584"/>
  <c r="W16" i="584"/>
  <c r="W17" i="584"/>
  <c r="W18" i="584"/>
  <c r="W19" i="584"/>
  <c r="W20" i="584"/>
  <c r="W21" i="584"/>
  <c r="W22" i="584"/>
  <c r="W23" i="584"/>
  <c r="W24" i="584"/>
  <c r="W25" i="584"/>
  <c r="W26" i="584"/>
  <c r="W27" i="584"/>
  <c r="W28" i="584"/>
  <c r="W29" i="584"/>
  <c r="W30" i="584"/>
  <c r="W31" i="584"/>
  <c r="W32" i="584"/>
  <c r="W33" i="584"/>
  <c r="W34" i="584"/>
  <c r="W35" i="584"/>
  <c r="W36" i="584"/>
  <c r="W37" i="584"/>
  <c r="W38" i="584"/>
  <c r="W39" i="584"/>
  <c r="W40" i="584"/>
  <c r="W41" i="584"/>
  <c r="W42" i="584"/>
  <c r="W43" i="584"/>
  <c r="W44" i="584"/>
  <c r="W45" i="584"/>
  <c r="W46" i="584"/>
  <c r="W47" i="584"/>
  <c r="W48" i="584"/>
  <c r="W49" i="584"/>
  <c r="W50" i="584"/>
  <c r="W51" i="584"/>
  <c r="W52" i="584"/>
  <c r="W53" i="584"/>
  <c r="W54" i="584"/>
  <c r="W55" i="584"/>
  <c r="W56" i="584"/>
  <c r="W57" i="584"/>
  <c r="W58" i="584"/>
  <c r="W59" i="584"/>
  <c r="W60" i="584"/>
  <c r="W61" i="584"/>
  <c r="W62" i="584"/>
  <c r="W63" i="584"/>
  <c r="W64" i="584"/>
  <c r="W65" i="584"/>
  <c r="W66" i="584"/>
  <c r="W67" i="584"/>
  <c r="W68" i="584"/>
  <c r="W69" i="584"/>
  <c r="W70" i="584"/>
  <c r="W71" i="584"/>
  <c r="W72" i="584"/>
  <c r="W73" i="584"/>
  <c r="W74" i="584"/>
  <c r="W75" i="584"/>
  <c r="W76" i="584"/>
  <c r="W77" i="584"/>
  <c r="W78" i="584"/>
  <c r="W79" i="584"/>
  <c r="W80" i="584"/>
  <c r="W81" i="584"/>
  <c r="W82" i="584"/>
  <c r="W83" i="584"/>
  <c r="W84" i="584"/>
  <c r="W85" i="584"/>
  <c r="W86" i="584"/>
  <c r="W87" i="584"/>
  <c r="W88" i="584"/>
  <c r="W89" i="584"/>
  <c r="W90" i="584"/>
  <c r="W91" i="584"/>
  <c r="W92" i="584"/>
  <c r="W93" i="584"/>
  <c r="W94" i="584"/>
  <c r="W95" i="584"/>
  <c r="W96" i="584"/>
  <c r="W97" i="584"/>
  <c r="W98" i="584"/>
  <c r="W99" i="584"/>
  <c r="W100" i="584"/>
  <c r="W101" i="584"/>
  <c r="W102" i="584"/>
  <c r="W103" i="584"/>
  <c r="W104" i="584"/>
  <c r="W105" i="584"/>
  <c r="W106" i="584"/>
  <c r="W107" i="584"/>
  <c r="W108" i="584"/>
  <c r="W109" i="584"/>
  <c r="W110" i="584"/>
  <c r="W111" i="584"/>
  <c r="W112" i="584"/>
  <c r="W113" i="584"/>
  <c r="W114" i="584"/>
  <c r="W115" i="584"/>
  <c r="W116" i="584"/>
  <c r="W117" i="584"/>
  <c r="W118" i="584"/>
  <c r="W119" i="584"/>
  <c r="W120" i="584"/>
  <c r="W121" i="584"/>
  <c r="W122" i="584"/>
  <c r="W123" i="584"/>
  <c r="W124" i="584"/>
  <c r="W125" i="584"/>
  <c r="W126" i="584"/>
  <c r="W132" i="584"/>
  <c r="W133" i="584"/>
  <c r="W134" i="584"/>
  <c r="W135" i="584"/>
  <c r="W136" i="584"/>
  <c r="W137" i="584"/>
  <c r="W138" i="584"/>
  <c r="W139" i="584"/>
  <c r="W140" i="584"/>
  <c r="W141" i="584"/>
  <c r="W142" i="584"/>
  <c r="W143" i="584"/>
  <c r="W144" i="584"/>
  <c r="W145" i="584"/>
  <c r="W146" i="584"/>
  <c r="W147" i="584"/>
  <c r="W148" i="584"/>
  <c r="W149" i="584"/>
  <c r="W150" i="584"/>
  <c r="W151" i="584"/>
  <c r="W152" i="584"/>
  <c r="W153" i="584"/>
  <c r="W154" i="584"/>
  <c r="W155" i="584"/>
  <c r="W156" i="584"/>
  <c r="W157" i="584"/>
  <c r="W158" i="584"/>
  <c r="W159" i="584"/>
  <c r="W160" i="584"/>
  <c r="W161" i="584"/>
  <c r="W162" i="584"/>
  <c r="W163" i="584"/>
  <c r="W164" i="584"/>
  <c r="W165" i="584"/>
  <c r="W166" i="584"/>
  <c r="W167" i="584"/>
  <c r="W168" i="584"/>
  <c r="W169" i="584"/>
  <c r="W170" i="584"/>
  <c r="W171" i="584"/>
  <c r="W172" i="584"/>
  <c r="W173" i="584"/>
  <c r="W174" i="584"/>
  <c r="W175" i="584"/>
  <c r="W176" i="584"/>
  <c r="W177" i="584"/>
  <c r="W178" i="584"/>
  <c r="W179" i="584"/>
  <c r="W180" i="584"/>
  <c r="W181" i="584"/>
  <c r="W182" i="584"/>
  <c r="W183" i="584"/>
  <c r="W184" i="584"/>
  <c r="W185" i="584"/>
  <c r="W186" i="584"/>
  <c r="W187" i="584"/>
  <c r="W188" i="584"/>
  <c r="W189" i="584"/>
  <c r="W190" i="584"/>
  <c r="W191" i="584"/>
  <c r="W192" i="584"/>
  <c r="W193" i="584"/>
  <c r="W194" i="584"/>
  <c r="W195" i="584"/>
  <c r="W196" i="584"/>
  <c r="W197" i="584"/>
  <c r="W198" i="584"/>
  <c r="W199" i="584"/>
  <c r="W200" i="584"/>
  <c r="W201" i="584"/>
  <c r="W202" i="584"/>
  <c r="W203" i="584"/>
  <c r="W204" i="584"/>
  <c r="W205" i="584"/>
  <c r="W206" i="584"/>
  <c r="W207" i="584"/>
  <c r="W208" i="584"/>
  <c r="W209" i="584"/>
  <c r="W210" i="584"/>
  <c r="W211" i="584"/>
  <c r="W212" i="584"/>
  <c r="W213" i="584"/>
  <c r="W214" i="584"/>
  <c r="W215" i="584"/>
  <c r="W216" i="584"/>
  <c r="W217" i="584"/>
  <c r="W218" i="584"/>
  <c r="W219" i="584"/>
  <c r="W220" i="584"/>
  <c r="W221" i="584"/>
  <c r="W222" i="584"/>
  <c r="W223" i="584"/>
  <c r="W224" i="584"/>
  <c r="W225" i="584"/>
  <c r="W226" i="584"/>
  <c r="W227" i="584"/>
  <c r="W228" i="584"/>
  <c r="W229" i="584"/>
  <c r="W230" i="584"/>
  <c r="W231" i="584"/>
  <c r="W232" i="584"/>
  <c r="W233" i="584"/>
  <c r="W234" i="584"/>
  <c r="W235" i="584"/>
  <c r="W236" i="584"/>
  <c r="W237" i="584"/>
  <c r="W238" i="584"/>
  <c r="W239" i="584"/>
  <c r="W240" i="584"/>
  <c r="W241" i="584"/>
  <c r="W242" i="584"/>
  <c r="W243" i="584"/>
  <c r="W244" i="584"/>
  <c r="W245" i="584"/>
  <c r="W246" i="584"/>
  <c r="W247" i="584"/>
  <c r="W248" i="584"/>
  <c r="W249" i="584"/>
  <c r="W250" i="584"/>
  <c r="W251" i="584"/>
  <c r="W252" i="584"/>
  <c r="W253" i="584"/>
  <c r="W254" i="584"/>
  <c r="W255" i="584"/>
  <c r="W256" i="584"/>
  <c r="W257" i="584"/>
  <c r="W258" i="584"/>
  <c r="W259" i="584"/>
  <c r="W260" i="584"/>
  <c r="W261" i="584"/>
  <c r="W262" i="584"/>
  <c r="W263" i="584"/>
  <c r="W264" i="584"/>
  <c r="W265" i="584"/>
  <c r="W266" i="584"/>
  <c r="W267" i="584"/>
  <c r="W268" i="584"/>
  <c r="W269" i="584"/>
  <c r="W270" i="584"/>
  <c r="W271" i="584"/>
  <c r="W272" i="584"/>
  <c r="W273" i="584"/>
  <c r="W274" i="584"/>
  <c r="W275" i="584"/>
  <c r="W276" i="584"/>
  <c r="W277" i="584"/>
  <c r="W278" i="584"/>
  <c r="W279" i="584"/>
  <c r="W280" i="584"/>
  <c r="W281" i="584"/>
  <c r="W282" i="584"/>
  <c r="W283" i="584"/>
  <c r="W284" i="584"/>
  <c r="W285" i="584"/>
  <c r="W286" i="584"/>
  <c r="W287" i="584"/>
  <c r="W288" i="584"/>
  <c r="W289" i="584"/>
  <c r="W290" i="584"/>
  <c r="W291" i="584"/>
  <c r="W292" i="584"/>
  <c r="W293" i="584"/>
  <c r="W294" i="584"/>
  <c r="W295" i="584"/>
  <c r="W296" i="584"/>
  <c r="W297" i="584"/>
  <c r="W298" i="584"/>
  <c r="W299" i="584"/>
  <c r="W300" i="584"/>
  <c r="W301" i="584"/>
  <c r="W302" i="584"/>
  <c r="W303" i="584"/>
  <c r="W304" i="584"/>
  <c r="W305" i="584"/>
  <c r="W306" i="584"/>
  <c r="W307" i="584"/>
  <c r="W308" i="584"/>
  <c r="W309" i="584"/>
  <c r="W310" i="584"/>
  <c r="W311" i="584"/>
  <c r="W312" i="584"/>
  <c r="W313" i="584"/>
  <c r="W314" i="584"/>
  <c r="W315" i="584"/>
  <c r="W316" i="584"/>
  <c r="W317" i="584"/>
  <c r="W318" i="584"/>
  <c r="W319" i="584"/>
  <c r="W320" i="584"/>
  <c r="W321" i="584"/>
  <c r="W322" i="584"/>
  <c r="W323" i="584"/>
  <c r="W324" i="584"/>
  <c r="W325" i="584"/>
  <c r="W326" i="584"/>
  <c r="W327" i="584"/>
  <c r="W328" i="584"/>
  <c r="W329" i="584"/>
  <c r="W330" i="584"/>
  <c r="W331" i="584"/>
  <c r="W332" i="584"/>
  <c r="W333" i="584"/>
  <c r="W334" i="584"/>
  <c r="W335" i="584"/>
  <c r="W336" i="584"/>
  <c r="W337" i="584"/>
  <c r="W338" i="584"/>
  <c r="W339" i="584"/>
  <c r="W340" i="584"/>
  <c r="W341" i="584"/>
  <c r="W342" i="584"/>
  <c r="W343" i="584"/>
  <c r="W344" i="584"/>
  <c r="W345" i="584"/>
  <c r="W346" i="584"/>
  <c r="W347" i="584"/>
  <c r="U7" i="583"/>
  <c r="U8" i="583"/>
  <c r="U9" i="583"/>
  <c r="U10" i="583"/>
  <c r="U11" i="583"/>
  <c r="U12" i="583"/>
  <c r="U13" i="583"/>
  <c r="U14" i="583"/>
  <c r="U15" i="583"/>
  <c r="U16" i="583"/>
  <c r="U17" i="583"/>
  <c r="U18" i="583"/>
  <c r="U19" i="583"/>
  <c r="U20" i="583"/>
  <c r="U21" i="583"/>
  <c r="U22" i="583"/>
  <c r="U23" i="583"/>
  <c r="U24" i="583"/>
  <c r="U25" i="583"/>
  <c r="U26" i="583"/>
  <c r="U27" i="583"/>
  <c r="U28" i="583"/>
  <c r="U29" i="583"/>
  <c r="U30" i="583"/>
  <c r="U31" i="583"/>
  <c r="U32" i="583"/>
  <c r="U33" i="583"/>
  <c r="U34" i="583"/>
  <c r="U35" i="583"/>
  <c r="U36" i="583"/>
  <c r="U37" i="583"/>
  <c r="U38" i="583"/>
  <c r="U39" i="583"/>
  <c r="U40" i="583"/>
  <c r="U41" i="583"/>
  <c r="U42" i="583"/>
  <c r="U43" i="583"/>
  <c r="U44" i="583"/>
  <c r="U45" i="583"/>
  <c r="U46" i="583"/>
  <c r="U47" i="583"/>
  <c r="U48" i="583"/>
  <c r="U49" i="583"/>
  <c r="U50" i="583"/>
  <c r="U51" i="583"/>
  <c r="U52" i="583"/>
  <c r="U53" i="583"/>
  <c r="U54" i="583"/>
  <c r="U55" i="583"/>
  <c r="U56" i="583"/>
  <c r="U57" i="583"/>
  <c r="U58" i="583"/>
  <c r="U59" i="583"/>
  <c r="U60" i="583"/>
  <c r="U61" i="583"/>
  <c r="U62" i="583"/>
  <c r="U63" i="583"/>
  <c r="U64" i="583"/>
  <c r="U65" i="583"/>
  <c r="U66" i="583"/>
  <c r="U67" i="583"/>
  <c r="U68" i="583"/>
  <c r="U69" i="583"/>
  <c r="U70" i="583"/>
  <c r="U71" i="583"/>
  <c r="U72" i="583"/>
  <c r="U73" i="583"/>
  <c r="U74" i="583"/>
  <c r="U75" i="583"/>
  <c r="U76" i="583"/>
  <c r="U77" i="583"/>
  <c r="U78" i="583"/>
  <c r="U79" i="583"/>
  <c r="U80" i="583"/>
  <c r="U81" i="583"/>
  <c r="U82" i="583"/>
  <c r="U83" i="583"/>
  <c r="U84" i="583"/>
  <c r="U85" i="583"/>
  <c r="U86" i="583"/>
  <c r="U87" i="583"/>
  <c r="U88" i="583"/>
  <c r="U89" i="583"/>
  <c r="U90" i="583"/>
  <c r="U91" i="583"/>
  <c r="U92" i="583"/>
  <c r="U93" i="583"/>
  <c r="U94" i="583"/>
  <c r="U95" i="583"/>
  <c r="U96" i="583"/>
  <c r="U97" i="583"/>
  <c r="U98" i="583"/>
  <c r="U99" i="583"/>
  <c r="U100" i="583"/>
  <c r="U101" i="583"/>
  <c r="U102" i="583"/>
  <c r="U103" i="583"/>
  <c r="U104" i="583"/>
  <c r="U105" i="583"/>
  <c r="U106" i="583"/>
  <c r="U107" i="583"/>
  <c r="U108" i="583"/>
  <c r="U109" i="583"/>
  <c r="U110" i="583"/>
  <c r="U111" i="583"/>
  <c r="U112" i="583"/>
  <c r="U113" i="583"/>
  <c r="U114" i="583"/>
  <c r="U115" i="583"/>
  <c r="U116" i="583"/>
  <c r="U117" i="583"/>
  <c r="U118" i="583"/>
  <c r="U119" i="583"/>
  <c r="U120" i="583"/>
  <c r="U121" i="583"/>
  <c r="U122" i="583"/>
  <c r="U123" i="583"/>
  <c r="U124" i="583"/>
  <c r="U125" i="583"/>
  <c r="U126" i="583"/>
  <c r="U127" i="583"/>
  <c r="U128" i="583"/>
  <c r="U129" i="583"/>
  <c r="U130" i="583"/>
  <c r="U131" i="583"/>
  <c r="U132" i="583"/>
  <c r="U133" i="583"/>
  <c r="U134" i="583"/>
  <c r="U135" i="583"/>
  <c r="U136" i="583"/>
  <c r="U137" i="583"/>
  <c r="U138" i="583"/>
  <c r="U139" i="583"/>
  <c r="U140" i="583"/>
  <c r="U141" i="583"/>
  <c r="U142" i="583"/>
  <c r="U143" i="583"/>
  <c r="U144" i="583"/>
  <c r="U145" i="583"/>
  <c r="U146" i="583"/>
  <c r="U147" i="583"/>
  <c r="U148" i="583"/>
  <c r="U149" i="583"/>
  <c r="U150" i="583"/>
  <c r="U151" i="583"/>
  <c r="U152" i="583"/>
  <c r="U153" i="583"/>
  <c r="U154" i="583"/>
  <c r="U155" i="583"/>
  <c r="U156" i="583"/>
  <c r="U157" i="583"/>
  <c r="U158" i="583"/>
  <c r="U159" i="583"/>
  <c r="U160" i="583"/>
  <c r="U161" i="583"/>
  <c r="U162" i="583"/>
  <c r="U163" i="583"/>
  <c r="U164" i="583"/>
  <c r="U165" i="583"/>
  <c r="U166" i="583"/>
  <c r="U167" i="583"/>
  <c r="U168" i="583"/>
  <c r="U169" i="583"/>
  <c r="U170" i="583"/>
  <c r="U171" i="583"/>
  <c r="U172" i="583"/>
  <c r="U173" i="583"/>
  <c r="U174" i="583"/>
  <c r="U175" i="583"/>
  <c r="U176" i="583"/>
  <c r="U177" i="583"/>
  <c r="U178" i="583"/>
  <c r="U179" i="583"/>
  <c r="U180" i="583"/>
  <c r="U181" i="583"/>
  <c r="U182" i="583"/>
  <c r="U183" i="583"/>
  <c r="U184" i="583"/>
  <c r="U185" i="583"/>
  <c r="U186" i="583"/>
  <c r="U187" i="583"/>
  <c r="U188" i="583"/>
  <c r="U189" i="583"/>
  <c r="U190" i="583"/>
  <c r="U191" i="583"/>
  <c r="U192" i="583"/>
  <c r="U193" i="583"/>
  <c r="U194" i="583"/>
  <c r="U195" i="583"/>
  <c r="U196" i="583"/>
  <c r="U197" i="583"/>
  <c r="U198" i="583"/>
  <c r="U199" i="583"/>
  <c r="U200" i="583"/>
  <c r="U201" i="583"/>
  <c r="U202" i="583"/>
  <c r="U203" i="583"/>
  <c r="U204" i="583"/>
  <c r="U205" i="583"/>
  <c r="U206" i="583"/>
  <c r="U207" i="583"/>
  <c r="U208" i="583"/>
  <c r="U209" i="583"/>
  <c r="U210" i="583"/>
  <c r="U211" i="583"/>
  <c r="U212" i="583"/>
  <c r="U213" i="583"/>
  <c r="U214" i="583"/>
  <c r="U215" i="583"/>
  <c r="U216" i="583"/>
  <c r="U217" i="583"/>
  <c r="U218" i="583"/>
  <c r="U219" i="583"/>
  <c r="U220" i="583"/>
  <c r="U221" i="583"/>
  <c r="U222" i="583"/>
  <c r="U223" i="583"/>
  <c r="U224" i="583"/>
  <c r="U225" i="583"/>
  <c r="U226" i="583"/>
  <c r="U227" i="583"/>
  <c r="U228" i="583"/>
  <c r="U229" i="583"/>
  <c r="U230" i="583"/>
  <c r="U231" i="583"/>
  <c r="U232" i="583"/>
  <c r="U233" i="583"/>
  <c r="U234" i="583"/>
  <c r="U235" i="583"/>
  <c r="U236" i="583"/>
  <c r="U237" i="583"/>
  <c r="U238" i="583"/>
  <c r="U239" i="583"/>
  <c r="U240" i="583"/>
  <c r="U241" i="583"/>
  <c r="U242" i="583"/>
  <c r="U243" i="583"/>
  <c r="U244" i="583"/>
  <c r="U245" i="583"/>
  <c r="U246" i="583"/>
  <c r="U247" i="583"/>
  <c r="U248" i="583"/>
  <c r="U249" i="583"/>
  <c r="U250" i="583"/>
  <c r="U251" i="583"/>
  <c r="U252" i="583"/>
  <c r="U253" i="583"/>
  <c r="U254" i="583"/>
  <c r="U255" i="583"/>
  <c r="U256" i="583"/>
  <c r="U257" i="583"/>
  <c r="U258" i="583"/>
  <c r="U259" i="583"/>
  <c r="U260" i="583"/>
  <c r="U261" i="583"/>
  <c r="U262" i="583"/>
  <c r="U263" i="583"/>
  <c r="U264" i="583"/>
  <c r="U265" i="583"/>
  <c r="U266" i="583"/>
  <c r="U267" i="583"/>
  <c r="U268" i="583"/>
  <c r="U269" i="583"/>
  <c r="U270" i="583"/>
  <c r="U271" i="583"/>
  <c r="U272" i="583"/>
  <c r="U273" i="583"/>
  <c r="U274" i="583"/>
  <c r="U275" i="583"/>
  <c r="U276" i="583"/>
  <c r="U277" i="583"/>
  <c r="U278" i="583"/>
  <c r="U279" i="583"/>
  <c r="U280" i="583"/>
  <c r="U281" i="583"/>
  <c r="U282" i="583"/>
  <c r="U283" i="583"/>
  <c r="U284" i="583"/>
  <c r="U285" i="583"/>
  <c r="U286" i="583"/>
  <c r="U287" i="583"/>
  <c r="U288" i="583"/>
  <c r="U289" i="583"/>
  <c r="U290" i="583"/>
  <c r="U291" i="583"/>
  <c r="U292" i="583"/>
  <c r="U293" i="583"/>
  <c r="U294" i="583"/>
  <c r="U295" i="583"/>
  <c r="U296" i="583"/>
  <c r="U297" i="583"/>
  <c r="U298" i="583"/>
  <c r="U299" i="583"/>
  <c r="U300" i="583"/>
  <c r="U301" i="583"/>
  <c r="U302" i="583"/>
  <c r="U303" i="583"/>
  <c r="U304" i="583"/>
  <c r="U305" i="583"/>
  <c r="U306" i="583"/>
  <c r="U307" i="583"/>
  <c r="U308" i="583"/>
  <c r="U309" i="583"/>
  <c r="U310" i="583"/>
  <c r="U311" i="583"/>
  <c r="U312" i="583"/>
  <c r="U313" i="583"/>
  <c r="U314" i="583"/>
  <c r="U315" i="583"/>
  <c r="U316" i="583"/>
  <c r="U317" i="583"/>
  <c r="U318" i="583"/>
  <c r="U319" i="583"/>
  <c r="U320" i="583"/>
  <c r="U321" i="583"/>
  <c r="U322" i="583"/>
  <c r="U323" i="583"/>
  <c r="U324" i="583"/>
  <c r="U325" i="583"/>
  <c r="U326" i="583"/>
  <c r="U327" i="583"/>
  <c r="U328" i="583"/>
  <c r="U329" i="583"/>
  <c r="U330" i="583"/>
  <c r="U331" i="583"/>
  <c r="U332" i="583"/>
  <c r="U333" i="583"/>
  <c r="U334" i="583"/>
  <c r="U335" i="583"/>
  <c r="U336" i="583"/>
  <c r="U337" i="583"/>
  <c r="U338" i="583"/>
  <c r="U339" i="583"/>
  <c r="U340" i="583"/>
  <c r="U341" i="583"/>
  <c r="U342" i="583"/>
  <c r="U343" i="583"/>
  <c r="U344" i="583"/>
  <c r="U345" i="583"/>
  <c r="U346" i="583"/>
  <c r="U347" i="583"/>
  <c r="U348" i="583"/>
  <c r="U349" i="583"/>
  <c r="U350" i="583"/>
  <c r="U351" i="583"/>
  <c r="U352" i="583"/>
  <c r="U353" i="583"/>
  <c r="U354" i="583"/>
  <c r="U355" i="583"/>
  <c r="U356" i="583"/>
  <c r="U357" i="583"/>
  <c r="U358" i="583"/>
  <c r="U359" i="583"/>
  <c r="U360" i="583"/>
  <c r="U361" i="583"/>
  <c r="U362" i="583"/>
  <c r="U363" i="583"/>
  <c r="U364" i="583"/>
  <c r="U365" i="583"/>
  <c r="U366" i="583"/>
  <c r="U367" i="583"/>
  <c r="U368" i="583"/>
  <c r="U369" i="583"/>
  <c r="U370" i="583"/>
  <c r="U371" i="583"/>
  <c r="U372" i="583"/>
  <c r="U373" i="583"/>
  <c r="U374" i="583"/>
  <c r="U375" i="583"/>
  <c r="U376" i="583"/>
  <c r="U377" i="583"/>
  <c r="U378" i="583"/>
  <c r="U379" i="583"/>
  <c r="U380" i="583"/>
  <c r="U381" i="583"/>
  <c r="U382" i="583"/>
  <c r="U383" i="583"/>
  <c r="U384" i="583"/>
  <c r="U385" i="583"/>
  <c r="U386" i="583"/>
  <c r="U387" i="583"/>
  <c r="U388" i="583"/>
  <c r="U389" i="583"/>
  <c r="U390" i="583"/>
  <c r="U391" i="583"/>
  <c r="U392" i="583"/>
  <c r="U393" i="583"/>
  <c r="U394" i="583"/>
  <c r="U395" i="583"/>
  <c r="U396" i="583"/>
  <c r="U397" i="583"/>
  <c r="U398" i="583"/>
  <c r="U399" i="583"/>
  <c r="U400" i="583"/>
  <c r="U401" i="583"/>
  <c r="U402" i="583"/>
  <c r="U403" i="583"/>
  <c r="U404" i="583"/>
  <c r="U405" i="583"/>
  <c r="U406" i="583"/>
  <c r="U407" i="583"/>
  <c r="U408" i="583"/>
  <c r="U409" i="583"/>
  <c r="U410" i="583"/>
  <c r="U411" i="583"/>
  <c r="U412" i="583"/>
  <c r="U413" i="583"/>
  <c r="U414" i="583"/>
  <c r="U415" i="583"/>
  <c r="U416" i="583"/>
  <c r="U417" i="583"/>
  <c r="U418" i="583"/>
  <c r="U419" i="583"/>
  <c r="U420" i="583"/>
  <c r="U421" i="583"/>
  <c r="U422" i="583"/>
  <c r="U423" i="583"/>
  <c r="U424" i="583"/>
  <c r="U425" i="583"/>
  <c r="U426" i="583"/>
  <c r="U427" i="583"/>
  <c r="U428" i="583"/>
  <c r="U429" i="583"/>
  <c r="U430" i="583"/>
  <c r="U431" i="583"/>
  <c r="U432" i="583"/>
  <c r="U433" i="583"/>
  <c r="U434" i="583"/>
  <c r="U435" i="583"/>
  <c r="U436" i="583"/>
  <c r="U437" i="583"/>
  <c r="U438" i="583"/>
  <c r="U439" i="583"/>
  <c r="U440" i="583"/>
  <c r="U441" i="583"/>
  <c r="U442" i="583"/>
  <c r="U443" i="583"/>
  <c r="U444" i="583"/>
  <c r="U445" i="583"/>
  <c r="U446" i="583"/>
  <c r="U447" i="583"/>
  <c r="U448" i="583"/>
  <c r="U449" i="583"/>
  <c r="U450" i="583"/>
  <c r="U451" i="583"/>
  <c r="U452" i="583"/>
  <c r="U453" i="583"/>
  <c r="U454" i="583"/>
  <c r="U455" i="583"/>
  <c r="U456" i="583"/>
  <c r="U457" i="583"/>
  <c r="U458" i="583"/>
  <c r="U459" i="583"/>
  <c r="U460" i="583"/>
  <c r="U461" i="583"/>
  <c r="U462" i="583"/>
  <c r="U463" i="583"/>
  <c r="U464" i="583"/>
  <c r="U465" i="583"/>
  <c r="U466" i="583"/>
  <c r="U467" i="583"/>
  <c r="U468" i="583"/>
  <c r="U469" i="583"/>
  <c r="U470" i="583"/>
  <c r="U471" i="583"/>
  <c r="U472" i="583"/>
  <c r="U473" i="583"/>
  <c r="U474" i="583"/>
  <c r="U475" i="583"/>
  <c r="U476" i="583"/>
  <c r="U477" i="583"/>
  <c r="U478" i="583"/>
  <c r="U479" i="583"/>
  <c r="U480" i="583"/>
  <c r="U481" i="583"/>
  <c r="U482" i="583"/>
  <c r="U483" i="583"/>
  <c r="U484" i="583"/>
  <c r="U485" i="583"/>
  <c r="U486" i="583"/>
  <c r="U487" i="583"/>
  <c r="U488" i="583"/>
  <c r="U489" i="583"/>
  <c r="U490" i="583"/>
  <c r="U491" i="583"/>
  <c r="U492" i="583"/>
  <c r="U493" i="583"/>
  <c r="U494" i="583"/>
  <c r="U495" i="583"/>
  <c r="U496" i="583"/>
  <c r="U497" i="583"/>
  <c r="U498" i="583"/>
  <c r="U499" i="583"/>
  <c r="U500" i="583"/>
  <c r="U501" i="583"/>
  <c r="U502" i="583"/>
  <c r="U503" i="583"/>
  <c r="U504" i="583"/>
  <c r="U505" i="583"/>
  <c r="U506" i="583"/>
  <c r="U507" i="583"/>
  <c r="U508" i="583"/>
  <c r="U509" i="583"/>
  <c r="U510" i="583"/>
  <c r="AE7" i="582"/>
  <c r="AE8" i="582"/>
  <c r="AE9" i="582"/>
  <c r="AE10" i="582"/>
  <c r="AE11" i="582"/>
  <c r="AE12" i="582"/>
  <c r="AE13" i="582"/>
  <c r="AE14" i="582"/>
  <c r="AE15" i="582"/>
  <c r="AE16" i="582"/>
  <c r="AE17" i="582"/>
  <c r="AE18" i="582"/>
  <c r="AE19" i="582"/>
  <c r="AE20" i="582"/>
  <c r="AE21" i="582"/>
  <c r="AE22" i="582"/>
  <c r="AE23" i="582"/>
  <c r="AE24" i="582"/>
  <c r="AE25" i="582"/>
  <c r="AE26" i="582"/>
  <c r="AE27" i="582"/>
  <c r="AE28" i="582"/>
  <c r="AE29" i="582"/>
  <c r="AE30" i="582"/>
  <c r="AE31" i="582"/>
  <c r="AE32" i="582"/>
  <c r="AE33" i="582"/>
  <c r="AE34" i="582"/>
  <c r="AE35" i="582"/>
  <c r="AE36" i="582"/>
  <c r="AE37" i="582"/>
  <c r="AE38" i="582"/>
  <c r="AE39" i="582"/>
  <c r="AE40" i="582"/>
  <c r="AE41" i="582"/>
  <c r="AE42" i="582"/>
  <c r="AE43" i="582"/>
  <c r="AE44" i="582"/>
  <c r="AE45" i="582"/>
  <c r="AE46" i="582"/>
  <c r="AE47" i="582"/>
  <c r="AE48" i="582"/>
  <c r="AE49" i="582"/>
  <c r="AE50" i="582"/>
  <c r="AE51" i="582"/>
  <c r="AE52" i="582"/>
  <c r="AE53" i="582"/>
  <c r="AE54" i="582"/>
  <c r="AE55" i="582"/>
  <c r="AE56" i="582"/>
  <c r="AE57" i="582"/>
  <c r="AE58" i="582"/>
  <c r="AE59" i="582"/>
  <c r="AE60" i="582"/>
  <c r="AE61" i="582"/>
  <c r="AE62" i="582"/>
  <c r="AE63" i="582"/>
  <c r="AE64" i="582"/>
  <c r="AE65" i="582"/>
  <c r="AE66" i="582"/>
  <c r="AE67" i="582"/>
  <c r="AE68" i="582"/>
  <c r="AE69" i="582"/>
  <c r="AE70" i="582"/>
  <c r="AE71" i="582"/>
  <c r="AE72" i="582"/>
  <c r="AE73" i="582"/>
  <c r="AE74" i="582"/>
  <c r="AE75" i="582"/>
  <c r="AE76" i="582"/>
  <c r="AE77" i="582"/>
  <c r="AE78" i="582"/>
  <c r="AE79" i="582"/>
  <c r="AE80" i="582"/>
  <c r="AE81" i="582"/>
  <c r="AE82" i="582"/>
  <c r="AE83" i="582"/>
  <c r="AE84" i="582"/>
  <c r="AE85" i="582"/>
  <c r="AE86" i="582"/>
  <c r="AE87" i="582"/>
  <c r="AE88" i="582"/>
  <c r="AE89" i="582"/>
  <c r="AE90" i="582"/>
  <c r="AE91" i="582"/>
  <c r="AE92" i="582"/>
  <c r="AE93" i="582"/>
  <c r="AE94" i="582"/>
  <c r="AE95" i="582"/>
  <c r="AE96" i="582"/>
  <c r="AE97" i="582"/>
  <c r="AE98" i="582"/>
  <c r="AE99" i="582"/>
  <c r="AE100" i="582"/>
  <c r="AE101" i="582"/>
  <c r="AE102" i="582"/>
  <c r="AE103" i="582"/>
  <c r="AE104" i="582"/>
  <c r="AE105" i="582"/>
  <c r="AE106" i="582"/>
  <c r="AE107" i="582"/>
  <c r="AE108" i="582"/>
  <c r="AE109" i="582"/>
  <c r="AE110" i="582"/>
  <c r="AE111" i="582"/>
  <c r="AE112" i="582"/>
  <c r="AE113" i="582"/>
  <c r="AE114" i="582"/>
  <c r="AE115" i="582"/>
  <c r="AE116" i="582"/>
  <c r="AE117" i="582"/>
  <c r="AE118" i="582"/>
  <c r="AE119" i="582"/>
  <c r="AE120" i="582"/>
  <c r="AE121" i="582"/>
  <c r="AE122" i="582"/>
  <c r="AE123" i="582"/>
  <c r="AE124" i="582"/>
  <c r="AE125" i="582"/>
  <c r="AE126" i="582"/>
  <c r="AE127" i="582"/>
  <c r="AE128" i="582"/>
  <c r="AE129" i="582"/>
  <c r="AE130" i="582"/>
  <c r="AE131" i="582"/>
  <c r="AE132" i="582"/>
  <c r="AE133" i="582"/>
  <c r="AE134" i="582"/>
  <c r="AE135" i="582"/>
  <c r="AE136" i="582"/>
  <c r="AE137" i="582"/>
  <c r="AE138" i="582"/>
  <c r="AE139" i="582"/>
  <c r="AE140" i="582"/>
  <c r="AE141" i="582"/>
  <c r="AE142" i="582"/>
  <c r="AE143" i="582"/>
  <c r="AE144" i="582"/>
  <c r="AE145" i="582"/>
  <c r="AE146" i="582"/>
  <c r="AE147" i="582"/>
  <c r="AE148" i="582"/>
  <c r="AE149" i="582"/>
  <c r="AE150" i="582"/>
  <c r="AE151" i="582"/>
  <c r="AE152" i="582"/>
  <c r="AE153" i="582"/>
  <c r="AE154" i="582"/>
  <c r="AE155" i="582"/>
  <c r="AE156" i="582"/>
  <c r="AE157" i="582"/>
  <c r="AE158" i="582"/>
  <c r="AE159" i="582"/>
  <c r="AE160" i="582"/>
  <c r="AE161" i="582"/>
  <c r="AE162" i="582"/>
  <c r="AE163" i="582"/>
  <c r="AE164" i="582"/>
  <c r="AE165" i="582"/>
  <c r="AE166" i="582"/>
  <c r="AE167" i="582"/>
  <c r="AE168" i="582"/>
  <c r="AE169" i="582"/>
  <c r="AE170" i="582"/>
  <c r="AE171" i="582"/>
  <c r="AE172" i="582"/>
  <c r="AE173" i="582"/>
  <c r="AE174" i="582"/>
  <c r="AE175" i="582"/>
  <c r="AE176" i="582"/>
  <c r="AE177" i="582"/>
  <c r="AE178" i="582"/>
  <c r="AE179" i="582"/>
  <c r="AE180" i="582"/>
  <c r="AE181" i="582"/>
  <c r="AE182" i="582"/>
  <c r="AE183" i="582"/>
  <c r="AE184" i="582"/>
  <c r="AE185" i="582"/>
  <c r="AE186" i="582"/>
  <c r="AE187" i="582"/>
  <c r="AE188" i="582"/>
  <c r="AE189" i="582"/>
  <c r="AE190" i="582"/>
  <c r="AE191" i="582"/>
  <c r="AE192" i="582"/>
  <c r="AE193" i="582"/>
  <c r="AE194" i="582"/>
  <c r="AE195" i="582"/>
  <c r="AE196" i="582"/>
  <c r="AE197" i="582"/>
  <c r="AE198" i="582"/>
  <c r="AE199" i="582"/>
  <c r="AE200" i="582"/>
  <c r="AE201" i="582"/>
  <c r="AE202" i="582"/>
  <c r="AE203" i="582"/>
  <c r="AE204" i="582"/>
  <c r="AE205" i="582"/>
  <c r="AE206" i="582"/>
  <c r="AE207" i="582"/>
  <c r="AE208" i="582"/>
  <c r="AE209" i="582"/>
  <c r="AE210" i="582"/>
  <c r="AE211" i="582"/>
  <c r="AE212" i="582"/>
  <c r="AE213" i="582"/>
  <c r="AE214" i="582"/>
  <c r="AE215" i="582"/>
  <c r="AE216" i="582"/>
  <c r="AE217" i="582"/>
  <c r="AE218" i="582"/>
  <c r="AE219" i="582"/>
  <c r="AE220" i="582"/>
  <c r="AE221" i="582"/>
  <c r="AE222" i="582"/>
  <c r="AE223" i="582"/>
  <c r="AE224" i="582"/>
  <c r="AE225" i="582"/>
  <c r="AE226" i="582"/>
  <c r="AE227" i="582"/>
  <c r="AE228" i="582"/>
  <c r="AE229" i="582"/>
  <c r="AE230" i="582"/>
  <c r="AE231" i="582"/>
  <c r="AE232" i="582"/>
  <c r="AE233" i="582"/>
  <c r="AE234" i="582"/>
  <c r="AE235" i="582"/>
  <c r="AE236" i="582"/>
  <c r="AE237" i="582"/>
  <c r="AE238" i="582"/>
  <c r="AE239" i="582"/>
  <c r="AE240" i="582"/>
  <c r="AE241" i="582"/>
  <c r="AE242" i="582"/>
  <c r="AE243" i="582"/>
  <c r="AE244" i="582"/>
  <c r="AE245" i="582"/>
  <c r="AE246" i="582"/>
  <c r="AE247" i="582"/>
  <c r="AE248" i="582"/>
  <c r="AE249" i="582"/>
  <c r="AE250" i="582"/>
  <c r="AE251" i="582"/>
  <c r="AE252" i="582"/>
  <c r="AE253" i="582"/>
  <c r="AE254" i="582"/>
  <c r="AE255" i="582"/>
  <c r="AE256" i="582"/>
  <c r="AE257" i="582"/>
  <c r="AE258" i="582"/>
  <c r="AE259" i="582"/>
  <c r="AE260" i="582"/>
  <c r="AE261" i="582"/>
  <c r="AE262" i="582"/>
  <c r="AE263" i="582"/>
  <c r="AE264" i="582"/>
  <c r="AE265" i="582"/>
  <c r="AE266" i="582"/>
  <c r="AE267" i="582"/>
  <c r="AE268" i="582"/>
  <c r="AE269" i="582"/>
  <c r="AE270" i="582"/>
  <c r="AE271" i="582"/>
  <c r="AE272" i="582"/>
  <c r="AE273" i="582"/>
  <c r="AE274" i="582"/>
  <c r="AE275" i="582"/>
  <c r="AE276" i="582"/>
  <c r="AE277" i="582"/>
  <c r="AE278" i="582"/>
  <c r="AE279" i="582"/>
  <c r="AE280" i="582"/>
  <c r="AE281" i="582"/>
  <c r="AE282" i="582"/>
  <c r="AE283" i="582"/>
  <c r="AE284" i="582"/>
  <c r="AE285" i="582"/>
  <c r="AE286" i="582"/>
  <c r="AE287" i="582"/>
  <c r="AE288" i="582"/>
  <c r="AE289" i="582"/>
  <c r="AE290" i="582"/>
  <c r="AE291" i="582"/>
  <c r="AE292" i="582"/>
  <c r="AE293" i="582"/>
  <c r="AE294" i="582"/>
  <c r="AE295" i="582"/>
  <c r="AE296" i="582"/>
  <c r="AE297" i="582"/>
  <c r="AE298" i="582"/>
  <c r="AE299" i="582"/>
  <c r="AE300" i="582"/>
  <c r="AE301" i="582"/>
  <c r="AE302" i="582"/>
  <c r="AE303" i="582"/>
  <c r="AE304" i="582"/>
  <c r="AE305" i="582"/>
  <c r="AE306" i="582"/>
  <c r="AE307" i="582"/>
  <c r="AE308" i="582"/>
  <c r="AE309" i="582"/>
  <c r="AE310" i="582"/>
  <c r="AE311" i="582"/>
  <c r="AE312" i="582"/>
  <c r="AE313" i="582"/>
  <c r="AE314" i="582"/>
  <c r="AE315" i="582"/>
  <c r="AE316" i="582"/>
  <c r="AE317" i="582"/>
  <c r="AE318" i="582"/>
  <c r="AE319" i="582"/>
  <c r="AE320" i="582"/>
  <c r="AE321" i="582"/>
  <c r="AE322" i="582"/>
  <c r="AE323" i="582"/>
  <c r="AE324" i="582"/>
  <c r="AE325" i="582"/>
  <c r="AE326" i="582"/>
  <c r="AE327" i="582"/>
  <c r="AE328" i="582"/>
  <c r="AE329" i="582"/>
  <c r="AE330" i="582"/>
  <c r="AE331" i="582"/>
  <c r="AE332" i="582"/>
  <c r="AE333" i="582"/>
  <c r="AE334" i="582"/>
  <c r="AE335" i="582"/>
  <c r="AE336" i="582"/>
  <c r="AE337" i="582"/>
  <c r="AE338" i="582"/>
  <c r="AE339" i="582"/>
  <c r="AE340" i="582"/>
  <c r="AE341" i="582"/>
  <c r="AE342" i="582"/>
  <c r="AE343" i="582"/>
  <c r="AE344" i="582"/>
  <c r="AE345" i="582"/>
  <c r="AE346" i="582"/>
  <c r="AE347" i="582"/>
  <c r="AE348" i="582"/>
  <c r="AE349" i="582"/>
  <c r="AE350" i="582"/>
  <c r="AE351" i="582"/>
  <c r="AE352" i="582"/>
  <c r="AE353" i="582"/>
  <c r="AE354" i="582"/>
  <c r="AE355" i="582"/>
  <c r="AE356" i="582"/>
  <c r="AE357" i="582"/>
  <c r="AE358" i="582"/>
  <c r="AE359" i="582"/>
  <c r="AE360" i="582"/>
  <c r="AE361" i="582"/>
  <c r="AE362" i="582"/>
  <c r="AE363" i="582"/>
  <c r="AE364" i="582"/>
  <c r="AE365" i="582"/>
  <c r="AE366" i="582"/>
  <c r="AE367" i="582"/>
  <c r="AE368" i="582"/>
  <c r="AE369" i="582"/>
  <c r="AE370" i="582"/>
  <c r="AE371" i="582"/>
  <c r="AE372" i="582"/>
  <c r="AE373" i="582"/>
  <c r="AE374" i="582"/>
  <c r="AE375" i="582"/>
  <c r="AE376" i="582"/>
  <c r="AE377" i="582"/>
  <c r="AE378" i="582"/>
  <c r="AE379" i="582"/>
  <c r="AE380" i="582"/>
  <c r="AE381" i="582"/>
  <c r="AE382" i="582"/>
  <c r="AE383" i="582"/>
  <c r="AE384" i="582"/>
  <c r="AE385" i="582"/>
  <c r="AE386" i="582"/>
  <c r="AE387" i="582"/>
  <c r="AE388" i="582"/>
  <c r="AE389" i="582"/>
  <c r="AE390" i="582"/>
  <c r="AE391" i="582"/>
  <c r="AE392" i="582"/>
  <c r="AE393" i="582"/>
  <c r="AE394" i="582"/>
  <c r="AE395" i="582"/>
  <c r="AE396" i="582"/>
  <c r="AE397" i="582"/>
  <c r="AE398" i="582"/>
  <c r="AE399" i="582"/>
  <c r="AE400" i="582"/>
  <c r="AE401" i="582"/>
  <c r="AE402" i="582"/>
  <c r="AE403" i="582"/>
  <c r="AE404" i="582"/>
  <c r="AE405" i="582"/>
  <c r="AE406" i="582"/>
  <c r="AE407" i="582"/>
  <c r="AE408" i="582"/>
  <c r="AE409" i="582"/>
  <c r="AE410" i="582"/>
  <c r="AE411" i="582"/>
  <c r="AE412" i="582"/>
  <c r="AE413" i="582"/>
  <c r="AE414" i="582"/>
  <c r="AE415" i="582"/>
  <c r="AE416" i="582"/>
  <c r="AE417" i="582"/>
  <c r="AE418" i="582"/>
  <c r="AE419" i="582"/>
  <c r="AE420" i="582"/>
  <c r="AE421" i="582"/>
  <c r="AE422" i="582"/>
  <c r="AE423" i="582"/>
  <c r="AE424" i="582"/>
  <c r="AE425" i="582"/>
  <c r="AE426" i="582"/>
  <c r="AE427" i="582"/>
  <c r="AE428" i="582"/>
  <c r="AE429" i="582"/>
  <c r="AE430" i="582"/>
  <c r="AE431" i="582"/>
  <c r="AE432" i="582"/>
  <c r="AE433" i="582"/>
  <c r="AE434" i="582"/>
  <c r="AE435" i="582"/>
  <c r="AE436" i="582"/>
  <c r="AE437" i="582"/>
  <c r="AE438" i="582"/>
  <c r="AE439" i="582"/>
  <c r="AE440" i="582"/>
  <c r="AE441" i="582"/>
  <c r="AE442" i="582"/>
  <c r="AE443" i="582"/>
  <c r="AE444" i="582"/>
  <c r="AE445" i="582"/>
  <c r="AE446" i="582"/>
  <c r="AE447" i="582"/>
  <c r="AE448" i="582"/>
  <c r="AE449" i="582"/>
  <c r="AE450" i="582"/>
  <c r="AE451" i="582"/>
  <c r="AE452" i="582"/>
  <c r="AE453" i="582"/>
  <c r="AE454" i="582"/>
  <c r="AE455" i="582"/>
  <c r="AE456" i="582"/>
  <c r="AE457" i="582"/>
  <c r="AE458" i="582"/>
  <c r="AE459" i="582"/>
  <c r="AE460" i="582"/>
  <c r="AE461" i="582"/>
  <c r="AE462" i="582"/>
  <c r="AE463" i="582"/>
  <c r="AE464" i="582"/>
  <c r="AE465" i="582"/>
  <c r="AE466" i="582"/>
  <c r="AE467" i="582"/>
  <c r="AE468" i="582"/>
  <c r="AE469" i="582"/>
  <c r="AE470" i="582"/>
  <c r="AE471" i="582"/>
  <c r="AE472" i="582"/>
  <c r="AE473" i="582"/>
  <c r="AE474" i="582"/>
  <c r="AE475" i="582"/>
  <c r="AE476" i="582"/>
  <c r="AE477" i="582"/>
  <c r="AE478" i="582"/>
  <c r="AE479" i="582"/>
  <c r="AE480" i="582"/>
  <c r="AE481" i="582"/>
  <c r="AE482" i="582"/>
  <c r="AE483" i="582"/>
  <c r="AE484" i="582"/>
  <c r="AE485" i="582"/>
  <c r="AE486" i="582"/>
  <c r="AE492" i="582"/>
  <c r="AE493" i="582"/>
  <c r="AE494" i="582"/>
  <c r="AE495" i="582"/>
  <c r="AE496" i="582"/>
  <c r="AE497" i="582"/>
  <c r="AE498" i="582"/>
  <c r="AE499" i="582"/>
  <c r="AE500" i="582"/>
  <c r="AE501" i="582"/>
  <c r="AE502" i="582"/>
  <c r="AE503" i="582"/>
  <c r="AE504" i="582"/>
  <c r="AE505" i="582"/>
  <c r="AE506" i="582"/>
  <c r="AE507" i="582"/>
  <c r="AE508" i="582"/>
  <c r="AE509" i="582"/>
  <c r="AE510" i="582"/>
  <c r="AE511" i="582"/>
  <c r="AE512" i="582"/>
  <c r="AE513" i="582"/>
  <c r="AE514" i="582"/>
  <c r="AE515" i="582"/>
  <c r="Z7" i="581"/>
  <c r="Z8" i="581"/>
  <c r="Z9" i="581"/>
  <c r="Z10" i="581"/>
  <c r="Z11" i="581"/>
  <c r="Z12" i="581"/>
  <c r="Z13" i="581"/>
  <c r="Z14" i="581"/>
  <c r="Z15" i="581"/>
  <c r="Z16" i="581"/>
  <c r="Z17" i="581"/>
  <c r="Z18" i="581"/>
  <c r="Z19" i="581"/>
  <c r="Z20" i="581"/>
  <c r="Z21" i="581"/>
  <c r="Z22" i="581"/>
  <c r="Z23" i="581"/>
  <c r="Z24" i="581"/>
  <c r="Z25" i="581"/>
  <c r="Z26" i="581"/>
  <c r="Z27" i="581"/>
  <c r="Z28" i="581"/>
  <c r="Z29" i="581"/>
  <c r="Z30" i="581"/>
  <c r="Z31" i="581"/>
  <c r="Z32" i="581"/>
  <c r="Z33" i="581"/>
  <c r="Z34" i="581"/>
  <c r="Z35" i="581"/>
  <c r="Z36" i="581"/>
  <c r="Z37" i="581"/>
  <c r="Z38" i="581"/>
  <c r="Z39" i="581"/>
  <c r="Z40" i="581"/>
  <c r="Z41" i="581"/>
  <c r="Z42" i="581"/>
  <c r="Z43" i="581"/>
  <c r="Z44" i="581"/>
  <c r="Z45" i="581"/>
  <c r="Z46" i="581"/>
  <c r="Z47" i="581"/>
  <c r="Z48" i="581"/>
  <c r="Z49" i="581"/>
  <c r="Z50" i="581"/>
  <c r="Z51" i="581"/>
  <c r="Z52" i="581"/>
  <c r="Z53" i="581"/>
  <c r="Z54" i="581"/>
  <c r="Z55" i="581"/>
  <c r="Z56" i="581"/>
  <c r="Z57" i="581"/>
  <c r="Z58" i="581"/>
  <c r="Z59" i="581"/>
  <c r="Z60" i="581"/>
  <c r="Z61" i="581"/>
  <c r="Z62" i="581"/>
  <c r="Z63" i="581"/>
  <c r="Z64" i="581"/>
  <c r="Z65" i="581"/>
  <c r="Z66" i="581"/>
  <c r="Z67" i="581"/>
  <c r="Z68" i="581"/>
  <c r="Z69" i="581"/>
  <c r="Z70" i="581"/>
  <c r="Z71" i="581"/>
  <c r="Z72" i="581"/>
  <c r="Z73" i="581"/>
  <c r="Z74" i="581"/>
  <c r="Z75" i="581"/>
  <c r="Z76" i="581"/>
  <c r="Z77" i="581"/>
  <c r="Z78" i="581"/>
  <c r="Z79" i="581"/>
  <c r="Z80" i="581"/>
  <c r="Z81" i="581"/>
  <c r="Z82" i="581"/>
  <c r="Z83" i="581"/>
  <c r="Z84" i="581"/>
  <c r="Z85" i="581"/>
  <c r="Z86" i="581"/>
  <c r="Z87" i="581"/>
  <c r="Z88" i="581"/>
  <c r="Z89" i="581"/>
  <c r="Z90" i="581"/>
  <c r="Z91" i="581"/>
  <c r="Z92" i="581"/>
  <c r="Z93" i="581"/>
  <c r="Z94" i="581"/>
  <c r="Z95" i="581"/>
  <c r="Z96" i="581"/>
  <c r="Z97" i="581"/>
  <c r="Z98" i="581"/>
  <c r="Z99" i="581"/>
  <c r="Z100" i="581"/>
  <c r="Z101" i="581"/>
  <c r="Z102" i="581"/>
  <c r="Z103" i="581"/>
  <c r="Z104" i="581"/>
  <c r="Z105" i="581"/>
  <c r="Z106" i="581"/>
  <c r="Z107" i="581"/>
  <c r="Z108" i="581"/>
  <c r="Z109" i="581"/>
  <c r="Z110" i="581"/>
  <c r="Z111" i="581"/>
  <c r="Z112" i="581"/>
  <c r="Z113" i="581"/>
  <c r="Z114" i="581"/>
  <c r="Z115" i="581"/>
  <c r="Z116" i="581"/>
  <c r="Z117" i="581"/>
  <c r="Z118" i="581"/>
  <c r="Z119" i="581"/>
  <c r="Z120" i="581"/>
  <c r="Z121" i="581"/>
  <c r="Z122" i="581"/>
  <c r="Z123" i="581"/>
  <c r="Z124" i="581"/>
  <c r="Z125" i="581"/>
  <c r="Z126" i="581"/>
  <c r="Z127" i="581"/>
  <c r="Z128" i="581"/>
  <c r="Z129" i="581"/>
  <c r="Z130" i="581"/>
  <c r="Z131" i="581"/>
  <c r="Z132" i="581"/>
  <c r="Z133" i="581"/>
  <c r="Z134" i="581"/>
  <c r="Z135" i="581"/>
  <c r="Z136" i="581"/>
  <c r="Z137" i="581"/>
  <c r="Z138" i="581"/>
  <c r="Z139" i="581"/>
  <c r="Z140" i="581"/>
  <c r="Z141" i="581"/>
  <c r="Z142" i="581"/>
  <c r="Z143" i="581"/>
  <c r="Z144" i="581"/>
  <c r="Z145" i="581"/>
  <c r="Z146" i="581"/>
  <c r="Z147" i="581"/>
  <c r="Z148" i="581"/>
  <c r="Z149" i="581"/>
  <c r="Z150" i="581"/>
  <c r="Z151" i="581"/>
  <c r="Z152" i="581"/>
  <c r="Z153" i="581"/>
  <c r="Z154" i="581"/>
  <c r="Z155" i="581"/>
  <c r="Z156" i="581"/>
  <c r="Z157" i="581"/>
  <c r="Z158" i="581"/>
  <c r="Z159" i="581"/>
  <c r="Z160" i="581"/>
  <c r="Z161" i="581"/>
  <c r="Z162" i="581"/>
  <c r="Z163" i="581"/>
  <c r="Z164" i="581"/>
  <c r="Z165" i="581"/>
  <c r="Z166" i="581"/>
  <c r="Z167" i="581"/>
  <c r="Z168" i="581"/>
  <c r="Z169" i="581"/>
  <c r="Z170" i="581"/>
  <c r="Z171" i="581"/>
  <c r="Z172" i="581"/>
  <c r="Z173" i="581"/>
  <c r="Z174" i="581"/>
  <c r="Z175" i="581"/>
  <c r="Z176" i="581"/>
  <c r="Z177" i="581"/>
  <c r="Z178" i="581"/>
  <c r="Z179" i="581"/>
  <c r="Z180" i="581"/>
  <c r="Z181" i="581"/>
  <c r="Z182" i="581"/>
  <c r="Z183" i="581"/>
  <c r="Z184" i="581"/>
  <c r="Z185" i="581"/>
  <c r="Z186" i="581"/>
  <c r="Z187" i="581"/>
  <c r="Z188" i="581"/>
  <c r="Z189" i="581"/>
  <c r="Z190" i="581"/>
  <c r="Z191" i="581"/>
  <c r="Z192" i="581"/>
  <c r="Z193" i="581"/>
  <c r="Z194" i="581"/>
  <c r="Z195" i="581"/>
  <c r="Z196" i="581"/>
  <c r="Z197" i="581"/>
  <c r="Z198" i="581"/>
  <c r="Z199" i="581"/>
  <c r="Z200" i="581"/>
  <c r="Z201" i="581"/>
  <c r="Z202" i="581"/>
  <c r="Z203" i="581"/>
  <c r="Z204" i="581"/>
  <c r="Z205" i="581"/>
  <c r="Z206" i="581"/>
  <c r="Z207" i="581"/>
  <c r="Z208" i="581"/>
  <c r="Z209" i="581"/>
  <c r="Z210" i="581"/>
  <c r="Z211" i="581"/>
  <c r="Z212" i="581"/>
  <c r="Z213" i="581"/>
  <c r="Z214" i="581"/>
  <c r="Z215" i="581"/>
  <c r="Z216" i="581"/>
  <c r="Z217" i="581"/>
  <c r="Z218" i="581"/>
  <c r="Z219" i="581"/>
  <c r="Z220" i="581"/>
  <c r="Z221" i="581"/>
  <c r="Z222" i="581"/>
  <c r="Z223" i="581"/>
  <c r="Z224" i="581"/>
  <c r="Z225" i="581"/>
  <c r="Z226" i="581"/>
  <c r="Z227" i="581"/>
  <c r="Z228" i="581"/>
  <c r="Z229" i="581"/>
  <c r="Z230" i="581"/>
  <c r="Z231" i="581"/>
  <c r="Z232" i="581"/>
  <c r="Z233" i="581"/>
  <c r="Z234" i="581"/>
  <c r="Z235" i="581"/>
  <c r="Z236" i="581"/>
  <c r="Z237" i="581"/>
  <c r="Z238" i="581"/>
  <c r="Z239" i="581"/>
  <c r="Z240" i="581"/>
  <c r="Z241" i="581"/>
  <c r="Z242" i="581"/>
  <c r="Z243" i="581"/>
  <c r="Z244" i="581"/>
  <c r="Z245" i="581"/>
  <c r="Z246" i="581"/>
  <c r="Z247" i="581"/>
  <c r="Z248" i="581"/>
  <c r="Z249" i="581"/>
  <c r="Z250" i="581"/>
  <c r="Z251" i="581"/>
  <c r="Z252" i="581"/>
  <c r="Z253" i="581"/>
  <c r="Z254" i="581"/>
  <c r="Z255" i="581"/>
  <c r="Z256" i="581"/>
  <c r="Z257" i="581"/>
  <c r="Z258" i="581"/>
  <c r="Z259" i="581"/>
  <c r="Z260" i="581"/>
  <c r="Z261" i="581"/>
  <c r="Z262" i="581"/>
  <c r="Z263" i="581"/>
  <c r="Z264" i="581"/>
  <c r="Z265" i="581"/>
  <c r="Z266" i="581"/>
  <c r="Z267" i="581"/>
  <c r="Z268" i="581"/>
  <c r="Z269" i="581"/>
  <c r="Z270" i="581"/>
  <c r="Z271" i="581"/>
  <c r="Z272" i="581"/>
  <c r="Z273" i="581"/>
  <c r="Z274" i="581"/>
  <c r="Z275" i="581"/>
  <c r="Z276" i="581"/>
  <c r="Z277" i="581"/>
  <c r="Z278" i="581"/>
  <c r="Z279" i="581"/>
  <c r="Z280" i="581"/>
  <c r="Z281" i="581"/>
  <c r="Z282" i="581"/>
  <c r="Z283" i="581"/>
  <c r="Z284" i="581"/>
  <c r="Z285" i="581"/>
  <c r="Z286" i="581"/>
  <c r="Z287" i="581"/>
  <c r="Z288" i="581"/>
  <c r="Z289" i="581"/>
  <c r="Z290" i="581"/>
  <c r="Z291" i="581"/>
  <c r="Z292" i="581"/>
  <c r="Z293" i="581"/>
  <c r="Z294" i="581"/>
  <c r="Z295" i="581"/>
  <c r="Z296" i="581"/>
  <c r="Z297" i="581"/>
  <c r="Z298" i="581"/>
  <c r="Z299" i="581"/>
  <c r="Z300" i="581"/>
  <c r="Z301" i="581"/>
  <c r="Z302" i="581"/>
  <c r="Z303" i="581"/>
  <c r="Z304" i="581"/>
  <c r="Z305" i="581"/>
  <c r="Z306" i="581"/>
  <c r="Z307" i="581"/>
  <c r="Z308" i="581"/>
  <c r="Z309" i="581"/>
  <c r="Z310" i="581"/>
  <c r="Z311" i="581"/>
  <c r="Z312" i="581"/>
  <c r="Z313" i="581"/>
  <c r="Z314" i="581"/>
  <c r="Z315" i="581"/>
  <c r="Z316" i="581"/>
  <c r="Z317" i="581"/>
  <c r="Z318" i="581"/>
  <c r="Z319" i="581"/>
  <c r="Z320" i="581"/>
  <c r="Z321" i="581"/>
  <c r="Z322" i="581"/>
  <c r="Z323" i="581"/>
  <c r="Z324" i="581"/>
  <c r="Z325" i="581"/>
  <c r="Z326" i="581"/>
  <c r="Z327" i="581"/>
  <c r="Z328" i="581"/>
  <c r="Z329" i="581"/>
  <c r="Z330" i="581"/>
  <c r="Z331" i="581"/>
  <c r="Z332" i="581"/>
  <c r="Z333" i="581"/>
  <c r="Z334" i="581"/>
  <c r="Z335" i="581"/>
  <c r="Z336" i="581"/>
  <c r="Z337" i="581"/>
  <c r="Z338" i="581"/>
  <c r="Z339" i="581"/>
  <c r="Z340" i="581"/>
  <c r="Z341" i="581"/>
  <c r="Z342" i="581"/>
  <c r="Z343" i="581"/>
  <c r="Z344" i="581"/>
  <c r="Z345" i="581"/>
  <c r="Z346" i="581"/>
  <c r="Z347" i="581"/>
  <c r="Z348" i="581"/>
  <c r="Z349" i="581"/>
  <c r="Z350" i="581"/>
  <c r="Z351" i="581"/>
  <c r="Z352" i="581"/>
  <c r="Z353" i="581"/>
  <c r="Z354" i="581"/>
  <c r="Z355" i="581"/>
  <c r="Z356" i="581"/>
  <c r="Z357" i="581"/>
  <c r="Z358" i="581"/>
  <c r="Z359" i="581"/>
  <c r="Z360" i="581"/>
  <c r="Z361" i="581"/>
  <c r="Z362" i="581"/>
  <c r="Z363" i="581"/>
  <c r="Z364" i="581"/>
  <c r="Z365" i="581"/>
  <c r="Z366" i="581"/>
  <c r="AE7" i="580"/>
  <c r="AE8" i="580"/>
  <c r="AE9" i="580"/>
  <c r="AE10" i="580"/>
  <c r="AE11" i="580"/>
  <c r="AE12" i="580"/>
  <c r="AE13" i="580"/>
  <c r="AE14" i="580"/>
  <c r="AE15" i="580"/>
  <c r="AE16" i="580"/>
  <c r="AE17" i="580"/>
  <c r="AE18" i="580"/>
  <c r="AE19" i="580"/>
  <c r="AE20" i="580"/>
  <c r="AE21" i="580"/>
  <c r="AE22" i="580"/>
  <c r="AE23" i="580"/>
  <c r="AE24" i="580"/>
  <c r="AE25" i="580"/>
  <c r="AE26" i="580"/>
  <c r="AE27" i="580"/>
  <c r="AE28" i="580"/>
  <c r="AE29" i="580"/>
  <c r="AE30" i="580"/>
  <c r="AE31" i="580"/>
  <c r="AE32" i="580"/>
  <c r="AE33" i="580"/>
  <c r="AE34" i="580"/>
  <c r="AE35" i="580"/>
  <c r="AE36" i="580"/>
  <c r="AE37" i="580"/>
  <c r="AE38" i="580"/>
  <c r="AE39" i="580"/>
  <c r="AE40" i="580"/>
  <c r="AE41" i="580"/>
  <c r="AE42" i="580"/>
  <c r="AE43" i="580"/>
  <c r="AE44" i="580"/>
  <c r="AE45" i="580"/>
  <c r="AE46" i="580"/>
  <c r="AE47" i="580"/>
  <c r="AE48" i="580"/>
  <c r="AE49" i="580"/>
  <c r="AE50" i="580"/>
  <c r="AE51" i="580"/>
  <c r="AE52" i="580"/>
  <c r="AE53" i="580"/>
  <c r="AE54" i="580"/>
  <c r="AE55" i="580"/>
  <c r="AE56" i="580"/>
  <c r="AE57" i="580"/>
  <c r="AE58" i="580"/>
  <c r="AE59" i="580"/>
  <c r="AE60" i="580"/>
  <c r="AE61" i="580"/>
  <c r="AE62" i="580"/>
  <c r="AE63" i="580"/>
  <c r="AE64" i="580"/>
  <c r="AE65" i="580"/>
  <c r="AE66" i="580"/>
  <c r="AE67" i="580"/>
  <c r="AE68" i="580"/>
  <c r="AE69" i="580"/>
  <c r="AE70" i="580"/>
  <c r="AE71" i="580"/>
  <c r="AE72" i="580"/>
  <c r="AE73" i="580"/>
  <c r="AE74" i="580"/>
  <c r="AE75" i="580"/>
  <c r="AE76" i="580"/>
  <c r="AE77" i="580"/>
  <c r="AE78" i="580"/>
  <c r="AE79" i="580"/>
  <c r="AE80" i="580"/>
  <c r="AE81" i="580"/>
  <c r="AE82" i="580"/>
  <c r="AE83" i="580"/>
  <c r="AE84" i="580"/>
  <c r="AE85" i="580"/>
  <c r="AE86" i="580"/>
  <c r="AE87" i="580"/>
  <c r="AE88" i="580"/>
  <c r="AE89" i="580"/>
  <c r="AE90" i="580"/>
  <c r="AE91" i="580"/>
  <c r="AE92" i="580"/>
  <c r="AE93" i="580"/>
  <c r="AE94" i="580"/>
  <c r="AE95" i="580"/>
  <c r="AE96" i="580"/>
  <c r="AE97" i="580"/>
  <c r="AE98" i="580"/>
  <c r="AE99" i="580"/>
  <c r="AE100" i="580"/>
  <c r="AE101" i="580"/>
  <c r="AE102" i="580"/>
  <c r="AE103" i="580"/>
  <c r="AE104" i="580"/>
  <c r="AE105" i="580"/>
  <c r="AE106" i="580"/>
  <c r="AE107" i="580"/>
  <c r="AE108" i="580"/>
  <c r="AE109" i="580"/>
  <c r="AE110" i="580"/>
  <c r="AE111" i="580"/>
  <c r="AE112" i="580"/>
  <c r="AE113" i="580"/>
  <c r="AE114" i="580"/>
  <c r="AE115" i="580"/>
  <c r="AE116" i="580"/>
  <c r="AE117" i="580"/>
  <c r="AE118" i="580"/>
  <c r="AE119" i="580"/>
  <c r="AE120" i="580"/>
  <c r="AE121" i="580"/>
  <c r="AE122" i="580"/>
  <c r="AE123" i="580"/>
  <c r="AE124" i="580"/>
  <c r="AE125" i="580"/>
  <c r="AE126" i="580"/>
  <c r="AE127" i="580"/>
  <c r="AE128" i="580"/>
  <c r="AE129" i="580"/>
  <c r="AE130" i="580"/>
  <c r="AE131" i="580"/>
  <c r="AE132" i="580"/>
  <c r="AE133" i="580"/>
  <c r="AE134" i="580"/>
  <c r="AE135" i="580"/>
  <c r="AE136" i="580"/>
  <c r="AE137" i="580"/>
  <c r="AE138" i="580"/>
  <c r="AE139" i="580"/>
  <c r="AE140" i="580"/>
  <c r="AE141" i="580"/>
  <c r="AE142" i="580"/>
  <c r="AE143" i="580"/>
  <c r="AE144" i="580"/>
  <c r="AE145" i="580"/>
  <c r="AE146" i="580"/>
  <c r="AE147" i="580"/>
  <c r="AE148" i="580"/>
  <c r="AE149" i="580"/>
  <c r="AE150" i="580"/>
  <c r="AE151" i="580"/>
  <c r="AE152" i="580"/>
  <c r="AE153" i="580"/>
  <c r="AE154" i="580"/>
  <c r="AE155" i="580"/>
  <c r="AE156" i="580"/>
  <c r="AE157" i="580"/>
  <c r="AE158" i="580"/>
  <c r="AE159" i="580"/>
  <c r="AE160" i="580"/>
  <c r="AE161" i="580"/>
  <c r="AE162" i="580"/>
  <c r="AE163" i="580"/>
  <c r="AE164" i="580"/>
  <c r="AE165" i="580"/>
  <c r="AE166" i="580"/>
  <c r="AE167" i="580"/>
  <c r="AE168" i="580"/>
  <c r="AE169" i="580"/>
  <c r="AE170" i="580"/>
  <c r="AE171" i="580"/>
  <c r="AE172" i="580"/>
  <c r="AE173" i="580"/>
  <c r="AE174" i="580"/>
  <c r="AE175" i="580"/>
  <c r="AE176" i="580"/>
  <c r="AE177" i="580"/>
  <c r="AE178" i="580"/>
  <c r="AE179" i="580"/>
  <c r="AE180" i="580"/>
  <c r="AE181" i="580"/>
  <c r="AE182" i="580"/>
  <c r="AE183" i="580"/>
  <c r="AE184" i="580"/>
  <c r="AE185" i="580"/>
  <c r="AE186" i="580"/>
  <c r="AE187" i="580"/>
  <c r="AE188" i="580"/>
  <c r="AE189" i="580"/>
  <c r="AE190" i="580"/>
  <c r="AE191" i="580"/>
  <c r="AE192" i="580"/>
  <c r="AE193" i="580"/>
  <c r="AE194" i="580"/>
  <c r="AE195" i="580"/>
  <c r="AE196" i="580"/>
  <c r="AE197" i="580"/>
  <c r="AE198" i="580"/>
  <c r="AE199" i="580"/>
  <c r="AE200" i="580"/>
  <c r="AE201" i="580"/>
  <c r="AE202" i="580"/>
  <c r="AE203" i="580"/>
  <c r="AE204" i="580"/>
  <c r="AE205" i="580"/>
  <c r="AE206" i="580"/>
  <c r="AE207" i="580"/>
  <c r="AE208" i="580"/>
  <c r="AE209" i="580"/>
  <c r="AE210" i="580"/>
  <c r="AE211" i="580"/>
  <c r="AE212" i="580"/>
  <c r="AE213" i="580"/>
  <c r="AE214" i="580"/>
  <c r="AE215" i="580"/>
  <c r="AE216" i="580"/>
  <c r="AE217" i="580"/>
  <c r="AE218" i="580"/>
  <c r="AE219" i="580"/>
  <c r="AE220" i="580"/>
  <c r="AE221" i="580"/>
  <c r="AE222" i="580"/>
  <c r="AE223" i="580"/>
  <c r="AE224" i="580"/>
  <c r="AE225" i="580"/>
  <c r="AE226" i="580"/>
  <c r="AE227" i="580"/>
  <c r="AE228" i="580"/>
  <c r="AE229" i="580"/>
  <c r="AE230" i="580"/>
  <c r="AE231" i="580"/>
  <c r="AE232" i="580"/>
  <c r="AE233" i="580"/>
  <c r="AE234" i="580"/>
  <c r="AE235" i="580"/>
  <c r="AE236" i="580"/>
  <c r="AE237" i="580"/>
  <c r="AE238" i="580"/>
  <c r="AE239" i="580"/>
  <c r="AE240" i="580"/>
  <c r="AE241" i="580"/>
  <c r="AE242" i="580"/>
  <c r="AE243" i="580"/>
  <c r="AE244" i="580"/>
  <c r="AE245" i="580"/>
  <c r="AE246" i="580"/>
  <c r="AE247" i="580"/>
  <c r="AE248" i="580"/>
  <c r="AE249" i="580"/>
  <c r="AE250" i="580"/>
  <c r="AE251" i="580"/>
  <c r="AE252" i="580"/>
  <c r="AE253" i="580"/>
  <c r="AE254" i="580"/>
  <c r="AE255" i="580"/>
  <c r="AE256" i="580"/>
  <c r="AE257" i="580"/>
  <c r="AE258" i="580"/>
  <c r="AE259" i="580"/>
  <c r="AE260" i="580"/>
  <c r="AE261" i="580"/>
  <c r="AE262" i="580"/>
  <c r="AE263" i="580"/>
  <c r="AE264" i="580"/>
  <c r="AE265" i="580"/>
  <c r="AE266" i="580"/>
  <c r="AE267" i="580"/>
  <c r="AE268" i="580"/>
  <c r="AE269" i="580"/>
  <c r="AE270" i="580"/>
  <c r="AE271" i="580"/>
  <c r="AE272" i="580"/>
  <c r="AE273" i="580"/>
  <c r="AE274" i="580"/>
  <c r="AE275" i="580"/>
  <c r="AE276" i="580"/>
  <c r="AE277" i="580"/>
  <c r="AE278" i="580"/>
  <c r="AE279" i="580"/>
  <c r="AE280" i="580"/>
  <c r="AE281" i="580"/>
  <c r="AE282" i="580"/>
  <c r="AE283" i="580"/>
  <c r="AE284" i="580"/>
  <c r="AE285" i="580"/>
  <c r="AE286" i="580"/>
  <c r="AE287" i="580"/>
  <c r="AE288" i="580"/>
  <c r="AE289" i="580"/>
  <c r="AE290" i="580"/>
  <c r="AE291" i="580"/>
  <c r="AE292" i="580"/>
  <c r="AE293" i="580"/>
  <c r="AE294" i="580"/>
  <c r="AE295" i="580"/>
  <c r="AE296" i="580"/>
  <c r="AE297" i="580"/>
  <c r="AE298" i="580"/>
  <c r="AE299" i="580"/>
  <c r="AE300" i="580"/>
  <c r="AE301" i="580"/>
  <c r="AE302" i="580"/>
  <c r="AE303" i="580"/>
  <c r="AE304" i="580"/>
  <c r="AE305" i="580"/>
  <c r="AE306" i="580"/>
  <c r="AE307" i="580"/>
  <c r="AE308" i="580"/>
  <c r="AE309" i="580"/>
  <c r="AE310" i="580"/>
  <c r="AE311" i="580"/>
  <c r="AE312" i="580"/>
  <c r="AE313" i="580"/>
  <c r="AE314" i="580"/>
  <c r="AE315" i="580"/>
  <c r="AE316" i="580"/>
  <c r="AE317" i="580"/>
  <c r="AE318" i="580"/>
  <c r="AE319" i="580"/>
  <c r="AE320" i="580"/>
  <c r="AE321" i="580"/>
  <c r="AE322" i="580"/>
  <c r="AE323" i="580"/>
  <c r="AE324" i="580"/>
  <c r="AE325" i="580"/>
  <c r="AE326" i="580"/>
  <c r="AE327" i="580"/>
  <c r="AE328" i="580"/>
  <c r="AE329" i="580"/>
  <c r="AE330" i="580"/>
  <c r="AE331" i="580"/>
  <c r="AE332" i="580"/>
  <c r="AE333" i="580"/>
  <c r="AE334" i="580"/>
  <c r="AE335" i="580"/>
  <c r="AE336" i="580"/>
  <c r="AE337" i="580"/>
  <c r="AE338" i="580"/>
  <c r="AE339" i="580"/>
  <c r="AE340" i="580"/>
  <c r="AE341" i="580"/>
  <c r="AE342" i="580"/>
  <c r="AE343" i="580"/>
  <c r="AE344" i="580"/>
  <c r="AE345" i="580"/>
  <c r="AE346" i="580"/>
  <c r="AE347" i="580"/>
  <c r="AE348" i="580"/>
  <c r="AE349" i="580"/>
  <c r="AE350" i="580"/>
  <c r="AE351" i="580"/>
  <c r="AE352" i="580"/>
  <c r="AE353" i="580"/>
  <c r="AE354" i="580"/>
  <c r="AE355" i="580"/>
  <c r="AE356" i="580"/>
  <c r="AE357" i="580"/>
  <c r="AE358" i="580"/>
  <c r="AE359" i="580"/>
  <c r="AE360" i="580"/>
  <c r="AE361" i="580"/>
  <c r="AE362" i="580"/>
  <c r="AE363" i="580"/>
  <c r="AE364" i="580"/>
  <c r="AE365" i="580"/>
  <c r="AE366" i="580"/>
  <c r="AE367" i="580"/>
  <c r="AE368" i="580"/>
  <c r="AE369" i="580"/>
  <c r="AE370" i="580"/>
  <c r="AE371" i="580"/>
  <c r="AE372" i="580"/>
  <c r="AE373" i="580"/>
  <c r="AE374" i="580"/>
  <c r="AE375" i="580"/>
  <c r="AE376" i="580"/>
  <c r="AE377" i="580"/>
  <c r="AE378" i="580"/>
  <c r="AE379" i="580"/>
  <c r="AE380" i="580"/>
  <c r="AE381" i="580"/>
  <c r="AE382" i="580"/>
  <c r="AE383" i="580"/>
  <c r="AE384" i="580"/>
  <c r="AE385" i="580"/>
  <c r="AE386" i="580"/>
  <c r="AE387" i="580"/>
  <c r="AE388" i="580"/>
  <c r="AE389" i="580"/>
  <c r="AE390" i="580"/>
  <c r="AE391" i="580"/>
  <c r="AE392" i="580"/>
  <c r="AE393" i="580"/>
  <c r="AE394" i="580"/>
  <c r="AE395" i="580"/>
  <c r="AE396" i="580"/>
  <c r="AE397" i="580"/>
  <c r="AE398" i="580"/>
  <c r="AE399" i="580"/>
  <c r="AE400" i="580"/>
  <c r="AE401" i="580"/>
  <c r="AE402" i="580"/>
  <c r="AE403" i="580"/>
  <c r="AE404" i="580"/>
  <c r="AE405" i="580"/>
  <c r="AE406" i="580"/>
  <c r="AE407" i="580"/>
  <c r="AE408" i="580"/>
  <c r="AE409" i="580"/>
  <c r="AE410" i="580"/>
  <c r="AE411" i="580"/>
  <c r="AE412" i="580"/>
  <c r="AE413" i="580"/>
  <c r="AE414" i="580"/>
  <c r="AE415" i="580"/>
  <c r="AE416" i="580"/>
  <c r="AE417" i="580"/>
  <c r="AE418" i="580"/>
  <c r="AE419" i="580"/>
  <c r="AE420" i="580"/>
  <c r="AE421" i="580"/>
  <c r="AE422" i="580"/>
  <c r="AE423" i="580"/>
  <c r="AE424" i="580"/>
  <c r="AE425" i="580"/>
  <c r="AE426" i="580"/>
  <c r="AE427" i="580"/>
  <c r="AE428" i="580"/>
  <c r="AE429" i="580"/>
  <c r="AE430" i="580"/>
  <c r="AE431" i="580"/>
  <c r="AE432" i="580"/>
  <c r="AE433" i="580"/>
  <c r="AE434" i="580"/>
  <c r="AE435" i="580"/>
  <c r="AE436" i="580"/>
  <c r="AE437" i="580"/>
  <c r="AE438" i="580"/>
  <c r="AE439" i="580"/>
  <c r="AE440" i="580"/>
  <c r="AE441" i="580"/>
  <c r="AE442" i="580"/>
  <c r="AE443" i="580"/>
  <c r="AE444" i="580"/>
  <c r="AE445" i="580"/>
  <c r="AE446" i="580"/>
  <c r="AE447" i="580"/>
  <c r="AE448" i="580"/>
  <c r="AE449" i="580"/>
  <c r="AE450" i="580"/>
  <c r="AE451" i="580"/>
  <c r="AE452" i="580"/>
  <c r="AE453" i="580"/>
  <c r="AE454" i="580"/>
  <c r="AE455" i="580"/>
  <c r="AE456" i="580"/>
  <c r="AE457" i="580"/>
  <c r="AE458" i="580"/>
  <c r="AE459" i="580"/>
  <c r="AE460" i="580"/>
  <c r="AE461" i="580"/>
  <c r="AE462" i="580"/>
  <c r="Z7" i="579"/>
  <c r="Z8" i="579"/>
  <c r="Z9" i="579"/>
  <c r="Z10" i="579"/>
  <c r="Z11" i="579"/>
  <c r="Z12" i="579"/>
  <c r="Z13" i="579"/>
  <c r="Z14" i="579"/>
  <c r="Z15" i="579"/>
  <c r="Z16" i="579"/>
  <c r="Z17" i="579"/>
  <c r="Z18" i="579"/>
  <c r="Z19" i="579"/>
  <c r="Z20" i="579"/>
  <c r="Z21" i="579"/>
  <c r="Z22" i="579"/>
  <c r="Z23" i="579"/>
  <c r="Z24" i="579"/>
  <c r="Z25" i="579"/>
  <c r="Z26" i="579"/>
  <c r="Z27" i="579"/>
  <c r="Z28" i="579"/>
  <c r="Z29" i="579"/>
  <c r="Z30" i="579"/>
  <c r="Z31" i="579"/>
  <c r="Z32" i="579"/>
  <c r="Z33" i="579"/>
  <c r="Z34" i="579"/>
  <c r="Z35" i="579"/>
  <c r="Z36" i="579"/>
  <c r="Z37" i="579"/>
  <c r="Z38" i="579"/>
  <c r="Z39" i="579"/>
  <c r="Z40" i="579"/>
  <c r="Z41" i="579"/>
  <c r="Z42" i="579"/>
  <c r="Z43" i="579"/>
  <c r="Z44" i="579"/>
  <c r="Z45" i="579"/>
  <c r="Z46" i="579"/>
  <c r="Z47" i="579"/>
  <c r="Z48" i="579"/>
  <c r="Z49" i="579"/>
  <c r="Z50" i="579"/>
  <c r="Z51" i="579"/>
  <c r="Z52" i="579"/>
  <c r="Z53" i="579"/>
  <c r="Z54" i="579"/>
  <c r="Z55" i="579"/>
  <c r="Z56" i="579"/>
  <c r="Z57" i="579"/>
  <c r="Z58" i="579"/>
  <c r="Z59" i="579"/>
  <c r="Z60" i="579"/>
  <c r="Z61" i="579"/>
  <c r="Z62" i="579"/>
  <c r="Z63" i="579"/>
  <c r="Z64" i="579"/>
  <c r="Z65" i="579"/>
  <c r="Z66" i="579"/>
  <c r="Z67" i="579"/>
  <c r="Z68" i="579"/>
  <c r="Z69" i="579"/>
  <c r="Z70" i="579"/>
  <c r="Z71" i="579"/>
  <c r="Z72" i="579"/>
  <c r="Z73" i="579"/>
  <c r="Z74" i="579"/>
  <c r="Z75" i="579"/>
  <c r="Z76" i="579"/>
  <c r="Z77" i="579"/>
  <c r="Z78" i="579"/>
  <c r="Z79" i="579"/>
  <c r="Z80" i="579"/>
  <c r="Z81" i="579"/>
  <c r="Z82" i="579"/>
  <c r="Z83" i="579"/>
  <c r="Z84" i="579"/>
  <c r="Z85" i="579"/>
  <c r="Z86" i="579"/>
  <c r="Z87" i="579"/>
  <c r="Z88" i="579"/>
  <c r="Z89" i="579"/>
  <c r="Z90" i="579"/>
  <c r="Z91" i="579"/>
  <c r="Z92" i="579"/>
  <c r="Z93" i="579"/>
  <c r="Z94" i="579"/>
  <c r="Z95" i="579"/>
  <c r="Z96" i="579"/>
  <c r="Z97" i="579"/>
  <c r="Z98" i="579"/>
  <c r="Z99" i="579"/>
  <c r="Z100" i="579"/>
  <c r="Z101" i="579"/>
  <c r="Z102" i="579"/>
  <c r="Z103" i="579"/>
  <c r="Z104" i="579"/>
  <c r="Z105" i="579"/>
  <c r="Z106" i="579"/>
  <c r="Z107" i="579"/>
  <c r="Z108" i="579"/>
  <c r="Z109" i="579"/>
  <c r="Z110" i="579"/>
  <c r="Z111" i="579"/>
  <c r="Z112" i="579"/>
  <c r="Z113" i="579"/>
  <c r="Z114" i="579"/>
  <c r="Z115" i="579"/>
  <c r="Z116" i="579"/>
  <c r="Z117" i="579"/>
  <c r="Z118" i="579"/>
  <c r="Z119" i="579"/>
  <c r="Z120" i="579"/>
  <c r="Z121" i="579"/>
  <c r="Z122" i="579"/>
  <c r="Z123" i="579"/>
  <c r="Z124" i="579"/>
  <c r="Z125" i="579"/>
  <c r="Z126" i="579"/>
  <c r="Z127" i="579"/>
  <c r="Z128" i="579"/>
  <c r="Z129" i="579"/>
  <c r="Z130" i="579"/>
  <c r="Z131" i="579"/>
  <c r="Z132" i="579"/>
  <c r="Z133" i="579"/>
  <c r="Z134" i="579"/>
  <c r="Z135" i="579"/>
  <c r="Z136" i="579"/>
  <c r="Z137" i="579"/>
  <c r="Z138" i="579"/>
  <c r="Z139" i="579"/>
  <c r="Z140" i="579"/>
  <c r="Z141" i="579"/>
  <c r="Z142" i="579"/>
  <c r="Z143" i="579"/>
  <c r="Z144" i="579"/>
  <c r="Z145" i="579"/>
  <c r="Z146" i="579"/>
  <c r="Z147" i="579"/>
  <c r="Z148" i="579"/>
  <c r="Z149" i="579"/>
  <c r="Z150" i="579"/>
  <c r="Z151" i="579"/>
  <c r="Z152" i="579"/>
  <c r="Z153" i="579"/>
  <c r="Z154" i="579"/>
  <c r="Z155" i="579"/>
  <c r="Z156" i="579"/>
  <c r="Z157" i="579"/>
  <c r="Z158" i="579"/>
  <c r="Z159" i="579"/>
  <c r="Z160" i="579"/>
  <c r="Z161" i="579"/>
  <c r="Z162" i="579"/>
  <c r="Z163" i="579"/>
  <c r="Z164" i="579"/>
  <c r="Z165" i="579"/>
  <c r="Z166" i="579"/>
  <c r="Z167" i="579"/>
  <c r="Z168" i="579"/>
  <c r="Z169" i="579"/>
  <c r="Z170" i="579"/>
  <c r="Z171" i="579"/>
  <c r="Z172" i="579"/>
  <c r="Z173" i="579"/>
  <c r="Z174" i="579"/>
  <c r="Z175" i="579"/>
  <c r="Z176" i="579"/>
  <c r="Z177" i="579"/>
  <c r="Z178" i="579"/>
  <c r="Z179" i="579"/>
  <c r="Z180" i="579"/>
  <c r="Z181" i="579"/>
  <c r="Z182" i="579"/>
  <c r="Z183" i="579"/>
  <c r="Z184" i="579"/>
  <c r="Z185" i="579"/>
  <c r="Z186" i="579"/>
  <c r="Z187" i="579"/>
  <c r="Z188" i="579"/>
  <c r="Z189" i="579"/>
  <c r="Z190" i="579"/>
  <c r="Z191" i="579"/>
  <c r="Z192" i="579"/>
  <c r="Z193" i="579"/>
  <c r="Z194" i="579"/>
  <c r="Z195" i="579"/>
  <c r="Z196" i="579"/>
  <c r="Z197" i="579"/>
  <c r="Z198" i="579"/>
  <c r="Z199" i="579"/>
  <c r="Z200" i="579"/>
  <c r="Z201" i="579"/>
  <c r="Z202" i="579"/>
  <c r="Z203" i="579"/>
  <c r="Z204" i="579"/>
  <c r="Z205" i="579"/>
  <c r="Z206" i="579"/>
  <c r="Z207" i="579"/>
  <c r="Z208" i="579"/>
  <c r="Z209" i="579"/>
  <c r="Z210" i="579"/>
  <c r="Z211" i="579"/>
  <c r="Z212" i="579"/>
  <c r="Z213" i="579"/>
  <c r="Z214" i="579"/>
  <c r="Z215" i="579"/>
  <c r="Z216" i="579"/>
  <c r="Z217" i="579"/>
  <c r="Z218" i="579"/>
  <c r="Z219" i="579"/>
  <c r="Z220" i="579"/>
  <c r="Z221" i="579"/>
  <c r="Z222" i="579"/>
  <c r="Z223" i="579"/>
  <c r="Z224" i="579"/>
  <c r="Z225" i="579"/>
  <c r="Z226" i="579"/>
  <c r="Z227" i="579"/>
  <c r="Z228" i="579"/>
  <c r="Z229" i="579"/>
  <c r="Z230" i="579"/>
  <c r="Z231" i="579"/>
  <c r="Z232" i="579"/>
  <c r="Z233" i="579"/>
  <c r="Z234" i="579"/>
  <c r="Z235" i="579"/>
  <c r="Z236" i="579"/>
  <c r="Z237" i="579"/>
  <c r="Z238" i="579"/>
  <c r="Z239" i="579"/>
  <c r="Z240" i="579"/>
  <c r="Z241" i="579"/>
  <c r="Z242" i="579"/>
  <c r="Z243" i="579"/>
  <c r="Z244" i="579"/>
  <c r="Z245" i="579"/>
  <c r="Z246" i="579"/>
  <c r="Z247" i="579"/>
  <c r="Z248" i="579"/>
  <c r="Z249" i="579"/>
  <c r="Z250" i="579"/>
  <c r="Z251" i="579"/>
  <c r="Z252" i="579"/>
  <c r="Z253" i="579"/>
  <c r="Z254" i="579"/>
  <c r="Z255" i="579"/>
  <c r="Z256" i="579"/>
  <c r="Z257" i="579"/>
  <c r="Z258" i="579"/>
  <c r="Z259" i="579"/>
  <c r="Z260" i="579"/>
  <c r="Z261" i="579"/>
  <c r="Z262" i="579"/>
  <c r="Z263" i="579"/>
  <c r="Z264" i="579"/>
  <c r="Z265" i="579"/>
  <c r="Z266" i="579"/>
  <c r="Z267" i="579"/>
  <c r="Z268" i="579"/>
  <c r="Z269" i="579"/>
  <c r="Z270" i="579"/>
  <c r="Z271" i="579"/>
  <c r="Z272" i="579"/>
  <c r="Z273" i="579"/>
  <c r="Z274" i="579"/>
  <c r="Z275" i="579"/>
  <c r="Z276" i="579"/>
  <c r="Z277" i="579"/>
  <c r="Z278" i="579"/>
  <c r="Z279" i="579"/>
  <c r="Z280" i="579"/>
  <c r="Z281" i="579"/>
  <c r="Z282" i="579"/>
  <c r="Z283" i="579"/>
  <c r="Z284" i="579"/>
  <c r="Z285" i="579"/>
  <c r="Z286" i="579"/>
  <c r="Z287" i="579"/>
  <c r="Z288" i="579"/>
  <c r="Z289" i="579"/>
  <c r="Z290" i="579"/>
  <c r="Z291" i="579"/>
  <c r="Z292" i="579"/>
  <c r="Z293" i="579"/>
  <c r="Z294" i="579"/>
  <c r="Z295" i="579"/>
  <c r="Z296" i="579"/>
  <c r="Z297" i="579"/>
  <c r="Z298" i="579"/>
  <c r="Z299" i="579"/>
  <c r="Z300" i="579"/>
  <c r="Z301" i="579"/>
  <c r="Z302" i="579"/>
  <c r="Z303" i="579"/>
  <c r="Z304" i="579"/>
  <c r="Z305" i="579"/>
  <c r="Z306" i="579"/>
  <c r="Z307" i="579"/>
  <c r="Z308" i="579"/>
  <c r="Z309" i="579"/>
  <c r="Z310" i="579"/>
  <c r="Z311" i="579"/>
  <c r="Z312" i="579"/>
  <c r="Z313" i="579"/>
  <c r="Z314" i="579"/>
  <c r="Z315" i="579"/>
  <c r="Z316" i="579"/>
  <c r="Z317" i="579"/>
  <c r="Z318" i="579"/>
  <c r="Z319" i="579"/>
  <c r="Z320" i="579"/>
  <c r="Z321" i="579"/>
  <c r="Z322" i="579"/>
  <c r="Z323" i="579"/>
  <c r="Z324" i="579"/>
  <c r="Z325" i="579"/>
  <c r="Z326" i="579"/>
  <c r="Z327" i="579"/>
  <c r="Z328" i="579"/>
  <c r="Z329" i="579"/>
  <c r="Z330" i="579"/>
  <c r="Z331" i="579"/>
  <c r="Z332" i="579"/>
  <c r="Z333" i="579"/>
  <c r="Z334" i="579"/>
  <c r="Z335" i="579"/>
  <c r="Z336" i="579"/>
  <c r="Z337" i="579"/>
  <c r="Z338" i="579"/>
  <c r="Z339" i="579"/>
  <c r="Z340" i="579"/>
  <c r="Z341" i="579"/>
  <c r="Z342" i="579"/>
  <c r="Z343" i="579"/>
  <c r="Z344" i="579"/>
  <c r="Z345" i="579"/>
  <c r="Z346" i="579"/>
  <c r="Z347" i="579"/>
  <c r="Z348" i="579"/>
  <c r="Z349" i="579"/>
  <c r="Z350" i="579"/>
  <c r="Z351" i="579"/>
  <c r="Z352" i="579"/>
  <c r="Z353" i="579"/>
  <c r="Z354" i="579"/>
  <c r="Z355" i="579"/>
  <c r="Z356" i="579"/>
  <c r="Z357" i="579"/>
  <c r="Z358" i="579"/>
  <c r="Z359" i="579"/>
  <c r="Z360" i="579"/>
  <c r="Z361" i="579"/>
  <c r="Z362" i="579"/>
  <c r="Z363" i="579"/>
  <c r="Z364" i="579"/>
  <c r="Z365" i="579"/>
  <c r="Z366" i="579"/>
  <c r="AB7" i="578"/>
  <c r="AB8" i="578"/>
  <c r="AB9" i="578"/>
  <c r="AB10" i="578"/>
  <c r="AB11" i="578"/>
  <c r="AB12" i="578"/>
  <c r="AB13" i="578"/>
  <c r="AB14" i="578"/>
  <c r="AB15" i="578"/>
  <c r="AB16" i="578"/>
  <c r="AB17" i="578"/>
  <c r="AB18" i="578"/>
  <c r="AB19" i="578"/>
  <c r="AB20" i="578"/>
  <c r="AB21" i="578"/>
  <c r="AB22" i="578"/>
  <c r="AB23" i="578"/>
  <c r="AB24" i="578"/>
  <c r="AB25" i="578"/>
  <c r="AB26" i="578"/>
  <c r="AB27" i="578"/>
  <c r="AB28" i="578"/>
  <c r="AB29" i="578"/>
  <c r="AB30" i="578"/>
  <c r="AB31" i="578"/>
  <c r="AB32" i="578"/>
  <c r="AB33" i="578"/>
  <c r="AB34" i="578"/>
  <c r="AB35" i="578"/>
  <c r="AB36" i="578"/>
  <c r="AB37" i="578"/>
  <c r="AB38" i="578"/>
  <c r="AB39" i="578"/>
  <c r="AB40" i="578"/>
  <c r="AB41" i="578"/>
  <c r="AB42" i="578"/>
  <c r="AB43" i="578"/>
  <c r="AB44" i="578"/>
  <c r="AB45" i="578"/>
  <c r="AB46" i="578"/>
  <c r="AB47" i="578"/>
  <c r="AB48" i="578"/>
  <c r="AB49" i="578"/>
  <c r="AB50" i="578"/>
  <c r="AB51" i="578"/>
  <c r="AB52" i="578"/>
  <c r="AB53" i="578"/>
  <c r="AB54" i="578"/>
  <c r="AB55" i="578"/>
  <c r="AB56" i="578"/>
  <c r="AB57" i="578"/>
  <c r="AB58" i="578"/>
  <c r="AB59" i="578"/>
  <c r="AB60" i="578"/>
  <c r="AB61" i="578"/>
  <c r="AB62" i="578"/>
  <c r="AB63" i="578"/>
  <c r="AB64" i="578"/>
  <c r="AB65" i="578"/>
  <c r="AB66" i="578"/>
  <c r="AB67" i="578"/>
  <c r="AB68" i="578"/>
  <c r="AB69" i="578"/>
  <c r="AB70" i="578"/>
  <c r="AB71" i="578"/>
  <c r="AB72" i="578"/>
  <c r="AB73" i="578"/>
  <c r="AB74" i="578"/>
  <c r="AB75" i="578"/>
  <c r="AB76" i="578"/>
  <c r="AB77" i="578"/>
  <c r="AB78" i="578"/>
  <c r="AB79" i="578"/>
  <c r="AB80" i="578"/>
  <c r="AB81" i="578"/>
  <c r="AB82" i="578"/>
  <c r="AB83" i="578"/>
  <c r="AB84" i="578"/>
  <c r="AB85" i="578"/>
  <c r="AB86" i="578"/>
  <c r="AB87" i="578"/>
  <c r="AB88" i="578"/>
  <c r="AB89" i="578"/>
  <c r="AB90" i="578"/>
  <c r="AB91" i="578"/>
  <c r="AB92" i="578"/>
  <c r="AB93" i="578"/>
  <c r="AB94" i="578"/>
  <c r="AB95" i="578"/>
  <c r="AB96" i="578"/>
  <c r="AB97" i="578"/>
  <c r="AB98" i="578"/>
  <c r="AB99" i="578"/>
  <c r="AB100" i="578"/>
  <c r="AB101" i="578"/>
  <c r="AB102" i="578"/>
  <c r="AB103" i="578"/>
  <c r="AB104" i="578"/>
  <c r="AB105" i="578"/>
  <c r="AB106" i="578"/>
  <c r="AB107" i="578"/>
  <c r="AB108" i="578"/>
  <c r="AB109" i="578"/>
  <c r="AB110" i="578"/>
  <c r="AB111" i="578"/>
  <c r="AB112" i="578"/>
  <c r="AB113" i="578"/>
  <c r="AB114" i="578"/>
  <c r="AB115" i="578"/>
  <c r="AB116" i="578"/>
  <c r="AB117" i="578"/>
  <c r="AB118" i="578"/>
  <c r="AB119" i="578"/>
  <c r="AB120" i="578"/>
  <c r="AB121" i="578"/>
  <c r="AB122" i="578"/>
  <c r="AB123" i="578"/>
  <c r="AB124" i="578"/>
  <c r="AB125" i="578"/>
  <c r="AB126" i="578"/>
  <c r="AB127" i="578"/>
  <c r="AB128" i="578"/>
  <c r="AB129" i="578"/>
  <c r="AB130" i="578"/>
  <c r="AB131" i="578"/>
  <c r="AB132" i="578"/>
  <c r="AB133" i="578"/>
  <c r="AB134" i="578"/>
  <c r="AB135" i="578"/>
  <c r="AB136" i="578"/>
  <c r="AB137" i="578"/>
  <c r="AB138" i="578"/>
  <c r="AB139" i="578"/>
  <c r="AB140" i="578"/>
  <c r="AB141" i="578"/>
  <c r="AB142" i="578"/>
  <c r="AB143" i="578"/>
  <c r="AB144" i="578"/>
  <c r="AB145" i="578"/>
  <c r="AB146" i="578"/>
  <c r="AB147" i="578"/>
  <c r="AB148" i="578"/>
  <c r="AB149" i="578"/>
  <c r="AB150" i="578"/>
  <c r="AB151" i="578"/>
  <c r="AB152" i="578"/>
  <c r="AB153" i="578"/>
  <c r="AB154" i="578"/>
  <c r="AB155" i="578"/>
  <c r="AB156" i="578"/>
  <c r="AB157" i="578"/>
  <c r="AB158" i="578"/>
  <c r="AB159" i="578"/>
  <c r="AB160" i="578"/>
  <c r="AB161" i="578"/>
  <c r="AB162" i="578"/>
  <c r="AB163" i="578"/>
  <c r="AB164" i="578"/>
  <c r="AB165" i="578"/>
  <c r="AB166" i="578"/>
  <c r="AB167" i="578"/>
  <c r="AB168" i="578"/>
  <c r="AB169" i="578"/>
  <c r="AB170" i="578"/>
  <c r="AB171" i="578"/>
  <c r="AB172" i="578"/>
  <c r="AB173" i="578"/>
  <c r="AB174" i="578"/>
  <c r="AB175" i="578"/>
  <c r="AB176" i="578"/>
  <c r="AB177" i="578"/>
  <c r="AB178" i="578"/>
  <c r="AB179" i="578"/>
  <c r="AB180" i="578"/>
  <c r="AB181" i="578"/>
  <c r="AB182" i="578"/>
  <c r="AB183" i="578"/>
  <c r="AB184" i="578"/>
  <c r="AB185" i="578"/>
  <c r="AB186" i="578"/>
  <c r="AB187" i="578"/>
  <c r="AB188" i="578"/>
  <c r="AB189" i="578"/>
  <c r="AB190" i="578"/>
  <c r="AB191" i="578"/>
  <c r="AB192" i="578"/>
  <c r="AB193" i="578"/>
  <c r="AB194" i="578"/>
  <c r="AB195" i="578"/>
  <c r="AB196" i="578"/>
  <c r="AB197" i="578"/>
  <c r="AB198" i="578"/>
  <c r="AB199" i="578"/>
  <c r="AB200" i="578"/>
  <c r="AB201" i="578"/>
  <c r="AB202" i="578"/>
  <c r="AB203" i="578"/>
  <c r="AB204" i="578"/>
  <c r="AB205" i="578"/>
  <c r="AB206" i="578"/>
  <c r="AB207" i="578"/>
  <c r="AB208" i="578"/>
  <c r="AB209" i="578"/>
  <c r="AB210" i="578"/>
  <c r="AB211" i="578"/>
  <c r="AB212" i="578"/>
  <c r="AB213" i="578"/>
  <c r="AB214" i="578"/>
  <c r="AB215" i="578"/>
  <c r="AB216" i="578"/>
  <c r="AB217" i="578"/>
  <c r="AB218" i="578"/>
  <c r="AB219" i="578"/>
  <c r="AB220" i="578"/>
  <c r="AB221" i="578"/>
  <c r="AB222" i="578"/>
  <c r="AB223" i="578"/>
  <c r="AB224" i="578"/>
  <c r="AB225" i="578"/>
  <c r="AB226" i="578"/>
  <c r="AB227" i="578"/>
  <c r="AB228" i="578"/>
  <c r="AB229" i="578"/>
  <c r="AB230" i="578"/>
  <c r="AB231" i="578"/>
  <c r="AB232" i="578"/>
  <c r="AB233" i="578"/>
  <c r="AB234" i="578"/>
  <c r="AB235" i="578"/>
  <c r="AB236" i="578"/>
  <c r="AB237" i="578"/>
  <c r="AB238" i="578"/>
  <c r="AB239" i="578"/>
  <c r="AB240" i="578"/>
  <c r="AB241" i="578"/>
  <c r="AB242" i="578"/>
  <c r="AB243" i="578"/>
  <c r="AB244" i="578"/>
  <c r="AB245" i="578"/>
  <c r="AB246" i="578"/>
  <c r="AB247" i="578"/>
  <c r="AB248" i="578"/>
  <c r="AB249" i="578"/>
  <c r="AB250" i="578"/>
  <c r="AB251" i="578"/>
  <c r="AB252" i="578"/>
  <c r="AB253" i="578"/>
  <c r="AB254" i="578"/>
  <c r="AB255" i="578"/>
  <c r="AB256" i="578"/>
  <c r="AB257" i="578"/>
  <c r="AB258" i="578"/>
  <c r="AB259" i="578"/>
  <c r="AB260" i="578"/>
  <c r="AB261" i="578"/>
  <c r="AB262" i="578"/>
  <c r="AB263" i="578"/>
  <c r="AB264" i="578"/>
  <c r="AB265" i="578"/>
  <c r="AB266" i="578"/>
  <c r="AB267" i="578"/>
  <c r="AB268" i="578"/>
  <c r="AB269" i="578"/>
  <c r="AB270" i="578"/>
  <c r="AB271" i="578"/>
  <c r="AB272" i="578"/>
  <c r="AB273" i="578"/>
  <c r="AB274" i="578"/>
  <c r="AB275" i="578"/>
  <c r="AB276" i="578"/>
  <c r="AB277" i="578"/>
  <c r="AB278" i="578"/>
  <c r="AB279" i="578"/>
  <c r="AB280" i="578"/>
  <c r="AB281" i="578"/>
  <c r="AB282" i="578"/>
  <c r="AB283" i="578"/>
  <c r="AB284" i="578"/>
  <c r="AB285" i="578"/>
  <c r="AB286" i="578"/>
  <c r="AB287" i="578"/>
  <c r="AB288" i="578"/>
  <c r="AB289" i="578"/>
  <c r="AB290" i="578"/>
  <c r="AB291" i="578"/>
  <c r="AB292" i="578"/>
  <c r="AB293" i="578"/>
  <c r="AB294" i="578"/>
  <c r="AB295" i="578"/>
  <c r="AB296" i="578"/>
  <c r="AB297" i="578"/>
  <c r="AB298" i="578"/>
  <c r="AB299" i="578"/>
  <c r="AB300" i="578"/>
  <c r="AB301" i="578"/>
  <c r="AB302" i="578"/>
  <c r="AB303" i="578"/>
  <c r="AB304" i="578"/>
  <c r="AB305" i="578"/>
  <c r="AB306" i="578"/>
  <c r="AB307" i="578"/>
  <c r="AB308" i="578"/>
  <c r="AB309" i="578"/>
  <c r="AB310" i="578"/>
  <c r="AB311" i="578"/>
  <c r="AB312" i="578"/>
  <c r="AB313" i="578"/>
  <c r="AB314" i="578"/>
  <c r="AB315" i="578"/>
  <c r="AB316" i="578"/>
  <c r="AB317" i="578"/>
  <c r="AB318" i="578"/>
  <c r="AB319" i="578"/>
  <c r="AB320" i="578"/>
  <c r="AB321" i="578"/>
  <c r="AB322" i="578"/>
  <c r="AB323" i="578"/>
  <c r="AB324" i="578"/>
  <c r="AB325" i="578"/>
  <c r="AB326" i="578"/>
  <c r="AB327" i="578"/>
  <c r="AB328" i="578"/>
  <c r="AB329" i="578"/>
  <c r="AB330" i="578"/>
  <c r="AB331" i="578"/>
  <c r="AB332" i="578"/>
  <c r="AB333" i="578"/>
  <c r="AB334" i="578"/>
  <c r="AB335" i="578"/>
  <c r="AB336" i="578"/>
  <c r="AB337" i="578"/>
  <c r="AB338" i="578"/>
  <c r="AB339" i="578"/>
  <c r="AB340" i="578"/>
  <c r="AB341" i="578"/>
  <c r="AB342" i="578"/>
  <c r="AB343" i="578"/>
  <c r="AB344" i="578"/>
  <c r="AB345" i="578"/>
  <c r="AB346" i="578"/>
  <c r="AB347" i="578"/>
  <c r="AB348" i="578"/>
  <c r="AB349" i="578"/>
  <c r="AB350" i="578"/>
  <c r="AB351" i="578"/>
  <c r="AB352" i="578"/>
  <c r="AB353" i="578"/>
  <c r="AB354" i="578"/>
  <c r="AB355" i="578"/>
  <c r="AB356" i="578"/>
  <c r="AB357" i="578"/>
  <c r="AB358" i="578"/>
  <c r="AB359" i="578"/>
  <c r="AB360" i="578"/>
  <c r="AB361" i="578"/>
  <c r="AB362" i="578"/>
  <c r="AB363" i="578"/>
  <c r="AB364" i="578"/>
  <c r="AB365" i="578"/>
  <c r="AB366" i="578"/>
  <c r="AE7" i="577"/>
  <c r="AE8" i="577"/>
  <c r="AE9" i="577"/>
  <c r="AE10" i="577"/>
  <c r="AE11" i="577"/>
  <c r="AE12" i="577"/>
  <c r="AE13" i="577"/>
  <c r="AE14" i="577"/>
  <c r="AE15" i="577"/>
  <c r="AE16" i="577"/>
  <c r="AE17" i="577"/>
  <c r="AE18" i="577"/>
  <c r="AE19" i="577"/>
  <c r="AE20" i="577"/>
  <c r="AE21" i="577"/>
  <c r="AE22" i="577"/>
  <c r="AE23" i="577"/>
  <c r="AE24" i="577"/>
  <c r="AE25" i="577"/>
  <c r="AE26" i="577"/>
  <c r="AE27" i="577"/>
  <c r="AE28" i="577"/>
  <c r="AE29" i="577"/>
  <c r="AE30" i="577"/>
  <c r="AE31" i="577"/>
  <c r="AE32" i="577"/>
  <c r="AE33" i="577"/>
  <c r="AE34" i="577"/>
  <c r="AE35" i="577"/>
  <c r="AE36" i="577"/>
  <c r="AE37" i="577"/>
  <c r="AE38" i="577"/>
  <c r="AE39" i="577"/>
  <c r="AE40" i="577"/>
  <c r="AE41" i="577"/>
  <c r="AE42" i="577"/>
  <c r="AE43" i="577"/>
  <c r="AE44" i="577"/>
  <c r="AE45" i="577"/>
  <c r="AE46" i="577"/>
  <c r="AE47" i="577"/>
  <c r="AE48" i="577"/>
  <c r="AE49" i="577"/>
  <c r="AE50" i="577"/>
  <c r="AE51" i="577"/>
  <c r="AE52" i="577"/>
  <c r="AE53" i="577"/>
  <c r="AE54" i="577"/>
  <c r="AE55" i="577"/>
  <c r="AE56" i="577"/>
  <c r="AE57" i="577"/>
  <c r="AE58" i="577"/>
  <c r="AE59" i="577"/>
  <c r="AE60" i="577"/>
  <c r="AE61" i="577"/>
  <c r="AE62" i="577"/>
  <c r="AE63" i="577"/>
  <c r="AE64" i="577"/>
  <c r="AE65" i="577"/>
  <c r="AE66" i="577"/>
  <c r="AE67" i="577"/>
  <c r="AE68" i="577"/>
  <c r="AE69" i="577"/>
  <c r="AE70" i="577"/>
  <c r="AE71" i="577"/>
  <c r="AE72" i="577"/>
  <c r="AE73" i="577"/>
  <c r="AE74" i="577"/>
  <c r="AE75" i="577"/>
  <c r="AE76" i="577"/>
  <c r="AE77" i="577"/>
  <c r="AE78" i="577"/>
  <c r="AE79" i="577"/>
  <c r="AE80" i="577"/>
  <c r="AE81" i="577"/>
  <c r="AE82" i="577"/>
  <c r="AE83" i="577"/>
  <c r="AE84" i="577"/>
  <c r="AE85" i="577"/>
  <c r="AE86" i="577"/>
  <c r="AE87" i="577"/>
  <c r="AE88" i="577"/>
  <c r="AE89" i="577"/>
  <c r="AE90" i="577"/>
  <c r="AE91" i="577"/>
  <c r="AE92" i="577"/>
  <c r="AE93" i="577"/>
  <c r="AE94" i="577"/>
  <c r="AE95" i="577"/>
  <c r="AE96" i="577"/>
  <c r="AE97" i="577"/>
  <c r="AE98" i="577"/>
  <c r="AE99" i="577"/>
  <c r="AE100" i="577"/>
  <c r="AE101" i="577"/>
  <c r="AE102" i="577"/>
  <c r="AE103" i="577"/>
  <c r="AE104" i="577"/>
  <c r="AE105" i="577"/>
  <c r="AE106" i="577"/>
  <c r="AE107" i="577"/>
  <c r="AE108" i="577"/>
  <c r="AE109" i="577"/>
  <c r="AE110" i="577"/>
  <c r="AE111" i="577"/>
  <c r="AE112" i="577"/>
  <c r="AE113" i="577"/>
  <c r="AE114" i="577"/>
  <c r="AE115" i="577"/>
  <c r="AE116" i="577"/>
  <c r="AE117" i="577"/>
  <c r="AE118" i="577"/>
  <c r="AE119" i="577"/>
  <c r="AE120" i="577"/>
  <c r="AE121" i="577"/>
  <c r="AE122" i="577"/>
  <c r="AE123" i="577"/>
  <c r="AE124" i="577"/>
  <c r="AE125" i="577"/>
  <c r="AE126" i="577"/>
  <c r="AE127" i="577"/>
  <c r="AE128" i="577"/>
  <c r="AE129" i="577"/>
  <c r="AE130" i="577"/>
  <c r="AE131" i="577"/>
  <c r="AE132" i="577"/>
  <c r="AE133" i="577"/>
  <c r="AE134" i="577"/>
  <c r="AE135" i="577"/>
  <c r="AE136" i="577"/>
  <c r="AE137" i="577"/>
  <c r="AE138" i="577"/>
  <c r="AE139" i="577"/>
  <c r="AE140" i="577"/>
  <c r="AE141" i="577"/>
  <c r="AE142" i="577"/>
  <c r="AE143" i="577"/>
  <c r="AE144" i="577"/>
  <c r="AE145" i="577"/>
  <c r="AE146" i="577"/>
  <c r="AE147" i="577"/>
  <c r="AE148" i="577"/>
  <c r="AE149" i="577"/>
  <c r="AE150" i="577"/>
  <c r="AE151" i="577"/>
  <c r="AE152" i="577"/>
  <c r="AE153" i="577"/>
  <c r="AE154" i="577"/>
  <c r="AE155" i="577"/>
  <c r="AE156" i="577"/>
  <c r="AE157" i="577"/>
  <c r="AE158" i="577"/>
  <c r="AE159" i="577"/>
  <c r="AE160" i="577"/>
  <c r="AE161" i="577"/>
  <c r="AE162" i="577"/>
  <c r="AE163" i="577"/>
  <c r="AE164" i="577"/>
  <c r="AE165" i="577"/>
  <c r="AE166" i="577"/>
  <c r="AE167" i="577"/>
  <c r="AE168" i="577"/>
  <c r="AE169" i="577"/>
  <c r="AE170" i="577"/>
  <c r="AE171" i="577"/>
  <c r="AE172" i="577"/>
  <c r="AE173" i="577"/>
  <c r="AE174" i="577"/>
  <c r="AE175" i="577"/>
  <c r="AE176" i="577"/>
  <c r="AE177" i="577"/>
  <c r="AE178" i="577"/>
  <c r="AE179" i="577"/>
  <c r="AE180" i="577"/>
  <c r="AE181" i="577"/>
  <c r="AE182" i="577"/>
  <c r="AE183" i="577"/>
  <c r="AE184" i="577"/>
  <c r="AE185" i="577"/>
  <c r="AE186" i="577"/>
  <c r="AE187" i="577"/>
  <c r="AE188" i="577"/>
  <c r="AE189" i="577"/>
  <c r="AE190" i="577"/>
  <c r="AE191" i="577"/>
  <c r="AE192" i="577"/>
  <c r="AE193" i="577"/>
  <c r="AE194" i="577"/>
  <c r="AE195" i="577"/>
  <c r="AE196" i="577"/>
  <c r="AE197" i="577"/>
  <c r="AE198" i="577"/>
  <c r="AE199" i="577"/>
  <c r="AE200" i="577"/>
  <c r="AE201" i="577"/>
  <c r="AE202" i="577"/>
  <c r="AE203" i="577"/>
  <c r="AE204" i="577"/>
  <c r="AE205" i="577"/>
  <c r="AE206" i="577"/>
  <c r="AE207" i="577"/>
  <c r="AE208" i="577"/>
  <c r="AE209" i="577"/>
  <c r="AE210" i="577"/>
  <c r="AE211" i="577"/>
  <c r="AE212" i="577"/>
  <c r="AE213" i="577"/>
  <c r="AE214" i="577"/>
  <c r="AE215" i="577"/>
  <c r="AE216" i="577"/>
  <c r="AE217" i="577"/>
  <c r="AE218" i="577"/>
  <c r="AE219" i="577"/>
  <c r="AE220" i="577"/>
  <c r="AE221" i="577"/>
  <c r="AE222" i="577"/>
  <c r="AE223" i="577"/>
  <c r="AE224" i="577"/>
  <c r="AE225" i="577"/>
  <c r="AE226" i="577"/>
  <c r="AE227" i="577"/>
  <c r="AE228" i="577"/>
  <c r="AE229" i="577"/>
  <c r="AE230" i="577"/>
  <c r="AE231" i="577"/>
  <c r="AE232" i="577"/>
  <c r="AE233" i="577"/>
  <c r="AE234" i="577"/>
  <c r="AE235" i="577"/>
  <c r="AE236" i="577"/>
  <c r="AE237" i="577"/>
  <c r="AE238" i="577"/>
  <c r="AE239" i="577"/>
  <c r="AE240" i="577"/>
  <c r="AE241" i="577"/>
  <c r="AE242" i="577"/>
  <c r="AE243" i="577"/>
  <c r="AE244" i="577"/>
  <c r="AE245" i="577"/>
  <c r="AE246" i="577"/>
  <c r="AE247" i="577"/>
  <c r="AE248" i="577"/>
  <c r="AE249" i="577"/>
  <c r="AE250" i="577"/>
  <c r="AE251" i="577"/>
  <c r="AE252" i="577"/>
  <c r="AE253" i="577"/>
  <c r="AE254" i="577"/>
  <c r="AE255" i="577"/>
  <c r="AE256" i="577"/>
  <c r="AE257" i="577"/>
  <c r="AE258" i="577"/>
  <c r="AE259" i="577"/>
  <c r="AE260" i="577"/>
  <c r="AE261" i="577"/>
  <c r="AE262" i="577"/>
  <c r="AE263" i="577"/>
  <c r="AE264" i="577"/>
  <c r="AE265" i="577"/>
  <c r="AE266" i="577"/>
  <c r="AE267" i="577"/>
  <c r="AE268" i="577"/>
  <c r="AE269" i="577"/>
  <c r="AE270" i="577"/>
  <c r="AE271" i="577"/>
  <c r="AE272" i="577"/>
  <c r="AE273" i="577"/>
  <c r="AE274" i="577"/>
  <c r="AE275" i="577"/>
  <c r="AE276" i="577"/>
  <c r="AE277" i="577"/>
  <c r="AE278" i="577"/>
  <c r="AE279" i="577"/>
  <c r="AE280" i="577"/>
  <c r="AE281" i="577"/>
  <c r="AE282" i="577"/>
  <c r="AE283" i="577"/>
  <c r="AE284" i="577"/>
  <c r="AE285" i="577"/>
  <c r="AE286" i="577"/>
  <c r="AE287" i="577"/>
  <c r="AE288" i="577"/>
  <c r="AE289" i="577"/>
  <c r="AE290" i="577"/>
  <c r="AE291" i="577"/>
  <c r="AE292" i="577"/>
  <c r="AE293" i="577"/>
  <c r="AE294" i="577"/>
  <c r="AE295" i="577"/>
  <c r="AE296" i="577"/>
  <c r="AE297" i="577"/>
  <c r="AE298" i="577"/>
  <c r="AE299" i="577"/>
  <c r="AE300" i="577"/>
  <c r="AE301" i="577"/>
  <c r="AE302" i="577"/>
  <c r="AE303" i="577"/>
  <c r="AE304" i="577"/>
  <c r="AE305" i="577"/>
  <c r="AE306" i="577"/>
  <c r="AE307" i="577"/>
  <c r="AE308" i="577"/>
  <c r="AE309" i="577"/>
  <c r="AE310" i="577"/>
  <c r="AE311" i="577"/>
  <c r="AE312" i="577"/>
  <c r="AE313" i="577"/>
  <c r="AE314" i="577"/>
  <c r="AE315" i="577"/>
  <c r="AE316" i="577"/>
  <c r="AE317" i="577"/>
  <c r="AE318" i="577"/>
  <c r="AE319" i="577"/>
  <c r="AE320" i="577"/>
  <c r="AE321" i="577"/>
  <c r="AE322" i="577"/>
  <c r="AE323" i="577"/>
  <c r="AE324" i="577"/>
  <c r="AE325" i="577"/>
  <c r="AE326" i="577"/>
  <c r="AE327" i="577"/>
  <c r="AE328" i="577"/>
  <c r="AE329" i="577"/>
  <c r="AE330" i="577"/>
  <c r="AE331" i="577"/>
  <c r="AE332" i="577"/>
  <c r="AE333" i="577"/>
  <c r="AE334" i="577"/>
  <c r="AE335" i="577"/>
  <c r="AE336" i="577"/>
  <c r="AE337" i="577"/>
  <c r="AE338" i="577"/>
  <c r="AE339" i="577"/>
  <c r="AE340" i="577"/>
  <c r="AE341" i="577"/>
  <c r="AE342" i="577"/>
  <c r="AE343" i="577"/>
  <c r="AE344" i="577"/>
  <c r="AE345" i="577"/>
  <c r="AE346" i="577"/>
  <c r="AE347" i="577"/>
  <c r="AE348" i="577"/>
  <c r="AE349" i="577"/>
  <c r="AE350" i="577"/>
  <c r="AE351" i="577"/>
  <c r="AE352" i="577"/>
  <c r="AE353" i="577"/>
  <c r="AE354" i="577"/>
  <c r="AE355" i="577"/>
  <c r="AE356" i="577"/>
  <c r="AE357" i="577"/>
  <c r="AE358" i="577"/>
  <c r="AE359" i="577"/>
  <c r="AE360" i="577"/>
  <c r="AE361" i="577"/>
  <c r="AE362" i="577"/>
  <c r="AE363" i="577"/>
  <c r="AE364" i="577"/>
  <c r="AE365" i="577"/>
  <c r="AE366" i="577"/>
  <c r="AE372" i="577"/>
  <c r="AE373" i="577"/>
  <c r="AE374" i="577"/>
  <c r="AE375" i="577"/>
  <c r="AE376" i="577"/>
  <c r="AE377" i="577"/>
  <c r="AE378" i="577"/>
  <c r="AE379" i="577"/>
  <c r="AE380" i="577"/>
  <c r="AE381" i="577"/>
  <c r="AE382" i="577"/>
  <c r="AE383" i="577"/>
  <c r="AE384" i="577"/>
  <c r="AE385" i="577"/>
  <c r="AE386" i="577"/>
  <c r="AE387" i="577"/>
  <c r="AE388" i="577"/>
  <c r="AE389" i="577"/>
  <c r="AE390" i="577"/>
  <c r="AE391" i="577"/>
  <c r="AE392" i="577"/>
  <c r="AE393" i="577"/>
  <c r="AE394" i="577"/>
  <c r="AE395" i="577"/>
  <c r="Z7" i="576"/>
  <c r="Z8" i="576"/>
  <c r="Z9" i="576"/>
  <c r="Z10" i="576"/>
  <c r="Z11" i="576"/>
  <c r="Z12" i="576"/>
  <c r="Z13" i="576"/>
  <c r="Z14" i="576"/>
  <c r="Z15" i="576"/>
  <c r="Z16" i="576"/>
  <c r="Z17" i="576"/>
  <c r="Z18" i="576"/>
  <c r="Z19" i="576"/>
  <c r="Z20" i="576"/>
  <c r="Z21" i="576"/>
  <c r="Z22" i="576"/>
  <c r="Z23" i="576"/>
  <c r="Z24" i="576"/>
  <c r="Z25" i="576"/>
  <c r="Z26" i="576"/>
  <c r="Z27" i="576"/>
  <c r="Z28" i="576"/>
  <c r="Z29" i="576"/>
  <c r="Z30" i="576"/>
  <c r="Z31" i="576"/>
  <c r="Z32" i="576"/>
  <c r="Z33" i="576"/>
  <c r="Z34" i="576"/>
  <c r="Z35" i="576"/>
  <c r="Z36" i="576"/>
  <c r="Z37" i="576"/>
  <c r="Z38" i="576"/>
  <c r="Z39" i="576"/>
  <c r="Z40" i="576"/>
  <c r="Z41" i="576"/>
  <c r="Z42" i="576"/>
  <c r="Z43" i="576"/>
  <c r="Z44" i="576"/>
  <c r="Z45" i="576"/>
  <c r="Z46" i="576"/>
  <c r="Z47" i="576"/>
  <c r="Z48" i="576"/>
  <c r="Z49" i="576"/>
  <c r="Z50" i="576"/>
  <c r="Z51" i="576"/>
  <c r="Z52" i="576"/>
  <c r="Z53" i="576"/>
  <c r="Z54" i="576"/>
  <c r="Z55" i="576"/>
  <c r="Z56" i="576"/>
  <c r="Z57" i="576"/>
  <c r="Z58" i="576"/>
  <c r="Z59" i="576"/>
  <c r="Z60" i="576"/>
  <c r="Z61" i="576"/>
  <c r="Z62" i="576"/>
  <c r="Z63" i="576"/>
  <c r="Z64" i="576"/>
  <c r="Z65" i="576"/>
  <c r="Z66" i="576"/>
  <c r="Z67" i="576"/>
  <c r="Z68" i="576"/>
  <c r="Z69" i="576"/>
  <c r="Z70" i="576"/>
  <c r="Z71" i="576"/>
  <c r="Z72" i="576"/>
  <c r="Z73" i="576"/>
  <c r="Z74" i="576"/>
  <c r="Z75" i="576"/>
  <c r="Z76" i="576"/>
  <c r="Z77" i="576"/>
  <c r="Z78" i="576"/>
  <c r="Z79" i="576"/>
  <c r="Z80" i="576"/>
  <c r="Z81" i="576"/>
  <c r="Z82" i="576"/>
  <c r="Z83" i="576"/>
  <c r="Z84" i="576"/>
  <c r="Z85" i="576"/>
  <c r="Z86" i="576"/>
  <c r="Z87" i="576"/>
  <c r="Z88" i="576"/>
  <c r="Z89" i="576"/>
  <c r="Z90" i="576"/>
  <c r="Z91" i="576"/>
  <c r="Z92" i="576"/>
  <c r="Z93" i="576"/>
  <c r="Z94" i="576"/>
  <c r="Z95" i="576"/>
  <c r="Z96" i="576"/>
  <c r="Z97" i="576"/>
  <c r="Z98" i="576"/>
  <c r="Z99" i="576"/>
  <c r="Z100" i="576"/>
  <c r="Z101" i="576"/>
  <c r="Z102" i="576"/>
  <c r="Z103" i="576"/>
  <c r="Z104" i="576"/>
  <c r="Z105" i="576"/>
  <c r="Z106" i="576"/>
  <c r="Z107" i="576"/>
  <c r="Z108" i="576"/>
  <c r="Z109" i="576"/>
  <c r="Z110" i="576"/>
  <c r="Z111" i="576"/>
  <c r="Z112" i="576"/>
  <c r="Z113" i="576"/>
  <c r="Z114" i="576"/>
  <c r="Z115" i="576"/>
  <c r="Z116" i="576"/>
  <c r="Z117" i="576"/>
  <c r="Z118" i="576"/>
  <c r="Z119" i="576"/>
  <c r="Z120" i="576"/>
  <c r="Z121" i="576"/>
  <c r="Z122" i="576"/>
  <c r="Z123" i="576"/>
  <c r="Z124" i="576"/>
  <c r="Z125" i="576"/>
  <c r="Z126" i="576"/>
  <c r="Z127" i="576"/>
  <c r="Z128" i="576"/>
  <c r="Z129" i="576"/>
  <c r="Z130" i="576"/>
  <c r="Z131" i="576"/>
  <c r="Z132" i="576"/>
  <c r="Z133" i="576"/>
  <c r="Z134" i="576"/>
  <c r="Z135" i="576"/>
  <c r="Z136" i="576"/>
  <c r="Z137" i="576"/>
  <c r="Z138" i="576"/>
  <c r="Z139" i="576"/>
  <c r="Z140" i="576"/>
  <c r="Z141" i="576"/>
  <c r="Z142" i="576"/>
  <c r="Z143" i="576"/>
  <c r="Z144" i="576"/>
  <c r="Z145" i="576"/>
  <c r="Z146" i="576"/>
  <c r="Z147" i="576"/>
  <c r="Z148" i="576"/>
  <c r="Z149" i="576"/>
  <c r="Z150" i="576"/>
  <c r="Z151" i="576"/>
  <c r="Z152" i="576"/>
  <c r="Z153" i="576"/>
  <c r="Z154" i="576"/>
  <c r="Z155" i="576"/>
  <c r="Z156" i="576"/>
  <c r="Z157" i="576"/>
  <c r="Z158" i="576"/>
  <c r="Z159" i="576"/>
  <c r="Z160" i="576"/>
  <c r="Z161" i="576"/>
  <c r="Z162" i="576"/>
  <c r="Z163" i="576"/>
  <c r="Z164" i="576"/>
  <c r="Z165" i="576"/>
  <c r="Z166" i="576"/>
  <c r="Z167" i="576"/>
  <c r="Z168" i="576"/>
  <c r="Z169" i="576"/>
  <c r="Z170" i="576"/>
  <c r="Z171" i="576"/>
  <c r="Z172" i="576"/>
  <c r="Z173" i="576"/>
  <c r="Z174" i="576"/>
  <c r="Z175" i="576"/>
  <c r="Z176" i="576"/>
  <c r="Z177" i="576"/>
  <c r="Z178" i="576"/>
  <c r="Z179" i="576"/>
  <c r="Z180" i="576"/>
  <c r="Z181" i="576"/>
  <c r="Z182" i="576"/>
  <c r="Z183" i="576"/>
  <c r="Z184" i="576"/>
  <c r="Z185" i="576"/>
  <c r="Z186" i="576"/>
  <c r="Z187" i="576"/>
  <c r="Z188" i="576"/>
  <c r="Z189" i="576"/>
  <c r="Z190" i="576"/>
  <c r="Z191" i="576"/>
  <c r="Z192" i="576"/>
  <c r="Z193" i="576"/>
  <c r="Z194" i="576"/>
  <c r="Z195" i="576"/>
  <c r="Z196" i="576"/>
  <c r="Z197" i="576"/>
  <c r="Z198" i="576"/>
  <c r="Z199" i="576"/>
  <c r="Z200" i="576"/>
  <c r="Z201" i="576"/>
  <c r="Z202" i="576"/>
  <c r="Z203" i="576"/>
  <c r="Z204" i="576"/>
  <c r="Z205" i="576"/>
  <c r="Z206" i="576"/>
  <c r="Z207" i="576"/>
  <c r="Z208" i="576"/>
  <c r="Z209" i="576"/>
  <c r="Z210" i="576"/>
  <c r="Z211" i="576"/>
  <c r="Z212" i="576"/>
  <c r="Z213" i="576"/>
  <c r="Z214" i="576"/>
  <c r="Z215" i="576"/>
  <c r="Z216" i="576"/>
  <c r="Z217" i="576"/>
  <c r="Z218" i="576"/>
  <c r="Z219" i="576"/>
  <c r="Z220" i="576"/>
  <c r="Z221" i="576"/>
  <c r="Z222" i="576"/>
  <c r="Z223" i="576"/>
  <c r="Z224" i="576"/>
  <c r="Z225" i="576"/>
  <c r="Z226" i="576"/>
  <c r="Z227" i="576"/>
  <c r="Z228" i="576"/>
  <c r="Z229" i="576"/>
  <c r="Z230" i="576"/>
  <c r="Z231" i="576"/>
  <c r="Z232" i="576"/>
  <c r="Z233" i="576"/>
  <c r="Z234" i="576"/>
  <c r="Z235" i="576"/>
  <c r="Z236" i="576"/>
  <c r="Z237" i="576"/>
  <c r="Z238" i="576"/>
  <c r="Z239" i="576"/>
  <c r="Z240" i="576"/>
  <c r="Z241" i="576"/>
  <c r="Z242" i="576"/>
  <c r="Z243" i="576"/>
  <c r="Z244" i="576"/>
  <c r="Z245" i="576"/>
  <c r="Z246" i="576"/>
  <c r="Z247" i="576"/>
  <c r="Z248" i="576"/>
  <c r="Z249" i="576"/>
  <c r="Z250" i="576"/>
  <c r="Z251" i="576"/>
  <c r="Z252" i="576"/>
  <c r="Z253" i="576"/>
  <c r="Z254" i="576"/>
  <c r="Z255" i="576"/>
  <c r="Z256" i="576"/>
  <c r="Z257" i="576"/>
  <c r="Z258" i="576"/>
  <c r="Z259" i="576"/>
  <c r="Z260" i="576"/>
  <c r="Z261" i="576"/>
  <c r="Z262" i="576"/>
  <c r="Z263" i="576"/>
  <c r="Z264" i="576"/>
  <c r="Z265" i="576"/>
  <c r="Z266" i="576"/>
  <c r="Z267" i="576"/>
  <c r="Z268" i="576"/>
  <c r="Z269" i="576"/>
  <c r="Z270" i="576"/>
  <c r="Z271" i="576"/>
  <c r="Z272" i="576"/>
  <c r="Z273" i="576"/>
  <c r="Z274" i="576"/>
  <c r="Z275" i="576"/>
  <c r="Z276" i="576"/>
  <c r="Z277" i="576"/>
  <c r="Z278" i="576"/>
  <c r="Z279" i="576"/>
  <c r="Z280" i="576"/>
  <c r="Z281" i="576"/>
  <c r="Z282" i="576"/>
  <c r="Z283" i="576"/>
  <c r="Z284" i="576"/>
  <c r="Z285" i="576"/>
  <c r="Z286" i="576"/>
  <c r="Z287" i="576"/>
  <c r="Z288" i="576"/>
  <c r="Z289" i="576"/>
  <c r="Z290" i="576"/>
  <c r="Z291" i="576"/>
  <c r="Z292" i="576"/>
  <c r="Z293" i="576"/>
  <c r="Z294" i="576"/>
  <c r="Z295" i="576"/>
  <c r="Z296" i="576"/>
  <c r="Z297" i="576"/>
  <c r="Z298" i="576"/>
  <c r="Z299" i="576"/>
  <c r="Z300" i="576"/>
  <c r="Z301" i="576"/>
  <c r="Z302" i="576"/>
  <c r="Z303" i="576"/>
  <c r="Z304" i="576"/>
  <c r="Z305" i="576"/>
  <c r="Z306" i="576"/>
  <c r="Z307" i="576"/>
  <c r="Z308" i="576"/>
  <c r="Z309" i="576"/>
  <c r="Z310" i="576"/>
  <c r="Z311" i="576"/>
  <c r="Z312" i="576"/>
  <c r="Z313" i="576"/>
  <c r="Z314" i="576"/>
  <c r="Z315" i="576"/>
  <c r="Z316" i="576"/>
  <c r="Z317" i="576"/>
  <c r="Z318" i="576"/>
  <c r="Z319" i="576"/>
  <c r="Z320" i="576"/>
  <c r="Z321" i="576"/>
  <c r="Z322" i="576"/>
  <c r="Z323" i="576"/>
  <c r="Z324" i="576"/>
  <c r="Z325" i="576"/>
  <c r="Z326" i="576"/>
  <c r="Z327" i="576"/>
  <c r="Z328" i="576"/>
  <c r="Z329" i="576"/>
  <c r="Z330" i="576"/>
  <c r="Z331" i="576"/>
  <c r="Z332" i="576"/>
  <c r="Z333" i="576"/>
  <c r="Z334" i="576"/>
  <c r="Z335" i="576"/>
  <c r="Z336" i="576"/>
  <c r="Z337" i="576"/>
  <c r="Z338" i="576"/>
  <c r="Z339" i="576"/>
  <c r="Z340" i="576"/>
  <c r="Z341" i="576"/>
  <c r="Z342" i="576"/>
  <c r="Z343" i="576"/>
  <c r="Z344" i="576"/>
  <c r="Z345" i="576"/>
  <c r="Z346" i="576"/>
  <c r="Z347" i="576"/>
  <c r="Z348" i="576"/>
  <c r="Z349" i="576"/>
  <c r="Z350" i="576"/>
  <c r="Z351" i="576"/>
  <c r="Z352" i="576"/>
  <c r="Z353" i="576"/>
  <c r="Z354" i="576"/>
  <c r="Z355" i="576"/>
  <c r="Z356" i="576"/>
  <c r="Z357" i="576"/>
  <c r="Z358" i="576"/>
  <c r="Z359" i="576"/>
  <c r="Z360" i="576"/>
  <c r="Z361" i="576"/>
  <c r="Z362" i="576"/>
  <c r="Z363" i="576"/>
  <c r="Z364" i="576"/>
  <c r="Z365" i="576"/>
  <c r="Z366" i="576"/>
  <c r="AB7" i="575"/>
  <c r="AB8" i="575"/>
  <c r="AB9" i="575"/>
  <c r="AB10" i="575"/>
  <c r="AB11" i="575"/>
  <c r="AB12" i="575"/>
  <c r="AB13" i="575"/>
  <c r="AB14" i="575"/>
  <c r="AB15" i="575"/>
  <c r="AB16" i="575"/>
  <c r="AB17" i="575"/>
  <c r="AB18" i="575"/>
  <c r="AB19" i="575"/>
  <c r="AB20" i="575"/>
  <c r="AB21" i="575"/>
  <c r="AB22" i="575"/>
  <c r="AB23" i="575"/>
  <c r="AB24" i="575"/>
  <c r="AB25" i="575"/>
  <c r="AB26" i="575"/>
  <c r="AB27" i="575"/>
  <c r="AB28" i="575"/>
  <c r="AB29" i="575"/>
  <c r="AB30" i="575"/>
  <c r="AB31" i="575"/>
  <c r="AB32" i="575"/>
  <c r="AB33" i="575"/>
  <c r="AB34" i="575"/>
  <c r="AB35" i="575"/>
  <c r="AB36" i="575"/>
  <c r="AB37" i="575"/>
  <c r="AB38" i="575"/>
  <c r="AB39" i="575"/>
  <c r="AB40" i="575"/>
  <c r="AB41" i="575"/>
  <c r="AB42" i="575"/>
  <c r="AB43" i="575"/>
  <c r="AB44" i="575"/>
  <c r="AB45" i="575"/>
  <c r="AB46" i="575"/>
  <c r="AB47" i="575"/>
  <c r="AB48" i="575"/>
  <c r="AB49" i="575"/>
  <c r="AB50" i="575"/>
  <c r="AB51" i="575"/>
  <c r="AB52" i="575"/>
  <c r="AB53" i="575"/>
  <c r="AB54" i="575"/>
  <c r="AB55" i="575"/>
  <c r="AB56" i="575"/>
  <c r="AB57" i="575"/>
  <c r="AB58" i="575"/>
  <c r="AB59" i="575"/>
  <c r="AB60" i="575"/>
  <c r="AB61" i="575"/>
  <c r="AB62" i="575"/>
  <c r="AB63" i="575"/>
  <c r="AB64" i="575"/>
  <c r="AB65" i="575"/>
  <c r="AB66" i="575"/>
  <c r="AB67" i="575"/>
  <c r="AB68" i="575"/>
  <c r="AB69" i="575"/>
  <c r="AB70" i="575"/>
  <c r="AB71" i="575"/>
  <c r="AB72" i="575"/>
  <c r="AB73" i="575"/>
  <c r="AB74" i="575"/>
  <c r="AB75" i="575"/>
  <c r="AB76" i="575"/>
  <c r="AB77" i="575"/>
  <c r="AB78" i="575"/>
  <c r="AB79" i="575"/>
  <c r="AB80" i="575"/>
  <c r="AB81" i="575"/>
  <c r="AB82" i="575"/>
  <c r="AB83" i="575"/>
  <c r="AB84" i="575"/>
  <c r="AB85" i="575"/>
  <c r="AB86" i="575"/>
  <c r="AB87" i="575"/>
  <c r="AB88" i="575"/>
  <c r="AB89" i="575"/>
  <c r="AB90" i="575"/>
  <c r="AB91" i="575"/>
  <c r="AB92" i="575"/>
  <c r="AB93" i="575"/>
  <c r="AB94" i="575"/>
  <c r="AB95" i="575"/>
  <c r="AB96" i="575"/>
  <c r="AB97" i="575"/>
  <c r="AB98" i="575"/>
  <c r="AB99" i="575"/>
  <c r="AB100" i="575"/>
  <c r="AB101" i="575"/>
  <c r="AB102" i="575"/>
  <c r="AB103" i="575"/>
  <c r="AB104" i="575"/>
  <c r="AB105" i="575"/>
  <c r="AB106" i="575"/>
  <c r="AB107" i="575"/>
  <c r="AB108" i="575"/>
  <c r="AB109" i="575"/>
  <c r="AB110" i="575"/>
  <c r="AB111" i="575"/>
  <c r="AB112" i="575"/>
  <c r="AB113" i="575"/>
  <c r="AB114" i="575"/>
  <c r="AB115" i="575"/>
  <c r="AB116" i="575"/>
  <c r="AB117" i="575"/>
  <c r="AB118" i="575"/>
  <c r="AB119" i="575"/>
  <c r="AB120" i="575"/>
  <c r="AB121" i="575"/>
  <c r="AB122" i="575"/>
  <c r="AB123" i="575"/>
  <c r="AB124" i="575"/>
  <c r="AB125" i="575"/>
  <c r="AB126" i="575"/>
  <c r="AB127" i="575"/>
  <c r="AB128" i="575"/>
  <c r="AB129" i="575"/>
  <c r="AB130" i="575"/>
  <c r="AB131" i="575"/>
  <c r="AB132" i="575"/>
  <c r="AB133" i="575"/>
  <c r="AB134" i="575"/>
  <c r="AB135" i="575"/>
  <c r="AB136" i="575"/>
  <c r="AB137" i="575"/>
  <c r="AB138" i="575"/>
  <c r="AB139" i="575"/>
  <c r="AB140" i="575"/>
  <c r="AB141" i="575"/>
  <c r="AB142" i="575"/>
  <c r="AB143" i="575"/>
  <c r="AB144" i="575"/>
  <c r="AB145" i="575"/>
  <c r="AB146" i="575"/>
  <c r="AB147" i="575"/>
  <c r="AB148" i="575"/>
  <c r="AB149" i="575"/>
  <c r="AB150" i="575"/>
  <c r="AB151" i="575"/>
  <c r="AB152" i="575"/>
  <c r="AB153" i="575"/>
  <c r="AB154" i="575"/>
  <c r="AB155" i="575"/>
  <c r="AB156" i="575"/>
  <c r="AB157" i="575"/>
  <c r="AB158" i="575"/>
  <c r="AB159" i="575"/>
  <c r="AB160" i="575"/>
  <c r="AB161" i="575"/>
  <c r="AB162" i="575"/>
  <c r="AB163" i="575"/>
  <c r="AB164" i="575"/>
  <c r="AB165" i="575"/>
  <c r="AB166" i="575"/>
  <c r="AB167" i="575"/>
  <c r="AB168" i="575"/>
  <c r="AB169" i="575"/>
  <c r="AB170" i="575"/>
  <c r="AB171" i="575"/>
  <c r="AB172" i="575"/>
  <c r="AB173" i="575"/>
  <c r="AB174" i="575"/>
  <c r="AB175" i="575"/>
  <c r="AB176" i="575"/>
  <c r="AB177" i="575"/>
  <c r="AB178" i="575"/>
  <c r="AB179" i="575"/>
  <c r="AB180" i="575"/>
  <c r="AB181" i="575"/>
  <c r="AB182" i="575"/>
  <c r="AB183" i="575"/>
  <c r="AB184" i="575"/>
  <c r="AB185" i="575"/>
  <c r="AB186" i="575"/>
  <c r="AB187" i="575"/>
  <c r="AB188" i="575"/>
  <c r="AB189" i="575"/>
  <c r="AB190" i="575"/>
  <c r="AB191" i="575"/>
  <c r="AB192" i="575"/>
  <c r="AB193" i="575"/>
  <c r="AB194" i="575"/>
  <c r="AB195" i="575"/>
  <c r="AB196" i="575"/>
  <c r="AB197" i="575"/>
  <c r="AB198" i="575"/>
  <c r="AB199" i="575"/>
  <c r="AB200" i="575"/>
  <c r="AB201" i="575"/>
  <c r="AB202" i="575"/>
  <c r="AB203" i="575"/>
  <c r="AB204" i="575"/>
  <c r="AB205" i="575"/>
  <c r="AB206" i="575"/>
  <c r="AB207" i="575"/>
  <c r="AB208" i="575"/>
  <c r="AB209" i="575"/>
  <c r="AB210" i="575"/>
  <c r="AB211" i="575"/>
  <c r="AB212" i="575"/>
  <c r="AB213" i="575"/>
  <c r="AB214" i="575"/>
  <c r="AB215" i="575"/>
  <c r="AB216" i="575"/>
  <c r="AB217" i="575"/>
  <c r="AB218" i="575"/>
  <c r="AB219" i="575"/>
  <c r="AB220" i="575"/>
  <c r="AB221" i="575"/>
  <c r="AB222" i="575"/>
  <c r="AB223" i="575"/>
  <c r="AB224" i="575"/>
  <c r="AB225" i="575"/>
  <c r="AB226" i="575"/>
  <c r="AB227" i="575"/>
  <c r="AB228" i="575"/>
  <c r="AB229" i="575"/>
  <c r="AB230" i="575"/>
  <c r="AB231" i="575"/>
  <c r="AB232" i="575"/>
  <c r="AB233" i="575"/>
  <c r="AB234" i="575"/>
  <c r="AB235" i="575"/>
  <c r="AB236" i="575"/>
  <c r="AB237" i="575"/>
  <c r="AB238" i="575"/>
  <c r="AB239" i="575"/>
  <c r="AB240" i="575"/>
  <c r="AB241" i="575"/>
  <c r="AB242" i="575"/>
  <c r="AB243" i="575"/>
  <c r="AB244" i="575"/>
  <c r="AB245" i="575"/>
  <c r="AB246" i="575"/>
  <c r="AB247" i="575"/>
  <c r="AB248" i="575"/>
  <c r="AB249" i="575"/>
  <c r="AB250" i="575"/>
  <c r="AB251" i="575"/>
  <c r="AB252" i="575"/>
  <c r="AB253" i="575"/>
  <c r="AB254" i="575"/>
  <c r="AB255" i="575"/>
  <c r="AB256" i="575"/>
  <c r="AB257" i="575"/>
  <c r="AB258" i="575"/>
  <c r="AB259" i="575"/>
  <c r="AB260" i="575"/>
  <c r="AB261" i="575"/>
  <c r="AB262" i="575"/>
  <c r="AB263" i="575"/>
  <c r="AB264" i="575"/>
  <c r="AB265" i="575"/>
  <c r="AB266" i="575"/>
  <c r="AB267" i="575"/>
  <c r="AB268" i="575"/>
  <c r="AB269" i="575"/>
  <c r="AB270" i="575"/>
  <c r="AB271" i="575"/>
  <c r="AB272" i="575"/>
  <c r="AB273" i="575"/>
  <c r="AB274" i="575"/>
  <c r="AB275" i="575"/>
  <c r="AB276" i="575"/>
  <c r="AB277" i="575"/>
  <c r="AB278" i="575"/>
  <c r="AB279" i="575"/>
  <c r="AB280" i="575"/>
  <c r="AB281" i="575"/>
  <c r="AB282" i="575"/>
  <c r="AB283" i="575"/>
  <c r="AB284" i="575"/>
  <c r="AB285" i="575"/>
  <c r="AB286" i="575"/>
  <c r="AB287" i="575"/>
  <c r="AB288" i="575"/>
  <c r="AB289" i="575"/>
  <c r="AB290" i="575"/>
  <c r="AB291" i="575"/>
  <c r="AB292" i="575"/>
  <c r="AB293" i="575"/>
  <c r="AB294" i="575"/>
  <c r="AB295" i="575"/>
  <c r="AB296" i="575"/>
  <c r="AB297" i="575"/>
  <c r="AB298" i="575"/>
  <c r="AB299" i="575"/>
  <c r="AB300" i="575"/>
  <c r="AB301" i="575"/>
  <c r="AB302" i="575"/>
  <c r="AB303" i="575"/>
  <c r="AB304" i="575"/>
  <c r="AB305" i="575"/>
  <c r="AB306" i="575"/>
  <c r="AB307" i="575"/>
  <c r="AB308" i="575"/>
  <c r="AB309" i="575"/>
  <c r="AB310" i="575"/>
  <c r="AB311" i="575"/>
  <c r="AB312" i="575"/>
  <c r="AB313" i="575"/>
  <c r="AB314" i="575"/>
  <c r="AB315" i="575"/>
  <c r="AB316" i="575"/>
  <c r="AB317" i="575"/>
  <c r="AB318" i="575"/>
  <c r="AB319" i="575"/>
  <c r="AB320" i="575"/>
  <c r="AB321" i="575"/>
  <c r="AB322" i="575"/>
  <c r="AB323" i="575"/>
  <c r="AB324" i="575"/>
  <c r="AB325" i="575"/>
  <c r="AB326" i="575"/>
  <c r="AB327" i="575"/>
  <c r="AB328" i="575"/>
  <c r="AB329" i="575"/>
  <c r="AB330" i="575"/>
  <c r="AB331" i="575"/>
  <c r="AB332" i="575"/>
  <c r="AB333" i="575"/>
  <c r="AB334" i="575"/>
  <c r="AB335" i="575"/>
  <c r="AB336" i="575"/>
  <c r="AB337" i="575"/>
  <c r="AB338" i="575"/>
  <c r="AB339" i="575"/>
  <c r="AB340" i="575"/>
  <c r="AB341" i="575"/>
  <c r="AB342" i="575"/>
  <c r="AB343" i="575"/>
  <c r="AB344" i="575"/>
  <c r="AB345" i="575"/>
  <c r="AB346" i="575"/>
  <c r="AB347" i="575"/>
  <c r="AB348" i="575"/>
  <c r="AB349" i="575"/>
  <c r="AB350" i="575"/>
  <c r="AB351" i="575"/>
  <c r="AB352" i="575"/>
  <c r="AB353" i="575"/>
  <c r="AB354" i="575"/>
  <c r="AB355" i="575"/>
  <c r="AB356" i="575"/>
  <c r="AB357" i="575"/>
  <c r="AB358" i="575"/>
  <c r="AB359" i="575"/>
  <c r="AB360" i="575"/>
  <c r="AB361" i="575"/>
  <c r="AB362" i="575"/>
  <c r="AB363" i="575"/>
  <c r="AB364" i="575"/>
  <c r="AB365" i="575"/>
  <c r="AB366" i="575"/>
  <c r="W7" i="574"/>
  <c r="W8" i="574"/>
  <c r="W9" i="574"/>
  <c r="W10" i="574"/>
  <c r="W11" i="574"/>
  <c r="W12" i="574"/>
  <c r="W13" i="574"/>
  <c r="W14" i="574"/>
  <c r="W15" i="574"/>
  <c r="W16" i="574"/>
  <c r="W17" i="574"/>
  <c r="W18" i="574"/>
  <c r="W19" i="574"/>
  <c r="W20" i="574"/>
  <c r="W21" i="574"/>
  <c r="W22" i="574"/>
  <c r="W23" i="574"/>
  <c r="W24" i="574"/>
  <c r="W25" i="574"/>
  <c r="W26" i="574"/>
  <c r="W27" i="574"/>
  <c r="W28" i="574"/>
  <c r="W29" i="574"/>
  <c r="W30" i="574"/>
  <c r="W31" i="574"/>
  <c r="W32" i="574"/>
  <c r="W33" i="574"/>
  <c r="W34" i="574"/>
  <c r="W35" i="574"/>
  <c r="W36" i="574"/>
  <c r="W37" i="574"/>
  <c r="W38" i="574"/>
  <c r="W39" i="574"/>
  <c r="W40" i="574"/>
  <c r="W41" i="574"/>
  <c r="W42" i="574"/>
  <c r="W43" i="574"/>
  <c r="W44" i="574"/>
  <c r="W45" i="574"/>
  <c r="W46" i="574"/>
  <c r="W47" i="574"/>
  <c r="W48" i="574"/>
  <c r="W49" i="574"/>
  <c r="W50" i="574"/>
  <c r="W51" i="574"/>
  <c r="W52" i="574"/>
  <c r="W53" i="574"/>
  <c r="W54" i="574"/>
  <c r="W55" i="574"/>
  <c r="W56" i="574"/>
  <c r="W57" i="574"/>
  <c r="W58" i="574"/>
  <c r="W59" i="574"/>
  <c r="W60" i="574"/>
  <c r="W61" i="574"/>
  <c r="W62" i="574"/>
  <c r="W63" i="574"/>
  <c r="W64" i="574"/>
  <c r="W65" i="574"/>
  <c r="W66" i="574"/>
  <c r="W67" i="574"/>
  <c r="W68" i="574"/>
  <c r="W69" i="574"/>
  <c r="W70" i="574"/>
  <c r="W71" i="574"/>
  <c r="W72" i="574"/>
  <c r="W73" i="574"/>
  <c r="W74" i="574"/>
  <c r="W75" i="574"/>
  <c r="W76" i="574"/>
  <c r="W77" i="574"/>
  <c r="W78" i="574"/>
  <c r="W79" i="574"/>
  <c r="W80" i="574"/>
  <c r="W81" i="574"/>
  <c r="W82" i="574"/>
  <c r="W83" i="574"/>
  <c r="W84" i="574"/>
  <c r="W85" i="574"/>
  <c r="W86" i="574"/>
  <c r="W87" i="574"/>
  <c r="W88" i="574"/>
  <c r="W89" i="574"/>
  <c r="W90" i="574"/>
  <c r="W91" i="574"/>
  <c r="W92" i="574"/>
  <c r="W93" i="574"/>
  <c r="W94" i="574"/>
  <c r="W95" i="574"/>
  <c r="W96" i="574"/>
  <c r="W97" i="574"/>
  <c r="W98" i="574"/>
  <c r="W99" i="574"/>
  <c r="W100" i="574"/>
  <c r="W101" i="574"/>
  <c r="W102" i="574"/>
  <c r="W103" i="574"/>
  <c r="W104" i="574"/>
  <c r="W105" i="574"/>
  <c r="W106" i="574"/>
  <c r="W107" i="574"/>
  <c r="W108" i="574"/>
  <c r="W109" i="574"/>
  <c r="W110" i="574"/>
  <c r="W111" i="574"/>
  <c r="W112" i="574"/>
  <c r="W113" i="574"/>
  <c r="W114" i="574"/>
  <c r="W115" i="574"/>
  <c r="W116" i="574"/>
  <c r="W117" i="574"/>
  <c r="W118" i="574"/>
  <c r="W119" i="574"/>
  <c r="W120" i="574"/>
  <c r="W121" i="574"/>
  <c r="W122" i="574"/>
  <c r="W123" i="574"/>
  <c r="W124" i="574"/>
  <c r="W125" i="574"/>
  <c r="W126" i="574"/>
  <c r="W127" i="574"/>
  <c r="W128" i="574"/>
  <c r="W129" i="574"/>
  <c r="W130" i="574"/>
  <c r="W131" i="574"/>
  <c r="W132" i="574"/>
  <c r="W133" i="574"/>
  <c r="W134" i="574"/>
  <c r="W135" i="574"/>
  <c r="W136" i="574"/>
  <c r="W137" i="574"/>
  <c r="W138" i="574"/>
  <c r="W139" i="574"/>
  <c r="W140" i="574"/>
  <c r="W141" i="574"/>
  <c r="W142" i="574"/>
  <c r="W143" i="574"/>
  <c r="W144" i="574"/>
  <c r="W145" i="574"/>
  <c r="W146" i="574"/>
  <c r="W147" i="574"/>
  <c r="W148" i="574"/>
  <c r="W149" i="574"/>
  <c r="W150" i="574"/>
  <c r="W151" i="574"/>
  <c r="W152" i="574"/>
  <c r="W153" i="574"/>
  <c r="W154" i="574"/>
  <c r="W155" i="574"/>
  <c r="W156" i="574"/>
  <c r="W157" i="574"/>
  <c r="W158" i="574"/>
  <c r="W159" i="574"/>
  <c r="W160" i="574"/>
  <c r="W161" i="574"/>
  <c r="W162" i="574"/>
  <c r="W163" i="574"/>
  <c r="W164" i="574"/>
  <c r="W165" i="574"/>
  <c r="W166" i="574"/>
  <c r="W167" i="574"/>
  <c r="W168" i="574"/>
  <c r="W169" i="574"/>
  <c r="W170" i="574"/>
  <c r="W171" i="574"/>
  <c r="W172" i="574"/>
  <c r="W173" i="574"/>
  <c r="W174" i="574"/>
  <c r="W175" i="574"/>
  <c r="W176" i="574"/>
  <c r="W177" i="574"/>
  <c r="W178" i="574"/>
  <c r="W179" i="574"/>
  <c r="W180" i="574"/>
  <c r="W181" i="574"/>
  <c r="W182" i="574"/>
  <c r="W183" i="574"/>
  <c r="W184" i="574"/>
  <c r="W185" i="574"/>
  <c r="W186" i="574"/>
  <c r="W187" i="574"/>
  <c r="W188" i="574"/>
  <c r="W189" i="574"/>
  <c r="W190" i="574"/>
  <c r="W191" i="574"/>
  <c r="W192" i="574"/>
  <c r="W193" i="574"/>
  <c r="W194" i="574"/>
  <c r="W195" i="574"/>
  <c r="W196" i="574"/>
  <c r="W197" i="574"/>
  <c r="W198" i="574"/>
  <c r="W199" i="574"/>
  <c r="W200" i="574"/>
  <c r="W201" i="574"/>
  <c r="W202" i="574"/>
  <c r="W203" i="574"/>
  <c r="W204" i="574"/>
  <c r="W205" i="574"/>
  <c r="W206" i="574"/>
  <c r="W207" i="574"/>
  <c r="W208" i="574"/>
  <c r="W209" i="574"/>
  <c r="W210" i="574"/>
  <c r="W211" i="574"/>
  <c r="W212" i="574"/>
  <c r="W213" i="574"/>
  <c r="W214" i="574"/>
  <c r="W215" i="574"/>
  <c r="W216" i="574"/>
  <c r="W217" i="574"/>
  <c r="W218" i="574"/>
  <c r="W219" i="574"/>
  <c r="W220" i="574"/>
  <c r="W221" i="574"/>
  <c r="W222" i="574"/>
  <c r="W223" i="574"/>
  <c r="W224" i="574"/>
  <c r="W225" i="574"/>
  <c r="W226" i="574"/>
  <c r="W227" i="574"/>
  <c r="W228" i="574"/>
  <c r="W229" i="574"/>
  <c r="W230" i="574"/>
  <c r="W231" i="574"/>
  <c r="W232" i="574"/>
  <c r="W233" i="574"/>
  <c r="W234" i="574"/>
  <c r="W235" i="574"/>
  <c r="W236" i="574"/>
  <c r="W237" i="574"/>
  <c r="W238" i="574"/>
  <c r="W239" i="574"/>
  <c r="W240" i="574"/>
  <c r="W241" i="574"/>
  <c r="W242" i="574"/>
  <c r="W243" i="574"/>
  <c r="W244" i="574"/>
  <c r="W245" i="574"/>
  <c r="W246" i="574"/>
  <c r="W247" i="574"/>
  <c r="W248" i="574"/>
  <c r="W249" i="574"/>
  <c r="W250" i="574"/>
  <c r="W251" i="574"/>
  <c r="W252" i="574"/>
  <c r="W253" i="574"/>
  <c r="W254" i="574"/>
  <c r="W255" i="574"/>
  <c r="W256" i="574"/>
  <c r="W257" i="574"/>
  <c r="W258" i="574"/>
  <c r="W259" i="574"/>
  <c r="W260" i="574"/>
  <c r="W261" i="574"/>
  <c r="W262" i="574"/>
  <c r="W263" i="574"/>
  <c r="W264" i="574"/>
  <c r="W265" i="574"/>
  <c r="W266" i="574"/>
  <c r="W267" i="574"/>
  <c r="W268" i="574"/>
  <c r="W269" i="574"/>
  <c r="W270" i="574"/>
  <c r="W271" i="574"/>
  <c r="W272" i="574"/>
  <c r="W273" i="574"/>
  <c r="W274" i="574"/>
  <c r="W275" i="574"/>
  <c r="W276" i="574"/>
  <c r="W277" i="574"/>
  <c r="W278" i="574"/>
  <c r="W279" i="574"/>
  <c r="W280" i="574"/>
  <c r="W281" i="574"/>
  <c r="W282" i="574"/>
  <c r="W283" i="574"/>
  <c r="W284" i="574"/>
  <c r="W285" i="574"/>
  <c r="W286" i="574"/>
  <c r="W287" i="574"/>
  <c r="W288" i="574"/>
  <c r="W289" i="574"/>
  <c r="W290" i="574"/>
  <c r="W291" i="574"/>
  <c r="W292" i="574"/>
  <c r="W293" i="574"/>
  <c r="W294" i="574"/>
  <c r="W295" i="574"/>
  <c r="W296" i="574"/>
  <c r="W297" i="574"/>
  <c r="W298" i="574"/>
  <c r="W299" i="574"/>
  <c r="W300" i="574"/>
  <c r="W301" i="574"/>
  <c r="W302" i="574"/>
  <c r="W303" i="574"/>
  <c r="W304" i="574"/>
  <c r="W305" i="574"/>
  <c r="W306" i="574"/>
  <c r="W307" i="574"/>
  <c r="W308" i="574"/>
  <c r="W309" i="574"/>
  <c r="W310" i="574"/>
  <c r="W311" i="574"/>
  <c r="W312" i="574"/>
  <c r="W313" i="574"/>
  <c r="W314" i="574"/>
  <c r="W315" i="574"/>
  <c r="W316" i="574"/>
  <c r="W317" i="574"/>
  <c r="W318" i="574"/>
  <c r="W7" i="573"/>
  <c r="W8" i="573"/>
  <c r="W9" i="573"/>
  <c r="W10" i="573"/>
  <c r="W11" i="573"/>
  <c r="W12" i="573"/>
  <c r="W13" i="573"/>
  <c r="W14" i="573"/>
  <c r="W15" i="573"/>
  <c r="W16" i="573"/>
  <c r="W17" i="573"/>
  <c r="W18" i="573"/>
  <c r="W19" i="573"/>
  <c r="W20" i="573"/>
  <c r="W21" i="573"/>
  <c r="W22" i="573"/>
  <c r="W23" i="573"/>
  <c r="W24" i="573"/>
  <c r="W25" i="573"/>
  <c r="W26" i="573"/>
  <c r="W27" i="573"/>
  <c r="W28" i="573"/>
  <c r="W29" i="573"/>
  <c r="W30" i="573"/>
  <c r="W31" i="573"/>
  <c r="W32" i="573"/>
  <c r="W33" i="573"/>
  <c r="W34" i="573"/>
  <c r="W35" i="573"/>
  <c r="W36" i="573"/>
  <c r="W37" i="573"/>
  <c r="W38" i="573"/>
  <c r="W39" i="573"/>
  <c r="W40" i="573"/>
  <c r="W41" i="573"/>
  <c r="W42" i="573"/>
  <c r="W43" i="573"/>
  <c r="W44" i="573"/>
  <c r="W45" i="573"/>
  <c r="W46" i="573"/>
  <c r="W47" i="573"/>
  <c r="W48" i="573"/>
  <c r="W49" i="573"/>
  <c r="W50" i="573"/>
  <c r="W51" i="573"/>
  <c r="W52" i="573"/>
  <c r="W53" i="573"/>
  <c r="W54" i="573"/>
  <c r="W55" i="573"/>
  <c r="W56" i="573"/>
  <c r="W57" i="573"/>
  <c r="W58" i="573"/>
  <c r="W59" i="573"/>
  <c r="W60" i="573"/>
  <c r="W61" i="573"/>
  <c r="W62" i="573"/>
  <c r="W63" i="573"/>
  <c r="W64" i="573"/>
  <c r="W65" i="573"/>
  <c r="W66" i="573"/>
  <c r="W67" i="573"/>
  <c r="W68" i="573"/>
  <c r="W69" i="573"/>
  <c r="W70" i="573"/>
  <c r="W71" i="573"/>
  <c r="W72" i="573"/>
  <c r="W73" i="573"/>
  <c r="W74" i="573"/>
  <c r="W75" i="573"/>
  <c r="W76" i="573"/>
  <c r="W77" i="573"/>
  <c r="W78" i="573"/>
  <c r="W79" i="573"/>
  <c r="W80" i="573"/>
  <c r="W81" i="573"/>
  <c r="W82" i="573"/>
  <c r="W83" i="573"/>
  <c r="W84" i="573"/>
  <c r="W85" i="573"/>
  <c r="W86" i="573"/>
  <c r="W87" i="573"/>
  <c r="W88" i="573"/>
  <c r="W89" i="573"/>
  <c r="W90" i="573"/>
  <c r="W91" i="573"/>
  <c r="W92" i="573"/>
  <c r="W93" i="573"/>
  <c r="W94" i="573"/>
  <c r="W95" i="573"/>
  <c r="W96" i="573"/>
  <c r="W97" i="573"/>
  <c r="W98" i="573"/>
  <c r="W99" i="573"/>
  <c r="W100" i="573"/>
  <c r="W101" i="573"/>
  <c r="W102" i="573"/>
  <c r="W103" i="573"/>
  <c r="W104" i="573"/>
  <c r="W105" i="573"/>
  <c r="W106" i="573"/>
  <c r="W107" i="573"/>
  <c r="W108" i="573"/>
  <c r="W109" i="573"/>
  <c r="W110" i="573"/>
  <c r="W111" i="573"/>
  <c r="W112" i="573"/>
  <c r="W113" i="573"/>
  <c r="W114" i="573"/>
  <c r="W115" i="573"/>
  <c r="W116" i="573"/>
  <c r="W117" i="573"/>
  <c r="W118" i="573"/>
  <c r="W119" i="573"/>
  <c r="W120" i="573"/>
  <c r="W121" i="573"/>
  <c r="W122" i="573"/>
  <c r="W123" i="573"/>
  <c r="W124" i="573"/>
  <c r="W125" i="573"/>
  <c r="W126" i="573"/>
  <c r="W132" i="573"/>
  <c r="W133" i="573"/>
  <c r="W134" i="573"/>
  <c r="W135" i="573"/>
  <c r="W136" i="573"/>
  <c r="W137" i="573"/>
  <c r="W138" i="573"/>
  <c r="W139" i="573"/>
  <c r="W140" i="573"/>
  <c r="W141" i="573"/>
  <c r="W142" i="573"/>
  <c r="W143" i="573"/>
  <c r="W144" i="573"/>
  <c r="W145" i="573"/>
  <c r="W146" i="573"/>
  <c r="W147" i="573"/>
  <c r="W148" i="573"/>
  <c r="W149" i="573"/>
  <c r="W150" i="573"/>
  <c r="W151" i="573"/>
  <c r="W152" i="573"/>
  <c r="W153" i="573"/>
  <c r="W154" i="573"/>
  <c r="W155" i="573"/>
  <c r="W156" i="573"/>
  <c r="W157" i="573"/>
  <c r="W158" i="573"/>
  <c r="W159" i="573"/>
  <c r="W160" i="573"/>
  <c r="W161" i="573"/>
  <c r="W162" i="573"/>
  <c r="W163" i="573"/>
  <c r="W164" i="573"/>
  <c r="W165" i="573"/>
  <c r="W166" i="573"/>
  <c r="W167" i="573"/>
  <c r="W168" i="573"/>
  <c r="W169" i="573"/>
  <c r="W170" i="573"/>
  <c r="W171" i="573"/>
  <c r="W172" i="573"/>
  <c r="W173" i="573"/>
  <c r="W174" i="573"/>
  <c r="W175" i="573"/>
  <c r="W176" i="573"/>
  <c r="W177" i="573"/>
  <c r="W178" i="573"/>
  <c r="W179" i="573"/>
  <c r="W180" i="573"/>
  <c r="W181" i="573"/>
  <c r="W182" i="573"/>
  <c r="W183" i="573"/>
  <c r="W184" i="573"/>
  <c r="W185" i="573"/>
  <c r="W186" i="573"/>
  <c r="W187" i="573"/>
  <c r="W188" i="573"/>
  <c r="W189" i="573"/>
  <c r="W190" i="573"/>
  <c r="W191" i="573"/>
  <c r="W192" i="573"/>
  <c r="W193" i="573"/>
  <c r="W194" i="573"/>
  <c r="W195" i="573"/>
  <c r="W196" i="573"/>
  <c r="W197" i="573"/>
  <c r="W198" i="573"/>
  <c r="W199" i="573"/>
  <c r="W200" i="573"/>
  <c r="W201" i="573"/>
  <c r="W202" i="573"/>
  <c r="W203" i="573"/>
  <c r="W204" i="573"/>
  <c r="W205" i="573"/>
  <c r="W206" i="573"/>
  <c r="W207" i="573"/>
  <c r="W208" i="573"/>
  <c r="W209" i="573"/>
  <c r="W210" i="573"/>
  <c r="W211" i="573"/>
  <c r="W212" i="573"/>
  <c r="W213" i="573"/>
  <c r="W214" i="573"/>
  <c r="W215" i="573"/>
  <c r="W216" i="573"/>
  <c r="W217" i="573"/>
  <c r="W218" i="573"/>
  <c r="W219" i="573"/>
  <c r="W220" i="573"/>
  <c r="W221" i="573"/>
  <c r="W222" i="573"/>
  <c r="W223" i="573"/>
  <c r="W224" i="573"/>
  <c r="W225" i="573"/>
  <c r="W226" i="573"/>
  <c r="W227" i="573"/>
  <c r="W228" i="573"/>
  <c r="W229" i="573"/>
  <c r="W230" i="573"/>
  <c r="W231" i="573"/>
  <c r="W232" i="573"/>
  <c r="W233" i="573"/>
  <c r="W234" i="573"/>
  <c r="W235" i="573"/>
  <c r="W236" i="573"/>
  <c r="W237" i="573"/>
  <c r="W238" i="573"/>
  <c r="W239" i="573"/>
  <c r="W240" i="573"/>
  <c r="W241" i="573"/>
  <c r="W242" i="573"/>
  <c r="W243" i="573"/>
  <c r="W244" i="573"/>
  <c r="W245" i="573"/>
  <c r="W246" i="573"/>
  <c r="W247" i="573"/>
  <c r="W248" i="573"/>
  <c r="W249" i="573"/>
  <c r="W250" i="573"/>
  <c r="W251" i="573"/>
  <c r="W252" i="573"/>
  <c r="W253" i="573"/>
  <c r="W254" i="573"/>
  <c r="W255" i="573"/>
  <c r="W256" i="573"/>
  <c r="W257" i="573"/>
  <c r="W258" i="573"/>
  <c r="W259" i="573"/>
  <c r="W260" i="573"/>
  <c r="W261" i="573"/>
  <c r="W262" i="573"/>
  <c r="W263" i="573"/>
  <c r="W264" i="573"/>
  <c r="W265" i="573"/>
  <c r="W266" i="573"/>
  <c r="W267" i="573"/>
  <c r="W268" i="573"/>
  <c r="W269" i="573"/>
  <c r="W270" i="573"/>
  <c r="W271" i="573"/>
  <c r="W272" i="573"/>
  <c r="W273" i="573"/>
  <c r="W274" i="573"/>
  <c r="W275" i="573"/>
  <c r="W276" i="573"/>
  <c r="W277" i="573"/>
  <c r="W278" i="573"/>
  <c r="W279" i="573"/>
  <c r="W280" i="573"/>
  <c r="W281" i="573"/>
  <c r="W282" i="573"/>
  <c r="W283" i="573"/>
  <c r="W284" i="573"/>
  <c r="W285" i="573"/>
  <c r="W286" i="573"/>
  <c r="W287" i="573"/>
  <c r="W288" i="573"/>
  <c r="W289" i="573"/>
  <c r="W290" i="573"/>
  <c r="W291" i="573"/>
  <c r="W292" i="573"/>
  <c r="W293" i="573"/>
  <c r="W294" i="573"/>
  <c r="W295" i="573"/>
  <c r="W296" i="573"/>
  <c r="W297" i="573"/>
  <c r="W298" i="573"/>
  <c r="W299" i="573"/>
  <c r="W300" i="573"/>
  <c r="W301" i="573"/>
  <c r="W302" i="573"/>
  <c r="W303" i="573"/>
  <c r="W304" i="573"/>
  <c r="W305" i="573"/>
  <c r="W306" i="573"/>
  <c r="W307" i="573"/>
  <c r="W308" i="573"/>
  <c r="W309" i="573"/>
  <c r="W310" i="573"/>
  <c r="W311" i="573"/>
  <c r="W312" i="573"/>
  <c r="W313" i="573"/>
  <c r="W314" i="573"/>
  <c r="W315" i="573"/>
  <c r="W316" i="573"/>
  <c r="W317" i="573"/>
  <c r="W318" i="573"/>
  <c r="W319" i="573"/>
  <c r="W320" i="573"/>
  <c r="W321" i="573"/>
  <c r="W322" i="573"/>
  <c r="W323" i="573"/>
  <c r="W324" i="573"/>
  <c r="W325" i="573"/>
  <c r="W326" i="573"/>
  <c r="W327" i="573"/>
  <c r="W328" i="573"/>
  <c r="W329" i="573"/>
  <c r="W330" i="573"/>
  <c r="W331" i="573"/>
  <c r="W332" i="573"/>
  <c r="W333" i="573"/>
  <c r="W334" i="573"/>
  <c r="W335" i="573"/>
  <c r="W336" i="573"/>
  <c r="W337" i="573"/>
  <c r="W338" i="573"/>
  <c r="W339" i="573"/>
  <c r="W340" i="573"/>
  <c r="W341" i="573"/>
  <c r="W342" i="573"/>
  <c r="W343" i="573"/>
  <c r="W344" i="573"/>
  <c r="W345" i="573"/>
  <c r="W346" i="573"/>
  <c r="W347" i="573"/>
  <c r="U7" i="572"/>
  <c r="U8" i="572"/>
  <c r="U9" i="572"/>
  <c r="U10" i="572"/>
  <c r="U11" i="572"/>
  <c r="U12" i="572"/>
  <c r="U13" i="572"/>
  <c r="U14" i="572"/>
  <c r="U15" i="572"/>
  <c r="U16" i="572"/>
  <c r="U17" i="572"/>
  <c r="U18" i="572"/>
  <c r="U19" i="572"/>
  <c r="U20" i="572"/>
  <c r="U21" i="572"/>
  <c r="U22" i="572"/>
  <c r="U23" i="572"/>
  <c r="U24" i="572"/>
  <c r="U25" i="572"/>
  <c r="U26" i="572"/>
  <c r="U27" i="572"/>
  <c r="U28" i="572"/>
  <c r="U29" i="572"/>
  <c r="U30" i="572"/>
  <c r="U31" i="572"/>
  <c r="U32" i="572"/>
  <c r="U33" i="572"/>
  <c r="U34" i="572"/>
  <c r="U35" i="572"/>
  <c r="U36" i="572"/>
  <c r="U37" i="572"/>
  <c r="U38" i="572"/>
  <c r="U39" i="572"/>
  <c r="U40" i="572"/>
  <c r="U41" i="572"/>
  <c r="U42" i="572"/>
  <c r="U43" i="572"/>
  <c r="U44" i="572"/>
  <c r="U45" i="572"/>
  <c r="U46" i="572"/>
  <c r="U47" i="572"/>
  <c r="U48" i="572"/>
  <c r="U49" i="572"/>
  <c r="U50" i="572"/>
  <c r="U51" i="572"/>
  <c r="U52" i="572"/>
  <c r="U53" i="572"/>
  <c r="U54" i="572"/>
  <c r="U55" i="572"/>
  <c r="U56" i="572"/>
  <c r="U57" i="572"/>
  <c r="U58" i="572"/>
  <c r="U59" i="572"/>
  <c r="U60" i="572"/>
  <c r="U61" i="572"/>
  <c r="U62" i="572"/>
  <c r="U63" i="572"/>
  <c r="U64" i="572"/>
  <c r="U65" i="572"/>
  <c r="U66" i="572"/>
  <c r="U67" i="572"/>
  <c r="U68" i="572"/>
  <c r="U69" i="572"/>
  <c r="U70" i="572"/>
  <c r="U71" i="572"/>
  <c r="U72" i="572"/>
  <c r="U73" i="572"/>
  <c r="U74" i="572"/>
  <c r="U75" i="572"/>
  <c r="U76" i="572"/>
  <c r="U77" i="572"/>
  <c r="U78" i="572"/>
  <c r="U79" i="572"/>
  <c r="U80" i="572"/>
  <c r="U81" i="572"/>
  <c r="U82" i="572"/>
  <c r="U83" i="572"/>
  <c r="U84" i="572"/>
  <c r="U85" i="572"/>
  <c r="U86" i="572"/>
  <c r="U87" i="572"/>
  <c r="U88" i="572"/>
  <c r="U89" i="572"/>
  <c r="U90" i="572"/>
  <c r="U91" i="572"/>
  <c r="U92" i="572"/>
  <c r="U93" i="572"/>
  <c r="U94" i="572"/>
  <c r="U95" i="572"/>
  <c r="U96" i="572"/>
  <c r="U97" i="572"/>
  <c r="U98" i="572"/>
  <c r="U99" i="572"/>
  <c r="U100" i="572"/>
  <c r="U101" i="572"/>
  <c r="U102" i="572"/>
  <c r="U103" i="572"/>
  <c r="U104" i="572"/>
  <c r="U105" i="572"/>
  <c r="U106" i="572"/>
  <c r="U107" i="572"/>
  <c r="U108" i="572"/>
  <c r="U109" i="572"/>
  <c r="U110" i="572"/>
  <c r="U111" i="572"/>
  <c r="U112" i="572"/>
  <c r="U113" i="572"/>
  <c r="U114" i="572"/>
  <c r="U115" i="572"/>
  <c r="U116" i="572"/>
  <c r="U117" i="572"/>
  <c r="U118" i="572"/>
  <c r="U119" i="572"/>
  <c r="U120" i="572"/>
  <c r="U121" i="572"/>
  <c r="U122" i="572"/>
  <c r="U123" i="572"/>
  <c r="U124" i="572"/>
  <c r="U125" i="572"/>
  <c r="U126" i="572"/>
  <c r="U127" i="572"/>
  <c r="U128" i="572"/>
  <c r="U129" i="572"/>
  <c r="U130" i="572"/>
  <c r="U131" i="572"/>
  <c r="U132" i="572"/>
  <c r="U133" i="572"/>
  <c r="U134" i="572"/>
  <c r="U135" i="572"/>
  <c r="U136" i="572"/>
  <c r="U137" i="572"/>
  <c r="U138" i="572"/>
  <c r="U139" i="572"/>
  <c r="U140" i="572"/>
  <c r="U141" i="572"/>
  <c r="U142" i="572"/>
  <c r="U143" i="572"/>
  <c r="U144" i="572"/>
  <c r="U145" i="572"/>
  <c r="U146" i="572"/>
  <c r="U147" i="572"/>
  <c r="U148" i="572"/>
  <c r="U149" i="572"/>
  <c r="U150" i="572"/>
  <c r="U151" i="572"/>
  <c r="U152" i="572"/>
  <c r="U153" i="572"/>
  <c r="U154" i="572"/>
  <c r="U155" i="572"/>
  <c r="U156" i="572"/>
  <c r="U157" i="572"/>
  <c r="U158" i="572"/>
  <c r="U159" i="572"/>
  <c r="U160" i="572"/>
  <c r="U161" i="572"/>
  <c r="U162" i="572"/>
  <c r="U163" i="572"/>
  <c r="U164" i="572"/>
  <c r="U165" i="572"/>
  <c r="U166" i="572"/>
  <c r="U167" i="572"/>
  <c r="U168" i="572"/>
  <c r="U169" i="572"/>
  <c r="U170" i="572"/>
  <c r="U171" i="572"/>
  <c r="U172" i="572"/>
  <c r="U173" i="572"/>
  <c r="U174" i="572"/>
  <c r="U175" i="572"/>
  <c r="U176" i="572"/>
  <c r="U177" i="572"/>
  <c r="U178" i="572"/>
  <c r="U179" i="572"/>
  <c r="U180" i="572"/>
  <c r="U181" i="572"/>
  <c r="U182" i="572"/>
  <c r="U183" i="572"/>
  <c r="U184" i="572"/>
  <c r="U185" i="572"/>
  <c r="U186" i="572"/>
  <c r="U187" i="572"/>
  <c r="U188" i="572"/>
  <c r="U189" i="572"/>
  <c r="U190" i="572"/>
  <c r="U191" i="572"/>
  <c r="U192" i="572"/>
  <c r="U193" i="572"/>
  <c r="U194" i="572"/>
  <c r="U195" i="572"/>
  <c r="U196" i="572"/>
  <c r="U197" i="572"/>
  <c r="U198" i="572"/>
  <c r="U199" i="572"/>
  <c r="U200" i="572"/>
  <c r="U201" i="572"/>
  <c r="U202" i="572"/>
  <c r="U203" i="572"/>
  <c r="U204" i="572"/>
  <c r="U205" i="572"/>
  <c r="U206" i="572"/>
  <c r="U207" i="572"/>
  <c r="U208" i="572"/>
  <c r="U209" i="572"/>
  <c r="U210" i="572"/>
  <c r="U211" i="572"/>
  <c r="U212" i="572"/>
  <c r="U213" i="572"/>
  <c r="U214" i="572"/>
  <c r="U215" i="572"/>
  <c r="U216" i="572"/>
  <c r="U217" i="572"/>
  <c r="U218" i="572"/>
  <c r="U219" i="572"/>
  <c r="U220" i="572"/>
  <c r="U221" i="572"/>
  <c r="U222" i="572"/>
  <c r="U223" i="572"/>
  <c r="U224" i="572"/>
  <c r="U225" i="572"/>
  <c r="U226" i="572"/>
  <c r="U227" i="572"/>
  <c r="U228" i="572"/>
  <c r="U229" i="572"/>
  <c r="U230" i="572"/>
  <c r="U231" i="572"/>
  <c r="U232" i="572"/>
  <c r="U233" i="572"/>
  <c r="U234" i="572"/>
  <c r="U235" i="572"/>
  <c r="U236" i="572"/>
  <c r="U237" i="572"/>
  <c r="U238" i="572"/>
  <c r="U239" i="572"/>
  <c r="U240" i="572"/>
  <c r="U241" i="572"/>
  <c r="U242" i="572"/>
  <c r="U243" i="572"/>
  <c r="U244" i="572"/>
  <c r="U245" i="572"/>
  <c r="U246" i="572"/>
  <c r="U247" i="572"/>
  <c r="U248" i="572"/>
  <c r="U249" i="572"/>
  <c r="U250" i="572"/>
  <c r="U251" i="572"/>
  <c r="U252" i="572"/>
  <c r="U253" i="572"/>
  <c r="U254" i="572"/>
  <c r="U255" i="572"/>
  <c r="U256" i="572"/>
  <c r="U257" i="572"/>
  <c r="U258" i="572"/>
  <c r="U259" i="572"/>
  <c r="U260" i="572"/>
  <c r="U261" i="572"/>
  <c r="U262" i="572"/>
  <c r="U263" i="572"/>
  <c r="U264" i="572"/>
  <c r="U265" i="572"/>
  <c r="U266" i="572"/>
  <c r="U267" i="572"/>
  <c r="U268" i="572"/>
  <c r="U269" i="572"/>
  <c r="U270" i="572"/>
  <c r="U271" i="572"/>
  <c r="U272" i="572"/>
  <c r="U273" i="572"/>
  <c r="U274" i="572"/>
  <c r="U275" i="572"/>
  <c r="U276" i="572"/>
  <c r="U277" i="572"/>
  <c r="U278" i="572"/>
  <c r="U279" i="572"/>
  <c r="U280" i="572"/>
  <c r="U281" i="572"/>
  <c r="U282" i="572"/>
  <c r="U283" i="572"/>
  <c r="U284" i="572"/>
  <c r="U285" i="572"/>
  <c r="U286" i="572"/>
  <c r="U287" i="572"/>
  <c r="U288" i="572"/>
  <c r="U289" i="572"/>
  <c r="U290" i="572"/>
  <c r="U291" i="572"/>
  <c r="U292" i="572"/>
  <c r="U293" i="572"/>
  <c r="U294" i="572"/>
  <c r="U295" i="572"/>
  <c r="U296" i="572"/>
  <c r="U297" i="572"/>
  <c r="U298" i="572"/>
  <c r="U299" i="572"/>
  <c r="U300" i="572"/>
  <c r="U301" i="572"/>
  <c r="U302" i="572"/>
  <c r="U303" i="572"/>
  <c r="U304" i="572"/>
  <c r="U305" i="572"/>
  <c r="U306" i="572"/>
  <c r="U307" i="572"/>
  <c r="U308" i="572"/>
  <c r="U309" i="572"/>
  <c r="U310" i="572"/>
  <c r="U311" i="572"/>
  <c r="U312" i="572"/>
  <c r="U313" i="572"/>
  <c r="U314" i="572"/>
  <c r="U315" i="572"/>
  <c r="U316" i="572"/>
  <c r="U317" i="572"/>
  <c r="U318" i="572"/>
  <c r="U319" i="572"/>
  <c r="U320" i="572"/>
  <c r="U321" i="572"/>
  <c r="U322" i="572"/>
  <c r="U323" i="572"/>
  <c r="U324" i="572"/>
  <c r="U325" i="572"/>
  <c r="U326" i="572"/>
  <c r="U327" i="572"/>
  <c r="U328" i="572"/>
  <c r="U329" i="572"/>
  <c r="U330" i="572"/>
  <c r="U331" i="572"/>
  <c r="U332" i="572"/>
  <c r="U333" i="572"/>
  <c r="U334" i="572"/>
  <c r="U335" i="572"/>
  <c r="U336" i="572"/>
  <c r="U337" i="572"/>
  <c r="U338" i="572"/>
  <c r="U339" i="572"/>
  <c r="U340" i="572"/>
  <c r="U341" i="572"/>
  <c r="U342" i="572"/>
  <c r="U343" i="572"/>
  <c r="U344" i="572"/>
  <c r="U345" i="572"/>
  <c r="U346" i="572"/>
  <c r="U347" i="572"/>
  <c r="U348" i="572"/>
  <c r="U349" i="572"/>
  <c r="U350" i="572"/>
  <c r="U351" i="572"/>
  <c r="U352" i="572"/>
  <c r="U353" i="572"/>
  <c r="U354" i="572"/>
  <c r="U355" i="572"/>
  <c r="U356" i="572"/>
  <c r="U357" i="572"/>
  <c r="U358" i="572"/>
  <c r="U359" i="572"/>
  <c r="U360" i="572"/>
  <c r="U361" i="572"/>
  <c r="U362" i="572"/>
  <c r="U363" i="572"/>
  <c r="U364" i="572"/>
  <c r="U365" i="572"/>
  <c r="U366" i="572"/>
  <c r="U367" i="572"/>
  <c r="U368" i="572"/>
  <c r="U369" i="572"/>
  <c r="U370" i="572"/>
  <c r="U371" i="572"/>
  <c r="U372" i="572"/>
  <c r="U373" i="572"/>
  <c r="U374" i="572"/>
  <c r="U375" i="572"/>
  <c r="U376" i="572"/>
  <c r="U377" i="572"/>
  <c r="U378" i="572"/>
  <c r="U379" i="572"/>
  <c r="U380" i="572"/>
  <c r="U381" i="572"/>
  <c r="U382" i="572"/>
  <c r="U383" i="572"/>
  <c r="U384" i="572"/>
  <c r="U385" i="572"/>
  <c r="U386" i="572"/>
  <c r="U387" i="572"/>
  <c r="U388" i="572"/>
  <c r="U389" i="572"/>
  <c r="U390" i="572"/>
  <c r="U391" i="572"/>
  <c r="U392" i="572"/>
  <c r="U393" i="572"/>
  <c r="U394" i="572"/>
  <c r="U395" i="572"/>
  <c r="U396" i="572"/>
  <c r="U397" i="572"/>
  <c r="U398" i="572"/>
  <c r="U399" i="572"/>
  <c r="U400" i="572"/>
  <c r="U401" i="572"/>
  <c r="U402" i="572"/>
  <c r="U403" i="572"/>
  <c r="U404" i="572"/>
  <c r="U405" i="572"/>
  <c r="U406" i="572"/>
  <c r="U407" i="572"/>
  <c r="U408" i="572"/>
  <c r="U409" i="572"/>
  <c r="U410" i="572"/>
  <c r="U411" i="572"/>
  <c r="U412" i="572"/>
  <c r="U413" i="572"/>
  <c r="U414" i="572"/>
  <c r="U415" i="572"/>
  <c r="U416" i="572"/>
  <c r="U417" i="572"/>
  <c r="U418" i="572"/>
  <c r="U419" i="572"/>
  <c r="U420" i="572"/>
  <c r="U421" i="572"/>
  <c r="U422" i="572"/>
  <c r="U423" i="572"/>
  <c r="U424" i="572"/>
  <c r="U425" i="572"/>
  <c r="U426" i="572"/>
  <c r="U427" i="572"/>
  <c r="U428" i="572"/>
  <c r="U429" i="572"/>
  <c r="U430" i="572"/>
  <c r="U431" i="572"/>
  <c r="U432" i="572"/>
  <c r="U433" i="572"/>
  <c r="U434" i="572"/>
  <c r="U435" i="572"/>
  <c r="U436" i="572"/>
  <c r="U437" i="572"/>
  <c r="U438" i="572"/>
  <c r="U439" i="572"/>
  <c r="U440" i="572"/>
  <c r="U441" i="572"/>
  <c r="U442" i="572"/>
  <c r="U443" i="572"/>
  <c r="U444" i="572"/>
  <c r="U445" i="572"/>
  <c r="U446" i="572"/>
  <c r="U447" i="572"/>
  <c r="U448" i="572"/>
  <c r="U449" i="572"/>
  <c r="U450" i="572"/>
  <c r="U451" i="572"/>
  <c r="U452" i="572"/>
  <c r="U453" i="572"/>
  <c r="U454" i="572"/>
  <c r="U455" i="572"/>
  <c r="U456" i="572"/>
  <c r="U457" i="572"/>
  <c r="U458" i="572"/>
  <c r="U459" i="572"/>
  <c r="U460" i="572"/>
  <c r="U461" i="572"/>
  <c r="U462" i="572"/>
  <c r="U463" i="572"/>
  <c r="U464" i="572"/>
  <c r="U465" i="572"/>
  <c r="U466" i="572"/>
  <c r="U467" i="572"/>
  <c r="U468" i="572"/>
  <c r="U469" i="572"/>
  <c r="U470" i="572"/>
  <c r="U471" i="572"/>
  <c r="U472" i="572"/>
  <c r="U473" i="572"/>
  <c r="U474" i="572"/>
  <c r="U475" i="572"/>
  <c r="U476" i="572"/>
  <c r="U477" i="572"/>
  <c r="U478" i="572"/>
  <c r="U479" i="572"/>
  <c r="U480" i="572"/>
  <c r="U481" i="572"/>
  <c r="U482" i="572"/>
  <c r="U483" i="572"/>
  <c r="U484" i="572"/>
  <c r="U485" i="572"/>
  <c r="U486" i="572"/>
  <c r="U487" i="572"/>
  <c r="U488" i="572"/>
  <c r="U489" i="572"/>
  <c r="U490" i="572"/>
  <c r="U491" i="572"/>
  <c r="U492" i="572"/>
  <c r="U493" i="572"/>
  <c r="U494" i="572"/>
  <c r="U495" i="572"/>
  <c r="U496" i="572"/>
  <c r="U497" i="572"/>
  <c r="U498" i="572"/>
  <c r="U499" i="572"/>
  <c r="U500" i="572"/>
  <c r="U501" i="572"/>
  <c r="U502" i="572"/>
  <c r="U503" i="572"/>
  <c r="U504" i="572"/>
  <c r="U505" i="572"/>
  <c r="U506" i="572"/>
  <c r="U507" i="572"/>
  <c r="U508" i="572"/>
  <c r="U509" i="572"/>
  <c r="U510" i="572"/>
</calcChain>
</file>

<file path=xl/sharedStrings.xml><?xml version="1.0" encoding="utf-8"?>
<sst xmlns="http://schemas.openxmlformats.org/spreadsheetml/2006/main" count="47873" uniqueCount="18464">
  <si>
    <t>単位</t>
  </si>
  <si>
    <t>×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</si>
  <si>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</si>
  <si>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</si>
  <si>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</si>
  <si>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</si>
  <si>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</si>
  <si>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</si>
  <si>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</si>
  <si>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</si>
  <si>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</si>
  <si>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</si>
  <si>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</si>
  <si>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</si>
  <si>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</si>
  <si>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</si>
  <si>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</si>
  <si>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</si>
  <si>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</si>
  <si>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</si>
  <si>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</si>
  <si>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</si>
  <si>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</si>
  <si>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</si>
  <si>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</si>
  <si>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</si>
  <si>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</si>
  <si>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</si>
  <si>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</si>
  <si>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</si>
  <si>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</si>
  <si>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</si>
  <si>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</si>
  <si>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</si>
  <si>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</si>
  <si>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</si>
  <si>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</si>
  <si>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</si>
  <si>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</si>
  <si>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</si>
  <si>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</si>
  <si>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</si>
  <si>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</si>
  <si>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</si>
  <si>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</si>
  <si>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</si>
  <si>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</si>
  <si>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</si>
  <si>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</si>
  <si>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</si>
  <si>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</si>
  <si>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</si>
  <si>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</si>
  <si>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</si>
  <si>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</si>
  <si>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</si>
  <si>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A055</t>
  </si>
  <si>
    <t>A056</t>
  </si>
  <si>
    <t>A057</t>
  </si>
  <si>
    <t>A058</t>
  </si>
  <si>
    <t>A059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</si>
  <si>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</si>
  <si>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</si>
  <si>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</si>
  <si>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</si>
  <si>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</si>
  <si>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</si>
  <si>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</si>
  <si>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</si>
  <si>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</si>
  <si>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</si>
  <si>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</si>
  <si>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</si>
  <si>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</si>
  <si>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</si>
  <si>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</si>
  <si>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</si>
  <si>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</si>
  <si>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</si>
  <si>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</si>
  <si>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</si>
  <si>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</si>
  <si>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</si>
  <si>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</si>
  <si>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</si>
  <si>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</si>
  <si>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</si>
  <si>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</si>
  <si>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</si>
  <si>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</si>
  <si>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</si>
  <si>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</si>
  <si>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</si>
  <si>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</si>
  <si>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</si>
  <si>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</si>
  <si>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</si>
  <si>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</si>
  <si>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</si>
  <si>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</si>
  <si>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</si>
  <si>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</si>
  <si>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</si>
  <si>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</si>
  <si>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</si>
  <si>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</si>
  <si>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</si>
  <si>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</si>
  <si>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</si>
  <si>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</si>
  <si>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</si>
  <si>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</si>
  <si>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</si>
  <si>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</si>
  <si>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</si>
  <si>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</si>
  <si>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</si>
  <si>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</si>
  <si>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</si>
  <si>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</si>
  <si>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</si>
  <si>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</si>
  <si>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</si>
  <si>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</si>
  <si>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</si>
  <si>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</si>
  <si>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</si>
  <si>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</si>
  <si>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</si>
  <si>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</si>
  <si>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</si>
  <si>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</si>
  <si>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</si>
  <si>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</si>
  <si>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</si>
  <si>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</si>
  <si>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</si>
  <si>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</si>
  <si>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</si>
  <si>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</si>
  <si>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</si>
  <si>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</si>
  <si>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</si>
  <si>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</si>
  <si>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</si>
  <si>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</si>
  <si>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</si>
  <si>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</si>
  <si>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</si>
  <si>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</si>
  <si>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</si>
  <si>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</si>
  <si>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</si>
  <si>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</si>
  <si>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</si>
  <si>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</si>
  <si>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</si>
  <si>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</si>
  <si>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</si>
  <si>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</si>
  <si>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</si>
  <si>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</si>
  <si>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</si>
  <si>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</si>
  <si>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</si>
  <si>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</si>
  <si>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</si>
  <si>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</si>
  <si>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</si>
  <si>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</si>
  <si>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</si>
  <si>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</si>
  <si>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</si>
  <si>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</si>
  <si>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</si>
  <si>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</si>
  <si>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</si>
  <si>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</si>
  <si>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</si>
  <si>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</si>
  <si>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</si>
  <si>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</si>
  <si>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</si>
  <si>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</si>
  <si>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</si>
  <si>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</si>
  <si>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</si>
  <si>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</si>
  <si>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</si>
  <si>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</si>
  <si>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</si>
  <si>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</si>
  <si>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</si>
  <si>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</si>
  <si>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</si>
  <si>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</si>
  <si>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</si>
  <si>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</si>
  <si>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</si>
  <si>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</si>
  <si>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</si>
  <si>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</si>
  <si>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</si>
  <si>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</si>
  <si>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</si>
  <si>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</si>
  <si>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</si>
  <si>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</si>
  <si>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</si>
  <si>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</si>
  <si>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</si>
  <si>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</si>
  <si>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</si>
  <si>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</si>
  <si>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</si>
  <si>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</si>
  <si>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</si>
  <si>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</si>
  <si>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</si>
  <si>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</si>
  <si>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</si>
  <si>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</si>
  <si>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</si>
  <si>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</si>
  <si>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</si>
  <si>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</si>
  <si>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</si>
  <si>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</si>
  <si>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</si>
  <si>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</si>
  <si>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</si>
  <si>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</si>
  <si>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</si>
  <si>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</si>
  <si>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</si>
  <si>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</si>
  <si>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</si>
  <si>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</si>
  <si>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</si>
  <si>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</si>
  <si>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</si>
  <si>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</si>
  <si>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</si>
  <si>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</si>
  <si>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</si>
  <si>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</si>
  <si>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</si>
  <si>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</si>
  <si>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</si>
  <si>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</si>
  <si>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</si>
  <si>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</si>
  <si>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</si>
  <si>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</si>
  <si>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</si>
  <si>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</si>
  <si>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</si>
  <si>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</si>
  <si>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</si>
  <si>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</si>
  <si>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</si>
  <si>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</si>
  <si>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</si>
  <si>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</si>
  <si>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</si>
  <si>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</si>
  <si>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</si>
  <si>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</si>
  <si>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</si>
  <si>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</si>
  <si>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</si>
  <si>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</si>
  <si>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</si>
  <si>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</si>
  <si>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</si>
  <si>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</si>
  <si>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</si>
  <si>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</si>
  <si>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</si>
  <si>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</si>
  <si>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</si>
  <si>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</si>
  <si>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</si>
  <si>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</si>
  <si>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</si>
  <si>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</si>
  <si>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</si>
  <si>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</si>
  <si>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</si>
  <si>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</si>
  <si>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</si>
  <si>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</si>
  <si>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</si>
  <si>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</si>
  <si>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</si>
  <si>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</si>
  <si>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</si>
  <si>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</si>
  <si>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</si>
  <si>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</si>
  <si>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</si>
  <si>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</si>
  <si>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</si>
  <si>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</si>
  <si>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</si>
  <si>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</si>
  <si>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</si>
  <si>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</si>
  <si>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</si>
  <si>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</si>
  <si>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</si>
  <si>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</si>
  <si>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</si>
  <si>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</si>
  <si>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</si>
  <si>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</si>
  <si>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</si>
  <si>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</si>
  <si>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</si>
  <si>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</si>
  <si>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</si>
  <si>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</si>
  <si>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</si>
  <si>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</si>
  <si>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</si>
  <si>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</si>
  <si>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</si>
  <si>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</si>
  <si>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</si>
  <si>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</si>
  <si>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</si>
  <si>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</si>
  <si>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</si>
  <si>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</si>
  <si>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</si>
  <si>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</si>
  <si>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</si>
  <si>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</si>
  <si>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</si>
  <si>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</si>
  <si>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</si>
  <si>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</si>
  <si>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</si>
  <si>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</si>
  <si>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</si>
  <si>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</si>
  <si>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</si>
  <si>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</si>
  <si>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</si>
  <si>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</si>
  <si>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</si>
  <si>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</si>
  <si>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</si>
  <si>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</si>
  <si>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</si>
  <si>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</si>
  <si>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</si>
  <si>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</si>
  <si>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</si>
  <si>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</si>
  <si>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</si>
  <si>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</si>
  <si>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</si>
  <si>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</si>
  <si>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</si>
  <si>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</si>
  <si>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</si>
  <si>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</si>
  <si>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</si>
  <si>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</si>
  <si>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</si>
  <si>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</si>
  <si>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</si>
  <si>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</si>
  <si>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</si>
  <si>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</si>
  <si>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</si>
  <si>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</si>
  <si>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</si>
  <si>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</si>
  <si>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</si>
  <si>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</si>
  <si>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</si>
  <si>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</si>
  <si>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</si>
  <si>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</si>
  <si>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</si>
  <si>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</si>
  <si>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</si>
  <si>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</si>
  <si>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</si>
  <si>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</si>
  <si>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</si>
  <si>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</si>
  <si>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</si>
  <si>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</si>
  <si>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</si>
  <si>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</si>
  <si>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</si>
  <si>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</si>
  <si>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</si>
  <si>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</si>
  <si>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</si>
  <si>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</si>
  <si>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</si>
  <si>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</si>
  <si>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</si>
  <si>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</si>
  <si>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</si>
  <si>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</si>
  <si>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</si>
  <si>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</si>
  <si>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</si>
  <si>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</si>
  <si>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</si>
  <si>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</si>
  <si>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</si>
  <si>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</si>
  <si>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</si>
  <si>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</si>
  <si>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</si>
  <si>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</si>
  <si>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加算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</si>
  <si>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</si>
  <si>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</si>
  <si>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</si>
  <si>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</si>
  <si>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</si>
  <si>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</si>
  <si>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</si>
  <si>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</si>
  <si>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</si>
  <si>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</si>
  <si>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</si>
  <si>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</si>
  <si>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</si>
  <si>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</si>
  <si>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</si>
  <si>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</si>
  <si>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</si>
  <si>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</si>
  <si>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</si>
  <si>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</si>
  <si>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</si>
  <si>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</si>
  <si>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</si>
  <si>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</si>
  <si>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</si>
  <si>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</si>
  <si>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</si>
  <si>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</si>
  <si>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</si>
  <si>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</si>
  <si>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</si>
  <si>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</si>
  <si>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</si>
  <si>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</si>
  <si>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</si>
  <si>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</si>
  <si>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</si>
  <si>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</si>
  <si>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</si>
  <si>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</si>
  <si>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</si>
  <si>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</si>
  <si>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</si>
  <si>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</si>
  <si>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</si>
  <si>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</si>
  <si>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</si>
  <si>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</si>
  <si>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</si>
  <si>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</si>
  <si>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</si>
  <si>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</si>
  <si>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</si>
  <si>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</si>
  <si>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</si>
  <si>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</si>
  <si>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</si>
  <si>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</si>
  <si>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</si>
  <si>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</si>
  <si>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</si>
  <si>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</si>
  <si>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</si>
  <si>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</si>
  <si>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</si>
  <si>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</si>
  <si>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</si>
  <si>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</si>
  <si>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</si>
  <si>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</si>
  <si>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</si>
  <si>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</si>
  <si>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</si>
  <si>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</si>
  <si>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</si>
  <si>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</si>
  <si>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</si>
  <si>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</si>
  <si>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</si>
  <si>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</si>
  <si>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</si>
  <si>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</si>
  <si>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</si>
  <si>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</si>
  <si>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</si>
  <si>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</si>
  <si>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</si>
  <si>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</si>
  <si>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</si>
  <si>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</si>
  <si>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</si>
  <si>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</si>
  <si>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</si>
  <si>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</si>
  <si>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</si>
  <si>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</si>
  <si>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</si>
  <si>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</si>
  <si>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</si>
  <si>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</si>
  <si>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</si>
  <si>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</si>
  <si>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</si>
  <si>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</si>
  <si>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</si>
  <si>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</si>
  <si>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</si>
  <si>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</si>
  <si>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</si>
  <si>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</si>
  <si>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</si>
  <si>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</si>
  <si>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</si>
  <si>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</si>
  <si>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</si>
  <si>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</si>
  <si>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</si>
  <si>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</si>
  <si>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</si>
  <si>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</si>
  <si>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</si>
  <si>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</si>
  <si>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</si>
  <si>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</si>
  <si>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</si>
  <si>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</si>
  <si>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</si>
  <si>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</si>
  <si>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</si>
  <si>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</si>
  <si>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</si>
  <si>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</si>
  <si>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</si>
  <si>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</si>
  <si>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</si>
  <si>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</si>
  <si>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</si>
  <si>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</si>
  <si>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</si>
  <si>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</si>
  <si>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</si>
  <si>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</si>
  <si>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</si>
  <si>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</si>
  <si>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</si>
  <si>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</si>
  <si>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</si>
  <si>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</si>
  <si>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</si>
  <si>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</si>
  <si>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</si>
  <si>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</si>
  <si>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</si>
  <si>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</si>
  <si>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</si>
  <si>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</si>
  <si>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</si>
  <si>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</si>
  <si>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</si>
  <si>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</si>
  <si>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</si>
  <si>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</si>
  <si>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</si>
  <si>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</si>
  <si>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</si>
  <si>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</si>
  <si>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</si>
  <si>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</si>
  <si>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</si>
  <si>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</si>
  <si>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</si>
  <si>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</si>
  <si>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</si>
  <si>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</si>
  <si>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</si>
  <si>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</si>
  <si>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</si>
  <si>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</si>
  <si>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</si>
  <si>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</si>
  <si>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</si>
  <si>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</si>
  <si>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</si>
  <si>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</si>
  <si>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</si>
  <si>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</si>
  <si>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</si>
  <si>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</si>
  <si>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</si>
  <si>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</si>
  <si>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</si>
  <si>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</si>
  <si>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</si>
  <si>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</si>
  <si>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</si>
  <si>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</si>
  <si>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</si>
  <si>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</si>
  <si>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</si>
  <si>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</si>
  <si>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</si>
  <si>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</si>
  <si>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</si>
  <si>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</si>
  <si>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</si>
  <si>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</si>
  <si>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</si>
  <si>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</si>
  <si>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</si>
  <si>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</si>
  <si>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</si>
  <si>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</si>
  <si>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</si>
  <si>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</si>
  <si>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</si>
  <si>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</si>
  <si>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</si>
  <si>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</si>
  <si>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</si>
  <si>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</si>
  <si>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</si>
  <si>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</si>
  <si>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</si>
  <si>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</si>
  <si>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</si>
  <si>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</si>
  <si>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</si>
  <si>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</si>
  <si>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</si>
  <si>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</si>
  <si>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</si>
  <si>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</si>
  <si>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</si>
  <si>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</si>
  <si>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</si>
  <si>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</si>
  <si>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</si>
  <si>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</si>
  <si>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</si>
  <si>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</si>
  <si>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</si>
  <si>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</si>
  <si>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</si>
  <si>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</si>
  <si>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</si>
  <si>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</si>
  <si>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</si>
  <si>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</si>
  <si>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</si>
  <si>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</si>
  <si>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</si>
  <si>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</si>
  <si>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</si>
  <si>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</si>
  <si>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</si>
  <si>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</si>
  <si>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</si>
  <si>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</si>
  <si>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</si>
  <si>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</si>
  <si>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</si>
  <si>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</si>
  <si>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</si>
  <si>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</si>
  <si>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</si>
  <si>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</si>
  <si>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</si>
  <si>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</si>
  <si>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</si>
  <si>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</si>
  <si>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</si>
  <si>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</si>
  <si>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</si>
  <si>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</si>
  <si>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</si>
  <si>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</si>
  <si>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</si>
  <si>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</si>
  <si>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</si>
  <si>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</si>
  <si>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</si>
  <si>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</si>
  <si>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</si>
  <si>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</si>
  <si>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</si>
  <si>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</si>
  <si>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</si>
  <si>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</si>
  <si>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</si>
  <si>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</si>
  <si>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</si>
  <si>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</si>
  <si>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</si>
  <si>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</si>
  <si>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</si>
  <si>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</si>
  <si>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</si>
  <si>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</si>
  <si>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</si>
  <si>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</si>
  <si>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</si>
  <si>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</si>
  <si>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</si>
  <si>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</si>
  <si>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</si>
  <si>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</si>
  <si>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</si>
  <si>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</si>
  <si>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</si>
  <si>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</si>
  <si>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</si>
  <si>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</si>
  <si>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</si>
  <si>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</si>
  <si>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</si>
  <si>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</si>
  <si>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</si>
  <si>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</si>
  <si>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</si>
  <si>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</si>
  <si>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</si>
  <si>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</si>
  <si>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</si>
  <si>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</si>
  <si>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</si>
  <si>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</si>
  <si>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</si>
  <si>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</si>
  <si>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</si>
  <si>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</si>
  <si>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</si>
  <si>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</si>
  <si>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</si>
  <si>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</si>
  <si>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</si>
  <si>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</si>
  <si>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</si>
  <si>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</si>
  <si>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</si>
  <si>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</si>
  <si>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</si>
  <si>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</si>
  <si>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</si>
  <si>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</si>
  <si>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</si>
  <si>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</si>
  <si>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</si>
  <si>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</si>
  <si>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</si>
  <si>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</si>
  <si>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</si>
  <si>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</si>
  <si>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</si>
  <si>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</si>
  <si>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</si>
  <si>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</si>
  <si>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</si>
  <si>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</si>
  <si>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</si>
  <si>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</si>
  <si>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</si>
  <si>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</si>
  <si>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</si>
  <si>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</si>
  <si>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</si>
  <si>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</si>
  <si>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</si>
  <si>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</si>
  <si>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</si>
  <si>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</si>
  <si>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</si>
  <si>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</si>
  <si>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</si>
  <si>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</si>
  <si>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</si>
  <si>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</si>
  <si>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</si>
  <si>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</si>
  <si>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</si>
  <si>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</si>
  <si>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</si>
  <si>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</si>
  <si>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</si>
  <si>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</si>
  <si>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</si>
  <si>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</si>
  <si>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</si>
  <si>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</si>
  <si>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</si>
  <si>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</si>
  <si>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</si>
  <si>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</si>
  <si>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</si>
  <si>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</si>
  <si>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</si>
  <si>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</si>
  <si>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</si>
  <si>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</si>
  <si>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</si>
  <si>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</si>
  <si>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</si>
  <si>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</si>
  <si>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</si>
  <si>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</si>
  <si>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</si>
  <si>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</si>
  <si>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</si>
  <si>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</si>
  <si>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</si>
  <si>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</si>
  <si>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</si>
  <si>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</si>
  <si>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</si>
  <si>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</si>
  <si>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</si>
  <si>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</si>
  <si>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</si>
  <si>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</si>
  <si>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</si>
  <si>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</si>
  <si>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</si>
  <si>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</si>
  <si>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</si>
  <si>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</si>
  <si>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</si>
  <si>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</si>
  <si>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</si>
  <si>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</si>
  <si>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</si>
  <si>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</si>
  <si>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</si>
  <si>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</si>
  <si>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</si>
  <si>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</si>
  <si>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</si>
  <si>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</si>
  <si>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</si>
  <si>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</si>
  <si>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</si>
  <si>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</si>
  <si>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</si>
  <si>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</si>
  <si>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</si>
  <si>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</si>
  <si>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</si>
  <si>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</si>
  <si>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</si>
  <si>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</si>
  <si>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</si>
  <si>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</si>
  <si>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</si>
  <si>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</si>
  <si>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</si>
  <si>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</si>
  <si>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</si>
  <si>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</si>
  <si>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</si>
  <si>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</si>
  <si>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</si>
  <si>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</si>
  <si>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</si>
  <si>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</si>
  <si>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</si>
  <si>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</si>
  <si>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</si>
  <si>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</si>
  <si>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</si>
  <si>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</si>
  <si>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</si>
  <si>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</si>
  <si>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</si>
  <si>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</si>
  <si>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</si>
  <si>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</si>
  <si>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</si>
  <si>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</si>
  <si>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</si>
  <si>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</si>
  <si>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</si>
  <si>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</si>
  <si>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</si>
  <si>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</si>
  <si>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</si>
  <si>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</si>
  <si>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</si>
  <si>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</si>
  <si>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</si>
  <si>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</si>
  <si>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</si>
  <si>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</si>
  <si>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</si>
  <si>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</si>
  <si>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</si>
  <si>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</si>
  <si>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</si>
  <si>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</si>
  <si>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</si>
  <si>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</si>
  <si>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</si>
  <si>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</si>
  <si>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</si>
  <si>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</si>
  <si>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</si>
  <si>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</si>
  <si>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</si>
  <si>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</si>
  <si>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</si>
  <si>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</si>
  <si>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</si>
  <si>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</si>
  <si>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</si>
  <si>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</si>
  <si>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</si>
  <si>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</si>
  <si>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</si>
  <si>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</si>
  <si>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</si>
  <si>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</si>
  <si>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</si>
  <si>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</si>
  <si>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</si>
  <si>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</si>
  <si>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</si>
  <si>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</si>
  <si>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</si>
  <si>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</si>
  <si>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</si>
  <si>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</si>
  <si>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</si>
  <si>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</si>
  <si>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</si>
  <si>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</si>
  <si>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</si>
  <si>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</si>
  <si>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</si>
  <si>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</si>
  <si>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</si>
  <si>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</si>
  <si>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</si>
  <si>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</si>
  <si>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</si>
  <si>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</si>
  <si>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</si>
  <si>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</si>
  <si>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</si>
  <si>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</si>
  <si>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</si>
  <si>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</si>
  <si>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</si>
  <si>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</si>
  <si>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</si>
  <si>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</si>
  <si>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</si>
  <si>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</si>
  <si>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</si>
  <si>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</si>
  <si>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</si>
  <si>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</si>
  <si>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</si>
  <si>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</si>
  <si>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</si>
  <si>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</si>
  <si>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</si>
  <si>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</si>
  <si>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</si>
  <si>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</si>
  <si>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</si>
  <si>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</si>
  <si>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</si>
  <si>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</si>
  <si>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</si>
  <si>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</si>
  <si>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</si>
  <si>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</si>
  <si>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</si>
  <si>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</si>
  <si>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</si>
  <si>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</si>
  <si>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</si>
  <si>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AB00</t>
  </si>
  <si>
    <t>AB01</t>
  </si>
  <si>
    <t>AB02</t>
  </si>
  <si>
    <t>AB03</t>
  </si>
  <si>
    <t>AB04</t>
  </si>
  <si>
    <t>AB05</t>
  </si>
  <si>
    <t>AB06</t>
  </si>
  <si>
    <t>AB07</t>
  </si>
  <si>
    <t>AB08</t>
  </si>
  <si>
    <t>AB09</t>
  </si>
  <si>
    <t>AB10</t>
  </si>
  <si>
    <t>AB11</t>
  </si>
  <si>
    <t>AB12</t>
  </si>
  <si>
    <t>AB13</t>
  </si>
  <si>
    <t>AB14</t>
  </si>
  <si>
    <t>AB15</t>
  </si>
  <si>
    <t>AB16</t>
  </si>
  <si>
    <t>AB17</t>
  </si>
  <si>
    <t>AB18</t>
  </si>
  <si>
    <t>AB19</t>
  </si>
  <si>
    <t>AB20</t>
  </si>
  <si>
    <t>AB21</t>
  </si>
  <si>
    <t>AB22</t>
  </si>
  <si>
    <t>AB23</t>
  </si>
  <si>
    <t>AB24</t>
  </si>
  <si>
    <t>AB25</t>
  </si>
  <si>
    <t>AB26</t>
  </si>
  <si>
    <t>AB27</t>
  </si>
  <si>
    <t>AB28</t>
  </si>
  <si>
    <t>AB29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</si>
  <si>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</si>
  <si>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</si>
  <si>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</si>
  <si>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</si>
  <si>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</si>
  <si>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</si>
  <si>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</si>
  <si>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</si>
  <si>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</si>
  <si>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</si>
  <si>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AB40</t>
  </si>
  <si>
    <t>AB41</t>
  </si>
  <si>
    <t>AB42</t>
  </si>
  <si>
    <t>AB43</t>
  </si>
  <si>
    <t>AB44</t>
  </si>
  <si>
    <t>AB45</t>
  </si>
  <si>
    <t>AB46</t>
  </si>
  <si>
    <t>AB47</t>
  </si>
  <si>
    <t>AB48</t>
  </si>
  <si>
    <t>AB49</t>
  </si>
  <si>
    <t>AB50</t>
  </si>
  <si>
    <t>AB51</t>
  </si>
  <si>
    <t>AB52</t>
  </si>
  <si>
    <t>AB53</t>
  </si>
  <si>
    <t>AB54</t>
  </si>
  <si>
    <t>AB55</t>
  </si>
  <si>
    <t>AB56</t>
  </si>
  <si>
    <t>AB57</t>
  </si>
  <si>
    <t>AB58</t>
  </si>
  <si>
    <t>AB59</t>
  </si>
  <si>
    <t>AB60</t>
  </si>
  <si>
    <t>AB61</t>
  </si>
  <si>
    <t>AB62</t>
  </si>
  <si>
    <t>AB63</t>
  </si>
  <si>
    <t>AB64</t>
  </si>
  <si>
    <t>AB65</t>
  </si>
  <si>
    <t>AB66</t>
  </si>
  <si>
    <t>AB67</t>
  </si>
  <si>
    <t>AB68</t>
  </si>
  <si>
    <t>AB69</t>
  </si>
  <si>
    <t>AB70</t>
  </si>
  <si>
    <t>AB71</t>
  </si>
  <si>
    <t>AB72</t>
  </si>
  <si>
    <t>AB73</t>
  </si>
  <si>
    <t>AB74</t>
  </si>
  <si>
    <t>AB75</t>
  </si>
  <si>
    <t>AB76</t>
  </si>
  <si>
    <t>AB77</t>
  </si>
  <si>
    <t>AB78</t>
  </si>
  <si>
    <t>AB79</t>
  </si>
  <si>
    <t>AB80</t>
  </si>
  <si>
    <t>AB81</t>
  </si>
  <si>
    <t>AB82</t>
  </si>
  <si>
    <t>AB83</t>
  </si>
  <si>
    <t>AB84</t>
  </si>
  <si>
    <t>AB85</t>
  </si>
  <si>
    <t>AB86</t>
  </si>
  <si>
    <t>AB87</t>
  </si>
  <si>
    <t>AB88</t>
  </si>
  <si>
    <t>AB89</t>
  </si>
  <si>
    <t>AB90</t>
  </si>
  <si>
    <t>AB91</t>
  </si>
  <si>
    <t>AB92</t>
  </si>
  <si>
    <t>AB93</t>
  </si>
  <si>
    <t>AB94</t>
  </si>
  <si>
    <t>AB95</t>
  </si>
  <si>
    <t>AB96</t>
  </si>
  <si>
    <t>AB97</t>
  </si>
  <si>
    <t>AB98</t>
  </si>
  <si>
    <t>AB99</t>
  </si>
  <si>
    <t>AC00</t>
  </si>
  <si>
    <t>AC01</t>
  </si>
  <si>
    <t>AC02</t>
  </si>
  <si>
    <t>AC03</t>
  </si>
  <si>
    <t>AC04</t>
  </si>
  <si>
    <t>AC05</t>
  </si>
  <si>
    <t>AC06</t>
  </si>
  <si>
    <t>AC07</t>
  </si>
  <si>
    <t>AC08</t>
  </si>
  <si>
    <t>AC09</t>
  </si>
  <si>
    <t>AC10</t>
  </si>
  <si>
    <t>AC11</t>
  </si>
  <si>
    <t>AC12</t>
  </si>
  <si>
    <t>AC13</t>
  </si>
  <si>
    <t>AC14</t>
  </si>
  <si>
    <t>AC15</t>
  </si>
  <si>
    <t>AC16</t>
  </si>
  <si>
    <t>AC17</t>
  </si>
  <si>
    <t>AC18</t>
  </si>
  <si>
    <t>AC19</t>
  </si>
  <si>
    <t>AC20</t>
  </si>
  <si>
    <t>AC21</t>
  </si>
  <si>
    <t>AC22</t>
  </si>
  <si>
    <t>AC23</t>
  </si>
  <si>
    <t>AC24</t>
  </si>
  <si>
    <t>AC25</t>
  </si>
  <si>
    <t>AC26</t>
  </si>
  <si>
    <t>AC27</t>
  </si>
  <si>
    <t>AC28</t>
  </si>
  <si>
    <t>AC29</t>
  </si>
  <si>
    <t>AC30</t>
  </si>
  <si>
    <t>AC31</t>
  </si>
  <si>
    <t>AC32</t>
  </si>
  <si>
    <t>AC33</t>
  </si>
  <si>
    <t>AC34</t>
  </si>
  <si>
    <t>AC35</t>
  </si>
  <si>
    <t>AC36</t>
  </si>
  <si>
    <t>AC37</t>
  </si>
  <si>
    <t>AC38</t>
  </si>
  <si>
    <t>AC39</t>
  </si>
  <si>
    <t>AC40</t>
  </si>
  <si>
    <t>AC41</t>
  </si>
  <si>
    <t>AC42</t>
  </si>
  <si>
    <t>AC43</t>
  </si>
  <si>
    <t>AC44</t>
  </si>
  <si>
    <t>AC45</t>
  </si>
  <si>
    <t>AC46</t>
  </si>
  <si>
    <t>AC47</t>
  </si>
  <si>
    <t>AC48</t>
  </si>
  <si>
    <t>AC49</t>
  </si>
  <si>
    <t>AC50</t>
  </si>
  <si>
    <t>AC51</t>
  </si>
  <si>
    <t>AC52</t>
  </si>
  <si>
    <t>AC53</t>
  </si>
  <si>
    <t>AC54</t>
  </si>
  <si>
    <t>AC55</t>
  </si>
  <si>
    <t>AC56</t>
  </si>
  <si>
    <t>AC57</t>
  </si>
  <si>
    <t>AC58</t>
  </si>
  <si>
    <t>AC59</t>
  </si>
  <si>
    <t>AC60</t>
  </si>
  <si>
    <t>(一)日中 ３０分未満</t>
  </si>
  <si>
    <t>AC61</t>
  </si>
  <si>
    <t>AC62</t>
  </si>
  <si>
    <t>AC63</t>
  </si>
  <si>
    <t>AC64</t>
  </si>
  <si>
    <t>AC65</t>
  </si>
  <si>
    <t>AC66</t>
  </si>
  <si>
    <t>AC67</t>
  </si>
  <si>
    <t>AC68</t>
  </si>
  <si>
    <t>AC69</t>
  </si>
  <si>
    <t>AC70</t>
  </si>
  <si>
    <t>AC71</t>
  </si>
  <si>
    <t>AC72</t>
  </si>
  <si>
    <t>AC73</t>
  </si>
  <si>
    <t>AC74</t>
  </si>
  <si>
    <t>AC75</t>
  </si>
  <si>
    <t>AC76</t>
  </si>
  <si>
    <t>AC77</t>
  </si>
  <si>
    <t>AC78</t>
  </si>
  <si>
    <t>AC79</t>
  </si>
  <si>
    <t>AC80</t>
  </si>
  <si>
    <t>AC81</t>
  </si>
  <si>
    <t>AC82</t>
  </si>
  <si>
    <t>AC83</t>
  </si>
  <si>
    <t>AC84</t>
  </si>
  <si>
    <t>AC85</t>
  </si>
  <si>
    <t>AC86</t>
  </si>
  <si>
    <t>AC87</t>
  </si>
  <si>
    <t>AC88</t>
  </si>
  <si>
    <t>AC89</t>
  </si>
  <si>
    <t>AC90</t>
  </si>
  <si>
    <t>AC91</t>
  </si>
  <si>
    <t>AC92</t>
  </si>
  <si>
    <t>AC93</t>
  </si>
  <si>
    <t>AC94</t>
  </si>
  <si>
    <t>AC95</t>
  </si>
  <si>
    <t>AC96</t>
  </si>
  <si>
    <t>AC97</t>
  </si>
  <si>
    <t>AC98</t>
  </si>
  <si>
    <t>AC99</t>
  </si>
  <si>
    <t>AD00</t>
  </si>
  <si>
    <t>AD01</t>
  </si>
  <si>
    <t>AD02</t>
  </si>
  <si>
    <t>AD03</t>
  </si>
  <si>
    <t>AD04</t>
  </si>
  <si>
    <t>AD05</t>
  </si>
  <si>
    <t>AD06</t>
  </si>
  <si>
    <t>AD07</t>
  </si>
  <si>
    <t>AD08</t>
  </si>
  <si>
    <t>AD09</t>
  </si>
  <si>
    <t>AD10</t>
  </si>
  <si>
    <t>AD11</t>
  </si>
  <si>
    <t>AD12</t>
  </si>
  <si>
    <t>AD13</t>
  </si>
  <si>
    <t>AD14</t>
  </si>
  <si>
    <t>AD15</t>
  </si>
  <si>
    <t>AD16</t>
  </si>
  <si>
    <t>AD17</t>
  </si>
  <si>
    <t>AD18</t>
  </si>
  <si>
    <t>AD19</t>
  </si>
  <si>
    <t>AD20</t>
  </si>
  <si>
    <t>AD21</t>
  </si>
  <si>
    <t>AD22</t>
  </si>
  <si>
    <t>AD23</t>
  </si>
  <si>
    <t>AD24</t>
  </si>
  <si>
    <t>AD25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</si>
  <si>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</si>
  <si>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</si>
  <si>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</si>
  <si>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</si>
  <si>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</si>
  <si>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</si>
  <si>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</si>
  <si>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</si>
  <si>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</si>
  <si>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AD35</t>
  </si>
  <si>
    <t>AD36</t>
  </si>
  <si>
    <t>AD37</t>
  </si>
  <si>
    <t>AD38</t>
  </si>
  <si>
    <t>AD39</t>
  </si>
  <si>
    <t>AD40</t>
  </si>
  <si>
    <t>AD41</t>
  </si>
  <si>
    <t>AD42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</si>
  <si>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</si>
  <si>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</si>
  <si>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</si>
  <si>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</si>
  <si>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</si>
  <si>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</si>
  <si>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</si>
  <si>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</si>
  <si>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</si>
  <si>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AD52</t>
  </si>
  <si>
    <t>AD53</t>
  </si>
  <si>
    <t>AD54</t>
  </si>
  <si>
    <t>AD55</t>
  </si>
  <si>
    <t>AD56</t>
  </si>
  <si>
    <t>AD57</t>
  </si>
  <si>
    <t>AD58</t>
  </si>
  <si>
    <t>AD59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</si>
  <si>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</si>
  <si>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</si>
  <si>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</si>
  <si>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</si>
  <si>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</si>
  <si>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</si>
  <si>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</si>
  <si>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</si>
  <si>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</si>
  <si>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AD69</t>
  </si>
  <si>
    <t>AD70</t>
  </si>
  <si>
    <t>AD71</t>
  </si>
  <si>
    <t>AD72</t>
  </si>
  <si>
    <t>AD73</t>
  </si>
  <si>
    <t>AD74</t>
  </si>
  <si>
    <t>AD75</t>
  </si>
  <si>
    <t>AD76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</si>
  <si>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</si>
  <si>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</si>
  <si>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</si>
  <si>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</si>
  <si>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</si>
  <si>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</si>
  <si>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</si>
  <si>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</si>
  <si>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</si>
  <si>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AD86</t>
  </si>
  <si>
    <t>AD87</t>
  </si>
  <si>
    <t>AD88</t>
  </si>
  <si>
    <t>AD89</t>
  </si>
  <si>
    <t>AD90</t>
  </si>
  <si>
    <t>AD91</t>
  </si>
  <si>
    <t>AD92</t>
  </si>
  <si>
    <t>AD93</t>
  </si>
  <si>
    <t>AD94</t>
  </si>
  <si>
    <t>AD95</t>
  </si>
  <si>
    <t>AD96</t>
  </si>
  <si>
    <t>AD97</t>
  </si>
  <si>
    <t>AD98</t>
  </si>
  <si>
    <t>AD99</t>
  </si>
  <si>
    <t>AE00</t>
  </si>
  <si>
    <t>AE01</t>
  </si>
  <si>
    <t>AE02</t>
  </si>
  <si>
    <t>AE03</t>
  </si>
  <si>
    <t>AE04</t>
  </si>
  <si>
    <t>AE05</t>
  </si>
  <si>
    <t>AE06</t>
  </si>
  <si>
    <t>AE07</t>
  </si>
  <si>
    <t>AE08</t>
  </si>
  <si>
    <t>AE09</t>
  </si>
  <si>
    <t>AE10</t>
  </si>
  <si>
    <t>AE11</t>
  </si>
  <si>
    <t>AE12</t>
  </si>
  <si>
    <t>AE13</t>
  </si>
  <si>
    <t>AE14</t>
  </si>
  <si>
    <t>AE15</t>
  </si>
  <si>
    <t>AE16</t>
  </si>
  <si>
    <t>AE17</t>
  </si>
  <si>
    <t>AE18</t>
  </si>
  <si>
    <t>AE19</t>
  </si>
  <si>
    <t>AE20</t>
  </si>
  <si>
    <t>AE21</t>
  </si>
  <si>
    <t>AE22</t>
  </si>
  <si>
    <t>AE23</t>
  </si>
  <si>
    <t>AE24</t>
  </si>
  <si>
    <t>AE25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</si>
  <si>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</si>
  <si>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</si>
  <si>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</si>
  <si>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</si>
  <si>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</si>
  <si>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</si>
  <si>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</si>
  <si>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</si>
  <si>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</si>
  <si>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AE35</t>
  </si>
  <si>
    <t>AE36</t>
  </si>
  <si>
    <t>AE37</t>
  </si>
  <si>
    <t>AE38</t>
  </si>
  <si>
    <t>AE39</t>
  </si>
  <si>
    <t>AE40</t>
  </si>
  <si>
    <t>AE41</t>
  </si>
  <si>
    <t>AE42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</si>
  <si>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</si>
  <si>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</si>
  <si>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</si>
  <si>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</si>
  <si>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</si>
  <si>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</si>
  <si>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</si>
  <si>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</si>
  <si>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</si>
  <si>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AE52</t>
  </si>
  <si>
    <t>AE53</t>
  </si>
  <si>
    <t>AE54</t>
  </si>
  <si>
    <t>AE55</t>
  </si>
  <si>
    <t>AE56</t>
  </si>
  <si>
    <t>AE57</t>
  </si>
  <si>
    <t>AE58</t>
  </si>
  <si>
    <t>AE59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</si>
  <si>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</si>
  <si>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</si>
  <si>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</si>
  <si>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</si>
  <si>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</si>
  <si>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</si>
  <si>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</si>
  <si>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</si>
  <si>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</si>
  <si>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AE69</t>
  </si>
  <si>
    <t>AE70</t>
  </si>
  <si>
    <t>AE71</t>
  </si>
  <si>
    <t>AE72</t>
  </si>
  <si>
    <t>AE73</t>
  </si>
  <si>
    <t>AE74</t>
  </si>
  <si>
    <t>AE75</t>
  </si>
  <si>
    <t>AE76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</si>
  <si>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</si>
  <si>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</si>
  <si>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</si>
  <si>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</si>
  <si>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</si>
  <si>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</si>
  <si>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</si>
  <si>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</si>
  <si>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</si>
  <si>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AE86</t>
  </si>
  <si>
    <t>AE87</t>
  </si>
  <si>
    <t>AE88</t>
  </si>
  <si>
    <t>AE89</t>
  </si>
  <si>
    <t>AE90</t>
  </si>
  <si>
    <t>AE91</t>
  </si>
  <si>
    <t>AE92</t>
  </si>
  <si>
    <t>AE93</t>
  </si>
  <si>
    <t>AE94</t>
  </si>
  <si>
    <t>AE95</t>
  </si>
  <si>
    <t>AE96</t>
  </si>
  <si>
    <t>AE97</t>
  </si>
  <si>
    <t>AE98</t>
  </si>
  <si>
    <t>AE99</t>
  </si>
  <si>
    <t>AF00</t>
  </si>
  <si>
    <t>AF01</t>
  </si>
  <si>
    <t>AF02</t>
  </si>
  <si>
    <t>AF03</t>
  </si>
  <si>
    <t>AF04</t>
  </si>
  <si>
    <t>AF05</t>
  </si>
  <si>
    <t>AF06</t>
  </si>
  <si>
    <t>AF07</t>
  </si>
  <si>
    <t>AF08</t>
  </si>
  <si>
    <t>AF09</t>
  </si>
  <si>
    <t>AF10</t>
  </si>
  <si>
    <t>AF11</t>
  </si>
  <si>
    <t>AF12</t>
  </si>
  <si>
    <t>AF13</t>
  </si>
  <si>
    <t>AF14</t>
  </si>
  <si>
    <t>AF15</t>
  </si>
  <si>
    <t>AF16</t>
  </si>
  <si>
    <t>AF17</t>
  </si>
  <si>
    <t>AF18</t>
  </si>
  <si>
    <t>AF19</t>
  </si>
  <si>
    <t>AF20</t>
  </si>
  <si>
    <t>AF21</t>
  </si>
  <si>
    <t>AF22</t>
  </si>
  <si>
    <t>AF23</t>
  </si>
  <si>
    <t>AF24</t>
  </si>
  <si>
    <t>AF25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</si>
  <si>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</si>
  <si>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</si>
  <si>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</si>
  <si>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</si>
  <si>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</si>
  <si>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</si>
  <si>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</si>
  <si>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</si>
  <si>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</si>
  <si>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AF35</t>
  </si>
  <si>
    <t>AF36</t>
  </si>
  <si>
    <t>AF37</t>
  </si>
  <si>
    <t>AF38</t>
  </si>
  <si>
    <t>AF39</t>
  </si>
  <si>
    <t>AF40</t>
  </si>
  <si>
    <t>AF41</t>
  </si>
  <si>
    <t>AF42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</si>
  <si>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</si>
  <si>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</si>
  <si>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</si>
  <si>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</si>
  <si>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</si>
  <si>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</si>
  <si>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</si>
  <si>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</si>
  <si>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</si>
  <si>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AF52</t>
  </si>
  <si>
    <t>AF53</t>
  </si>
  <si>
    <t>AF54</t>
  </si>
  <si>
    <t>AF55</t>
  </si>
  <si>
    <t>AF56</t>
  </si>
  <si>
    <t>AF57</t>
  </si>
  <si>
    <t>AF58</t>
  </si>
  <si>
    <t>AF59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</si>
  <si>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</si>
  <si>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</si>
  <si>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</si>
  <si>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</si>
  <si>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</si>
  <si>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</si>
  <si>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</si>
  <si>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</si>
  <si>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</si>
  <si>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AF69</t>
  </si>
  <si>
    <t>AF70</t>
  </si>
  <si>
    <t>AF71</t>
  </si>
  <si>
    <t>AF72</t>
  </si>
  <si>
    <t>AF73</t>
  </si>
  <si>
    <t>AF74</t>
  </si>
  <si>
    <t>AF75</t>
  </si>
  <si>
    <t>AF76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</si>
  <si>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</si>
  <si>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</si>
  <si>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</si>
  <si>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</si>
  <si>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</si>
  <si>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</si>
  <si>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</si>
  <si>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</si>
  <si>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</si>
  <si>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AF86</t>
  </si>
  <si>
    <t>AF87</t>
  </si>
  <si>
    <t>AF88</t>
  </si>
  <si>
    <t>AF89</t>
  </si>
  <si>
    <t>AF90</t>
  </si>
  <si>
    <t>AF91</t>
  </si>
  <si>
    <t>AF92</t>
  </si>
  <si>
    <t>AF93</t>
  </si>
  <si>
    <t>AF94</t>
  </si>
  <si>
    <t>AF95</t>
  </si>
  <si>
    <t>AF96</t>
  </si>
  <si>
    <t>AF97</t>
  </si>
  <si>
    <t>AF98</t>
  </si>
  <si>
    <t>AF99</t>
  </si>
  <si>
    <t>AG00</t>
  </si>
  <si>
    <t>AG01</t>
  </si>
  <si>
    <t>AG02</t>
  </si>
  <si>
    <t>AG03</t>
  </si>
  <si>
    <t>AG04</t>
  </si>
  <si>
    <t>AG05</t>
  </si>
  <si>
    <t>AG06</t>
  </si>
  <si>
    <t>AG07</t>
  </si>
  <si>
    <t>AG08</t>
  </si>
  <si>
    <t>AG09</t>
  </si>
  <si>
    <t>AG10</t>
  </si>
  <si>
    <t>AG11</t>
  </si>
  <si>
    <t>AG12</t>
  </si>
  <si>
    <t>AG13</t>
  </si>
  <si>
    <t>AG14</t>
  </si>
  <si>
    <t>AG15</t>
  </si>
  <si>
    <t>AG16</t>
  </si>
  <si>
    <t>AG17</t>
  </si>
  <si>
    <t>AG18</t>
  </si>
  <si>
    <t>AG19</t>
  </si>
  <si>
    <t>AG20</t>
  </si>
  <si>
    <t>AG21</t>
  </si>
  <si>
    <t>AG22</t>
  </si>
  <si>
    <t>AG23</t>
  </si>
  <si>
    <t>AG24</t>
  </si>
  <si>
    <t>AG25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</si>
  <si>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</si>
  <si>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</si>
  <si>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</si>
  <si>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</si>
  <si>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</si>
  <si>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</si>
  <si>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</si>
  <si>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</si>
  <si>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</si>
  <si>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AG35</t>
  </si>
  <si>
    <t>AG36</t>
  </si>
  <si>
    <t>AG37</t>
  </si>
  <si>
    <t>AG38</t>
  </si>
  <si>
    <t>AG39</t>
  </si>
  <si>
    <t>AG40</t>
  </si>
  <si>
    <t>AG41</t>
  </si>
  <si>
    <t>AG42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</si>
  <si>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</si>
  <si>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</si>
  <si>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</si>
  <si>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</si>
  <si>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</si>
  <si>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</si>
  <si>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</si>
  <si>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</si>
  <si>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</si>
  <si>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AG52</t>
  </si>
  <si>
    <t>AG53</t>
  </si>
  <si>
    <t>AG54</t>
  </si>
  <si>
    <t>AG55</t>
  </si>
  <si>
    <t>AG56</t>
  </si>
  <si>
    <t>AG57</t>
  </si>
  <si>
    <t>AG58</t>
  </si>
  <si>
    <t>AG59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</si>
  <si>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</si>
  <si>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</si>
  <si>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</si>
  <si>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</si>
  <si>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</si>
  <si>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</si>
  <si>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</si>
  <si>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</si>
  <si>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</si>
  <si>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AG69</t>
  </si>
  <si>
    <t>AG70</t>
  </si>
  <si>
    <t>AG71</t>
  </si>
  <si>
    <t>AG72</t>
  </si>
  <si>
    <t>AG73</t>
  </si>
  <si>
    <t>AG74</t>
  </si>
  <si>
    <t>AG75</t>
  </si>
  <si>
    <t>AG76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</si>
  <si>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</si>
  <si>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</si>
  <si>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</si>
  <si>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</si>
  <si>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</si>
  <si>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</si>
  <si>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</si>
  <si>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</si>
  <si>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</si>
  <si>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AG86</t>
  </si>
  <si>
    <t>AG87</t>
  </si>
  <si>
    <t>AG88</t>
  </si>
  <si>
    <t>AG89</t>
  </si>
  <si>
    <t>AG90</t>
  </si>
  <si>
    <t>AG91</t>
  </si>
  <si>
    <t>AG92</t>
  </si>
  <si>
    <t>AG93</t>
  </si>
  <si>
    <t>AG94</t>
  </si>
  <si>
    <t>AG95</t>
  </si>
  <si>
    <t>AG96</t>
  </si>
  <si>
    <t>AG97</t>
  </si>
  <si>
    <t>AG98</t>
  </si>
  <si>
    <t>AG99</t>
  </si>
  <si>
    <t>AH00</t>
  </si>
  <si>
    <t>AH01</t>
  </si>
  <si>
    <t>AH02</t>
  </si>
  <si>
    <t>AH03</t>
  </si>
  <si>
    <t>AH04</t>
  </si>
  <si>
    <t>AH05</t>
  </si>
  <si>
    <t>AH06</t>
  </si>
  <si>
    <t>AH07</t>
  </si>
  <si>
    <t>AH08</t>
  </si>
  <si>
    <t>AH09</t>
  </si>
  <si>
    <t>AH10</t>
  </si>
  <si>
    <t>AH11</t>
  </si>
  <si>
    <t>AH12</t>
  </si>
  <si>
    <t>AH13</t>
  </si>
  <si>
    <t>AH14</t>
  </si>
  <si>
    <t>AH15</t>
  </si>
  <si>
    <t>AH16</t>
  </si>
  <si>
    <t>AH17</t>
  </si>
  <si>
    <t>AH18</t>
  </si>
  <si>
    <t>AH19</t>
  </si>
  <si>
    <t>AH20</t>
  </si>
  <si>
    <t>AH21</t>
  </si>
  <si>
    <t>AH22</t>
  </si>
  <si>
    <t>AH23</t>
  </si>
  <si>
    <t>AH24</t>
  </si>
  <si>
    <t>AH25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</si>
  <si>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</si>
  <si>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</si>
  <si>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</si>
  <si>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</si>
  <si>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</si>
  <si>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</si>
  <si>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</si>
  <si>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</si>
  <si>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</si>
  <si>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AH35</t>
  </si>
  <si>
    <t>AH36</t>
  </si>
  <si>
    <t>AH37</t>
  </si>
  <si>
    <t>AH38</t>
  </si>
  <si>
    <t>AH39</t>
  </si>
  <si>
    <t>AH40</t>
  </si>
  <si>
    <t>AH41</t>
  </si>
  <si>
    <t>AH42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</si>
  <si>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</si>
  <si>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</si>
  <si>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</si>
  <si>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</si>
  <si>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</si>
  <si>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</si>
  <si>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</si>
  <si>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</si>
  <si>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</si>
  <si>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AH52</t>
  </si>
  <si>
    <t>AH53</t>
  </si>
  <si>
    <t>AH54</t>
  </si>
  <si>
    <t>AH55</t>
  </si>
  <si>
    <t>AH56</t>
  </si>
  <si>
    <t>AH57</t>
  </si>
  <si>
    <t>AH58</t>
  </si>
  <si>
    <t>AH59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</si>
  <si>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</si>
  <si>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</si>
  <si>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</si>
  <si>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</si>
  <si>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</si>
  <si>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</si>
  <si>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</si>
  <si>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</si>
  <si>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</si>
  <si>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AH69</t>
  </si>
  <si>
    <t>AH70</t>
  </si>
  <si>
    <t>AH71</t>
  </si>
  <si>
    <t>AH72</t>
  </si>
  <si>
    <t>AH73</t>
  </si>
  <si>
    <t>AH74</t>
  </si>
  <si>
    <t>AH75</t>
  </si>
  <si>
    <t>AH76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</si>
  <si>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</si>
  <si>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</si>
  <si>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</si>
  <si>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</si>
  <si>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</si>
  <si>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</si>
  <si>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</si>
  <si>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</si>
  <si>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</si>
  <si>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AH86</t>
  </si>
  <si>
    <t>AH87</t>
  </si>
  <si>
    <t>AH88</t>
  </si>
  <si>
    <t>AH89</t>
  </si>
  <si>
    <t>AH90</t>
  </si>
  <si>
    <t>AH91</t>
  </si>
  <si>
    <t>AH92</t>
  </si>
  <si>
    <t>AH93</t>
  </si>
  <si>
    <t>AH94</t>
  </si>
  <si>
    <t>AH95</t>
  </si>
  <si>
    <t>AH96</t>
  </si>
  <si>
    <t>AH97</t>
  </si>
  <si>
    <t>AH98</t>
  </si>
  <si>
    <t>AH99</t>
  </si>
  <si>
    <t>AJ00</t>
  </si>
  <si>
    <t>AJ01</t>
  </si>
  <si>
    <t>AJ02</t>
  </si>
  <si>
    <t>AJ03</t>
  </si>
  <si>
    <t>AJ04</t>
  </si>
  <si>
    <t>AJ05</t>
  </si>
  <si>
    <t>AJ06</t>
  </si>
  <si>
    <t>AJ07</t>
  </si>
  <si>
    <t>AJ08</t>
  </si>
  <si>
    <t>AJ09</t>
  </si>
  <si>
    <t>AJ10</t>
  </si>
  <si>
    <t>AJ11</t>
  </si>
  <si>
    <t>AJ12</t>
  </si>
  <si>
    <t>AJ13</t>
  </si>
  <si>
    <t>AJ14</t>
  </si>
  <si>
    <t>AJ15</t>
  </si>
  <si>
    <t>AJ16</t>
  </si>
  <si>
    <t>AJ17</t>
  </si>
  <si>
    <t>AJ18</t>
  </si>
  <si>
    <t>AJ19</t>
  </si>
  <si>
    <t>AJ20</t>
  </si>
  <si>
    <t>AJ21</t>
  </si>
  <si>
    <t>AJ22</t>
  </si>
  <si>
    <t>AJ23</t>
  </si>
  <si>
    <t>AJ24</t>
  </si>
  <si>
    <t>AJ25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</si>
  <si>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</si>
  <si>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</si>
  <si>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</si>
  <si>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</si>
  <si>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</si>
  <si>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</si>
  <si>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</si>
  <si>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</si>
  <si>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</si>
  <si>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AJ35</t>
  </si>
  <si>
    <t>AJ36</t>
  </si>
  <si>
    <t>AJ37</t>
  </si>
  <si>
    <t>AJ38</t>
  </si>
  <si>
    <t>AJ39</t>
  </si>
  <si>
    <t>AJ40</t>
  </si>
  <si>
    <t>AJ41</t>
  </si>
  <si>
    <t>AJ42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</si>
  <si>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</si>
  <si>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</si>
  <si>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</si>
  <si>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</si>
  <si>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</si>
  <si>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</si>
  <si>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</si>
  <si>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</si>
  <si>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</si>
  <si>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AJ52</t>
  </si>
  <si>
    <t>AJ53</t>
  </si>
  <si>
    <t>AJ54</t>
  </si>
  <si>
    <t>AJ55</t>
  </si>
  <si>
    <t>AJ56</t>
  </si>
  <si>
    <t>AJ57</t>
  </si>
  <si>
    <t>AJ58</t>
  </si>
  <si>
    <t>AJ59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</si>
  <si>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</si>
  <si>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</si>
  <si>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</si>
  <si>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</si>
  <si>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</si>
  <si>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</si>
  <si>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</si>
  <si>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</si>
  <si>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</si>
  <si>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AJ69</t>
  </si>
  <si>
    <t>AJ70</t>
  </si>
  <si>
    <t>AJ71</t>
  </si>
  <si>
    <t>AJ72</t>
  </si>
  <si>
    <t>AJ73</t>
  </si>
  <si>
    <t>AJ74</t>
  </si>
  <si>
    <t>AJ75</t>
  </si>
  <si>
    <t>AJ76</t>
  </si>
  <si>
    <t>AJ77</t>
  </si>
  <si>
    <t>AJ78</t>
  </si>
  <si>
    <t>AJ79</t>
  </si>
  <si>
    <t>AJ80</t>
  </si>
  <si>
    <t>(一)深夜 ３０分未満</t>
  </si>
  <si>
    <t>AJ81</t>
  </si>
  <si>
    <t>AJ82</t>
  </si>
  <si>
    <t>AJ83</t>
  </si>
  <si>
    <t>AJ84</t>
  </si>
  <si>
    <t>AJ85</t>
  </si>
  <si>
    <t>AJ86</t>
  </si>
  <si>
    <t>AJ87</t>
  </si>
  <si>
    <t>AJ88</t>
  </si>
  <si>
    <t>AJ89</t>
  </si>
  <si>
    <t>AJ90</t>
  </si>
  <si>
    <t>AJ91</t>
  </si>
  <si>
    <t>AJ92</t>
  </si>
  <si>
    <t>AJ93</t>
  </si>
  <si>
    <t>AJ94</t>
  </si>
  <si>
    <t>AJ95</t>
  </si>
  <si>
    <t>AJ96</t>
  </si>
  <si>
    <t>AJ97</t>
  </si>
  <si>
    <t>AJ98</t>
  </si>
  <si>
    <t>AJ99</t>
  </si>
  <si>
    <t>AK00</t>
  </si>
  <si>
    <t>AK01</t>
  </si>
  <si>
    <t>AK02</t>
  </si>
  <si>
    <t>AK03</t>
  </si>
  <si>
    <t>AK04</t>
  </si>
  <si>
    <t>AK05</t>
  </si>
  <si>
    <t>AK06</t>
  </si>
  <si>
    <t>AK07</t>
  </si>
  <si>
    <t>AK08</t>
  </si>
  <si>
    <t>AK09</t>
  </si>
  <si>
    <t>AK10</t>
  </si>
  <si>
    <t>AK11</t>
  </si>
  <si>
    <t>AK12</t>
  </si>
  <si>
    <t>AK13</t>
  </si>
  <si>
    <t>AK14</t>
  </si>
  <si>
    <t>AK15</t>
  </si>
  <si>
    <t>AK16</t>
  </si>
  <si>
    <t>AK17</t>
  </si>
  <si>
    <t>AK18</t>
  </si>
  <si>
    <t>AK19</t>
  </si>
  <si>
    <t>AK20</t>
  </si>
  <si>
    <t>AK21</t>
  </si>
  <si>
    <t>AK22</t>
  </si>
  <si>
    <t>AK23</t>
  </si>
  <si>
    <t>AK24</t>
  </si>
  <si>
    <t>AK25</t>
  </si>
  <si>
    <t>AK26</t>
  </si>
  <si>
    <t>AK27</t>
  </si>
  <si>
    <t>AK28</t>
  </si>
  <si>
    <t>AK29</t>
  </si>
  <si>
    <t>AK30</t>
  </si>
  <si>
    <t>AK31</t>
  </si>
  <si>
    <t>AK32</t>
  </si>
  <si>
    <t>AK33</t>
  </si>
  <si>
    <t>AK34</t>
  </si>
  <si>
    <t>AK35</t>
  </si>
  <si>
    <t>AK36</t>
  </si>
  <si>
    <t>AK37</t>
  </si>
  <si>
    <t>AK38</t>
  </si>
  <si>
    <t>AK39</t>
  </si>
  <si>
    <t>AK40</t>
  </si>
  <si>
    <t>AK41</t>
  </si>
  <si>
    <t>AK42</t>
  </si>
  <si>
    <t>AK43</t>
  </si>
  <si>
    <t>AK44</t>
  </si>
  <si>
    <t>AK45</t>
  </si>
  <si>
    <t>AK46</t>
  </si>
  <si>
    <t>AK47</t>
  </si>
  <si>
    <t>AK48</t>
  </si>
  <si>
    <t>AK49</t>
  </si>
  <si>
    <t>AK50</t>
  </si>
  <si>
    <t>AK51</t>
  </si>
  <si>
    <t>AK52</t>
  </si>
  <si>
    <t>AK53</t>
  </si>
  <si>
    <t>AK54</t>
  </si>
  <si>
    <t>AK55</t>
  </si>
  <si>
    <t>AK56</t>
  </si>
  <si>
    <t>AK57</t>
  </si>
  <si>
    <t>AK58</t>
  </si>
  <si>
    <t>AK59</t>
  </si>
  <si>
    <t>AK60</t>
  </si>
  <si>
    <t>AK61</t>
  </si>
  <si>
    <t>AK62</t>
  </si>
  <si>
    <t>AK63</t>
  </si>
  <si>
    <t>AK64</t>
  </si>
  <si>
    <t>AK65</t>
  </si>
  <si>
    <t>AK66</t>
  </si>
  <si>
    <t>AK67</t>
  </si>
  <si>
    <t>AK68</t>
  </si>
  <si>
    <t>AK69</t>
  </si>
  <si>
    <t>AK70</t>
  </si>
  <si>
    <t>AK71</t>
  </si>
  <si>
    <t>AK72</t>
  </si>
  <si>
    <t>AK73</t>
  </si>
  <si>
    <t>AK74</t>
  </si>
  <si>
    <t>AK75</t>
  </si>
  <si>
    <t>AK76</t>
  </si>
  <si>
    <t>AK77</t>
  </si>
  <si>
    <t>AK78</t>
  </si>
  <si>
    <t>AK79</t>
  </si>
  <si>
    <t>AK80</t>
  </si>
  <si>
    <t>AK81</t>
  </si>
  <si>
    <t>AK82</t>
  </si>
  <si>
    <t>AK83</t>
  </si>
  <si>
    <t>AK84</t>
  </si>
  <si>
    <t>AK85</t>
  </si>
  <si>
    <t>AK86</t>
  </si>
  <si>
    <t>AK87</t>
  </si>
  <si>
    <t>AK88</t>
  </si>
  <si>
    <t>AK89</t>
  </si>
  <si>
    <t>AK90</t>
  </si>
  <si>
    <t>AK91</t>
  </si>
  <si>
    <t>AK92</t>
  </si>
  <si>
    <t>AK93</t>
  </si>
  <si>
    <t>AK94</t>
  </si>
  <si>
    <t>AK95</t>
  </si>
  <si>
    <t>AK96</t>
  </si>
  <si>
    <t>AK97</t>
  </si>
  <si>
    <t>AK98</t>
  </si>
  <si>
    <t>AK99</t>
  </si>
  <si>
    <t>AL00</t>
  </si>
  <si>
    <t>AL01</t>
  </si>
  <si>
    <t>AL02</t>
  </si>
  <si>
    <t>AL03</t>
  </si>
  <si>
    <t>AL04</t>
  </si>
  <si>
    <t>AL05</t>
  </si>
  <si>
    <t>AL06</t>
  </si>
  <si>
    <t>AL07</t>
  </si>
  <si>
    <t>AL08</t>
  </si>
  <si>
    <t>AL09</t>
  </si>
  <si>
    <t>AL10</t>
  </si>
  <si>
    <t>AL11</t>
  </si>
  <si>
    <t>AL12</t>
  </si>
  <si>
    <t>AL13</t>
  </si>
  <si>
    <t>AL14</t>
  </si>
  <si>
    <t>AL15</t>
  </si>
  <si>
    <t>AL16</t>
  </si>
  <si>
    <t>AL17</t>
  </si>
  <si>
    <t>AL18</t>
  </si>
  <si>
    <t>AL19</t>
  </si>
  <si>
    <t>AL20</t>
  </si>
  <si>
    <t>AL21</t>
  </si>
  <si>
    <t>AL22</t>
  </si>
  <si>
    <t>AL23</t>
  </si>
  <si>
    <t>AL24</t>
  </si>
  <si>
    <t>AL25</t>
  </si>
  <si>
    <t>AL26</t>
  </si>
  <si>
    <t>AL27</t>
  </si>
  <si>
    <t>AL28</t>
  </si>
  <si>
    <t>AL29</t>
  </si>
  <si>
    <t>AL30</t>
  </si>
  <si>
    <t>AL31</t>
  </si>
  <si>
    <t>AL32</t>
  </si>
  <si>
    <t>AL33</t>
  </si>
  <si>
    <t>AL34</t>
  </si>
  <si>
    <t>AL35</t>
  </si>
  <si>
    <t>AL36</t>
  </si>
  <si>
    <t>AL37</t>
  </si>
  <si>
    <t>AL38</t>
  </si>
  <si>
    <t>AL39</t>
  </si>
  <si>
    <t>AL40</t>
  </si>
  <si>
    <t>AL41</t>
  </si>
  <si>
    <t>AL42</t>
  </si>
  <si>
    <t>AL43</t>
  </si>
  <si>
    <t>AL44</t>
  </si>
  <si>
    <t>AL45</t>
  </si>
  <si>
    <t>AL46</t>
  </si>
  <si>
    <t>AL47</t>
  </si>
  <si>
    <t>AL48</t>
  </si>
  <si>
    <t>AL49</t>
  </si>
  <si>
    <t>AL50</t>
  </si>
  <si>
    <t>AL51</t>
  </si>
  <si>
    <t>AL52</t>
  </si>
  <si>
    <t>AL53</t>
  </si>
  <si>
    <t>AL54</t>
  </si>
  <si>
    <t>AL55</t>
  </si>
  <si>
    <t>AL56</t>
  </si>
  <si>
    <t>AL57</t>
  </si>
  <si>
    <t>AL58</t>
  </si>
  <si>
    <t>AL59</t>
  </si>
  <si>
    <t>AL60</t>
  </si>
  <si>
    <t>AL61</t>
  </si>
  <si>
    <t>AL62</t>
  </si>
  <si>
    <t>AL63</t>
  </si>
  <si>
    <t>AL64</t>
  </si>
  <si>
    <t>AL65</t>
  </si>
  <si>
    <t>AL66</t>
  </si>
  <si>
    <t>AL67</t>
  </si>
  <si>
    <t>AL68</t>
  </si>
  <si>
    <t>AL69</t>
  </si>
  <si>
    <t>AL70</t>
  </si>
  <si>
    <t>AL71</t>
  </si>
  <si>
    <t>AL72</t>
  </si>
  <si>
    <t>AL73</t>
  </si>
  <si>
    <t>AL74</t>
  </si>
  <si>
    <t>AL75</t>
  </si>
  <si>
    <t>AL76</t>
  </si>
  <si>
    <t>AL77</t>
  </si>
  <si>
    <t>AL78</t>
  </si>
  <si>
    <t>AL79</t>
  </si>
  <si>
    <t>AL80</t>
  </si>
  <si>
    <t>AL81</t>
  </si>
  <si>
    <t>AL82</t>
  </si>
  <si>
    <t>AL83</t>
  </si>
  <si>
    <t>AL84</t>
  </si>
  <si>
    <t>AL85</t>
  </si>
  <si>
    <t>AL86</t>
  </si>
  <si>
    <t>AL87</t>
  </si>
  <si>
    <t>AL88</t>
  </si>
  <si>
    <t>AL89</t>
  </si>
  <si>
    <t>AL90</t>
  </si>
  <si>
    <t>AL91</t>
  </si>
  <si>
    <t>AL92</t>
  </si>
  <si>
    <t>AL93</t>
  </si>
  <si>
    <t>AL94</t>
  </si>
  <si>
    <t>AL95</t>
  </si>
  <si>
    <t>AL96</t>
  </si>
  <si>
    <t>AL97</t>
  </si>
  <si>
    <t>AL98</t>
  </si>
  <si>
    <t>AL99</t>
  </si>
  <si>
    <t>AM00</t>
  </si>
  <si>
    <t>AM01</t>
  </si>
  <si>
    <t>AM02</t>
  </si>
  <si>
    <t>AM03</t>
  </si>
  <si>
    <t>AM04</t>
  </si>
  <si>
    <t>AM05</t>
  </si>
  <si>
    <t>AM06</t>
  </si>
  <si>
    <t>AM07</t>
  </si>
  <si>
    <t>AM08</t>
  </si>
  <si>
    <t>AM09</t>
  </si>
  <si>
    <t>AM10</t>
  </si>
  <si>
    <t>AM11</t>
  </si>
  <si>
    <t>AM12</t>
  </si>
  <si>
    <t>AM13</t>
  </si>
  <si>
    <t>AM14</t>
  </si>
  <si>
    <t>AM15</t>
  </si>
  <si>
    <t>AM16</t>
  </si>
  <si>
    <t>AM17</t>
  </si>
  <si>
    <t>AM18</t>
  </si>
  <si>
    <t>AM19</t>
  </si>
  <si>
    <t>AM20</t>
  </si>
  <si>
    <t>AM21</t>
  </si>
  <si>
    <t>AM22</t>
  </si>
  <si>
    <t>AM23</t>
  </si>
  <si>
    <t>AM24</t>
  </si>
  <si>
    <t>AM25</t>
  </si>
  <si>
    <t>AM26</t>
  </si>
  <si>
    <t>AM27</t>
  </si>
  <si>
    <t>AM28</t>
  </si>
  <si>
    <t>AM29</t>
  </si>
  <si>
    <t>AM30</t>
  </si>
  <si>
    <t>AM31</t>
  </si>
  <si>
    <t>AM32</t>
  </si>
  <si>
    <t>AM33</t>
  </si>
  <si>
    <t>AM34</t>
  </si>
  <si>
    <t>AM35</t>
  </si>
  <si>
    <t>AM36</t>
  </si>
  <si>
    <t>AM37</t>
  </si>
  <si>
    <t>AM38</t>
  </si>
  <si>
    <t>AM39</t>
  </si>
  <si>
    <t>AM40</t>
  </si>
  <si>
    <t>AM41</t>
  </si>
  <si>
    <t>AM42</t>
  </si>
  <si>
    <t>AM43</t>
  </si>
  <si>
    <t>AM44</t>
  </si>
  <si>
    <t>AM45</t>
  </si>
  <si>
    <t>AM46</t>
  </si>
  <si>
    <t>AM47</t>
  </si>
  <si>
    <t>AM48</t>
  </si>
  <si>
    <t>AM49</t>
  </si>
  <si>
    <t>AM50</t>
  </si>
  <si>
    <t>AM51</t>
  </si>
  <si>
    <t>AM52</t>
  </si>
  <si>
    <t>AM53</t>
  </si>
  <si>
    <t>AM54</t>
  </si>
  <si>
    <t>AM55</t>
  </si>
  <si>
    <t>AM56</t>
  </si>
  <si>
    <t>AM57</t>
  </si>
  <si>
    <t>AM58</t>
  </si>
  <si>
    <t>AM59</t>
  </si>
  <si>
    <t>AM60</t>
  </si>
  <si>
    <t>AM61</t>
  </si>
  <si>
    <t>AM62</t>
  </si>
  <si>
    <t>AM63</t>
  </si>
  <si>
    <t>AM64</t>
  </si>
  <si>
    <t>AM65</t>
  </si>
  <si>
    <t>AM66</t>
  </si>
  <si>
    <t>AM67</t>
  </si>
  <si>
    <t>AM68</t>
  </si>
  <si>
    <t>AM69</t>
  </si>
  <si>
    <t>AM70</t>
  </si>
  <si>
    <t>AM71</t>
  </si>
  <si>
    <t>AM72</t>
  </si>
  <si>
    <t>AM73</t>
  </si>
  <si>
    <t>AM74</t>
  </si>
  <si>
    <t>AM75</t>
  </si>
  <si>
    <t>AM76</t>
  </si>
  <si>
    <t>AM77</t>
  </si>
  <si>
    <t>AM78</t>
  </si>
  <si>
    <t>AM79</t>
  </si>
  <si>
    <t>AM80</t>
  </si>
  <si>
    <t>AM81</t>
  </si>
  <si>
    <t>AM82</t>
  </si>
  <si>
    <t>AM83</t>
  </si>
  <si>
    <t>AM84</t>
  </si>
  <si>
    <t>AM85</t>
  </si>
  <si>
    <t>AM86</t>
  </si>
  <si>
    <t>AM87</t>
  </si>
  <si>
    <t>AM88</t>
  </si>
  <si>
    <t>AM89</t>
  </si>
  <si>
    <t>AM90</t>
  </si>
  <si>
    <t>AM91</t>
  </si>
  <si>
    <t>AM92</t>
  </si>
  <si>
    <t>AM93</t>
  </si>
  <si>
    <t>AM94</t>
  </si>
  <si>
    <t>AM95</t>
  </si>
  <si>
    <t>AM96</t>
  </si>
  <si>
    <t>AM97</t>
  </si>
  <si>
    <t>AM98</t>
  </si>
  <si>
    <t>AM99</t>
  </si>
  <si>
    <t>AN00</t>
  </si>
  <si>
    <t>AN01</t>
  </si>
  <si>
    <t>AN02</t>
  </si>
  <si>
    <t>AN03</t>
  </si>
  <si>
    <t>AN04</t>
  </si>
  <si>
    <t>AN05</t>
  </si>
  <si>
    <t>AN06</t>
  </si>
  <si>
    <t>AN07</t>
  </si>
  <si>
    <t>AN08</t>
  </si>
  <si>
    <t>AN09</t>
  </si>
  <si>
    <t>AN10</t>
  </si>
  <si>
    <t>AN11</t>
  </si>
  <si>
    <t>AN12</t>
  </si>
  <si>
    <t>AN13</t>
  </si>
  <si>
    <t>AN14</t>
  </si>
  <si>
    <t>AN15</t>
  </si>
  <si>
    <t>AN16</t>
  </si>
  <si>
    <t>AN17</t>
  </si>
  <si>
    <t>AN18</t>
  </si>
  <si>
    <t>AN19</t>
  </si>
  <si>
    <t>AN20</t>
  </si>
  <si>
    <t>AN21</t>
  </si>
  <si>
    <t>AN22</t>
  </si>
  <si>
    <t>AN23</t>
  </si>
  <si>
    <t>AN24</t>
  </si>
  <si>
    <t>AN25</t>
  </si>
  <si>
    <t>AN26</t>
  </si>
  <si>
    <t>AN27</t>
  </si>
  <si>
    <t>AN28</t>
  </si>
  <si>
    <t>AN29</t>
  </si>
  <si>
    <t>AN30</t>
  </si>
  <si>
    <t>AN31</t>
  </si>
  <si>
    <t>AN32</t>
  </si>
  <si>
    <t>AN33</t>
  </si>
  <si>
    <t>AN34</t>
  </si>
  <si>
    <t>AN35</t>
  </si>
  <si>
    <t>AN36</t>
  </si>
  <si>
    <t>AN37</t>
  </si>
  <si>
    <t>AN38</t>
  </si>
  <si>
    <t>AN39</t>
  </si>
  <si>
    <t>AN40</t>
  </si>
  <si>
    <t>AN41</t>
  </si>
  <si>
    <t>AN42</t>
  </si>
  <si>
    <t>AN43</t>
  </si>
  <si>
    <t>AN44</t>
  </si>
  <si>
    <t>AN45</t>
  </si>
  <si>
    <t>AN46</t>
  </si>
  <si>
    <t>AN47</t>
  </si>
  <si>
    <t>AN48</t>
  </si>
  <si>
    <t>AN49</t>
  </si>
  <si>
    <t>AN50</t>
  </si>
  <si>
    <t>AN51</t>
  </si>
  <si>
    <t>AN52</t>
  </si>
  <si>
    <t>AN53</t>
  </si>
  <si>
    <t>AN54</t>
  </si>
  <si>
    <t>AN55</t>
  </si>
  <si>
    <t>AN56</t>
  </si>
  <si>
    <t>AN57</t>
  </si>
  <si>
    <t>AN58</t>
  </si>
  <si>
    <t>AN59</t>
  </si>
  <si>
    <t>AN60</t>
  </si>
  <si>
    <t>AN61</t>
  </si>
  <si>
    <t>AN62</t>
  </si>
  <si>
    <t>AN63</t>
  </si>
  <si>
    <t>AN64</t>
  </si>
  <si>
    <t>AN65</t>
  </si>
  <si>
    <t>AN66</t>
  </si>
  <si>
    <t>AN67</t>
  </si>
  <si>
    <t>AN68</t>
  </si>
  <si>
    <t>AN69</t>
  </si>
  <si>
    <t>AN70</t>
  </si>
  <si>
    <t>AN71</t>
  </si>
  <si>
    <t>AN72</t>
  </si>
  <si>
    <t>AN73</t>
  </si>
  <si>
    <t>AN74</t>
  </si>
  <si>
    <t>AN75</t>
  </si>
  <si>
    <t>AN76</t>
  </si>
  <si>
    <t>AN77</t>
  </si>
  <si>
    <t>AN78</t>
  </si>
  <si>
    <t>AN79</t>
  </si>
  <si>
    <t>AN80</t>
  </si>
  <si>
    <t>AN81</t>
  </si>
  <si>
    <t>AN82</t>
  </si>
  <si>
    <t>AN83</t>
  </si>
  <si>
    <t>AN84</t>
  </si>
  <si>
    <t>AN85</t>
  </si>
  <si>
    <t>AN86</t>
  </si>
  <si>
    <t>AN87</t>
  </si>
  <si>
    <t>AN88</t>
  </si>
  <si>
    <t>AN89</t>
  </si>
  <si>
    <t>AN90</t>
  </si>
  <si>
    <t>AN91</t>
  </si>
  <si>
    <t>AN92</t>
  </si>
  <si>
    <t>AN93</t>
  </si>
  <si>
    <t>AN94</t>
  </si>
  <si>
    <t>AN95</t>
  </si>
  <si>
    <t>AN96</t>
  </si>
  <si>
    <t>AN97</t>
  </si>
  <si>
    <t>AN98</t>
  </si>
  <si>
    <t>AN99</t>
  </si>
  <si>
    <t>AP00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</si>
  <si>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</si>
  <si>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</si>
  <si>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</si>
  <si>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</si>
  <si>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</si>
  <si>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</si>
  <si>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</si>
  <si>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</si>
  <si>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</si>
  <si>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</si>
  <si>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</si>
  <si>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</si>
  <si>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</si>
  <si>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</si>
  <si>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</si>
  <si>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AP16</t>
  </si>
  <si>
    <t>AP17</t>
  </si>
  <si>
    <t>AP18</t>
  </si>
  <si>
    <t>AP19</t>
  </si>
  <si>
    <t>AP20</t>
  </si>
  <si>
    <t>AP21</t>
  </si>
  <si>
    <t>AP22</t>
  </si>
  <si>
    <t>AP23</t>
  </si>
  <si>
    <t>AP24</t>
  </si>
  <si>
    <t>AP25</t>
  </si>
  <si>
    <t>AP26</t>
  </si>
  <si>
    <t>AP27</t>
  </si>
  <si>
    <t>AP28</t>
  </si>
  <si>
    <t>AP29</t>
  </si>
  <si>
    <t>AP30</t>
  </si>
  <si>
    <t>AP31</t>
  </si>
  <si>
    <t>AP32</t>
  </si>
  <si>
    <t>AP33</t>
  </si>
  <si>
    <t>AP34</t>
  </si>
  <si>
    <t>AP35</t>
  </si>
  <si>
    <t>AP36</t>
  </si>
  <si>
    <t>AP37</t>
  </si>
  <si>
    <t>AP38</t>
  </si>
  <si>
    <t>AP39</t>
  </si>
  <si>
    <t>AP40</t>
  </si>
  <si>
    <t>AP41</t>
  </si>
  <si>
    <t>AP42</t>
  </si>
  <si>
    <t>AP43</t>
  </si>
  <si>
    <t>AP44</t>
  </si>
  <si>
    <t>AP45</t>
  </si>
  <si>
    <t>AP46</t>
  </si>
  <si>
    <t>AP47</t>
  </si>
  <si>
    <t>AP48</t>
  </si>
  <si>
    <t>AP49</t>
  </si>
  <si>
    <t>AP50</t>
  </si>
  <si>
    <t>AP51</t>
  </si>
  <si>
    <t>AP52</t>
  </si>
  <si>
    <t>AP53</t>
  </si>
  <si>
    <t>AP54</t>
  </si>
  <si>
    <t>AP55</t>
  </si>
  <si>
    <t>AP56</t>
  </si>
  <si>
    <t>AP57</t>
  </si>
  <si>
    <t>AP58</t>
  </si>
  <si>
    <t>AP59</t>
  </si>
  <si>
    <t>AP60</t>
  </si>
  <si>
    <t>AP61</t>
  </si>
  <si>
    <t>AP62</t>
  </si>
  <si>
    <t>AP63</t>
  </si>
  <si>
    <t>AP64</t>
  </si>
  <si>
    <t>AP65</t>
  </si>
  <si>
    <t>AP66</t>
  </si>
  <si>
    <t>AP67</t>
  </si>
  <si>
    <t>AP68</t>
  </si>
  <si>
    <t>AP69</t>
  </si>
  <si>
    <t>AP70</t>
  </si>
  <si>
    <t>AP71</t>
  </si>
  <si>
    <t>AP72</t>
  </si>
  <si>
    <t>AP73</t>
  </si>
  <si>
    <t>AP74</t>
  </si>
  <si>
    <t>AP75</t>
  </si>
  <si>
    <t>AP76</t>
  </si>
  <si>
    <t>AP77</t>
  </si>
  <si>
    <t>AP78</t>
  </si>
  <si>
    <t>AP79</t>
  </si>
  <si>
    <t>AP80</t>
  </si>
  <si>
    <t>AP81</t>
  </si>
  <si>
    <t>AP82</t>
  </si>
  <si>
    <t>AP83</t>
  </si>
  <si>
    <t>AP84</t>
  </si>
  <si>
    <t>AP85</t>
  </si>
  <si>
    <t>AP86</t>
  </si>
  <si>
    <t>AP87</t>
  </si>
  <si>
    <t>AP88</t>
  </si>
  <si>
    <t>AP89</t>
  </si>
  <si>
    <t>AP90</t>
  </si>
  <si>
    <t>AP91</t>
  </si>
  <si>
    <t>AP92</t>
  </si>
  <si>
    <t>AP93</t>
  </si>
  <si>
    <t>AP94</t>
  </si>
  <si>
    <t>AP95</t>
  </si>
  <si>
    <t>AP96</t>
  </si>
  <si>
    <t>AP97</t>
  </si>
  <si>
    <t>AP98</t>
  </si>
  <si>
    <t>AP99</t>
  </si>
  <si>
    <t>AR00</t>
  </si>
  <si>
    <t>AR01</t>
  </si>
  <si>
    <t>AR02</t>
  </si>
  <si>
    <t>AR03</t>
  </si>
  <si>
    <t>AR04</t>
  </si>
  <si>
    <t>AR05</t>
  </si>
  <si>
    <t>AR06</t>
  </si>
  <si>
    <t>AR07</t>
  </si>
  <si>
    <t>AR08</t>
  </si>
  <si>
    <t>AR09</t>
  </si>
  <si>
    <t>AR10</t>
  </si>
  <si>
    <t>AR11</t>
  </si>
  <si>
    <t>AR12</t>
  </si>
  <si>
    <t>AR13</t>
  </si>
  <si>
    <t>AR14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</si>
  <si>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</si>
  <si>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</si>
  <si>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</si>
  <si>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</si>
  <si>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</si>
  <si>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</si>
  <si>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</si>
  <si>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</si>
  <si>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</si>
  <si>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</si>
  <si>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</si>
  <si>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</si>
  <si>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</si>
  <si>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</si>
  <si>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</si>
  <si>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</si>
  <si>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</si>
  <si>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</si>
  <si>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</si>
  <si>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</si>
  <si>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</si>
  <si>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</si>
  <si>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</si>
  <si>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</si>
  <si>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</si>
  <si>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</si>
  <si>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</si>
  <si>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</si>
  <si>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</si>
  <si>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</si>
  <si>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</si>
  <si>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</si>
  <si>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</si>
  <si>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</si>
  <si>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</si>
  <si>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AR50</t>
  </si>
  <si>
    <t>AR51</t>
  </si>
  <si>
    <t>AR52</t>
  </si>
  <si>
    <t>AR53</t>
  </si>
  <si>
    <t>AR54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</si>
  <si>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</si>
  <si>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</si>
  <si>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</si>
  <si>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</si>
  <si>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</si>
  <si>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</si>
  <si>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</si>
  <si>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</si>
  <si>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</si>
  <si>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</si>
  <si>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</si>
  <si>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</si>
  <si>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</si>
  <si>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</si>
  <si>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</si>
  <si>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</si>
  <si>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</si>
  <si>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</si>
  <si>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</si>
  <si>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</si>
  <si>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</si>
  <si>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</si>
  <si>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</si>
  <si>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</si>
  <si>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</si>
  <si>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</si>
  <si>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</si>
  <si>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</si>
  <si>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</si>
  <si>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</si>
  <si>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</si>
  <si>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</si>
  <si>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</si>
  <si>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</si>
  <si>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</si>
  <si>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</si>
  <si>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</si>
  <si>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</si>
  <si>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</si>
  <si>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</si>
  <si>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</si>
  <si>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</si>
  <si>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</si>
  <si>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</si>
  <si>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</si>
  <si>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AS00</t>
  </si>
  <si>
    <t>AS01</t>
  </si>
  <si>
    <t>AS02</t>
  </si>
  <si>
    <t>AS03</t>
  </si>
  <si>
    <t>AS04</t>
  </si>
  <si>
    <t>AS05</t>
  </si>
  <si>
    <t>AS06</t>
  </si>
  <si>
    <t>AS07</t>
  </si>
  <si>
    <t>AS08</t>
  </si>
  <si>
    <t>AS09</t>
  </si>
  <si>
    <t>AS10</t>
  </si>
  <si>
    <t>AS11</t>
  </si>
  <si>
    <t>AS12</t>
  </si>
  <si>
    <t>AS13</t>
  </si>
  <si>
    <t>AS14</t>
  </si>
  <si>
    <t>AS15</t>
  </si>
  <si>
    <t>AS16</t>
  </si>
  <si>
    <t>AS17</t>
  </si>
  <si>
    <t>AS18</t>
  </si>
  <si>
    <t>AS19</t>
  </si>
  <si>
    <t>AS20</t>
  </si>
  <si>
    <t>AS21</t>
  </si>
  <si>
    <t>AS22</t>
  </si>
  <si>
    <t>AS23</t>
  </si>
  <si>
    <t>AS24</t>
  </si>
  <si>
    <t>AS25</t>
  </si>
  <si>
    <t>AS26</t>
  </si>
  <si>
    <t>AS27</t>
  </si>
  <si>
    <t>AS28</t>
  </si>
  <si>
    <t>AS29</t>
  </si>
  <si>
    <t>AS30</t>
  </si>
  <si>
    <t>AS31</t>
  </si>
  <si>
    <t>AS32</t>
  </si>
  <si>
    <t>AS33</t>
  </si>
  <si>
    <t>AS34</t>
  </si>
  <si>
    <t>AS35</t>
  </si>
  <si>
    <t>AS36</t>
  </si>
  <si>
    <t>AS37</t>
  </si>
  <si>
    <t>AS38</t>
  </si>
  <si>
    <t>AS39</t>
  </si>
  <si>
    <t>AS40</t>
  </si>
  <si>
    <t>AS41</t>
  </si>
  <si>
    <t>AS42</t>
  </si>
  <si>
    <t>AS43</t>
  </si>
  <si>
    <t>AS44</t>
  </si>
  <si>
    <t>AS45</t>
  </si>
  <si>
    <t>AS46</t>
  </si>
  <si>
    <t>AS47</t>
  </si>
  <si>
    <t>AS48</t>
  </si>
  <si>
    <t>AS49</t>
  </si>
  <si>
    <t>AS50</t>
  </si>
  <si>
    <t>AS51</t>
  </si>
  <si>
    <t>AS52</t>
  </si>
  <si>
    <t>AS53</t>
  </si>
  <si>
    <t>AS54</t>
  </si>
  <si>
    <t>AS55</t>
  </si>
  <si>
    <t>AS56</t>
  </si>
  <si>
    <t>AS57</t>
  </si>
  <si>
    <t>AS58</t>
  </si>
  <si>
    <t>AS59</t>
  </si>
  <si>
    <t>AS60</t>
  </si>
  <si>
    <t>AS61</t>
  </si>
  <si>
    <t>AS62</t>
  </si>
  <si>
    <t>AS63</t>
  </si>
  <si>
    <t>AS64</t>
  </si>
  <si>
    <t>AS65</t>
  </si>
  <si>
    <t>AS66</t>
  </si>
  <si>
    <t>AS67</t>
  </si>
  <si>
    <t>AS68</t>
  </si>
  <si>
    <t>AS69</t>
  </si>
  <si>
    <t>AS70</t>
  </si>
  <si>
    <t>AS71</t>
  </si>
  <si>
    <t>AS72</t>
  </si>
  <si>
    <t>AS73</t>
  </si>
  <si>
    <t>AS74</t>
  </si>
  <si>
    <t>AS75</t>
  </si>
  <si>
    <t>AS76</t>
  </si>
  <si>
    <t>AS77</t>
  </si>
  <si>
    <t>AS78</t>
  </si>
  <si>
    <t>AS79</t>
  </si>
  <si>
    <t>AS80</t>
  </si>
  <si>
    <t>AS81</t>
  </si>
  <si>
    <t>AS82</t>
  </si>
  <si>
    <t>AS83</t>
  </si>
  <si>
    <t>AS84</t>
  </si>
  <si>
    <t>AS85</t>
  </si>
  <si>
    <t>AS86</t>
  </si>
  <si>
    <t>AS87</t>
  </si>
  <si>
    <t>AS88</t>
  </si>
  <si>
    <t>AS89</t>
  </si>
  <si>
    <t>AS90</t>
  </si>
  <si>
    <t>AS91</t>
  </si>
  <si>
    <t>AS92</t>
  </si>
  <si>
    <t>AS93</t>
  </si>
  <si>
    <t>AS94</t>
  </si>
  <si>
    <t>AS95</t>
  </si>
  <si>
    <t>AS96</t>
  </si>
  <si>
    <t>AS97</t>
  </si>
  <si>
    <t>AS98</t>
  </si>
  <si>
    <t>AS99</t>
  </si>
  <si>
    <t>AT00</t>
  </si>
  <si>
    <t>AT01</t>
  </si>
  <si>
    <t>AT02</t>
  </si>
  <si>
    <t>AT03</t>
  </si>
  <si>
    <t>AT04</t>
  </si>
  <si>
    <t>AT05</t>
  </si>
  <si>
    <t>AT06</t>
  </si>
  <si>
    <t>AT07</t>
  </si>
  <si>
    <t>AT08</t>
  </si>
  <si>
    <t>AT09</t>
  </si>
  <si>
    <t>AT10</t>
  </si>
  <si>
    <t>AT11</t>
  </si>
  <si>
    <t>AT12</t>
  </si>
  <si>
    <t>AT13</t>
  </si>
  <si>
    <t>AT14</t>
  </si>
  <si>
    <t>AT15</t>
  </si>
  <si>
    <t>AT16</t>
  </si>
  <si>
    <t>AT17</t>
  </si>
  <si>
    <t>AT18</t>
  </si>
  <si>
    <t>AT19</t>
  </si>
  <si>
    <t>AT20</t>
  </si>
  <si>
    <t>AT21</t>
  </si>
  <si>
    <t>AT22</t>
  </si>
  <si>
    <t>AT23</t>
  </si>
  <si>
    <t>AT24</t>
  </si>
  <si>
    <t>AT25</t>
  </si>
  <si>
    <t>AT26</t>
  </si>
  <si>
    <t>AT27</t>
  </si>
  <si>
    <t>AT28</t>
  </si>
  <si>
    <t>AT29</t>
  </si>
  <si>
    <t>AT30</t>
  </si>
  <si>
    <t>AT31</t>
  </si>
  <si>
    <t>AT32</t>
  </si>
  <si>
    <t>AT33</t>
  </si>
  <si>
    <t>AT34</t>
  </si>
  <si>
    <t>AT35</t>
  </si>
  <si>
    <t>AT36</t>
  </si>
  <si>
    <t>AT37</t>
  </si>
  <si>
    <t>AT38</t>
  </si>
  <si>
    <t>AT39</t>
  </si>
  <si>
    <t>AT40</t>
  </si>
  <si>
    <t>AT41</t>
  </si>
  <si>
    <t>AT42</t>
  </si>
  <si>
    <t>AT43</t>
  </si>
  <si>
    <t>AT44</t>
  </si>
  <si>
    <t>AT45</t>
  </si>
  <si>
    <t>AT46</t>
  </si>
  <si>
    <t>AT47</t>
  </si>
  <si>
    <t>AT48</t>
  </si>
  <si>
    <t>AT49</t>
  </si>
  <si>
    <t>AT50</t>
  </si>
  <si>
    <t>AT51</t>
  </si>
  <si>
    <t>AT52</t>
  </si>
  <si>
    <t>AT53</t>
  </si>
  <si>
    <t>AT54</t>
  </si>
  <si>
    <t>AT55</t>
  </si>
  <si>
    <t>AT56</t>
  </si>
  <si>
    <t>AT57</t>
  </si>
  <si>
    <t>AT58</t>
  </si>
  <si>
    <t>AT59</t>
  </si>
  <si>
    <t>AT60</t>
  </si>
  <si>
    <t>AT61</t>
  </si>
  <si>
    <t>AT62</t>
  </si>
  <si>
    <t>AT63</t>
  </si>
  <si>
    <t>AT64</t>
  </si>
  <si>
    <t>AT65</t>
  </si>
  <si>
    <t>AT66</t>
  </si>
  <si>
    <t>AT67</t>
  </si>
  <si>
    <t>AT68</t>
  </si>
  <si>
    <t>AT69</t>
  </si>
  <si>
    <t>AT70</t>
  </si>
  <si>
    <t>AT71</t>
  </si>
  <si>
    <t>AT72</t>
  </si>
  <si>
    <t>AT73</t>
  </si>
  <si>
    <t>AT74</t>
  </si>
  <si>
    <t>AT75</t>
  </si>
  <si>
    <t>AT76</t>
  </si>
  <si>
    <t>AT77</t>
  </si>
  <si>
    <t>AT78</t>
  </si>
  <si>
    <t>AT79</t>
  </si>
  <si>
    <t>AT80</t>
  </si>
  <si>
    <t>AT81</t>
  </si>
  <si>
    <t>AT82</t>
  </si>
  <si>
    <t>AT83</t>
  </si>
  <si>
    <t>AT84</t>
  </si>
  <si>
    <t>AT85</t>
  </si>
  <si>
    <t>AT86</t>
  </si>
  <si>
    <t>AT87</t>
  </si>
  <si>
    <t>AT88</t>
  </si>
  <si>
    <t>AT89</t>
  </si>
  <si>
    <t>AT90</t>
  </si>
  <si>
    <t>AT91</t>
  </si>
  <si>
    <t>AT92</t>
  </si>
  <si>
    <t>AT93</t>
  </si>
  <si>
    <t>AT94</t>
  </si>
  <si>
    <t>AT95</t>
  </si>
  <si>
    <t>AT96</t>
  </si>
  <si>
    <t>AT97</t>
  </si>
  <si>
    <t>AT98</t>
  </si>
  <si>
    <t>AT99</t>
  </si>
  <si>
    <t>AU00</t>
  </si>
  <si>
    <t>AU01</t>
  </si>
  <si>
    <t>AU02</t>
  </si>
  <si>
    <t>AU03</t>
  </si>
  <si>
    <t>AU04</t>
  </si>
  <si>
    <t>AU05</t>
  </si>
  <si>
    <t>AU06</t>
  </si>
  <si>
    <t>AU07</t>
  </si>
  <si>
    <t>AU08</t>
  </si>
  <si>
    <t>AU09</t>
  </si>
  <si>
    <t>AU10</t>
  </si>
  <si>
    <t>AU11</t>
  </si>
  <si>
    <t>AU12</t>
  </si>
  <si>
    <t>AU13</t>
  </si>
  <si>
    <t>AU14</t>
  </si>
  <si>
    <t>AU15</t>
  </si>
  <si>
    <t>AU16</t>
  </si>
  <si>
    <t>AU17</t>
  </si>
  <si>
    <t>AU18</t>
  </si>
  <si>
    <t>AU19</t>
  </si>
  <si>
    <t>AU20</t>
  </si>
  <si>
    <t>AU21</t>
  </si>
  <si>
    <t>AU22</t>
  </si>
  <si>
    <t>AU23</t>
  </si>
  <si>
    <t>AU24</t>
  </si>
  <si>
    <t>AU25</t>
  </si>
  <si>
    <t>AU26</t>
  </si>
  <si>
    <t>AU27</t>
  </si>
  <si>
    <t>AU28</t>
  </si>
  <si>
    <t>AU29</t>
  </si>
  <si>
    <t>AU30</t>
  </si>
  <si>
    <t>AU31</t>
  </si>
  <si>
    <t>AU32</t>
  </si>
  <si>
    <t>AU33</t>
  </si>
  <si>
    <t>AU34</t>
  </si>
  <si>
    <t>AU35</t>
  </si>
  <si>
    <t>AU36</t>
  </si>
  <si>
    <t>AU37</t>
  </si>
  <si>
    <t>AU38</t>
  </si>
  <si>
    <t>AU39</t>
  </si>
  <si>
    <t>AU40</t>
  </si>
  <si>
    <t>AU41</t>
  </si>
  <si>
    <t>AU42</t>
  </si>
  <si>
    <t>AU43</t>
  </si>
  <si>
    <t>AU44</t>
  </si>
  <si>
    <t>AU45</t>
  </si>
  <si>
    <t>AU46</t>
  </si>
  <si>
    <t>AU47</t>
  </si>
  <si>
    <t>AU48</t>
  </si>
  <si>
    <t>AU49</t>
  </si>
  <si>
    <t>AU50</t>
  </si>
  <si>
    <t>AU51</t>
  </si>
  <si>
    <t>AU52</t>
  </si>
  <si>
    <t>AU53</t>
  </si>
  <si>
    <t>AU54</t>
  </si>
  <si>
    <t>AU55</t>
  </si>
  <si>
    <t>AU56</t>
  </si>
  <si>
    <t>AU57</t>
  </si>
  <si>
    <t>AU58</t>
  </si>
  <si>
    <t>AU59</t>
  </si>
  <si>
    <t>AU60</t>
  </si>
  <si>
    <t>AU61</t>
  </si>
  <si>
    <t>AU62</t>
  </si>
  <si>
    <t>AU63</t>
  </si>
  <si>
    <t>AU64</t>
  </si>
  <si>
    <t>AU65</t>
  </si>
  <si>
    <t>AU66</t>
  </si>
  <si>
    <t>AU67</t>
  </si>
  <si>
    <t>AU68</t>
  </si>
  <si>
    <t>AU69</t>
  </si>
  <si>
    <t>AU70</t>
  </si>
  <si>
    <t>AU71</t>
  </si>
  <si>
    <t>AU72</t>
  </si>
  <si>
    <t>AU73</t>
  </si>
  <si>
    <t>AU74</t>
  </si>
  <si>
    <t>AU75</t>
  </si>
  <si>
    <t>AU76</t>
  </si>
  <si>
    <t>AU77</t>
  </si>
  <si>
    <t>AU78</t>
  </si>
  <si>
    <t>AU79</t>
  </si>
  <si>
    <t>AU80</t>
  </si>
  <si>
    <t>AU81</t>
  </si>
  <si>
    <t>AU82</t>
  </si>
  <si>
    <t>AU83</t>
  </si>
  <si>
    <t>AU84</t>
  </si>
  <si>
    <t>AU85</t>
  </si>
  <si>
    <t>AU86</t>
  </si>
  <si>
    <t>AU87</t>
  </si>
  <si>
    <t>AU88</t>
  </si>
  <si>
    <t>AU89</t>
  </si>
  <si>
    <t>AU90</t>
  </si>
  <si>
    <t>AU91</t>
  </si>
  <si>
    <t>AU92</t>
  </si>
  <si>
    <t>AU93</t>
  </si>
  <si>
    <t>AU94</t>
  </si>
  <si>
    <t>AU95</t>
  </si>
  <si>
    <t>AU96</t>
  </si>
  <si>
    <t>AU97</t>
  </si>
  <si>
    <t>AU98</t>
  </si>
  <si>
    <t>AU99</t>
  </si>
  <si>
    <t>AV00</t>
  </si>
  <si>
    <t>AV01</t>
  </si>
  <si>
    <t>AV02</t>
  </si>
  <si>
    <t>AV03</t>
  </si>
  <si>
    <t>AV04</t>
  </si>
  <si>
    <t>AV05</t>
  </si>
  <si>
    <t>AV06</t>
  </si>
  <si>
    <t>AV07</t>
  </si>
  <si>
    <t>AV08</t>
  </si>
  <si>
    <t>AV09</t>
  </si>
  <si>
    <t>AV10</t>
  </si>
  <si>
    <t>AV11</t>
  </si>
  <si>
    <t>AV12</t>
  </si>
  <si>
    <t>AV13</t>
  </si>
  <si>
    <t>AV14</t>
  </si>
  <si>
    <t>AV15</t>
  </si>
  <si>
    <t>AV16</t>
  </si>
  <si>
    <t>AV17</t>
  </si>
  <si>
    <t>AV18</t>
  </si>
  <si>
    <t>AV19</t>
  </si>
  <si>
    <t>AV20</t>
  </si>
  <si>
    <t>AV21</t>
  </si>
  <si>
    <t>AV22</t>
  </si>
  <si>
    <t>AV23</t>
  </si>
  <si>
    <t>AV24</t>
  </si>
  <si>
    <t>AV25</t>
  </si>
  <si>
    <t>AV26</t>
  </si>
  <si>
    <t>AV27</t>
  </si>
  <si>
    <t>AV28</t>
  </si>
  <si>
    <t>AV29</t>
  </si>
  <si>
    <t>AV30</t>
  </si>
  <si>
    <t>AV31</t>
  </si>
  <si>
    <t>AV32</t>
  </si>
  <si>
    <t>AV33</t>
  </si>
  <si>
    <t>AV34</t>
  </si>
  <si>
    <t>AV35</t>
  </si>
  <si>
    <t>AV36</t>
  </si>
  <si>
    <t>AV37</t>
  </si>
  <si>
    <t>AV38</t>
  </si>
  <si>
    <t>AV39</t>
  </si>
  <si>
    <t>AV40</t>
  </si>
  <si>
    <t>AV41</t>
  </si>
  <si>
    <t>AV42</t>
  </si>
  <si>
    <t>AV43</t>
  </si>
  <si>
    <t>AV44</t>
  </si>
  <si>
    <t>AV45</t>
  </si>
  <si>
    <t>AV46</t>
  </si>
  <si>
    <t>AV47</t>
  </si>
  <si>
    <t>AV48</t>
  </si>
  <si>
    <t>AV49</t>
  </si>
  <si>
    <t>AV50</t>
  </si>
  <si>
    <t>AV51</t>
  </si>
  <si>
    <t>AV52</t>
  </si>
  <si>
    <t>AV53</t>
  </si>
  <si>
    <t>AV54</t>
  </si>
  <si>
    <t>AV55</t>
  </si>
  <si>
    <t>AV56</t>
  </si>
  <si>
    <t>AV57</t>
  </si>
  <si>
    <t>AV58</t>
  </si>
  <si>
    <t>AV59</t>
  </si>
  <si>
    <t>AV60</t>
  </si>
  <si>
    <t>AV61</t>
  </si>
  <si>
    <t>AV62</t>
  </si>
  <si>
    <t>AV63</t>
  </si>
  <si>
    <t>AV64</t>
  </si>
  <si>
    <t>AV65</t>
  </si>
  <si>
    <t>AV66</t>
  </si>
  <si>
    <t>AV67</t>
  </si>
  <si>
    <t>AV68</t>
  </si>
  <si>
    <t>AV69</t>
  </si>
  <si>
    <t>AV70</t>
  </si>
  <si>
    <t>AV71</t>
  </si>
  <si>
    <t>AV72</t>
  </si>
  <si>
    <t>AV73</t>
  </si>
  <si>
    <t>AV74</t>
  </si>
  <si>
    <t>AV75</t>
  </si>
  <si>
    <t>AV76</t>
  </si>
  <si>
    <t>AV77</t>
  </si>
  <si>
    <t>AV78</t>
  </si>
  <si>
    <t>AV79</t>
  </si>
  <si>
    <t>AV80</t>
  </si>
  <si>
    <t>AV81</t>
  </si>
  <si>
    <t>AV82</t>
  </si>
  <si>
    <t>AV83</t>
  </si>
  <si>
    <t>AV84</t>
  </si>
  <si>
    <t>AV85</t>
  </si>
  <si>
    <t>AV86</t>
  </si>
  <si>
    <t>AV87</t>
  </si>
  <si>
    <t>AV88</t>
  </si>
  <si>
    <t>AV89</t>
  </si>
  <si>
    <t>AV90</t>
  </si>
  <si>
    <t>AV91</t>
  </si>
  <si>
    <t>AV92</t>
  </si>
  <si>
    <t>AV93</t>
  </si>
  <si>
    <t>AV94</t>
  </si>
  <si>
    <t>AV95</t>
  </si>
  <si>
    <t>AV96</t>
  </si>
  <si>
    <t>AV97</t>
  </si>
  <si>
    <t>AV98</t>
  </si>
  <si>
    <t>AV99</t>
  </si>
  <si>
    <t>AW00</t>
  </si>
  <si>
    <t>AW01</t>
  </si>
  <si>
    <t>AW02</t>
  </si>
  <si>
    <t>AW03</t>
  </si>
  <si>
    <t>AW04</t>
  </si>
  <si>
    <t>AW05</t>
  </si>
  <si>
    <t>AW06</t>
  </si>
  <si>
    <t>AW07</t>
  </si>
  <si>
    <t>AW08</t>
  </si>
  <si>
    <t>AW09</t>
  </si>
  <si>
    <t>AW10</t>
  </si>
  <si>
    <t>AW11</t>
  </si>
  <si>
    <t>AW12</t>
  </si>
  <si>
    <t>AW13</t>
  </si>
  <si>
    <t>AW14</t>
  </si>
  <si>
    <t>AW15</t>
  </si>
  <si>
    <t>AW16</t>
  </si>
  <si>
    <t>AW17</t>
  </si>
  <si>
    <t>AW18</t>
  </si>
  <si>
    <t>AW19</t>
  </si>
  <si>
    <t>AW20</t>
  </si>
  <si>
    <t>AW21</t>
  </si>
  <si>
    <t>AW22</t>
  </si>
  <si>
    <t>AW23</t>
  </si>
  <si>
    <t>AW24</t>
  </si>
  <si>
    <t>AW25</t>
  </si>
  <si>
    <t>AW26</t>
  </si>
  <si>
    <t>AW27</t>
  </si>
  <si>
    <t>AW28</t>
  </si>
  <si>
    <t>AW29</t>
  </si>
  <si>
    <t>AW30</t>
  </si>
  <si>
    <t>AW31</t>
  </si>
  <si>
    <t>AW32</t>
  </si>
  <si>
    <t>AW33</t>
  </si>
  <si>
    <t>AW34</t>
  </si>
  <si>
    <t>AW35</t>
  </si>
  <si>
    <t>AW36</t>
  </si>
  <si>
    <t>AW37</t>
  </si>
  <si>
    <t>AW38</t>
  </si>
  <si>
    <t>AW39</t>
  </si>
  <si>
    <t>AW40</t>
  </si>
  <si>
    <t>AW41</t>
  </si>
  <si>
    <t>AW42</t>
  </si>
  <si>
    <t>AW43</t>
  </si>
  <si>
    <t>AW44</t>
  </si>
  <si>
    <t>AW45</t>
  </si>
  <si>
    <t>AW46</t>
  </si>
  <si>
    <t>AW47</t>
  </si>
  <si>
    <t>AW48</t>
  </si>
  <si>
    <t>AW49</t>
  </si>
  <si>
    <t>AW50</t>
  </si>
  <si>
    <t>AW51</t>
  </si>
  <si>
    <t>AW52</t>
  </si>
  <si>
    <t>AW53</t>
  </si>
  <si>
    <t>AW54</t>
  </si>
  <si>
    <t>AW55</t>
  </si>
  <si>
    <t>AW56</t>
  </si>
  <si>
    <t>AW57</t>
  </si>
  <si>
    <t>AW58</t>
  </si>
  <si>
    <t>AW59</t>
  </si>
  <si>
    <t>AW60</t>
  </si>
  <si>
    <t>AW61</t>
  </si>
  <si>
    <t>AW62</t>
  </si>
  <si>
    <t>AW63</t>
  </si>
  <si>
    <t>AW64</t>
  </si>
  <si>
    <t>AW65</t>
  </si>
  <si>
    <t>AW66</t>
  </si>
  <si>
    <t>AW67</t>
  </si>
  <si>
    <t>AW68</t>
  </si>
  <si>
    <t>AW69</t>
  </si>
  <si>
    <t>AW70</t>
  </si>
  <si>
    <t>AW71</t>
  </si>
  <si>
    <t>AW72</t>
  </si>
  <si>
    <t>AW73</t>
  </si>
  <si>
    <t>AW74</t>
  </si>
  <si>
    <t>AW75</t>
  </si>
  <si>
    <t>AW76</t>
  </si>
  <si>
    <t>AW77</t>
  </si>
  <si>
    <t>AW78</t>
  </si>
  <si>
    <t>AW79</t>
  </si>
  <si>
    <t>AW80</t>
  </si>
  <si>
    <t>AW81</t>
  </si>
  <si>
    <t>AW82</t>
  </si>
  <si>
    <t>AW83</t>
  </si>
  <si>
    <t>AW84</t>
  </si>
  <si>
    <t>AW85</t>
  </si>
  <si>
    <t>AW86</t>
  </si>
  <si>
    <t>AW87</t>
  </si>
  <si>
    <t>AW88</t>
  </si>
  <si>
    <t>AW89</t>
  </si>
  <si>
    <t>AW90</t>
  </si>
  <si>
    <t>AW91</t>
  </si>
  <si>
    <t>AW92</t>
  </si>
  <si>
    <t>AW93</t>
  </si>
  <si>
    <t>AW94</t>
  </si>
  <si>
    <t>AW95</t>
  </si>
  <si>
    <t>AW96</t>
  </si>
  <si>
    <t>AW97</t>
  </si>
  <si>
    <t>AW98</t>
  </si>
  <si>
    <t>AW99</t>
  </si>
  <si>
    <t>AX00</t>
  </si>
  <si>
    <t>AX01</t>
  </si>
  <si>
    <t>AX02</t>
  </si>
  <si>
    <t>AX03</t>
  </si>
  <si>
    <t>AX04</t>
  </si>
  <si>
    <t>AX05</t>
  </si>
  <si>
    <t>AX06</t>
  </si>
  <si>
    <t>AX07</t>
  </si>
  <si>
    <t>AX08</t>
  </si>
  <si>
    <t>AX09</t>
  </si>
  <si>
    <t>AX10</t>
  </si>
  <si>
    <t>AX11</t>
  </si>
  <si>
    <t>AX12</t>
  </si>
  <si>
    <t>AX13</t>
  </si>
  <si>
    <t>AX14</t>
  </si>
  <si>
    <t>AX15</t>
  </si>
  <si>
    <t>AX16</t>
  </si>
  <si>
    <t>AX17</t>
  </si>
  <si>
    <t>AX18</t>
  </si>
  <si>
    <t>AX19</t>
  </si>
  <si>
    <t>AX20</t>
  </si>
  <si>
    <t>AX21</t>
  </si>
  <si>
    <t>AX22</t>
  </si>
  <si>
    <t>AX23</t>
  </si>
  <si>
    <t>AX24</t>
  </si>
  <si>
    <t>AX25</t>
  </si>
  <si>
    <t>AX26</t>
  </si>
  <si>
    <t>AX27</t>
  </si>
  <si>
    <t>AX28</t>
  </si>
  <si>
    <t>AX29</t>
  </si>
  <si>
    <t>AX30</t>
  </si>
  <si>
    <t>AX31</t>
  </si>
  <si>
    <t>AX32</t>
  </si>
  <si>
    <t>AX33</t>
  </si>
  <si>
    <t>AX34</t>
  </si>
  <si>
    <t>AX35</t>
  </si>
  <si>
    <t>AX36</t>
  </si>
  <si>
    <t>AX37</t>
  </si>
  <si>
    <t>AX38</t>
  </si>
  <si>
    <t>AX39</t>
  </si>
  <si>
    <t>AX40</t>
  </si>
  <si>
    <t>AX41</t>
  </si>
  <si>
    <t>AX42</t>
  </si>
  <si>
    <t>AX43</t>
  </si>
  <si>
    <t>AX44</t>
  </si>
  <si>
    <t>AX45</t>
  </si>
  <si>
    <t>AX46</t>
  </si>
  <si>
    <t>AX47</t>
  </si>
  <si>
    <t>AX48</t>
  </si>
  <si>
    <t>AX49</t>
  </si>
  <si>
    <t>AX50</t>
  </si>
  <si>
    <t>AX51</t>
  </si>
  <si>
    <t>AX52</t>
  </si>
  <si>
    <t>AX53</t>
  </si>
  <si>
    <t>AX54</t>
  </si>
  <si>
    <t>AX55</t>
  </si>
  <si>
    <t>AX56</t>
  </si>
  <si>
    <t>AX57</t>
  </si>
  <si>
    <t>AX58</t>
  </si>
  <si>
    <t>AX59</t>
  </si>
  <si>
    <t>AX60</t>
  </si>
  <si>
    <t>AX61</t>
  </si>
  <si>
    <t>AX62</t>
  </si>
  <si>
    <t>AX63</t>
  </si>
  <si>
    <t>AX64</t>
  </si>
  <si>
    <t>AX65</t>
  </si>
  <si>
    <t>AX66</t>
  </si>
  <si>
    <t>AX67</t>
  </si>
  <si>
    <t>AX68</t>
  </si>
  <si>
    <t>AX69</t>
  </si>
  <si>
    <t>AX70</t>
  </si>
  <si>
    <t>AX71</t>
  </si>
  <si>
    <t>AX72</t>
  </si>
  <si>
    <t>AX73</t>
  </si>
  <si>
    <t>AX74</t>
  </si>
  <si>
    <t>AX75</t>
  </si>
  <si>
    <t>AX76</t>
  </si>
  <si>
    <t>AX77</t>
  </si>
  <si>
    <t>AX78</t>
  </si>
  <si>
    <t>AX79</t>
  </si>
  <si>
    <t>AX80</t>
  </si>
  <si>
    <t>AX81</t>
  </si>
  <si>
    <t>AX82</t>
  </si>
  <si>
    <t>AX83</t>
  </si>
  <si>
    <t>AX84</t>
  </si>
  <si>
    <t>AX85</t>
  </si>
  <si>
    <t>AX86</t>
  </si>
  <si>
    <t>AX87</t>
  </si>
  <si>
    <t>AX88</t>
  </si>
  <si>
    <t>AX89</t>
  </si>
  <si>
    <t>AX90</t>
  </si>
  <si>
    <t>AX91</t>
  </si>
  <si>
    <t>AX92</t>
  </si>
  <si>
    <t>AX93</t>
  </si>
  <si>
    <t>AX94</t>
  </si>
  <si>
    <t>AX95</t>
  </si>
  <si>
    <t>AX96</t>
  </si>
  <si>
    <t>AX97</t>
  </si>
  <si>
    <t>AX98</t>
  </si>
  <si>
    <t>AX99</t>
  </si>
  <si>
    <t>AY00</t>
  </si>
  <si>
    <t>AY01</t>
  </si>
  <si>
    <t>AY02</t>
  </si>
  <si>
    <t>AY03</t>
  </si>
  <si>
    <t>AY04</t>
  </si>
  <si>
    <t>AY05</t>
  </si>
  <si>
    <t>AY06</t>
  </si>
  <si>
    <t>AY07</t>
  </si>
  <si>
    <t>AY08</t>
  </si>
  <si>
    <t>AY09</t>
  </si>
  <si>
    <t>AY10</t>
  </si>
  <si>
    <t>AY11</t>
  </si>
  <si>
    <t>AY12</t>
  </si>
  <si>
    <t>AY13</t>
  </si>
  <si>
    <t>AY14</t>
  </si>
  <si>
    <t>AY15</t>
  </si>
  <si>
    <t>AY16</t>
  </si>
  <si>
    <t>AY17</t>
  </si>
  <si>
    <t>AY18</t>
  </si>
  <si>
    <t>AY19</t>
  </si>
  <si>
    <t>AY20</t>
  </si>
  <si>
    <t>AY21</t>
  </si>
  <si>
    <t>AY22</t>
  </si>
  <si>
    <t>AY23</t>
  </si>
  <si>
    <t>AY24</t>
  </si>
  <si>
    <t>AY25</t>
  </si>
  <si>
    <t>AY26</t>
  </si>
  <si>
    <t>AY27</t>
  </si>
  <si>
    <t>AY28</t>
  </si>
  <si>
    <t>AY29</t>
  </si>
  <si>
    <t>AY30</t>
  </si>
  <si>
    <t>AY31</t>
  </si>
  <si>
    <t>AY32</t>
  </si>
  <si>
    <t>AY33</t>
  </si>
  <si>
    <t>AY34</t>
  </si>
  <si>
    <t>AY35</t>
  </si>
  <si>
    <t>AY36</t>
  </si>
  <si>
    <t>AY37</t>
  </si>
  <si>
    <t>AY38</t>
  </si>
  <si>
    <t>AY39</t>
  </si>
  <si>
    <t>AY40</t>
  </si>
  <si>
    <t>AY41</t>
  </si>
  <si>
    <t>AY42</t>
  </si>
  <si>
    <t>AY43</t>
  </si>
  <si>
    <t>AY44</t>
  </si>
  <si>
    <t>AY45</t>
  </si>
  <si>
    <t>AY46</t>
  </si>
  <si>
    <t>AY47</t>
  </si>
  <si>
    <t>AY48</t>
  </si>
  <si>
    <t>AY49</t>
  </si>
  <si>
    <t>AY50</t>
  </si>
  <si>
    <t>AY51</t>
  </si>
  <si>
    <t>AY52</t>
  </si>
  <si>
    <t>AY53</t>
  </si>
  <si>
    <t>AY54</t>
  </si>
  <si>
    <t>AY55</t>
  </si>
  <si>
    <t>AY56</t>
  </si>
  <si>
    <t>AY57</t>
  </si>
  <si>
    <t>AY58</t>
  </si>
  <si>
    <t>AY59</t>
  </si>
  <si>
    <t>AY60</t>
  </si>
  <si>
    <t>AY61</t>
  </si>
  <si>
    <t>AY62</t>
  </si>
  <si>
    <t>AY63</t>
  </si>
  <si>
    <t>AY64</t>
  </si>
  <si>
    <t>AY65</t>
  </si>
  <si>
    <t>AY66</t>
  </si>
  <si>
    <t>AY67</t>
  </si>
  <si>
    <t>AY68</t>
  </si>
  <si>
    <t>AY69</t>
  </si>
  <si>
    <t>AY70</t>
  </si>
  <si>
    <t>AY71</t>
  </si>
  <si>
    <t>AY72</t>
  </si>
  <si>
    <t>AY73</t>
  </si>
  <si>
    <t>AY74</t>
  </si>
  <si>
    <t>AY75</t>
  </si>
  <si>
    <t>AY76</t>
  </si>
  <si>
    <t>AY77</t>
  </si>
  <si>
    <t>AY78</t>
  </si>
  <si>
    <t>AY79</t>
  </si>
  <si>
    <t>AY80</t>
  </si>
  <si>
    <t>AY81</t>
  </si>
  <si>
    <t>AY82</t>
  </si>
  <si>
    <t>AY83</t>
  </si>
  <si>
    <t>AY84</t>
  </si>
  <si>
    <t>AY85</t>
  </si>
  <si>
    <t>AY86</t>
  </si>
  <si>
    <t>AY87</t>
  </si>
  <si>
    <t>AY88</t>
  </si>
  <si>
    <t>AY89</t>
  </si>
  <si>
    <t>AY90</t>
  </si>
  <si>
    <t>AY91</t>
  </si>
  <si>
    <t>AY92</t>
  </si>
  <si>
    <t>AY93</t>
  </si>
  <si>
    <t>AY94</t>
  </si>
  <si>
    <t>AY95</t>
  </si>
  <si>
    <t>AY96</t>
  </si>
  <si>
    <t>AY97</t>
  </si>
  <si>
    <t>AY98</t>
  </si>
  <si>
    <t>AY99</t>
  </si>
  <si>
    <t>AZ00</t>
  </si>
  <si>
    <t>AZ01</t>
  </si>
  <si>
    <t>AZ02</t>
  </si>
  <si>
    <t>AZ03</t>
  </si>
  <si>
    <t>AZ04</t>
  </si>
  <si>
    <t>AZ05</t>
  </si>
  <si>
    <t>AZ06</t>
  </si>
  <si>
    <t>AZ07</t>
  </si>
  <si>
    <t>AZ08</t>
  </si>
  <si>
    <t>AZ09</t>
  </si>
  <si>
    <t>AZ10</t>
  </si>
  <si>
    <t>AZ11</t>
  </si>
  <si>
    <t>AZ12</t>
  </si>
  <si>
    <t>AZ13</t>
  </si>
  <si>
    <t>AZ14</t>
  </si>
  <si>
    <t>AZ15</t>
  </si>
  <si>
    <t>AZ16</t>
  </si>
  <si>
    <t>AZ17</t>
  </si>
  <si>
    <t>AZ18</t>
  </si>
  <si>
    <t>AZ19</t>
  </si>
  <si>
    <t>AZ20</t>
  </si>
  <si>
    <t>AZ21</t>
  </si>
  <si>
    <t>AZ22</t>
  </si>
  <si>
    <t>AZ23</t>
  </si>
  <si>
    <t>AZ24</t>
  </si>
  <si>
    <t>AZ25</t>
  </si>
  <si>
    <t>AZ26</t>
  </si>
  <si>
    <t>AZ27</t>
  </si>
  <si>
    <t>AZ28</t>
  </si>
  <si>
    <t>AZ29</t>
  </si>
  <si>
    <t>AZ30</t>
  </si>
  <si>
    <t>AZ31</t>
  </si>
  <si>
    <t>AZ32</t>
  </si>
  <si>
    <t>AZ33</t>
  </si>
  <si>
    <t>AZ34</t>
  </si>
  <si>
    <t>AZ35</t>
  </si>
  <si>
    <t>AZ36</t>
  </si>
  <si>
    <t>AZ37</t>
  </si>
  <si>
    <t>AZ38</t>
  </si>
  <si>
    <t>AZ39</t>
  </si>
  <si>
    <t>AZ40</t>
  </si>
  <si>
    <t>AZ41</t>
  </si>
  <si>
    <t>AZ42</t>
  </si>
  <si>
    <t>AZ43</t>
  </si>
  <si>
    <t>AZ44</t>
  </si>
  <si>
    <t>AZ45</t>
  </si>
  <si>
    <t>AZ46</t>
  </si>
  <si>
    <t>AZ47</t>
  </si>
  <si>
    <t>AZ48</t>
  </si>
  <si>
    <t>AZ49</t>
  </si>
  <si>
    <t>AZ50</t>
  </si>
  <si>
    <t>AZ51</t>
  </si>
  <si>
    <t>AZ52</t>
  </si>
  <si>
    <t>AZ53</t>
  </si>
  <si>
    <t>AZ54</t>
  </si>
  <si>
    <t>AZ55</t>
  </si>
  <si>
    <t>AZ56</t>
  </si>
  <si>
    <t>AZ57</t>
  </si>
  <si>
    <t>AZ58</t>
  </si>
  <si>
    <t>AZ59</t>
  </si>
  <si>
    <t>AZ60</t>
  </si>
  <si>
    <t>AZ61</t>
  </si>
  <si>
    <t>AZ62</t>
  </si>
  <si>
    <t>AZ63</t>
  </si>
  <si>
    <t>AZ64</t>
  </si>
  <si>
    <t>AZ65</t>
  </si>
  <si>
    <t>AZ66</t>
  </si>
  <si>
    <t>AZ67</t>
  </si>
  <si>
    <t>AZ68</t>
  </si>
  <si>
    <t>AZ69</t>
  </si>
  <si>
    <t>AZ70</t>
  </si>
  <si>
    <t>AZ71</t>
  </si>
  <si>
    <t>AZ72</t>
  </si>
  <si>
    <t>AZ73</t>
  </si>
  <si>
    <t>AZ74</t>
  </si>
  <si>
    <t>AZ75</t>
  </si>
  <si>
    <t>AZ76</t>
  </si>
  <si>
    <t>AZ77</t>
  </si>
  <si>
    <t>AZ78</t>
  </si>
  <si>
    <t>AZ79</t>
  </si>
  <si>
    <t>AZ80</t>
  </si>
  <si>
    <t>AZ81</t>
  </si>
  <si>
    <t>AZ82</t>
  </si>
  <si>
    <t>AZ83</t>
  </si>
  <si>
    <t>AZ84</t>
  </si>
  <si>
    <t>AZ85</t>
  </si>
  <si>
    <t>AZ86</t>
  </si>
  <si>
    <t>AZ87</t>
  </si>
  <si>
    <t>AZ88</t>
  </si>
  <si>
    <t>AZ89</t>
  </si>
  <si>
    <t>AZ90</t>
  </si>
  <si>
    <t>AZ91</t>
  </si>
  <si>
    <t>AZ92</t>
  </si>
  <si>
    <t>AZ93</t>
  </si>
  <si>
    <t>AZ94</t>
  </si>
  <si>
    <t>AZ95</t>
  </si>
  <si>
    <t>AZ96</t>
  </si>
  <si>
    <t>AZ97</t>
  </si>
  <si>
    <t>AZ98</t>
  </si>
  <si>
    <t>AZ99</t>
  </si>
  <si>
    <t>B000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</si>
  <si>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</si>
  <si>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</si>
  <si>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</si>
  <si>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</si>
  <si>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</si>
  <si>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</si>
  <si>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</si>
  <si>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</si>
  <si>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</si>
  <si>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B010</t>
  </si>
  <si>
    <t>B011</t>
  </si>
  <si>
    <t>B012</t>
  </si>
  <si>
    <t>B013</t>
  </si>
  <si>
    <t>B014</t>
  </si>
  <si>
    <t>B015</t>
  </si>
  <si>
    <t>B016</t>
  </si>
  <si>
    <t>B017</t>
  </si>
  <si>
    <t>B018</t>
  </si>
  <si>
    <t>B019</t>
  </si>
  <si>
    <t>B020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</si>
  <si>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</si>
  <si>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</si>
  <si>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</si>
  <si>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</si>
  <si>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</si>
  <si>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</si>
  <si>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</si>
  <si>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</si>
  <si>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</si>
  <si>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B030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</si>
  <si>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</si>
  <si>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</si>
  <si>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</si>
  <si>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</si>
  <si>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</si>
  <si>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</si>
  <si>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</si>
  <si>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</si>
  <si>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</si>
  <si>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B040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</si>
  <si>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</si>
  <si>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</si>
  <si>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</si>
  <si>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</si>
  <si>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</si>
  <si>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</si>
  <si>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</si>
  <si>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</si>
  <si>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</si>
  <si>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B050</t>
  </si>
  <si>
    <t>B051</t>
  </si>
  <si>
    <t>B052</t>
  </si>
  <si>
    <t>B053</t>
  </si>
  <si>
    <t>B054</t>
  </si>
  <si>
    <t>B055</t>
  </si>
  <si>
    <t>B056</t>
  </si>
  <si>
    <t>B057</t>
  </si>
  <si>
    <t>B058</t>
  </si>
  <si>
    <t>B059</t>
  </si>
  <si>
    <t>B060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</si>
  <si>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</si>
  <si>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</si>
  <si>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</si>
  <si>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</si>
  <si>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</si>
  <si>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</si>
  <si>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</si>
  <si>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</si>
  <si>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</si>
  <si>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B070</t>
  </si>
  <si>
    <t>B071</t>
  </si>
  <si>
    <t>B072</t>
  </si>
  <si>
    <t>B073</t>
  </si>
  <si>
    <t>B074</t>
  </si>
  <si>
    <t>B075</t>
  </si>
  <si>
    <t>B076</t>
  </si>
  <si>
    <t>B077</t>
  </si>
  <si>
    <t>B078</t>
  </si>
  <si>
    <t>B079</t>
  </si>
  <si>
    <t>B080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</si>
  <si>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</si>
  <si>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</si>
  <si>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</si>
  <si>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</si>
  <si>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</si>
  <si>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</si>
  <si>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</si>
  <si>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</si>
  <si>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</si>
  <si>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B090</t>
  </si>
  <si>
    <t>B091</t>
  </si>
  <si>
    <t>B092</t>
  </si>
  <si>
    <t>B093</t>
  </si>
  <si>
    <t>B094</t>
  </si>
  <si>
    <t>B095</t>
  </si>
  <si>
    <t>B096</t>
  </si>
  <si>
    <t>B097</t>
  </si>
  <si>
    <t>B098</t>
  </si>
  <si>
    <t>B099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</si>
  <si>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</si>
  <si>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</si>
  <si>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</si>
  <si>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</si>
  <si>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</si>
  <si>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</si>
  <si>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</si>
  <si>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</si>
  <si>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</si>
  <si>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</si>
  <si>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</si>
  <si>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</si>
  <si>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</si>
  <si>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</si>
  <si>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</si>
  <si>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</si>
  <si>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</si>
  <si>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</si>
  <si>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</si>
  <si>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</si>
  <si>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</si>
  <si>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</si>
  <si>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</si>
  <si>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</si>
  <si>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</si>
  <si>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</si>
  <si>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</si>
  <si>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</si>
  <si>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</si>
  <si>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</si>
  <si>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</si>
  <si>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</si>
  <si>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</si>
  <si>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</si>
  <si>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</si>
  <si>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</si>
  <si>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</si>
  <si>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</si>
  <si>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</si>
  <si>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</si>
  <si>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</si>
  <si>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</si>
  <si>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</si>
  <si>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</si>
  <si>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</si>
  <si>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</si>
  <si>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</si>
  <si>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</si>
  <si>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</si>
  <si>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</si>
  <si>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</si>
  <si>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</si>
  <si>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</si>
  <si>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</si>
  <si>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</si>
  <si>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</si>
  <si>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</si>
  <si>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</si>
  <si>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</si>
  <si>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</si>
  <si>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</si>
  <si>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</si>
  <si>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</si>
  <si>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</si>
  <si>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</si>
  <si>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</si>
  <si>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</si>
  <si>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</si>
  <si>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</si>
  <si>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</si>
  <si>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</si>
  <si>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</si>
  <si>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</si>
  <si>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</si>
  <si>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</si>
  <si>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</si>
  <si>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</si>
  <si>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</si>
  <si>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</si>
  <si>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</si>
  <si>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</si>
  <si>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</si>
  <si>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</si>
  <si>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</si>
  <si>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</si>
  <si>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</si>
  <si>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</si>
  <si>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</si>
  <si>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</si>
  <si>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</si>
  <si>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</si>
  <si>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</si>
  <si>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</si>
  <si>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</si>
  <si>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</si>
  <si>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</si>
  <si>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</si>
  <si>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</si>
  <si>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</si>
  <si>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</si>
  <si>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</si>
  <si>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</si>
  <si>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</si>
  <si>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</si>
  <si>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</si>
  <si>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</si>
  <si>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</si>
  <si>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</si>
  <si>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</si>
  <si>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</si>
  <si>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</si>
  <si>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</si>
  <si>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</si>
  <si>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</si>
  <si>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</si>
  <si>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</si>
  <si>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</si>
  <si>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</si>
  <si>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</si>
  <si>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</si>
  <si>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</si>
  <si>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</si>
  <si>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</si>
  <si>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</si>
  <si>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</si>
  <si>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</si>
  <si>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</si>
  <si>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</si>
  <si>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</si>
  <si>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</si>
  <si>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</si>
  <si>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</si>
  <si>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</si>
  <si>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</si>
  <si>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</si>
  <si>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</si>
  <si>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</si>
  <si>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</si>
  <si>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</si>
  <si>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</si>
  <si>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</si>
  <si>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</si>
  <si>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</si>
  <si>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</si>
  <si>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</si>
  <si>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</si>
  <si>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</si>
  <si>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</si>
  <si>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</si>
  <si>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</si>
  <si>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</si>
  <si>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</si>
  <si>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</si>
  <si>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</si>
  <si>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</si>
  <si>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</si>
  <si>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</si>
  <si>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</si>
  <si>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</si>
  <si>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</si>
  <si>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</si>
  <si>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</si>
  <si>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</si>
  <si>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</si>
  <si>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</si>
  <si>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</si>
  <si>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</si>
  <si>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</si>
  <si>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</si>
  <si>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</si>
  <si>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</si>
  <si>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</si>
  <si>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</si>
  <si>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</si>
  <si>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</si>
  <si>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</si>
  <si>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</si>
  <si>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</si>
  <si>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</si>
  <si>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</si>
  <si>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</si>
  <si>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</si>
  <si>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</si>
  <si>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</si>
  <si>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</si>
  <si>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</si>
  <si>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</si>
  <si>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</si>
  <si>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</si>
  <si>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</si>
  <si>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</si>
  <si>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</si>
  <si>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</si>
  <si>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</si>
  <si>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</si>
  <si>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</si>
  <si>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</si>
  <si>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</si>
  <si>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</si>
  <si>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</si>
  <si>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</si>
  <si>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</si>
  <si>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</si>
  <si>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</si>
  <si>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</si>
  <si>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</si>
  <si>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</si>
  <si>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</si>
  <si>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</si>
  <si>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</si>
  <si>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</si>
  <si>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</si>
  <si>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</si>
  <si>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</si>
  <si>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</si>
  <si>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</si>
  <si>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</si>
  <si>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</si>
  <si>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</si>
  <si>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</si>
  <si>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</si>
  <si>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</si>
  <si>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</si>
  <si>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</si>
  <si>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</si>
  <si>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</si>
  <si>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</si>
  <si>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</si>
  <si>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</si>
  <si>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</si>
  <si>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</si>
  <si>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</si>
  <si>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</si>
  <si>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</si>
  <si>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</si>
  <si>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</si>
  <si>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</si>
  <si>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</si>
  <si>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</si>
  <si>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</si>
  <si>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</si>
  <si>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</si>
  <si>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</si>
  <si>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</si>
  <si>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</si>
  <si>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</si>
  <si>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</si>
  <si>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</si>
  <si>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</si>
  <si>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</si>
  <si>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</si>
  <si>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</si>
  <si>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</si>
  <si>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</si>
  <si>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</si>
  <si>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</si>
  <si>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</si>
  <si>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</si>
  <si>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</si>
  <si>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</si>
  <si>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</si>
  <si>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</si>
  <si>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</si>
  <si>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</si>
  <si>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</si>
  <si>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</si>
  <si>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</si>
  <si>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</si>
  <si>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</si>
  <si>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</si>
  <si>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</si>
  <si>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</si>
  <si>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</si>
  <si>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</si>
  <si>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</si>
  <si>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</si>
  <si>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</si>
  <si>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</si>
  <si>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</si>
  <si>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</si>
  <si>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</si>
  <si>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</si>
  <si>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</si>
  <si>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</si>
  <si>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</si>
  <si>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</si>
  <si>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</si>
  <si>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</si>
  <si>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</si>
  <si>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</si>
  <si>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</si>
  <si>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</si>
  <si>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</si>
  <si>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</si>
  <si>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</si>
  <si>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</si>
  <si>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</si>
  <si>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</si>
  <si>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</si>
  <si>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</si>
  <si>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</si>
  <si>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</si>
  <si>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</si>
  <si>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</si>
  <si>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</si>
  <si>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</si>
  <si>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</si>
  <si>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</si>
  <si>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</si>
  <si>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</si>
  <si>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</si>
  <si>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</si>
  <si>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</si>
  <si>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</si>
  <si>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</si>
  <si>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</si>
  <si>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</si>
  <si>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</si>
  <si>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</si>
  <si>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</si>
  <si>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</si>
  <si>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</si>
  <si>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</si>
  <si>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</si>
  <si>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</si>
  <si>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</si>
  <si>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</si>
  <si>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</si>
  <si>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</si>
  <si>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</si>
  <si>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</si>
  <si>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</si>
  <si>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</si>
  <si>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</si>
  <si>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</si>
  <si>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</si>
  <si>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</si>
  <si>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</si>
  <si>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</si>
  <si>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</si>
  <si>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</si>
  <si>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</si>
  <si>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</si>
  <si>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</si>
  <si>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</si>
  <si>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</si>
  <si>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</si>
  <si>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</si>
  <si>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</si>
  <si>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</si>
  <si>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</si>
  <si>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</si>
  <si>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</si>
  <si>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</si>
  <si>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</si>
  <si>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</si>
  <si>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</si>
  <si>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</si>
  <si>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</si>
  <si>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</si>
  <si>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</si>
  <si>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</si>
  <si>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</si>
  <si>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</si>
  <si>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</si>
  <si>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</si>
  <si>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</si>
  <si>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</si>
  <si>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</si>
  <si>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</si>
  <si>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</si>
  <si>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</si>
  <si>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</si>
  <si>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</si>
  <si>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</si>
  <si>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</si>
  <si>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</si>
  <si>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</si>
  <si>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</si>
  <si>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</si>
  <si>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</si>
  <si>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</si>
  <si>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</si>
  <si>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</si>
  <si>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</si>
  <si>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</si>
  <si>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</si>
  <si>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</si>
  <si>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</si>
  <si>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</si>
  <si>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</si>
  <si>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</si>
  <si>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</si>
  <si>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</si>
  <si>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</si>
  <si>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</si>
  <si>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</si>
  <si>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</si>
  <si>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</si>
  <si>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</si>
  <si>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</si>
  <si>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</si>
  <si>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</si>
  <si>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</si>
  <si>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</si>
  <si>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</si>
  <si>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</si>
  <si>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</si>
  <si>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</si>
  <si>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</si>
  <si>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</si>
  <si>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</si>
  <si>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</si>
  <si>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</si>
  <si>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</si>
  <si>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</si>
  <si>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</si>
  <si>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</si>
  <si>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</si>
  <si>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</si>
  <si>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</si>
  <si>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</si>
  <si>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</si>
  <si>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</si>
  <si>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</si>
  <si>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</si>
  <si>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</si>
  <si>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</si>
  <si>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</si>
  <si>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</si>
  <si>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</si>
  <si>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</si>
  <si>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</si>
  <si>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</si>
  <si>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</si>
  <si>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</si>
  <si>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</si>
  <si>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</si>
  <si>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</si>
  <si>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</si>
  <si>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</si>
  <si>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</si>
  <si>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</si>
  <si>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</si>
  <si>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</si>
  <si>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</si>
  <si>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</si>
  <si>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</si>
  <si>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</si>
  <si>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</si>
  <si>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</si>
  <si>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</si>
  <si>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</si>
  <si>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</si>
  <si>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</si>
  <si>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</si>
  <si>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</si>
  <si>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</si>
  <si>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</si>
  <si>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</si>
  <si>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</si>
  <si>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</si>
  <si>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</si>
  <si>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</si>
  <si>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</si>
  <si>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</si>
  <si>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</si>
  <si>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</si>
  <si>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</si>
  <si>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</si>
  <si>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</si>
  <si>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</si>
  <si>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</si>
  <si>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</si>
  <si>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</si>
  <si>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</si>
  <si>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</si>
  <si>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</si>
  <si>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</si>
  <si>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</si>
  <si>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</si>
  <si>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</si>
  <si>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</si>
  <si>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</si>
  <si>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</si>
  <si>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</si>
  <si>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</si>
  <si>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</si>
  <si>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</si>
  <si>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</si>
  <si>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</si>
  <si>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</si>
  <si>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</si>
  <si>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</si>
  <si>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</si>
  <si>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</si>
  <si>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</si>
  <si>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</si>
  <si>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</si>
  <si>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</si>
  <si>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B600</t>
  </si>
  <si>
    <t>B601</t>
  </si>
  <si>
    <t>B602</t>
  </si>
  <si>
    <t>B603</t>
  </si>
  <si>
    <t>B604</t>
  </si>
  <si>
    <t>B605</t>
  </si>
  <si>
    <t>B606</t>
  </si>
  <si>
    <t>B607</t>
  </si>
  <si>
    <t>B608</t>
  </si>
  <si>
    <t>B609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</si>
  <si>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</si>
  <si>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</si>
  <si>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</si>
  <si>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</si>
  <si>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</si>
  <si>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</si>
  <si>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</si>
  <si>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</si>
  <si>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</si>
  <si>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</si>
  <si>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</si>
  <si>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</si>
  <si>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</si>
  <si>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</si>
  <si>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</si>
  <si>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</si>
  <si>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</si>
  <si>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</si>
  <si>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</si>
  <si>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</si>
  <si>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</si>
  <si>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</si>
  <si>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</si>
  <si>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</si>
  <si>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</si>
  <si>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</si>
  <si>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</si>
  <si>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</si>
  <si>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</si>
  <si>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</si>
  <si>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</si>
  <si>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</si>
  <si>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</si>
  <si>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</si>
  <si>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</si>
  <si>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</si>
  <si>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</si>
  <si>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</si>
  <si>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</si>
  <si>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</si>
  <si>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</si>
  <si>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</si>
  <si>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</si>
  <si>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</si>
  <si>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</si>
  <si>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</si>
  <si>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</si>
  <si>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</si>
  <si>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</si>
  <si>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</si>
  <si>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</si>
  <si>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</si>
  <si>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</si>
  <si>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</si>
  <si>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</si>
  <si>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</si>
  <si>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</si>
  <si>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</si>
  <si>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</si>
  <si>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</si>
  <si>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</si>
  <si>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</si>
  <si>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</si>
  <si>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</si>
  <si>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</si>
  <si>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</si>
  <si>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</si>
  <si>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</si>
  <si>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</si>
  <si>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</si>
  <si>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</si>
  <si>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</si>
  <si>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</si>
  <si>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</si>
  <si>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</si>
  <si>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</si>
  <si>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</si>
  <si>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</si>
  <si>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</si>
  <si>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</si>
  <si>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</si>
  <si>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</si>
  <si>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</si>
  <si>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</si>
  <si>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</si>
  <si>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</si>
  <si>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</si>
  <si>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</si>
  <si>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</si>
  <si>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</si>
  <si>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B700</t>
  </si>
  <si>
    <t>B701</t>
  </si>
  <si>
    <t>B702</t>
  </si>
  <si>
    <t>B703</t>
  </si>
  <si>
    <t>B704</t>
  </si>
  <si>
    <t>B705</t>
  </si>
  <si>
    <t>B706</t>
  </si>
  <si>
    <t>B707</t>
  </si>
  <si>
    <t>B708</t>
  </si>
  <si>
    <t>B709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</si>
  <si>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</si>
  <si>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</si>
  <si>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</si>
  <si>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</si>
  <si>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</si>
  <si>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</si>
  <si>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</si>
  <si>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</si>
  <si>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</si>
  <si>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</si>
  <si>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</si>
  <si>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</si>
  <si>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</si>
  <si>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</si>
  <si>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</si>
  <si>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</si>
  <si>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</si>
  <si>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</si>
  <si>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</si>
  <si>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</si>
  <si>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</si>
  <si>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</si>
  <si>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</si>
  <si>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</si>
  <si>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</si>
  <si>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</si>
  <si>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</si>
  <si>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</si>
  <si>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</si>
  <si>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</si>
  <si>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</si>
  <si>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</si>
  <si>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</si>
  <si>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</si>
  <si>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</si>
  <si>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</si>
  <si>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</si>
  <si>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</si>
  <si>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</si>
  <si>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</si>
  <si>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</si>
  <si>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</si>
  <si>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</si>
  <si>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</si>
  <si>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</si>
  <si>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</si>
  <si>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</si>
  <si>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</si>
  <si>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</si>
  <si>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</si>
  <si>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</si>
  <si>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</si>
  <si>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</si>
  <si>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</si>
  <si>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</si>
  <si>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</si>
  <si>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</si>
  <si>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</si>
  <si>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</si>
  <si>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</si>
  <si>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</si>
  <si>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</si>
  <si>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</si>
  <si>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</si>
  <si>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</si>
  <si>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</si>
  <si>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</si>
  <si>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</si>
  <si>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</si>
  <si>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</si>
  <si>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</si>
  <si>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</si>
  <si>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</si>
  <si>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</si>
  <si>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</si>
  <si>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</si>
  <si>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</si>
  <si>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</si>
  <si>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</si>
  <si>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</si>
  <si>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</si>
  <si>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</si>
  <si>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</si>
  <si>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</si>
  <si>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</si>
  <si>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</si>
  <si>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</si>
  <si>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</si>
  <si>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</si>
  <si>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</si>
  <si>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B800</t>
  </si>
  <si>
    <t>B801</t>
  </si>
  <si>
    <t>B802</t>
  </si>
  <si>
    <t>B803</t>
  </si>
  <si>
    <t>B804</t>
  </si>
  <si>
    <t>B805</t>
  </si>
  <si>
    <t>B806</t>
  </si>
  <si>
    <t>B807</t>
  </si>
  <si>
    <t>B808</t>
  </si>
  <si>
    <t>B809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</si>
  <si>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</si>
  <si>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</si>
  <si>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</si>
  <si>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</si>
  <si>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</si>
  <si>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</si>
  <si>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</si>
  <si>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</si>
  <si>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</si>
  <si>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</si>
  <si>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</si>
  <si>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</si>
  <si>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</si>
  <si>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</si>
  <si>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</si>
  <si>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</si>
  <si>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</si>
  <si>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</si>
  <si>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</si>
  <si>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</si>
  <si>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</si>
  <si>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</si>
  <si>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</si>
  <si>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</si>
  <si>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</si>
  <si>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</si>
  <si>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</si>
  <si>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</si>
  <si>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</si>
  <si>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</si>
  <si>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</si>
  <si>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</si>
  <si>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</si>
  <si>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</si>
  <si>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</si>
  <si>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</si>
  <si>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</si>
  <si>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</si>
  <si>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</si>
  <si>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</si>
  <si>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</si>
  <si>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</si>
  <si>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</si>
  <si>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</si>
  <si>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</si>
  <si>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</si>
  <si>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</si>
  <si>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</si>
  <si>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</si>
  <si>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</si>
  <si>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</si>
  <si>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</si>
  <si>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</si>
  <si>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</si>
  <si>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</si>
  <si>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</si>
  <si>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</si>
  <si>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</si>
  <si>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</si>
  <si>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</si>
  <si>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</si>
  <si>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</si>
  <si>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</si>
  <si>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</si>
  <si>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</si>
  <si>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</si>
  <si>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</si>
  <si>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</si>
  <si>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</si>
  <si>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</si>
  <si>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</si>
  <si>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</si>
  <si>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</si>
  <si>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</si>
  <si>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</si>
  <si>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</si>
  <si>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</si>
  <si>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</si>
  <si>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</si>
  <si>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</si>
  <si>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</si>
  <si>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</si>
  <si>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</si>
  <si>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</si>
  <si>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</si>
  <si>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</si>
  <si>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</si>
  <si>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</si>
  <si>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</si>
  <si>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</si>
  <si>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B900</t>
  </si>
  <si>
    <t>B901</t>
  </si>
  <si>
    <t>B902</t>
  </si>
  <si>
    <t>B903</t>
  </si>
  <si>
    <t>B904</t>
  </si>
  <si>
    <t>B905</t>
  </si>
  <si>
    <t>B906</t>
  </si>
  <si>
    <t>B907</t>
  </si>
  <si>
    <t>B908</t>
  </si>
  <si>
    <t>B909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</si>
  <si>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</si>
  <si>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</si>
  <si>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</si>
  <si>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</si>
  <si>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</si>
  <si>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</si>
  <si>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</si>
  <si>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</si>
  <si>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</si>
  <si>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</si>
  <si>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</si>
  <si>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</si>
  <si>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</si>
  <si>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</si>
  <si>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</si>
  <si>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</si>
  <si>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</si>
  <si>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</si>
  <si>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</si>
  <si>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</si>
  <si>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</si>
  <si>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</si>
  <si>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</si>
  <si>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</si>
  <si>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</si>
  <si>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</si>
  <si>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</si>
  <si>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</si>
  <si>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</si>
  <si>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</si>
  <si>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</si>
  <si>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</si>
  <si>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</si>
  <si>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</si>
  <si>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</si>
  <si>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</si>
  <si>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</si>
  <si>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</si>
  <si>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</si>
  <si>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</si>
  <si>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</si>
  <si>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</si>
  <si>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</si>
  <si>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</si>
  <si>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</si>
  <si>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</si>
  <si>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</si>
  <si>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</si>
  <si>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</si>
  <si>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</si>
  <si>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</si>
  <si>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</si>
  <si>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</si>
  <si>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</si>
  <si>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</si>
  <si>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</si>
  <si>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</si>
  <si>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</si>
  <si>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</si>
  <si>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B969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</si>
  <si>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</si>
  <si>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</si>
  <si>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</si>
  <si>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</si>
  <si>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</si>
  <si>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</si>
  <si>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</si>
  <si>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</si>
  <si>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</si>
  <si>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B979</t>
  </si>
  <si>
    <t>B980</t>
  </si>
  <si>
    <t>B981</t>
  </si>
  <si>
    <t>B982</t>
  </si>
  <si>
    <t>B983</t>
  </si>
  <si>
    <t>B984</t>
  </si>
  <si>
    <t>B985</t>
  </si>
  <si>
    <t>B986</t>
  </si>
  <si>
    <t>B987</t>
  </si>
  <si>
    <t>B988</t>
  </si>
  <si>
    <t>B989</t>
  </si>
  <si>
    <t>B990</t>
  </si>
  <si>
    <t>B991</t>
  </si>
  <si>
    <t>B992</t>
  </si>
  <si>
    <t>B993</t>
  </si>
  <si>
    <t>B994</t>
  </si>
  <si>
    <t>B995</t>
  </si>
  <si>
    <t>B996</t>
  </si>
  <si>
    <t>B997</t>
  </si>
  <si>
    <t>B998</t>
  </si>
  <si>
    <t>B999</t>
  </si>
  <si>
    <t>BA00</t>
  </si>
  <si>
    <t>BA01</t>
  </si>
  <si>
    <t>BA02</t>
  </si>
  <si>
    <t>BA03</t>
  </si>
  <si>
    <t>BA04</t>
  </si>
  <si>
    <t>BA05</t>
  </si>
  <si>
    <t>BA06</t>
  </si>
  <si>
    <t>BA07</t>
  </si>
  <si>
    <t>BA08</t>
  </si>
  <si>
    <t>BA09</t>
  </si>
  <si>
    <t>BA10</t>
  </si>
  <si>
    <t>BA11</t>
  </si>
  <si>
    <t>BA12</t>
  </si>
  <si>
    <t>BA13</t>
  </si>
  <si>
    <t>BA14</t>
  </si>
  <si>
    <t>BA15</t>
  </si>
  <si>
    <t>BA16</t>
  </si>
  <si>
    <t>BA17</t>
  </si>
  <si>
    <t>BA18</t>
  </si>
  <si>
    <t>BA19</t>
  </si>
  <si>
    <t>BA20</t>
  </si>
  <si>
    <t>BA21</t>
  </si>
  <si>
    <t>BA22</t>
  </si>
  <si>
    <t>BA23</t>
  </si>
  <si>
    <t>BA24</t>
  </si>
  <si>
    <t>BA25</t>
  </si>
  <si>
    <t>BA26</t>
  </si>
  <si>
    <t>BA27</t>
  </si>
  <si>
    <t>BA28</t>
  </si>
  <si>
    <t>BA29</t>
  </si>
  <si>
    <t>BA30</t>
  </si>
  <si>
    <t>BA31</t>
  </si>
  <si>
    <t>BA32</t>
  </si>
  <si>
    <t>BA33</t>
  </si>
  <si>
    <t>BA34</t>
  </si>
  <si>
    <t>BA35</t>
  </si>
  <si>
    <t>BA36</t>
  </si>
  <si>
    <t>BA37</t>
  </si>
  <si>
    <t>BA38</t>
  </si>
  <si>
    <t>BA39</t>
  </si>
  <si>
    <t>BA40</t>
  </si>
  <si>
    <t>BA41</t>
  </si>
  <si>
    <t>BA42</t>
  </si>
  <si>
    <t>BA43</t>
  </si>
  <si>
    <t>BA44</t>
  </si>
  <si>
    <t>BA45</t>
  </si>
  <si>
    <t>BA46</t>
  </si>
  <si>
    <t>BA47</t>
  </si>
  <si>
    <t>BA48</t>
  </si>
  <si>
    <t>BA49</t>
  </si>
  <si>
    <t>BA50</t>
  </si>
  <si>
    <t>BA51</t>
  </si>
  <si>
    <t>BA52</t>
  </si>
  <si>
    <t>BA53</t>
  </si>
  <si>
    <t>BA54</t>
  </si>
  <si>
    <t>BA55</t>
  </si>
  <si>
    <t>BA56</t>
  </si>
  <si>
    <t>BA57</t>
  </si>
  <si>
    <t>BA58</t>
  </si>
  <si>
    <t>BA59</t>
  </si>
  <si>
    <t>BA60</t>
  </si>
  <si>
    <t>BA61</t>
  </si>
  <si>
    <t>BA62</t>
  </si>
  <si>
    <t>BA63</t>
  </si>
  <si>
    <t>BA64</t>
  </si>
  <si>
    <t>BA65</t>
  </si>
  <si>
    <t>BA66</t>
  </si>
  <si>
    <t>BA67</t>
  </si>
  <si>
    <t>BA68</t>
  </si>
  <si>
    <t>BA69</t>
  </si>
  <si>
    <t>BA70</t>
  </si>
  <si>
    <t>BA71</t>
  </si>
  <si>
    <t>BA72</t>
  </si>
  <si>
    <t>BA73</t>
  </si>
  <si>
    <t>BA74</t>
  </si>
  <si>
    <t>BA75</t>
  </si>
  <si>
    <t>BA76</t>
  </si>
  <si>
    <t>BA77</t>
  </si>
  <si>
    <t>BA78</t>
  </si>
  <si>
    <t>BA79</t>
  </si>
  <si>
    <t>BA80</t>
  </si>
  <si>
    <t>BA81</t>
  </si>
  <si>
    <t>BA82</t>
  </si>
  <si>
    <t>BA83</t>
  </si>
  <si>
    <t>BA84</t>
  </si>
  <si>
    <t>BA85</t>
  </si>
  <si>
    <t>BA86</t>
  </si>
  <si>
    <t>BA87</t>
  </si>
  <si>
    <t>BA88</t>
  </si>
  <si>
    <t>BA89</t>
  </si>
  <si>
    <t>BA90</t>
  </si>
  <si>
    <t>BA91</t>
  </si>
  <si>
    <t>BA92</t>
  </si>
  <si>
    <t>BA93</t>
  </si>
  <si>
    <t>BA94</t>
  </si>
  <si>
    <t>BA95</t>
  </si>
  <si>
    <t>BA96</t>
  </si>
  <si>
    <t>BA97</t>
  </si>
  <si>
    <t>BA98</t>
  </si>
  <si>
    <t>BA99</t>
  </si>
  <si>
    <t>BB00</t>
  </si>
  <si>
    <t>BB01</t>
  </si>
  <si>
    <t>BB02</t>
  </si>
  <si>
    <t>BB03</t>
  </si>
  <si>
    <t>BB04</t>
  </si>
  <si>
    <t>BB05</t>
  </si>
  <si>
    <t>BB06</t>
  </si>
  <si>
    <t>BB07</t>
  </si>
  <si>
    <t>BB08</t>
  </si>
  <si>
    <t>BB09</t>
  </si>
  <si>
    <t>BB10</t>
  </si>
  <si>
    <t>BB11</t>
  </si>
  <si>
    <t>BB12</t>
  </si>
  <si>
    <t>BB13</t>
  </si>
  <si>
    <t>BB14</t>
  </si>
  <si>
    <t>BB15</t>
  </si>
  <si>
    <t>BB16</t>
  </si>
  <si>
    <t>BB17</t>
  </si>
  <si>
    <t>BB18</t>
  </si>
  <si>
    <t>BB19</t>
  </si>
  <si>
    <t>BB20</t>
  </si>
  <si>
    <t>BB21</t>
  </si>
  <si>
    <t>BB22</t>
  </si>
  <si>
    <t>BB23</t>
  </si>
  <si>
    <t>BB24</t>
  </si>
  <si>
    <t>BB25</t>
  </si>
  <si>
    <t>BB26</t>
  </si>
  <si>
    <t>BB27</t>
  </si>
  <si>
    <t>BB28</t>
  </si>
  <si>
    <t>BB29</t>
  </si>
  <si>
    <t>BB30</t>
  </si>
  <si>
    <t>BB31</t>
  </si>
  <si>
    <t>BB32</t>
  </si>
  <si>
    <t>BB33</t>
  </si>
  <si>
    <t>BB34</t>
  </si>
  <si>
    <t>BB35</t>
  </si>
  <si>
    <t>BB36</t>
  </si>
  <si>
    <t>BB37</t>
  </si>
  <si>
    <t>BB38</t>
  </si>
  <si>
    <t>BB39</t>
  </si>
  <si>
    <t>BB40</t>
  </si>
  <si>
    <t>BB41</t>
  </si>
  <si>
    <t>BB42</t>
  </si>
  <si>
    <t>BB43</t>
  </si>
  <si>
    <t>BB44</t>
  </si>
  <si>
    <t>BB45</t>
  </si>
  <si>
    <t>BB46</t>
  </si>
  <si>
    <t>BB47</t>
  </si>
  <si>
    <t>BB48</t>
  </si>
  <si>
    <t>BB49</t>
  </si>
  <si>
    <t>BB50</t>
  </si>
  <si>
    <t>BB51</t>
  </si>
  <si>
    <t>BB52</t>
  </si>
  <si>
    <t>BB53</t>
  </si>
  <si>
    <t>BB54</t>
  </si>
  <si>
    <t>BB55</t>
  </si>
  <si>
    <t>BB56</t>
  </si>
  <si>
    <t>BB57</t>
  </si>
  <si>
    <t>BB58</t>
  </si>
  <si>
    <t>BB59</t>
  </si>
  <si>
    <t>BB60</t>
  </si>
  <si>
    <t>BB61</t>
  </si>
  <si>
    <t>BB62</t>
  </si>
  <si>
    <t>BB63</t>
  </si>
  <si>
    <t>BB64</t>
  </si>
  <si>
    <t>BB65</t>
  </si>
  <si>
    <t>BB66</t>
  </si>
  <si>
    <t>BB67</t>
  </si>
  <si>
    <t>BB68</t>
  </si>
  <si>
    <t>BB69</t>
  </si>
  <si>
    <t>BB70</t>
  </si>
  <si>
    <t>BB71</t>
  </si>
  <si>
    <t>BB72</t>
  </si>
  <si>
    <t>BB73</t>
  </si>
  <si>
    <t>BB74</t>
  </si>
  <si>
    <t>BB75</t>
  </si>
  <si>
    <t>BB76</t>
  </si>
  <si>
    <t>BB77</t>
  </si>
  <si>
    <t>BB78</t>
  </si>
  <si>
    <t>BB79</t>
  </si>
  <si>
    <t>BB80</t>
  </si>
  <si>
    <t>BB81</t>
  </si>
  <si>
    <t>BB82</t>
  </si>
  <si>
    <t>BB83</t>
  </si>
  <si>
    <t>BB84</t>
  </si>
  <si>
    <t>BB85</t>
  </si>
  <si>
    <t>BB86</t>
  </si>
  <si>
    <t>BB87</t>
  </si>
  <si>
    <t>BB88</t>
  </si>
  <si>
    <t>BB89</t>
  </si>
  <si>
    <t>BB90</t>
  </si>
  <si>
    <t>BB91</t>
  </si>
  <si>
    <t>BB92</t>
  </si>
  <si>
    <t>BB93</t>
  </si>
  <si>
    <t>BB94</t>
  </si>
  <si>
    <t>BB95</t>
  </si>
  <si>
    <t>BB96</t>
  </si>
  <si>
    <t>BB97</t>
  </si>
  <si>
    <t>BB98</t>
  </si>
  <si>
    <t>BB99</t>
  </si>
  <si>
    <t>BC00</t>
  </si>
  <si>
    <t>BC01</t>
  </si>
  <si>
    <t>BC02</t>
  </si>
  <si>
    <t>BC03</t>
  </si>
  <si>
    <t>BC04</t>
  </si>
  <si>
    <t>BC05</t>
  </si>
  <si>
    <t>BC06</t>
  </si>
  <si>
    <t>BC07</t>
  </si>
  <si>
    <t>BC08</t>
  </si>
  <si>
    <t>BC09</t>
  </si>
  <si>
    <t>BC10</t>
  </si>
  <si>
    <t>BC11</t>
  </si>
  <si>
    <t>BC12</t>
  </si>
  <si>
    <t>BC13</t>
  </si>
  <si>
    <t>BC14</t>
  </si>
  <si>
    <t>BC15</t>
  </si>
  <si>
    <t>BC16</t>
  </si>
  <si>
    <t>BC17</t>
  </si>
  <si>
    <t>BC18</t>
  </si>
  <si>
    <t>BC19</t>
  </si>
  <si>
    <t>BC20</t>
  </si>
  <si>
    <t>BC21</t>
  </si>
  <si>
    <t>BC22</t>
  </si>
  <si>
    <t>BC23</t>
  </si>
  <si>
    <t>BC24</t>
  </si>
  <si>
    <t>BC25</t>
  </si>
  <si>
    <t>BC26</t>
  </si>
  <si>
    <t>BC27</t>
  </si>
  <si>
    <t>BC28</t>
  </si>
  <si>
    <t>BC29</t>
  </si>
  <si>
    <t>BC30</t>
  </si>
  <si>
    <t>BC31</t>
  </si>
  <si>
    <t>BC32</t>
  </si>
  <si>
    <t>BC33</t>
  </si>
  <si>
    <t>BC34</t>
  </si>
  <si>
    <t>BC35</t>
  </si>
  <si>
    <t>BC36</t>
  </si>
  <si>
    <t>BC37</t>
  </si>
  <si>
    <t>BC38</t>
  </si>
  <si>
    <t>BC39</t>
  </si>
  <si>
    <t>BC40</t>
  </si>
  <si>
    <t>BC41</t>
  </si>
  <si>
    <t>BC42</t>
  </si>
  <si>
    <t>BC43</t>
  </si>
  <si>
    <t>BC44</t>
  </si>
  <si>
    <t>BC45</t>
  </si>
  <si>
    <t>BC46</t>
  </si>
  <si>
    <t>BC47</t>
  </si>
  <si>
    <t>BC48</t>
  </si>
  <si>
    <t>BC49</t>
  </si>
  <si>
    <t>BC50</t>
  </si>
  <si>
    <t>BC51</t>
  </si>
  <si>
    <t>BC52</t>
  </si>
  <si>
    <t>BC53</t>
  </si>
  <si>
    <t>BC54</t>
  </si>
  <si>
    <t>BC55</t>
  </si>
  <si>
    <t>BC56</t>
  </si>
  <si>
    <t>BC57</t>
  </si>
  <si>
    <t>BC58</t>
  </si>
  <si>
    <t>BC59</t>
  </si>
  <si>
    <t>BC60</t>
  </si>
  <si>
    <t>BC61</t>
  </si>
  <si>
    <t>BC62</t>
  </si>
  <si>
    <t>BC63</t>
  </si>
  <si>
    <t>BC64</t>
  </si>
  <si>
    <t>BC65</t>
  </si>
  <si>
    <t>BC66</t>
  </si>
  <si>
    <t>BC67</t>
  </si>
  <si>
    <t>BC68</t>
  </si>
  <si>
    <t>BC69</t>
  </si>
  <si>
    <t>BC70</t>
  </si>
  <si>
    <t>BC71</t>
  </si>
  <si>
    <t>BC72</t>
  </si>
  <si>
    <t>BC73</t>
  </si>
  <si>
    <t>BC74</t>
  </si>
  <si>
    <t>BC75</t>
  </si>
  <si>
    <t>BC76</t>
  </si>
  <si>
    <t>BC77</t>
  </si>
  <si>
    <t>BC78</t>
  </si>
  <si>
    <t>BC79</t>
  </si>
  <si>
    <t>BC80</t>
  </si>
  <si>
    <t>BC81</t>
  </si>
  <si>
    <t>BC82</t>
  </si>
  <si>
    <t>BC83</t>
  </si>
  <si>
    <t>BC84</t>
  </si>
  <si>
    <t>BC85</t>
  </si>
  <si>
    <t>BC86</t>
  </si>
  <si>
    <t>BC87</t>
  </si>
  <si>
    <t>BC88</t>
  </si>
  <si>
    <t>BC89</t>
  </si>
  <si>
    <t>BC90</t>
  </si>
  <si>
    <t>BC91</t>
  </si>
  <si>
    <t>BC92</t>
  </si>
  <si>
    <t>BC93</t>
  </si>
  <si>
    <t>BC94</t>
  </si>
  <si>
    <t>BC95</t>
  </si>
  <si>
    <t>BC96</t>
  </si>
  <si>
    <t>BC97</t>
  </si>
  <si>
    <t>BC98</t>
  </si>
  <si>
    <t>BC99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</si>
  <si>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</si>
  <si>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</si>
  <si>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</si>
  <si>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</si>
  <si>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</si>
  <si>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</si>
  <si>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</si>
  <si>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</si>
  <si>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</si>
  <si>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</si>
  <si>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</si>
  <si>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</si>
  <si>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</si>
  <si>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</si>
  <si>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</si>
  <si>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</si>
  <si>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</si>
  <si>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</si>
  <si>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</si>
  <si>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</si>
  <si>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BD20</t>
  </si>
  <si>
    <t>BD21</t>
  </si>
  <si>
    <t>BD22</t>
  </si>
  <si>
    <t>BD23</t>
  </si>
  <si>
    <t>BD24</t>
  </si>
  <si>
    <t>BD25</t>
  </si>
  <si>
    <t>BD26</t>
  </si>
  <si>
    <t>BD27</t>
  </si>
  <si>
    <t>BD28</t>
  </si>
  <si>
    <t>BD29</t>
  </si>
  <si>
    <t>BD30</t>
  </si>
  <si>
    <t>BD31</t>
  </si>
  <si>
    <t>BD32</t>
  </si>
  <si>
    <t>BD33</t>
  </si>
  <si>
    <t>BD34</t>
  </si>
  <si>
    <t>BD35</t>
  </si>
  <si>
    <t>BD36</t>
  </si>
  <si>
    <t>BD37</t>
  </si>
  <si>
    <t>BD38</t>
  </si>
  <si>
    <t>BD39</t>
  </si>
  <si>
    <t>BD40</t>
  </si>
  <si>
    <t>BD41</t>
  </si>
  <si>
    <t>BD42</t>
  </si>
  <si>
    <t>BD43</t>
  </si>
  <si>
    <t>BD44</t>
  </si>
  <si>
    <t>BD45</t>
  </si>
  <si>
    <t>BD46</t>
  </si>
  <si>
    <t>BD47</t>
  </si>
  <si>
    <t>BD48</t>
  </si>
  <si>
    <t>BD49</t>
  </si>
  <si>
    <t>BD50</t>
  </si>
  <si>
    <t>BD51</t>
  </si>
  <si>
    <t>BD52</t>
  </si>
  <si>
    <t>BD53</t>
  </si>
  <si>
    <t>BD54</t>
  </si>
  <si>
    <t>BD55</t>
  </si>
  <si>
    <t>BD56</t>
  </si>
  <si>
    <t>BD57</t>
  </si>
  <si>
    <t>BD58</t>
  </si>
  <si>
    <t>BD59</t>
  </si>
  <si>
    <t>BD60</t>
  </si>
  <si>
    <t>BD61</t>
  </si>
  <si>
    <t>BD62</t>
  </si>
  <si>
    <t>BD63</t>
  </si>
  <si>
    <t>BD64</t>
  </si>
  <si>
    <t>BD65</t>
  </si>
  <si>
    <t>BD66</t>
  </si>
  <si>
    <t>BD67</t>
  </si>
  <si>
    <t>BD68</t>
  </si>
  <si>
    <t>BD69</t>
  </si>
  <si>
    <t>BD70</t>
  </si>
  <si>
    <t>BD71</t>
  </si>
  <si>
    <t>BD72</t>
  </si>
  <si>
    <t>BD73</t>
  </si>
  <si>
    <t>BD74</t>
  </si>
  <si>
    <t>BD75</t>
  </si>
  <si>
    <t>BD76</t>
  </si>
  <si>
    <t>BD77</t>
  </si>
  <si>
    <t>BD78</t>
  </si>
  <si>
    <t>BD79</t>
  </si>
  <si>
    <t>BD80</t>
  </si>
  <si>
    <t>BD81</t>
  </si>
  <si>
    <t>BD82</t>
  </si>
  <si>
    <t>BD83</t>
  </si>
  <si>
    <t>BD84</t>
  </si>
  <si>
    <t>BD85</t>
  </si>
  <si>
    <t>BD86</t>
  </si>
  <si>
    <t>BD87</t>
  </si>
  <si>
    <t>BD88</t>
  </si>
  <si>
    <t>BD89</t>
  </si>
  <si>
    <t>BD90</t>
  </si>
  <si>
    <t>BD91</t>
  </si>
  <si>
    <t>BD92</t>
  </si>
  <si>
    <t>BD93</t>
  </si>
  <si>
    <t>BD94</t>
  </si>
  <si>
    <t>BD95</t>
  </si>
  <si>
    <t>BD96</t>
  </si>
  <si>
    <t>BD97</t>
  </si>
  <si>
    <t>BD98</t>
  </si>
  <si>
    <t>BD99</t>
  </si>
  <si>
    <t>BE00</t>
  </si>
  <si>
    <t>BE01</t>
  </si>
  <si>
    <t>BE02</t>
  </si>
  <si>
    <t>BE03</t>
  </si>
  <si>
    <t>BE04</t>
  </si>
  <si>
    <t>BE05</t>
  </si>
  <si>
    <t>BE06</t>
  </si>
  <si>
    <t>BE07</t>
  </si>
  <si>
    <t>BE08</t>
  </si>
  <si>
    <t>BE09</t>
  </si>
  <si>
    <t>BE10</t>
  </si>
  <si>
    <t>BE11</t>
  </si>
  <si>
    <t>BE12</t>
  </si>
  <si>
    <t>BE13</t>
  </si>
  <si>
    <t>BE14</t>
  </si>
  <si>
    <t>BE15</t>
  </si>
  <si>
    <t>BE16</t>
  </si>
  <si>
    <t>BE17</t>
  </si>
  <si>
    <t>BE18</t>
  </si>
  <si>
    <t>BE19</t>
  </si>
  <si>
    <t>BE20</t>
  </si>
  <si>
    <t>BE21</t>
  </si>
  <si>
    <t>BE22</t>
  </si>
  <si>
    <t>BE23</t>
  </si>
  <si>
    <t>BE24</t>
  </si>
  <si>
    <t>BE25</t>
  </si>
  <si>
    <t>BE26</t>
  </si>
  <si>
    <t>BE27</t>
  </si>
  <si>
    <t>BE28</t>
  </si>
  <si>
    <t>BE29</t>
  </si>
  <si>
    <t>BE30</t>
  </si>
  <si>
    <t>BE31</t>
  </si>
  <si>
    <t>BE32</t>
  </si>
  <si>
    <t>BE33</t>
  </si>
  <si>
    <t>BE34</t>
  </si>
  <si>
    <t>BE35</t>
  </si>
  <si>
    <t>BE36</t>
  </si>
  <si>
    <t>BE37</t>
  </si>
  <si>
    <t>BE38</t>
  </si>
  <si>
    <t>BE39</t>
  </si>
  <si>
    <t>BE40</t>
  </si>
  <si>
    <t>BE41</t>
  </si>
  <si>
    <t>BE42</t>
  </si>
  <si>
    <t>BE43</t>
  </si>
  <si>
    <t>BE44</t>
  </si>
  <si>
    <t>BE45</t>
  </si>
  <si>
    <t>BE46</t>
  </si>
  <si>
    <t>BE47</t>
  </si>
  <si>
    <t>BE48</t>
  </si>
  <si>
    <t>BE49</t>
  </si>
  <si>
    <t>BE50</t>
  </si>
  <si>
    <t>BE51</t>
  </si>
  <si>
    <t>BE52</t>
  </si>
  <si>
    <t>BE53</t>
  </si>
  <si>
    <t>BE54</t>
  </si>
  <si>
    <t>BE55</t>
  </si>
  <si>
    <t>BE56</t>
  </si>
  <si>
    <t>BE57</t>
  </si>
  <si>
    <t>BE58</t>
  </si>
  <si>
    <t>BE59</t>
  </si>
  <si>
    <t>BE60</t>
  </si>
  <si>
    <t>BE61</t>
  </si>
  <si>
    <t>BE62</t>
  </si>
  <si>
    <t>BE63</t>
  </si>
  <si>
    <t>BE64</t>
  </si>
  <si>
    <t>BE65</t>
  </si>
  <si>
    <t>BE66</t>
  </si>
  <si>
    <t>BE67</t>
  </si>
  <si>
    <t>BE68</t>
  </si>
  <si>
    <t>BE69</t>
  </si>
  <si>
    <t>BE70</t>
  </si>
  <si>
    <t>BE71</t>
  </si>
  <si>
    <t>BE72</t>
  </si>
  <si>
    <t>BE73</t>
  </si>
  <si>
    <t>BE74</t>
  </si>
  <si>
    <t>BE75</t>
  </si>
  <si>
    <t>BE76</t>
  </si>
  <si>
    <t>BE77</t>
  </si>
  <si>
    <t>BE78</t>
  </si>
  <si>
    <t>BE79</t>
  </si>
  <si>
    <t>BE80</t>
  </si>
  <si>
    <t>BE81</t>
  </si>
  <si>
    <t>BE82</t>
  </si>
  <si>
    <t>BE83</t>
  </si>
  <si>
    <t>BE84</t>
  </si>
  <si>
    <t>BE85</t>
  </si>
  <si>
    <t>BE86</t>
  </si>
  <si>
    <t>BE87</t>
  </si>
  <si>
    <t>BE88</t>
  </si>
  <si>
    <t>BE89</t>
  </si>
  <si>
    <t>BE90</t>
  </si>
  <si>
    <t>BE91</t>
  </si>
  <si>
    <t>BE92</t>
  </si>
  <si>
    <t>BE93</t>
  </si>
  <si>
    <t>BE94</t>
  </si>
  <si>
    <t>BE95</t>
  </si>
  <si>
    <t>BE96</t>
  </si>
  <si>
    <t>BE97</t>
  </si>
  <si>
    <t>BE98</t>
  </si>
  <si>
    <t>BE99</t>
  </si>
  <si>
    <t>BF00</t>
  </si>
  <si>
    <t>BF01</t>
  </si>
  <si>
    <t>BF02</t>
  </si>
  <si>
    <t>BF03</t>
  </si>
  <si>
    <t>BF04</t>
  </si>
  <si>
    <t>BF05</t>
  </si>
  <si>
    <t>BF06</t>
  </si>
  <si>
    <t>BF07</t>
  </si>
  <si>
    <t>BF08</t>
  </si>
  <si>
    <t>BF09</t>
  </si>
  <si>
    <t>BF10</t>
  </si>
  <si>
    <t>BF11</t>
  </si>
  <si>
    <t>BF12</t>
  </si>
  <si>
    <t>BF13</t>
  </si>
  <si>
    <t>BF14</t>
  </si>
  <si>
    <t>BF15</t>
  </si>
  <si>
    <t>BF16</t>
  </si>
  <si>
    <t>BF17</t>
  </si>
  <si>
    <t>BF18</t>
  </si>
  <si>
    <t>BF19</t>
  </si>
  <si>
    <t>BF20</t>
  </si>
  <si>
    <t>BF21</t>
  </si>
  <si>
    <t>BF22</t>
  </si>
  <si>
    <t>BF23</t>
  </si>
  <si>
    <t>BF24</t>
  </si>
  <si>
    <t>BF25</t>
  </si>
  <si>
    <t>BF26</t>
  </si>
  <si>
    <t>BF27</t>
  </si>
  <si>
    <t>BF28</t>
  </si>
  <si>
    <t>BF29</t>
  </si>
  <si>
    <t>BF30</t>
  </si>
  <si>
    <t>BF31</t>
  </si>
  <si>
    <t>BF32</t>
  </si>
  <si>
    <t>BF33</t>
  </si>
  <si>
    <t>BF34</t>
  </si>
  <si>
    <t>BF35</t>
  </si>
  <si>
    <t>BF36</t>
  </si>
  <si>
    <t>BF37</t>
  </si>
  <si>
    <t>BF38</t>
  </si>
  <si>
    <t>BF39</t>
  </si>
  <si>
    <t>BF40</t>
  </si>
  <si>
    <t>BF41</t>
  </si>
  <si>
    <t>BF42</t>
  </si>
  <si>
    <t>BF43</t>
  </si>
  <si>
    <t>BF44</t>
  </si>
  <si>
    <t>BF45</t>
  </si>
  <si>
    <t>BF46</t>
  </si>
  <si>
    <t>BF47</t>
  </si>
  <si>
    <t>BF48</t>
  </si>
  <si>
    <t>BF49</t>
  </si>
  <si>
    <t>BF50</t>
  </si>
  <si>
    <t>BF51</t>
  </si>
  <si>
    <t>BF52</t>
  </si>
  <si>
    <t>BF53</t>
  </si>
  <si>
    <t>BF54</t>
  </si>
  <si>
    <t>BF55</t>
  </si>
  <si>
    <t>BF56</t>
  </si>
  <si>
    <t>BF57</t>
  </si>
  <si>
    <t>BF58</t>
  </si>
  <si>
    <t>BF59</t>
  </si>
  <si>
    <t>BF60</t>
  </si>
  <si>
    <t>BF61</t>
  </si>
  <si>
    <t>BF62</t>
  </si>
  <si>
    <t>BF63</t>
  </si>
  <si>
    <t>BF64</t>
  </si>
  <si>
    <t>BF65</t>
  </si>
  <si>
    <t>BF66</t>
  </si>
  <si>
    <t>BF67</t>
  </si>
  <si>
    <t>BF68</t>
  </si>
  <si>
    <t>BF69</t>
  </si>
  <si>
    <t>BF70</t>
  </si>
  <si>
    <t>BF71</t>
  </si>
  <si>
    <t>BF72</t>
  </si>
  <si>
    <t>BF73</t>
  </si>
  <si>
    <t>BF74</t>
  </si>
  <si>
    <t>BF75</t>
  </si>
  <si>
    <t>BF76</t>
  </si>
  <si>
    <t>BF77</t>
  </si>
  <si>
    <t>BF78</t>
  </si>
  <si>
    <t>BF79</t>
  </si>
  <si>
    <t>BF80</t>
  </si>
  <si>
    <t>BF81</t>
  </si>
  <si>
    <t>BF82</t>
  </si>
  <si>
    <t>BF83</t>
  </si>
  <si>
    <t>BF84</t>
  </si>
  <si>
    <t>BF85</t>
  </si>
  <si>
    <t>BF86</t>
  </si>
  <si>
    <t>BF87</t>
  </si>
  <si>
    <t>BF88</t>
  </si>
  <si>
    <t>BF89</t>
  </si>
  <si>
    <t>BF90</t>
  </si>
  <si>
    <t>BF91</t>
  </si>
  <si>
    <t>BF92</t>
  </si>
  <si>
    <t>BF93</t>
  </si>
  <si>
    <t>BF94</t>
  </si>
  <si>
    <t>BF95</t>
  </si>
  <si>
    <t>BF96</t>
  </si>
  <si>
    <t>BF97</t>
  </si>
  <si>
    <t>BF98</t>
  </si>
  <si>
    <t>BF99</t>
  </si>
  <si>
    <t>BG00</t>
  </si>
  <si>
    <t>BG01</t>
  </si>
  <si>
    <t>BG02</t>
  </si>
  <si>
    <t>BG03</t>
  </si>
  <si>
    <t>BG04</t>
  </si>
  <si>
    <t>BG05</t>
  </si>
  <si>
    <t>BG06</t>
  </si>
  <si>
    <t>BG07</t>
  </si>
  <si>
    <t>BG08</t>
  </si>
  <si>
    <t>BG09</t>
  </si>
  <si>
    <t>BG10</t>
  </si>
  <si>
    <t>BG11</t>
  </si>
  <si>
    <t>BG12</t>
  </si>
  <si>
    <t>BG13</t>
  </si>
  <si>
    <t>BG14</t>
  </si>
  <si>
    <t>BG15</t>
  </si>
  <si>
    <t>BG16</t>
  </si>
  <si>
    <t>BG17</t>
  </si>
  <si>
    <t>BG18</t>
  </si>
  <si>
    <t>BG19</t>
  </si>
  <si>
    <t>BG20</t>
  </si>
  <si>
    <t>BG21</t>
  </si>
  <si>
    <t>BG22</t>
  </si>
  <si>
    <t>BG23</t>
  </si>
  <si>
    <t>BG24</t>
  </si>
  <si>
    <t>BG25</t>
  </si>
  <si>
    <t>BG26</t>
  </si>
  <si>
    <t>BG27</t>
  </si>
  <si>
    <t>BG28</t>
  </si>
  <si>
    <t>BG29</t>
  </si>
  <si>
    <t>BG30</t>
  </si>
  <si>
    <t>BG31</t>
  </si>
  <si>
    <t>BG32</t>
  </si>
  <si>
    <t>BG33</t>
  </si>
  <si>
    <t>BG34</t>
  </si>
  <si>
    <t>BG35</t>
  </si>
  <si>
    <t>BG36</t>
  </si>
  <si>
    <t>BG37</t>
  </si>
  <si>
    <t>BG38</t>
  </si>
  <si>
    <t>BG39</t>
  </si>
  <si>
    <t>BG40</t>
  </si>
  <si>
    <t>BG41</t>
  </si>
  <si>
    <t>BG42</t>
  </si>
  <si>
    <t>BG43</t>
  </si>
  <si>
    <t>BG44</t>
  </si>
  <si>
    <t>BG45</t>
  </si>
  <si>
    <t>BG46</t>
  </si>
  <si>
    <t>BG47</t>
  </si>
  <si>
    <t>BG48</t>
  </si>
  <si>
    <t>BG49</t>
  </si>
  <si>
    <t>BG50</t>
  </si>
  <si>
    <t>BG51</t>
  </si>
  <si>
    <t>BG52</t>
  </si>
  <si>
    <t>BG53</t>
  </si>
  <si>
    <t>BG54</t>
  </si>
  <si>
    <t>BG55</t>
  </si>
  <si>
    <t>BG56</t>
  </si>
  <si>
    <t>BG57</t>
  </si>
  <si>
    <t>BG58</t>
  </si>
  <si>
    <t>BG59</t>
  </si>
  <si>
    <t>BG60</t>
  </si>
  <si>
    <t>BG61</t>
  </si>
  <si>
    <t>BG62</t>
  </si>
  <si>
    <t>BG63</t>
  </si>
  <si>
    <t>BG64</t>
  </si>
  <si>
    <t>BG65</t>
  </si>
  <si>
    <t>BG66</t>
  </si>
  <si>
    <t>BG67</t>
  </si>
  <si>
    <t>BG68</t>
  </si>
  <si>
    <t>BG69</t>
  </si>
  <si>
    <t>BG70</t>
  </si>
  <si>
    <t>BG71</t>
  </si>
  <si>
    <t>BG72</t>
  </si>
  <si>
    <t>BG73</t>
  </si>
  <si>
    <t>BG74</t>
  </si>
  <si>
    <t>BG75</t>
  </si>
  <si>
    <t>BG76</t>
  </si>
  <si>
    <t>BG77</t>
  </si>
  <si>
    <t>BG78</t>
  </si>
  <si>
    <t>BG79</t>
  </si>
  <si>
    <t>BG80</t>
  </si>
  <si>
    <t>BG81</t>
  </si>
  <si>
    <t>BG82</t>
  </si>
  <si>
    <t>BG83</t>
  </si>
  <si>
    <t>BG84</t>
  </si>
  <si>
    <t>BG85</t>
  </si>
  <si>
    <t>BG86</t>
  </si>
  <si>
    <t>BG87</t>
  </si>
  <si>
    <t>BG88</t>
  </si>
  <si>
    <t>BG89</t>
  </si>
  <si>
    <t>BG90</t>
  </si>
  <si>
    <t>BG91</t>
  </si>
  <si>
    <t>BG92</t>
  </si>
  <si>
    <t>BG93</t>
  </si>
  <si>
    <t>BG94</t>
  </si>
  <si>
    <t>BG95</t>
  </si>
  <si>
    <t>BG96</t>
  </si>
  <si>
    <t>BG97</t>
  </si>
  <si>
    <t>BG98</t>
  </si>
  <si>
    <t>BG99</t>
  </si>
  <si>
    <t>BH00</t>
  </si>
  <si>
    <t>BH01</t>
  </si>
  <si>
    <t>BH02</t>
  </si>
  <si>
    <t>BH03</t>
  </si>
  <si>
    <t>BH04</t>
  </si>
  <si>
    <t>BH05</t>
  </si>
  <si>
    <t>BH06</t>
  </si>
  <si>
    <t>BH07</t>
  </si>
  <si>
    <t>BH08</t>
  </si>
  <si>
    <t>BH09</t>
  </si>
  <si>
    <t>BH10</t>
  </si>
  <si>
    <t>BH11</t>
  </si>
  <si>
    <t>BH12</t>
  </si>
  <si>
    <t>BH13</t>
  </si>
  <si>
    <t>BH14</t>
  </si>
  <si>
    <t>BH15</t>
  </si>
  <si>
    <t>BH16</t>
  </si>
  <si>
    <t>BH17</t>
  </si>
  <si>
    <t>BH18</t>
  </si>
  <si>
    <t>BH19</t>
  </si>
  <si>
    <t>BH20</t>
  </si>
  <si>
    <t>BH21</t>
  </si>
  <si>
    <t>BH22</t>
  </si>
  <si>
    <t>BH23</t>
  </si>
  <si>
    <t>BH24</t>
  </si>
  <si>
    <t>BH25</t>
  </si>
  <si>
    <t>BH26</t>
  </si>
  <si>
    <t>BH27</t>
  </si>
  <si>
    <t>BH28</t>
  </si>
  <si>
    <t>BH29</t>
  </si>
  <si>
    <t>BH30</t>
  </si>
  <si>
    <t>BH31</t>
  </si>
  <si>
    <t>BH32</t>
  </si>
  <si>
    <t>BH33</t>
  </si>
  <si>
    <t>BH34</t>
  </si>
  <si>
    <t>BH35</t>
  </si>
  <si>
    <t>BH36</t>
  </si>
  <si>
    <t>BH37</t>
  </si>
  <si>
    <t>BH38</t>
  </si>
  <si>
    <t>BH39</t>
  </si>
  <si>
    <t>BH40</t>
  </si>
  <si>
    <t>BH41</t>
  </si>
  <si>
    <t>BH42</t>
  </si>
  <si>
    <t>BH43</t>
  </si>
  <si>
    <t>BH44</t>
  </si>
  <si>
    <t>BH45</t>
  </si>
  <si>
    <t>BH46</t>
  </si>
  <si>
    <t>BH47</t>
  </si>
  <si>
    <t>BH48</t>
  </si>
  <si>
    <t>BH49</t>
  </si>
  <si>
    <t>BH50</t>
  </si>
  <si>
    <t>BH51</t>
  </si>
  <si>
    <t>BH52</t>
  </si>
  <si>
    <t>BH53</t>
  </si>
  <si>
    <t>BH54</t>
  </si>
  <si>
    <t>BH55</t>
  </si>
  <si>
    <t>BH56</t>
  </si>
  <si>
    <t>BH57</t>
  </si>
  <si>
    <t>BH58</t>
  </si>
  <si>
    <t>BH59</t>
  </si>
  <si>
    <t>BH60</t>
  </si>
  <si>
    <t>BH61</t>
  </si>
  <si>
    <t>BH62</t>
  </si>
  <si>
    <t>BH63</t>
  </si>
  <si>
    <t>BH64</t>
  </si>
  <si>
    <t>BH65</t>
  </si>
  <si>
    <t>BH66</t>
  </si>
  <si>
    <t>BH67</t>
  </si>
  <si>
    <t>BH68</t>
  </si>
  <si>
    <t>BH69</t>
  </si>
  <si>
    <t>BH70</t>
  </si>
  <si>
    <t>BH71</t>
  </si>
  <si>
    <t>BH72</t>
  </si>
  <si>
    <t>BH73</t>
  </si>
  <si>
    <t>BH74</t>
  </si>
  <si>
    <t>BH75</t>
  </si>
  <si>
    <t>BH76</t>
  </si>
  <si>
    <t>BH77</t>
  </si>
  <si>
    <t>BH78</t>
  </si>
  <si>
    <t>BH79</t>
  </si>
  <si>
    <t>BH80</t>
  </si>
  <si>
    <t>BH81</t>
  </si>
  <si>
    <t>BH82</t>
  </si>
  <si>
    <t>BH83</t>
  </si>
  <si>
    <t>BH84</t>
  </si>
  <si>
    <t>BH85</t>
  </si>
  <si>
    <t>BH86</t>
  </si>
  <si>
    <t>BH87</t>
  </si>
  <si>
    <t>BH88</t>
  </si>
  <si>
    <t>BH89</t>
  </si>
  <si>
    <t>BH90</t>
  </si>
  <si>
    <t>BH91</t>
  </si>
  <si>
    <t>BH92</t>
  </si>
  <si>
    <t>BH93</t>
  </si>
  <si>
    <t>BH94</t>
  </si>
  <si>
    <t>BH95</t>
  </si>
  <si>
    <t>BH96</t>
  </si>
  <si>
    <t>BH97</t>
  </si>
  <si>
    <t>BH98</t>
  </si>
  <si>
    <t>BH99</t>
  </si>
  <si>
    <t>BJ00</t>
  </si>
  <si>
    <t>BJ01</t>
  </si>
  <si>
    <t>BJ02</t>
  </si>
  <si>
    <t>BJ03</t>
  </si>
  <si>
    <t>BJ04</t>
  </si>
  <si>
    <t>BJ05</t>
  </si>
  <si>
    <t>BJ06</t>
  </si>
  <si>
    <t>BJ07</t>
  </si>
  <si>
    <t>BJ08</t>
  </si>
  <si>
    <t>BJ09</t>
  </si>
  <si>
    <t>BJ10</t>
  </si>
  <si>
    <t>BJ11</t>
  </si>
  <si>
    <t>BJ12</t>
  </si>
  <si>
    <t>BJ13</t>
  </si>
  <si>
    <t>BJ14</t>
  </si>
  <si>
    <t>BJ15</t>
  </si>
  <si>
    <t>BJ16</t>
  </si>
  <si>
    <t>BJ17</t>
  </si>
  <si>
    <t>BJ18</t>
  </si>
  <si>
    <t>BJ19</t>
  </si>
  <si>
    <t>BJ20</t>
  </si>
  <si>
    <t>BJ21</t>
  </si>
  <si>
    <t>BJ22</t>
  </si>
  <si>
    <t>BJ23</t>
  </si>
  <si>
    <t>BJ24</t>
  </si>
  <si>
    <t>BJ25</t>
  </si>
  <si>
    <t>BJ26</t>
  </si>
  <si>
    <t>BJ27</t>
  </si>
  <si>
    <t>BJ28</t>
  </si>
  <si>
    <t>BJ29</t>
  </si>
  <si>
    <t>BJ30</t>
  </si>
  <si>
    <t>BJ31</t>
  </si>
  <si>
    <t>BJ32</t>
  </si>
  <si>
    <t>BJ33</t>
  </si>
  <si>
    <t>BJ34</t>
  </si>
  <si>
    <t>BJ35</t>
  </si>
  <si>
    <t>BJ36</t>
  </si>
  <si>
    <t>BJ37</t>
  </si>
  <si>
    <t>BJ38</t>
  </si>
  <si>
    <t>BJ39</t>
  </si>
  <si>
    <t>BJ40</t>
  </si>
  <si>
    <t>BJ41</t>
  </si>
  <si>
    <t>BJ42</t>
  </si>
  <si>
    <t>BJ43</t>
  </si>
  <si>
    <t>BJ44</t>
  </si>
  <si>
    <t>BJ45</t>
  </si>
  <si>
    <t>BJ46</t>
  </si>
  <si>
    <t>BJ47</t>
  </si>
  <si>
    <t>BJ48</t>
  </si>
  <si>
    <t>BJ49</t>
  </si>
  <si>
    <t>BJ50</t>
  </si>
  <si>
    <t>BJ51</t>
  </si>
  <si>
    <t>BJ52</t>
  </si>
  <si>
    <t>BJ53</t>
  </si>
  <si>
    <t>BJ54</t>
  </si>
  <si>
    <t>BJ55</t>
  </si>
  <si>
    <t>BJ56</t>
  </si>
  <si>
    <t>BJ57</t>
  </si>
  <si>
    <t>BJ58</t>
  </si>
  <si>
    <t>BJ59</t>
  </si>
  <si>
    <t>BJ60</t>
  </si>
  <si>
    <t>BJ61</t>
  </si>
  <si>
    <t>BJ62</t>
  </si>
  <si>
    <t>BJ63</t>
  </si>
  <si>
    <t>BJ64</t>
  </si>
  <si>
    <t>BJ65</t>
  </si>
  <si>
    <t>BJ66</t>
  </si>
  <si>
    <t>BJ67</t>
  </si>
  <si>
    <t>BJ68</t>
  </si>
  <si>
    <t>BJ69</t>
  </si>
  <si>
    <t>BJ70</t>
  </si>
  <si>
    <t>BJ71</t>
  </si>
  <si>
    <t>BJ72</t>
  </si>
  <si>
    <t>BJ73</t>
  </si>
  <si>
    <t>BJ74</t>
  </si>
  <si>
    <t>BJ75</t>
  </si>
  <si>
    <t>BJ76</t>
  </si>
  <si>
    <t>BJ77</t>
  </si>
  <si>
    <t>BJ78</t>
  </si>
  <si>
    <t>BJ79</t>
  </si>
  <si>
    <t>BJ80</t>
  </si>
  <si>
    <t>BJ81</t>
  </si>
  <si>
    <t>BJ82</t>
  </si>
  <si>
    <t>BJ83</t>
  </si>
  <si>
    <t>BJ84</t>
  </si>
  <si>
    <t>BJ85</t>
  </si>
  <si>
    <t>BJ86</t>
  </si>
  <si>
    <t>BJ87</t>
  </si>
  <si>
    <t>BJ88</t>
  </si>
  <si>
    <t>BJ89</t>
  </si>
  <si>
    <t>BJ90</t>
  </si>
  <si>
    <t>BJ91</t>
  </si>
  <si>
    <t>BJ92</t>
  </si>
  <si>
    <t>BJ93</t>
  </si>
  <si>
    <t>BJ94</t>
  </si>
  <si>
    <t>BJ95</t>
  </si>
  <si>
    <t>BJ96</t>
  </si>
  <si>
    <t>BJ97</t>
  </si>
  <si>
    <t>BJ98</t>
  </si>
  <si>
    <t>BJ99</t>
  </si>
  <si>
    <t>BK00</t>
  </si>
  <si>
    <t>BK01</t>
  </si>
  <si>
    <t>BK02</t>
  </si>
  <si>
    <t>BK03</t>
  </si>
  <si>
    <t>BK04</t>
  </si>
  <si>
    <t>BK05</t>
  </si>
  <si>
    <t>BK06</t>
  </si>
  <si>
    <t>BK07</t>
  </si>
  <si>
    <t>BK08</t>
  </si>
  <si>
    <t>BK09</t>
  </si>
  <si>
    <t>BK10</t>
  </si>
  <si>
    <t>BK11</t>
  </si>
  <si>
    <t>BK12</t>
  </si>
  <si>
    <t>BK13</t>
  </si>
  <si>
    <t>BK14</t>
  </si>
  <si>
    <t>BK15</t>
  </si>
  <si>
    <t>BK16</t>
  </si>
  <si>
    <t>BK17</t>
  </si>
  <si>
    <t>BK18</t>
  </si>
  <si>
    <t>BK19</t>
  </si>
  <si>
    <t>BK20</t>
  </si>
  <si>
    <t>BK21</t>
  </si>
  <si>
    <t>BK22</t>
  </si>
  <si>
    <t>BK23</t>
  </si>
  <si>
    <t>BK24</t>
  </si>
  <si>
    <t>BK25</t>
  </si>
  <si>
    <t>BK26</t>
  </si>
  <si>
    <t>BK27</t>
  </si>
  <si>
    <t>BK28</t>
  </si>
  <si>
    <t>BK29</t>
  </si>
  <si>
    <t>BK30</t>
  </si>
  <si>
    <t>BK31</t>
  </si>
  <si>
    <t>BK32</t>
  </si>
  <si>
    <t>BK33</t>
  </si>
  <si>
    <t>BK34</t>
  </si>
  <si>
    <t>BK35</t>
  </si>
  <si>
    <t>BK36</t>
  </si>
  <si>
    <t>BK37</t>
  </si>
  <si>
    <t>BK38</t>
  </si>
  <si>
    <t>BK39</t>
  </si>
  <si>
    <t>BK40</t>
  </si>
  <si>
    <t>BK41</t>
  </si>
  <si>
    <t>BK42</t>
  </si>
  <si>
    <t>BK43</t>
  </si>
  <si>
    <t>BK44</t>
  </si>
  <si>
    <t>BK45</t>
  </si>
  <si>
    <t>BK46</t>
  </si>
  <si>
    <t>BK47</t>
  </si>
  <si>
    <t>BK48</t>
  </si>
  <si>
    <t>BK49</t>
  </si>
  <si>
    <t>BK50</t>
  </si>
  <si>
    <t>BK51</t>
  </si>
  <si>
    <t>BK52</t>
  </si>
  <si>
    <t>BK53</t>
  </si>
  <si>
    <t>BK54</t>
  </si>
  <si>
    <t>BK55</t>
  </si>
  <si>
    <t>BK56</t>
  </si>
  <si>
    <t>BK57</t>
  </si>
  <si>
    <t>BK58</t>
  </si>
  <si>
    <t>BK59</t>
  </si>
  <si>
    <t>BK60</t>
  </si>
  <si>
    <t>BK61</t>
  </si>
  <si>
    <t>BK62</t>
  </si>
  <si>
    <t>BK63</t>
  </si>
  <si>
    <t>BK64</t>
  </si>
  <si>
    <t>BK65</t>
  </si>
  <si>
    <t>BK66</t>
  </si>
  <si>
    <t>BK67</t>
  </si>
  <si>
    <t>BK68</t>
  </si>
  <si>
    <t>BK69</t>
  </si>
  <si>
    <t>BK70</t>
  </si>
  <si>
    <t>BK71</t>
  </si>
  <si>
    <t>BK72</t>
  </si>
  <si>
    <t>BK73</t>
  </si>
  <si>
    <t>BK74</t>
  </si>
  <si>
    <t>BK75</t>
  </si>
  <si>
    <t>BK76</t>
  </si>
  <si>
    <t>BK77</t>
  </si>
  <si>
    <t>BK78</t>
  </si>
  <si>
    <t>BK79</t>
  </si>
  <si>
    <t>BK80</t>
  </si>
  <si>
    <t>BK81</t>
  </si>
  <si>
    <t>BK82</t>
  </si>
  <si>
    <t>BK83</t>
  </si>
  <si>
    <t>BK84</t>
  </si>
  <si>
    <t>BK85</t>
  </si>
  <si>
    <t>BK86</t>
  </si>
  <si>
    <t>BK87</t>
  </si>
  <si>
    <t>BK88</t>
  </si>
  <si>
    <t>BK89</t>
  </si>
  <si>
    <t>BK90</t>
  </si>
  <si>
    <t>BK91</t>
  </si>
  <si>
    <t>BK92</t>
  </si>
  <si>
    <t>BK93</t>
  </si>
  <si>
    <t>BK94</t>
  </si>
  <si>
    <t>BK95</t>
  </si>
  <si>
    <t>BK96</t>
  </si>
  <si>
    <t>BK97</t>
  </si>
  <si>
    <t>BK98</t>
  </si>
  <si>
    <t>BK99</t>
  </si>
  <si>
    <t>BL00</t>
  </si>
  <si>
    <t>BL01</t>
  </si>
  <si>
    <t>BL02</t>
  </si>
  <si>
    <t>BL03</t>
  </si>
  <si>
    <t>BL04</t>
  </si>
  <si>
    <t>BL05</t>
  </si>
  <si>
    <t>BL06</t>
  </si>
  <si>
    <t>BL07</t>
  </si>
  <si>
    <t>BL08</t>
  </si>
  <si>
    <t>BL09</t>
  </si>
  <si>
    <t>BL10</t>
  </si>
  <si>
    <t>BL11</t>
  </si>
  <si>
    <t>BL12</t>
  </si>
  <si>
    <t>BL13</t>
  </si>
  <si>
    <t>BL14</t>
  </si>
  <si>
    <t>BL15</t>
  </si>
  <si>
    <t>BL16</t>
  </si>
  <si>
    <t>BL17</t>
  </si>
  <si>
    <t>BL18</t>
  </si>
  <si>
    <t>BL19</t>
  </si>
  <si>
    <t>BL20</t>
  </si>
  <si>
    <t>BL21</t>
  </si>
  <si>
    <t>BL22</t>
  </si>
  <si>
    <t>BL23</t>
  </si>
  <si>
    <t>BL24</t>
  </si>
  <si>
    <t>BL25</t>
  </si>
  <si>
    <t>BL26</t>
  </si>
  <si>
    <t>BL27</t>
  </si>
  <si>
    <t>BL28</t>
  </si>
  <si>
    <t>BL29</t>
  </si>
  <si>
    <t>BL30</t>
  </si>
  <si>
    <t>BL31</t>
  </si>
  <si>
    <t>BL32</t>
  </si>
  <si>
    <t>BL33</t>
  </si>
  <si>
    <t>BL34</t>
  </si>
  <si>
    <t>BL35</t>
  </si>
  <si>
    <t>BL36</t>
  </si>
  <si>
    <t>BL37</t>
  </si>
  <si>
    <t>BL38</t>
  </si>
  <si>
    <t>BL39</t>
  </si>
  <si>
    <t>BL40</t>
  </si>
  <si>
    <t>BL41</t>
  </si>
  <si>
    <t>BL42</t>
  </si>
  <si>
    <t>BL43</t>
  </si>
  <si>
    <t>BL44</t>
  </si>
  <si>
    <t>BL45</t>
  </si>
  <si>
    <t>BL46</t>
  </si>
  <si>
    <t>BL47</t>
  </si>
  <si>
    <t>BL48</t>
  </si>
  <si>
    <t>BL49</t>
  </si>
  <si>
    <t>BL50</t>
  </si>
  <si>
    <t>BL51</t>
  </si>
  <si>
    <t>BL52</t>
  </si>
  <si>
    <t>BL53</t>
  </si>
  <si>
    <t>BL54</t>
  </si>
  <si>
    <t>BL55</t>
  </si>
  <si>
    <t>BL56</t>
  </si>
  <si>
    <t>BL57</t>
  </si>
  <si>
    <t>BL58</t>
  </si>
  <si>
    <t>BL59</t>
  </si>
  <si>
    <t>BL60</t>
  </si>
  <si>
    <t>BL61</t>
  </si>
  <si>
    <t>BL62</t>
  </si>
  <si>
    <t>BL63</t>
  </si>
  <si>
    <t>BL64</t>
  </si>
  <si>
    <t>BL65</t>
  </si>
  <si>
    <t>BL66</t>
  </si>
  <si>
    <t>BL67</t>
  </si>
  <si>
    <t>BL68</t>
  </si>
  <si>
    <t>BL69</t>
  </si>
  <si>
    <t>BL70</t>
  </si>
  <si>
    <t>BL71</t>
  </si>
  <si>
    <t>BL72</t>
  </si>
  <si>
    <t>BL73</t>
  </si>
  <si>
    <t>BL74</t>
  </si>
  <si>
    <t>BL75</t>
  </si>
  <si>
    <t>BL76</t>
  </si>
  <si>
    <t>BL77</t>
  </si>
  <si>
    <t>BL78</t>
  </si>
  <si>
    <t>BL79</t>
  </si>
  <si>
    <t>BL80</t>
  </si>
  <si>
    <t>BL81</t>
  </si>
  <si>
    <t>BL82</t>
  </si>
  <si>
    <t>BL83</t>
  </si>
  <si>
    <t>BL84</t>
  </si>
  <si>
    <t>BL85</t>
  </si>
  <si>
    <t>BL86</t>
  </si>
  <si>
    <t>BL87</t>
  </si>
  <si>
    <t>BL88</t>
  </si>
  <si>
    <t>BL89</t>
  </si>
  <si>
    <t>BL90</t>
  </si>
  <si>
    <t>BL91</t>
  </si>
  <si>
    <t>BL92</t>
  </si>
  <si>
    <t>BL93</t>
  </si>
  <si>
    <t>BL94</t>
  </si>
  <si>
    <t>BL95</t>
  </si>
  <si>
    <t>BL96</t>
  </si>
  <si>
    <t>BL97</t>
  </si>
  <si>
    <t>BL98</t>
  </si>
  <si>
    <t>BL99</t>
  </si>
  <si>
    <t>BM00</t>
  </si>
  <si>
    <t>BM01</t>
  </si>
  <si>
    <t>BM02</t>
  </si>
  <si>
    <t>BM03</t>
  </si>
  <si>
    <t>BM04</t>
  </si>
  <si>
    <t>BM05</t>
  </si>
  <si>
    <t>BM06</t>
  </si>
  <si>
    <t>BM07</t>
  </si>
  <si>
    <t>BM08</t>
  </si>
  <si>
    <t>BM09</t>
  </si>
  <si>
    <t>BM10</t>
  </si>
  <si>
    <t>BM11</t>
  </si>
  <si>
    <t>BM12</t>
  </si>
  <si>
    <t>BM13</t>
  </si>
  <si>
    <t>BM14</t>
  </si>
  <si>
    <t>BM15</t>
  </si>
  <si>
    <t>BM16</t>
  </si>
  <si>
    <t>BM17</t>
  </si>
  <si>
    <t>BM18</t>
  </si>
  <si>
    <t>BM19</t>
  </si>
  <si>
    <t>BM20</t>
  </si>
  <si>
    <t>BM21</t>
  </si>
  <si>
    <t>BM22</t>
  </si>
  <si>
    <t>BM23</t>
  </si>
  <si>
    <t>BM24</t>
  </si>
  <si>
    <t>BM25</t>
  </si>
  <si>
    <t>BM26</t>
  </si>
  <si>
    <t>BM27</t>
  </si>
  <si>
    <t>BM28</t>
  </si>
  <si>
    <t>BM29</t>
  </si>
  <si>
    <t>BM30</t>
  </si>
  <si>
    <t>BM31</t>
  </si>
  <si>
    <t>BM32</t>
  </si>
  <si>
    <t>BM33</t>
  </si>
  <si>
    <t>BM34</t>
  </si>
  <si>
    <t>BM35</t>
  </si>
  <si>
    <t>BM36</t>
  </si>
  <si>
    <t>BM37</t>
  </si>
  <si>
    <t>BM38</t>
  </si>
  <si>
    <t>BM39</t>
  </si>
  <si>
    <t>BM40</t>
  </si>
  <si>
    <t>BM41</t>
  </si>
  <si>
    <t>BM42</t>
  </si>
  <si>
    <t>BM43</t>
  </si>
  <si>
    <t>BM44</t>
  </si>
  <si>
    <t>BM45</t>
  </si>
  <si>
    <t>BM46</t>
  </si>
  <si>
    <t>BM47</t>
  </si>
  <si>
    <t>BM48</t>
  </si>
  <si>
    <t>BM49</t>
  </si>
  <si>
    <t>BM50</t>
  </si>
  <si>
    <t>BM51</t>
  </si>
  <si>
    <t>BM52</t>
  </si>
  <si>
    <t>BM53</t>
  </si>
  <si>
    <t>BM54</t>
  </si>
  <si>
    <t>BM55</t>
  </si>
  <si>
    <t>BM56</t>
  </si>
  <si>
    <t>BM57</t>
  </si>
  <si>
    <t>BM58</t>
  </si>
  <si>
    <t>BM59</t>
  </si>
  <si>
    <t>BM60</t>
  </si>
  <si>
    <t>BM61</t>
  </si>
  <si>
    <t>BM62</t>
  </si>
  <si>
    <t>BM63</t>
  </si>
  <si>
    <t>BM64</t>
  </si>
  <si>
    <t>BM65</t>
  </si>
  <si>
    <t>BM66</t>
  </si>
  <si>
    <t>BM67</t>
  </si>
  <si>
    <t>BM68</t>
  </si>
  <si>
    <t>BM69</t>
  </si>
  <si>
    <t>BM70</t>
  </si>
  <si>
    <t>BM71</t>
  </si>
  <si>
    <t>BM72</t>
  </si>
  <si>
    <t>BM73</t>
  </si>
  <si>
    <t>BM74</t>
  </si>
  <si>
    <t>BM75</t>
  </si>
  <si>
    <t>BM76</t>
  </si>
  <si>
    <t>BM77</t>
  </si>
  <si>
    <t>BM78</t>
  </si>
  <si>
    <t>BM79</t>
  </si>
  <si>
    <t>BM80</t>
  </si>
  <si>
    <t>BM81</t>
  </si>
  <si>
    <t>BM82</t>
  </si>
  <si>
    <t>BM83</t>
  </si>
  <si>
    <t>BM84</t>
  </si>
  <si>
    <t>BM85</t>
  </si>
  <si>
    <t>BM86</t>
  </si>
  <si>
    <t>BM87</t>
  </si>
  <si>
    <t>BM88</t>
  </si>
  <si>
    <t>BM89</t>
  </si>
  <si>
    <t>BM90</t>
  </si>
  <si>
    <t>BM91</t>
  </si>
  <si>
    <t>BM92</t>
  </si>
  <si>
    <t>BM93</t>
  </si>
  <si>
    <t>BM94</t>
  </si>
  <si>
    <t>BM95</t>
  </si>
  <si>
    <t>BM96</t>
  </si>
  <si>
    <t>BM97</t>
  </si>
  <si>
    <t>BM98</t>
  </si>
  <si>
    <t>BM99</t>
  </si>
  <si>
    <t>BN00</t>
  </si>
  <si>
    <t>BN01</t>
  </si>
  <si>
    <t>BN02</t>
  </si>
  <si>
    <t>BN03</t>
  </si>
  <si>
    <t>BN04</t>
  </si>
  <si>
    <t>BN05</t>
  </si>
  <si>
    <t>BN06</t>
  </si>
  <si>
    <t>BN07</t>
  </si>
  <si>
    <t>BN08</t>
  </si>
  <si>
    <t>BN09</t>
  </si>
  <si>
    <t>BN10</t>
  </si>
  <si>
    <t>BN11</t>
  </si>
  <si>
    <t>BN12</t>
  </si>
  <si>
    <t>BN13</t>
  </si>
  <si>
    <t>BN14</t>
  </si>
  <si>
    <t>BN15</t>
  </si>
  <si>
    <t>BN16</t>
  </si>
  <si>
    <t>BN17</t>
  </si>
  <si>
    <t>BN18</t>
  </si>
  <si>
    <t>BN19</t>
  </si>
  <si>
    <t>BN20</t>
  </si>
  <si>
    <t>BN21</t>
  </si>
  <si>
    <t>BN22</t>
  </si>
  <si>
    <t>BN23</t>
  </si>
  <si>
    <t>BN24</t>
  </si>
  <si>
    <t>BN25</t>
  </si>
  <si>
    <t>BN26</t>
  </si>
  <si>
    <t>BN27</t>
  </si>
  <si>
    <t>BN28</t>
  </si>
  <si>
    <t>BN29</t>
  </si>
  <si>
    <t>BN30</t>
  </si>
  <si>
    <t>BN31</t>
  </si>
  <si>
    <t>BN32</t>
  </si>
  <si>
    <t>BN33</t>
  </si>
  <si>
    <t>BN34</t>
  </si>
  <si>
    <t>BN35</t>
  </si>
  <si>
    <t>BN36</t>
  </si>
  <si>
    <t>BN37</t>
  </si>
  <si>
    <t>BN38</t>
  </si>
  <si>
    <t>BN39</t>
  </si>
  <si>
    <t>BN40</t>
  </si>
  <si>
    <t>BN41</t>
  </si>
  <si>
    <t>BN42</t>
  </si>
  <si>
    <t>BN43</t>
  </si>
  <si>
    <t>BN44</t>
  </si>
  <si>
    <t>BN45</t>
  </si>
  <si>
    <t>BN46</t>
  </si>
  <si>
    <t>BN47</t>
  </si>
  <si>
    <t>BN48</t>
  </si>
  <si>
    <t>BN49</t>
  </si>
  <si>
    <t>BN50</t>
  </si>
  <si>
    <t>BN51</t>
  </si>
  <si>
    <t>BN52</t>
  </si>
  <si>
    <t>BN53</t>
  </si>
  <si>
    <t>BN54</t>
  </si>
  <si>
    <t>BN55</t>
  </si>
  <si>
    <t>BN56</t>
  </si>
  <si>
    <t>BN57</t>
  </si>
  <si>
    <t>BN58</t>
  </si>
  <si>
    <t>BN59</t>
  </si>
  <si>
    <t>BN60</t>
  </si>
  <si>
    <t>BN61</t>
  </si>
  <si>
    <t>BN62</t>
  </si>
  <si>
    <t>BN63</t>
  </si>
  <si>
    <t>BN64</t>
  </si>
  <si>
    <t>BN65</t>
  </si>
  <si>
    <t>BN66</t>
  </si>
  <si>
    <t>BN67</t>
  </si>
  <si>
    <t>BN68</t>
  </si>
  <si>
    <t>BN69</t>
  </si>
  <si>
    <t>BN70</t>
  </si>
  <si>
    <t>BN71</t>
  </si>
  <si>
    <t>BN72</t>
  </si>
  <si>
    <t>BN73</t>
  </si>
  <si>
    <t>BN74</t>
  </si>
  <si>
    <t>BN75</t>
  </si>
  <si>
    <t>BN76</t>
  </si>
  <si>
    <t>BN77</t>
  </si>
  <si>
    <t>BN78</t>
  </si>
  <si>
    <t>BN79</t>
  </si>
  <si>
    <t>BN80</t>
  </si>
  <si>
    <t>BN81</t>
  </si>
  <si>
    <t>BN82</t>
  </si>
  <si>
    <t>BN83</t>
  </si>
  <si>
    <t>BN84</t>
  </si>
  <si>
    <t>BN85</t>
  </si>
  <si>
    <t>BN86</t>
  </si>
  <si>
    <t>BN87</t>
  </si>
  <si>
    <t>BN88</t>
  </si>
  <si>
    <t>BN89</t>
  </si>
  <si>
    <t>BN90</t>
  </si>
  <si>
    <t>BN91</t>
  </si>
  <si>
    <t>BN92</t>
  </si>
  <si>
    <t>BN93</t>
  </si>
  <si>
    <t>BN94</t>
  </si>
  <si>
    <t>BN95</t>
  </si>
  <si>
    <t>BN96</t>
  </si>
  <si>
    <t>BN97</t>
  </si>
  <si>
    <t>BN98</t>
  </si>
  <si>
    <t>BN99</t>
  </si>
  <si>
    <t>BP00</t>
  </si>
  <si>
    <t>BP01</t>
  </si>
  <si>
    <t>BP02</t>
  </si>
  <si>
    <t>BP03</t>
  </si>
  <si>
    <t>BP04</t>
  </si>
  <si>
    <t>BP05</t>
  </si>
  <si>
    <t>BP06</t>
  </si>
  <si>
    <t>BP07</t>
  </si>
  <si>
    <t>BP08</t>
  </si>
  <si>
    <t>BP09</t>
  </si>
  <si>
    <t>BP10</t>
  </si>
  <si>
    <t>BP11</t>
  </si>
  <si>
    <t>BP12</t>
  </si>
  <si>
    <t>BP13</t>
  </si>
  <si>
    <t>BP14</t>
  </si>
  <si>
    <t>BP15</t>
  </si>
  <si>
    <t>BP16</t>
  </si>
  <si>
    <t>BP17</t>
  </si>
  <si>
    <t>BP18</t>
  </si>
  <si>
    <t>BP19</t>
  </si>
  <si>
    <t>BP20</t>
  </si>
  <si>
    <t>BP21</t>
  </si>
  <si>
    <t>BP22</t>
  </si>
  <si>
    <t>BP23</t>
  </si>
  <si>
    <t>BP24</t>
  </si>
  <si>
    <t>BP25</t>
  </si>
  <si>
    <t>BP26</t>
  </si>
  <si>
    <t>BP27</t>
  </si>
  <si>
    <t>BP28</t>
  </si>
  <si>
    <t>BP29</t>
  </si>
  <si>
    <t>BP30</t>
  </si>
  <si>
    <t>BP31</t>
  </si>
  <si>
    <t>BP32</t>
  </si>
  <si>
    <t>BP33</t>
  </si>
  <si>
    <t>BP34</t>
  </si>
  <si>
    <t>BP35</t>
  </si>
  <si>
    <t>BP36</t>
  </si>
  <si>
    <t>BP37</t>
  </si>
  <si>
    <t>BP38</t>
  </si>
  <si>
    <t>BP39</t>
  </si>
  <si>
    <t>BP40</t>
  </si>
  <si>
    <t>BP41</t>
  </si>
  <si>
    <t>BP42</t>
  </si>
  <si>
    <t>BP43</t>
  </si>
  <si>
    <t>BP44</t>
  </si>
  <si>
    <t>BP45</t>
  </si>
  <si>
    <t>BP46</t>
  </si>
  <si>
    <t>BP47</t>
  </si>
  <si>
    <t>BP48</t>
  </si>
  <si>
    <t>BP49</t>
  </si>
  <si>
    <t>BP50</t>
  </si>
  <si>
    <t>BP51</t>
  </si>
  <si>
    <t>BP52</t>
  </si>
  <si>
    <t>BP53</t>
  </si>
  <si>
    <t>BP54</t>
  </si>
  <si>
    <t>BP55</t>
  </si>
  <si>
    <t>BP56</t>
  </si>
  <si>
    <t>BP57</t>
  </si>
  <si>
    <t>BP58</t>
  </si>
  <si>
    <t>BP59</t>
  </si>
  <si>
    <t>BP60</t>
  </si>
  <si>
    <t>BP61</t>
  </si>
  <si>
    <t>BP62</t>
  </si>
  <si>
    <t>BP63</t>
  </si>
  <si>
    <t>BP64</t>
  </si>
  <si>
    <t>BP65</t>
  </si>
  <si>
    <t>BP66</t>
  </si>
  <si>
    <t>BP67</t>
  </si>
  <si>
    <t>BP68</t>
  </si>
  <si>
    <t>BP69</t>
  </si>
  <si>
    <t>BP70</t>
  </si>
  <si>
    <t>BP71</t>
  </si>
  <si>
    <t>BP72</t>
  </si>
  <si>
    <t>BP73</t>
  </si>
  <si>
    <t>BP74</t>
  </si>
  <si>
    <t>BP75</t>
  </si>
  <si>
    <t>BP76</t>
  </si>
  <si>
    <t>BP77</t>
  </si>
  <si>
    <t>BP78</t>
  </si>
  <si>
    <t>BP79</t>
  </si>
  <si>
    <t>BP80</t>
  </si>
  <si>
    <t>BP81</t>
  </si>
  <si>
    <t>BP82</t>
  </si>
  <si>
    <t>BP83</t>
  </si>
  <si>
    <t>BP84</t>
  </si>
  <si>
    <t>BP85</t>
  </si>
  <si>
    <t>BP86</t>
  </si>
  <si>
    <t>BP87</t>
  </si>
  <si>
    <t>BP88</t>
  </si>
  <si>
    <t>BP89</t>
  </si>
  <si>
    <t>BP90</t>
  </si>
  <si>
    <t>BP91</t>
  </si>
  <si>
    <t>BP92</t>
  </si>
  <si>
    <t>BP93</t>
  </si>
  <si>
    <t>BP94</t>
  </si>
  <si>
    <t>BP95</t>
  </si>
  <si>
    <t>BP96</t>
  </si>
  <si>
    <t>BP97</t>
  </si>
  <si>
    <t>BP98</t>
  </si>
  <si>
    <t>BP99</t>
  </si>
  <si>
    <t>BR00</t>
  </si>
  <si>
    <t>BR01</t>
  </si>
  <si>
    <t>BR02</t>
  </si>
  <si>
    <t>BR03</t>
  </si>
  <si>
    <t>BR04</t>
  </si>
  <si>
    <t>BR05</t>
  </si>
  <si>
    <t>BR06</t>
  </si>
  <si>
    <t>BR07</t>
  </si>
  <si>
    <t>BR08</t>
  </si>
  <si>
    <t>BR09</t>
  </si>
  <si>
    <t>BR10</t>
  </si>
  <si>
    <t>BR11</t>
  </si>
  <si>
    <t>BR12</t>
  </si>
  <si>
    <t>BR13</t>
  </si>
  <si>
    <t>BR14</t>
  </si>
  <si>
    <t>BR15</t>
  </si>
  <si>
    <t>BR16</t>
  </si>
  <si>
    <t>BR17</t>
  </si>
  <si>
    <t>BR18</t>
  </si>
  <si>
    <t>BR19</t>
  </si>
  <si>
    <t>BR20</t>
  </si>
  <si>
    <t>BR21</t>
  </si>
  <si>
    <t>BR22</t>
  </si>
  <si>
    <t>BR23</t>
  </si>
  <si>
    <t>BR24</t>
  </si>
  <si>
    <t>BR25</t>
  </si>
  <si>
    <t>BR26</t>
  </si>
  <si>
    <t>BR27</t>
  </si>
  <si>
    <t>BR28</t>
  </si>
  <si>
    <t>BR29</t>
  </si>
  <si>
    <t>BR30</t>
  </si>
  <si>
    <t>BR31</t>
  </si>
  <si>
    <t>BR32</t>
  </si>
  <si>
    <t>BR33</t>
  </si>
  <si>
    <t>BR34</t>
  </si>
  <si>
    <t>BR35</t>
  </si>
  <si>
    <t>BR36</t>
  </si>
  <si>
    <t>BR37</t>
  </si>
  <si>
    <t>BR38</t>
  </si>
  <si>
    <t>BR39</t>
  </si>
  <si>
    <t>BR40</t>
  </si>
  <si>
    <t>BR41</t>
  </si>
  <si>
    <t>BR42</t>
  </si>
  <si>
    <t>BR43</t>
  </si>
  <si>
    <t>BR44</t>
  </si>
  <si>
    <t>BR45</t>
  </si>
  <si>
    <t>BR46</t>
  </si>
  <si>
    <t>BR47</t>
  </si>
  <si>
    <t>BR48</t>
  </si>
  <si>
    <t>BR49</t>
  </si>
  <si>
    <t>BR50</t>
  </si>
  <si>
    <t>BR51</t>
  </si>
  <si>
    <t>BR52</t>
  </si>
  <si>
    <t>BR53</t>
  </si>
  <si>
    <t>BR54</t>
  </si>
  <si>
    <t>BR55</t>
  </si>
  <si>
    <t>BR56</t>
  </si>
  <si>
    <t>BR57</t>
  </si>
  <si>
    <t>BR58</t>
  </si>
  <si>
    <t>BR59</t>
  </si>
  <si>
    <t>BR60</t>
  </si>
  <si>
    <t>BR61</t>
  </si>
  <si>
    <t>BR62</t>
  </si>
  <si>
    <t>BR63</t>
  </si>
  <si>
    <t>BR64</t>
  </si>
  <si>
    <t>BR65</t>
  </si>
  <si>
    <t>BR66</t>
  </si>
  <si>
    <t>BR67</t>
  </si>
  <si>
    <t>BR68</t>
  </si>
  <si>
    <t>BR69</t>
  </si>
  <si>
    <t>BR70</t>
  </si>
  <si>
    <t>BR71</t>
  </si>
  <si>
    <t>BR72</t>
  </si>
  <si>
    <t>BR73</t>
  </si>
  <si>
    <t>BR74</t>
  </si>
  <si>
    <t>BR75</t>
  </si>
  <si>
    <t>BR76</t>
  </si>
  <si>
    <t>BR77</t>
  </si>
  <si>
    <t>BR78</t>
  </si>
  <si>
    <t>BR79</t>
  </si>
  <si>
    <t>BR80</t>
  </si>
  <si>
    <t>BR81</t>
  </si>
  <si>
    <t>BR82</t>
  </si>
  <si>
    <t>BR83</t>
  </si>
  <si>
    <t>BR84</t>
  </si>
  <si>
    <t>BR85</t>
  </si>
  <si>
    <t>BR86</t>
  </si>
  <si>
    <t>BR87</t>
  </si>
  <si>
    <t>BR88</t>
  </si>
  <si>
    <t>BR89</t>
  </si>
  <si>
    <t>BR90</t>
  </si>
  <si>
    <t>BR91</t>
  </si>
  <si>
    <t>BR92</t>
  </si>
  <si>
    <t>BR93</t>
  </si>
  <si>
    <t>BR94</t>
  </si>
  <si>
    <t>BR95</t>
  </si>
  <si>
    <t>BR96</t>
  </si>
  <si>
    <t>BR97</t>
  </si>
  <si>
    <t>BR98</t>
  </si>
  <si>
    <t>BR99</t>
  </si>
  <si>
    <t>BS00</t>
  </si>
  <si>
    <t>BS01</t>
  </si>
  <si>
    <t>BS02</t>
  </si>
  <si>
    <t>BS03</t>
  </si>
  <si>
    <t>BS04</t>
  </si>
  <si>
    <t>BS05</t>
  </si>
  <si>
    <t>BS06</t>
  </si>
  <si>
    <t>BS07</t>
  </si>
  <si>
    <t>BS08</t>
  </si>
  <si>
    <t>BS09</t>
  </si>
  <si>
    <t>BS10</t>
  </si>
  <si>
    <t>BS11</t>
  </si>
  <si>
    <t>BS12</t>
  </si>
  <si>
    <t>BS13</t>
  </si>
  <si>
    <t>BS14</t>
  </si>
  <si>
    <t>BS15</t>
  </si>
  <si>
    <t>BS16</t>
  </si>
  <si>
    <t>BS17</t>
  </si>
  <si>
    <t>BS18</t>
  </si>
  <si>
    <t>BS19</t>
  </si>
  <si>
    <t>BS20</t>
  </si>
  <si>
    <t>BS21</t>
  </si>
  <si>
    <t>BS22</t>
  </si>
  <si>
    <t>BS23</t>
  </si>
  <si>
    <t>BS24</t>
  </si>
  <si>
    <t>BS25</t>
  </si>
  <si>
    <t>BS26</t>
  </si>
  <si>
    <t>BS27</t>
  </si>
  <si>
    <t>BS28</t>
  </si>
  <si>
    <t>BS29</t>
  </si>
  <si>
    <t>BS30</t>
  </si>
  <si>
    <t>BS31</t>
  </si>
  <si>
    <t>BS32</t>
  </si>
  <si>
    <t>BS33</t>
  </si>
  <si>
    <t>BS34</t>
  </si>
  <si>
    <t>BS35</t>
  </si>
  <si>
    <t>BS36</t>
  </si>
  <si>
    <t>BS37</t>
  </si>
  <si>
    <t>BS38</t>
  </si>
  <si>
    <t>BS39</t>
  </si>
  <si>
    <t>BS40</t>
  </si>
  <si>
    <t>BS41</t>
  </si>
  <si>
    <t>BS42</t>
  </si>
  <si>
    <t>BS43</t>
  </si>
  <si>
    <t>BS44</t>
  </si>
  <si>
    <t>BS45</t>
  </si>
  <si>
    <t>BS46</t>
  </si>
  <si>
    <t>BS47</t>
  </si>
  <si>
    <t>BS48</t>
  </si>
  <si>
    <t>BS49</t>
  </si>
  <si>
    <t>BS50</t>
  </si>
  <si>
    <t>BS51</t>
  </si>
  <si>
    <t>BS52</t>
  </si>
  <si>
    <t>BS53</t>
  </si>
  <si>
    <t>BS54</t>
  </si>
  <si>
    <t>BS55</t>
  </si>
  <si>
    <t>BS56</t>
  </si>
  <si>
    <t>BS57</t>
  </si>
  <si>
    <t>BS58</t>
  </si>
  <si>
    <t>BS59</t>
  </si>
  <si>
    <t>BS60</t>
  </si>
  <si>
    <t>BS61</t>
  </si>
  <si>
    <t>BS62</t>
  </si>
  <si>
    <t>BS63</t>
  </si>
  <si>
    <t>BS64</t>
  </si>
  <si>
    <t>BS65</t>
  </si>
  <si>
    <t>BS66</t>
  </si>
  <si>
    <t>BS67</t>
  </si>
  <si>
    <t>BS68</t>
  </si>
  <si>
    <t>BS69</t>
  </si>
  <si>
    <t>BS70</t>
  </si>
  <si>
    <t>BS71</t>
  </si>
  <si>
    <t>BS72</t>
  </si>
  <si>
    <t>BS73</t>
  </si>
  <si>
    <t>BS74</t>
  </si>
  <si>
    <t>BS75</t>
  </si>
  <si>
    <t>BS76</t>
  </si>
  <si>
    <t>BS77</t>
  </si>
  <si>
    <t>BS78</t>
  </si>
  <si>
    <t>BS79</t>
  </si>
  <si>
    <t>BS80</t>
  </si>
  <si>
    <t>BS81</t>
  </si>
  <si>
    <t>BS82</t>
  </si>
  <si>
    <t>BS83</t>
  </si>
  <si>
    <t>BS84</t>
  </si>
  <si>
    <t>BS85</t>
  </si>
  <si>
    <t>BS86</t>
  </si>
  <si>
    <t>BS87</t>
  </si>
  <si>
    <t>BS88</t>
  </si>
  <si>
    <t>BS89</t>
  </si>
  <si>
    <t>BS90</t>
  </si>
  <si>
    <t>BS91</t>
  </si>
  <si>
    <t>BS92</t>
  </si>
  <si>
    <t>BS93</t>
  </si>
  <si>
    <t>BS94</t>
  </si>
  <si>
    <t>BS95</t>
  </si>
  <si>
    <t>BS96</t>
  </si>
  <si>
    <t>BS97</t>
  </si>
  <si>
    <t>BS98</t>
  </si>
  <si>
    <t>BS99</t>
  </si>
  <si>
    <t>BT00</t>
  </si>
  <si>
    <t>BT01</t>
  </si>
  <si>
    <t>BT02</t>
  </si>
  <si>
    <t>BT03</t>
  </si>
  <si>
    <t>BT04</t>
  </si>
  <si>
    <t>BT05</t>
  </si>
  <si>
    <t>BT06</t>
  </si>
  <si>
    <t>BT07</t>
  </si>
  <si>
    <t>BT08</t>
  </si>
  <si>
    <t>BT09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</si>
  <si>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</si>
  <si>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</si>
  <si>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</si>
  <si>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</si>
  <si>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</si>
  <si>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</si>
  <si>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</si>
  <si>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</si>
  <si>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</si>
  <si>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</si>
  <si>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</si>
  <si>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</si>
  <si>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</si>
  <si>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</si>
  <si>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</si>
  <si>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</si>
  <si>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</si>
  <si>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</si>
  <si>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</si>
  <si>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</si>
  <si>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</si>
  <si>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</si>
  <si>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</si>
  <si>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</si>
  <si>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</si>
  <si>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</si>
  <si>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</si>
  <si>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</si>
  <si>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</si>
  <si>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</si>
  <si>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</si>
  <si>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</si>
  <si>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</si>
  <si>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</si>
  <si>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</si>
  <si>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</si>
  <si>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</si>
  <si>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</si>
  <si>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</si>
  <si>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</si>
  <si>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BT50</t>
  </si>
  <si>
    <t>BT51</t>
  </si>
  <si>
    <t>BT52</t>
  </si>
  <si>
    <t>BT53</t>
  </si>
  <si>
    <t>BT54</t>
  </si>
  <si>
    <t>BT55</t>
  </si>
  <si>
    <t>BT56</t>
  </si>
  <si>
    <t>BT57</t>
  </si>
  <si>
    <t>BT58</t>
  </si>
  <si>
    <t>1回につき</t>
  </si>
  <si>
    <t>サービスコード</t>
  </si>
  <si>
    <t>種類</t>
  </si>
  <si>
    <t>項目</t>
  </si>
  <si>
    <t>サービス内容略称</t>
  </si>
  <si>
    <t>算定項目</t>
  </si>
  <si>
    <t>合成</t>
  </si>
  <si>
    <t>単位数</t>
  </si>
  <si>
    <t>算定</t>
  </si>
  <si>
    <t>Ａ</t>
  </si>
  <si>
    <t>Ｂ</t>
  </si>
  <si>
    <t>２日目</t>
    <rPh sb="1" eb="2">
      <t>ニチ</t>
    </rPh>
    <rPh sb="2" eb="3">
      <t>メ</t>
    </rPh>
    <phoneticPr fontId="1"/>
  </si>
  <si>
    <t>早朝の場合 Ａ</t>
  </si>
  <si>
    <t>１日目</t>
    <rPh sb="1" eb="2">
      <t>ニチ</t>
    </rPh>
    <rPh sb="2" eb="3">
      <t>メ</t>
    </rPh>
    <phoneticPr fontId="1"/>
  </si>
  <si>
    <t>単位加算</t>
  </si>
  <si>
    <t>単位加算</t>
    <rPh sb="0" eb="2">
      <t>タンイ</t>
    </rPh>
    <rPh sb="2" eb="4">
      <t>カサン</t>
    </rPh>
    <phoneticPr fontId="11"/>
  </si>
  <si>
    <t>1月につき</t>
    <rPh sb="1" eb="2">
      <t>ツキ</t>
    </rPh>
    <phoneticPr fontId="11"/>
  </si>
  <si>
    <t>福祉・介護職員処遇改善加算</t>
    <rPh sb="0" eb="2">
      <t>フクシ</t>
    </rPh>
    <rPh sb="3" eb="5">
      <t>カイゴ</t>
    </rPh>
    <rPh sb="5" eb="7">
      <t>ショクイン</t>
    </rPh>
    <rPh sb="7" eb="9">
      <t>ショグウ</t>
    </rPh>
    <rPh sb="9" eb="11">
      <t>カイゼン</t>
    </rPh>
    <rPh sb="11" eb="13">
      <t>カサン</t>
    </rPh>
    <phoneticPr fontId="11"/>
  </si>
  <si>
    <t>月１回限度</t>
    <rPh sb="0" eb="1">
      <t>ツキ</t>
    </rPh>
    <rPh sb="2" eb="3">
      <t>カイ</t>
    </rPh>
    <rPh sb="3" eb="5">
      <t>ゲンド</t>
    </rPh>
    <phoneticPr fontId="11"/>
  </si>
  <si>
    <t>利用者負担上限額管理加算</t>
    <rPh sb="0" eb="3">
      <t>リヨウシャ</t>
    </rPh>
    <rPh sb="3" eb="5">
      <t>フタン</t>
    </rPh>
    <rPh sb="5" eb="7">
      <t>ジョウゲン</t>
    </rPh>
    <rPh sb="7" eb="8">
      <t>ガク</t>
    </rPh>
    <rPh sb="8" eb="10">
      <t>カンリ</t>
    </rPh>
    <rPh sb="10" eb="12">
      <t>カサン</t>
    </rPh>
    <phoneticPr fontId="11"/>
  </si>
  <si>
    <t>１日につき</t>
    <rPh sb="1" eb="2">
      <t>ニチ</t>
    </rPh>
    <phoneticPr fontId="11"/>
  </si>
  <si>
    <t>緊急時対応加算</t>
    <rPh sb="0" eb="3">
      <t>キンキュウジ</t>
    </rPh>
    <rPh sb="3" eb="5">
      <t>タイオウ</t>
    </rPh>
    <rPh sb="5" eb="7">
      <t>カサン</t>
    </rPh>
    <phoneticPr fontId="11"/>
  </si>
  <si>
    <t>特別地域加算</t>
    <rPh sb="0" eb="2">
      <t>トクベツ</t>
    </rPh>
    <rPh sb="2" eb="4">
      <t>チイキ</t>
    </rPh>
    <rPh sb="4" eb="6">
      <t>カサン</t>
    </rPh>
    <phoneticPr fontId="11"/>
  </si>
  <si>
    <t>１回につき</t>
    <rPh sb="1" eb="2">
      <t>カイ</t>
    </rPh>
    <phoneticPr fontId="11"/>
  </si>
  <si>
    <t>特定事業所加算</t>
    <rPh sb="0" eb="2">
      <t>トクテイ</t>
    </rPh>
    <rPh sb="2" eb="5">
      <t>ジギョウショ</t>
    </rPh>
    <rPh sb="5" eb="7">
      <t>カサン</t>
    </rPh>
    <phoneticPr fontId="11"/>
  </si>
  <si>
    <t>項目</t>
    <rPh sb="0" eb="2">
      <t>コウモク</t>
    </rPh>
    <phoneticPr fontId="11"/>
  </si>
  <si>
    <t>種類</t>
    <rPh sb="0" eb="2">
      <t>シュルイ</t>
    </rPh>
    <phoneticPr fontId="11"/>
  </si>
  <si>
    <t>算定</t>
    <rPh sb="0" eb="2">
      <t>サンテイ</t>
    </rPh>
    <phoneticPr fontId="11"/>
  </si>
  <si>
    <t>合成</t>
    <rPh sb="0" eb="2">
      <t>ゴウセイ</t>
    </rPh>
    <phoneticPr fontId="11"/>
  </si>
  <si>
    <t>サービス内容略称</t>
    <rPh sb="4" eb="6">
      <t>ナイヨウ</t>
    </rPh>
    <rPh sb="6" eb="8">
      <t>リャクショウ</t>
    </rPh>
    <phoneticPr fontId="11"/>
  </si>
  <si>
    <t>初回加算</t>
    <rPh sb="0" eb="2">
      <t>ショカイ</t>
    </rPh>
    <rPh sb="2" eb="4">
      <t>カサン</t>
    </rPh>
    <phoneticPr fontId="11"/>
  </si>
  <si>
    <t>月２回限度</t>
    <rPh sb="0" eb="1">
      <t>ツキ</t>
    </rPh>
    <rPh sb="2" eb="3">
      <t>カイ</t>
    </rPh>
    <rPh sb="3" eb="5">
      <t>ゲンド</t>
    </rPh>
    <phoneticPr fontId="11"/>
  </si>
  <si>
    <t>２人目の同行援護従業者による場合</t>
  </si>
  <si>
    <t>行われる場合</t>
    <phoneticPr fontId="1"/>
  </si>
  <si>
    <t>同援１日１０．５・基礎・２人</t>
  </si>
  <si>
    <t>基礎研修課程修了者等により</t>
    <phoneticPr fontId="1"/>
  </si>
  <si>
    <t>同援１日１０．５・基礎</t>
  </si>
  <si>
    <t>同援１日１０．５・２人</t>
  </si>
  <si>
    <t>同援１日１０．５</t>
  </si>
  <si>
    <t>同援１日１０．０・基礎・２人</t>
  </si>
  <si>
    <t>同援１日１０．０・基礎</t>
  </si>
  <si>
    <t xml:space="preserve"> ９時間３０分以上</t>
    <phoneticPr fontId="1"/>
  </si>
  <si>
    <t>同援１日１０．０・２人</t>
  </si>
  <si>
    <t>同援１日１０．０</t>
  </si>
  <si>
    <t>同援１日９．５・基礎・２人</t>
  </si>
  <si>
    <t xml:space="preserve"> ９時間３０分未満</t>
    <phoneticPr fontId="1"/>
  </si>
  <si>
    <t>同援１日９．５・基礎</t>
  </si>
  <si>
    <t>同援１日９．５・２人</t>
  </si>
  <si>
    <t>同援１日９．５</t>
  </si>
  <si>
    <t>同援１日９．０・基礎・２人</t>
  </si>
  <si>
    <t>同援１日９．０・基礎</t>
  </si>
  <si>
    <t xml:space="preserve"> ８時間３０分以上</t>
    <phoneticPr fontId="1"/>
  </si>
  <si>
    <t>同援１日９．０・２人</t>
  </si>
  <si>
    <t>同援１日９．０</t>
  </si>
  <si>
    <t>同援１日８．５・基礎・２人</t>
  </si>
  <si>
    <t>同援１日８．５・基礎</t>
  </si>
  <si>
    <t xml:space="preserve"> ８時間以上</t>
    <phoneticPr fontId="1"/>
  </si>
  <si>
    <t>同援１日８．５・２人</t>
  </si>
  <si>
    <t>同援１日８．５</t>
  </si>
  <si>
    <t>同援１日８．０・基礎・２人</t>
  </si>
  <si>
    <t>同援１日８．０・基礎</t>
  </si>
  <si>
    <t xml:space="preserve"> ７時間３０分以上</t>
    <phoneticPr fontId="1"/>
  </si>
  <si>
    <t>同援１日８．０・２人</t>
  </si>
  <si>
    <t>同援１日８．０</t>
  </si>
  <si>
    <t>同援１日７．５・基礎・２人</t>
  </si>
  <si>
    <t xml:space="preserve"> ７時間３０分未満</t>
    <phoneticPr fontId="1"/>
  </si>
  <si>
    <t>同援１日７．５・基礎</t>
  </si>
  <si>
    <t>同援１日７．５・２人</t>
  </si>
  <si>
    <t>同援１日７．５</t>
  </si>
  <si>
    <t>同援１日７．０・基礎・２人</t>
  </si>
  <si>
    <t>同援１日７．０・基礎</t>
  </si>
  <si>
    <t>同援１日７．０・２人</t>
  </si>
  <si>
    <t>同援１日７．０</t>
  </si>
  <si>
    <t>同援１日６．５・基礎・２人</t>
  </si>
  <si>
    <t>同援１日６．５・基礎</t>
  </si>
  <si>
    <t xml:space="preserve"> ６時間以上</t>
    <phoneticPr fontId="1"/>
  </si>
  <si>
    <t>同援１日６．５・２人</t>
  </si>
  <si>
    <t>同援１日６．５</t>
  </si>
  <si>
    <t>同援１日６．０・基礎・２人</t>
  </si>
  <si>
    <t>同援１日６．０・基礎</t>
  </si>
  <si>
    <t xml:space="preserve"> ５時間３０分以上</t>
    <phoneticPr fontId="1"/>
  </si>
  <si>
    <t>同援１日６．０・２人</t>
  </si>
  <si>
    <t>同援１日６．０</t>
  </si>
  <si>
    <t>同援１日５．５・基礎・２人</t>
  </si>
  <si>
    <t>同援１日５．５・基礎</t>
  </si>
  <si>
    <t>同援１日５．５・２人</t>
  </si>
  <si>
    <t>同援１日５．５</t>
  </si>
  <si>
    <t>同援１日５．０・基礎・２人</t>
  </si>
  <si>
    <t>同援１日５．０・基礎</t>
  </si>
  <si>
    <t xml:space="preserve"> ４時間３０分以上</t>
    <phoneticPr fontId="1"/>
  </si>
  <si>
    <t>同援１日５．０・２人</t>
  </si>
  <si>
    <t>同援１日５．０</t>
  </si>
  <si>
    <t>同援１日４．５・基礎・２人</t>
  </si>
  <si>
    <t>同援１日４．５・基礎</t>
  </si>
  <si>
    <t>同援１日４．５・２人</t>
  </si>
  <si>
    <t>同援１日４．５</t>
  </si>
  <si>
    <t>同援１日４．０・基礎・２人</t>
  </si>
  <si>
    <t>同援１日４．０・基礎</t>
  </si>
  <si>
    <t xml:space="preserve"> ３時間３０分以上</t>
    <phoneticPr fontId="1"/>
  </si>
  <si>
    <t>同援１日４．０・２人</t>
  </si>
  <si>
    <t>同援１日４．０</t>
  </si>
  <si>
    <t>同援１日３．５・基礎・２人</t>
  </si>
  <si>
    <t>同援１日３．５・基礎</t>
  </si>
  <si>
    <t xml:space="preserve"> ３時間以上</t>
    <phoneticPr fontId="1"/>
  </si>
  <si>
    <t>同援１日３．５・２人</t>
  </si>
  <si>
    <t>同援１日３．５</t>
  </si>
  <si>
    <t>同援１日３．０・基礎・２人</t>
  </si>
  <si>
    <t xml:space="preserve"> ３時間未満</t>
    <phoneticPr fontId="1"/>
  </si>
  <si>
    <t>同援１日３．０・基礎</t>
  </si>
  <si>
    <t xml:space="preserve"> ２時間３０分以上</t>
    <phoneticPr fontId="1"/>
  </si>
  <si>
    <t>同援１日３．０・２人</t>
  </si>
  <si>
    <t>同援１日３．０</t>
  </si>
  <si>
    <t>同援１日２．５・基礎・２人</t>
  </si>
  <si>
    <t>同援１日２．５・基礎</t>
  </si>
  <si>
    <t xml:space="preserve"> ２時間以上</t>
    <phoneticPr fontId="1"/>
  </si>
  <si>
    <t>同援１日２．５・２人</t>
  </si>
  <si>
    <t>(5)日中</t>
    <phoneticPr fontId="1"/>
  </si>
  <si>
    <t>同援１日２．５</t>
  </si>
  <si>
    <t>同援１日２．０・基礎・２人</t>
  </si>
  <si>
    <t>同援１日２．０・基礎</t>
  </si>
  <si>
    <t xml:space="preserve"> １時間３０分以上</t>
    <phoneticPr fontId="1"/>
  </si>
  <si>
    <t>同援１日２．０・２人</t>
  </si>
  <si>
    <t>同援１日２．０</t>
  </si>
  <si>
    <t>同援１日１．５・基礎・２人</t>
  </si>
  <si>
    <t xml:space="preserve"> １時間以上</t>
    <phoneticPr fontId="1"/>
  </si>
  <si>
    <t>同援１日１．５・２人</t>
  </si>
  <si>
    <t>(3)日中</t>
    <phoneticPr fontId="1"/>
  </si>
  <si>
    <t>同援１日１．５</t>
  </si>
  <si>
    <t>同援１日１．０・基礎・２人</t>
  </si>
  <si>
    <t>同援１日１．０・基礎</t>
  </si>
  <si>
    <t xml:space="preserve"> ３０分以上</t>
    <phoneticPr fontId="1"/>
  </si>
  <si>
    <t>同援１日１．０・２人</t>
  </si>
  <si>
    <t>(2)日中</t>
    <phoneticPr fontId="1"/>
  </si>
  <si>
    <t>同援１日１．０</t>
  </si>
  <si>
    <t>同援１日０．５・基礎・２人</t>
  </si>
  <si>
    <t>同援１日０．５・基礎</t>
  </si>
  <si>
    <t xml:space="preserve"> ３０分未満</t>
    <phoneticPr fontId="1"/>
  </si>
  <si>
    <t>同援１日０．５・２人</t>
  </si>
  <si>
    <t>(1)日中</t>
    <phoneticPr fontId="1"/>
  </si>
  <si>
    <t>同援１日０．５</t>
  </si>
  <si>
    <t>イ　身体介護を伴う場合　（日中のみ）</t>
  </si>
  <si>
    <t>同援１夜４．５・基礎・２人</t>
  </si>
  <si>
    <t>同援１夜４．５・基礎</t>
  </si>
  <si>
    <t>同援１夜４．５・２人</t>
  </si>
  <si>
    <t>同援１夜４．５</t>
  </si>
  <si>
    <t>同援１夜４．０・基礎・２人</t>
  </si>
  <si>
    <t>同援１夜４．０・基礎</t>
  </si>
  <si>
    <t>同援１夜４．０・２人</t>
  </si>
  <si>
    <t>同援１夜４．０</t>
  </si>
  <si>
    <t>同援１夜３．５・基礎・２人</t>
  </si>
  <si>
    <t>同援１夜３．５・基礎</t>
  </si>
  <si>
    <t>同援１夜３．５・２人</t>
  </si>
  <si>
    <t>同援１夜３．５</t>
  </si>
  <si>
    <t>同援１夜３．０・基礎・２人</t>
  </si>
  <si>
    <t>同援１夜３．０・基礎</t>
  </si>
  <si>
    <t>同援１夜３．０・２人</t>
  </si>
  <si>
    <t>同援１夜３．０</t>
  </si>
  <si>
    <t>同援１夜２．５・基礎・２人</t>
  </si>
  <si>
    <t>同援１夜２．５・基礎</t>
  </si>
  <si>
    <t>同援１夜２．５・２人</t>
  </si>
  <si>
    <t>同援１夜２．５</t>
  </si>
  <si>
    <t>同援１夜２．０・基礎・２人</t>
  </si>
  <si>
    <t>同援１夜２．０・基礎</t>
  </si>
  <si>
    <t>同援１夜２．０・２人</t>
  </si>
  <si>
    <t>(4)夜間</t>
    <phoneticPr fontId="1"/>
  </si>
  <si>
    <t>同援１夜２．０</t>
  </si>
  <si>
    <t>同援１夜１．５・基礎・２人</t>
  </si>
  <si>
    <t>同援１夜１．５・基礎</t>
  </si>
  <si>
    <t>同援１夜１．５・２人</t>
  </si>
  <si>
    <t>(3)夜間</t>
    <phoneticPr fontId="1"/>
  </si>
  <si>
    <t>同援１夜１．５</t>
  </si>
  <si>
    <t>同援１夜１．０・基礎・２人</t>
  </si>
  <si>
    <t>同援１夜１．０・基礎</t>
  </si>
  <si>
    <t>夜間の</t>
    <rPh sb="0" eb="2">
      <t>ヤカン</t>
    </rPh>
    <phoneticPr fontId="1"/>
  </si>
  <si>
    <t>同援１夜１．０・２人</t>
  </si>
  <si>
    <t>(2)夜間</t>
    <phoneticPr fontId="1"/>
  </si>
  <si>
    <t>同援１夜１．０</t>
  </si>
  <si>
    <t>同援１夜０．５・基礎・２人</t>
  </si>
  <si>
    <t>同援１夜０．５・基礎</t>
  </si>
  <si>
    <t>同援１夜０．５・２人</t>
  </si>
  <si>
    <t>(1)夜間</t>
    <phoneticPr fontId="1"/>
  </si>
  <si>
    <t>同援１夜０．５</t>
  </si>
  <si>
    <t>イ　身体介護を伴う場合　（夜間のみ）</t>
  </si>
  <si>
    <t>同援１早２．５・基礎・２人</t>
  </si>
  <si>
    <t>同援１早２．５・基礎</t>
  </si>
  <si>
    <t>同援１早２．５・２人</t>
  </si>
  <si>
    <t>同援１早２．５</t>
  </si>
  <si>
    <t>同援１早２．０・基礎・２人</t>
  </si>
  <si>
    <t>同援１早２．０・基礎</t>
  </si>
  <si>
    <t>同援１早２．０・２人</t>
  </si>
  <si>
    <t>(4)早朝</t>
    <phoneticPr fontId="1"/>
  </si>
  <si>
    <t>同援１早２．０</t>
  </si>
  <si>
    <t>同援１早１．５・基礎・２人</t>
  </si>
  <si>
    <t>同援１早１．５・基礎</t>
  </si>
  <si>
    <t>同援１早１．５・２人</t>
  </si>
  <si>
    <t>同援１早１．５</t>
  </si>
  <si>
    <t>同援１早１．０・基礎・２人</t>
  </si>
  <si>
    <t>同援１早１．０・基礎</t>
  </si>
  <si>
    <t>早朝の</t>
    <phoneticPr fontId="1"/>
  </si>
  <si>
    <t>同援１早１．０・２人</t>
  </si>
  <si>
    <t>(2)早朝</t>
    <phoneticPr fontId="1"/>
  </si>
  <si>
    <t>同援１早１．０</t>
  </si>
  <si>
    <t>同援１早０．５・基礎・２人</t>
  </si>
  <si>
    <t>同援１早０．５・基礎</t>
  </si>
  <si>
    <t>同援１早０．５・２人</t>
  </si>
  <si>
    <t>(1)早朝</t>
    <phoneticPr fontId="1"/>
  </si>
  <si>
    <t>同援１早０．５</t>
  </si>
  <si>
    <t>イ　身体介護を伴う場合　（早朝のみ）</t>
  </si>
  <si>
    <t>同援１深６．５・基礎・２人</t>
  </si>
  <si>
    <t>同援１深６．５・基礎</t>
  </si>
  <si>
    <t>同援１深６．５・２人</t>
  </si>
  <si>
    <t>同援１深６．５</t>
  </si>
  <si>
    <t>同援１深６．０・基礎・２人</t>
  </si>
  <si>
    <t>同援１深６．０・基礎</t>
  </si>
  <si>
    <t>同援１深６．０・２人</t>
  </si>
  <si>
    <t>同援１深６．０</t>
  </si>
  <si>
    <t>同援１深５．５・基礎・２人</t>
  </si>
  <si>
    <t>同援１深５．５・基礎</t>
  </si>
  <si>
    <t>同援１深５．５・２人</t>
  </si>
  <si>
    <t>同援１深５．５</t>
  </si>
  <si>
    <t>同援１深５．０・基礎・２人</t>
  </si>
  <si>
    <t>同援１深５．０・基礎</t>
  </si>
  <si>
    <t>同援１深５．０・２人</t>
  </si>
  <si>
    <t>同援１深５．０</t>
  </si>
  <si>
    <t>同援１深４．５・基礎・２人</t>
  </si>
  <si>
    <t>同援１深４．５・基礎</t>
  </si>
  <si>
    <t>同援１深４．５・２人</t>
  </si>
  <si>
    <t>同援１深４．５</t>
  </si>
  <si>
    <t>同援１深４．０・基礎・２人</t>
  </si>
  <si>
    <t>同援１深４．０・基礎</t>
  </si>
  <si>
    <t>同援１深４．０・２人</t>
  </si>
  <si>
    <t>同援１深４．０</t>
  </si>
  <si>
    <t>同援１深３．５・基礎・２人</t>
  </si>
  <si>
    <t>同援１深３．５・基礎</t>
  </si>
  <si>
    <t>同援１深３．５・２人</t>
  </si>
  <si>
    <t>同援１深３．５</t>
  </si>
  <si>
    <t>同援１深３．０・基礎・２人</t>
  </si>
  <si>
    <t>同援１深３．０・基礎</t>
  </si>
  <si>
    <t>同援１深３．０・２人</t>
  </si>
  <si>
    <t>同援１深３．０</t>
  </si>
  <si>
    <t>同援１深２．５・基礎・２人</t>
  </si>
  <si>
    <t>同援１深２．５・基礎</t>
  </si>
  <si>
    <t>同援１深２．５・２人</t>
  </si>
  <si>
    <t>(5)深夜</t>
    <phoneticPr fontId="1"/>
  </si>
  <si>
    <t>同援１深２．５</t>
  </si>
  <si>
    <t>同援１深２．０・基礎・２人</t>
  </si>
  <si>
    <t>同援１深２．０・基礎</t>
  </si>
  <si>
    <t>同援１深２．０・２人</t>
  </si>
  <si>
    <t>(4)深夜</t>
    <phoneticPr fontId="1"/>
  </si>
  <si>
    <t>同援１深２．０</t>
  </si>
  <si>
    <t>同援１深１．５・基礎・２人</t>
  </si>
  <si>
    <t>同援１深１．５・基礎</t>
  </si>
  <si>
    <t>同援１深１．５・２人</t>
  </si>
  <si>
    <t>(3)深夜</t>
    <phoneticPr fontId="1"/>
  </si>
  <si>
    <t>同援１深１．５</t>
  </si>
  <si>
    <t>同援１深１．０・基礎・２人</t>
  </si>
  <si>
    <t>同援１深１．０・基礎</t>
  </si>
  <si>
    <t>同援１深１．０・２人</t>
  </si>
  <si>
    <t>(2)深夜</t>
    <phoneticPr fontId="1"/>
  </si>
  <si>
    <t>同援１深１．０</t>
  </si>
  <si>
    <t>同援１深０．５・基礎・２人</t>
  </si>
  <si>
    <t>同援１深０．５・基礎</t>
  </si>
  <si>
    <t>同援１深０．５・２人</t>
  </si>
  <si>
    <t>同援１深０．５</t>
  </si>
  <si>
    <t>イ　身体介護を伴う場合　（深夜のみ）</t>
  </si>
  <si>
    <t>同援１深２．５・早０．５・基礎・２人</t>
  </si>
  <si>
    <t>同援１深２．５・早０．５・基礎</t>
  </si>
  <si>
    <t>同援１深２．５・早０．５・２人</t>
  </si>
  <si>
    <t>同援１深２．５・早０．５</t>
  </si>
  <si>
    <t>同援１深２．０・早１．０・基礎・２人</t>
  </si>
  <si>
    <t>同援１深２．０・早１．０・基礎</t>
  </si>
  <si>
    <t>同援１深２．０・早１．０・２人</t>
  </si>
  <si>
    <t>同援１深２．０・早１．０</t>
  </si>
  <si>
    <t>同援１深２．０・早０．５・基礎・２人</t>
  </si>
  <si>
    <t>同援１深２．０・早０．５・基礎</t>
  </si>
  <si>
    <t>同援１深２．０・早０．５・２人</t>
  </si>
  <si>
    <t>同援１深２．０・早０．５</t>
  </si>
  <si>
    <t>同援１深１．５・早１．５・基礎・２人</t>
  </si>
  <si>
    <t>同援１深１．５・早１．５・基礎</t>
  </si>
  <si>
    <t>同援１深１．５・早１．５・２人</t>
  </si>
  <si>
    <t>同援１深１．５・早１．５</t>
  </si>
  <si>
    <t>同援１深１．５・早１．０・基礎・２人</t>
  </si>
  <si>
    <t>同援１深１．５・早１．０・基礎</t>
  </si>
  <si>
    <t>同援１深１．５・早１．０・２人</t>
  </si>
  <si>
    <t>同援１深１．５・早１．０</t>
  </si>
  <si>
    <t>同援１深１．５・早０．５・基礎・２人</t>
  </si>
  <si>
    <t>同援１深１．５・早０．５・基礎</t>
  </si>
  <si>
    <t>同援１深１．５・早０．５・２人</t>
  </si>
  <si>
    <t>同援１深１．５・早０．５</t>
  </si>
  <si>
    <t>同援１深１．０・早２．０・基礎・２人</t>
  </si>
  <si>
    <t>同援１深１．０・早２．０・基礎</t>
  </si>
  <si>
    <t>同援１深１．０・早２．０・２人</t>
  </si>
  <si>
    <t>同援１深１．０・早２．０</t>
  </si>
  <si>
    <t>同援１深１．０・早１．５・基礎・２人</t>
  </si>
  <si>
    <t>同援１深１．０・早１．５・基礎</t>
  </si>
  <si>
    <t>同援１深１．０・早１．５・２人</t>
  </si>
  <si>
    <t>同援１深１．０・早１．５</t>
  </si>
  <si>
    <t>同援１深１．０・早１．０・基礎・２人</t>
  </si>
  <si>
    <t>同援１深１．０・早１．０・基礎</t>
  </si>
  <si>
    <t>同援１深１．０・早１．０・２人</t>
  </si>
  <si>
    <t>同援１深１．０・早１．０</t>
  </si>
  <si>
    <t>同援１深１．０・早０．５・基礎・２人</t>
  </si>
  <si>
    <t>同援１深１．０・早０．５・基礎</t>
  </si>
  <si>
    <t>同援１深１．０・早０．５・２人</t>
  </si>
  <si>
    <t>同援１深１．０・早０．５</t>
  </si>
  <si>
    <t>同援１深０．５・早２．５・基礎・２人</t>
  </si>
  <si>
    <t>同援１深０．５・早２．５・基礎</t>
  </si>
  <si>
    <t>同援１深０．５・早２．５・２人</t>
  </si>
  <si>
    <t>同援１深０．５・早２．５</t>
  </si>
  <si>
    <t>同援１深０．５・早２．０・基礎・２人</t>
  </si>
  <si>
    <t>同援１深０．５・早２．０・基礎</t>
  </si>
  <si>
    <t>同援１深０．５・早２．０・２人</t>
  </si>
  <si>
    <t>同援１深０．５・早２．０</t>
  </si>
  <si>
    <t>同援１深０．５・早１．５・基礎・２人</t>
  </si>
  <si>
    <t>同援１深０．５・早１．５・基礎</t>
  </si>
  <si>
    <t>同援１深０．５・早１．５・２人</t>
  </si>
  <si>
    <t>同援１深０．５・早１．５</t>
  </si>
  <si>
    <t>同援１深０．５・早１．０・基礎・２人</t>
  </si>
  <si>
    <t>同援１深０．５・早１．０・基礎</t>
  </si>
  <si>
    <t>同援１深０．５・早１．０・２人</t>
  </si>
  <si>
    <t>同援１深０．５・早１．０</t>
  </si>
  <si>
    <t>同援１深０．５・早０．５・基礎・２人</t>
  </si>
  <si>
    <t>同援１深０．５・早０．５・基礎</t>
  </si>
  <si>
    <t>同援１深０．５・早０．５・２人</t>
  </si>
  <si>
    <t>(1)深夜</t>
    <phoneticPr fontId="1"/>
  </si>
  <si>
    <t>同援１深０．５・早０．５</t>
  </si>
  <si>
    <t>イ　身体介護を伴う場合　（深夜＋早朝）</t>
  </si>
  <si>
    <t>同援１早２．５・日０．５・基礎・２人</t>
  </si>
  <si>
    <t>同援１早２．５・日０．５・基礎</t>
  </si>
  <si>
    <t>同援１早２．５・日０．５・２人</t>
  </si>
  <si>
    <t>(一)日中</t>
    <phoneticPr fontId="1"/>
  </si>
  <si>
    <t>同援１早２．５・日０．５</t>
  </si>
  <si>
    <t>同援１早２．０・日１．０・基礎・２人</t>
  </si>
  <si>
    <t>同援１早２．０・日１．０・基礎</t>
  </si>
  <si>
    <t>同援１早２．０・日１．０・２人</t>
  </si>
  <si>
    <t>(二)日中</t>
    <phoneticPr fontId="1"/>
  </si>
  <si>
    <t>同援１早２．０・日１．０</t>
  </si>
  <si>
    <t>同援１早２．０・日０．５・基礎・２人</t>
  </si>
  <si>
    <t>同援１早２．０・日０．５・基礎</t>
  </si>
  <si>
    <t>同援１早２．０・日０．５・２人</t>
  </si>
  <si>
    <t>同援１早２．０・日０．５</t>
  </si>
  <si>
    <t>同援１早１．５・日１．５・基礎・２人</t>
  </si>
  <si>
    <t>同援１早１．５・日１．５・基礎</t>
  </si>
  <si>
    <t>同援１早１．５・日１．５・２人</t>
  </si>
  <si>
    <t>(三)日中</t>
    <phoneticPr fontId="1"/>
  </si>
  <si>
    <t>同援１早１．５・日１．５</t>
  </si>
  <si>
    <t>同援１早１．５・日１．０・基礎・２人</t>
  </si>
  <si>
    <t>同援１早１．５・日１．０・基礎</t>
  </si>
  <si>
    <t>同援１早１．５・日１．０・２人</t>
  </si>
  <si>
    <t>同援１早１．５・日１．０</t>
  </si>
  <si>
    <t>同援１早１．５・日０．５・基礎・２人</t>
  </si>
  <si>
    <t>同援１早１．５・日０．５・基礎</t>
  </si>
  <si>
    <t>同援１早１．５・日０．５・２人</t>
  </si>
  <si>
    <t>同援１早１．５・日０．５</t>
  </si>
  <si>
    <t>同援１早１．０・日２．０・基礎・２人</t>
  </si>
  <si>
    <t>同援１早１．０・日２．０・基礎</t>
  </si>
  <si>
    <t>同援１早１．０・日２．０・２人</t>
  </si>
  <si>
    <t>同援１早１．０・日２．０</t>
  </si>
  <si>
    <t>同援１早１．０・日１．５・基礎・２人</t>
  </si>
  <si>
    <t>同援１早１．０・日１．５・基礎</t>
  </si>
  <si>
    <t>同援１早１．０・日１．５・２人</t>
  </si>
  <si>
    <t>同援１早１．０・日１．５</t>
  </si>
  <si>
    <t>同援１早１．０・日１．０・基礎・２人</t>
  </si>
  <si>
    <t>同援１早１．０・日１．０・基礎</t>
  </si>
  <si>
    <t>同援１早１．０・日１．０・２人</t>
  </si>
  <si>
    <t>同援１早１．０・日１．０</t>
  </si>
  <si>
    <t>同援１早１．０・日０．５・基礎・２人</t>
  </si>
  <si>
    <t>同援１早１．０・日０．５・基礎</t>
  </si>
  <si>
    <t>同援１早１．０・日０．５・２人</t>
  </si>
  <si>
    <t>同援１早１．０・日０．５</t>
  </si>
  <si>
    <t>同援１早０．５・日２．５・基礎・２人</t>
  </si>
  <si>
    <t>同援１早０．５・日２．５・基礎</t>
  </si>
  <si>
    <t>同援１早０．５・日２．５・２人</t>
  </si>
  <si>
    <t>同援１早０．５・日２．５</t>
  </si>
  <si>
    <t>同援１早０．５・日２．０・基礎・２人</t>
  </si>
  <si>
    <t>同援１早０．５・日２．０・基礎</t>
  </si>
  <si>
    <t>同援１早０．５・日２．０・２人</t>
  </si>
  <si>
    <t>同援１早０．５・日２．０</t>
  </si>
  <si>
    <t>同援１早０．５・日１．５・基礎・２人</t>
  </si>
  <si>
    <t>同援１早０．５・日１．５・基礎</t>
  </si>
  <si>
    <t>同援１早０．５・日１．５・２人</t>
  </si>
  <si>
    <t>同援１早０．５・日１．５</t>
  </si>
  <si>
    <t>同援１早０．５・日１．０・基礎・２人</t>
  </si>
  <si>
    <t>同援１早０．５・日１．０・基礎</t>
  </si>
  <si>
    <t>同援１早０．５・日１．０・２人</t>
  </si>
  <si>
    <t>同援１早０．５・日１．０</t>
  </si>
  <si>
    <t>同援１早０．５・日０．５・基礎・２人</t>
  </si>
  <si>
    <t>同援１早０．５・日０．５・基礎</t>
  </si>
  <si>
    <t>同援１早０．５・日０．５・２人</t>
  </si>
  <si>
    <t>同援１早０．５・日０．５</t>
  </si>
  <si>
    <t>イ　身体介護を伴う場合　（早朝＋日中）</t>
  </si>
  <si>
    <t>同援１深０．５・早２．０・日０．５・基礎・２人</t>
  </si>
  <si>
    <t>同援１深０．５・早２．０・日０．５・基礎</t>
  </si>
  <si>
    <t>同援１深０．５・早２．０・日０．５・２人</t>
  </si>
  <si>
    <t>同援１深０．５・早２．０・日０．５</t>
  </si>
  <si>
    <t>イ　身体介護を伴う場合　（深夜＋早朝＋日中）</t>
  </si>
  <si>
    <t>同援１日２．５・夜０．５・基礎・２人</t>
  </si>
  <si>
    <t>基礎研修課程修了者等により行われる場合</t>
    <phoneticPr fontId="1"/>
  </si>
  <si>
    <t>同援１日２．５・夜０．５・基礎</t>
  </si>
  <si>
    <t>同援１日２．５・夜０．５・２人</t>
  </si>
  <si>
    <t>同援１日２．５・夜０．５</t>
  </si>
  <si>
    <t>同援１日２．０・夜１．０・基礎・２人</t>
  </si>
  <si>
    <t>同援１日２．０・夜１．０・基礎</t>
  </si>
  <si>
    <t>同援１日２．０・夜１．０・２人</t>
  </si>
  <si>
    <t>同援１日２．０・夜１．０</t>
  </si>
  <si>
    <t>同援１日２．０・夜０．５・基礎・２人</t>
  </si>
  <si>
    <t>同援１日２．０・夜０．５・基礎</t>
  </si>
  <si>
    <t>同援１日２．０・夜０．５・２人</t>
  </si>
  <si>
    <t>同援１日２．０・夜０．５</t>
  </si>
  <si>
    <t>同援１日１．５・夜１．５・基礎・２人</t>
  </si>
  <si>
    <t>同援１日１．５・夜１．５・基礎</t>
  </si>
  <si>
    <t>同援１日１．５・夜１．５・２人</t>
  </si>
  <si>
    <t>同援１日１．５・夜１．５</t>
  </si>
  <si>
    <t>同援１日１．５・夜１．０・基礎・２人</t>
  </si>
  <si>
    <t>同援１日１．５・夜１．０・基礎</t>
  </si>
  <si>
    <t>同援１日１．５・夜１．０・２人</t>
  </si>
  <si>
    <t>同援１日１．５・夜１．０</t>
  </si>
  <si>
    <t>同援１日１．５・夜０．５・基礎・２人</t>
  </si>
  <si>
    <t>同援１日１．５・夜０．５・基礎</t>
  </si>
  <si>
    <t>同援１日１．５・夜０．５・２人</t>
  </si>
  <si>
    <t>同援１日１．５・夜０．５</t>
  </si>
  <si>
    <t>同援１日１．０・夜２．０・基礎・２人</t>
  </si>
  <si>
    <t>同援１日１．０・夜２．０・基礎</t>
  </si>
  <si>
    <t>同援１日１．０・夜２．０・２人</t>
  </si>
  <si>
    <t>同援１日１．０・夜２．０</t>
  </si>
  <si>
    <t>同援１日１．０・夜１．５・基礎・２人</t>
  </si>
  <si>
    <t>同援１日１．０・夜１．５・基礎</t>
  </si>
  <si>
    <t>同援１日１．０・夜１．５・２人</t>
  </si>
  <si>
    <t>同援１日１．０・夜１．５</t>
  </si>
  <si>
    <t>同援１日１．０・夜１．０・基礎・２人</t>
  </si>
  <si>
    <t>同援１日１．０・夜１．０・基礎</t>
  </si>
  <si>
    <t>同援１日１．０・夜１．０・２人</t>
  </si>
  <si>
    <t>同援１日１．０・夜１．０</t>
  </si>
  <si>
    <t>同援１日１．０・夜０．５・基礎・２人</t>
  </si>
  <si>
    <t>同援１日１．０・夜０．５・基礎</t>
  </si>
  <si>
    <t>同援１日１．０・夜０．５・２人</t>
  </si>
  <si>
    <t>同援１日１．０・夜０．５</t>
  </si>
  <si>
    <t>同援１日０．５・夜２．５・基礎・２人</t>
  </si>
  <si>
    <t>同援１日０．５・夜２．５・基礎</t>
  </si>
  <si>
    <t>同援１日０．５・夜２．５・２人</t>
  </si>
  <si>
    <t>同援１日０．５・夜２．５</t>
  </si>
  <si>
    <t>同援１日０．５・夜２．０・基礎・２人</t>
  </si>
  <si>
    <t>同援１日０．５・夜２．０・基礎</t>
  </si>
  <si>
    <t>同援１日０．５・夜２．０・２人</t>
  </si>
  <si>
    <t>同援１日０．５・夜２．０</t>
  </si>
  <si>
    <t>同援１日０．５・夜１．５・基礎・２人</t>
  </si>
  <si>
    <t>同援１日０．５・夜１．５・基礎</t>
  </si>
  <si>
    <t>同援１日０．５・夜１．５・２人</t>
  </si>
  <si>
    <t>同援１日０．５・夜１．５</t>
  </si>
  <si>
    <t>同援１日０．５・夜１．０・基礎・２人</t>
  </si>
  <si>
    <t>同援１日０．５・夜１．０・基礎</t>
  </si>
  <si>
    <t>同援１日０．５・夜１．０・２人</t>
  </si>
  <si>
    <t>同援１日０．５・夜１．０</t>
  </si>
  <si>
    <t>同援１日０．５・夜０．５・基礎・２人</t>
  </si>
  <si>
    <t>同援１日０．５・夜０．５・基礎</t>
  </si>
  <si>
    <t>同援１日０．５・夜０．５・２人</t>
  </si>
  <si>
    <t>同援１日０．５・夜０．５</t>
  </si>
  <si>
    <t>イ　身体介護を伴う場合　（日中＋夜間）</t>
  </si>
  <si>
    <t>同援１夜２．５・深０．５・基礎・２人</t>
  </si>
  <si>
    <t>同援１夜２．５・深０．５・基礎</t>
  </si>
  <si>
    <t>同援１夜２．５・深０．５・２人</t>
  </si>
  <si>
    <t>同援１夜２．５・深０．５</t>
  </si>
  <si>
    <t>同援１夜２．０・深１．０・基礎・２人</t>
  </si>
  <si>
    <t>同援１夜２．０・深１．０・基礎</t>
  </si>
  <si>
    <t>同援１夜２．０・深１．０・２人</t>
  </si>
  <si>
    <t>(二)深夜</t>
    <phoneticPr fontId="1"/>
  </si>
  <si>
    <t>同援１夜２．０・深１．０</t>
  </si>
  <si>
    <t>同援１夜２．０・深０．５・基礎・２人</t>
  </si>
  <si>
    <t>同援１夜２．０・深０．５・基礎</t>
  </si>
  <si>
    <t>同援１夜２．０・深０．５・２人</t>
  </si>
  <si>
    <t>(一)深夜</t>
    <phoneticPr fontId="1"/>
  </si>
  <si>
    <t>同援１夜２．０・深０．５</t>
  </si>
  <si>
    <t>同援１夜１．５・深１．５・基礎・２人</t>
  </si>
  <si>
    <t>同援１夜１．５・深１．５・基礎</t>
  </si>
  <si>
    <t>同援１夜１．５・深１．５・２人</t>
  </si>
  <si>
    <t>(三)深夜</t>
    <phoneticPr fontId="1"/>
  </si>
  <si>
    <t>同援１夜１．５・深１．５</t>
  </si>
  <si>
    <t>同援１夜１．５・深１．０・基礎・２人</t>
  </si>
  <si>
    <t>同援１夜１．５・深１．０・基礎</t>
  </si>
  <si>
    <t>同援１夜１．５・深１．０・２人</t>
  </si>
  <si>
    <t>同援１夜１．５・深１．０</t>
  </si>
  <si>
    <t>同援１夜１．５・深０．５・基礎・２人</t>
  </si>
  <si>
    <t>同援１夜１．５・深０．５・基礎</t>
  </si>
  <si>
    <t>同援１夜１．５・深０．５・２人</t>
  </si>
  <si>
    <t>同援１夜１．５・深０．５</t>
  </si>
  <si>
    <t>同援１夜１．０・深２．０・基礎・２人</t>
  </si>
  <si>
    <t>同援１夜１．０・深２．０・基礎</t>
  </si>
  <si>
    <t>同援１夜１．０・深２．０・２人</t>
  </si>
  <si>
    <t>(四)深夜</t>
    <phoneticPr fontId="1"/>
  </si>
  <si>
    <t>同援１夜１．０・深２．０</t>
  </si>
  <si>
    <t>同援１夜１．０・深１．５・基礎・２人</t>
  </si>
  <si>
    <t>同援１夜１．０・深１．５・基礎</t>
  </si>
  <si>
    <t>同援１夜１．０・深１．５・２人</t>
  </si>
  <si>
    <t>同援１夜１．０・深１．５</t>
  </si>
  <si>
    <t>同援１夜１．０・深１．０・基礎・２人</t>
  </si>
  <si>
    <t>同援１夜１．０・深１．０・基礎</t>
  </si>
  <si>
    <t>同援１夜１．０・深１．０・２人</t>
  </si>
  <si>
    <t>同援１夜１．０・深１．０</t>
  </si>
  <si>
    <t>同援１夜１．０・深０．５・基礎・２人</t>
  </si>
  <si>
    <t>同援１夜１．０・深０．５・基礎</t>
  </si>
  <si>
    <t>同援１夜１．０・深０．５・２人</t>
  </si>
  <si>
    <t>同援１夜１．０・深０．５</t>
  </si>
  <si>
    <t>同援１夜０．５・深２．５・基礎・２人</t>
  </si>
  <si>
    <t>同援１夜０．５・深２．５・基礎</t>
  </si>
  <si>
    <t>同援１夜０．５・深２．５・２人</t>
  </si>
  <si>
    <t>同援１夜０．５・深２．５</t>
  </si>
  <si>
    <t>同援１夜０．５・深２．０・基礎・２人</t>
  </si>
  <si>
    <t>同援１夜０．５・深２．０・基礎</t>
  </si>
  <si>
    <t>同援１夜０．５・深２．０・２人</t>
  </si>
  <si>
    <t>同援１夜０．５・深２．０</t>
  </si>
  <si>
    <t>同援１夜０．５・深１．５・基礎・２人</t>
  </si>
  <si>
    <t>同援１夜０．５・深１．５・基礎</t>
  </si>
  <si>
    <t>同援１夜０．５・深１．５・２人</t>
  </si>
  <si>
    <t>同援１夜０．５・深１．５</t>
  </si>
  <si>
    <t>同援１夜０．５・深１．０・基礎・２人</t>
  </si>
  <si>
    <t>同援１夜０．５・深１．０・基礎</t>
  </si>
  <si>
    <t>同援１夜０．５・深１．０・２人</t>
  </si>
  <si>
    <t>同援１夜０．５・深１．０</t>
  </si>
  <si>
    <t>同援１夜０．５・深０．５・基礎・２人</t>
  </si>
  <si>
    <t>同援１夜０．５・深０．５・基礎</t>
  </si>
  <si>
    <t>同援１夜０．５・深０．５・２人</t>
  </si>
  <si>
    <t>同援１夜０．５・深０．５</t>
  </si>
  <si>
    <t>イ　身体介護を伴う場合　（夜間＋深夜）</t>
  </si>
  <si>
    <t>同援１日跨増深２．５・深０．５・基礎・２人</t>
  </si>
  <si>
    <t>同援１日跨増深２．５・深０．５・基礎</t>
  </si>
  <si>
    <t>同援１日跨増深２．５・深０．５・２人</t>
  </si>
  <si>
    <t>同援１日跨増深２．５・深０．５</t>
  </si>
  <si>
    <t>同援１日跨増深２．０・深１．０・基礎・２人</t>
  </si>
  <si>
    <t>同援１日跨増深２．０・深１．０・基礎</t>
  </si>
  <si>
    <t>同援１日跨増深２．０・深１．０・２人</t>
  </si>
  <si>
    <t>同援１日跨増深２．０・深１．０</t>
  </si>
  <si>
    <t>同援１日跨増深２．０・深０．５・基礎・２人</t>
  </si>
  <si>
    <t>同援１日跨増深２．０・深０．５・基礎</t>
  </si>
  <si>
    <t>同援１日跨増深２．０・深０．５・２人</t>
  </si>
  <si>
    <t>同援１日跨増深２．０・深０．５</t>
  </si>
  <si>
    <t>同援１日跨増深１．５・深１．５・基礎・２人</t>
  </si>
  <si>
    <t>同援１日跨増深１．５・深１．５・基礎</t>
  </si>
  <si>
    <t>同援１日跨増深１．５・深１．５・２人</t>
  </si>
  <si>
    <t>同援１日跨増深１．５・深１．５</t>
  </si>
  <si>
    <t>同援１日跨増深１．５・深１．０・基礎・２人</t>
  </si>
  <si>
    <t>同援１日跨増深１．５・深１．０・基礎</t>
  </si>
  <si>
    <t>同援１日跨増深１．５・深１．０・２人</t>
  </si>
  <si>
    <t>同援１日跨増深１．５・深１．０</t>
  </si>
  <si>
    <t>同援１日跨増深１．５・深０．５・基礎・２人</t>
  </si>
  <si>
    <t>同援１日跨増深１．５・深０．５・基礎</t>
  </si>
  <si>
    <t>同援１日跨増深１．５・深０．５・２人</t>
  </si>
  <si>
    <t>同援１日跨増深１．５・深０．５</t>
  </si>
  <si>
    <t>同援１日跨増深１．０・深２．０・基礎・２人</t>
  </si>
  <si>
    <t>同援１日跨増深１．０・深２．０・基礎</t>
  </si>
  <si>
    <t>同援１日跨増深１．０・深２．０・２人</t>
  </si>
  <si>
    <t>同援１日跨増深１．０・深２．０</t>
  </si>
  <si>
    <t>同援１日跨増深１．０・深１．５・基礎・２人</t>
  </si>
  <si>
    <t>同援１日跨増深１．０・深１．５・基礎</t>
  </si>
  <si>
    <t>同援１日跨増深１．０・深１．５・２人</t>
  </si>
  <si>
    <t>同援１日跨増深１．０・深１．５</t>
  </si>
  <si>
    <t>同援１日跨増深１．０・深１．０・基礎・２人</t>
  </si>
  <si>
    <t>同援１日跨増深１．０・深１．０・基礎</t>
  </si>
  <si>
    <t>同援１日跨増深１．０・深１．０・２人</t>
  </si>
  <si>
    <t>同援１日跨増深１．０・深１．０</t>
  </si>
  <si>
    <t>同援１日跨増深１．０・深０．５・基礎・２人</t>
  </si>
  <si>
    <t>同援１日跨増深１．０・深０．５・基礎</t>
  </si>
  <si>
    <t>同援１日跨増深１．０・深０．５・２人</t>
  </si>
  <si>
    <t>同援１日跨増深１．０・深０．５</t>
  </si>
  <si>
    <t>同援１日跨増深０．５・深２．５・基礎・２人</t>
  </si>
  <si>
    <t>同援１日跨増深０．５・深２．５・基礎</t>
  </si>
  <si>
    <t>同援１日跨増深０．５・深２．５・２人</t>
  </si>
  <si>
    <t>同援１日跨増深０．５・深２．５</t>
  </si>
  <si>
    <t>同援１日跨増深０．５・深２．０・基礎・２人</t>
  </si>
  <si>
    <t>同援１日跨増深０．５・深２．０・基礎</t>
  </si>
  <si>
    <t>同援１日跨増深０．５・深２．０・２人</t>
  </si>
  <si>
    <t>同援１日跨増深０．５・深２．０</t>
  </si>
  <si>
    <t>同援１日跨増深０．５・深１．５・基礎・２人</t>
  </si>
  <si>
    <t>同援１日跨増深０．５・深１．５・基礎</t>
  </si>
  <si>
    <t>同援１日跨増深０．５・深１．５・２人</t>
  </si>
  <si>
    <t>同援１日跨増深０．５・深１．５</t>
  </si>
  <si>
    <t>同援１日跨増深０．５・深１．０・基礎・２人</t>
  </si>
  <si>
    <t>同援１日跨増深０．５・深１．０・基礎</t>
  </si>
  <si>
    <t>同援１日跨増深０．５・深１．０・２人</t>
  </si>
  <si>
    <t>同援１日跨増深０．５・深１．０</t>
  </si>
  <si>
    <t>同援１日跨増深０．５・深０．５・基礎・２人</t>
  </si>
  <si>
    <t>同援１日跨増深０．５・深０．５・基礎</t>
  </si>
  <si>
    <t>同援１日跨増深０．５・深０．５・２人</t>
  </si>
  <si>
    <t>同援１日跨増深０．５・深０．５</t>
  </si>
  <si>
    <t>イ　身体介護を伴う場合　（日を跨る場合　２日目深夜増分）</t>
  </si>
  <si>
    <t>同援１深２．０・早０．５・日０．５・基礎・２人</t>
  </si>
  <si>
    <t xml:space="preserve"> ２時間未満</t>
  </si>
  <si>
    <t>同援１深２．０・早０．５・日０．５・基礎</t>
  </si>
  <si>
    <t>同援１深２．０・早０．５・日０．５・２人</t>
  </si>
  <si>
    <t>同援１深２．０・早０．５・日０．５</t>
  </si>
  <si>
    <t>同援１深１．５・早０．５・日１．０・基礎・２人</t>
  </si>
  <si>
    <t>同援１深１．５・早０．５・日１．０・基礎</t>
  </si>
  <si>
    <t>同援１深１．５・早０．５・日１．０・２人</t>
  </si>
  <si>
    <t>同援１深１．５・早０．５・日１．０</t>
  </si>
  <si>
    <t>同援１深１．５・早０．５・日０．５・基礎・２人</t>
  </si>
  <si>
    <t>同援１深１．５・早０．５・日０．５・基礎</t>
  </si>
  <si>
    <t>同援１深１．５・早０．５・日０．５・２人</t>
  </si>
  <si>
    <t>同援１深１．５・早０．５・日０．５</t>
  </si>
  <si>
    <t>同援１深１．０・早０．５・日１．５・基礎・２人</t>
  </si>
  <si>
    <t>同援１深１．０・早０．５・日１．５・基礎</t>
  </si>
  <si>
    <t>同援１深１．０・早０．５・日１．５・２人</t>
  </si>
  <si>
    <t>同援１深１．０・早０．５・日１．５</t>
  </si>
  <si>
    <t>同援１深１．０・早０．５・日１．０・基礎・２人</t>
  </si>
  <si>
    <t>同援１深１．０・早０．５・日１．０・基礎</t>
  </si>
  <si>
    <t>同援１深１．０・早０．５・日１．０・２人</t>
  </si>
  <si>
    <t>同援１深１．０・早０．５・日１．０</t>
  </si>
  <si>
    <t>同援１深１．０・早０．５・日０．５・基礎・２人</t>
  </si>
  <si>
    <t>同援１深１．０・早０．５・日０．５・基礎</t>
  </si>
  <si>
    <t>同援１深１．０・早０．５・日０．５・２人</t>
  </si>
  <si>
    <t>同援１深１．０・早０．５・日０．５</t>
  </si>
  <si>
    <t>同援１深０．５・早０．５・日２．０・基礎・２人</t>
  </si>
  <si>
    <t>同援１深０．５・早０．５・日２．０・基礎</t>
  </si>
  <si>
    <t>同援１深０．５・早０．５・日２．０・２人</t>
  </si>
  <si>
    <t>同援１深０．５・早０．５・日２．０</t>
  </si>
  <si>
    <t>同援１深０．５・早０．５・日１．５・基礎・２人</t>
  </si>
  <si>
    <t>同援１深０．５・早０．５・日１．５・基礎</t>
  </si>
  <si>
    <t>同援１深０．５・早０．５・日１．５・２人</t>
  </si>
  <si>
    <t>同援１深０．５・早０．５・日１．５</t>
  </si>
  <si>
    <t>同援１深０．５・早０．５・日１．０・基礎・２人</t>
  </si>
  <si>
    <t>同援１深０．５・早０．５・日１．０・基礎</t>
  </si>
  <si>
    <t>同援１深０．５・早０．５・日１．０・２人</t>
  </si>
  <si>
    <t>同援１深０．５・早０．５・日１．０</t>
  </si>
  <si>
    <t>同援１深０．５・早０．５・日０．５・基礎・２人</t>
  </si>
  <si>
    <t>同援１深０．５・早０．５・日０．５・基礎</t>
  </si>
  <si>
    <t>同援１深０．５・早０．５・日０．５・２人</t>
  </si>
  <si>
    <t>同援１深０．５・早０．５・日０．５</t>
  </si>
  <si>
    <t>同援１深１．５・早１．０・日０．５・基礎・２人</t>
  </si>
  <si>
    <t>同援１深１．５・早１．０・日０．５・基礎</t>
  </si>
  <si>
    <t>同援１深１．５・早１．０・日０．５・２人</t>
  </si>
  <si>
    <t>同援１深１．５・早１．０・日０．５</t>
  </si>
  <si>
    <t>同援１深１．０・早１．０・日１．０・基礎・２人</t>
  </si>
  <si>
    <t>同援１深１．０・早１．０・日１．０・基礎</t>
  </si>
  <si>
    <t>同援１深１．０・早１．０・日１．０・２人</t>
  </si>
  <si>
    <t>同援１深１．０・早１．０・日１．０</t>
  </si>
  <si>
    <t>同援１深１．０・早１．０・日０．５・基礎・２人</t>
  </si>
  <si>
    <t>同援１深１．０・早１．０・日０．５・基礎</t>
  </si>
  <si>
    <t>同援１深１．０・早１．０・日０．５・２人</t>
  </si>
  <si>
    <t>同援１深１．０・早１．０・日０．５</t>
  </si>
  <si>
    <t>同援１深０．５・早１．０・日１．５・基礎・２人</t>
  </si>
  <si>
    <t>同援１深０．５・早１．０・日１．５・基礎</t>
  </si>
  <si>
    <t>同援１深０．５・早１．０・日１．５・２人</t>
  </si>
  <si>
    <t>同援１深０．５・早１．０・日１．５</t>
  </si>
  <si>
    <t>同援１深０．５・早１．０・日１．０・基礎・２人</t>
  </si>
  <si>
    <t>同援１深０．５・早１．０・日１．０・基礎</t>
  </si>
  <si>
    <t>同援１深０．５・早１．０・日１．０・２人</t>
  </si>
  <si>
    <t>同援１深０．５・早１．０・日１．０</t>
  </si>
  <si>
    <t>同援１深０．５・早１．０・日０．５・基礎・２人</t>
  </si>
  <si>
    <t>同援１深０．５・早１．０・日０．５・基礎</t>
  </si>
  <si>
    <t>同援１深０．５・早１．０・日０．５・２人</t>
  </si>
  <si>
    <t>同援１深０．５・早１．０・日０．５</t>
  </si>
  <si>
    <t>同援１深１．０・早１．５・日０．５・基礎・２人</t>
  </si>
  <si>
    <t>同援１深１．０・早１．５・日０．５・基礎</t>
  </si>
  <si>
    <t>同援１深１．０・早１．５・日０．５・２人</t>
  </si>
  <si>
    <t>同援１深１．０・早１．５・日０．５</t>
  </si>
  <si>
    <t>同援１深０．５・早１．５・日１．０・基礎・２人</t>
  </si>
  <si>
    <t>同援１深０．５・早１．５・日１．０・基礎</t>
  </si>
  <si>
    <t>同援１深０．５・早１．５・日１．０・２人</t>
  </si>
  <si>
    <t>同援１深０．５・早１．５・日１．０</t>
  </si>
  <si>
    <t>同援１深０．５・早１．５・日０．５・基礎・２人</t>
  </si>
  <si>
    <t>同援１深０．５・早１．５・日０．５・基礎</t>
  </si>
  <si>
    <t>同援１深０．５・早１．５・日０．５・２人</t>
  </si>
  <si>
    <t>同援１深０．５・早１．５・日０．５</t>
  </si>
  <si>
    <t>イ　身体介護を伴う場合　（深夜＋早朝＋日中）　　※サービス間隔が２時間未満の場合</t>
  </si>
  <si>
    <t>同援１深２．５・日０．５・基礎・２人</t>
  </si>
  <si>
    <t>同援１深２．５・日０．５・基礎</t>
  </si>
  <si>
    <t>同援１深２．５・日０．５・２人</t>
  </si>
  <si>
    <t>同援１深２．５・日０．５</t>
  </si>
  <si>
    <t>同援１深２．０・日１．０・基礎・２人</t>
  </si>
  <si>
    <t>同援１深２．０・日１．０・基礎</t>
  </si>
  <si>
    <t>同援１深２．０・日１．０・２人</t>
  </si>
  <si>
    <t>同援１深２．０・日１．０</t>
  </si>
  <si>
    <t>同援１深２．０・日０．５・基礎・２人</t>
  </si>
  <si>
    <t>同援１深２．０・日０．５・基礎</t>
  </si>
  <si>
    <t>同援１深２．０・日０．５・２人</t>
  </si>
  <si>
    <t>同援１深２．０・日０．５</t>
  </si>
  <si>
    <t>同援１深１．５・日１．５・基礎・２人</t>
  </si>
  <si>
    <t>同援１深１．５・日１．５・基礎</t>
  </si>
  <si>
    <t>同援１深１．５・日１．５・２人</t>
  </si>
  <si>
    <t>同援１深１．５・日１．５</t>
  </si>
  <si>
    <t>同援１深１．５・日１．０・基礎・２人</t>
  </si>
  <si>
    <t>同援１深１．５・日１．０・基礎</t>
  </si>
  <si>
    <t>同援１深１．５・日１．０・２人</t>
  </si>
  <si>
    <t>同援１深１．５・日１．０</t>
  </si>
  <si>
    <t>同援１深１．５・日０．５・基礎・２人</t>
  </si>
  <si>
    <t>同援１深１．５・日０．５・基礎</t>
  </si>
  <si>
    <t>同援１深１．５・日０．５・２人</t>
  </si>
  <si>
    <t>同援１深１．５・日０．５</t>
  </si>
  <si>
    <t>同援１深１．０・日２．０・基礎・２人</t>
  </si>
  <si>
    <t>同援１深１．０・日２．０・基礎</t>
  </si>
  <si>
    <t>同援１深１．０・日２．０・２人</t>
  </si>
  <si>
    <t>同援１深１．０・日２．０</t>
  </si>
  <si>
    <t>同援１深１．０・日１．５・基礎・２人</t>
  </si>
  <si>
    <t>同援１深１．０・日１．５・基礎</t>
  </si>
  <si>
    <t>同援１深１．０・日１．５・２人</t>
  </si>
  <si>
    <t>同援１深１．０・日１．５</t>
  </si>
  <si>
    <t>同援１深１．０・日１．０・基礎・２人</t>
  </si>
  <si>
    <t>同援１深１．０・日１．０・基礎</t>
  </si>
  <si>
    <t>同援１深１．０・日１．０・２人</t>
  </si>
  <si>
    <t>同援１深１．０・日１．０</t>
  </si>
  <si>
    <t>同援１深１．０・日０．５・基礎・２人</t>
  </si>
  <si>
    <t>同援１深１．０・日０．５・基礎</t>
  </si>
  <si>
    <t>同援１深１．０・日０．５・２人</t>
  </si>
  <si>
    <t>同援１深１．０・日０．５</t>
  </si>
  <si>
    <t>同援１深０．５・日２．５・基礎・２人</t>
  </si>
  <si>
    <t>同援１深０．５・日２．５・基礎</t>
  </si>
  <si>
    <t>同援１深０．５・日２．５・２人</t>
  </si>
  <si>
    <t>同援１深０．５・日２．５</t>
  </si>
  <si>
    <t>同援１深０．５・日２．０・基礎・２人</t>
  </si>
  <si>
    <t>同援１深０．５・日２．０・基礎</t>
  </si>
  <si>
    <t>同援１深０．５・日２．０・２人</t>
  </si>
  <si>
    <t>同援１深０．５・日２．０</t>
  </si>
  <si>
    <t>同援１深０．５・日１．５・基礎・２人</t>
  </si>
  <si>
    <t>同援１深０．５・日１．５・基礎</t>
  </si>
  <si>
    <t>同援１深０．５・日１．５・２人</t>
  </si>
  <si>
    <t>同援１深０．５・日１．５</t>
  </si>
  <si>
    <t>同援１深０．５・日１．０・基礎・２人</t>
  </si>
  <si>
    <t>同援１深０．５・日１．０・基礎</t>
  </si>
  <si>
    <t>同援１深０．５・日１．０・２人</t>
  </si>
  <si>
    <t>同援１深０．５・日１．０</t>
  </si>
  <si>
    <t>同援１深０．５・日０．５・基礎・２人</t>
  </si>
  <si>
    <t>同援１深０．５・日０．５・基礎</t>
  </si>
  <si>
    <t>同援１深０．５・日０．５・２人</t>
  </si>
  <si>
    <t>同援１深０．５・日０．５</t>
  </si>
  <si>
    <t>イ　身体介護を伴う場合　（深夜＋日中）　　※サービス間隔が２時間未満の場合</t>
  </si>
  <si>
    <t>同援１早０．５・日２．０・夜０．５・基礎・２人</t>
  </si>
  <si>
    <t>同援１早０．５・日２．０・夜０．５・基礎</t>
  </si>
  <si>
    <t>同援１早０．５・日２．０・夜０．５・２人</t>
  </si>
  <si>
    <t>同援１早０．５・日２．０・夜０．５</t>
  </si>
  <si>
    <t>イ　身体介護を伴う場合　（早朝＋日中＋夜間）　　※サービス間隔が２時間未満の場合</t>
  </si>
  <si>
    <t>同援１日２．０・夜０．５・深０．５・基礎・２人</t>
  </si>
  <si>
    <t>同援１日２．０・夜０．５・深０．５・基礎</t>
  </si>
  <si>
    <t>同援１日２．０・夜０．５・深０．５・２人</t>
  </si>
  <si>
    <t>同援１日２．０・夜０．５・深０．５</t>
  </si>
  <si>
    <t>同援１日１．５・夜０．５・深１．０・基礎・２人</t>
  </si>
  <si>
    <t>同援１日１．５・夜０．５・深１．０・基礎</t>
  </si>
  <si>
    <t>同援１日１．５・夜０．５・深１．０・２人</t>
  </si>
  <si>
    <t>同援１日１．５・夜０．５・深１．０</t>
  </si>
  <si>
    <t>同援１日１．５・夜０．５・深０．５・基礎・２人</t>
  </si>
  <si>
    <t>同援１日１．５・夜０．５・深０．５・基礎</t>
  </si>
  <si>
    <t>同援１日１．５・夜０．５・深０．５・２人</t>
  </si>
  <si>
    <t>同援１日１．５・夜０．５・深０．５</t>
  </si>
  <si>
    <t>同援１日１．０・夜０．５・深１．５・基礎・２人</t>
  </si>
  <si>
    <t>同援１日１．０・夜０．５・深１．５・基礎</t>
  </si>
  <si>
    <t>同援１日１．０・夜０．５・深１．５・２人</t>
  </si>
  <si>
    <t>同援１日１．０・夜０．５・深１．５</t>
  </si>
  <si>
    <t>同援１日１．０・夜０．５・深１．０・基礎・２人</t>
  </si>
  <si>
    <t>同援１日１．０・夜０．５・深１．０・基礎</t>
  </si>
  <si>
    <t>同援１日１．０・夜０．５・深１．０・２人</t>
  </si>
  <si>
    <t>同援１日１．０・夜０．５・深１．０</t>
  </si>
  <si>
    <t>同援１日１．０・夜０．５・深０．５・基礎・２人</t>
  </si>
  <si>
    <t>同援１日１．０・夜０．５・深０．５・基礎</t>
  </si>
  <si>
    <t>同援１日１．０・夜０．５・深０．５・２人</t>
  </si>
  <si>
    <t>同援１日１．０・夜０．５・深０．５</t>
  </si>
  <si>
    <t>同援１日０．５・夜０．５・深２．０・基礎・２人</t>
  </si>
  <si>
    <t>同援１日０．５・夜０．５・深２．０・基礎</t>
  </si>
  <si>
    <t>同援１日０．５・夜０．５・深２．０・２人</t>
  </si>
  <si>
    <t>同援１日０．５・夜０．５・深２．０</t>
  </si>
  <si>
    <t>同援１日０．５・夜０．５・深１．５・基礎・２人</t>
  </si>
  <si>
    <t>同援１日０．５・夜０．５・深１．５・基礎</t>
  </si>
  <si>
    <t>同援１日０．５・夜０．５・深１．５・２人</t>
  </si>
  <si>
    <t>同援１日０．５・夜０．５・深１．５</t>
  </si>
  <si>
    <t>同援１日０．５・夜０．５・深１．０・基礎・２人</t>
  </si>
  <si>
    <t>同援１日０．５・夜０．５・深１．０・基礎</t>
  </si>
  <si>
    <t>同援１日０．５・夜０．５・深１．０・２人</t>
  </si>
  <si>
    <t>同援１日０．５・夜０．５・深１．０</t>
  </si>
  <si>
    <t>同援１日０．５・夜０．５・深０．５・基礎・２人</t>
  </si>
  <si>
    <t>同援１日０．５・夜０．５・深０．５・基礎</t>
  </si>
  <si>
    <t>同援１日０．５・夜０．５・深０．５・２人</t>
  </si>
  <si>
    <t>同援１日０．５・夜０．５・深０．５</t>
  </si>
  <si>
    <t>同援１日１．５・夜１．０・深０．５・基礎・２人</t>
  </si>
  <si>
    <t>同援１日１．５・夜１．０・深０．５・基礎</t>
  </si>
  <si>
    <t>同援１日１．５・夜１．０・深０．５・２人</t>
  </si>
  <si>
    <t>同援１日１．５・夜１．０・深０．５</t>
  </si>
  <si>
    <t>同援１日１．０・夜１．０・深１．０・基礎・２人</t>
  </si>
  <si>
    <t>同援１日１．０・夜１．０・深１．０・基礎</t>
  </si>
  <si>
    <t>同援１日１．０・夜１．０・深１．０・２人</t>
  </si>
  <si>
    <t>同援１日１．０・夜１．０・深１．０</t>
  </si>
  <si>
    <t>同援１日１．０・夜１．０・深０．５・基礎・２人</t>
  </si>
  <si>
    <t>同援１日１．０・夜１．０・深０．５・基礎</t>
  </si>
  <si>
    <t>同援１日１．０・夜１．０・深０．５・２人</t>
  </si>
  <si>
    <t>同援１日１．０・夜１．０・深０．５</t>
  </si>
  <si>
    <t>同援１日０．５・夜１．０・深１．５・基礎・２人</t>
  </si>
  <si>
    <t>同援１日０．５・夜１．０・深１．５・基礎</t>
  </si>
  <si>
    <t>同援１日０．５・夜１．０・深１．５・２人</t>
  </si>
  <si>
    <t>同援１日０．５・夜１．０・深１．５</t>
  </si>
  <si>
    <t>同援１日０．５・夜１．０・深１．０・基礎・２人</t>
  </si>
  <si>
    <t>同援１日０．５・夜１．０・深１．０・基礎</t>
  </si>
  <si>
    <t>同援１日０．５・夜１．０・深１．０・２人</t>
  </si>
  <si>
    <t>同援１日０．５・夜１．０・深１．０</t>
  </si>
  <si>
    <t>同援１日０．５・夜１．０・深０．５・基礎・２人</t>
  </si>
  <si>
    <t>同援１日０．５・夜１．０・深０．５・基礎</t>
  </si>
  <si>
    <t>同援１日０．５・夜１．０・深０．５・２人</t>
  </si>
  <si>
    <t>同援１日０．５・夜１．０・深０．５</t>
  </si>
  <si>
    <t>同援１日１．０・夜１．５・深０．５・基礎・２人</t>
  </si>
  <si>
    <t>同援１日１．０・夜１．５・深０．５・基礎</t>
  </si>
  <si>
    <t>同援１日１．０・夜１．５・深０．５・２人</t>
  </si>
  <si>
    <t>同援１日１．０・夜１．５・深０．５</t>
  </si>
  <si>
    <t>同援１日０．５・夜１．５・深１．０・基礎・２人</t>
  </si>
  <si>
    <t>同援１日０．５・夜１．５・深１．０・基礎</t>
  </si>
  <si>
    <t>同援１日０．５・夜１．５・深１．０・２人</t>
  </si>
  <si>
    <t>同援１日０．５・夜１．５・深１．０</t>
  </si>
  <si>
    <t>同援１日０．５・夜１．５・深０．５・基礎・２人</t>
  </si>
  <si>
    <t>同援１日０．５・夜１．５・深０．５・基礎</t>
  </si>
  <si>
    <t>同援１日０．５・夜１．５・深０．５・２人</t>
  </si>
  <si>
    <t>同援１日０．５・夜１．５・深０．５</t>
  </si>
  <si>
    <t>同援１日０．５・夜２．０・深０．５・基礎・２人</t>
  </si>
  <si>
    <t>同援１日０．５・夜２．０・深０．５・基礎</t>
  </si>
  <si>
    <t>同援１日０．５・夜２．０・深０．５・２人</t>
  </si>
  <si>
    <t>同援１日０．５・夜２．０・深０．５</t>
  </si>
  <si>
    <t>イ　身体介護を伴う場合　（日中＋夜間＋深夜）　　※サービス間隔が２時間未満の場合</t>
  </si>
  <si>
    <t>同援１日増１０．５・基礎・２人</t>
  </si>
  <si>
    <t>同援１日増１０．５・基礎</t>
  </si>
  <si>
    <t>同援１日増１０．５・２人</t>
  </si>
  <si>
    <t>同援１日増１０．５</t>
  </si>
  <si>
    <t>同援１日増１０．０・基礎・２人</t>
  </si>
  <si>
    <t>同援１日増１０．０・基礎</t>
  </si>
  <si>
    <t>同援１日増１０．０・２人</t>
  </si>
  <si>
    <t>同援１日増１０．０</t>
  </si>
  <si>
    <t>同援１日増９．５・基礎・２人</t>
  </si>
  <si>
    <t>同援１日増９．５・基礎</t>
  </si>
  <si>
    <t>同援１日増９．５・２人</t>
  </si>
  <si>
    <t>(19)日中増分</t>
    <phoneticPr fontId="1"/>
  </si>
  <si>
    <t>同援１日増９．５</t>
  </si>
  <si>
    <t>同援１日増９．０・基礎・２人</t>
  </si>
  <si>
    <t>同援１日増９．０・基礎</t>
  </si>
  <si>
    <t>同援１日増９．０・２人</t>
  </si>
  <si>
    <t>同援１日増９．０</t>
  </si>
  <si>
    <t>同援１日増８．５・基礎・２人</t>
  </si>
  <si>
    <t>同援１日増８．５・基礎</t>
  </si>
  <si>
    <t>同援１日増８．５・２人</t>
  </si>
  <si>
    <t>同援１日増８．５</t>
  </si>
  <si>
    <t>同援１日増８．０・基礎・２人</t>
  </si>
  <si>
    <t>同援１日増８．０・基礎</t>
  </si>
  <si>
    <t>同援１日増８．０・２人</t>
  </si>
  <si>
    <t>同援１日増８．０</t>
  </si>
  <si>
    <t>同援１日増７．５・基礎・２人</t>
  </si>
  <si>
    <t>同援１日増７．５・基礎</t>
  </si>
  <si>
    <t>同援１日増７．５・２人</t>
  </si>
  <si>
    <t>(15)日中増分</t>
    <phoneticPr fontId="1"/>
  </si>
  <si>
    <t>同援１日増７．５</t>
  </si>
  <si>
    <t>同援１日増７．０・基礎・２人</t>
  </si>
  <si>
    <t>同援１日増７．０・基礎</t>
  </si>
  <si>
    <t>同援１日増７．０・２人</t>
  </si>
  <si>
    <t>同援１日増７．０</t>
  </si>
  <si>
    <t>同援１日増６．５・基礎・２人</t>
  </si>
  <si>
    <t>同援１日増６．５・基礎</t>
  </si>
  <si>
    <t>同援１日増６．５・２人</t>
  </si>
  <si>
    <t>同援１日増６．５</t>
  </si>
  <si>
    <t>同援１日増６．０・基礎・２人</t>
  </si>
  <si>
    <t>同援１日増６．０・基礎</t>
  </si>
  <si>
    <t>同援１日増６．０・２人</t>
  </si>
  <si>
    <t>同援１日増６．０</t>
  </si>
  <si>
    <t>同援１日増５．５・基礎・２人</t>
  </si>
  <si>
    <t>同援１日増５．５・基礎</t>
  </si>
  <si>
    <t>同援１日増５．５・２人</t>
  </si>
  <si>
    <t>同援１日増５．５</t>
  </si>
  <si>
    <t>同援１日増５．０・基礎・２人</t>
  </si>
  <si>
    <t>同援１日増５．０・基礎</t>
  </si>
  <si>
    <t>同援１日増５．０・２人</t>
  </si>
  <si>
    <t>同援１日増５．０</t>
  </si>
  <si>
    <t>同援１日増４．５・基礎・２人</t>
  </si>
  <si>
    <t>同援１日増４．５・基礎</t>
  </si>
  <si>
    <t>同援１日増４．５・２人</t>
  </si>
  <si>
    <t>同援１日増４．５</t>
  </si>
  <si>
    <t>同援１日増４．０・基礎・２人</t>
  </si>
  <si>
    <t>同援１日増４．０・基礎</t>
  </si>
  <si>
    <t>同援１日増４．０・２人</t>
  </si>
  <si>
    <t>同援１日増４．０</t>
  </si>
  <si>
    <t>同援１日増３．５・基礎・２人</t>
  </si>
  <si>
    <t>同援１日増３．５・基礎</t>
  </si>
  <si>
    <t>同援１日増３．５・２人</t>
  </si>
  <si>
    <t>同援１日増３．５</t>
  </si>
  <si>
    <t>同援１日増３．０・基礎・２人</t>
  </si>
  <si>
    <t>同援１日増３．０・基礎</t>
  </si>
  <si>
    <t>同援１日増３．０・２人</t>
  </si>
  <si>
    <t>同援１日増３．０</t>
  </si>
  <si>
    <t>同援１日増２．５・基礎・２人</t>
  </si>
  <si>
    <t>同援１日増２．５・基礎</t>
  </si>
  <si>
    <t>同援１日増２．５・２人</t>
  </si>
  <si>
    <t>同援１日増２．５</t>
  </si>
  <si>
    <t>同援１日増２．０・基礎・２人</t>
  </si>
  <si>
    <t>同援１日増２．０・基礎</t>
  </si>
  <si>
    <t>同援１日増２．０・２人</t>
  </si>
  <si>
    <t>同援１日増２．０</t>
  </si>
  <si>
    <t>同援１日増１．５・基礎・２人</t>
  </si>
  <si>
    <t>同援１日増１．５・基礎</t>
  </si>
  <si>
    <t>同援１日増１．５・２人</t>
  </si>
  <si>
    <t>同援１日増１．５</t>
  </si>
  <si>
    <t>同援１日増１．０・基礎・２人</t>
  </si>
  <si>
    <t>同援１日増１．０・基礎</t>
  </si>
  <si>
    <t>同援１日増１．０・２人</t>
  </si>
  <si>
    <t>同援１日増１．０</t>
  </si>
  <si>
    <t>同援１日増０．５・基礎・２人</t>
  </si>
  <si>
    <t>同援１日増０．５・基礎</t>
  </si>
  <si>
    <t>同援１日増０．５・２人</t>
  </si>
  <si>
    <t>同援１日増０．５</t>
  </si>
  <si>
    <t>イ　身体介護を伴う場合　（日中増分)</t>
  </si>
  <si>
    <t>同援１夜増４．５・基礎・２人</t>
  </si>
  <si>
    <t>同援１夜増４．５・基礎</t>
  </si>
  <si>
    <t>同援１夜増４．５・２人</t>
  </si>
  <si>
    <t>同援１夜増４．５</t>
  </si>
  <si>
    <t>同援１夜増４．０・基礎・２人</t>
  </si>
  <si>
    <t>同援１夜増４．０・基礎</t>
  </si>
  <si>
    <t>同援１夜増４．０・２人</t>
  </si>
  <si>
    <t>同援１夜増４．０</t>
  </si>
  <si>
    <t>同援１夜増３．５・基礎・２人</t>
  </si>
  <si>
    <t>同援１夜増３．５・基礎</t>
  </si>
  <si>
    <t>同援１夜増３．５・２人</t>
  </si>
  <si>
    <t>同援１夜増３．５</t>
  </si>
  <si>
    <t>同援１夜増３．０・基礎・２人</t>
  </si>
  <si>
    <t>同援１夜増３．０・基礎</t>
  </si>
  <si>
    <t>同援１夜増３．０・２人</t>
  </si>
  <si>
    <t>同援１夜増３．０</t>
  </si>
  <si>
    <t>同援１夜増２．５・基礎・２人</t>
  </si>
  <si>
    <t>同援１夜増２．５・基礎</t>
  </si>
  <si>
    <t>同援１夜増２．５・２人</t>
  </si>
  <si>
    <t>同援１夜増２．５</t>
  </si>
  <si>
    <t>同援１夜増２．０・基礎・２人</t>
  </si>
  <si>
    <t>同援１夜増２．０・基礎</t>
  </si>
  <si>
    <t>同援１夜増２．０・２人</t>
  </si>
  <si>
    <t>同援１夜増２．０</t>
  </si>
  <si>
    <t>同援１夜増１．５・基礎・２人</t>
  </si>
  <si>
    <t>同援１夜増１．５・基礎</t>
  </si>
  <si>
    <t>同援１夜増１．５・２人</t>
  </si>
  <si>
    <t>同援１夜増１．５</t>
  </si>
  <si>
    <t>同援１夜増１．０・基礎・２人</t>
  </si>
  <si>
    <t>同援１夜増１．０・基礎</t>
  </si>
  <si>
    <t>同援１夜増１．０・２人</t>
  </si>
  <si>
    <t>同援１夜増１．０</t>
  </si>
  <si>
    <t>同援１夜増０．５・基礎・２人</t>
  </si>
  <si>
    <t>同援１夜増０．５・基礎</t>
  </si>
  <si>
    <t>同援１夜増０．５・２人</t>
  </si>
  <si>
    <t>同援１夜増０．５</t>
  </si>
  <si>
    <t>イ　身体介護を伴う場合　（夜間増分）</t>
  </si>
  <si>
    <t>同援１早増２．５・基礎・２人</t>
  </si>
  <si>
    <t>同援１早増２．５・基礎</t>
  </si>
  <si>
    <t>同援１早増２．５・２人</t>
  </si>
  <si>
    <t>同援１早増２．５</t>
  </si>
  <si>
    <t>同援１早増２．０・基礎・２人</t>
  </si>
  <si>
    <t>同援１早増２．０・基礎</t>
  </si>
  <si>
    <t>同援１早増２．０・２人</t>
  </si>
  <si>
    <t>同援１早増２．０</t>
  </si>
  <si>
    <t>同援１早増１．５・基礎・２人</t>
  </si>
  <si>
    <t>同援１早増１．５・基礎</t>
  </si>
  <si>
    <t>同援１早増１．５・２人</t>
  </si>
  <si>
    <t>同援１早増１．５</t>
  </si>
  <si>
    <t>同援１早増１．０・基礎・２人</t>
  </si>
  <si>
    <t>同援１早増１．０・基礎</t>
  </si>
  <si>
    <t>同援１早増１．０・２人</t>
  </si>
  <si>
    <t>同援１早増１．０</t>
  </si>
  <si>
    <t>同援１早増０．５・基礎・２人</t>
  </si>
  <si>
    <t>同援１早増０．５・基礎</t>
  </si>
  <si>
    <t>同援１早増０．５・２人</t>
  </si>
  <si>
    <t>同援１早増０．５</t>
  </si>
  <si>
    <t>イ　身体介護を伴う場合　（早朝増分）</t>
  </si>
  <si>
    <t>同援１深増６．５・基礎・２人</t>
  </si>
  <si>
    <t>同援１深増６．５・基礎</t>
  </si>
  <si>
    <t>同援１深増６．５・２人</t>
  </si>
  <si>
    <t>同援１深増６．５</t>
  </si>
  <si>
    <t>同援１深増６．０・基礎・２人</t>
  </si>
  <si>
    <t>同援１深増６．０・基礎</t>
  </si>
  <si>
    <t>同援１深増６．０・２人</t>
  </si>
  <si>
    <t>同援１深増６．０</t>
  </si>
  <si>
    <t>同援１深増５．５・基礎・２人</t>
  </si>
  <si>
    <t>同援１深増５．５・基礎</t>
  </si>
  <si>
    <t>同援１深増５．５・２人</t>
  </si>
  <si>
    <t>同援１深増５．５</t>
  </si>
  <si>
    <t>同援１深増５．０・基礎・２人</t>
  </si>
  <si>
    <t>同援１深増５．０・基礎</t>
  </si>
  <si>
    <t>同援１深増５．０・２人</t>
  </si>
  <si>
    <t>同援１深増５．０</t>
  </si>
  <si>
    <t>同援１深増４．５・基礎・２人</t>
  </si>
  <si>
    <t>同援１深増４．５・基礎</t>
  </si>
  <si>
    <t>同援１深増４．５・２人</t>
  </si>
  <si>
    <t>同援１深増４．５</t>
  </si>
  <si>
    <t>同援１深増４．０・基礎・２人</t>
  </si>
  <si>
    <t>同援１深増４．０・基礎</t>
  </si>
  <si>
    <t>同援１深増４．０・２人</t>
  </si>
  <si>
    <t>同援１深増４．０</t>
  </si>
  <si>
    <t>同援１深増３．５・基礎・２人</t>
  </si>
  <si>
    <t>同援１深増３．５・基礎</t>
  </si>
  <si>
    <t>同援１深増３．５・２人</t>
  </si>
  <si>
    <t>同援１深増３．５</t>
  </si>
  <si>
    <t>同援１深増３．０・基礎・２人</t>
  </si>
  <si>
    <t>同援１深増３．０・基礎</t>
  </si>
  <si>
    <t>同援１深増３．０・２人</t>
  </si>
  <si>
    <t>同援１深増３．０</t>
  </si>
  <si>
    <t>同援１深増２．５・基礎・２人</t>
  </si>
  <si>
    <t>同援１深増２．５・基礎</t>
  </si>
  <si>
    <t>同援１深増２．５・２人</t>
  </si>
  <si>
    <t>同援１深増２．５</t>
  </si>
  <si>
    <t>同援１深増２．０・基礎・２人</t>
  </si>
  <si>
    <t>同援１深増２．０・基礎</t>
  </si>
  <si>
    <t>同援１深増２．０・２人</t>
  </si>
  <si>
    <t>同援１深増２．０</t>
  </si>
  <si>
    <t>同援１深増１．５・基礎・２人</t>
  </si>
  <si>
    <t>同援１深増１．５・基礎</t>
  </si>
  <si>
    <t>同援１深増１．５・２人</t>
  </si>
  <si>
    <t>同援１深増１．５</t>
  </si>
  <si>
    <t>同援１深増１．０・基礎・２人</t>
  </si>
  <si>
    <t>同援１深増１．０・基礎</t>
  </si>
  <si>
    <t>同援１深増１．０・２人</t>
  </si>
  <si>
    <t>同援１深増１．０</t>
  </si>
  <si>
    <t>同援１深増０．５・基礎・２人</t>
  </si>
  <si>
    <t>同援１深増０．５・基礎</t>
  </si>
  <si>
    <t>同援１深増０．５・２人</t>
  </si>
  <si>
    <t>同援１深増０．５</t>
  </si>
  <si>
    <t>イ　身体介護を伴う場合　（深夜増分）</t>
  </si>
  <si>
    <t>同援１日１０．５・通訳・２人</t>
  </si>
  <si>
    <t>同援１日１０．５・通訳</t>
  </si>
  <si>
    <t>同援１日１０．０・通訳・２人</t>
  </si>
  <si>
    <t>同援１日１０．０・通訳</t>
  </si>
  <si>
    <t>同援１日９．５・通訳・２人</t>
  </si>
  <si>
    <t>同援１日９．５・通訳</t>
  </si>
  <si>
    <t>同援１日９．０・通訳・２人</t>
  </si>
  <si>
    <t>同援１日９．０・通訳</t>
  </si>
  <si>
    <t>同援１日８．５・通訳・２人</t>
  </si>
  <si>
    <t>同援１日８．５・通訳</t>
  </si>
  <si>
    <t>同援１日８．０・通訳・２人</t>
  </si>
  <si>
    <t>同援１日８．０・通訳</t>
  </si>
  <si>
    <t>同援１日７．５・通訳・２人</t>
  </si>
  <si>
    <t>同援１日７．５・通訳</t>
  </si>
  <si>
    <t>同援１日７．０・通訳・２人</t>
  </si>
  <si>
    <t>同援１日７．０・通訳</t>
  </si>
  <si>
    <t>同援１日６．５・通訳・２人</t>
  </si>
  <si>
    <t>同援１日６．５・通訳</t>
  </si>
  <si>
    <t>同援１日６．０・通訳・２人</t>
  </si>
  <si>
    <t>同援１日６．０・通訳</t>
  </si>
  <si>
    <t>同援１日５．５・通訳・２人</t>
  </si>
  <si>
    <t>同援１日５．５・通訳</t>
  </si>
  <si>
    <t>同援１日５．０・通訳・２人</t>
  </si>
  <si>
    <t>同援１日５．０・通訳</t>
  </si>
  <si>
    <t>同援１日４．５・通訳・２人</t>
  </si>
  <si>
    <t>同援１日４．５・通訳</t>
  </si>
  <si>
    <t>同援１日４．０・通訳・２人</t>
  </si>
  <si>
    <t>同援１日４．０・通訳</t>
  </si>
  <si>
    <t>同援１日３．５・通訳・２人</t>
  </si>
  <si>
    <t>同援１日３．５・通訳</t>
  </si>
  <si>
    <t>同援１日３．０・通訳・２人</t>
  </si>
  <si>
    <t>同援１日３．０・通訳</t>
  </si>
  <si>
    <t xml:space="preserve"> ２時間以上 ２時間３０分未満</t>
    <phoneticPr fontId="1"/>
  </si>
  <si>
    <t>同援１日２．５・通訳・２人</t>
  </si>
  <si>
    <t>同援１日２．５・通訳</t>
  </si>
  <si>
    <t>同援１日２．０・通訳・２人</t>
  </si>
  <si>
    <t>同援１日２．０・通訳</t>
  </si>
  <si>
    <t>同援１日１．５・通訳・２人</t>
  </si>
  <si>
    <t>同援１日１．５・通訳</t>
  </si>
  <si>
    <t>同援１日１．０・通訳・２人</t>
  </si>
  <si>
    <t>同援１日１．０・通訳</t>
  </si>
  <si>
    <t>同援１日０．５・通訳・２人</t>
  </si>
  <si>
    <t>同援１日０．５・通訳</t>
  </si>
  <si>
    <t>イ　身体介護を伴う場合　（盲ろう者向け通訳・介助員：日中のみ）</t>
  </si>
  <si>
    <t>同援１夜４．５・通訳・２人</t>
  </si>
  <si>
    <t>同援１夜４．５・通訳</t>
  </si>
  <si>
    <t>同援１夜４．０・通訳・２人</t>
  </si>
  <si>
    <t>同援１夜４．０・通訳</t>
  </si>
  <si>
    <t>同援１夜３．５・通訳・２人</t>
  </si>
  <si>
    <t>同援１夜３．５・通訳</t>
  </si>
  <si>
    <t>同援１夜３．０・通訳・２人</t>
  </si>
  <si>
    <t>同援１夜３．０・通訳</t>
  </si>
  <si>
    <t>同援１夜２．５・通訳・２人</t>
  </si>
  <si>
    <t>同援１夜２．５・通訳</t>
  </si>
  <si>
    <t>同援１夜２．０・通訳・２人</t>
  </si>
  <si>
    <t>同援１夜２．０・通訳</t>
  </si>
  <si>
    <t>同援１夜１．５・通訳・２人</t>
  </si>
  <si>
    <t>同援１夜１．５・通訳</t>
  </si>
  <si>
    <t>同援１夜１．０・通訳・２人</t>
  </si>
  <si>
    <t>同援１夜１．０・通訳</t>
  </si>
  <si>
    <t>同援１夜０．５・通訳・２人</t>
  </si>
  <si>
    <t>同援１夜０．５・通訳</t>
  </si>
  <si>
    <t>イ　身体介護を伴う場合　（盲ろう者向け通訳・介助員：夜間のみ）</t>
  </si>
  <si>
    <t>同援１早２．５・通訳・２人</t>
  </si>
  <si>
    <t>同援１早２．５・通訳</t>
  </si>
  <si>
    <t>同援１早２．０・通訳・２人</t>
  </si>
  <si>
    <t>同援１早２．０・通訳</t>
  </si>
  <si>
    <t>同援１早１．５・通訳・２人</t>
  </si>
  <si>
    <t>同援１早１．５・通訳</t>
  </si>
  <si>
    <t>同援１早１．０・通訳・２人</t>
  </si>
  <si>
    <t>同援１早１．０・通訳</t>
  </si>
  <si>
    <t>同援１早０．５・通訳・２人</t>
  </si>
  <si>
    <t>同援１早０．５・通訳</t>
  </si>
  <si>
    <t>イ　身体介護を伴う場合　（盲ろう者向け通訳・介助員：早朝のみ）</t>
  </si>
  <si>
    <t>同援１深６．５・通訳・２人</t>
  </si>
  <si>
    <t>同援１深６．５・通訳</t>
  </si>
  <si>
    <t>同援１深６．０・通訳・２人</t>
  </si>
  <si>
    <t>同援１深６．０・通訳</t>
  </si>
  <si>
    <t>同援１深５．５・通訳・２人</t>
  </si>
  <si>
    <t>同援１深５．５・通訳</t>
  </si>
  <si>
    <t>同援１深５．０・通訳・２人</t>
  </si>
  <si>
    <t>同援１深５．０・通訳</t>
  </si>
  <si>
    <t>同援１深４．５・通訳・２人</t>
  </si>
  <si>
    <t>同援１深４．５・通訳</t>
  </si>
  <si>
    <t>同援１深４．０・通訳・２人</t>
  </si>
  <si>
    <t>同援１深４．０・通訳</t>
  </si>
  <si>
    <t>同援１深３．５・通訳・２人</t>
  </si>
  <si>
    <t>同援１深３．５・通訳</t>
  </si>
  <si>
    <t>同援１深３．０・通訳・２人</t>
  </si>
  <si>
    <t>同援１深３．０・通訳</t>
  </si>
  <si>
    <t>同援１深２．５・通訳・２人</t>
  </si>
  <si>
    <t>同援１深２．５・通訳</t>
  </si>
  <si>
    <t>同援１深２．０・通訳・２人</t>
  </si>
  <si>
    <t>同援１深２．０・通訳</t>
  </si>
  <si>
    <t>同援１深１．５・通訳・２人</t>
  </si>
  <si>
    <t>同援１深１．５・通訳</t>
  </si>
  <si>
    <t>同援１深１．０・通訳・２人</t>
  </si>
  <si>
    <t>同援１深１．０・通訳</t>
  </si>
  <si>
    <t>同援１深０．５・通訳・２人</t>
  </si>
  <si>
    <t>同援１深０．５・通訳</t>
  </si>
  <si>
    <t>イ　身体介護を伴う場合　（盲ろう者向け通訳・介助員：深夜のみ）</t>
  </si>
  <si>
    <t>同援１深２．５・早０．５・通訳・２人</t>
  </si>
  <si>
    <t>同援１深２．５・早０．５・通訳</t>
  </si>
  <si>
    <t>同援１深２．０・早１．０・通訳・２人</t>
  </si>
  <si>
    <t>同援１深２．０・早１．０・通訳</t>
  </si>
  <si>
    <t>同援１深２．０・早０．５・通訳・２人</t>
  </si>
  <si>
    <t>同援１深２．０・早０．５・通訳</t>
  </si>
  <si>
    <t>同援１深１．５・早１．５・通訳・２人</t>
  </si>
  <si>
    <t>同援１深１．５・早１．５・通訳</t>
  </si>
  <si>
    <t>同援１深１．５・早１．０・通訳・２人</t>
  </si>
  <si>
    <t>同援１深１．５・早１．０・通訳</t>
  </si>
  <si>
    <t>同援１深１．５・早０．５・通訳・２人</t>
  </si>
  <si>
    <t>同援１深１．５・早０．５・通訳</t>
  </si>
  <si>
    <t>同援１深１．０・早２．０・通訳・２人</t>
  </si>
  <si>
    <t>同援１深１．０・早２．０・通訳</t>
  </si>
  <si>
    <t>同援１深１．０・早１．５・通訳・２人</t>
  </si>
  <si>
    <t>同援１深１．０・早１．５・通訳</t>
  </si>
  <si>
    <t>同援１深１．０・早１．０・通訳・２人</t>
  </si>
  <si>
    <t>同援１深１．０・早１．０・通訳</t>
  </si>
  <si>
    <t>同援１深１．０・早０．５・通訳・２人</t>
  </si>
  <si>
    <t>同援１深１．０・早０．５・通訳</t>
  </si>
  <si>
    <t>同援１深０．５・早２．５・通訳・２人</t>
  </si>
  <si>
    <t>同援１深０．５・早２．５・通訳</t>
  </si>
  <si>
    <t>同援１深０．５・早２．０・通訳・２人</t>
  </si>
  <si>
    <t>同援１深０．５・早２．０・通訳</t>
  </si>
  <si>
    <t>同援１深０．５・早１．５・通訳・２人</t>
  </si>
  <si>
    <t>同援１深０．５・早１．５・通訳</t>
  </si>
  <si>
    <t>同援１深０．５・早１．０・通訳・２人</t>
  </si>
  <si>
    <t>同援１深０．５・早１．０・通訳</t>
  </si>
  <si>
    <t>同援１深０．５・早０．５・通訳・２人</t>
  </si>
  <si>
    <t>同援１深０．５・早０．５・通訳</t>
  </si>
  <si>
    <t>イ　身体介護を伴う場合　（盲ろう者向け通訳・介助員：深夜＋早朝）</t>
  </si>
  <si>
    <t>同援１早２．５・日０．５・通訳・２人</t>
  </si>
  <si>
    <t>同援１早２．５・日０．５・通訳</t>
  </si>
  <si>
    <t>同援１早２．０・日１．０・通訳・２人</t>
  </si>
  <si>
    <t>同援１早２．０・日１．０・通訳</t>
  </si>
  <si>
    <t>同援１早２．０・日０．５・通訳・２人</t>
  </si>
  <si>
    <t>同援１早２．０・日０．５・通訳</t>
  </si>
  <si>
    <t>同援１早１．５・日１．５・通訳・２人</t>
  </si>
  <si>
    <t>同援１早１．５・日１．５・通訳</t>
  </si>
  <si>
    <t>同援１早１．５・日１．０・通訳・２人</t>
  </si>
  <si>
    <t>同援１早１．５・日１．０・通訳</t>
  </si>
  <si>
    <t>同援１早１．５・日０．５・通訳・２人</t>
  </si>
  <si>
    <t>同援１早１．５・日０．５・通訳</t>
  </si>
  <si>
    <t>同援１早１．０・日２．０・通訳・２人</t>
  </si>
  <si>
    <t>同援１早１．０・日２．０・通訳</t>
  </si>
  <si>
    <t>同援１早１．０・日１．５・通訳・２人</t>
  </si>
  <si>
    <t>同援１早１．０・日１．５・通訳</t>
  </si>
  <si>
    <t>同援１早１．０・日１．０・通訳・２人</t>
  </si>
  <si>
    <t>同援１早１．０・日１．０・通訳</t>
  </si>
  <si>
    <t>同援１早１．０・日０．５・通訳・２人</t>
  </si>
  <si>
    <t>同援１早１．０・日０．５・通訳</t>
  </si>
  <si>
    <t>同援１早０．５・日２．５・通訳・２人</t>
  </si>
  <si>
    <t>同援１早０．５・日２．５・通訳</t>
  </si>
  <si>
    <t>同援１早０．５・日２．０・通訳・２人</t>
  </si>
  <si>
    <t>同援１早０．５・日２．０・通訳</t>
  </si>
  <si>
    <t>同援１早０．５・日１．５・通訳・２人</t>
  </si>
  <si>
    <t>同援１早０．５・日１．５・通訳</t>
  </si>
  <si>
    <t>同援１早０．５・日１．０・通訳・２人</t>
  </si>
  <si>
    <t>同援１早０．５・日１．０・通訳</t>
  </si>
  <si>
    <t>同援１早０．５・日０．５・通訳・２人</t>
  </si>
  <si>
    <t>同援１早０．５・日０．５・通訳</t>
  </si>
  <si>
    <t>イ　身体介護を伴う場合　（盲ろう者向け通訳・介助員：早朝＋日中）</t>
  </si>
  <si>
    <t>同援１深０．５・早２．０・日０．５・通訳・２人</t>
  </si>
  <si>
    <t>同援１深０．５・早２．０・日０．５・通訳</t>
  </si>
  <si>
    <t>イ　身体介護を伴う場合　（盲ろう者向け通訳・介助員：深夜＋早朝＋日中）</t>
  </si>
  <si>
    <t>同援１日２．５・夜０．５・通訳・２人</t>
  </si>
  <si>
    <t>同援１日２．５・夜０．５・通訳</t>
  </si>
  <si>
    <t>同援１日２．０・夜１．０・通訳・２人</t>
  </si>
  <si>
    <t>同援１日２．０・夜１．０・通訳</t>
  </si>
  <si>
    <t>同援１日２．０・夜０．５・通訳・２人</t>
  </si>
  <si>
    <t>同援１日２．０・夜０．５・通訳</t>
  </si>
  <si>
    <t>同援１日１．５・夜１．５・通訳・２人</t>
  </si>
  <si>
    <t>同援１日１．５・夜１．５・通訳</t>
  </si>
  <si>
    <t>同援１日１．５・夜１．０・通訳・２人</t>
  </si>
  <si>
    <t>同援１日１．５・夜１．０・通訳</t>
  </si>
  <si>
    <t>同援１日１．５・夜０．５・通訳・２人</t>
  </si>
  <si>
    <t>同援１日１．５・夜０．５・通訳</t>
  </si>
  <si>
    <t>同援１日１．０・夜２．０・通訳・２人</t>
  </si>
  <si>
    <t>同援１日１．０・夜２．０・通訳</t>
  </si>
  <si>
    <t>同援１日１．０・夜１．５・通訳・２人</t>
  </si>
  <si>
    <t>同援１日１．０・夜１．５・通訳</t>
  </si>
  <si>
    <t>同援１日１．０・夜１．０・通訳・２人</t>
  </si>
  <si>
    <t>同援１日１．０・夜１．０・通訳</t>
  </si>
  <si>
    <t>同援１日１．０・夜０．５・通訳・２人</t>
  </si>
  <si>
    <t>同援１日１．０・夜０．５・通訳</t>
  </si>
  <si>
    <t>同援１日０．５・夜２．５・通訳・２人</t>
  </si>
  <si>
    <t>同援１日０．５・夜２．５・通訳</t>
  </si>
  <si>
    <t>同援１日０．５・夜２．０・通訳・２人</t>
  </si>
  <si>
    <t>同援１日０．５・夜２．０・通訳</t>
  </si>
  <si>
    <t>同援１日０．５・夜１．５・通訳・２人</t>
  </si>
  <si>
    <t>同援１日０．５・夜１．５・通訳</t>
  </si>
  <si>
    <t>同援１日０．５・夜１．０・通訳・２人</t>
  </si>
  <si>
    <t>同援１日０．５・夜１．０・通訳</t>
  </si>
  <si>
    <t>同援１日０．５・夜０．５・通訳・２人</t>
  </si>
  <si>
    <t>同援１日０．５・夜０．５・通訳</t>
  </si>
  <si>
    <t>イ　身体介護を伴う場合　（盲ろう者向け通訳・介助員：日中＋夜間）</t>
  </si>
  <si>
    <t>同援１夜２．５・深０．５・通訳・２人</t>
  </si>
  <si>
    <t>同援１夜２．５・深０．５・通訳</t>
  </si>
  <si>
    <t>同援１夜２．０・深１．０・通訳・２人</t>
  </si>
  <si>
    <t>同援１夜２．０・深１．０・通訳</t>
  </si>
  <si>
    <t>同援１夜２．０・深０．５・通訳・２人</t>
  </si>
  <si>
    <t>同援１夜２．０・深０．５・通訳</t>
  </si>
  <si>
    <t>同援１夜１．５・深１．５・通訳・２人</t>
  </si>
  <si>
    <t>同援１夜１．５・深１．５・通訳</t>
  </si>
  <si>
    <t>同援１夜１．５・深１．０・通訳・２人</t>
  </si>
  <si>
    <t>同援１夜１．５・深１．０・通訳</t>
  </si>
  <si>
    <t>同援１夜１．５・深０．５・通訳・２人</t>
  </si>
  <si>
    <t>同援１夜１．５・深０．５・通訳</t>
  </si>
  <si>
    <t>同援１夜１．０・深２．０・通訳・２人</t>
  </si>
  <si>
    <t>同援１夜１．０・深２．０・通訳</t>
  </si>
  <si>
    <t>同援１夜１．０・深１．５・通訳・２人</t>
  </si>
  <si>
    <t>同援１夜１．０・深１．５・通訳</t>
  </si>
  <si>
    <t>同援１夜１．０・深１．０・通訳・２人</t>
  </si>
  <si>
    <t>同援１夜１．０・深１．０・通訳</t>
  </si>
  <si>
    <t>同援１夜１．０・深０．５・通訳・２人</t>
  </si>
  <si>
    <t>同援１夜１．０・深０．５・通訳</t>
  </si>
  <si>
    <t>同援１夜０．５・深２．５・通訳・２人</t>
  </si>
  <si>
    <t>同援１夜０．５・深２．５・通訳</t>
  </si>
  <si>
    <t>同援１夜０．５・深２．０・通訳・２人</t>
  </si>
  <si>
    <t>同援１夜０．５・深２．０・通訳</t>
  </si>
  <si>
    <t>同援１夜０．５・深１．５・通訳・２人</t>
  </si>
  <si>
    <t>同援１夜０．５・深１．５・通訳</t>
  </si>
  <si>
    <t>同援１夜０．５・深１．０・通訳・２人</t>
  </si>
  <si>
    <t>同援１夜０．５・深１．０・通訳</t>
  </si>
  <si>
    <t>同援１夜０．５・深０．５・通訳・２人</t>
  </si>
  <si>
    <t>同援１夜０．５・深０．５・通訳</t>
  </si>
  <si>
    <t>イ　身体介護を伴う場合　（盲ろう者向け通訳・介助員：夜間＋深夜）</t>
  </si>
  <si>
    <t>同援１日跨増深２．５・深０．５・通訳・２人</t>
  </si>
  <si>
    <t>同援１日跨増深２．５・深０．５・通訳</t>
  </si>
  <si>
    <t>同援１日跨増深２．０・深１．０・通訳・２人</t>
  </si>
  <si>
    <t>同援１日跨増深２．０・深１．０・通訳</t>
  </si>
  <si>
    <t>同援１日跨増深２．０・深０．５・通訳・２人</t>
  </si>
  <si>
    <t>同援１日跨増深２．０・深０．５・通訳</t>
  </si>
  <si>
    <t>同援１日跨増深１．５・深１．５・通訳・２人</t>
  </si>
  <si>
    <t>同援１日跨増深１．５・深１．５・通訳</t>
  </si>
  <si>
    <t>同援１日跨増深１．５・深１．０・通訳・２人</t>
  </si>
  <si>
    <t>同援１日跨増深１．５・深１．０・通訳</t>
  </si>
  <si>
    <t>同援１日跨増深１．５・深０．５・通訳・２人</t>
  </si>
  <si>
    <t>同援１日跨増深１．５・深０．５・通訳</t>
  </si>
  <si>
    <t>同援１日跨増深１．０・深２．０・通訳・２人</t>
  </si>
  <si>
    <t>同援１日跨増深１．０・深２．０・通訳</t>
  </si>
  <si>
    <t>同援１日跨増深１．０・深１．５・通訳・２人</t>
  </si>
  <si>
    <t>同援１日跨増深１．０・深１．５・通訳</t>
  </si>
  <si>
    <t>同援１日跨増深１．０・深１．０・通訳・２人</t>
  </si>
  <si>
    <t>同援１日跨増深１．０・深１．０・通訳</t>
  </si>
  <si>
    <t>同援１日跨増深１．０・深０．５・通訳・２人</t>
  </si>
  <si>
    <t>同援１日跨増深１．０・深０．５・通訳</t>
  </si>
  <si>
    <t>同援１日跨増深０．５・深２．５・通訳・２人</t>
  </si>
  <si>
    <t>同援１日跨増深０．５・深２．５・通訳</t>
  </si>
  <si>
    <t>同援１日跨増深０．５・深２．０・通訳・２人</t>
  </si>
  <si>
    <t>同援１日跨増深０．５・深２．０・通訳</t>
  </si>
  <si>
    <t>同援１日跨増深０．５・深１．５・通訳・２人</t>
  </si>
  <si>
    <t>同援１日跨増深０．５・深１．５・通訳</t>
  </si>
  <si>
    <t>同援１日跨増深０．５・深１．０・通訳・２人</t>
  </si>
  <si>
    <t>同援１日跨増深０．５・深１．０・通訳</t>
  </si>
  <si>
    <t>同援１日跨増深０．５・深０．５・通訳・２人</t>
  </si>
  <si>
    <t>同援１日跨増深０．５・深０．５・通訳</t>
  </si>
  <si>
    <t>イ　身体介護を伴う場合　（盲ろう者向け通訳・介助員：日を跨る場合　２日目深夜増分）</t>
  </si>
  <si>
    <t>同援１深２．０・早０．５・日０．５・通訳・２人</t>
  </si>
  <si>
    <t>同援１深２．０・早０．５・日０．５・通訳</t>
  </si>
  <si>
    <t>同援１深１．５・早０．５・日１．０・通訳・２人</t>
  </si>
  <si>
    <t>同援１深１．５・早０．５・日１．０・通訳</t>
  </si>
  <si>
    <t>同援１深１．５・早０．５・日０．５・通訳・２人</t>
  </si>
  <si>
    <t>同援１深１．５・早０．５・日０．５・通訳</t>
  </si>
  <si>
    <t>同援１深１．０・早０．５・日１．５・通訳・２人</t>
  </si>
  <si>
    <t>同援１深１．０・早０．５・日１．５・通訳</t>
  </si>
  <si>
    <t>同援１深１．０・早０．５・日１．０・通訳・２人</t>
  </si>
  <si>
    <t>同援１深１．０・早０．５・日１．０・通訳</t>
  </si>
  <si>
    <t>同援１深１．０・早０．５・日０．５・通訳・２人</t>
  </si>
  <si>
    <t>同援１深１．０・早０．５・日０．５・通訳</t>
  </si>
  <si>
    <t>同援１深０．５・早０．５・日２．０・通訳・２人</t>
  </si>
  <si>
    <t>同援１深０．５・早０．５・日２．０・通訳</t>
  </si>
  <si>
    <t>同援１深０．５・早０．５・日１．５・通訳・２人</t>
  </si>
  <si>
    <t>同援１深０．５・早０．５・日１．５・通訳</t>
  </si>
  <si>
    <t>同援１深０．５・早０．５・日１．０・通訳・２人</t>
  </si>
  <si>
    <t>同援１深０．５・早０．５・日１．０・通訳</t>
  </si>
  <si>
    <t>同援１深０．５・早０．５・日０．５・通訳・２人</t>
  </si>
  <si>
    <t>同援１深０．５・早０．５・日０．５・通訳</t>
  </si>
  <si>
    <t>同援１深１．５・早１．０・日０．５・通訳・２人</t>
  </si>
  <si>
    <t>同援１深１．５・早１．０・日０．５・通訳</t>
  </si>
  <si>
    <t>同援１深１．０・早１．０・日１．０・通訳・２人</t>
  </si>
  <si>
    <t>同援１深１．０・早１．０・日１．０・通訳</t>
  </si>
  <si>
    <t>同援１深１．０・早１．０・日０．５・通訳・２人</t>
  </si>
  <si>
    <t>同援１深１．０・早１．０・日０．５・通訳</t>
  </si>
  <si>
    <t>同援１深０．５・早１．０・日１．５・通訳・２人</t>
  </si>
  <si>
    <t>同援１深０．５・早１．０・日１．５・通訳</t>
  </si>
  <si>
    <t>同援１深０．５・早１．０・日１．０・通訳・２人</t>
  </si>
  <si>
    <t>同援１深０．５・早１．０・日１．０・通訳</t>
  </si>
  <si>
    <t>同援１深０．５・早１．０・日０．５・通訳・２人</t>
  </si>
  <si>
    <t>同援１深０．５・早１．０・日０．５・通訳</t>
  </si>
  <si>
    <t>同援１深１．０・早１．５・日０．５・通訳・２人</t>
  </si>
  <si>
    <t>同援１深１．０・早１．５・日０．５・通訳</t>
  </si>
  <si>
    <t>同援１深０．５・早１．５・日１．０・通訳・２人</t>
  </si>
  <si>
    <t>同援１深０．５・早１．５・日１．０・通訳</t>
  </si>
  <si>
    <t>同援１深０．５・早１．５・日０．５・通訳・２人</t>
  </si>
  <si>
    <t>同援１深０．５・早１．５・日０．５・通訳</t>
  </si>
  <si>
    <t>イ　身体介護を伴う場合　（盲ろう者向け通訳・介助員：深夜＋早朝＋日中）　　※サービス間隔が２時間未満の場合</t>
  </si>
  <si>
    <t>同援１深２．５・日０．５・通訳・２人</t>
  </si>
  <si>
    <t>同援１深２．５・日０．５・通訳</t>
  </si>
  <si>
    <t>同援１深２．０・日１．０・通訳・２人</t>
  </si>
  <si>
    <t>同援１深２．０・日１．０・通訳</t>
  </si>
  <si>
    <t>同援１深２．０・日０．５・通訳・２人</t>
  </si>
  <si>
    <t>同援１深２．０・日０．５・通訳</t>
  </si>
  <si>
    <t>同援１深１．５・日１．５・通訳・２人</t>
  </si>
  <si>
    <t>同援１深１．５・日１．５・通訳</t>
  </si>
  <si>
    <t>同援１深１．５・日１．０・通訳・２人</t>
  </si>
  <si>
    <t>同援１深１．５・日１．０・通訳</t>
  </si>
  <si>
    <t>同援１深１．５・日０．５・通訳・２人</t>
  </si>
  <si>
    <t>同援１深１．５・日０．５・通訳</t>
  </si>
  <si>
    <t>同援１深１．０・日２．０・通訳・２人</t>
  </si>
  <si>
    <t>同援１深１．０・日２．０・通訳</t>
  </si>
  <si>
    <t>同援１深１．０・日１．５・通訳・２人</t>
  </si>
  <si>
    <t>同援１深１．０・日１．５・通訳</t>
  </si>
  <si>
    <t>同援１深１．０・日１．０・通訳・２人</t>
  </si>
  <si>
    <t>同援１深１．０・日１．０・通訳</t>
  </si>
  <si>
    <t>同援１深１．０・日０．５・通訳・２人</t>
  </si>
  <si>
    <t>同援１深１．０・日０．５・通訳</t>
  </si>
  <si>
    <t>同援１深０．５・日２．５・通訳・２人</t>
  </si>
  <si>
    <t>同援１深０．５・日２．５・通訳</t>
  </si>
  <si>
    <t>同援１深０．５・日２．０・通訳・２人</t>
  </si>
  <si>
    <t>同援１深０．５・日２．０・通訳</t>
  </si>
  <si>
    <t>同援１深０．５・日１．５・通訳・２人</t>
  </si>
  <si>
    <t>同援１深０．５・日１．５・通訳</t>
  </si>
  <si>
    <t>同援１深０．５・日１．０・通訳・２人</t>
  </si>
  <si>
    <t>同援１深０．５・日１．０・通訳</t>
  </si>
  <si>
    <t>同援１深０．５・日０．５・通訳・２人</t>
  </si>
  <si>
    <t>同援１深０．５・日０．５・通訳</t>
  </si>
  <si>
    <t>イ　身体介護を伴う場合　（盲ろう者向け通訳・介助員：深夜＋日中）　　※サービス間隔が２時間未満の場合</t>
  </si>
  <si>
    <t>同援１早０．５・日２．０・夜０．５・通訳・２人</t>
  </si>
  <si>
    <t>同援１早０．５・日２．０・夜０．５・通訳</t>
  </si>
  <si>
    <t>イ　身体介護を伴う場合　（盲ろう者向け通訳・介助員：早朝＋日中＋夜間）　　※サービス間隔が２時間未満の場合</t>
  </si>
  <si>
    <t>同援１日２．０・夜０．５・深０．５・通訳・２人</t>
  </si>
  <si>
    <t>同援１日２．０・夜０．５・深０．５・通訳</t>
  </si>
  <si>
    <t>同援１日１．５・夜０．５・深１．０・通訳・２人</t>
  </si>
  <si>
    <t>同援１日１．５・夜０．５・深１．０・通訳</t>
  </si>
  <si>
    <t>同援１日１．５・夜０．５・深０．５・通訳・２人</t>
  </si>
  <si>
    <t>同援１日１．５・夜０．５・深０．５・通訳</t>
  </si>
  <si>
    <t>同援１日１．０・夜０．５・深１．５・通訳・２人</t>
  </si>
  <si>
    <t>同援１日１．０・夜０．５・深１．５・通訳</t>
  </si>
  <si>
    <t>同援１日１．０・夜０．５・深１．０・通訳・２人</t>
  </si>
  <si>
    <t>同援１日１．０・夜０．５・深１．０・通訳</t>
  </si>
  <si>
    <t>同援１日１．０・夜０．５・深０．５・通訳・２人</t>
  </si>
  <si>
    <t>同援１日１．０・夜０．５・深０．５・通訳</t>
  </si>
  <si>
    <t>同援１日０．５・夜０．５・深２．０・通訳・２人</t>
  </si>
  <si>
    <t>同援１日０．５・夜０．５・深２．０・通訳</t>
  </si>
  <si>
    <t>同援１日０．５・夜０．５・深１．５・通訳・２人</t>
  </si>
  <si>
    <t>同援１日０．５・夜０．５・深１．５・通訳</t>
  </si>
  <si>
    <t>同援１日０．５・夜０．５・深１．０・通訳・２人</t>
  </si>
  <si>
    <t>同援１日０．５・夜０．５・深１．０・通訳</t>
  </si>
  <si>
    <t>同援１日０．５・夜０．５・深０．５・通訳・２人</t>
  </si>
  <si>
    <t>同援１日０．５・夜０．５・深０．５・通訳</t>
  </si>
  <si>
    <t>同援１日１．５・夜１．０・深０．５・通訳・２人</t>
  </si>
  <si>
    <t>同援１日１．５・夜１．０・深０．５・通訳</t>
  </si>
  <si>
    <t>同援１日１．０・夜１．０・深１．０・通訳・２人</t>
  </si>
  <si>
    <t>同援１日１．０・夜１．０・深１．０・通訳</t>
  </si>
  <si>
    <t>同援１日１．０・夜１．０・深０．５・通訳・２人</t>
  </si>
  <si>
    <t>同援１日１．０・夜１．０・深０．５・通訳</t>
  </si>
  <si>
    <t>同援１日０．５・夜１．０・深１．５・通訳・２人</t>
  </si>
  <si>
    <t>同援１日０．５・夜１．０・深１．５・通訳</t>
  </si>
  <si>
    <t>同援１日０．５・夜１．０・深１．０・通訳・２人</t>
  </si>
  <si>
    <t>同援１日０．５・夜１．０・深１．０・通訳</t>
  </si>
  <si>
    <t>同援１日０．５・夜１．０・深０．５・通訳・２人</t>
  </si>
  <si>
    <t>同援１日０．５・夜１．０・深０．５・通訳</t>
  </si>
  <si>
    <t>同援１日１．０・夜１．５・深０．５・通訳・２人</t>
  </si>
  <si>
    <t>同援１日１．０・夜１．５・深０．５・通訳</t>
  </si>
  <si>
    <t>深夜の場合 Ｂ</t>
  </si>
  <si>
    <t>同援１日０．５・夜１．５・深１．０・通訳・２人</t>
  </si>
  <si>
    <t>同援１日０．５・夜１．５・深１．０・通訳</t>
  </si>
  <si>
    <t>同援１日０．５・夜１．５・深０．５・通訳・２人</t>
  </si>
  <si>
    <t>同援１日０．５・夜１．５・深０．５・通訳</t>
  </si>
  <si>
    <t>同援１日０．５・夜２．０・深０．５・通訳・２人</t>
  </si>
  <si>
    <t>同援１日０．５・夜２．０・深０．５・通訳</t>
  </si>
  <si>
    <t>イ　身体介護を伴う場合　（盲ろう者向け通訳・介助員：日中＋夜間＋深夜）　　※サービス間隔が２時間未満の場合</t>
  </si>
  <si>
    <t>同援１日増１０．５・通訳・２人</t>
  </si>
  <si>
    <t>同援１日増１０．５・通訳</t>
  </si>
  <si>
    <t>同援１日増１０．０・通訳・２人</t>
  </si>
  <si>
    <t>同援１日増１０．０・通訳</t>
  </si>
  <si>
    <t>同援１日増９．５・通訳・２人</t>
  </si>
  <si>
    <t>同援１日増９．５・通訳</t>
  </si>
  <si>
    <t>同援１日増９．０・通訳・２人</t>
  </si>
  <si>
    <t>同援１日増９．０・通訳</t>
  </si>
  <si>
    <t>同援１日増８．５・通訳・２人</t>
  </si>
  <si>
    <t>同援１日増８．５・通訳</t>
  </si>
  <si>
    <t>同援１日増８．０・通訳・２人</t>
  </si>
  <si>
    <t>同援１日増８．０・通訳</t>
  </si>
  <si>
    <t>同援１日増７．５・通訳・２人</t>
  </si>
  <si>
    <t>同援１日増７．５・通訳</t>
  </si>
  <si>
    <t>同援１日増７．０・通訳・２人</t>
  </si>
  <si>
    <t>同援１日増７．０・通訳</t>
  </si>
  <si>
    <t>同援１日増６．５・通訳・２人</t>
  </si>
  <si>
    <t>同援１日増６．５・通訳</t>
  </si>
  <si>
    <t>同援１日増６．０・通訳・２人</t>
  </si>
  <si>
    <t>同援１日増６．０・通訳</t>
  </si>
  <si>
    <t>同援１日増５．５・通訳・２人</t>
  </si>
  <si>
    <t>同援１日増５．５・通訳</t>
  </si>
  <si>
    <t>同援１日増５．０・通訳・２人</t>
  </si>
  <si>
    <t>同援１日増５．０・通訳</t>
  </si>
  <si>
    <t>同援１日増４．５・通訳・２人</t>
  </si>
  <si>
    <t>同援１日増４．５・通訳</t>
  </si>
  <si>
    <t>同援１日増４．０・通訳・２人</t>
  </si>
  <si>
    <t>同援１日増４．０・通訳</t>
  </si>
  <si>
    <t>同援１日増３．５・通訳・２人</t>
  </si>
  <si>
    <t>同援１日増３．５・通訳</t>
  </si>
  <si>
    <t>同援１日増３．０・通訳・２人</t>
  </si>
  <si>
    <t>同援１日増３．０・通訳</t>
  </si>
  <si>
    <t>同援１日増２．５・通訳・２人</t>
  </si>
  <si>
    <t>同援１日増２．５・通訳</t>
  </si>
  <si>
    <t>同援１日増２．０・通訳・２人</t>
  </si>
  <si>
    <t>同援１日増２．０・通訳</t>
  </si>
  <si>
    <t>同援１日増１．５・通訳・２人</t>
  </si>
  <si>
    <t>同援１日増１．５・通訳</t>
  </si>
  <si>
    <t>同援１日増１．０・通訳・２人</t>
  </si>
  <si>
    <t>同援１日増１．０・通訳</t>
  </si>
  <si>
    <t>同援１日増０．５・通訳・２人</t>
  </si>
  <si>
    <t>同援１日増０．５・通訳</t>
  </si>
  <si>
    <t>イ　身体介護を伴う場合　（盲ろう者向け通訳・介助員：日中増分)</t>
  </si>
  <si>
    <t>同援１夜増４．５・通訳・２人</t>
  </si>
  <si>
    <t>同援１夜増４．５・通訳</t>
  </si>
  <si>
    <t>同援１夜増４．０・通訳・２人</t>
  </si>
  <si>
    <t>同援１夜増４．０・通訳</t>
  </si>
  <si>
    <t>同援１夜増３．５・通訳・２人</t>
  </si>
  <si>
    <t>同援１夜増３．５・通訳</t>
  </si>
  <si>
    <t>同援１夜増３．０・通訳・２人</t>
  </si>
  <si>
    <t>同援１夜増３．０・通訳</t>
  </si>
  <si>
    <t>同援１夜増２．５・通訳・２人</t>
  </si>
  <si>
    <t>同援１夜増２．５・通訳</t>
  </si>
  <si>
    <t>同援１夜増２．０・通訳・２人</t>
  </si>
  <si>
    <t>同援１夜増２．０・通訳</t>
  </si>
  <si>
    <t>同援１夜増１．５・通訳・２人</t>
  </si>
  <si>
    <t>同援１夜増１．５・通訳</t>
  </si>
  <si>
    <t>同援１夜増１．０・通訳・２人</t>
  </si>
  <si>
    <t>同援１夜増１．０・通訳</t>
  </si>
  <si>
    <t>同援１夜増０．５・通訳・２人</t>
  </si>
  <si>
    <t>同援１夜増０．５・通訳</t>
  </si>
  <si>
    <t>イ　身体介護を伴う場合　（盲ろう者向け通訳・介助員：夜間増分）</t>
  </si>
  <si>
    <t>同援１早増２．５・通訳・２人</t>
  </si>
  <si>
    <t>同援１早増２．５・通訳</t>
  </si>
  <si>
    <t>同援１早増２．０・通訳・２人</t>
  </si>
  <si>
    <t>同援１早増２．０・通訳</t>
  </si>
  <si>
    <t>同援１早増１．５・通訳・２人</t>
  </si>
  <si>
    <t>同援１早増１．５・通訳</t>
  </si>
  <si>
    <t>同援１早増１．０・通訳・２人</t>
  </si>
  <si>
    <t>同援１早増１．０・通訳</t>
  </si>
  <si>
    <t>同援１早増０．５・通訳・２人</t>
  </si>
  <si>
    <t>同援１早増０．５・通訳</t>
  </si>
  <si>
    <t>イ　身体介護を伴う場合　（盲ろう者向け通訳・介助員：早朝増分）</t>
  </si>
  <si>
    <t>同援１深増６．５・通訳・２人</t>
  </si>
  <si>
    <t>同援１深増６．５・通訳</t>
  </si>
  <si>
    <t>同援１深増６．０・通訳・２人</t>
  </si>
  <si>
    <t>同援１深増６．０・通訳</t>
  </si>
  <si>
    <t>同援１深増５．５・通訳・２人</t>
  </si>
  <si>
    <t>同援１深増５．５・通訳</t>
  </si>
  <si>
    <t>同援１深増５．０・通訳・２人</t>
  </si>
  <si>
    <t>同援１深増５．０・通訳</t>
  </si>
  <si>
    <t>同援１深増４．５・通訳・２人</t>
  </si>
  <si>
    <t>同援１深増４．５・通訳</t>
  </si>
  <si>
    <t>同援１深増４．０・通訳・２人</t>
  </si>
  <si>
    <t>同援１深増４．０・通訳</t>
  </si>
  <si>
    <t>同援１深増３．５・通訳・２人</t>
  </si>
  <si>
    <t>同援１深増３．５・通訳</t>
  </si>
  <si>
    <t>同援１深増３．０・通訳・２人</t>
  </si>
  <si>
    <t>同援１深増３．０・通訳</t>
  </si>
  <si>
    <t>同援１深増２．５・通訳・２人</t>
  </si>
  <si>
    <t>同援１深増２．５・通訳</t>
  </si>
  <si>
    <t>同援１深増２．０・通訳・２人</t>
  </si>
  <si>
    <t>同援１深増２．０・通訳</t>
  </si>
  <si>
    <t>同援１深増１．５・通訳・２人</t>
  </si>
  <si>
    <t>同援１深増１．５・通訳</t>
  </si>
  <si>
    <t>同援１深増１．０・通訳・２人</t>
  </si>
  <si>
    <t>同援１深増１．０・通訳</t>
  </si>
  <si>
    <t>同援１深増０．５・通訳・２人</t>
  </si>
  <si>
    <t>同援１深増０．５・通訳</t>
  </si>
  <si>
    <t>イ　身体介護を伴う場合　（盲ろう者向け通訳・介助員：深夜増分）</t>
  </si>
  <si>
    <t>同援２日１０．５・基礎・２人</t>
  </si>
  <si>
    <t>同援２日１０．５・基礎</t>
  </si>
  <si>
    <t>同援２日１０．５・２人</t>
  </si>
  <si>
    <t>同援２日１０．５</t>
  </si>
  <si>
    <t>同援２日１０．０・基礎・２人</t>
  </si>
  <si>
    <t>同援２日１０．０・基礎</t>
  </si>
  <si>
    <t>同援２日１０．０・２人</t>
  </si>
  <si>
    <t>同援２日１０．０</t>
  </si>
  <si>
    <t>同援２日９．５・基礎・２人</t>
  </si>
  <si>
    <t>同援２日９．５・基礎</t>
  </si>
  <si>
    <t>同援２日９．５・２人</t>
  </si>
  <si>
    <t>同援２日９．５</t>
  </si>
  <si>
    <t>同援２日９．０・基礎・２人</t>
  </si>
  <si>
    <t>同援２日９．０・基礎</t>
  </si>
  <si>
    <t>同援２日９．０・２人</t>
  </si>
  <si>
    <t>同援２日９．０</t>
  </si>
  <si>
    <t>同援２日８．５・基礎・２人</t>
  </si>
  <si>
    <t>同援２日８．５・基礎</t>
  </si>
  <si>
    <t>同援２日８．５・２人</t>
  </si>
  <si>
    <t>同援２日８．５</t>
  </si>
  <si>
    <t>同援２日８．０・基礎・２人</t>
  </si>
  <si>
    <t>同援２日８．０・基礎</t>
  </si>
  <si>
    <t>同援２日８．０・２人</t>
  </si>
  <si>
    <t>同援２日８．０</t>
  </si>
  <si>
    <t>同援２日７．５・基礎・２人</t>
  </si>
  <si>
    <t>同援２日７．５・基礎</t>
  </si>
  <si>
    <t>同援２日７．５・２人</t>
  </si>
  <si>
    <t>同援２日７．５</t>
  </si>
  <si>
    <t>同援２日７．０・基礎・２人</t>
  </si>
  <si>
    <t>同援２日７．０・基礎</t>
  </si>
  <si>
    <t>同援２日７．０・２人</t>
  </si>
  <si>
    <t>同援２日７．０</t>
  </si>
  <si>
    <t>同援２日６．５・基礎・２人</t>
  </si>
  <si>
    <t>同援２日６．５・基礎</t>
  </si>
  <si>
    <t>同援２日６．５・２人</t>
  </si>
  <si>
    <t>同援２日６．５</t>
  </si>
  <si>
    <t>同援２日６．０・基礎・２人</t>
  </si>
  <si>
    <t>同援２日６．０・基礎</t>
  </si>
  <si>
    <t>同援２日６．０・２人</t>
  </si>
  <si>
    <t>同援２日６．０</t>
  </si>
  <si>
    <t>同援２日５．５・基礎・２人</t>
  </si>
  <si>
    <t>同援２日５．５・基礎</t>
  </si>
  <si>
    <t>同援２日５．５・２人</t>
  </si>
  <si>
    <t>同援２日５．５</t>
  </si>
  <si>
    <t>同援２日５．０・基礎・２人</t>
  </si>
  <si>
    <t>同援２日５．０・基礎</t>
  </si>
  <si>
    <t>同援２日５．０・２人</t>
  </si>
  <si>
    <t>同援２日５．０</t>
  </si>
  <si>
    <t>同援２日４．５・基礎・２人</t>
  </si>
  <si>
    <t>同援２日４．５・基礎</t>
  </si>
  <si>
    <t>同援２日４．５・２人</t>
  </si>
  <si>
    <t>同援２日４．５</t>
  </si>
  <si>
    <t>同援２日４．０・基礎・２人</t>
  </si>
  <si>
    <t>同援２日４．０・基礎</t>
  </si>
  <si>
    <t>同援２日４．０・２人</t>
  </si>
  <si>
    <t>同援２日４．０</t>
  </si>
  <si>
    <t>同援２日３．５・基礎・２人</t>
  </si>
  <si>
    <t>同援２日３．５・基礎</t>
  </si>
  <si>
    <t>同援２日３．５・２人</t>
  </si>
  <si>
    <t>同援２日３．５</t>
  </si>
  <si>
    <t>同援２日３．０・基礎・２人</t>
  </si>
  <si>
    <t>同援２日３．０・基礎</t>
  </si>
  <si>
    <t>同援２日３．０・２人</t>
  </si>
  <si>
    <t>同援２日３．０</t>
  </si>
  <si>
    <t>同援２日２．５・基礎・２人</t>
  </si>
  <si>
    <t>同援２日２．５・基礎</t>
  </si>
  <si>
    <t>同援２日２．５・２人</t>
  </si>
  <si>
    <t>同援２日２．５</t>
  </si>
  <si>
    <t>同援２日２．０・基礎・２人</t>
  </si>
  <si>
    <t>同援２日２．０・基礎</t>
  </si>
  <si>
    <t>同援２日２．０・２人</t>
  </si>
  <si>
    <t>同援２日２．０</t>
  </si>
  <si>
    <t>同援２日１．５・基礎・２人</t>
  </si>
  <si>
    <t>同援２日１．５・基礎</t>
  </si>
  <si>
    <t>同援２日１．５・２人</t>
  </si>
  <si>
    <t>同援２日１．５</t>
  </si>
  <si>
    <t>同援２日１．０・基礎・２人</t>
  </si>
  <si>
    <t>同援２日１．０・基礎</t>
  </si>
  <si>
    <t>同援２日１．０・２人</t>
  </si>
  <si>
    <t>同援２日１．０</t>
  </si>
  <si>
    <t>同援２日０．５・基礎・２人</t>
  </si>
  <si>
    <t>同援２日０．５・基礎</t>
  </si>
  <si>
    <t>同援２日０．５・２人</t>
  </si>
  <si>
    <t>同援２日０．５</t>
  </si>
  <si>
    <t>ロ　身体介護を伴わない場合　（日中のみ）</t>
  </si>
  <si>
    <t>同援２夜４．５・基礎・２人</t>
  </si>
  <si>
    <t>同援２夜４．５・基礎</t>
  </si>
  <si>
    <t>同援２夜４．５・２人</t>
  </si>
  <si>
    <t>同援２夜４．５</t>
  </si>
  <si>
    <t>同援２夜４．０・基礎・２人</t>
  </si>
  <si>
    <t>同援２夜４．０・基礎</t>
  </si>
  <si>
    <t>同援２夜４．０・２人</t>
  </si>
  <si>
    <t>同援２夜４．０</t>
  </si>
  <si>
    <t>同援２夜３．５・基礎・２人</t>
  </si>
  <si>
    <t>同援２夜３．５・基礎</t>
  </si>
  <si>
    <t>同援２夜３．５・２人</t>
  </si>
  <si>
    <t>同援２夜３．５</t>
  </si>
  <si>
    <t>同援２夜３．０・基礎・２人</t>
  </si>
  <si>
    <t>同援２夜３．０・基礎</t>
  </si>
  <si>
    <t>同援２夜３．０・２人</t>
  </si>
  <si>
    <t>同援２夜３．０</t>
  </si>
  <si>
    <t>同援２夜２．５・基礎・２人</t>
  </si>
  <si>
    <t>同援２夜２．５・基礎</t>
  </si>
  <si>
    <t>同援２夜２．５・２人</t>
  </si>
  <si>
    <t>同援２夜２．５</t>
  </si>
  <si>
    <t>同援２夜２．０・基礎・２人</t>
  </si>
  <si>
    <t>同援２夜２．０・基礎</t>
  </si>
  <si>
    <t>同援２夜２．０・２人</t>
  </si>
  <si>
    <t>同援２夜２．０</t>
  </si>
  <si>
    <t>同援２夜１．５・基礎・２人</t>
  </si>
  <si>
    <t>同援２夜１．５・基礎</t>
  </si>
  <si>
    <t>同援２夜１．５・２人</t>
  </si>
  <si>
    <t>同援２夜１．５</t>
  </si>
  <si>
    <t>同援２夜１．０・基礎・２人</t>
  </si>
  <si>
    <t>同援２夜１．０・基礎</t>
  </si>
  <si>
    <t>同援２夜１．０・２人</t>
  </si>
  <si>
    <t>同援２夜１．０</t>
  </si>
  <si>
    <t>同援２夜０．５・基礎・２人</t>
  </si>
  <si>
    <t>同援２夜０．５・基礎</t>
  </si>
  <si>
    <t>同援２夜０．５・２人</t>
  </si>
  <si>
    <t>同援２夜０．５</t>
  </si>
  <si>
    <t>ロ　身体介護を伴わない場合　（夜間のみ）</t>
  </si>
  <si>
    <t>同援２早２．５・基礎・２人</t>
  </si>
  <si>
    <t>同援２早２．５・基礎</t>
  </si>
  <si>
    <t>同援２早２．５・２人</t>
  </si>
  <si>
    <t>同援２早２．５</t>
  </si>
  <si>
    <t>同援２早２．０・基礎・２人</t>
  </si>
  <si>
    <t>同援２早２．０・基礎</t>
  </si>
  <si>
    <t>同援２早２．０・２人</t>
  </si>
  <si>
    <t>同援２早２．０</t>
  </si>
  <si>
    <t>同援２早１．５・基礎・２人</t>
  </si>
  <si>
    <t>同援２早１．５・基礎</t>
  </si>
  <si>
    <t>同援２早１．５・２人</t>
  </si>
  <si>
    <t>同援２早１．５</t>
  </si>
  <si>
    <t>同援２早１．０・基礎・２人</t>
  </si>
  <si>
    <t>同援２早１．０・基礎</t>
  </si>
  <si>
    <t>同援２早１．０・２人</t>
  </si>
  <si>
    <t>同援２早１．０</t>
  </si>
  <si>
    <t>同援２早０．５・基礎・２人</t>
  </si>
  <si>
    <t>同援２早０．５・基礎</t>
  </si>
  <si>
    <t>同援２早０．５・２人</t>
  </si>
  <si>
    <t>同援２早０．５</t>
  </si>
  <si>
    <t>ロ　身体介護を伴わない場合　（早朝のみ）</t>
  </si>
  <si>
    <t>同援２深６．５・基礎・２人</t>
  </si>
  <si>
    <t>同援２深６．５・基礎</t>
  </si>
  <si>
    <t>同援２深６．５・２人</t>
  </si>
  <si>
    <t>同援２深６．５</t>
  </si>
  <si>
    <t>同援２深６．０・基礎・２人</t>
  </si>
  <si>
    <t>同援２深６．０・基礎</t>
  </si>
  <si>
    <t>同援２深６．０・２人</t>
  </si>
  <si>
    <t>同援２深６．０</t>
  </si>
  <si>
    <t>同援２深５．５・基礎・２人</t>
  </si>
  <si>
    <t>同援２深５．５・基礎</t>
  </si>
  <si>
    <t>同援２深５．５・２人</t>
  </si>
  <si>
    <t>同援２深５．５</t>
  </si>
  <si>
    <t>同援２深５．０・基礎・２人</t>
  </si>
  <si>
    <t>同援２深５．０・基礎</t>
  </si>
  <si>
    <t>同援２深５．０・２人</t>
  </si>
  <si>
    <t>同援２深５．０</t>
  </si>
  <si>
    <t>同援２深４．５・基礎・２人</t>
  </si>
  <si>
    <t>同援２深４．５・基礎</t>
  </si>
  <si>
    <t>同援２深４．５・２人</t>
  </si>
  <si>
    <t>同援２深４．５</t>
  </si>
  <si>
    <t>同援２深４．０・基礎・２人</t>
  </si>
  <si>
    <t>同援２深４．０・基礎</t>
  </si>
  <si>
    <t>同援２深４．０・２人</t>
  </si>
  <si>
    <t>同援２深４．０</t>
  </si>
  <si>
    <t>同援２深３．５・基礎・２人</t>
  </si>
  <si>
    <t>同援２深３．５・基礎</t>
  </si>
  <si>
    <t>同援２深３．５・２人</t>
  </si>
  <si>
    <t>同援２深３．５</t>
  </si>
  <si>
    <t>同援２深３．０・基礎・２人</t>
  </si>
  <si>
    <t>同援２深３．０・基礎</t>
  </si>
  <si>
    <t>同援２深３．０・２人</t>
  </si>
  <si>
    <t>同援２深３．０</t>
  </si>
  <si>
    <t>同援２深２．５・基礎・２人</t>
  </si>
  <si>
    <t>同援２深２．５・基礎</t>
  </si>
  <si>
    <t>同援２深２．５・２人</t>
  </si>
  <si>
    <t>同援２深２．５</t>
  </si>
  <si>
    <t>同援２深２．０・基礎・２人</t>
  </si>
  <si>
    <t>同援２深２．０・基礎</t>
  </si>
  <si>
    <t>同援２深２．０・２人</t>
  </si>
  <si>
    <t>同援２深２．０</t>
  </si>
  <si>
    <t>同援２深１．５・基礎・２人</t>
  </si>
  <si>
    <t>同援２深１．５・基礎</t>
  </si>
  <si>
    <t>同援２深１．５・２人</t>
  </si>
  <si>
    <t>同援２深１．５</t>
  </si>
  <si>
    <t>同援２深１．０・基礎・２人</t>
  </si>
  <si>
    <t>同援２深１．０・基礎</t>
  </si>
  <si>
    <t>同援２深１．０・２人</t>
  </si>
  <si>
    <t>同援２深１．０</t>
  </si>
  <si>
    <t>同援２深０．５・基礎・２人</t>
  </si>
  <si>
    <t>同援２深０．５・基礎</t>
  </si>
  <si>
    <t>同援２深０．５・２人</t>
  </si>
  <si>
    <t>同援２深０．５</t>
  </si>
  <si>
    <t>ロ　身体介護を伴わない場合　（深夜のみ）</t>
  </si>
  <si>
    <t>同援２日１．０・夜０．５・基礎・２人</t>
  </si>
  <si>
    <t>同援２日１．０・夜０．５・基礎</t>
  </si>
  <si>
    <t>同援２日１．０・夜０．５・２人</t>
  </si>
  <si>
    <t>同援２日１．０・夜０．５</t>
  </si>
  <si>
    <t>同援２日０．５・夜１．０・基礎・２人</t>
  </si>
  <si>
    <t>同援２日０．５・夜１．０・基礎</t>
  </si>
  <si>
    <t>同援２日０．５・夜１．０・２人</t>
  </si>
  <si>
    <t>同援２日０．５・夜１．０</t>
  </si>
  <si>
    <t>同援２日０．５・夜０．５・基礎・２人</t>
  </si>
  <si>
    <t>同援２日０．５・夜０．５・基礎</t>
  </si>
  <si>
    <t>同援２日０．５・夜０．５・２人</t>
  </si>
  <si>
    <t>同援２日０．５・夜０．５</t>
  </si>
  <si>
    <t>ロ　身体介護を伴わない場合　（日中＋夜間）</t>
  </si>
  <si>
    <t>同援２早１．０・日０．５・基礎・２人</t>
  </si>
  <si>
    <t>同援２早１．０・日０．５・基礎</t>
  </si>
  <si>
    <t>同援２早１．０・日０．５・２人</t>
  </si>
  <si>
    <t>同援２早１．０・日０．５</t>
  </si>
  <si>
    <t>同援２早０．５・日１．０・基礎・２人</t>
  </si>
  <si>
    <t>同援２早０．５・日１．０・基礎</t>
  </si>
  <si>
    <t>同援２早０．５・日１．０・２人</t>
  </si>
  <si>
    <t>同援２早０．５・日１．０</t>
  </si>
  <si>
    <t>同援２早０．５・日０．５・基礎・２人</t>
  </si>
  <si>
    <t>同援２早０．５・日０．５・基礎</t>
  </si>
  <si>
    <t>同援２早０．５・日０．５・２人</t>
  </si>
  <si>
    <t>同援２早０．５・日０．５</t>
  </si>
  <si>
    <t>ロ　身体介護を伴わない場合　（早朝＋日中）</t>
  </si>
  <si>
    <t>同援２深１．０・早０．５・基礎・２人</t>
  </si>
  <si>
    <t>同援２深１．０・早０．５・基礎</t>
  </si>
  <si>
    <t>同援２深１．０・早０．５・２人</t>
  </si>
  <si>
    <t>同援２深１．０・早０．５</t>
  </si>
  <si>
    <t>同援２深０．５・早１．０・基礎・２人</t>
  </si>
  <si>
    <t>同援２深０．５・早１．０・基礎</t>
  </si>
  <si>
    <t>同援２深０．５・早１．０・２人</t>
  </si>
  <si>
    <t>同援２深０．５・早１．０</t>
  </si>
  <si>
    <t>同援２深０．５・早０．５・基礎・２人</t>
  </si>
  <si>
    <t>同援２深０．５・早０．５・基礎</t>
  </si>
  <si>
    <t>同援２深０．５・早０．５・２人</t>
  </si>
  <si>
    <t>同援２深０．５・早０．５</t>
  </si>
  <si>
    <t>ロ　身体介護を伴わない場合　（深夜＋早朝）</t>
  </si>
  <si>
    <t>同援２日跨増深１．０・深０．５・基礎・２人</t>
  </si>
  <si>
    <t>同援２日跨増深１．０・深０．５・基礎</t>
  </si>
  <si>
    <t>同援２日跨増深１．０・深０．５・２人</t>
  </si>
  <si>
    <t>同援２日跨増深１．０・深０．５</t>
  </si>
  <si>
    <t>同援２日跨増深０．５・深１．０・基礎・２人</t>
  </si>
  <si>
    <t>同援２日跨増深０．５・深１．０・基礎</t>
  </si>
  <si>
    <t>同援２日跨増深０．５・深１．０・２人</t>
  </si>
  <si>
    <t>同援２日跨増深０．５・深１．０</t>
  </si>
  <si>
    <t>同援２日跨増深０．５・深０．５・基礎・２人</t>
  </si>
  <si>
    <t>同援２日跨増深０．５・深０．５・基礎</t>
  </si>
  <si>
    <t>同援２日跨増深０．５・深０．５・２人</t>
  </si>
  <si>
    <t>同援２日跨増深０．５・深０．５</t>
  </si>
  <si>
    <t>ロ　身体介護を伴わない場合　（日を跨る場合　２日目深夜増分）</t>
  </si>
  <si>
    <t>同援２夜１．０・深０．５・基礎・２人</t>
  </si>
  <si>
    <t>同援２夜１．０・深０．５・基礎</t>
  </si>
  <si>
    <t>同援２夜１．０・深０．５・２人</t>
  </si>
  <si>
    <t>同援２夜１．０・深０．５</t>
  </si>
  <si>
    <t>同援２夜０．５・深１．０・基礎・２人</t>
  </si>
  <si>
    <t>同援２夜０．５・深１．０・基礎</t>
  </si>
  <si>
    <t>同援２夜０．５・深１．０・２人</t>
  </si>
  <si>
    <t>同援２夜０．５・深１．０</t>
  </si>
  <si>
    <t>同援２夜０．５・深０．５・基礎・２人</t>
  </si>
  <si>
    <t>同援２夜０．５・深０．５・基礎</t>
  </si>
  <si>
    <t>同援２夜０．５・深０．５・２人</t>
  </si>
  <si>
    <t>同援２夜０．５・深０．５</t>
  </si>
  <si>
    <t>ロ　身体介護を伴わない場合　（夜間＋深夜）</t>
  </si>
  <si>
    <t>同援２日０．５・夜０．５・深０．５・基礎・２人</t>
  </si>
  <si>
    <t>同援２日０．５・夜０．５・深０．５・基礎</t>
  </si>
  <si>
    <t>同援２日０．５・夜０．５・深０．５・２人</t>
  </si>
  <si>
    <t>同援２日０．５・夜０．５・深０．５</t>
  </si>
  <si>
    <t>ロ　身体介護を伴わない場合　（日中＋夜間＋深夜）　　※サービス間隔が２時間未満の場合</t>
  </si>
  <si>
    <t>同援２深１．０・日０．５・基礎・２人</t>
  </si>
  <si>
    <t>同援２深１．０・日０．５・基礎</t>
  </si>
  <si>
    <t>同援２深１．０・日０．５・２人</t>
  </si>
  <si>
    <t>同援２深１．０・日０．５</t>
  </si>
  <si>
    <t>同援２深０．５・日１．０・基礎・２人</t>
  </si>
  <si>
    <t>同援２深０．５・日１．０・基礎</t>
  </si>
  <si>
    <t>同援２深０．５・日１．０・２人</t>
  </si>
  <si>
    <t>同援２深０．５・日１．０</t>
  </si>
  <si>
    <t>同援２深０．５・日０．５・基礎・２人</t>
  </si>
  <si>
    <t>同援２深０．５・日０．５・基礎</t>
  </si>
  <si>
    <t>同援２深０．５・日０．５・２人</t>
  </si>
  <si>
    <t>同援２深０．５・日０．５</t>
  </si>
  <si>
    <t>ロ　身体介護を伴わない場合　（深夜＋日中）　　※サービス間隔が２時間未満の場合</t>
  </si>
  <si>
    <t>同援２深０．５・早０．５・日０．５・基礎・２人</t>
  </si>
  <si>
    <t>同援２深０．５・早０．５・日０．５・基礎</t>
  </si>
  <si>
    <t>同援２深０．５・早０．５・日０．５・２人</t>
  </si>
  <si>
    <t>同援２深０．５・早０．５・日０．５</t>
  </si>
  <si>
    <t>ロ　身体介護を伴わない場合　（深夜＋早朝＋日中）　　※サービス間隔が２時間未満の場合</t>
  </si>
  <si>
    <t>同援２日増１０．５・基礎・２人</t>
  </si>
  <si>
    <t>同援２日増１０．５・基礎</t>
  </si>
  <si>
    <t>同援２日増１０．５・２人</t>
  </si>
  <si>
    <t>同援２日増１０．５</t>
  </si>
  <si>
    <t>同援２日増１０．０・基礎・２人</t>
  </si>
  <si>
    <t>同援２日増１０．０・基礎</t>
  </si>
  <si>
    <t>同援２日増１０．０・２人</t>
  </si>
  <si>
    <t>同援２日増１０．０</t>
  </si>
  <si>
    <t>同援２日増９．５・基礎・２人</t>
  </si>
  <si>
    <t>同援２日増９．５・基礎</t>
  </si>
  <si>
    <t>同援２日増９．５・２人</t>
  </si>
  <si>
    <t>同援２日増９．５</t>
  </si>
  <si>
    <t>同援２日増９．０・基礎・２人</t>
  </si>
  <si>
    <t>同援２日増９．０・基礎</t>
  </si>
  <si>
    <t>同援２日増９．０・２人</t>
  </si>
  <si>
    <t>同援２日増９．０</t>
  </si>
  <si>
    <t>同援２日増８．５・基礎・２人</t>
  </si>
  <si>
    <t>同援２日増８．５・基礎</t>
  </si>
  <si>
    <t>同援２日増８．５・２人</t>
  </si>
  <si>
    <t>同援２日増８．５</t>
  </si>
  <si>
    <t>同援２日増８．０・基礎・２人</t>
  </si>
  <si>
    <t>同援２日増８．０・基礎</t>
  </si>
  <si>
    <t>同援２日増８．０・２人</t>
  </si>
  <si>
    <t>同援２日増８．０</t>
  </si>
  <si>
    <t>同援２日増７．５・基礎・２人</t>
  </si>
  <si>
    <t>同援２日増７．５・基礎</t>
  </si>
  <si>
    <t>同援２日増７．５・２人</t>
  </si>
  <si>
    <t>同援２日増７．５</t>
  </si>
  <si>
    <t>同援２日増７．０・基礎・２人</t>
  </si>
  <si>
    <t>同援２日増７．０・基礎</t>
  </si>
  <si>
    <t>同援２日増７．０・２人</t>
  </si>
  <si>
    <t>同援２日増７．０</t>
  </si>
  <si>
    <t>同援２日増６．５・基礎・２人</t>
  </si>
  <si>
    <t>同援２日増６．５・基礎</t>
  </si>
  <si>
    <t>同援２日増６．５・２人</t>
  </si>
  <si>
    <t>同援２日増６．５</t>
  </si>
  <si>
    <t>同援２日増６．０・基礎・２人</t>
  </si>
  <si>
    <t>同援２日増６．０・基礎</t>
  </si>
  <si>
    <t>同援２日増６．０・２人</t>
  </si>
  <si>
    <t>同援２日増６．０</t>
  </si>
  <si>
    <t>同援２日増５．５・基礎・２人</t>
  </si>
  <si>
    <t>同援２日増５．５・基礎</t>
  </si>
  <si>
    <t>同援２日増５．５・２人</t>
  </si>
  <si>
    <t>同援２日増５．５</t>
  </si>
  <si>
    <t>同援２日増５．０・基礎・２人</t>
  </si>
  <si>
    <t>同援２日増５．０・基礎</t>
  </si>
  <si>
    <t>同援２日増５．０・２人</t>
  </si>
  <si>
    <t>同援２日増５．０</t>
  </si>
  <si>
    <t>同援２日増４．５・基礎・２人</t>
  </si>
  <si>
    <t>同援２日増４．５・基礎</t>
  </si>
  <si>
    <t>同援２日増４．５・２人</t>
  </si>
  <si>
    <t>同援２日増４．５</t>
  </si>
  <si>
    <t>同援２日増４．０・基礎・２人</t>
  </si>
  <si>
    <t>同援２日増４．０・基礎</t>
  </si>
  <si>
    <t>同援２日増４．０・２人</t>
  </si>
  <si>
    <t>同援２日増４．０</t>
  </si>
  <si>
    <t>同援２日増３．５・基礎・２人</t>
  </si>
  <si>
    <t>同援２日増３．５・基礎</t>
  </si>
  <si>
    <t>同援２日増３．５・２人</t>
  </si>
  <si>
    <t>同援２日増３．５</t>
  </si>
  <si>
    <t>同援２日増３．０・基礎・２人</t>
  </si>
  <si>
    <t>同援２日増３．０・基礎</t>
  </si>
  <si>
    <t>同援２日増３．０・２人</t>
  </si>
  <si>
    <t>同援２日増３．０</t>
  </si>
  <si>
    <t>同援２日増２．５・基礎・２人</t>
  </si>
  <si>
    <t>同援２日増２．５・基礎</t>
  </si>
  <si>
    <t>同援２日増２．５・２人</t>
  </si>
  <si>
    <t>同援２日増２．５</t>
  </si>
  <si>
    <t>同援２日増２．０・基礎・２人</t>
  </si>
  <si>
    <t>同援２日増２．０・基礎</t>
  </si>
  <si>
    <t>同援２日増２．０・２人</t>
  </si>
  <si>
    <t>同援２日増２．０</t>
  </si>
  <si>
    <t>同援２日増１．５・基礎・２人</t>
  </si>
  <si>
    <t>同援２日増１．５・基礎</t>
  </si>
  <si>
    <t>同援２日増１．５・２人</t>
  </si>
  <si>
    <t>同援２日増１．５</t>
  </si>
  <si>
    <t>同援２日増１．０・基礎・２人</t>
  </si>
  <si>
    <t>同援２日増１．０・基礎</t>
  </si>
  <si>
    <t>同援２日増１．０・２人</t>
  </si>
  <si>
    <t>同援２日増１．０</t>
  </si>
  <si>
    <t>同援２日増０．５・基礎・２人</t>
  </si>
  <si>
    <t>同援２日増０．５・基礎</t>
  </si>
  <si>
    <t>同援２日増０．５・２人</t>
  </si>
  <si>
    <t>同援２日増０．５</t>
  </si>
  <si>
    <t>ロ　身体介護を伴わない場合　（日中増分)</t>
  </si>
  <si>
    <t>同援２夜増４．５・基礎・２人</t>
  </si>
  <si>
    <t>同援２夜増４．５・基礎</t>
  </si>
  <si>
    <t>同援２夜増４．５・２人</t>
  </si>
  <si>
    <t>同援２夜増４．５</t>
  </si>
  <si>
    <t>同援２夜増４．０・基礎・２人</t>
  </si>
  <si>
    <t>同援２夜増４．０・基礎</t>
  </si>
  <si>
    <t>同援２夜増４．０・２人</t>
  </si>
  <si>
    <t>同援２夜増４．０</t>
  </si>
  <si>
    <t>同援２夜増３．５・基礎・２人</t>
  </si>
  <si>
    <t>同援２夜増３．５・基礎</t>
  </si>
  <si>
    <t>同援２夜増３．５・２人</t>
  </si>
  <si>
    <t>同援２夜増３．５</t>
  </si>
  <si>
    <t>同援２夜増３．０・基礎・２人</t>
  </si>
  <si>
    <t>同援２夜増３．０・基礎</t>
  </si>
  <si>
    <t>同援２夜増３．０・２人</t>
  </si>
  <si>
    <t>同援２夜増３．０</t>
  </si>
  <si>
    <t>同援２夜増２．５・基礎・２人</t>
  </si>
  <si>
    <t>同援２夜増２．５・基礎</t>
  </si>
  <si>
    <t>同援２夜増２．５・２人</t>
  </si>
  <si>
    <t>同援２夜増２．５</t>
  </si>
  <si>
    <t>同援２夜増２．０・基礎・２人</t>
  </si>
  <si>
    <t>同援２夜増２．０・基礎</t>
  </si>
  <si>
    <t>同援２夜増２．０・２人</t>
  </si>
  <si>
    <t>同援２夜増２．０</t>
  </si>
  <si>
    <t>同援２夜増１．５・基礎・２人</t>
  </si>
  <si>
    <t>同援２夜増１．５・基礎</t>
  </si>
  <si>
    <t>同援２夜増１．５・２人</t>
  </si>
  <si>
    <t>同援２夜増１．５</t>
  </si>
  <si>
    <t>同援２夜増１．０・基礎・２人</t>
  </si>
  <si>
    <t>同援２夜増１．０・基礎</t>
  </si>
  <si>
    <t>夜間の</t>
  </si>
  <si>
    <t>同援２夜増１．０・２人</t>
  </si>
  <si>
    <t>同援２夜増１．０</t>
  </si>
  <si>
    <t>同援２夜増０．５・基礎・２人</t>
  </si>
  <si>
    <t>同援２夜増０．５・基礎</t>
  </si>
  <si>
    <t>同援２夜増０．５・２人</t>
  </si>
  <si>
    <t>同援２夜増０．５</t>
  </si>
  <si>
    <t>ロ　身体介護を伴わない場合　（夜間増分）</t>
  </si>
  <si>
    <t>同援２早増２．５・基礎・２人</t>
  </si>
  <si>
    <t>同援２早増２．５・基礎</t>
  </si>
  <si>
    <t>同援２早増２．５・２人</t>
  </si>
  <si>
    <t>同援２早増２．５</t>
  </si>
  <si>
    <t>同援２早増２．０・基礎・２人</t>
  </si>
  <si>
    <t>同援２早増２．０・基礎</t>
  </si>
  <si>
    <t>同援２早増２．０・２人</t>
  </si>
  <si>
    <t>同援２早増２．０</t>
  </si>
  <si>
    <t>同援２早増１．５・基礎・２人</t>
  </si>
  <si>
    <t>同援２早増１．５・基礎</t>
  </si>
  <si>
    <t>同援２早増１．５・２人</t>
  </si>
  <si>
    <t>同援２早増１．５</t>
  </si>
  <si>
    <t>同援２早増１．０・基礎・２人</t>
  </si>
  <si>
    <t>同援２早増１．０・基礎</t>
  </si>
  <si>
    <t>同援２早増１．０・２人</t>
  </si>
  <si>
    <t>同援２早増１．０</t>
  </si>
  <si>
    <t>同援２早増０．５・基礎・２人</t>
  </si>
  <si>
    <t>同援２早増０．５・基礎</t>
  </si>
  <si>
    <t>同援２早増０．５・２人</t>
  </si>
  <si>
    <t>(1)早朝増分</t>
    <rPh sb="5" eb="7">
      <t>ゾウブン</t>
    </rPh>
    <phoneticPr fontId="1"/>
  </si>
  <si>
    <t>同援２早増０．５</t>
  </si>
  <si>
    <t>ロ　身体介護を伴わない場合　（早朝増分）</t>
  </si>
  <si>
    <t>同援２深増６．５・基礎・２人</t>
  </si>
  <si>
    <t>同援２深増６．５・基礎</t>
  </si>
  <si>
    <t>同援２深増６．５・２人</t>
  </si>
  <si>
    <t>同援２深増６．５</t>
  </si>
  <si>
    <t>同援２深増６．０・基礎・２人</t>
  </si>
  <si>
    <t>同援２深増６．０・基礎</t>
  </si>
  <si>
    <t>同援２深増６．０・２人</t>
  </si>
  <si>
    <t>同援２深増６．０</t>
  </si>
  <si>
    <t>同援２深増５．５・基礎・２人</t>
  </si>
  <si>
    <t>同援２深増５．５・基礎</t>
  </si>
  <si>
    <t>同援２深増５．５・２人</t>
  </si>
  <si>
    <t>同援２深増５．５</t>
  </si>
  <si>
    <t>同援２深増５．０・基礎・２人</t>
  </si>
  <si>
    <t>同援２深増５．０・基礎</t>
  </si>
  <si>
    <t>同援２深増５．０・２人</t>
  </si>
  <si>
    <t>同援２深増５．０</t>
  </si>
  <si>
    <t>同援２深増４．５・基礎・２人</t>
  </si>
  <si>
    <t>同援２深増４．５・基礎</t>
  </si>
  <si>
    <t>同援２深増４．５・２人</t>
  </si>
  <si>
    <t>同援２深増４．５</t>
  </si>
  <si>
    <t>同援２深増４．０・基礎・２人</t>
  </si>
  <si>
    <t>同援２深増４．０・基礎</t>
  </si>
  <si>
    <t>同援２深増４．０・２人</t>
  </si>
  <si>
    <t>同援２深増４．０</t>
  </si>
  <si>
    <t>同援２深増３．５・基礎・２人</t>
  </si>
  <si>
    <t>同援２深増３．５・基礎</t>
  </si>
  <si>
    <t>同援２深増３．５・２人</t>
  </si>
  <si>
    <t>同援２深増３．５</t>
  </si>
  <si>
    <t>同援２深増３．０・基礎・２人</t>
  </si>
  <si>
    <t>同援２深増３．０・基礎</t>
  </si>
  <si>
    <t>同援２深増３．０・２人</t>
  </si>
  <si>
    <t>同援２深増３．０</t>
  </si>
  <si>
    <t>同援２深増２．５・基礎・２人</t>
  </si>
  <si>
    <t>同援２深増２．５・基礎</t>
  </si>
  <si>
    <t>同援２深増２．５・２人</t>
  </si>
  <si>
    <t>同援２深増２．５</t>
  </si>
  <si>
    <t>同援２深増２．０・基礎・２人</t>
  </si>
  <si>
    <t>同援２深増２．０・基礎</t>
  </si>
  <si>
    <t>同援２深増２．０・２人</t>
  </si>
  <si>
    <t>同援２深増２．０</t>
  </si>
  <si>
    <t>同援２深増１．５・基礎・２人</t>
  </si>
  <si>
    <t>同援２深増１．５・基礎</t>
  </si>
  <si>
    <t>同援２深増１．５・２人</t>
  </si>
  <si>
    <t>同援２深増１．５</t>
  </si>
  <si>
    <t>同援２深増１．０・基礎・２人</t>
  </si>
  <si>
    <t>同援２深増１．０・基礎</t>
  </si>
  <si>
    <t>同援２深増１．０・２人</t>
  </si>
  <si>
    <t>同援２深増１．０</t>
  </si>
  <si>
    <t>同援２深増０．５・基礎・２人</t>
  </si>
  <si>
    <t>同援２深増０．５・基礎</t>
  </si>
  <si>
    <t>同援２深増０．５・２人</t>
  </si>
  <si>
    <t>同援２深増０．５</t>
  </si>
  <si>
    <t>ロ　身体介護を伴わない場合　（深夜増分）</t>
  </si>
  <si>
    <t>同援２日１０．５・通訳・２人</t>
  </si>
  <si>
    <t>同援２日１０．５・通訳</t>
  </si>
  <si>
    <t>同援２日１０．０・通訳・２人</t>
  </si>
  <si>
    <t>同援２日１０．０・通訳</t>
  </si>
  <si>
    <t>同援２日９．５・通訳・２人</t>
  </si>
  <si>
    <t>同援２日９．５・通訳</t>
  </si>
  <si>
    <t>同援２日９．０・通訳・２人</t>
  </si>
  <si>
    <t>同援２日９．０・通訳</t>
  </si>
  <si>
    <t>同援２日８．５・通訳・２人</t>
  </si>
  <si>
    <t>同援２日８．５・通訳</t>
  </si>
  <si>
    <t>同援２日８．０・通訳・２人</t>
  </si>
  <si>
    <t>同援２日８．０・通訳</t>
  </si>
  <si>
    <t>同援２日７．５・通訳・２人</t>
  </si>
  <si>
    <t>同援２日７．５・通訳</t>
  </si>
  <si>
    <t>同援２日７．０・通訳・２人</t>
  </si>
  <si>
    <t>同援２日７．０・通訳</t>
  </si>
  <si>
    <t>同援２日６．５・通訳・２人</t>
  </si>
  <si>
    <t>同援２日６．５・通訳</t>
  </si>
  <si>
    <t>同援２日６．０・通訳・２人</t>
  </si>
  <si>
    <t>同援２日６．０・通訳</t>
  </si>
  <si>
    <t>同援２日５．５・通訳・２人</t>
  </si>
  <si>
    <t>同援２日５．５・通訳</t>
  </si>
  <si>
    <t>同援２日５．０・通訳・２人</t>
  </si>
  <si>
    <t>同援２日５．０・通訳</t>
  </si>
  <si>
    <t>同援２日４．５・通訳・２人</t>
  </si>
  <si>
    <t>同援２日４．５・通訳</t>
  </si>
  <si>
    <t>同援２日４．０・通訳・２人</t>
  </si>
  <si>
    <t>同援２日４．０・通訳</t>
  </si>
  <si>
    <t>同援２日３．５・通訳・２人</t>
  </si>
  <si>
    <t>同援２日３．５・通訳</t>
  </si>
  <si>
    <t>同援２日３．０・通訳・２人</t>
  </si>
  <si>
    <t>同援２日３．０・通訳</t>
  </si>
  <si>
    <t>同援２日２．５・通訳・２人</t>
  </si>
  <si>
    <t>同援２日２．５・通訳</t>
  </si>
  <si>
    <t>同援２日２．０・通訳・２人</t>
  </si>
  <si>
    <t>同援２日２．０・通訳</t>
  </si>
  <si>
    <t>同援２日１．５・通訳・２人</t>
  </si>
  <si>
    <t>同援２日１．５・通訳</t>
  </si>
  <si>
    <t>同援２日１．０・通訳・２人</t>
  </si>
  <si>
    <t>同援２日１．０・通訳</t>
  </si>
  <si>
    <t>同援２日０．５・通訳・２人</t>
  </si>
  <si>
    <t>同援２日０．５・通訳</t>
  </si>
  <si>
    <t>ロ　身体介護を伴わない場合　（盲ろう者向け通訳・介助員：日中のみ）</t>
  </si>
  <si>
    <t>同援２夜４．５・通訳・２人</t>
  </si>
  <si>
    <t>同援２夜４．５・通訳</t>
  </si>
  <si>
    <t>同援２夜４．０・通訳・２人</t>
  </si>
  <si>
    <t>同援２夜４．０・通訳</t>
  </si>
  <si>
    <t>同援２夜３．５・通訳・２人</t>
  </si>
  <si>
    <t>同援２夜３．５・通訳</t>
  </si>
  <si>
    <t>同援２夜３．０・通訳・２人</t>
  </si>
  <si>
    <t>同援２夜３．０・通訳</t>
  </si>
  <si>
    <t>同援２夜２．５・通訳・２人</t>
  </si>
  <si>
    <t>同援２夜２．５・通訳</t>
  </si>
  <si>
    <t>同援２夜２．０・通訳・２人</t>
  </si>
  <si>
    <t>同援２夜２．０・通訳</t>
  </si>
  <si>
    <t>同援２夜１．５・通訳・２人</t>
  </si>
  <si>
    <t>同援２夜１．５・通訳</t>
  </si>
  <si>
    <t>同援２夜１．０・通訳・２人</t>
  </si>
  <si>
    <t>同援２夜１．０・通訳</t>
  </si>
  <si>
    <t>同援２夜０．５・通訳・２人</t>
  </si>
  <si>
    <t>同援２夜０．５・通訳</t>
  </si>
  <si>
    <t>ロ　身体介護を伴わない場合　（盲ろう者向け通訳・介助員：夜間のみ）</t>
  </si>
  <si>
    <t>同援２早２．５・通訳・２人</t>
  </si>
  <si>
    <t>同援２早２．５・通訳</t>
  </si>
  <si>
    <t>同援２早２．０・通訳・２人</t>
  </si>
  <si>
    <t>同援２早２．０・通訳</t>
  </si>
  <si>
    <t>同援２早１．５・通訳・２人</t>
  </si>
  <si>
    <t>同援２早１．５・通訳</t>
  </si>
  <si>
    <t>同援２早１．０・通訳・２人</t>
  </si>
  <si>
    <t>早朝の</t>
  </si>
  <si>
    <t>同援２早１．０・通訳</t>
  </si>
  <si>
    <t>同援２早０．５・通訳・２人</t>
  </si>
  <si>
    <t>同援２早０．５・通訳</t>
  </si>
  <si>
    <t>ロ　身体介護を伴わない場合　（盲ろう者向け通訳・介助員：早朝のみ）</t>
  </si>
  <si>
    <t>同援２深６．５・通訳・２人</t>
  </si>
  <si>
    <t>同援２深６．５・通訳</t>
  </si>
  <si>
    <t>同援２深６．０・通訳・２人</t>
  </si>
  <si>
    <t>同援２深６．０・通訳</t>
  </si>
  <si>
    <t>同援２深５．５・通訳・２人</t>
  </si>
  <si>
    <t>同援２深５．５・通訳</t>
  </si>
  <si>
    <t>同援２深５．０・通訳・２人</t>
  </si>
  <si>
    <t>同援２深５．０・通訳</t>
  </si>
  <si>
    <t>同援２深４．５・通訳・２人</t>
  </si>
  <si>
    <t>同援２深４．５・通訳</t>
  </si>
  <si>
    <t>同援２深４．０・通訳・２人</t>
  </si>
  <si>
    <t>同援２深４．０・通訳</t>
  </si>
  <si>
    <t>同援２深３．５・通訳・２人</t>
  </si>
  <si>
    <t>同援２深３．５・通訳</t>
  </si>
  <si>
    <t>同援２深３．０・通訳・２人</t>
  </si>
  <si>
    <t>同援２深３．０・通訳</t>
  </si>
  <si>
    <t>同援２深２．５・通訳・２人</t>
  </si>
  <si>
    <t>同援２深２．５・通訳</t>
  </si>
  <si>
    <t>同援２深２．０・通訳・２人</t>
  </si>
  <si>
    <t>同援２深２．０・通訳</t>
  </si>
  <si>
    <t>深夜の</t>
  </si>
  <si>
    <t>同援２深１．５・通訳・２人</t>
  </si>
  <si>
    <t>同援２深１．５・通訳</t>
  </si>
  <si>
    <t>同援２深１．０・通訳・２人</t>
  </si>
  <si>
    <t>同援２深１．０・通訳</t>
  </si>
  <si>
    <t>同援２深０．５・通訳・２人</t>
  </si>
  <si>
    <t>同援２深０．５・通訳</t>
  </si>
  <si>
    <t>ロ　身体介護を伴わない場合　（盲ろう者向け通訳・介助員：深夜のみ）</t>
  </si>
  <si>
    <t xml:space="preserve"> ３０分未満</t>
  </si>
  <si>
    <t xml:space="preserve"> ３０分以上 １時間未満</t>
  </si>
  <si>
    <t>同援２日１．０・夜０．５・通訳・２人</t>
  </si>
  <si>
    <t>同援２日１．０・夜０．５・通訳</t>
  </si>
  <si>
    <t>同援２日０．５・夜１．０・通訳・２人</t>
  </si>
  <si>
    <t>同援２日０．５・夜１．０・通訳</t>
  </si>
  <si>
    <t>同援２日０．５・夜０．５・通訳・２人</t>
  </si>
  <si>
    <t>同援２日０．５・夜０．５・通訳</t>
  </si>
  <si>
    <t>ロ　身体介護を伴わない場合　（盲ろう者向け通訳・介助員：日中＋夜間）</t>
  </si>
  <si>
    <t>同援２早１．０・日０．５・通訳・２人</t>
  </si>
  <si>
    <t>同援２早１．０・日０．５・通訳</t>
  </si>
  <si>
    <t>同援２早０．５・日１．０・通訳・２人</t>
  </si>
  <si>
    <t>同援２早０．５・日１．０・通訳</t>
  </si>
  <si>
    <t>同援２早０．５・日０．５・通訳・２人</t>
  </si>
  <si>
    <t>同援２早０．５・日０．５・通訳</t>
  </si>
  <si>
    <t>ロ　身体介護を伴わない場合　（盲ろう者向け通訳・介助員：早朝＋日中）</t>
  </si>
  <si>
    <t>同援２深１．０・早０．５・通訳・２人</t>
  </si>
  <si>
    <t>同援２深１．０・早０．５・通訳</t>
  </si>
  <si>
    <t>同援２深０．５・早１．０・通訳・２人</t>
  </si>
  <si>
    <t>場合 Ｂ</t>
  </si>
  <si>
    <t>場合 Ａ</t>
  </si>
  <si>
    <t>同援２深０．５・早１．０・通訳</t>
  </si>
  <si>
    <t>同援２深０．５・早０．５・通訳・２人</t>
  </si>
  <si>
    <t>同援２深０．５・早０．５・通訳</t>
  </si>
  <si>
    <t>ロ　身体介護を伴わない場合　（盲ろう者向け通訳・介助員：深夜＋早朝）</t>
  </si>
  <si>
    <t>同援２日跨増深１．０・深０．５・通訳・２人</t>
  </si>
  <si>
    <t>同援２日跨増深１．０・深０．５・通訳</t>
  </si>
  <si>
    <t>同援２日跨増深０．５・深１．０・通訳・２人</t>
  </si>
  <si>
    <t>同援２日跨増深０．５・深１．０・通訳</t>
  </si>
  <si>
    <t>同援２日跨増深０．５・深０．５・通訳・２人</t>
  </si>
  <si>
    <t>同援２日跨増深０．５・深０．５・通訳</t>
  </si>
  <si>
    <t>ロ　身体介護を伴わない場合　（盲ろう者向け通訳・介助員：日を跨る場合　２日目深夜増分）</t>
  </si>
  <si>
    <t>同援２夜１．０・深０．５・通訳・２人</t>
  </si>
  <si>
    <t>同援２夜１．０・深０．５・通訳</t>
  </si>
  <si>
    <t>同援２夜０．５・深１．０・通訳・２人</t>
  </si>
  <si>
    <t>同援２夜０．５・深１．０・通訳</t>
  </si>
  <si>
    <t>同援２夜０．５・深０．５・通訳・２人</t>
  </si>
  <si>
    <t>同援２夜０．５・深０．５・通訳</t>
  </si>
  <si>
    <t>ロ　身体介護を伴わない場合　（盲ろう者向け通訳・介助員：夜間＋深夜）</t>
  </si>
  <si>
    <t>同援２日０．５・夜０．５・深０．５・通訳・２人</t>
  </si>
  <si>
    <t>同援２日０．５・夜０．５・深０．５・通訳</t>
  </si>
  <si>
    <t>ロ　身体介護を伴わない場合　（盲ろう者向け通訳・介助員：日中＋夜間＋深夜）　　※サービス間隔が２時間未満の場合</t>
  </si>
  <si>
    <t>同援２深１．０・日０．５・通訳・２人</t>
  </si>
  <si>
    <t>同援２深１．０・日０．５・通訳</t>
  </si>
  <si>
    <t>同援２深０．５・日１．０・通訳・２人</t>
  </si>
  <si>
    <t>同援２深０．５・日１．０・通訳</t>
  </si>
  <si>
    <t>同援２深０．５・日０．５・通訳・２人</t>
  </si>
  <si>
    <t>同援２深０．５・日０．５・通訳</t>
  </si>
  <si>
    <t>ロ　身体介護を伴わない場合　（盲ろう者向け通訳・介助員：深夜＋日中）　　※サービス間隔が２時間未満の場合</t>
  </si>
  <si>
    <t>同援２深０．５・早０．５・日０．５・通訳・２人</t>
  </si>
  <si>
    <t>同援２深０．５・早０．５・日０．５・通訳</t>
  </si>
  <si>
    <t>ロ　身体介護を伴わない場合　（盲ろう者向け通訳・介助員：深夜＋早朝＋日中）　　※サービス間隔が２時間未満の場合</t>
  </si>
  <si>
    <t>同援２日増１０．５・通訳・２人</t>
  </si>
  <si>
    <t>同援２日増１０．５・通訳</t>
  </si>
  <si>
    <t>同援２日増１０．０・通訳・２人</t>
  </si>
  <si>
    <t>同援２日増１０．０・通訳</t>
  </si>
  <si>
    <t>同援２日増９．５・通訳・２人</t>
  </si>
  <si>
    <t>同援２日増９．５・通訳</t>
  </si>
  <si>
    <t>同援２日増９．０・通訳・２人</t>
  </si>
  <si>
    <t>同援２日増９．０・通訳</t>
  </si>
  <si>
    <t>同援２日増８．５・通訳・２人</t>
  </si>
  <si>
    <t>同援２日増８．５・通訳</t>
  </si>
  <si>
    <t>同援２日増８．０・通訳・２人</t>
  </si>
  <si>
    <t>同援２日増８．０・通訳</t>
  </si>
  <si>
    <t>同援２日増７．５・通訳・２人</t>
  </si>
  <si>
    <t>同援２日増７．５・通訳</t>
  </si>
  <si>
    <t>同援２日増７．０・通訳・２人</t>
  </si>
  <si>
    <t>同援２日増７．０・通訳</t>
  </si>
  <si>
    <t>同援２日増６．５・通訳・２人</t>
  </si>
  <si>
    <t>同援２日増６．５・通訳</t>
  </si>
  <si>
    <t>同援２日増６．０・通訳・２人</t>
  </si>
  <si>
    <t>同援２日増６．０・通訳</t>
  </si>
  <si>
    <t>同援２日増５．５・通訳・２人</t>
  </si>
  <si>
    <t>同援２日増５．５・通訳</t>
  </si>
  <si>
    <t>同援２日増５．０・通訳・２人</t>
  </si>
  <si>
    <t>同援２日増５．０・通訳</t>
  </si>
  <si>
    <t>同援２日増４．５・通訳・２人</t>
  </si>
  <si>
    <t>同援２日増４．５・通訳</t>
  </si>
  <si>
    <t>同援２日増４．０・通訳・２人</t>
  </si>
  <si>
    <t>同援２日増４．０・通訳</t>
  </si>
  <si>
    <t>同援２日増３．５・通訳・２人</t>
  </si>
  <si>
    <t>同援２日増３．５・通訳</t>
  </si>
  <si>
    <t>同援２日増３．０・通訳・２人</t>
  </si>
  <si>
    <t>同援２日増３．０・通訳</t>
  </si>
  <si>
    <t>同援２日増２．５・通訳・２人</t>
  </si>
  <si>
    <t>同援２日増２．５・通訳</t>
  </si>
  <si>
    <t>同援２日増２．０・通訳・２人</t>
  </si>
  <si>
    <t>同援２日増２．０・通訳</t>
  </si>
  <si>
    <t>同援２日増１．５・通訳・２人</t>
  </si>
  <si>
    <t>同援２日増１．５・通訳</t>
  </si>
  <si>
    <t>同援２日増１．０・通訳・２人</t>
  </si>
  <si>
    <t>同援２日増１．０・通訳</t>
  </si>
  <si>
    <t>同援２日増０．５・通訳・２人</t>
  </si>
  <si>
    <t>同援２日増０．５・通訳</t>
  </si>
  <si>
    <t>ロ　身体介護を伴わない場合　（盲ろう者向け通訳・介助員：日中増分)</t>
  </si>
  <si>
    <t>同援２夜増４．５・通訳・２人</t>
  </si>
  <si>
    <t>同援２夜増４．５・通訳</t>
  </si>
  <si>
    <t>同援２夜増４．０・通訳・２人</t>
  </si>
  <si>
    <t>同援２夜増４．０・通訳</t>
  </si>
  <si>
    <t>同援２夜増３．５・通訳・２人</t>
  </si>
  <si>
    <t>同援２夜増３．５・通訳</t>
  </si>
  <si>
    <t>同援２夜増３．０・通訳・２人</t>
  </si>
  <si>
    <t>同援２夜増３．０・通訳</t>
  </si>
  <si>
    <t>同援２夜増２．５・通訳・２人</t>
  </si>
  <si>
    <t>同援２夜増２．５・通訳</t>
  </si>
  <si>
    <t>同援２夜増２．０・通訳・２人</t>
  </si>
  <si>
    <t>場合</t>
  </si>
  <si>
    <t>同援２夜増２．０・通訳</t>
  </si>
  <si>
    <t>同援２夜増１．５・通訳・２人</t>
  </si>
  <si>
    <t>同援２夜増１．５・通訳</t>
  </si>
  <si>
    <t>同援２夜増１．０・通訳・２人</t>
  </si>
  <si>
    <t>同援２夜増１．０・通訳</t>
  </si>
  <si>
    <t>同援２夜増０．５・通訳・２人</t>
  </si>
  <si>
    <t>同援２夜増０．５・通訳</t>
  </si>
  <si>
    <t>ロ　身体介護を伴わない場合　（盲ろう者向け通訳・介助員：夜間増分）</t>
  </si>
  <si>
    <t>同援２早増２．５・通訳・２人</t>
  </si>
  <si>
    <t>同援２早増２．５・通訳</t>
  </si>
  <si>
    <t>同援２早増２．０・通訳・２人</t>
  </si>
  <si>
    <t>同援２早増２．０・通訳</t>
  </si>
  <si>
    <t>同援２早増１．５・通訳・２人</t>
  </si>
  <si>
    <t>同援２早増１．５・通訳</t>
  </si>
  <si>
    <t>同援２早増１．０・通訳・２人</t>
  </si>
  <si>
    <t>同援２早増１．０・通訳</t>
  </si>
  <si>
    <t>同援２早増０．５・通訳・２人</t>
  </si>
  <si>
    <t>同援２早増０．５・通訳</t>
  </si>
  <si>
    <t>ロ　身体介護を伴わない場合　（盲ろう者向け通訳・介助員：早朝増分）</t>
  </si>
  <si>
    <t>同援２深増６．５・通訳・２人</t>
  </si>
  <si>
    <t>同援２深増６．５・通訳</t>
  </si>
  <si>
    <t>同援２深増６．０・通訳・２人</t>
  </si>
  <si>
    <t>同援２深増６．０・通訳</t>
  </si>
  <si>
    <t>同援２深増５．５・通訳・２人</t>
  </si>
  <si>
    <t>同援２深増５．５・通訳</t>
  </si>
  <si>
    <t>同援２深増５．０・通訳・２人</t>
  </si>
  <si>
    <t>同援２深増５．０・通訳</t>
  </si>
  <si>
    <t>同援２深増４．５・通訳・２人</t>
  </si>
  <si>
    <t>同援２深増４．５・通訳</t>
  </si>
  <si>
    <t>同援２深増４．０・通訳・２人</t>
  </si>
  <si>
    <t>同援２深増４．０・通訳</t>
  </si>
  <si>
    <t>同援２深増３．５・通訳・２人</t>
  </si>
  <si>
    <t>同援２深増３．５・通訳</t>
  </si>
  <si>
    <t>同援２深増３．０・通訳・２人</t>
  </si>
  <si>
    <t>同援２深増３．０・通訳</t>
  </si>
  <si>
    <t>同援２深増２．５・通訳・２人</t>
  </si>
  <si>
    <t>同援２深増２．５・通訳</t>
  </si>
  <si>
    <t>同援２深増２．０・通訳・２人</t>
  </si>
  <si>
    <t>同援２深増２．０・通訳</t>
  </si>
  <si>
    <t>同援２深増１．５・通訳・２人</t>
  </si>
  <si>
    <t>同援２深増１．５・通訳</t>
  </si>
  <si>
    <t>同援２深増１．０・通訳・２人</t>
  </si>
  <si>
    <t>同援２深増１．０・通訳</t>
  </si>
  <si>
    <t>同援２深増０．５・通訳・２人</t>
  </si>
  <si>
    <t>同援２深増０．５・通訳</t>
  </si>
  <si>
    <t>ロ　身体介護を伴わない場合　（盲ろう者向け通訳・介助員：深夜増分）</t>
  </si>
  <si>
    <t>同援日１０．５・基礎・２人・盲ろう・区４</t>
  </si>
  <si>
    <t>同援日１０．５・基礎・盲ろう・区４</t>
  </si>
  <si>
    <t>通訳介助員が支援を行う場合</t>
    <phoneticPr fontId="1"/>
  </si>
  <si>
    <t>同援日１０．５・２人・盲ろう・区４</t>
  </si>
  <si>
    <t>盲ろう者に対して盲ろう者向け・</t>
    <phoneticPr fontId="1"/>
  </si>
  <si>
    <t>同援日１０．５・盲ろう・区４</t>
  </si>
  <si>
    <t>する者の場合</t>
    <phoneticPr fontId="1"/>
  </si>
  <si>
    <t>同援日１０．５・基礎・２人・区４</t>
  </si>
  <si>
    <t>障害支援区分４以上に該当</t>
    <phoneticPr fontId="1"/>
  </si>
  <si>
    <t>同援日１０．５・基礎・区４</t>
  </si>
  <si>
    <t>同援日１０．５・２人・区４</t>
  </si>
  <si>
    <t>同援日１０．５・区４</t>
  </si>
  <si>
    <t>同援日１０．５・基礎・２人・盲ろう・区３</t>
  </si>
  <si>
    <t>同援日１０．５・基礎・盲ろう・区３</t>
  </si>
  <si>
    <t>同援日１０．５・２人・盲ろう・区３</t>
  </si>
  <si>
    <t>同援日１０．５・盲ろう・区３</t>
  </si>
  <si>
    <t>同援日１０．５・基礎・２人・区３</t>
  </si>
  <si>
    <t>障害支援区分３に該当</t>
    <phoneticPr fontId="1"/>
  </si>
  <si>
    <t>同援日１０．５・基礎・区３</t>
  </si>
  <si>
    <t>同援日１０．５・２人・区３</t>
  </si>
  <si>
    <t>同援日１０．５・区３</t>
  </si>
  <si>
    <t>同援日１０．５・基礎・２人・盲ろう</t>
  </si>
  <si>
    <t>同援日１０．５・基礎・盲ろう</t>
  </si>
  <si>
    <t>同援日１０．５・２人・盲ろう</t>
  </si>
  <si>
    <t>同援日１０．５・盲ろう</t>
  </si>
  <si>
    <t>同援日１０．５・基礎・２人</t>
  </si>
  <si>
    <t xml:space="preserve"> １０時間３０分未満</t>
  </si>
  <si>
    <t>同援日１０．５・基礎</t>
  </si>
  <si>
    <t>同援日１０．５・２人</t>
  </si>
  <si>
    <t>同援日１０．５</t>
  </si>
  <si>
    <t>同援日１０．０・基礎・２人・盲ろう・区４</t>
  </si>
  <si>
    <t>同援日１０．０・基礎・盲ろう・区４</t>
  </si>
  <si>
    <t>同援日１０．０・２人・盲ろう・区４</t>
  </si>
  <si>
    <t>同援日１０．０・盲ろう・区４</t>
  </si>
  <si>
    <t>同援日１０．０・基礎・２人・区４</t>
  </si>
  <si>
    <t>同援日１０．０・基礎・区４</t>
  </si>
  <si>
    <t>同援日１０．０・２人・区４</t>
  </si>
  <si>
    <t>同援日１０．０・区４</t>
  </si>
  <si>
    <t>同援日１０．０・基礎・２人・盲ろう・区３</t>
  </si>
  <si>
    <t>同援日１０．０・基礎・盲ろう・区３</t>
  </si>
  <si>
    <t>同援日１０．０・２人・盲ろう・区３</t>
  </si>
  <si>
    <t>同援日１０．０・盲ろう・区３</t>
  </si>
  <si>
    <t>同援日１０．０・基礎・２人・区３</t>
  </si>
  <si>
    <t>同援日１０．０・基礎・区３</t>
  </si>
  <si>
    <t>同援日１０．０・２人・区３</t>
  </si>
  <si>
    <t>同援日１０．０・区３</t>
  </si>
  <si>
    <t>同援日１０．０・基礎・２人・盲ろう</t>
  </si>
  <si>
    <t>同援日１０．０・基礎・盲ろう</t>
  </si>
  <si>
    <t>同援日１０．０・２人・盲ろう</t>
  </si>
  <si>
    <t>同援日１０．０・盲ろう</t>
  </si>
  <si>
    <t>同援日１０．０・基礎・２人</t>
  </si>
  <si>
    <t xml:space="preserve"> １０時間未満</t>
  </si>
  <si>
    <t>同援日１０．０・基礎</t>
  </si>
  <si>
    <t>同援日１０．０・２人</t>
  </si>
  <si>
    <t>同援日１０．０</t>
  </si>
  <si>
    <t>同援日９．５・基礎・２人・盲ろう・区４</t>
  </si>
  <si>
    <t>同援日９．５・基礎・盲ろう・区４</t>
  </si>
  <si>
    <t>同援日９．５・２人・盲ろう・区４</t>
  </si>
  <si>
    <t>同援日９．５・盲ろう・区４</t>
  </si>
  <si>
    <t>同援日９．５・基礎・２人・区４</t>
  </si>
  <si>
    <t>同援日９．５・基礎・区４</t>
  </si>
  <si>
    <t>同援日９．５・２人・区４</t>
  </si>
  <si>
    <t>同援日９．５・区４</t>
  </si>
  <si>
    <t>同援日９．５・基礎・２人・盲ろう・区３</t>
  </si>
  <si>
    <t>同援日９．５・基礎・盲ろう・区３</t>
  </si>
  <si>
    <t>同援日９．５・２人・盲ろう・区３</t>
  </si>
  <si>
    <t>同援日９．５・盲ろう・区３</t>
  </si>
  <si>
    <t>同援日９．５・基礎・２人・区３</t>
  </si>
  <si>
    <t>同援日９．５・基礎・区３</t>
  </si>
  <si>
    <t>同援日９．５・２人・区３</t>
  </si>
  <si>
    <t>同援日９．５・区３</t>
  </si>
  <si>
    <t>同援日９．５・基礎・２人・盲ろう</t>
  </si>
  <si>
    <t>同援日９．５・基礎・盲ろう</t>
  </si>
  <si>
    <t>同援日９．５・２人・盲ろう</t>
  </si>
  <si>
    <t>同援日９．５・盲ろう</t>
  </si>
  <si>
    <t>同援日９．５・基礎・２人</t>
  </si>
  <si>
    <t xml:space="preserve"> ９時間３０分未満</t>
  </si>
  <si>
    <t>同援日９．５・基礎</t>
  </si>
  <si>
    <t>同援日９．５・２人</t>
  </si>
  <si>
    <t>同援日９．５</t>
  </si>
  <si>
    <t>同援日９．０・基礎・２人・盲ろう・区４</t>
  </si>
  <si>
    <t>同援日９．０・基礎・盲ろう・区４</t>
  </si>
  <si>
    <t>同援日９．０・２人・盲ろう・区４</t>
  </si>
  <si>
    <t>同援日９．０・盲ろう・区４</t>
  </si>
  <si>
    <t>同援日９．０・基礎・２人・区４</t>
  </si>
  <si>
    <t>同援日９．０・基礎・区４</t>
  </si>
  <si>
    <t>同援日９．０・２人・区４</t>
  </si>
  <si>
    <t>同援日９．０・区４</t>
  </si>
  <si>
    <t>同援日９．０・基礎・２人・盲ろう・区３</t>
  </si>
  <si>
    <t>同援日９．０・基礎・盲ろう・区３</t>
  </si>
  <si>
    <t>同援日９．０・２人・盲ろう・区３</t>
  </si>
  <si>
    <t>同援日９．０・盲ろう・区３</t>
  </si>
  <si>
    <t>同援日９．０・基礎・２人・区３</t>
  </si>
  <si>
    <t>同援日９．０・基礎・区３</t>
  </si>
  <si>
    <t>同援日９．０・２人・区３</t>
  </si>
  <si>
    <t>同援日９．０・区３</t>
  </si>
  <si>
    <t>同援日９．０・基礎・２人・盲ろう</t>
  </si>
  <si>
    <t>同援日９．０・基礎・盲ろう</t>
  </si>
  <si>
    <t>同援日９．０・２人・盲ろう</t>
  </si>
  <si>
    <t>同援日９．０・盲ろう</t>
  </si>
  <si>
    <t>同援日９．０・基礎・２人</t>
  </si>
  <si>
    <t xml:space="preserve"> ９時間未満</t>
  </si>
  <si>
    <t>同援日９．０・基礎</t>
  </si>
  <si>
    <t>同援日９．０・２人</t>
  </si>
  <si>
    <t>同援日９．０</t>
  </si>
  <si>
    <t>同援日８．５・基礎・２人・盲ろう・区４</t>
  </si>
  <si>
    <t>同援日８．５・基礎・盲ろう・区４</t>
  </si>
  <si>
    <t>同援日８．５・２人・盲ろう・区４</t>
  </si>
  <si>
    <t>同援日８．５・盲ろう・区４</t>
  </si>
  <si>
    <t>同援日８．５・基礎・２人・区４</t>
  </si>
  <si>
    <t>同援日８．５・基礎・区４</t>
  </si>
  <si>
    <t>同援日８．５・２人・区４</t>
  </si>
  <si>
    <t>同援日８．５・区４</t>
  </si>
  <si>
    <t>同援日８．５・基礎・２人・盲ろう・区３</t>
  </si>
  <si>
    <t>同援日８．５・基礎・盲ろう・区３</t>
  </si>
  <si>
    <t>同援日８．５・２人・盲ろう・区３</t>
  </si>
  <si>
    <t>同援日８．５・盲ろう・区３</t>
  </si>
  <si>
    <t>同援日８．５・基礎・２人・区３</t>
  </si>
  <si>
    <t>同援日８．５・基礎・区３</t>
  </si>
  <si>
    <t>同援日８．５・２人・区３</t>
  </si>
  <si>
    <t>同援日８．５・区３</t>
  </si>
  <si>
    <t>同援日８．５・基礎・２人・盲ろう</t>
  </si>
  <si>
    <t>同援日８．５・基礎・盲ろう</t>
  </si>
  <si>
    <t>同援日８．５・２人・盲ろう</t>
  </si>
  <si>
    <t>同援日８．５・盲ろう</t>
  </si>
  <si>
    <t>同援日８．５・基礎・２人</t>
  </si>
  <si>
    <t xml:space="preserve"> ８時間３０分未満</t>
  </si>
  <si>
    <t>同援日８．５・基礎</t>
  </si>
  <si>
    <t>同援日８．５・２人</t>
  </si>
  <si>
    <t>同援日８．５</t>
  </si>
  <si>
    <t>同援日８．０・基礎・２人・盲ろう・区４</t>
  </si>
  <si>
    <t>同援日８．０・基礎・盲ろう・区４</t>
  </si>
  <si>
    <t>同援日８．０・２人・盲ろう・区４</t>
  </si>
  <si>
    <t>同援日８．０・盲ろう・区４</t>
  </si>
  <si>
    <t>同援日８．０・基礎・２人・区４</t>
  </si>
  <si>
    <t>同援日８．０・基礎・区４</t>
  </si>
  <si>
    <t>同援日８．０・２人・区４</t>
  </si>
  <si>
    <t>同援日８．０・区４</t>
  </si>
  <si>
    <t>同援日８．０・基礎・２人・盲ろう・区３</t>
  </si>
  <si>
    <t>同援日８．０・基礎・盲ろう・区３</t>
  </si>
  <si>
    <t>同援日８．０・２人・盲ろう・区３</t>
  </si>
  <si>
    <t>同援日８．０・盲ろう・区３</t>
  </si>
  <si>
    <t>同援日８．０・基礎・２人・区３</t>
  </si>
  <si>
    <t>同援日８．０・基礎・区３</t>
  </si>
  <si>
    <t>同援日８．０・２人・区３</t>
  </si>
  <si>
    <t>同援日８．０・区３</t>
  </si>
  <si>
    <t>同援日８．０・基礎・２人・盲ろう</t>
  </si>
  <si>
    <t>同援日８．０・基礎・盲ろう</t>
  </si>
  <si>
    <t>同援日８．０・２人・盲ろう</t>
  </si>
  <si>
    <t>同援日８．０・盲ろう</t>
  </si>
  <si>
    <t>同援日８．０・基礎・２人</t>
  </si>
  <si>
    <t xml:space="preserve"> ８時間未満</t>
  </si>
  <si>
    <t>同援日８．０・基礎</t>
  </si>
  <si>
    <t>同援日８．０・２人</t>
  </si>
  <si>
    <t>同援日８．０</t>
  </si>
  <si>
    <t>同援日７．５・基礎・２人・盲ろう・区４</t>
  </si>
  <si>
    <t>同援日７．５・基礎・盲ろう・区４</t>
  </si>
  <si>
    <t>同援日７．５・２人・盲ろう・区４</t>
  </si>
  <si>
    <t>同援日７．５・盲ろう・区４</t>
  </si>
  <si>
    <t>同援日７．５・基礎・２人・区４</t>
  </si>
  <si>
    <t>同援日７．５・基礎・区４</t>
  </si>
  <si>
    <t>同援日７．５・２人・区４</t>
  </si>
  <si>
    <t>同援日７．５・区４</t>
  </si>
  <si>
    <t>同援日７．５・基礎・２人・盲ろう・区３</t>
  </si>
  <si>
    <t>同援日７．５・基礎・盲ろう・区３</t>
  </si>
  <si>
    <t>同援日７．５・２人・盲ろう・区３</t>
  </si>
  <si>
    <t>同援日７．５・盲ろう・区３</t>
  </si>
  <si>
    <t>同援日７．５・基礎・２人・区３</t>
  </si>
  <si>
    <t>同援日７．５・基礎・区３</t>
  </si>
  <si>
    <t>同援日７．５・２人・区３</t>
  </si>
  <si>
    <t>同援日７．５・区３</t>
  </si>
  <si>
    <t>同援日７．５・基礎・２人・盲ろう</t>
  </si>
  <si>
    <t>同援日７．５・基礎・盲ろう</t>
  </si>
  <si>
    <t>同援日７．５・２人・盲ろう</t>
  </si>
  <si>
    <t>同援日７．５・盲ろう</t>
  </si>
  <si>
    <t>同援日７．５・基礎・２人</t>
  </si>
  <si>
    <t>同援日７．５・基礎</t>
  </si>
  <si>
    <t>同援日７．５・２人</t>
  </si>
  <si>
    <t>同援日７．５</t>
  </si>
  <si>
    <t>同援日７．０・基礎・２人・盲ろう・区４</t>
  </si>
  <si>
    <t>同援日７．０・基礎・盲ろう・区４</t>
  </si>
  <si>
    <t>同援日７．０・２人・盲ろう・区４</t>
  </si>
  <si>
    <t>同援日７．０・盲ろう・区４</t>
  </si>
  <si>
    <t>同援日７．０・基礎・２人・区４</t>
  </si>
  <si>
    <t>同援日７．０・基礎・区４</t>
  </si>
  <si>
    <t>同援日７．０・２人・区４</t>
  </si>
  <si>
    <t>同援日７．０・区４</t>
  </si>
  <si>
    <t>同援日７．０・基礎・２人・盲ろう・区３</t>
  </si>
  <si>
    <t>同援日７．０・基礎・盲ろう・区３</t>
  </si>
  <si>
    <t>同援日７．０・２人・盲ろう・区３</t>
  </si>
  <si>
    <t>同援日７．０・盲ろう・区３</t>
  </si>
  <si>
    <t>同援日７．０・基礎・２人・区３</t>
  </si>
  <si>
    <t>同援日７．０・基礎・区３</t>
  </si>
  <si>
    <t>同援日７．０・２人・区３</t>
  </si>
  <si>
    <t>同援日７．０・区３</t>
  </si>
  <si>
    <t>同援日７．０・基礎・２人・盲ろう</t>
  </si>
  <si>
    <t>同援日７．０・基礎・盲ろう</t>
  </si>
  <si>
    <t>同援日７．０・２人・盲ろう</t>
  </si>
  <si>
    <t>同援日７．０・盲ろう</t>
  </si>
  <si>
    <t>同援日７．０・基礎・２人</t>
  </si>
  <si>
    <t>同援日７．０・基礎</t>
  </si>
  <si>
    <t>同援日７．０・２人</t>
  </si>
  <si>
    <t>同援日７．０</t>
  </si>
  <si>
    <t>同援日６．５・基礎・２人・盲ろう・区４</t>
  </si>
  <si>
    <t>同援日６．５・基礎・盲ろう・区４</t>
  </si>
  <si>
    <t>同援日６．５・２人・盲ろう・区４</t>
  </si>
  <si>
    <t>同援日６．５・盲ろう・区４</t>
  </si>
  <si>
    <t>同援日６．５・基礎・２人・区４</t>
  </si>
  <si>
    <t>同援日６．５・基礎・区４</t>
  </si>
  <si>
    <t>同援日６．５・２人・区４</t>
  </si>
  <si>
    <t>同援日６．５・区４</t>
  </si>
  <si>
    <t>同援日６．５・基礎・２人・盲ろう・区３</t>
  </si>
  <si>
    <t>同援日６．５・基礎・盲ろう・区３</t>
  </si>
  <si>
    <t>同援日６．５・２人・盲ろう・区３</t>
  </si>
  <si>
    <t>同援日６．５・盲ろう・区３</t>
  </si>
  <si>
    <t>同援日６．５・基礎・２人・区３</t>
  </si>
  <si>
    <t>同援日６．５・基礎・区３</t>
  </si>
  <si>
    <t>同援日６．５・２人・区３</t>
  </si>
  <si>
    <t>同援日６．５・区３</t>
  </si>
  <si>
    <t>同援日６．５・基礎・２人・盲ろう</t>
  </si>
  <si>
    <t>同援日６．５・基礎・盲ろう</t>
  </si>
  <si>
    <t>同援日６．５・２人・盲ろう</t>
  </si>
  <si>
    <t>同援日６．５・盲ろう</t>
  </si>
  <si>
    <t>同援日６．５・基礎・２人</t>
  </si>
  <si>
    <t>同援日６．５・基礎</t>
  </si>
  <si>
    <t>同援日６．５・２人</t>
  </si>
  <si>
    <t>同援日６．５</t>
  </si>
  <si>
    <t>同援日６．０・基礎・２人・盲ろう・区４</t>
  </si>
  <si>
    <t>同援日６．０・基礎・盲ろう・区４</t>
  </si>
  <si>
    <t>同援日６．０・２人・盲ろう・区４</t>
  </si>
  <si>
    <t>同援日６．０・盲ろう・区４</t>
  </si>
  <si>
    <t>同援日６．０・基礎・２人・区４</t>
  </si>
  <si>
    <t>同援日６．０・基礎・区４</t>
  </si>
  <si>
    <t>同援日６．０・２人・区４</t>
  </si>
  <si>
    <t>同援日６．０・区４</t>
  </si>
  <si>
    <t>同援日６．０・基礎・２人・盲ろう・区３</t>
  </si>
  <si>
    <t>同援日６．０・基礎・盲ろう・区３</t>
  </si>
  <si>
    <t>同援日６．０・２人・盲ろう・区３</t>
  </si>
  <si>
    <t>同援日６．０・盲ろう・区３</t>
  </si>
  <si>
    <t>同援日６．０・基礎・２人・区３</t>
  </si>
  <si>
    <t>同援日６．０・基礎・区３</t>
  </si>
  <si>
    <t>同援日６．０・２人・区３</t>
  </si>
  <si>
    <t>同援日６．０・区３</t>
  </si>
  <si>
    <t>同援日６．０・基礎・２人・盲ろう</t>
  </si>
  <si>
    <t>同援日６．０・基礎・盲ろう</t>
  </si>
  <si>
    <t>同援日６．０・２人・盲ろう</t>
  </si>
  <si>
    <t>同援日６．０・盲ろう</t>
  </si>
  <si>
    <t>同援日６．０・基礎・２人</t>
  </si>
  <si>
    <t>同援日６．０・基礎</t>
  </si>
  <si>
    <t>同援日６．０・２人</t>
  </si>
  <si>
    <t>同援日６．０</t>
  </si>
  <si>
    <t>同援日５．５・基礎・２人・盲ろう・区４</t>
  </si>
  <si>
    <t>同援日５．５・基礎・盲ろう・区４</t>
  </si>
  <si>
    <t>同援日５．５・２人・盲ろう・区４</t>
  </si>
  <si>
    <t>同援日５．５・盲ろう・区４</t>
  </si>
  <si>
    <t>同援日５．５・基礎・２人・区４</t>
  </si>
  <si>
    <t>同援日５．５・基礎・区４</t>
  </si>
  <si>
    <t>同援日５．５・２人・区４</t>
  </si>
  <si>
    <t>同援日５．５・区４</t>
  </si>
  <si>
    <t>同援日５．５・基礎・２人・盲ろう・区３</t>
  </si>
  <si>
    <t>同援日５．５・基礎・盲ろう・区３</t>
  </si>
  <si>
    <t>同援日５．５・２人・盲ろう・区３</t>
  </si>
  <si>
    <t>同援日５．５・盲ろう・区３</t>
  </si>
  <si>
    <t>同援日５．５・基礎・２人・区３</t>
  </si>
  <si>
    <t>同援日５．５・基礎・区３</t>
  </si>
  <si>
    <t>同援日５．５・２人・区３</t>
  </si>
  <si>
    <t>同援日５．５・区３</t>
  </si>
  <si>
    <t>同援日５．５・基礎・２人・盲ろう</t>
  </si>
  <si>
    <t>同援日５．５・基礎・盲ろう</t>
  </si>
  <si>
    <t>同援日５．５・２人・盲ろう</t>
  </si>
  <si>
    <t>同援日５．５・盲ろう</t>
  </si>
  <si>
    <t>同援日５．５・基礎・２人</t>
  </si>
  <si>
    <t>同援日５．５・基礎</t>
  </si>
  <si>
    <t>同援日５．５・２人</t>
  </si>
  <si>
    <t>同援日５．５</t>
  </si>
  <si>
    <t>同援日５．０・基礎・２人・盲ろう・区４</t>
  </si>
  <si>
    <t>同援日５．０・基礎・盲ろう・区４</t>
  </si>
  <si>
    <t>同援日５．０・２人・盲ろう・区４</t>
  </si>
  <si>
    <t>同援日５．０・盲ろう・区４</t>
  </si>
  <si>
    <t>同援日５．０・基礎・２人・区４</t>
  </si>
  <si>
    <t>同援日５．０・基礎・区４</t>
  </si>
  <si>
    <t>同援日５．０・２人・区４</t>
  </si>
  <si>
    <t>同援日５．０・区４</t>
  </si>
  <si>
    <t>同援日５．０・基礎・２人・盲ろう・区３</t>
  </si>
  <si>
    <t>同援日５．０・基礎・盲ろう・区３</t>
  </si>
  <si>
    <t>同援日５．０・２人・盲ろう・区３</t>
  </si>
  <si>
    <t>同援日５．０・盲ろう・区３</t>
  </si>
  <si>
    <t>同援日５．０・基礎・２人・区３</t>
  </si>
  <si>
    <t>同援日５．０・基礎・区３</t>
  </si>
  <si>
    <t>同援日５．０・２人・区３</t>
  </si>
  <si>
    <t>同援日５．０・区３</t>
  </si>
  <si>
    <t>同援日５．０・基礎・２人・盲ろう</t>
  </si>
  <si>
    <t>同援日５．０・基礎・盲ろう</t>
  </si>
  <si>
    <t>同援日５．０・２人・盲ろう</t>
  </si>
  <si>
    <t>同援日５．０・盲ろう</t>
  </si>
  <si>
    <t>同援日５．０・基礎・２人</t>
  </si>
  <si>
    <t>同援日５．０・基礎</t>
  </si>
  <si>
    <t>同援日５．０・２人</t>
  </si>
  <si>
    <t>同援日５．０</t>
  </si>
  <si>
    <t>同援日４．５・基礎・２人・盲ろう・区４</t>
  </si>
  <si>
    <t>同援日４．５・基礎・盲ろう・区４</t>
  </si>
  <si>
    <t>同援日４．５・２人・盲ろう・区４</t>
  </si>
  <si>
    <t>同援日４．５・盲ろう・区４</t>
  </si>
  <si>
    <t>同援日４．５・基礎・２人・区４</t>
  </si>
  <si>
    <t>同援日４．５・基礎・区４</t>
  </si>
  <si>
    <t>同援日４．５・２人・区４</t>
  </si>
  <si>
    <t>同援日４．５・区４</t>
  </si>
  <si>
    <t>同援日４．５・基礎・２人・盲ろう・区３</t>
  </si>
  <si>
    <t>同援日４．５・基礎・盲ろう・区３</t>
  </si>
  <si>
    <t>同援日４．５・２人・盲ろう・区３</t>
  </si>
  <si>
    <t>同援日４．５・盲ろう・区３</t>
  </si>
  <si>
    <t>同援日４．５・基礎・２人・区３</t>
  </si>
  <si>
    <t>同援日４．５・基礎・区３</t>
  </si>
  <si>
    <t>同援日４．５・２人・区３</t>
  </si>
  <si>
    <t>同援日４．５・区３</t>
  </si>
  <si>
    <t>同援日４．５・基礎・２人・盲ろう</t>
  </si>
  <si>
    <t>同援日４．５・基礎・盲ろう</t>
  </si>
  <si>
    <t>同援日４．５・２人・盲ろう</t>
  </si>
  <si>
    <t>同援日４．５・盲ろう</t>
  </si>
  <si>
    <t>同援日４．５・基礎・２人</t>
  </si>
  <si>
    <t>同援日４．５・基礎</t>
  </si>
  <si>
    <t>同援日４．５・２人</t>
  </si>
  <si>
    <t>同援日４．５</t>
  </si>
  <si>
    <t>同援日４．０・基礎・２人・盲ろう・区４</t>
  </si>
  <si>
    <t>同援日４．０・基礎・盲ろう・区４</t>
  </si>
  <si>
    <t>同援日４．０・２人・盲ろう・区４</t>
  </si>
  <si>
    <t>同援日４．０・盲ろう・区４</t>
  </si>
  <si>
    <t>同援日４．０・基礎・２人・区４</t>
  </si>
  <si>
    <t>同援日４．０・基礎・区４</t>
  </si>
  <si>
    <t>同援日４．０・２人・区４</t>
  </si>
  <si>
    <t>同援日４．０・区４</t>
  </si>
  <si>
    <t>同援日４．０・基礎・２人・盲ろう・区３</t>
  </si>
  <si>
    <t>同援日４．０・基礎・盲ろう・区３</t>
  </si>
  <si>
    <t>同援日４．０・２人・盲ろう・区３</t>
  </si>
  <si>
    <t>同援日４．０・盲ろう・区３</t>
  </si>
  <si>
    <t>同援日４．０・基礎・２人・区３</t>
  </si>
  <si>
    <t>同援日４．０・基礎・区３</t>
  </si>
  <si>
    <t>同援日４．０・２人・区３</t>
  </si>
  <si>
    <t>同援日４．０・区３</t>
  </si>
  <si>
    <t>同援日４．０・基礎・２人・盲ろう</t>
  </si>
  <si>
    <t>同援日４．０・基礎・盲ろう</t>
  </si>
  <si>
    <t>同援日４．０・２人・盲ろう</t>
  </si>
  <si>
    <t>同援日４．０・盲ろう</t>
  </si>
  <si>
    <t>同援日４．０・基礎・２人</t>
  </si>
  <si>
    <t xml:space="preserve"> ４時間未満</t>
  </si>
  <si>
    <t>同援日４．０・基礎</t>
  </si>
  <si>
    <t>同援日４．０・２人</t>
  </si>
  <si>
    <t>同援日４．０</t>
  </si>
  <si>
    <t>同援日３．５・基礎・２人・盲ろう・区４</t>
  </si>
  <si>
    <t>同援日３．５・基礎・盲ろう・区４</t>
  </si>
  <si>
    <t>同援日３．５・２人・盲ろう・区４</t>
  </si>
  <si>
    <t>同援日３．５・盲ろう・区４</t>
  </si>
  <si>
    <t>同援日３．５・基礎・２人・区４</t>
  </si>
  <si>
    <t>同援日３．５・基礎・区４</t>
  </si>
  <si>
    <t>同援日３．５・２人・区４</t>
  </si>
  <si>
    <t>同援日３．５・区４</t>
  </si>
  <si>
    <t>同援日３．５・基礎・２人・盲ろう・区３</t>
  </si>
  <si>
    <t>同援日３．５・基礎・盲ろう・区３</t>
  </si>
  <si>
    <t>同援日３．５・２人・盲ろう・区３</t>
  </si>
  <si>
    <t>同援日３．５・盲ろう・区３</t>
  </si>
  <si>
    <t>同援日３．５・基礎・２人・区３</t>
  </si>
  <si>
    <t>同援日３．５・基礎・区３</t>
  </si>
  <si>
    <t>同援日３．５・２人・区３</t>
  </si>
  <si>
    <t>同援日３．５・区３</t>
  </si>
  <si>
    <t>同援日３．５・基礎・２人・盲ろう</t>
  </si>
  <si>
    <t>同援日３．５・基礎・盲ろう</t>
  </si>
  <si>
    <t>同援日３．５・２人・盲ろう</t>
  </si>
  <si>
    <t>同援日３．５・盲ろう</t>
  </si>
  <si>
    <t>同援日３．５・基礎・２人</t>
  </si>
  <si>
    <t xml:space="preserve"> ３時間３０分未満</t>
  </si>
  <si>
    <t>同援日３．５・基礎</t>
  </si>
  <si>
    <t>同援日３．５・２人</t>
  </si>
  <si>
    <t>同援日３．５</t>
  </si>
  <si>
    <t>同援日３．０・基礎・２人・盲ろう・区４</t>
  </si>
  <si>
    <t>同援日３．０・基礎・盲ろう・区４</t>
  </si>
  <si>
    <t>同援日３．０・２人・盲ろう・区４</t>
  </si>
  <si>
    <t>同援日３．０・盲ろう・区４</t>
  </si>
  <si>
    <t>同援日３．０・基礎・２人・区４</t>
  </si>
  <si>
    <t>同援日３．０・基礎・区４</t>
  </si>
  <si>
    <t>同援日３．０・２人・区４</t>
  </si>
  <si>
    <t>同援日３．０・区４</t>
  </si>
  <si>
    <t>同援日３．０・基礎・２人・盲ろう・区３</t>
  </si>
  <si>
    <t>同援日３．０・基礎・盲ろう・区３</t>
  </si>
  <si>
    <t>同援日３．０・２人・盲ろう・区３</t>
  </si>
  <si>
    <t>同援日３．０・盲ろう・区３</t>
  </si>
  <si>
    <t>同援日３．０・基礎・２人・区３</t>
  </si>
  <si>
    <t>同援日３．０・基礎・区３</t>
  </si>
  <si>
    <t>同援日３．０・２人・区３</t>
  </si>
  <si>
    <t>同援日３．０・区３</t>
  </si>
  <si>
    <t>同援日３．０・基礎・２人・盲ろう</t>
  </si>
  <si>
    <t>同援日３．０・基礎・盲ろう</t>
  </si>
  <si>
    <t>同援日３．０・２人・盲ろう</t>
  </si>
  <si>
    <t>同援日３．０・盲ろう</t>
  </si>
  <si>
    <t>同援日３．０・基礎・２人</t>
  </si>
  <si>
    <t>同援日３．０・基礎</t>
  </si>
  <si>
    <t>同援日３．０・２人</t>
  </si>
  <si>
    <t>同援日３．０</t>
  </si>
  <si>
    <t>同援日２．５・基礎・２人・盲ろう・区４</t>
  </si>
  <si>
    <t>同援日２．５・基礎・盲ろう・区４</t>
  </si>
  <si>
    <t>同援日２．５・２人・盲ろう・区４</t>
  </si>
  <si>
    <t>同援日２．５・盲ろう・区４</t>
  </si>
  <si>
    <t>同援日２．５・基礎・２人・区４</t>
  </si>
  <si>
    <t>同援日２．５・基礎・区４</t>
  </si>
  <si>
    <t>同援日２．５・２人・区４</t>
  </si>
  <si>
    <t>同援日２．５・区４</t>
  </si>
  <si>
    <t>同援日２．５・基礎・２人・盲ろう・区３</t>
  </si>
  <si>
    <t>同援日２．５・基礎・盲ろう・区３</t>
  </si>
  <si>
    <t>同援日２．５・２人・盲ろう・区３</t>
  </si>
  <si>
    <t>同援日２．５・盲ろう・区３</t>
  </si>
  <si>
    <t>同援日２．５・基礎・２人・区３</t>
  </si>
  <si>
    <t>同援日２．５・基礎・区３</t>
  </si>
  <si>
    <t>同援日２．５・２人・区３</t>
  </si>
  <si>
    <t>同援日２．５・区３</t>
  </si>
  <si>
    <t>同援日２．５・基礎・２人・盲ろう</t>
  </si>
  <si>
    <t>同援日２．５・基礎・盲ろう</t>
  </si>
  <si>
    <t>同援日２．５・２人・盲ろう</t>
  </si>
  <si>
    <t>同援日２．５・盲ろう</t>
  </si>
  <si>
    <t>同援日２．５・基礎・２人</t>
  </si>
  <si>
    <t xml:space="preserve"> ２時間３０分未満</t>
  </si>
  <si>
    <t>同援日２．５・基礎</t>
  </si>
  <si>
    <t>同援日２．５・２人</t>
  </si>
  <si>
    <t>同援日２．５</t>
  </si>
  <si>
    <t>同援日２．０・基礎・２人・盲ろう・区４</t>
  </si>
  <si>
    <t>同援日２．０・基礎・盲ろう・区４</t>
  </si>
  <si>
    <t>同援日２．０・２人・盲ろう・区４</t>
  </si>
  <si>
    <t>同援日２．０・盲ろう・区４</t>
  </si>
  <si>
    <t>同援日２．０・基礎・２人・区４</t>
  </si>
  <si>
    <t>同援日２．０・基礎・区４</t>
  </si>
  <si>
    <t>同援日２．０・２人・区４</t>
  </si>
  <si>
    <t>同援日２．０・区４</t>
  </si>
  <si>
    <t>同援日２．０・基礎・２人・盲ろう・区３</t>
  </si>
  <si>
    <t>同援日２．０・基礎・盲ろう・区３</t>
  </si>
  <si>
    <t>同援日２．０・２人・盲ろう・区３</t>
  </si>
  <si>
    <t>同援日２．０・盲ろう・区３</t>
  </si>
  <si>
    <t>同援日２．０・基礎・２人・区３</t>
  </si>
  <si>
    <t>同援日２．０・基礎・区３</t>
  </si>
  <si>
    <t>同援日２．０・２人・区３</t>
  </si>
  <si>
    <t>同援日２．０・区３</t>
  </si>
  <si>
    <t>同援日２．０・基礎・２人・盲ろう</t>
  </si>
  <si>
    <t>同援日２．０・基礎・盲ろう</t>
  </si>
  <si>
    <t>同援日２．０・２人・盲ろう</t>
  </si>
  <si>
    <t>同援日２．０・盲ろう</t>
  </si>
  <si>
    <t>同援日２．０・基礎・２人</t>
  </si>
  <si>
    <t>同援日２．０・基礎</t>
  </si>
  <si>
    <t>同援日２．０・２人</t>
  </si>
  <si>
    <t>同援日２．０</t>
  </si>
  <si>
    <t>同援日１．５・基礎・２人・盲ろう・区４</t>
  </si>
  <si>
    <t>同援日１．５・基礎・盲ろう・区４</t>
  </si>
  <si>
    <t>同援日１．５・２人・盲ろう・区４</t>
  </si>
  <si>
    <t>同援日１．５・盲ろう・区４</t>
  </si>
  <si>
    <t>同援日１．５・基礎・２人・区４</t>
  </si>
  <si>
    <t>同援日１．５・基礎・区４</t>
  </si>
  <si>
    <t>同援日１．５・２人・区４</t>
  </si>
  <si>
    <t>同援日１．５・区４</t>
  </si>
  <si>
    <t>同援日１．５・基礎・２人・盲ろう・区３</t>
  </si>
  <si>
    <t>同援日１．５・基礎・盲ろう・区３</t>
  </si>
  <si>
    <t>同援日１．５・２人・盲ろう・区３</t>
  </si>
  <si>
    <t>同援日１．５・盲ろう・区３</t>
  </si>
  <si>
    <t>同援日１．５・基礎・２人・区３</t>
  </si>
  <si>
    <t>同援日１．５・基礎・区３</t>
  </si>
  <si>
    <t>同援日１．５・２人・区３</t>
  </si>
  <si>
    <t>同援日１．５・区３</t>
  </si>
  <si>
    <t>同援日１．５・基礎・２人・盲ろう</t>
  </si>
  <si>
    <t>同援日１．５・基礎・盲ろう</t>
  </si>
  <si>
    <t>同援日１．５・２人・盲ろう</t>
  </si>
  <si>
    <t>同援日１．５・盲ろう</t>
  </si>
  <si>
    <t>同援日１．５・基礎・２人</t>
  </si>
  <si>
    <t>同援日１．５・基礎</t>
  </si>
  <si>
    <t>同援日１．５・２人</t>
  </si>
  <si>
    <t>同援日１．５</t>
  </si>
  <si>
    <t>同援日１．０・基礎・２人・盲ろう・区４</t>
  </si>
  <si>
    <t>同援日１．０・基礎・盲ろう・区４</t>
  </si>
  <si>
    <t>同援日１．０・２人・盲ろう・区４</t>
  </si>
  <si>
    <t>同援日１．０・盲ろう・区４</t>
  </si>
  <si>
    <t>同援日１．０・基礎・２人・区４</t>
  </si>
  <si>
    <t>同援日１．０・基礎・区４</t>
  </si>
  <si>
    <t>同援日１．０・２人・区４</t>
  </si>
  <si>
    <t>同援日１．０・区４</t>
  </si>
  <si>
    <t>同援日１．０・基礎・２人・盲ろう・区３</t>
  </si>
  <si>
    <t>同援日１．０・基礎・盲ろう・区３</t>
  </si>
  <si>
    <t>同援日１．０・２人・盲ろう・区３</t>
  </si>
  <si>
    <t>同援日１．０・盲ろう・区３</t>
  </si>
  <si>
    <t>同援日１．０・基礎・２人・区３</t>
  </si>
  <si>
    <t>同援日１．０・基礎・区３</t>
  </si>
  <si>
    <t>同援日１．０・２人・区３</t>
  </si>
  <si>
    <t>同援日１．０・区３</t>
  </si>
  <si>
    <t>同援日１．０・基礎・２人・盲ろう</t>
  </si>
  <si>
    <t>同援日１．０・基礎・盲ろう</t>
  </si>
  <si>
    <t>同援日１．０・２人・盲ろう</t>
  </si>
  <si>
    <t>同援日１．０・盲ろう</t>
  </si>
  <si>
    <t>同援日１．０・基礎・２人</t>
  </si>
  <si>
    <t xml:space="preserve"> １時間未満</t>
  </si>
  <si>
    <t>同援日１．０・基礎</t>
  </si>
  <si>
    <t>同援日１．０・２人</t>
  </si>
  <si>
    <t>同援日１．０</t>
  </si>
  <si>
    <t>同援日０．５・基礎・２人・盲ろう・区４</t>
  </si>
  <si>
    <t>同援日０．５・基礎・盲ろう・区４</t>
  </si>
  <si>
    <t>同援日０．５・２人・盲ろう・区４</t>
  </si>
  <si>
    <t>同援日０．５・盲ろう・区４</t>
  </si>
  <si>
    <t>同援日０．５・基礎・２人・区４</t>
  </si>
  <si>
    <t>同援日０．５・基礎・区４</t>
  </si>
  <si>
    <t>同援日０．５・２人・区４</t>
  </si>
  <si>
    <t>同援日０．５・区４</t>
  </si>
  <si>
    <t>同援日０．５・基礎・２人・盲ろう・区３</t>
  </si>
  <si>
    <t>同援日０．５・基礎・盲ろう・区３</t>
  </si>
  <si>
    <t>同援日０．５・２人・盲ろう・区３</t>
  </si>
  <si>
    <t>同援日０．５・盲ろう・区３</t>
  </si>
  <si>
    <t>同援日０．５・基礎・２人・区３</t>
  </si>
  <si>
    <t>同援日０．５・基礎・区３</t>
  </si>
  <si>
    <t>同援日０．５・２人・区３</t>
  </si>
  <si>
    <t>同援日０．５・区３</t>
  </si>
  <si>
    <t>同援日０．５・基礎・２人・盲ろう</t>
  </si>
  <si>
    <t>同援日０．５・基礎・盲ろう</t>
  </si>
  <si>
    <t>同援日０．５・２人・盲ろう</t>
  </si>
  <si>
    <t>同援日０．５・盲ろう</t>
  </si>
  <si>
    <t>同援日０．５・基礎・２人</t>
  </si>
  <si>
    <t>同援日０．５・基礎</t>
  </si>
  <si>
    <t>同援日０．５・２人</t>
  </si>
  <si>
    <t>同援日０．５</t>
  </si>
  <si>
    <t>同援夜４．５・基礎・２人・盲ろう・区４</t>
  </si>
  <si>
    <t>同援夜４．５・基礎・盲ろう・区４</t>
  </si>
  <si>
    <t>同援夜４．５・２人・盲ろう・区４</t>
  </si>
  <si>
    <t>同援夜４．５・盲ろう・区４</t>
  </si>
  <si>
    <t>同援夜４．５・基礎・２人・区４</t>
  </si>
  <si>
    <t>同援夜４．５・基礎・区４</t>
  </si>
  <si>
    <t>同援夜４．５・２人・区４</t>
  </si>
  <si>
    <t>同援夜４．５・区４</t>
  </si>
  <si>
    <t>同援夜４．５・基礎・２人・盲ろう・区３</t>
  </si>
  <si>
    <t>同援夜４．５・基礎・盲ろう・区３</t>
  </si>
  <si>
    <t>同援夜４．５・２人・盲ろう・区３</t>
  </si>
  <si>
    <t>同援夜４．５・盲ろう・区３</t>
  </si>
  <si>
    <t>同援夜４．５・基礎・２人・区３</t>
  </si>
  <si>
    <t>同援夜４．５・基礎・区３</t>
  </si>
  <si>
    <t>同援夜４．５・２人・区３</t>
  </si>
  <si>
    <t>同援夜４．５・区３</t>
  </si>
  <si>
    <t>同援夜４．５・基礎・２人・盲ろう</t>
  </si>
  <si>
    <t>同援夜４．５・基礎・盲ろう</t>
  </si>
  <si>
    <t>同援夜４．５・２人・盲ろう</t>
  </si>
  <si>
    <t>同援夜４．５・盲ろう</t>
  </si>
  <si>
    <t>同援夜４．５・基礎・２人</t>
  </si>
  <si>
    <t xml:space="preserve"> ４時間３０分未満</t>
  </si>
  <si>
    <t>同援夜４．５・基礎</t>
  </si>
  <si>
    <t>同援夜４．５・２人</t>
  </si>
  <si>
    <t>同援夜４．５</t>
  </si>
  <si>
    <t>同援夜４．０・基礎・２人・盲ろう・区４</t>
  </si>
  <si>
    <t>同援夜４．０・基礎・盲ろう・区４</t>
  </si>
  <si>
    <t>同援夜４．０・２人・盲ろう・区４</t>
  </si>
  <si>
    <t>同援夜４．０・盲ろう・区４</t>
  </si>
  <si>
    <t>同援夜４．０・基礎・２人・区４</t>
  </si>
  <si>
    <t>同援夜４．０・基礎・区４</t>
  </si>
  <si>
    <t>同援夜４．０・２人・区４</t>
  </si>
  <si>
    <t>同援夜４．０・区４</t>
  </si>
  <si>
    <t>同援夜４．０・基礎・２人・盲ろう・区３</t>
  </si>
  <si>
    <t>同援夜４．０・基礎・盲ろう・区３</t>
  </si>
  <si>
    <t>同援夜４．０・２人・盲ろう・区３</t>
  </si>
  <si>
    <t>同援夜４．０・盲ろう・区３</t>
  </si>
  <si>
    <t>同援夜４．０・基礎・２人・区３</t>
  </si>
  <si>
    <t>同援夜４．０・基礎・区３</t>
  </si>
  <si>
    <t>同援夜４．０・２人・区３</t>
  </si>
  <si>
    <t>同援夜４．０・区３</t>
  </si>
  <si>
    <t>同援夜４．０・基礎・２人・盲ろう</t>
  </si>
  <si>
    <t>同援夜４．０・基礎・盲ろう</t>
  </si>
  <si>
    <t>同援夜４．０・２人・盲ろう</t>
  </si>
  <si>
    <t>同援夜４．０・盲ろう</t>
  </si>
  <si>
    <t>同援夜４．０・基礎・２人</t>
  </si>
  <si>
    <t>同援夜４．０・基礎</t>
  </si>
  <si>
    <t>同援夜４．０・２人</t>
  </si>
  <si>
    <t>同援夜４．０</t>
  </si>
  <si>
    <t>同援夜３．５・基礎・２人・盲ろう・区４</t>
  </si>
  <si>
    <t>同援夜３．５・基礎・盲ろう・区４</t>
  </si>
  <si>
    <t>同援夜３．５・２人・盲ろう・区４</t>
  </si>
  <si>
    <t>同援夜３．５・盲ろう・区４</t>
  </si>
  <si>
    <t>同援夜３．５・基礎・２人・区４</t>
  </si>
  <si>
    <t>同援夜３．５・基礎・区４</t>
  </si>
  <si>
    <t>同援夜３．５・２人・区４</t>
  </si>
  <si>
    <t>同援夜３．５・区４</t>
  </si>
  <si>
    <t>同援夜３．５・基礎・２人・盲ろう・区３</t>
  </si>
  <si>
    <t>同援夜３．５・基礎・盲ろう・区３</t>
  </si>
  <si>
    <t>同援夜３．５・２人・盲ろう・区３</t>
  </si>
  <si>
    <t>同援夜３．５・盲ろう・区３</t>
  </si>
  <si>
    <t>同援夜３．５・基礎・２人・区３</t>
  </si>
  <si>
    <t>同援夜３．５・基礎・区３</t>
  </si>
  <si>
    <t>同援夜３．５・２人・区３</t>
  </si>
  <si>
    <t>同援夜３．５・区３</t>
  </si>
  <si>
    <t>同援夜３．５・基礎・２人・盲ろう</t>
  </si>
  <si>
    <t>同援夜３．５・基礎・盲ろう</t>
  </si>
  <si>
    <t>同援夜３．５・２人・盲ろう</t>
  </si>
  <si>
    <t>同援夜３．５・盲ろう</t>
  </si>
  <si>
    <t>同援夜３．５・基礎・２人</t>
  </si>
  <si>
    <t>同援夜３．５・基礎</t>
  </si>
  <si>
    <t>同援夜３．５・２人</t>
  </si>
  <si>
    <t>同援夜３．５</t>
  </si>
  <si>
    <t>同援夜３．０・基礎・２人・盲ろう・区４</t>
  </si>
  <si>
    <t>同援夜３．０・基礎・盲ろう・区４</t>
  </si>
  <si>
    <t>同援夜３．０・２人・盲ろう・区４</t>
  </si>
  <si>
    <t>同援夜３．０・盲ろう・区４</t>
  </si>
  <si>
    <t>同援夜３．０・基礎・２人・区４</t>
  </si>
  <si>
    <t>同援夜３．０・基礎・区４</t>
  </si>
  <si>
    <t>同援夜３．０・２人・区４</t>
  </si>
  <si>
    <t>同援夜３．０・区４</t>
  </si>
  <si>
    <t>同援夜３．０・基礎・２人・盲ろう・区３</t>
  </si>
  <si>
    <t>同援夜３．０・基礎・盲ろう・区３</t>
  </si>
  <si>
    <t>同援夜３．０・２人・盲ろう・区３</t>
  </si>
  <si>
    <t>同援夜３．０・盲ろう・区３</t>
  </si>
  <si>
    <t>同援夜３．０・基礎・２人・区３</t>
  </si>
  <si>
    <t>同援夜３．０・基礎・区３</t>
  </si>
  <si>
    <t>同援夜３．０・２人・区３</t>
  </si>
  <si>
    <t>同援夜３．０・区３</t>
  </si>
  <si>
    <t>同援夜３．０・基礎・２人・盲ろう</t>
  </si>
  <si>
    <t>同援夜３．０・基礎・盲ろう</t>
  </si>
  <si>
    <t>同援夜３．０・２人・盲ろう</t>
  </si>
  <si>
    <t>同援夜３．０・盲ろう</t>
  </si>
  <si>
    <t>同援夜３．０・基礎・２人</t>
  </si>
  <si>
    <t xml:space="preserve"> ３時間未満</t>
  </si>
  <si>
    <t>同援夜３．０・基礎</t>
  </si>
  <si>
    <t>同援夜３．０・２人</t>
  </si>
  <si>
    <t>同援夜３．０</t>
  </si>
  <si>
    <t>同援夜２．５・基礎・２人・盲ろう・区４</t>
  </si>
  <si>
    <t>同援夜２．５・基礎・盲ろう・区４</t>
  </si>
  <si>
    <t>同援夜２．５・２人・盲ろう・区４</t>
  </si>
  <si>
    <t>同援夜２．５・盲ろう・区４</t>
  </si>
  <si>
    <t>同援夜２．５・基礎・２人・区４</t>
  </si>
  <si>
    <t>同援夜２．５・基礎・区４</t>
  </si>
  <si>
    <t>同援夜２．５・２人・区４</t>
  </si>
  <si>
    <t>同援夜２．５・区４</t>
  </si>
  <si>
    <t>同援夜２．５・基礎・２人・盲ろう・区３</t>
  </si>
  <si>
    <t>同援夜２．５・基礎・盲ろう・区３</t>
  </si>
  <si>
    <t>同援夜２．５・２人・盲ろう・区３</t>
  </si>
  <si>
    <t>同援夜２．５・盲ろう・区３</t>
  </si>
  <si>
    <t>同援夜２．５・基礎・２人・区３</t>
  </si>
  <si>
    <t>同援夜２．５・基礎・区３</t>
  </si>
  <si>
    <t>同援夜２．５・２人・区３</t>
  </si>
  <si>
    <t>同援夜２．５・区３</t>
  </si>
  <si>
    <t>同援夜２．５・基礎・２人・盲ろう</t>
  </si>
  <si>
    <t>同援夜２．５・基礎・盲ろう</t>
  </si>
  <si>
    <t>同援夜２．５・２人・盲ろう</t>
  </si>
  <si>
    <t>同援夜２．５・盲ろう</t>
  </si>
  <si>
    <t>同援夜２．５・基礎・２人</t>
  </si>
  <si>
    <t>同援夜２．５・基礎</t>
  </si>
  <si>
    <t>同援夜２．５・２人</t>
  </si>
  <si>
    <t>同援夜２．５</t>
  </si>
  <si>
    <t>同援夜２．０・基礎・２人・盲ろう・区４</t>
  </si>
  <si>
    <t>同援夜２．０・基礎・盲ろう・区４</t>
  </si>
  <si>
    <t>同援夜２．０・２人・盲ろう・区４</t>
  </si>
  <si>
    <t>同援夜２．０・盲ろう・区４</t>
  </si>
  <si>
    <t>同援夜２．０・基礎・２人・区４</t>
  </si>
  <si>
    <t>同援夜２．０・基礎・区４</t>
  </si>
  <si>
    <t>同援夜２．０・２人・区４</t>
  </si>
  <si>
    <t>同援夜２．０・区４</t>
  </si>
  <si>
    <t>同援夜２．０・基礎・２人・盲ろう・区３</t>
  </si>
  <si>
    <t>同援夜２．０・基礎・盲ろう・区３</t>
  </si>
  <si>
    <t>同援夜２．０・２人・盲ろう・区３</t>
  </si>
  <si>
    <t>同援夜２．０・盲ろう・区３</t>
  </si>
  <si>
    <t>同援夜２．０・基礎・２人・区３</t>
  </si>
  <si>
    <t>同援夜２．０・基礎・区３</t>
  </si>
  <si>
    <t>同援夜２．０・２人・区３</t>
  </si>
  <si>
    <t>同援夜２．０・区３</t>
  </si>
  <si>
    <t>同援夜２．０・基礎・２人・盲ろう</t>
  </si>
  <si>
    <t>同援夜２．０・基礎・盲ろう</t>
  </si>
  <si>
    <t>同援夜２．０・２人・盲ろう</t>
  </si>
  <si>
    <t>同援夜２．０・盲ろう</t>
  </si>
  <si>
    <t>同援夜２．０・基礎・２人</t>
  </si>
  <si>
    <t>同援夜２．０・基礎</t>
  </si>
  <si>
    <t>同援夜２．０・２人</t>
  </si>
  <si>
    <t>同援夜２．０</t>
  </si>
  <si>
    <t>同援夜１．５・基礎・２人・盲ろう・区４</t>
  </si>
  <si>
    <t>同援夜１．５・基礎・盲ろう・区４</t>
  </si>
  <si>
    <t>同援夜１．５・２人・盲ろう・区４</t>
  </si>
  <si>
    <t>同援夜１．５・盲ろう・区４</t>
  </si>
  <si>
    <t>同援夜１．５・基礎・２人・区４</t>
  </si>
  <si>
    <t>同援夜１．５・基礎・区４</t>
  </si>
  <si>
    <t>同援夜１．５・２人・区４</t>
  </si>
  <si>
    <t>同援夜１．５・区４</t>
  </si>
  <si>
    <t>同援夜１．５・基礎・２人・盲ろう・区３</t>
  </si>
  <si>
    <t>同援夜１．５・基礎・盲ろう・区３</t>
  </si>
  <si>
    <t>同援夜１．５・２人・盲ろう・区３</t>
  </si>
  <si>
    <t>同援夜１．５・盲ろう・区３</t>
  </si>
  <si>
    <t>同援夜１．５・基礎・２人・区３</t>
  </si>
  <si>
    <t>同援夜１．５・基礎・区３</t>
  </si>
  <si>
    <t>同援夜１．５・２人・区３</t>
  </si>
  <si>
    <t>同援夜１．５・区３</t>
  </si>
  <si>
    <t>同援夜１．５・基礎・２人・盲ろう</t>
  </si>
  <si>
    <t>同援夜１．５・基礎・盲ろう</t>
  </si>
  <si>
    <t>同援夜１．５・２人・盲ろう</t>
  </si>
  <si>
    <t>同援夜１．５・盲ろう</t>
  </si>
  <si>
    <t>同援夜１．５・基礎・２人</t>
  </si>
  <si>
    <t xml:space="preserve"> １時間３０分未満</t>
  </si>
  <si>
    <t>同援夜１．５・基礎</t>
  </si>
  <si>
    <t>同援夜１．５・２人</t>
  </si>
  <si>
    <t>同援夜１．５</t>
  </si>
  <si>
    <t>同援夜１．０・基礎・２人・盲ろう・区４</t>
  </si>
  <si>
    <t>同援夜１．０・基礎・盲ろう・区４</t>
  </si>
  <si>
    <t>同援夜１．０・２人・盲ろう・区４</t>
  </si>
  <si>
    <t>同援夜１．０・盲ろう・区４</t>
  </si>
  <si>
    <t>同援夜１．０・基礎・２人・区４</t>
  </si>
  <si>
    <t>同援夜１．０・基礎・区４</t>
  </si>
  <si>
    <t>同援夜１．０・２人・区４</t>
  </si>
  <si>
    <t>同援夜１．０・区４</t>
  </si>
  <si>
    <t>同援夜１．０・基礎・２人・盲ろう・区３</t>
  </si>
  <si>
    <t>同援夜１．０・基礎・盲ろう・区３</t>
  </si>
  <si>
    <t>同援夜１．０・２人・盲ろう・区３</t>
  </si>
  <si>
    <t>同援夜１．０・盲ろう・区３</t>
  </si>
  <si>
    <t>同援夜１．０・基礎・２人・区３</t>
  </si>
  <si>
    <t>同援夜１．０・基礎・区３</t>
  </si>
  <si>
    <t>同援夜１．０・２人・区３</t>
  </si>
  <si>
    <t>同援夜１．０・区３</t>
  </si>
  <si>
    <t>同援夜１．０・基礎・２人・盲ろう</t>
  </si>
  <si>
    <t>同援夜１．０・基礎・盲ろう</t>
  </si>
  <si>
    <t>同援夜１．０・２人・盲ろう</t>
  </si>
  <si>
    <t>同援夜１．０・盲ろう</t>
  </si>
  <si>
    <t>同援夜１．０・基礎・２人</t>
  </si>
  <si>
    <t>同援夜１．０・基礎</t>
  </si>
  <si>
    <t>同援夜１．０・２人</t>
  </si>
  <si>
    <t>同援夜１．０</t>
  </si>
  <si>
    <t>同援夜０．５・基礎・２人・盲ろう・区４</t>
  </si>
  <si>
    <t>同援夜０．５・基礎・盲ろう・区４</t>
  </si>
  <si>
    <t>同援夜０．５・２人・盲ろう・区４</t>
  </si>
  <si>
    <t>同援夜０．５・盲ろう・区４</t>
  </si>
  <si>
    <t>同援夜０．５・基礎・２人・区４</t>
  </si>
  <si>
    <t>同援夜０．５・基礎・区４</t>
  </si>
  <si>
    <t>同援夜０．５・２人・区４</t>
  </si>
  <si>
    <t>同援夜０．５・区４</t>
  </si>
  <si>
    <t>同援夜０．５・基礎・２人・盲ろう・区３</t>
  </si>
  <si>
    <t>同援夜０．５・基礎・盲ろう・区３</t>
  </si>
  <si>
    <t>同援夜０．５・２人・盲ろう・区３</t>
  </si>
  <si>
    <t>同援夜０．５・盲ろう・区３</t>
  </si>
  <si>
    <t>同援夜０．５・基礎・２人・区３</t>
  </si>
  <si>
    <t>同援夜０．５・基礎・区３</t>
  </si>
  <si>
    <t>同援夜０．５・２人・区３</t>
  </si>
  <si>
    <t>同援夜０．５・区３</t>
  </si>
  <si>
    <t>同援夜０．５・基礎・２人・盲ろう</t>
  </si>
  <si>
    <t>同援夜０．５・基礎・盲ろう</t>
  </si>
  <si>
    <t>同援夜０．５・２人・盲ろう</t>
  </si>
  <si>
    <t>同援夜０．５・盲ろう</t>
  </si>
  <si>
    <t>同援夜０．５・基礎・２人</t>
  </si>
  <si>
    <t>同援夜０．５・基礎</t>
  </si>
  <si>
    <t>同援夜０．５・２人</t>
  </si>
  <si>
    <t>同援夜０．５</t>
  </si>
  <si>
    <t>同援早２．５・基礎・２人・盲ろう・区４</t>
  </si>
  <si>
    <t>同援早２．５・基礎・盲ろう・区４</t>
  </si>
  <si>
    <t>同援早２．５・２人・盲ろう・区４</t>
  </si>
  <si>
    <t>同援早２．５・盲ろう・区４</t>
  </si>
  <si>
    <t>同援早２．５・基礎・２人・区４</t>
  </si>
  <si>
    <t>同援早２．５・基礎・区４</t>
  </si>
  <si>
    <t>同援早２．５・２人・区４</t>
  </si>
  <si>
    <t>同援早２．５・区４</t>
  </si>
  <si>
    <t>同援早２．５・基礎・２人・盲ろう・区３</t>
  </si>
  <si>
    <t>同援早２．５・基礎・盲ろう・区３</t>
  </si>
  <si>
    <t>同援早２．５・２人・盲ろう・区３</t>
  </si>
  <si>
    <t>同援早２．５・盲ろう・区３</t>
  </si>
  <si>
    <t>同援早２．５・基礎・２人・区３</t>
  </si>
  <si>
    <t>同援早２．５・基礎・区３</t>
  </si>
  <si>
    <t>同援早２．５・２人・区３</t>
  </si>
  <si>
    <t>同援早２．５・区３</t>
  </si>
  <si>
    <t>同援早２．５・基礎・２人・盲ろう</t>
  </si>
  <si>
    <t>同援早２．５・基礎・盲ろう</t>
  </si>
  <si>
    <t>同援早２．５・２人・盲ろう</t>
  </si>
  <si>
    <t>同援早２．５・盲ろう</t>
  </si>
  <si>
    <t>同援早２．５・基礎・２人</t>
  </si>
  <si>
    <t>同援早２．５・基礎</t>
  </si>
  <si>
    <t>同援早２．５・２人</t>
  </si>
  <si>
    <t>同援早２．５</t>
  </si>
  <si>
    <t>同援早２．０・基礎・２人・盲ろう・区４</t>
  </si>
  <si>
    <t>同援早２．０・基礎・盲ろう・区４</t>
  </si>
  <si>
    <t>同援早２．０・２人・盲ろう・区４</t>
  </si>
  <si>
    <t>同援早２．０・盲ろう・区４</t>
  </si>
  <si>
    <t>同援早２．０・基礎・２人・区４</t>
  </si>
  <si>
    <t>同援早２．０・基礎・区４</t>
  </si>
  <si>
    <t>同援早２．０・２人・区４</t>
  </si>
  <si>
    <t>同援早２．０・区４</t>
  </si>
  <si>
    <t>同援早２．０・基礎・２人・盲ろう・区３</t>
  </si>
  <si>
    <t>同援早２．０・基礎・盲ろう・区３</t>
  </si>
  <si>
    <t>同援早２．０・２人・盲ろう・区３</t>
  </si>
  <si>
    <t>同援早２．０・盲ろう・区３</t>
  </si>
  <si>
    <t>同援早２．０・基礎・２人・区３</t>
  </si>
  <si>
    <t>同援早２．０・基礎・区３</t>
  </si>
  <si>
    <t>同援早２．０・２人・区３</t>
  </si>
  <si>
    <t>同援早２．０・区３</t>
  </si>
  <si>
    <t>同援早２．０・基礎・２人・盲ろう</t>
  </si>
  <si>
    <t>同援早２．０・基礎・盲ろう</t>
  </si>
  <si>
    <t>同援早２．０・２人・盲ろう</t>
  </si>
  <si>
    <t>同援早２．０・盲ろう</t>
  </si>
  <si>
    <t>同援早２．０・基礎・２人</t>
  </si>
  <si>
    <t>同援早２．０・基礎</t>
  </si>
  <si>
    <t>同援早２．０・２人</t>
  </si>
  <si>
    <t>同援早２．０</t>
  </si>
  <si>
    <t>同援早１．５・基礎・２人・盲ろう・区４</t>
  </si>
  <si>
    <t>同援早１．５・基礎・盲ろう・区４</t>
  </si>
  <si>
    <t>同援早１．５・２人・盲ろう・区４</t>
  </si>
  <si>
    <t>同援早１．５・盲ろう・区４</t>
  </si>
  <si>
    <t>同援早１．５・基礎・２人・区４</t>
  </si>
  <si>
    <t>同援早１．５・基礎・区４</t>
  </si>
  <si>
    <t>同援早１．５・２人・区４</t>
  </si>
  <si>
    <t>同援早１．５・区４</t>
  </si>
  <si>
    <t>同援早１．５・基礎・２人・盲ろう・区３</t>
  </si>
  <si>
    <t>同援早１．５・基礎・盲ろう・区３</t>
  </si>
  <si>
    <t>同援早１．５・２人・盲ろう・区３</t>
  </si>
  <si>
    <t>同援早１．５・盲ろう・区３</t>
  </si>
  <si>
    <t>同援早１．５・基礎・２人・区３</t>
  </si>
  <si>
    <t>同援早１．５・基礎・区３</t>
  </si>
  <si>
    <t>同援早１．５・２人・区３</t>
  </si>
  <si>
    <t>同援早１．５・区３</t>
  </si>
  <si>
    <t>同援早１．５・基礎・２人・盲ろう</t>
  </si>
  <si>
    <t>同援早１．５・基礎・盲ろう</t>
  </si>
  <si>
    <t>同援早１．５・２人・盲ろう</t>
  </si>
  <si>
    <t>同援早１．５・盲ろう</t>
  </si>
  <si>
    <t>同援早１．５・基礎・２人</t>
  </si>
  <si>
    <t>同援早１．５・基礎</t>
  </si>
  <si>
    <t>同援早１．５・２人</t>
  </si>
  <si>
    <t>同援早１．５</t>
  </si>
  <si>
    <t>同援早１．０・基礎・２人・盲ろう・区４</t>
  </si>
  <si>
    <t>同援早１．０・基礎・盲ろう・区４</t>
  </si>
  <si>
    <t>同援早１．０・２人・盲ろう・区４</t>
  </si>
  <si>
    <t>同援早１．０・盲ろう・区４</t>
  </si>
  <si>
    <t>同援早１．０・基礎・２人・区４</t>
  </si>
  <si>
    <t>同援早１．０・基礎・区４</t>
  </si>
  <si>
    <t>同援早１．０・２人・区４</t>
  </si>
  <si>
    <t>同援早１．０・区４</t>
  </si>
  <si>
    <t>同援早１．０・基礎・２人・盲ろう・区３</t>
  </si>
  <si>
    <t>同援早１．０・基礎・盲ろう・区３</t>
  </si>
  <si>
    <t>同援早１．０・２人・盲ろう・区３</t>
  </si>
  <si>
    <t>同援早１．０・盲ろう・区３</t>
  </si>
  <si>
    <t>同援早１．０・基礎・２人・区３</t>
  </si>
  <si>
    <t>同援早１．０・基礎・区３</t>
  </si>
  <si>
    <t>同援早１．０・２人・区３</t>
  </si>
  <si>
    <t>同援早１．０・区３</t>
  </si>
  <si>
    <t>同援早１．０・基礎・２人・盲ろう</t>
  </si>
  <si>
    <t>同援早１．０・基礎・盲ろう</t>
  </si>
  <si>
    <t>同援早１．０・２人・盲ろう</t>
  </si>
  <si>
    <t>同援早１．０・盲ろう</t>
  </si>
  <si>
    <t>同援早１．０・基礎・２人</t>
  </si>
  <si>
    <t>同援早１．０・基礎</t>
  </si>
  <si>
    <t>同援早１．０・２人</t>
  </si>
  <si>
    <t>同援早１．０</t>
  </si>
  <si>
    <t>同援早０．５・基礎・２人・盲ろう・区４</t>
  </si>
  <si>
    <t>同援早０．５・基礎・盲ろう・区４</t>
  </si>
  <si>
    <t>同援早０．５・２人・盲ろう・区４</t>
  </si>
  <si>
    <t>同援早０．５・盲ろう・区４</t>
  </si>
  <si>
    <t>同援早０．５・基礎・２人・区４</t>
  </si>
  <si>
    <t>同援早０．５・基礎・区４</t>
  </si>
  <si>
    <t>同援早０．５・２人・区４</t>
  </si>
  <si>
    <t>同援早０．５・区４</t>
  </si>
  <si>
    <t>同援早０．５・基礎・２人・盲ろう・区３</t>
  </si>
  <si>
    <t>同援早０．５・基礎・盲ろう・区３</t>
  </si>
  <si>
    <t>同援早０．５・２人・盲ろう・区３</t>
  </si>
  <si>
    <t>同援早０．５・盲ろう・区３</t>
  </si>
  <si>
    <t>同援早０．５・基礎・２人・区３</t>
  </si>
  <si>
    <t>同援早０．５・基礎・区３</t>
  </si>
  <si>
    <t>同援早０．５・２人・区３</t>
  </si>
  <si>
    <t>同援早０．５・区３</t>
  </si>
  <si>
    <t>同援早０．５・基礎・２人・盲ろう</t>
  </si>
  <si>
    <t>同援早０．５・基礎・盲ろう</t>
  </si>
  <si>
    <t>同援早０．５・２人・盲ろう</t>
  </si>
  <si>
    <t>同援早０．５・盲ろう</t>
  </si>
  <si>
    <t>同援早０．５・基礎・２人</t>
  </si>
  <si>
    <t>同援早０．５・基礎</t>
  </si>
  <si>
    <t>同援早０．５・２人</t>
  </si>
  <si>
    <t>同援早０．５</t>
  </si>
  <si>
    <t>同援深６．５・基礎・２人・盲ろう・区４</t>
  </si>
  <si>
    <t>同援深６．５・基礎・盲ろう・区４</t>
  </si>
  <si>
    <t>同援深６．５・２人・盲ろう・区４</t>
  </si>
  <si>
    <t>同援深６．５・盲ろう・区４</t>
  </si>
  <si>
    <t>同援深６．５・基礎・２人・区４</t>
  </si>
  <si>
    <t>同援深６．５・基礎・区４</t>
  </si>
  <si>
    <t>同援深６．５・２人・区４</t>
  </si>
  <si>
    <t>同援深６．５・区４</t>
  </si>
  <si>
    <t>同援深６．５・基礎・２人・盲ろう・区３</t>
  </si>
  <si>
    <t>同援深６．５・基礎・盲ろう・区３</t>
  </si>
  <si>
    <t>同援深６．５・２人・盲ろう・区３</t>
  </si>
  <si>
    <t>同援深６．５・盲ろう・区３</t>
  </si>
  <si>
    <t>同援深６．５・基礎・２人・区３</t>
  </si>
  <si>
    <t>同援深６．５・基礎・区３</t>
  </si>
  <si>
    <t>同援深６．５・２人・区３</t>
  </si>
  <si>
    <t>同援深６．５・区３</t>
  </si>
  <si>
    <t>同援深６．５・基礎・２人・盲ろう</t>
  </si>
  <si>
    <t>同援深６．５・基礎・盲ろう</t>
  </si>
  <si>
    <t>同援深６．５・２人・盲ろう</t>
  </si>
  <si>
    <t>同援深６．５・盲ろう</t>
  </si>
  <si>
    <t>同援深６．５・基礎・２人</t>
  </si>
  <si>
    <t xml:space="preserve"> ６時間３０分未満</t>
  </si>
  <si>
    <t>同援深６．５・基礎</t>
  </si>
  <si>
    <t>同援深６．５・２人</t>
  </si>
  <si>
    <t>同援深６．５</t>
  </si>
  <si>
    <t>同援深６．０・基礎・２人・盲ろう・区４</t>
  </si>
  <si>
    <t>同援深６．０・基礎・盲ろう・区４</t>
  </si>
  <si>
    <t>同援深６．０・２人・盲ろう・区４</t>
  </si>
  <si>
    <t>同援深６．０・盲ろう・区４</t>
  </si>
  <si>
    <t>同援深６．０・基礎・２人・区４</t>
  </si>
  <si>
    <t>同援深６．０・基礎・区４</t>
  </si>
  <si>
    <t>同援深６．０・２人・区４</t>
  </si>
  <si>
    <t>同援深６．０・区４</t>
  </si>
  <si>
    <t>同援深６．０・基礎・２人・盲ろう・区３</t>
  </si>
  <si>
    <t>同援深６．０・基礎・盲ろう・区３</t>
  </si>
  <si>
    <t>同援深６．０・２人・盲ろう・区３</t>
  </si>
  <si>
    <t>同援深６．０・盲ろう・区３</t>
  </si>
  <si>
    <t>同援深６．０・基礎・２人・区３</t>
  </si>
  <si>
    <t>同援深６．０・基礎・区３</t>
  </si>
  <si>
    <t>同援深６．０・２人・区３</t>
  </si>
  <si>
    <t>同援深６．０・区３</t>
  </si>
  <si>
    <t>同援深６．０・基礎・２人・盲ろう</t>
  </si>
  <si>
    <t>同援深６．０・基礎・盲ろう</t>
  </si>
  <si>
    <t>同援深６．０・２人・盲ろう</t>
  </si>
  <si>
    <t>同援深６．０・盲ろう</t>
  </si>
  <si>
    <t>同援深６．０・基礎・２人</t>
  </si>
  <si>
    <t xml:space="preserve"> ６時間未満</t>
  </si>
  <si>
    <t>同援深６．０・基礎</t>
  </si>
  <si>
    <t>同援深６．０・２人</t>
  </si>
  <si>
    <t>同援深６．０</t>
  </si>
  <si>
    <t>同援深５．５・基礎・２人・盲ろう・区４</t>
  </si>
  <si>
    <t>同援深５．５・基礎・盲ろう・区４</t>
  </si>
  <si>
    <t>同援深５．５・２人・盲ろう・区４</t>
  </si>
  <si>
    <t>同援深５．５・盲ろう・区４</t>
  </si>
  <si>
    <t>同援深５．５・基礎・２人・区４</t>
  </si>
  <si>
    <t>同援深５．５・基礎・区４</t>
  </si>
  <si>
    <t>同援深５．５・２人・区４</t>
  </si>
  <si>
    <t>同援深５．５・区４</t>
  </si>
  <si>
    <t>同援深５．５・基礎・２人・盲ろう・区３</t>
  </si>
  <si>
    <t>同援深５．５・基礎・盲ろう・区３</t>
  </si>
  <si>
    <t>同援深５．５・２人・盲ろう・区３</t>
  </si>
  <si>
    <t>同援深５．５・盲ろう・区３</t>
  </si>
  <si>
    <t>同援深５．５・基礎・２人・区３</t>
  </si>
  <si>
    <t>同援深５．５・基礎・区３</t>
  </si>
  <si>
    <t>同援深５．５・２人・区３</t>
  </si>
  <si>
    <t>同援深５．５・区３</t>
  </si>
  <si>
    <t>同援深５．５・基礎・２人・盲ろう</t>
  </si>
  <si>
    <t>同援深５．５・基礎・盲ろう</t>
  </si>
  <si>
    <t>同援深５．５・２人・盲ろう</t>
  </si>
  <si>
    <t>同援深５．５・盲ろう</t>
  </si>
  <si>
    <t>同援深５．５・基礎・２人</t>
  </si>
  <si>
    <t xml:space="preserve"> ５時間３０分未満</t>
  </si>
  <si>
    <t>同援深５．５・基礎</t>
  </si>
  <si>
    <t>同援深５．５・２人</t>
  </si>
  <si>
    <t>同援深５．５</t>
  </si>
  <si>
    <t>同援深５．０・基礎・２人・盲ろう・区４</t>
  </si>
  <si>
    <t>同援深５．０・基礎・盲ろう・区４</t>
  </si>
  <si>
    <t>同援深５．０・２人・盲ろう・区４</t>
  </si>
  <si>
    <t>同援深５．０・盲ろう・区４</t>
  </si>
  <si>
    <t>同援深５．０・基礎・２人・区４</t>
  </si>
  <si>
    <t>同援深５．０・基礎・区４</t>
  </si>
  <si>
    <t>同援深５．０・２人・区４</t>
  </si>
  <si>
    <t>同援深５．０・区４</t>
  </si>
  <si>
    <t>同援深５．０・基礎・２人・盲ろう・区３</t>
  </si>
  <si>
    <t>同援深５．０・基礎・盲ろう・区３</t>
  </si>
  <si>
    <t>同援深５．０・２人・盲ろう・区３</t>
  </si>
  <si>
    <t>同援深５．０・盲ろう・区３</t>
  </si>
  <si>
    <t>同援深５．０・基礎・２人・区３</t>
  </si>
  <si>
    <t>同援深５．０・基礎・区３</t>
  </si>
  <si>
    <t>同援深５．０・２人・区３</t>
  </si>
  <si>
    <t>同援深５．０・区３</t>
  </si>
  <si>
    <t>同援深５．０・基礎・２人・盲ろう</t>
  </si>
  <si>
    <t>同援深５．０・基礎・盲ろう</t>
  </si>
  <si>
    <t>同援深５．０・２人・盲ろう</t>
  </si>
  <si>
    <t>同援深５．０・盲ろう</t>
  </si>
  <si>
    <t>同援深５．０・基礎・２人</t>
  </si>
  <si>
    <t xml:space="preserve"> ５時間未満</t>
  </si>
  <si>
    <t>同援深５．０・基礎</t>
  </si>
  <si>
    <t>同援深５．０・２人</t>
  </si>
  <si>
    <t>同援深５．０</t>
  </si>
  <si>
    <t>同援深４．５・基礎・２人・盲ろう・区４</t>
  </si>
  <si>
    <t>同援深４．５・基礎・盲ろう・区４</t>
  </si>
  <si>
    <t>同援深４．５・２人・盲ろう・区４</t>
  </si>
  <si>
    <t>同援深４．５・盲ろう・区４</t>
  </si>
  <si>
    <t>同援深４．５・基礎・２人・区４</t>
  </si>
  <si>
    <t>同援深４．５・基礎・区４</t>
  </si>
  <si>
    <t>同援深４．５・２人・区４</t>
  </si>
  <si>
    <t>同援深４．５・区４</t>
  </si>
  <si>
    <t>同援深４．５・基礎・２人・盲ろう・区３</t>
  </si>
  <si>
    <t>同援深４．５・基礎・盲ろう・区３</t>
  </si>
  <si>
    <t>同援深４．５・２人・盲ろう・区３</t>
  </si>
  <si>
    <t>同援深４．５・盲ろう・区３</t>
  </si>
  <si>
    <t>同援深４．５・基礎・２人・区３</t>
  </si>
  <si>
    <t>同援深４．５・基礎・区３</t>
  </si>
  <si>
    <t>同援深４．５・２人・区３</t>
  </si>
  <si>
    <t>同援深４．５・区３</t>
  </si>
  <si>
    <t>同援深４．５・基礎・２人・盲ろう</t>
  </si>
  <si>
    <t>同援深４．５・基礎・盲ろう</t>
  </si>
  <si>
    <t>同援深４．５・２人・盲ろう</t>
  </si>
  <si>
    <t>同援深４．５・盲ろう</t>
  </si>
  <si>
    <t>同援深４．５・基礎・２人</t>
  </si>
  <si>
    <t>同援深４．５・基礎</t>
  </si>
  <si>
    <t>同援深４．５・２人</t>
  </si>
  <si>
    <t>同援深４．５</t>
  </si>
  <si>
    <t>同援深４．０・基礎・２人・盲ろう・区４</t>
  </si>
  <si>
    <t>同援深４．０・基礎・盲ろう・区４</t>
  </si>
  <si>
    <t>同援深４．０・２人・盲ろう・区４</t>
  </si>
  <si>
    <t>同援深４．０・盲ろう・区４</t>
  </si>
  <si>
    <t>同援深４．０・基礎・２人・区４</t>
  </si>
  <si>
    <t>同援深４．０・基礎・区４</t>
  </si>
  <si>
    <t>同援深４．０・２人・区４</t>
  </si>
  <si>
    <t>同援深４．０・区４</t>
  </si>
  <si>
    <t>同援深４．０・基礎・２人・盲ろう・区３</t>
  </si>
  <si>
    <t>同援深４．０・基礎・盲ろう・区３</t>
  </si>
  <si>
    <t>同援深４．０・２人・盲ろう・区３</t>
  </si>
  <si>
    <t>同援深４．０・盲ろう・区３</t>
  </si>
  <si>
    <t>同援深４．０・基礎・２人・区３</t>
  </si>
  <si>
    <t>同援深４．０・基礎・区３</t>
  </si>
  <si>
    <t>同援深４．０・２人・区３</t>
  </si>
  <si>
    <t>同援深４．０・区３</t>
  </si>
  <si>
    <t>同援深４．０・基礎・２人・盲ろう</t>
  </si>
  <si>
    <t>同援深４．０・基礎・盲ろう</t>
  </si>
  <si>
    <t>同援深４．０・２人・盲ろう</t>
  </si>
  <si>
    <t>同援深４．０・盲ろう</t>
  </si>
  <si>
    <t>同援深４．０・基礎・２人</t>
  </si>
  <si>
    <t>同援深４．０・基礎</t>
  </si>
  <si>
    <t>同援深４．０・２人</t>
  </si>
  <si>
    <t>同援深４．０</t>
  </si>
  <si>
    <t>同援深３．５・基礎・２人・盲ろう・区４</t>
  </si>
  <si>
    <t>同援深３．５・基礎・盲ろう・区４</t>
  </si>
  <si>
    <t>同援深３．５・２人・盲ろう・区４</t>
  </si>
  <si>
    <t>同援深３．５・盲ろう・区４</t>
  </si>
  <si>
    <t>同援深３．５・基礎・２人・区４</t>
  </si>
  <si>
    <t>同援深３．５・基礎・区４</t>
  </si>
  <si>
    <t>同援深３．５・２人・区４</t>
  </si>
  <si>
    <t>同援深３．５・区４</t>
  </si>
  <si>
    <t>同援深３．５・基礎・２人・盲ろう・区３</t>
  </si>
  <si>
    <t>同援深３．５・基礎・盲ろう・区３</t>
  </si>
  <si>
    <t>同援深３．５・２人・盲ろう・区３</t>
  </si>
  <si>
    <t>同援深３．５・盲ろう・区３</t>
  </si>
  <si>
    <t>同援深３．５・基礎・２人・区３</t>
  </si>
  <si>
    <t>同援深３．５・基礎・区３</t>
  </si>
  <si>
    <t>同援深３．５・２人・区３</t>
  </si>
  <si>
    <t>同援深３．５・区３</t>
  </si>
  <si>
    <t>同援深３．５・基礎・２人・盲ろう</t>
  </si>
  <si>
    <t>同援深３．５・基礎・盲ろう</t>
  </si>
  <si>
    <t>同援深３．５・２人・盲ろう</t>
  </si>
  <si>
    <t>同援深３．５・盲ろう</t>
  </si>
  <si>
    <t>同援深３．５・基礎・２人</t>
  </si>
  <si>
    <t>同援深３．５・基礎</t>
  </si>
  <si>
    <t>同援深３．５・２人</t>
  </si>
  <si>
    <t>同援深３．５</t>
  </si>
  <si>
    <t>同援深３．０・基礎・２人・盲ろう・区４</t>
  </si>
  <si>
    <t>同援深３．０・基礎・盲ろう・区４</t>
  </si>
  <si>
    <t>同援深３．０・２人・盲ろう・区４</t>
  </si>
  <si>
    <t>同援深３．０・盲ろう・区４</t>
  </si>
  <si>
    <t>同援深３．０・基礎・２人・区４</t>
  </si>
  <si>
    <t>同援深３．０・基礎・区４</t>
  </si>
  <si>
    <t>同援深３．０・２人・区４</t>
  </si>
  <si>
    <t>同援深３．０・区４</t>
  </si>
  <si>
    <t>同援深３．０・基礎・２人・盲ろう・区３</t>
  </si>
  <si>
    <t>同援深３．０・基礎・盲ろう・区３</t>
  </si>
  <si>
    <t>同援深３．０・２人・盲ろう・区３</t>
  </si>
  <si>
    <t>同援深３．０・盲ろう・区３</t>
  </si>
  <si>
    <t>同援深３．０・基礎・２人・区３</t>
  </si>
  <si>
    <t>同援深３．０・基礎・区３</t>
  </si>
  <si>
    <t>同援深３．０・２人・区３</t>
  </si>
  <si>
    <t>同援深３．０・区３</t>
  </si>
  <si>
    <t>同援深３．０・基礎・２人・盲ろう</t>
  </si>
  <si>
    <t>同援深３．０・基礎・盲ろう</t>
  </si>
  <si>
    <t>同援深３．０・２人・盲ろう</t>
  </si>
  <si>
    <t>同援深３．０・盲ろう</t>
  </si>
  <si>
    <t>同援深３．０・基礎・２人</t>
  </si>
  <si>
    <t>同援深３．０・基礎</t>
  </si>
  <si>
    <t>同援深３．０・２人</t>
  </si>
  <si>
    <t>同援深３．０</t>
  </si>
  <si>
    <t>同援深２．５・基礎・２人・盲ろう・区４</t>
  </si>
  <si>
    <t>同援深２．５・基礎・盲ろう・区４</t>
  </si>
  <si>
    <t>同援深２．５・２人・盲ろう・区４</t>
  </si>
  <si>
    <t>同援深２．５・盲ろう・区４</t>
  </si>
  <si>
    <t>同援深２．５・基礎・２人・区４</t>
  </si>
  <si>
    <t>同援深２．５・基礎・区４</t>
  </si>
  <si>
    <t>同援深２．５・２人・区４</t>
  </si>
  <si>
    <t>同援深２．５・区４</t>
  </si>
  <si>
    <t>同援深２．５・基礎・２人・盲ろう・区３</t>
  </si>
  <si>
    <t>同援深２．５・基礎・盲ろう・区３</t>
  </si>
  <si>
    <t>同援深２．５・２人・盲ろう・区３</t>
  </si>
  <si>
    <t>同援深２．５・盲ろう・区３</t>
  </si>
  <si>
    <t>同援深２．５・基礎・２人・区３</t>
  </si>
  <si>
    <t>同援深２．５・基礎・区３</t>
  </si>
  <si>
    <t>同援深２．５・２人・区３</t>
  </si>
  <si>
    <t>同援深２．５・区３</t>
  </si>
  <si>
    <t>同援深２．５・基礎・２人・盲ろう</t>
  </si>
  <si>
    <t>同援深２．５・基礎・盲ろう</t>
  </si>
  <si>
    <t>同援深２．５・２人・盲ろう</t>
  </si>
  <si>
    <t>同援深２．５・盲ろう</t>
  </si>
  <si>
    <t>同援深２．５・基礎・２人</t>
  </si>
  <si>
    <t>同援深２．５・基礎</t>
  </si>
  <si>
    <t>同援深２．５・２人</t>
  </si>
  <si>
    <t>同援深２．５</t>
  </si>
  <si>
    <t>同援深２．０・基礎・２人・盲ろう・区４</t>
  </si>
  <si>
    <t>同援深２．０・基礎・盲ろう・区４</t>
  </si>
  <si>
    <t>同援深２．０・２人・盲ろう・区４</t>
  </si>
  <si>
    <t>同援深２．０・盲ろう・区４</t>
  </si>
  <si>
    <t>同援深２．０・基礎・２人・区４</t>
  </si>
  <si>
    <t>同援深２．０・基礎・区４</t>
  </si>
  <si>
    <t>同援深２．０・２人・区４</t>
  </si>
  <si>
    <t>同援深２．０・区４</t>
  </si>
  <si>
    <t>同援深２．０・基礎・２人・盲ろう・区３</t>
  </si>
  <si>
    <t>同援深２．０・基礎・盲ろう・区３</t>
  </si>
  <si>
    <t>同援深２．０・２人・盲ろう・区３</t>
  </si>
  <si>
    <t>同援深２．０・盲ろう・区３</t>
  </si>
  <si>
    <t>同援深２．０・基礎・２人・区３</t>
  </si>
  <si>
    <t>同援深２．０・基礎・区３</t>
  </si>
  <si>
    <t>同援深２．０・２人・区３</t>
  </si>
  <si>
    <t>同援深２．０・区３</t>
  </si>
  <si>
    <t>同援深２．０・基礎・２人・盲ろう</t>
  </si>
  <si>
    <t>同援深２．０・基礎・盲ろう</t>
  </si>
  <si>
    <t>同援深２．０・２人・盲ろう</t>
  </si>
  <si>
    <t>同援深２．０・盲ろう</t>
  </si>
  <si>
    <t>同援深２．０・基礎・２人</t>
  </si>
  <si>
    <t>同援深２．０・基礎</t>
  </si>
  <si>
    <t>同援深２．０・２人</t>
  </si>
  <si>
    <t>同援深２．０</t>
  </si>
  <si>
    <t>同援深１．５・基礎・２人・盲ろう・区４</t>
  </si>
  <si>
    <t>同援深１．５・基礎・盲ろう・区４</t>
  </si>
  <si>
    <t>同援深１．５・２人・盲ろう・区４</t>
  </si>
  <si>
    <t>同援深１．５・盲ろう・区４</t>
  </si>
  <si>
    <t>同援深１．５・基礎・２人・区４</t>
  </si>
  <si>
    <t>同援深１．５・基礎・区４</t>
  </si>
  <si>
    <t>同援深１．５・２人・区４</t>
  </si>
  <si>
    <t>同援深１．５・区４</t>
  </si>
  <si>
    <t>同援深１．５・基礎・２人・盲ろう・区３</t>
  </si>
  <si>
    <t>同援深１．５・基礎・盲ろう・区３</t>
  </si>
  <si>
    <t>同援深１．５・２人・盲ろう・区３</t>
  </si>
  <si>
    <t>同援深１．５・盲ろう・区３</t>
  </si>
  <si>
    <t>同援深１．５・基礎・２人・区３</t>
  </si>
  <si>
    <t>同援深１．５・基礎・区３</t>
  </si>
  <si>
    <t>同援深１．５・２人・区３</t>
  </si>
  <si>
    <t>同援深１．５・区３</t>
  </si>
  <si>
    <t>同援深１．５・基礎・２人・盲ろう</t>
  </si>
  <si>
    <t>同援深１．５・基礎・盲ろう</t>
  </si>
  <si>
    <t>同援深１．５・２人・盲ろう</t>
  </si>
  <si>
    <t>同援深１．５・盲ろう</t>
  </si>
  <si>
    <t>同援深１．５・基礎・２人</t>
  </si>
  <si>
    <t>同援深１．５・基礎</t>
  </si>
  <si>
    <t>同援深１．５・２人</t>
  </si>
  <si>
    <t>同援深１．５</t>
  </si>
  <si>
    <t>同援深１．０・基礎・２人・盲ろう・区４</t>
  </si>
  <si>
    <t>同援深１．０・基礎・盲ろう・区４</t>
  </si>
  <si>
    <t>同援深１．０・２人・盲ろう・区４</t>
  </si>
  <si>
    <t>同援深１．０・盲ろう・区４</t>
  </si>
  <si>
    <t>同援深１．０・基礎・２人・区４</t>
  </si>
  <si>
    <t>同援深１．０・基礎・区４</t>
  </si>
  <si>
    <t>同援深１．０・２人・区４</t>
  </si>
  <si>
    <t>同援深１．０・区４</t>
  </si>
  <si>
    <t>同援深１．０・基礎・２人・盲ろう・区３</t>
  </si>
  <si>
    <t>同援深１．０・基礎・盲ろう・区３</t>
  </si>
  <si>
    <t>同援深１．０・２人・盲ろう・区３</t>
  </si>
  <si>
    <t>同援深１．０・盲ろう・区３</t>
  </si>
  <si>
    <t>同援深１．０・基礎・２人・区３</t>
  </si>
  <si>
    <t>同援深１．０・基礎・区３</t>
  </si>
  <si>
    <t>同援深１．０・２人・区３</t>
  </si>
  <si>
    <t>同援深１．０・区３</t>
  </si>
  <si>
    <t>同援深１．０・基礎・２人・盲ろう</t>
  </si>
  <si>
    <t>同援深１．０・基礎・盲ろう</t>
  </si>
  <si>
    <t>同援深１．０・２人・盲ろう</t>
  </si>
  <si>
    <t>同援深１．０・盲ろう</t>
  </si>
  <si>
    <t>同援深１．０・基礎・２人</t>
  </si>
  <si>
    <t>同援深１．０・基礎</t>
  </si>
  <si>
    <t>同援深１．０・２人</t>
  </si>
  <si>
    <t>同援深１．０</t>
  </si>
  <si>
    <t>同援深０．５・基礎・２人・盲ろう・区４</t>
  </si>
  <si>
    <t>同援深０．５・基礎・盲ろう・区４</t>
  </si>
  <si>
    <t>同援深０．５・２人・盲ろう・区４</t>
  </si>
  <si>
    <t>同援深０．５・盲ろう・区４</t>
  </si>
  <si>
    <t>同援深０．５・基礎・２人・区４</t>
  </si>
  <si>
    <t>同援深０．５・基礎・区４</t>
  </si>
  <si>
    <t>同援深０．５・２人・区４</t>
  </si>
  <si>
    <t>同援深０．５・区４</t>
  </si>
  <si>
    <t>同援深０．５・基礎・２人・盲ろう・区３</t>
  </si>
  <si>
    <t>同援深０．５・基礎・盲ろう・区３</t>
  </si>
  <si>
    <t>同援深０．５・２人・盲ろう・区３</t>
  </si>
  <si>
    <t>同援深０．５・盲ろう・区３</t>
  </si>
  <si>
    <t>同援深０．５・基礎・２人・区３</t>
  </si>
  <si>
    <t>同援深０．５・基礎・区３</t>
  </si>
  <si>
    <t>同援深０．５・２人・区３</t>
  </si>
  <si>
    <t>同援深０．５・区３</t>
  </si>
  <si>
    <t>同援深０．５・基礎・２人・盲ろう</t>
  </si>
  <si>
    <t>同援深０．５・基礎・盲ろう</t>
  </si>
  <si>
    <t>同援深０．５・２人・盲ろう</t>
  </si>
  <si>
    <t>同援深０．５・盲ろう</t>
  </si>
  <si>
    <t>同援深０．５・基礎・２人</t>
  </si>
  <si>
    <t>同援深０．５・基礎</t>
  </si>
  <si>
    <t>同援深０．５・２人</t>
  </si>
  <si>
    <t>同援深０．５</t>
  </si>
  <si>
    <t>同援深２．５・早０．５・基礎・２人・盲ろう・区４</t>
  </si>
  <si>
    <t>同援深２．５・早０．５・基礎・盲ろう・区４</t>
  </si>
  <si>
    <t>同援深２．５・早０．５・２人・盲ろう・区４</t>
  </si>
  <si>
    <t>同援深２．５・早０．５・盲ろう・区４</t>
  </si>
  <si>
    <t>同援深２．５・早０．５・基礎・２人・区４</t>
  </si>
  <si>
    <t>同援深２．５・早０．５・基礎・区４</t>
  </si>
  <si>
    <t>同援深２．５・早０．５・２人・区４</t>
  </si>
  <si>
    <t>同援深２．５・早０．５・区４</t>
  </si>
  <si>
    <t>同援深２．５・早０．５・基礎・２人・盲ろう・区３</t>
  </si>
  <si>
    <t>同援深２．５・早０．５・基礎・盲ろう・区３</t>
  </si>
  <si>
    <t>同援深２．５・早０．５・２人・盲ろう・区３</t>
  </si>
  <si>
    <t>同援深２．５・早０．５・盲ろう・区３</t>
  </si>
  <si>
    <t>同援深２．５・早０．５・基礎・２人・区３</t>
  </si>
  <si>
    <t>同援深２．５・早０．５・基礎・区３</t>
  </si>
  <si>
    <t>同援深２．５・早０．５・２人・区３</t>
  </si>
  <si>
    <t>同援深２．５・早０．５・区３</t>
  </si>
  <si>
    <t>同援深２．５・早０．５・基礎・２人・盲ろう</t>
  </si>
  <si>
    <t>同援深２．５・早０．５・基礎・盲ろう</t>
  </si>
  <si>
    <t>同援深２．５・早０．５・２人・盲ろう</t>
  </si>
  <si>
    <t>同援深２．５・早０．５・盲ろう</t>
  </si>
  <si>
    <t>同援深２．５・早０．５・基礎・２人</t>
  </si>
  <si>
    <t>同援深２．５・早０．５・基礎</t>
  </si>
  <si>
    <t>同援深２．５・早０．５・２人</t>
  </si>
  <si>
    <t>同援深２．５・早０．５</t>
  </si>
  <si>
    <t>同援深２．０・早１．０・基礎・２人・盲ろう・区４</t>
  </si>
  <si>
    <t>同援深２．０・早１．０・基礎・盲ろう・区４</t>
  </si>
  <si>
    <t>同援深２．０・早１．０・２人・盲ろう・区４</t>
  </si>
  <si>
    <t>同援深２．０・早１．０・盲ろう・区４</t>
  </si>
  <si>
    <t>同援深２．０・早１．０・基礎・２人・区４</t>
  </si>
  <si>
    <t>同援深２．０・早１．０・基礎・区４</t>
  </si>
  <si>
    <t>同援深２．０・早１．０・２人・区４</t>
  </si>
  <si>
    <t>同援深２．０・早１．０・区４</t>
  </si>
  <si>
    <t>同援深２．０・早１．０・基礎・２人・盲ろう・区３</t>
  </si>
  <si>
    <t>同援深２．０・早１．０・基礎・盲ろう・区３</t>
  </si>
  <si>
    <t>同援深２．０・早１．０・２人・盲ろう・区３</t>
  </si>
  <si>
    <t>同援深２．０・早１．０・盲ろう・区３</t>
  </si>
  <si>
    <t>同援深２．０・早１．０・基礎・２人・区３</t>
  </si>
  <si>
    <t>同援深２．０・早１．０・基礎・区３</t>
  </si>
  <si>
    <t>同援深２．０・早１．０・２人・区３</t>
  </si>
  <si>
    <t>同援深２．０・早１．０・区３</t>
  </si>
  <si>
    <t>同援深２．０・早１．０・基礎・２人・盲ろう</t>
  </si>
  <si>
    <t>同援深２．０・早１．０・基礎・盲ろう</t>
  </si>
  <si>
    <t>同援深２．０・早１．０・２人・盲ろう</t>
  </si>
  <si>
    <t>同援深２．０・早１．０・盲ろう</t>
  </si>
  <si>
    <t>同援深２．０・早１．０・基礎・２人</t>
  </si>
  <si>
    <t>同援深２．０・早１．０・基礎</t>
  </si>
  <si>
    <t>同援深２．０・早１．０・２人</t>
  </si>
  <si>
    <t>同援深２．０・早１．０</t>
  </si>
  <si>
    <t>同援深２．０・早０．５・基礎・２人・盲ろう・区４</t>
  </si>
  <si>
    <t>同援深２．０・早０．５・基礎・盲ろう・区４</t>
  </si>
  <si>
    <t>同援深２．０・早０．５・２人・盲ろう・区４</t>
  </si>
  <si>
    <t>同援深２．０・早０．５・盲ろう・区４</t>
  </si>
  <si>
    <t>同援深２．０・早０．５・基礎・２人・区４</t>
  </si>
  <si>
    <t>同援深２．０・早０．５・基礎・区４</t>
  </si>
  <si>
    <t>同援深２．０・早０．５・２人・区４</t>
  </si>
  <si>
    <t>同援深２．０・早０．５・区４</t>
  </si>
  <si>
    <t>同援深２．０・早０．５・基礎・２人・盲ろう・区３</t>
  </si>
  <si>
    <t>同援深２．０・早０．５・基礎・盲ろう・区３</t>
  </si>
  <si>
    <t>同援深２．０・早０．５・２人・盲ろう・区３</t>
  </si>
  <si>
    <t>同援深２．０・早０．５・盲ろう・区３</t>
  </si>
  <si>
    <t>同援深２．０・早０．５・基礎・２人・区３</t>
  </si>
  <si>
    <t>同援深２．０・早０．５・基礎・区３</t>
  </si>
  <si>
    <t>同援深２．０・早０．５・２人・区３</t>
  </si>
  <si>
    <t>同援深２．０・早０．５・区３</t>
  </si>
  <si>
    <t>同援深２．０・早０．５・基礎・２人・盲ろう</t>
  </si>
  <si>
    <t>同援深２．０・早０．５・基礎・盲ろう</t>
  </si>
  <si>
    <t>同援深２．０・早０．５・２人・盲ろう</t>
  </si>
  <si>
    <t>同援深２．０・早０．５・盲ろう</t>
  </si>
  <si>
    <t>同援深２．０・早０．５・基礎・２人</t>
  </si>
  <si>
    <t>同援深２．０・早０．５・基礎</t>
  </si>
  <si>
    <t>同援深２．０・早０．５・２人</t>
  </si>
  <si>
    <t>同援深２．０・早０．５</t>
  </si>
  <si>
    <t>同援深１．５・早１．５・基礎・２人・盲ろう・区４</t>
  </si>
  <si>
    <t>同援深１．５・早１．５・基礎・盲ろう・区４</t>
  </si>
  <si>
    <t>同援深１．５・早１．５・２人・盲ろう・区４</t>
  </si>
  <si>
    <t>同援深１．５・早１．５・盲ろう・区４</t>
  </si>
  <si>
    <t>同援深１．５・早１．５・基礎・２人・区４</t>
  </si>
  <si>
    <t>同援深１．５・早１．５・基礎・区４</t>
  </si>
  <si>
    <t>同援深１．５・早１．５・２人・区４</t>
  </si>
  <si>
    <t>同援深１．５・早１．５・区４</t>
  </si>
  <si>
    <t>同援深１．５・早１．５・基礎・２人・盲ろう・区３</t>
  </si>
  <si>
    <t>同援深１．５・早１．５・基礎・盲ろう・区３</t>
  </si>
  <si>
    <t>同援深１．５・早１．５・２人・盲ろう・区３</t>
  </si>
  <si>
    <t>同援深１．５・早１．５・盲ろう・区３</t>
  </si>
  <si>
    <t>同援深１．５・早１．５・基礎・２人・区３</t>
  </si>
  <si>
    <t>同援深１．５・早１．５・基礎・区３</t>
  </si>
  <si>
    <t>同援深１．５・早１．５・２人・区３</t>
  </si>
  <si>
    <t>同援深１．５・早１．５・区３</t>
  </si>
  <si>
    <t>同援深１．５・早１．５・基礎・２人・盲ろう</t>
  </si>
  <si>
    <t>同援深１．５・早１．５・基礎・盲ろう</t>
  </si>
  <si>
    <t>同援深１．５・早１．５・２人・盲ろう</t>
  </si>
  <si>
    <t>同援深１．５・早１．５・盲ろう</t>
  </si>
  <si>
    <t>同援深１．５・早１．５・基礎・２人</t>
  </si>
  <si>
    <t>同援深１．５・早１．５・基礎</t>
  </si>
  <si>
    <t>同援深１．５・早１．５・２人</t>
  </si>
  <si>
    <t>同援深１．５・早１．５</t>
  </si>
  <si>
    <t>同援深１．５・早１．０・基礎・２人・盲ろう・区４</t>
  </si>
  <si>
    <t>同援深１．５・早１．０・基礎・盲ろう・区４</t>
  </si>
  <si>
    <t>同援深１．５・早１．０・２人・盲ろう・区４</t>
  </si>
  <si>
    <t>同援深１．５・早１．０・盲ろう・区４</t>
  </si>
  <si>
    <t>同援深１．５・早１．０・基礎・２人・区４</t>
  </si>
  <si>
    <t>同援深１．５・早１．０・基礎・区４</t>
  </si>
  <si>
    <t>同援深１．５・早１．０・２人・区４</t>
  </si>
  <si>
    <t>同援深１．５・早１．０・区４</t>
  </si>
  <si>
    <t>同援深１．５・早１．０・基礎・２人・盲ろう・区３</t>
  </si>
  <si>
    <t>同援深１．５・早１．０・基礎・盲ろう・区３</t>
  </si>
  <si>
    <t>同援深１．５・早１．０・２人・盲ろう・区３</t>
  </si>
  <si>
    <t>同援深１．５・早１．０・盲ろう・区３</t>
  </si>
  <si>
    <t>同援深１．５・早１．０・基礎・２人・区３</t>
  </si>
  <si>
    <t>同援深１．５・早１．０・基礎・区３</t>
  </si>
  <si>
    <t>同援深１．５・早１．０・２人・区３</t>
  </si>
  <si>
    <t>同援深１．５・早１．０・区３</t>
  </si>
  <si>
    <t>同援深１．５・早１．０・基礎・２人・盲ろう</t>
  </si>
  <si>
    <t>同援深１．５・早１．０・基礎・盲ろう</t>
  </si>
  <si>
    <t>同援深１．５・早１．０・２人・盲ろう</t>
  </si>
  <si>
    <t>同援深１．５・早１．０・盲ろう</t>
  </si>
  <si>
    <t>同援深１．５・早１．０・基礎・２人</t>
  </si>
  <si>
    <t>同援深１．５・早１．０・基礎</t>
  </si>
  <si>
    <t>同援深１．５・早１．０・２人</t>
  </si>
  <si>
    <t>同援深１．５・早１．０</t>
  </si>
  <si>
    <t>同援深１．５・早０．５・基礎・２人・盲ろう・区４</t>
  </si>
  <si>
    <t>同援深１．５・早０．５・基礎・盲ろう・区４</t>
  </si>
  <si>
    <t>同援深１．５・早０．５・２人・盲ろう・区４</t>
  </si>
  <si>
    <t>同援深１．５・早０．５・盲ろう・区４</t>
  </si>
  <si>
    <t>同援深１．５・早０．５・基礎・２人・区４</t>
  </si>
  <si>
    <t>同援深１．５・早０．５・基礎・区４</t>
  </si>
  <si>
    <t>同援深１．５・早０．５・２人・区４</t>
  </si>
  <si>
    <t>同援深１．５・早０．５・区４</t>
  </si>
  <si>
    <t>同援深１．５・早０．５・基礎・２人・盲ろう・区３</t>
  </si>
  <si>
    <t>同援深１．５・早０．５・基礎・盲ろう・区３</t>
  </si>
  <si>
    <t>同援深１．５・早０．５・２人・盲ろう・区３</t>
  </si>
  <si>
    <t>同援深１．５・早０．５・盲ろう・区３</t>
  </si>
  <si>
    <t>同援深１．５・早０．５・基礎・２人・区３</t>
  </si>
  <si>
    <t>同援深１．５・早０．５・基礎・区３</t>
  </si>
  <si>
    <t>同援深１．５・早０．５・２人・区３</t>
  </si>
  <si>
    <t>同援深１．５・早０．５・区３</t>
  </si>
  <si>
    <t>同援深１．５・早０．５・基礎・２人・盲ろう</t>
  </si>
  <si>
    <t>同援深１．５・早０．５・基礎・盲ろう</t>
  </si>
  <si>
    <t>同援深１．５・早０．５・２人・盲ろう</t>
  </si>
  <si>
    <t>同援深１．５・早０．５・盲ろう</t>
  </si>
  <si>
    <t>同援深１．５・早０．５・基礎・２人</t>
  </si>
  <si>
    <t>同援深１．５・早０．５・基礎</t>
  </si>
  <si>
    <t>同援深１．５・早０．５・２人</t>
  </si>
  <si>
    <t>同援深１．５・早０．５</t>
  </si>
  <si>
    <t>同援深１．０・早２．０・基礎・２人・盲ろう・区４</t>
  </si>
  <si>
    <t>同援深１．０・早２．０・基礎・盲ろう・区４</t>
  </si>
  <si>
    <t>同援深１．０・早２．０・２人・盲ろう・区４</t>
  </si>
  <si>
    <t>同援深１．０・早２．０・盲ろう・区４</t>
  </si>
  <si>
    <t>同援深１．０・早２．０・基礎・２人・区４</t>
  </si>
  <si>
    <t>同援深１．０・早２．０・基礎・区４</t>
  </si>
  <si>
    <t>同援深１．０・早２．０・２人・区４</t>
  </si>
  <si>
    <t>同援深１．０・早２．０・区４</t>
  </si>
  <si>
    <t>同援深１．０・早２．０・基礎・２人・盲ろう・区３</t>
  </si>
  <si>
    <t>同援深１．０・早２．０・基礎・盲ろう・区３</t>
  </si>
  <si>
    <t>同援深１．０・早２．０・２人・盲ろう・区３</t>
  </si>
  <si>
    <t>同援深１．０・早２．０・盲ろう・区３</t>
  </si>
  <si>
    <t>同援深１．０・早２．０・基礎・２人・区３</t>
  </si>
  <si>
    <t>同援深１．０・早２．０・基礎・区３</t>
  </si>
  <si>
    <t>同援深１．０・早２．０・２人・区３</t>
  </si>
  <si>
    <t>同援深１．０・早２．０・区３</t>
  </si>
  <si>
    <t>同援深１．０・早２．０・基礎・２人・盲ろう</t>
  </si>
  <si>
    <t>同援深１．０・早２．０・基礎・盲ろう</t>
  </si>
  <si>
    <t>同援深１．０・早２．０・２人・盲ろう</t>
  </si>
  <si>
    <t>同援深１．０・早２．０・盲ろう</t>
  </si>
  <si>
    <t>同援深１．０・早２．０・基礎・２人</t>
  </si>
  <si>
    <t>同援深１．０・早２．０・基礎</t>
  </si>
  <si>
    <t>同援深１．０・早２．０・２人</t>
  </si>
  <si>
    <t>同援深１．０・早２．０</t>
  </si>
  <si>
    <t>同援深１．０・早１．５・基礎・２人・盲ろう・区４</t>
  </si>
  <si>
    <t>同援深１．０・早１．５・基礎・盲ろう・区４</t>
  </si>
  <si>
    <t>同援深１．０・早１．５・２人・盲ろう・区４</t>
  </si>
  <si>
    <t>同援深１．０・早１．５・盲ろう・区４</t>
  </si>
  <si>
    <t>同援深１．０・早１．５・基礎・２人・区４</t>
  </si>
  <si>
    <t>同援深１．０・早１．５・基礎・区４</t>
  </si>
  <si>
    <t>同援深１．０・早１．５・２人・区４</t>
  </si>
  <si>
    <t>同援深１．０・早１．５・区４</t>
  </si>
  <si>
    <t>同援深１．０・早１．５・基礎・２人・盲ろう・区３</t>
  </si>
  <si>
    <t>同援深１．０・早１．５・基礎・盲ろう・区３</t>
  </si>
  <si>
    <t>同援深１．０・早１．５・２人・盲ろう・区３</t>
  </si>
  <si>
    <t>同援深１．０・早１．５・盲ろう・区３</t>
  </si>
  <si>
    <t>同援深１．０・早１．５・基礎・２人・区３</t>
  </si>
  <si>
    <t>同援深１．０・早１．５・基礎・区３</t>
  </si>
  <si>
    <t>同援深１．０・早１．５・２人・区３</t>
  </si>
  <si>
    <t>同援深１．０・早１．５・区３</t>
  </si>
  <si>
    <t>同援深１．０・早１．５・基礎・２人・盲ろう</t>
  </si>
  <si>
    <t>同援深１．０・早１．５・基礎・盲ろう</t>
  </si>
  <si>
    <t>同援深１．０・早１．５・２人・盲ろう</t>
  </si>
  <si>
    <t>同援深１．０・早１．５・盲ろう</t>
  </si>
  <si>
    <t>同援深１．０・早１．５・基礎・２人</t>
  </si>
  <si>
    <t>同援深１．０・早１．５・基礎</t>
  </si>
  <si>
    <t>同援深１．０・早１．５・２人</t>
  </si>
  <si>
    <t>同援深１．０・早１．５</t>
  </si>
  <si>
    <t>同援深１．０・早１．０・基礎・２人・盲ろう・区４</t>
  </si>
  <si>
    <t>同援深１．０・早１．０・基礎・盲ろう・区４</t>
  </si>
  <si>
    <t>同援深１．０・早１．０・２人・盲ろう・区４</t>
  </si>
  <si>
    <t>同援深１．０・早１．０・盲ろう・区４</t>
  </si>
  <si>
    <t>同援深１．０・早１．０・基礎・２人・区４</t>
  </si>
  <si>
    <t>同援深１．０・早１．０・基礎・区４</t>
  </si>
  <si>
    <t>同援深１．０・早１．０・２人・区４</t>
  </si>
  <si>
    <t>同援深１．０・早１．０・区４</t>
  </si>
  <si>
    <t>同援深１．０・早１．０・基礎・２人・盲ろう・区３</t>
  </si>
  <si>
    <t>同援深１．０・早１．０・基礎・盲ろう・区３</t>
  </si>
  <si>
    <t>同援深１．０・早１．０・２人・盲ろう・区３</t>
  </si>
  <si>
    <t>同援深１．０・早１．０・盲ろう・区３</t>
  </si>
  <si>
    <t>同援深１．０・早１．０・基礎・２人・区３</t>
  </si>
  <si>
    <t>同援深１．０・早１．０・基礎・区３</t>
  </si>
  <si>
    <t>同援深１．０・早１．０・２人・区３</t>
  </si>
  <si>
    <t>同援深１．０・早１．０・区３</t>
  </si>
  <si>
    <t>同援深１．０・早１．０・基礎・２人・盲ろう</t>
  </si>
  <si>
    <t>同援深１．０・早１．０・基礎・盲ろう</t>
  </si>
  <si>
    <t>同援深１．０・早１．０・２人・盲ろう</t>
  </si>
  <si>
    <t>同援深１．０・早１．０・盲ろう</t>
  </si>
  <si>
    <t>同援深１．０・早１．０・基礎・２人</t>
  </si>
  <si>
    <t>同援深１．０・早１．０・基礎</t>
  </si>
  <si>
    <t>同援深１．０・早１．０・２人</t>
  </si>
  <si>
    <t>同援深１．０・早１．０</t>
  </si>
  <si>
    <t>同援深１．０・早０．５・基礎・２人・盲ろう・区４</t>
  </si>
  <si>
    <t>同援深１．０・早０．５・基礎・盲ろう・区４</t>
  </si>
  <si>
    <t>同援深１．０・早０．５・２人・盲ろう・区４</t>
  </si>
  <si>
    <t>同援深１．０・早０．５・盲ろう・区４</t>
  </si>
  <si>
    <t>同援深１．０・早０．５・基礎・２人・区４</t>
  </si>
  <si>
    <t>同援深１．０・早０．５・基礎・区４</t>
  </si>
  <si>
    <t>同援深１．０・早０．５・２人・区４</t>
  </si>
  <si>
    <t>同援深１．０・早０．５・区４</t>
  </si>
  <si>
    <t>同援深１．０・早０．５・基礎・２人・盲ろう・区３</t>
  </si>
  <si>
    <t>同援深１．０・早０．５・基礎・盲ろう・区３</t>
  </si>
  <si>
    <t>同援深１．０・早０．５・２人・盲ろう・区３</t>
  </si>
  <si>
    <t>同援深１．０・早０．５・盲ろう・区３</t>
  </si>
  <si>
    <t>同援深１．０・早０．５・基礎・２人・区３</t>
  </si>
  <si>
    <t>同援深１．０・早０．５・基礎・区３</t>
  </si>
  <si>
    <t>同援深１．０・早０．５・２人・区３</t>
  </si>
  <si>
    <t>同援深１．０・早０．５・区３</t>
  </si>
  <si>
    <t>同援深１．０・早０．５・基礎・２人・盲ろう</t>
  </si>
  <si>
    <t>同援深１．０・早０．５・基礎・盲ろう</t>
  </si>
  <si>
    <t>同援深１．０・早０．５・２人・盲ろう</t>
  </si>
  <si>
    <t>同援深１．０・早０．５・盲ろう</t>
  </si>
  <si>
    <t>同援深１．０・早０．５・基礎・２人</t>
  </si>
  <si>
    <t>同援深１．０・早０．５・基礎</t>
  </si>
  <si>
    <t>同援深１．０・早０．５・２人</t>
  </si>
  <si>
    <t>同援深１．０・早０．５</t>
  </si>
  <si>
    <t>同援深０．５・早２．５・基礎・２人・盲ろう・区４</t>
  </si>
  <si>
    <t>同援深０．５・早２．５・基礎・盲ろう・区４</t>
  </si>
  <si>
    <t>同援深０．５・早２．５・２人・盲ろう・区４</t>
  </si>
  <si>
    <t>同援深０．５・早２．５・盲ろう・区４</t>
  </si>
  <si>
    <t>同援深０．５・早２．５・基礎・２人・区４</t>
  </si>
  <si>
    <t>同援深０．５・早２．５・基礎・区４</t>
  </si>
  <si>
    <t>同援深０．５・早２．５・２人・区４</t>
  </si>
  <si>
    <t>同援深０．５・早２．５・区４</t>
  </si>
  <si>
    <t>同援深０．５・早２．５・基礎・２人・盲ろう・区３</t>
  </si>
  <si>
    <t>同援深０．５・早２．５・基礎・盲ろう・区３</t>
  </si>
  <si>
    <t>同援深０．５・早２．５・２人・盲ろう・区３</t>
  </si>
  <si>
    <t>同援深０．５・早２．５・盲ろう・区３</t>
  </si>
  <si>
    <t>同援深０．５・早２．５・基礎・２人・区３</t>
  </si>
  <si>
    <t>同援深０．５・早２．５・基礎・区３</t>
  </si>
  <si>
    <t>同援深０．５・早２．５・２人・区３</t>
  </si>
  <si>
    <t>同援深０．５・早２．５・区３</t>
  </si>
  <si>
    <t>同援深０．５・早２．５・基礎・２人・盲ろう</t>
  </si>
  <si>
    <t>同援深０．５・早２．５・基礎・盲ろう</t>
  </si>
  <si>
    <t>同援深０．５・早２．５・２人・盲ろう</t>
  </si>
  <si>
    <t>同援深０．５・早２．５・盲ろう</t>
  </si>
  <si>
    <t>同援深０．５・早２．５・基礎・２人</t>
  </si>
  <si>
    <t>同援深０．５・早２．５・基礎</t>
  </si>
  <si>
    <t>同援深０．５・早２．５・２人</t>
  </si>
  <si>
    <t>同援深０．５・早２．５</t>
  </si>
  <si>
    <t>同援深０．５・早２．０・基礎・２人・盲ろう・区４</t>
  </si>
  <si>
    <t>同援深０．５・早２．０・基礎・盲ろう・区４</t>
  </si>
  <si>
    <t>同援深０．５・早２．０・２人・盲ろう・区４</t>
  </si>
  <si>
    <t>同援深０．５・早２．０・盲ろう・区４</t>
  </si>
  <si>
    <t>同援深０．５・早２．０・基礎・２人・区４</t>
  </si>
  <si>
    <t>同援深０．５・早２．０・基礎・区４</t>
  </si>
  <si>
    <t>同援深０．５・早２．０・２人・区４</t>
  </si>
  <si>
    <t>同援深０．５・早２．０・区４</t>
  </si>
  <si>
    <t>同援深０．５・早２．０・基礎・２人・盲ろう・区３</t>
  </si>
  <si>
    <t>同援深０．５・早２．０・基礎・盲ろう・区３</t>
  </si>
  <si>
    <t>同援深０．５・早２．０・２人・盲ろう・区３</t>
  </si>
  <si>
    <t>同援深０．５・早２．０・盲ろう・区３</t>
  </si>
  <si>
    <t>同援深０．５・早２．０・基礎・２人・区３</t>
  </si>
  <si>
    <t>同援深０．５・早２．０・基礎・区３</t>
  </si>
  <si>
    <t>同援深０．５・早２．０・２人・区３</t>
  </si>
  <si>
    <t>同援深０．５・早２．０・区３</t>
  </si>
  <si>
    <t>同援深０．５・早２．０・基礎・２人・盲ろう</t>
  </si>
  <si>
    <t>同援深０．５・早２．０・基礎・盲ろう</t>
  </si>
  <si>
    <t>同援深０．５・早２．０・２人・盲ろう</t>
  </si>
  <si>
    <t>同援深０．５・早２．０・盲ろう</t>
  </si>
  <si>
    <t>同援深０．５・早２．０・基礎・２人</t>
  </si>
  <si>
    <t>同援深０．５・早２．０・基礎</t>
  </si>
  <si>
    <t>同援深０．５・早２．０・２人</t>
  </si>
  <si>
    <t>同援深０．５・早２．０</t>
  </si>
  <si>
    <t>同援深０．５・早１．５・基礎・２人・盲ろう・区４</t>
  </si>
  <si>
    <t>同援深０．５・早１．５・基礎・盲ろう・区４</t>
  </si>
  <si>
    <t>同援深０．５・早１．５・２人・盲ろう・区４</t>
  </si>
  <si>
    <t>同援深０．５・早１．５・盲ろう・区４</t>
  </si>
  <si>
    <t>同援深０．５・早１．５・基礎・２人・区４</t>
  </si>
  <si>
    <t>同援深０．５・早１．５・基礎・区４</t>
  </si>
  <si>
    <t>同援深０．５・早１．５・２人・区４</t>
  </si>
  <si>
    <t>同援深０．５・早１．５・区４</t>
  </si>
  <si>
    <t>同援深０．５・早１．５・基礎・２人・盲ろう・区３</t>
  </si>
  <si>
    <t>同援深０．５・早１．５・基礎・盲ろう・区３</t>
  </si>
  <si>
    <t>同援深０．５・早１．５・２人・盲ろう・区３</t>
  </si>
  <si>
    <t>同援深０．５・早１．５・盲ろう・区３</t>
  </si>
  <si>
    <t>同援深０．５・早１．５・基礎・２人・区３</t>
  </si>
  <si>
    <t>同援深０．５・早１．５・基礎・区３</t>
  </si>
  <si>
    <t>同援深０．５・早１．５・２人・区３</t>
  </si>
  <si>
    <t>同援深０．５・早１．５・区３</t>
  </si>
  <si>
    <t>同援深０．５・早１．５・基礎・２人・盲ろう</t>
  </si>
  <si>
    <t>同援深０．５・早１．５・基礎・盲ろう</t>
  </si>
  <si>
    <t>同援深０．５・早１．５・２人・盲ろう</t>
  </si>
  <si>
    <t>同援深０．５・早１．５・盲ろう</t>
  </si>
  <si>
    <t>同援深０．５・早１．５・基礎・２人</t>
  </si>
  <si>
    <t>同援深０．５・早１．５・基礎</t>
  </si>
  <si>
    <t>同援深０．５・早１．５・２人</t>
  </si>
  <si>
    <t>同援深０．５・早１．５</t>
  </si>
  <si>
    <t>同援深０．５・早１．０・基礎・２人・盲ろう・区４</t>
  </si>
  <si>
    <t>同援深０．５・早１．０・基礎・盲ろう・区４</t>
  </si>
  <si>
    <t>同援深０．５・早１．０・２人・盲ろう・区４</t>
  </si>
  <si>
    <t>同援深０．５・早１．０・盲ろう・区４</t>
  </si>
  <si>
    <t>同援深０．５・早１．０・基礎・２人・区４</t>
  </si>
  <si>
    <t>同援深０．５・早１．０・基礎・区４</t>
  </si>
  <si>
    <t>同援深０．５・早１．０・２人・区４</t>
  </si>
  <si>
    <t>同援深０．５・早１．０・区４</t>
  </si>
  <si>
    <t>同援深０．５・早１．０・基礎・２人・盲ろう・区３</t>
  </si>
  <si>
    <t>同援深０．５・早１．０・基礎・盲ろう・区３</t>
  </si>
  <si>
    <t>同援深０．５・早１．０・２人・盲ろう・区３</t>
  </si>
  <si>
    <t>同援深０．５・早１．０・盲ろう・区３</t>
  </si>
  <si>
    <t>同援深０．５・早１．０・基礎・２人・区３</t>
  </si>
  <si>
    <t>同援深０．５・早１．０・基礎・区３</t>
  </si>
  <si>
    <t>同援深０．５・早１．０・２人・区３</t>
  </si>
  <si>
    <t>同援深０．５・早１．０・区３</t>
  </si>
  <si>
    <t>同援深０．５・早１．０・基礎・２人・盲ろう</t>
  </si>
  <si>
    <t>同援深０．５・早１．０・基礎・盲ろう</t>
  </si>
  <si>
    <t>同援深０．５・早１．０・２人・盲ろう</t>
  </si>
  <si>
    <t>同援深０．５・早１．０・盲ろう</t>
  </si>
  <si>
    <t>同援深０．５・早１．０・基礎・２人</t>
  </si>
  <si>
    <t>同援深０．５・早１．０・基礎</t>
  </si>
  <si>
    <t>同援深０．５・早１．０・２人</t>
  </si>
  <si>
    <t>同援深０．５・早１．０</t>
  </si>
  <si>
    <t>同援深０．５・早０．５・基礎・２人・盲ろう・区４</t>
  </si>
  <si>
    <t>同援深０．５・早０．５・基礎・盲ろう・区４</t>
  </si>
  <si>
    <t>同援深０．５・早０．５・２人・盲ろう・区４</t>
  </si>
  <si>
    <t>同援深０．５・早０．５・盲ろう・区４</t>
  </si>
  <si>
    <t>同援深０．５・早０．５・基礎・２人・区４</t>
  </si>
  <si>
    <t>同援深０．５・早０．５・基礎・区４</t>
  </si>
  <si>
    <t>同援深０．５・早０．５・２人・区４</t>
  </si>
  <si>
    <t>同援深０．５・早０．５・区４</t>
  </si>
  <si>
    <t>同援深０．５・早０．５・基礎・２人・盲ろう・区３</t>
  </si>
  <si>
    <t>同援深０．５・早０．５・基礎・盲ろう・区３</t>
  </si>
  <si>
    <t>同援深０．５・早０．５・２人・盲ろう・区３</t>
  </si>
  <si>
    <t>同援深０．５・早０．５・盲ろう・区３</t>
  </si>
  <si>
    <t>同援深０．５・早０．５・基礎・２人・区３</t>
  </si>
  <si>
    <t>同援深０．５・早０．５・基礎・区３</t>
  </si>
  <si>
    <t>同援深０．５・早０．５・２人・区３</t>
  </si>
  <si>
    <t>同援深０．５・早０．５・区３</t>
  </si>
  <si>
    <t>同援深０．５・早０．５・基礎・２人・盲ろう</t>
  </si>
  <si>
    <t>同援深０．５・早０．５・基礎・盲ろう</t>
  </si>
  <si>
    <t>同援深０．５・早０．５・２人・盲ろう</t>
  </si>
  <si>
    <t>同援深０．５・早０．５・盲ろう</t>
  </si>
  <si>
    <t>同援深０．５・早０．５・基礎・２人</t>
  </si>
  <si>
    <t>同援深０．５・早０．５・基礎</t>
  </si>
  <si>
    <t>同援深０．５・早０．５・２人</t>
  </si>
  <si>
    <t>同援深０．５・早０．５</t>
  </si>
  <si>
    <t>同援早２．５・日０．５・基礎・２人・盲ろう・区４</t>
  </si>
  <si>
    <t>同援早２．５・日０．５・基礎・盲ろう・区４</t>
  </si>
  <si>
    <t>同援早２．５・日０．５・２人・盲ろう・区４</t>
  </si>
  <si>
    <t>同援早２．５・日０．５・盲ろう・区４</t>
  </si>
  <si>
    <t>同援早２．５・日０．５・基礎・２人・区４</t>
  </si>
  <si>
    <t>同援早２．５・日０．５・基礎・区４</t>
  </si>
  <si>
    <t>同援早２．５・日０．５・２人・区４</t>
  </si>
  <si>
    <t>同援早２．５・日０．５・区４</t>
  </si>
  <si>
    <t>同援早２．５・日０．５・基礎・２人・盲ろう・区３</t>
  </si>
  <si>
    <t>同援早２．５・日０．５・基礎・盲ろう・区３</t>
  </si>
  <si>
    <t>同援早２．５・日０．５・２人・盲ろう・区３</t>
  </si>
  <si>
    <t>同援早２．５・日０．５・盲ろう・区３</t>
  </si>
  <si>
    <t>同援早２．５・日０．５・基礎・２人・区３</t>
  </si>
  <si>
    <t>同援早２．５・日０．５・基礎・区３</t>
  </si>
  <si>
    <t>同援早２．５・日０．５・２人・区３</t>
  </si>
  <si>
    <t>同援早２．５・日０．５・区３</t>
  </si>
  <si>
    <t>同援早２．５・日０．５・基礎・２人・盲ろう</t>
  </si>
  <si>
    <t>同援早２．５・日０．５・基礎・盲ろう</t>
  </si>
  <si>
    <t>同援早２．５・日０．５・２人・盲ろう</t>
  </si>
  <si>
    <t>同援早２．５・日０．５・盲ろう</t>
  </si>
  <si>
    <t>同援早２．５・日０．５・基礎・２人</t>
  </si>
  <si>
    <t>同援早２．５・日０．５・基礎</t>
  </si>
  <si>
    <t>同援早２．５・日０．５・２人</t>
  </si>
  <si>
    <t>同援早２．５・日０．５</t>
  </si>
  <si>
    <t>同援早２．０・日１．０・基礎・２人・盲ろう・区４</t>
  </si>
  <si>
    <t>同援早２．０・日１．０・基礎・盲ろう・区４</t>
  </si>
  <si>
    <t>同援早２．０・日１．０・２人・盲ろう・区４</t>
  </si>
  <si>
    <t>同援早２．０・日１．０・盲ろう・区４</t>
  </si>
  <si>
    <t>同援早２．０・日１．０・基礎・２人・区４</t>
  </si>
  <si>
    <t>同援早２．０・日１．０・基礎・区４</t>
  </si>
  <si>
    <t>同援早２．０・日１．０・２人・区４</t>
  </si>
  <si>
    <t>同援早２．０・日１．０・区４</t>
  </si>
  <si>
    <t>同援早２．０・日１．０・基礎・２人・盲ろう・区３</t>
  </si>
  <si>
    <t>同援早２．０・日１．０・基礎・盲ろう・区３</t>
  </si>
  <si>
    <t>同援早２．０・日１．０・２人・盲ろう・区３</t>
  </si>
  <si>
    <t>同援早２．０・日１．０・盲ろう・区３</t>
  </si>
  <si>
    <t>同援早２．０・日１．０・基礎・２人・区３</t>
  </si>
  <si>
    <t>同援早２．０・日１．０・基礎・区３</t>
  </si>
  <si>
    <t>同援早２．０・日１．０・２人・区３</t>
  </si>
  <si>
    <t>同援早２．０・日１．０・区３</t>
  </si>
  <si>
    <t>同援早２．０・日１．０・基礎・２人・盲ろう</t>
  </si>
  <si>
    <t>同援早２．０・日１．０・基礎・盲ろう</t>
  </si>
  <si>
    <t>同援早２．０・日１．０・２人・盲ろう</t>
  </si>
  <si>
    <t>同援早２．０・日１．０・盲ろう</t>
  </si>
  <si>
    <t>同援早２．０・日１．０・基礎・２人</t>
  </si>
  <si>
    <t>同援早２．０・日１．０・基礎</t>
  </si>
  <si>
    <t>同援早２．０・日１．０・２人</t>
  </si>
  <si>
    <t>同援早２．０・日１．０</t>
  </si>
  <si>
    <t>同援早２．０・日０．５・基礎・２人・盲ろう・区４</t>
  </si>
  <si>
    <t>同援早２．０・日０．５・基礎・盲ろう・区４</t>
  </si>
  <si>
    <t>同援早２．０・日０．５・２人・盲ろう・区４</t>
  </si>
  <si>
    <t>同援早２．０・日０．５・盲ろう・区４</t>
  </si>
  <si>
    <t>同援早２．０・日０．５・基礎・２人・区４</t>
  </si>
  <si>
    <t>同援早２．０・日０．５・基礎・区４</t>
  </si>
  <si>
    <t>同援早２．０・日０．５・２人・区４</t>
  </si>
  <si>
    <t>同援早２．０・日０．５・区４</t>
  </si>
  <si>
    <t>同援早２．０・日０．５・基礎・２人・盲ろう・区３</t>
  </si>
  <si>
    <t>同援早２．０・日０．５・基礎・盲ろう・区３</t>
  </si>
  <si>
    <t>同援早２．０・日０．５・２人・盲ろう・区３</t>
  </si>
  <si>
    <t>同援早２．０・日０．５・盲ろう・区３</t>
  </si>
  <si>
    <t>同援早２．０・日０．５・基礎・２人・区３</t>
  </si>
  <si>
    <t>同援早２．０・日０．５・基礎・区３</t>
  </si>
  <si>
    <t>同援早２．０・日０．５・２人・区３</t>
  </si>
  <si>
    <t>同援早２．０・日０．５・区３</t>
  </si>
  <si>
    <t>同援早２．０・日０．５・基礎・２人・盲ろう</t>
  </si>
  <si>
    <t>同援早２．０・日０．５・基礎・盲ろう</t>
  </si>
  <si>
    <t>同援早２．０・日０．５・２人・盲ろう</t>
  </si>
  <si>
    <t>同援早２．０・日０．５・盲ろう</t>
  </si>
  <si>
    <t>同援早２．０・日０．５・基礎・２人</t>
  </si>
  <si>
    <t>同援早２．０・日０．５・基礎</t>
  </si>
  <si>
    <t>同援早２．０・日０．５・２人</t>
  </si>
  <si>
    <t>同援早２．０・日０．５</t>
  </si>
  <si>
    <t>同援早１．５・日１．５・基礎・２人・盲ろう・区４</t>
  </si>
  <si>
    <t>同援早１．５・日１．５・基礎・盲ろう・区４</t>
  </si>
  <si>
    <t>同援早１．５・日１．５・２人・盲ろう・区４</t>
  </si>
  <si>
    <t>同援早１．５・日１．５・盲ろう・区４</t>
  </si>
  <si>
    <t>同援早１．５・日１．５・基礎・２人・区４</t>
  </si>
  <si>
    <t>同援早１．５・日１．５・基礎・区４</t>
  </si>
  <si>
    <t>同援早１．５・日１．５・２人・区４</t>
  </si>
  <si>
    <t>同援早１．５・日１．５・区４</t>
  </si>
  <si>
    <t>同援早１．５・日１．５・基礎・２人・盲ろう・区３</t>
  </si>
  <si>
    <t>同援早１．５・日１．５・基礎・盲ろう・区３</t>
  </si>
  <si>
    <t>同援早１．５・日１．５・２人・盲ろう・区３</t>
  </si>
  <si>
    <t>同援早１．５・日１．５・盲ろう・区３</t>
  </si>
  <si>
    <t>同援早１．５・日１．５・基礎・２人・区３</t>
  </si>
  <si>
    <t>同援早１．５・日１．５・基礎・区３</t>
  </si>
  <si>
    <t>同援早１．５・日１．５・２人・区３</t>
  </si>
  <si>
    <t>同援早１．５・日１．５・区３</t>
  </si>
  <si>
    <t>同援早１．５・日１．５・基礎・２人・盲ろう</t>
  </si>
  <si>
    <t>同援早１．５・日１．５・基礎・盲ろう</t>
  </si>
  <si>
    <t>同援早１．５・日１．５・２人・盲ろう</t>
  </si>
  <si>
    <t>同援早１．５・日１．５・盲ろう</t>
  </si>
  <si>
    <t>同援早１．５・日１．５・基礎・２人</t>
  </si>
  <si>
    <t>同援早１．５・日１．５・基礎</t>
  </si>
  <si>
    <t>同援早１．５・日１．５・２人</t>
  </si>
  <si>
    <t>同援早１．５・日１．５</t>
  </si>
  <si>
    <t>同援早１．５・日１．０・基礎・２人・盲ろう・区４</t>
  </si>
  <si>
    <t>同援早１．５・日１．０・基礎・盲ろう・区４</t>
  </si>
  <si>
    <t>同援早１．５・日１．０・２人・盲ろう・区４</t>
  </si>
  <si>
    <t>同援早１．５・日１．０・盲ろう・区４</t>
  </si>
  <si>
    <t>同援早１．５・日１．０・基礎・２人・区４</t>
  </si>
  <si>
    <t>同援早１．５・日１．０・基礎・区４</t>
  </si>
  <si>
    <t>同援早１．５・日１．０・２人・区４</t>
  </si>
  <si>
    <t>同援早１．５・日１．０・区４</t>
  </si>
  <si>
    <t>同援早１．５・日１．０・基礎・２人・盲ろう・区３</t>
  </si>
  <si>
    <t>同援早１．５・日１．０・基礎・盲ろう・区３</t>
  </si>
  <si>
    <t>同援早１．５・日１．０・２人・盲ろう・区３</t>
  </si>
  <si>
    <t>同援早１．５・日１．０・盲ろう・区３</t>
  </si>
  <si>
    <t>同援早１．５・日１．０・基礎・２人・区３</t>
  </si>
  <si>
    <t>同援早１．５・日１．０・基礎・区３</t>
  </si>
  <si>
    <t>同援早１．５・日１．０・２人・区３</t>
  </si>
  <si>
    <t>同援早１．５・日１．０・区３</t>
  </si>
  <si>
    <t>同援早１．５・日１．０・基礎・２人・盲ろう</t>
  </si>
  <si>
    <t>同援早１．５・日１．０・基礎・盲ろう</t>
  </si>
  <si>
    <t>同援早１．５・日１．０・２人・盲ろう</t>
  </si>
  <si>
    <t>同援早１．５・日１．０・盲ろう</t>
  </si>
  <si>
    <t>同援早１．５・日１．０・基礎・２人</t>
  </si>
  <si>
    <t>同援早１．５・日１．０・基礎</t>
  </si>
  <si>
    <t>同援早１．５・日１．０・２人</t>
  </si>
  <si>
    <t>同援早１．５・日１．０</t>
  </si>
  <si>
    <t>同援早１．５・日０．５・基礎・２人・盲ろう・区４</t>
  </si>
  <si>
    <t>同援早１．５・日０．５・基礎・盲ろう・区４</t>
  </si>
  <si>
    <t>同援早１．５・日０．５・２人・盲ろう・区４</t>
  </si>
  <si>
    <t>同援早１．５・日０．５・盲ろう・区４</t>
  </si>
  <si>
    <t>同援早１．５・日０．５・基礎・２人・区４</t>
  </si>
  <si>
    <t>同援早１．５・日０．５・基礎・区４</t>
  </si>
  <si>
    <t>同援早１．５・日０．５・２人・区４</t>
  </si>
  <si>
    <t>同援早１．５・日０．５・区４</t>
  </si>
  <si>
    <t>同援早１．５・日０．５・基礎・２人・盲ろう・区３</t>
  </si>
  <si>
    <t>同援早１．５・日０．５・基礎・盲ろう・区３</t>
  </si>
  <si>
    <t>同援早１．５・日０．５・２人・盲ろう・区３</t>
  </si>
  <si>
    <t>同援早１．５・日０．５・盲ろう・区３</t>
  </si>
  <si>
    <t>同援早１．５・日０．５・基礎・２人・区３</t>
  </si>
  <si>
    <t>同援早１．５・日０．５・基礎・区３</t>
  </si>
  <si>
    <t>同援早１．５・日０．５・２人・区３</t>
  </si>
  <si>
    <t>同援早１．５・日０．５・区３</t>
  </si>
  <si>
    <t>同援早１．５・日０．５・基礎・２人・盲ろう</t>
  </si>
  <si>
    <t>同援早１．５・日０．５・基礎・盲ろう</t>
  </si>
  <si>
    <t>同援早１．５・日０．５・２人・盲ろう</t>
  </si>
  <si>
    <t>同援早１．５・日０．５・盲ろう</t>
  </si>
  <si>
    <t>同援早１．５・日０．５・基礎・２人</t>
  </si>
  <si>
    <t>同援早１．５・日０．５・基礎</t>
  </si>
  <si>
    <t>同援早１．５・日０．５・２人</t>
  </si>
  <si>
    <t>同援早１．５・日０．５</t>
  </si>
  <si>
    <t>同援早１．０・日２．０・基礎・２人・盲ろう・区４</t>
  </si>
  <si>
    <t>同援早１．０・日２．０・基礎・盲ろう・区４</t>
  </si>
  <si>
    <t>同援早１．０・日２．０・２人・盲ろう・区４</t>
  </si>
  <si>
    <t>同援早１．０・日２．０・盲ろう・区４</t>
  </si>
  <si>
    <t>同援早１．０・日２．０・基礎・２人・区４</t>
  </si>
  <si>
    <t>同援早１．０・日２．０・基礎・区４</t>
  </si>
  <si>
    <t>同援早１．０・日２．０・２人・区４</t>
  </si>
  <si>
    <t>同援早１．０・日２．０・区４</t>
  </si>
  <si>
    <t>同援早１．０・日２．０・基礎・２人・盲ろう・区３</t>
  </si>
  <si>
    <t>同援早１．０・日２．０・基礎・盲ろう・区３</t>
  </si>
  <si>
    <t>同援早１．０・日２．０・２人・盲ろう・区３</t>
  </si>
  <si>
    <t>同援早１．０・日２．０・盲ろう・区３</t>
  </si>
  <si>
    <t>同援早１．０・日２．０・基礎・２人・区３</t>
  </si>
  <si>
    <t>同援早１．０・日２．０・基礎・区３</t>
  </si>
  <si>
    <t>同援早１．０・日２．０・２人・区３</t>
  </si>
  <si>
    <t>同援早１．０・日２．０・区３</t>
  </si>
  <si>
    <t>同援早１．０・日２．０・基礎・２人・盲ろう</t>
  </si>
  <si>
    <t>同援早１．０・日２．０・基礎・盲ろう</t>
  </si>
  <si>
    <t>同援早１．０・日２．０・２人・盲ろう</t>
  </si>
  <si>
    <t>同援早１．０・日２．０・盲ろう</t>
  </si>
  <si>
    <t>同援早１．０・日２．０・基礎・２人</t>
  </si>
  <si>
    <t>同援早１．０・日２．０・基礎</t>
  </si>
  <si>
    <t>同援早１．０・日２．０・２人</t>
  </si>
  <si>
    <t>同援早１．０・日２．０</t>
  </si>
  <si>
    <t>同援早１．０・日１．５・基礎・２人・盲ろう・区４</t>
  </si>
  <si>
    <t>同援早１．０・日１．５・基礎・盲ろう・区４</t>
  </si>
  <si>
    <t>同援早１．０・日１．５・２人・盲ろう・区４</t>
  </si>
  <si>
    <t>同援早１．０・日１．５・盲ろう・区４</t>
  </si>
  <si>
    <t>同援早１．０・日１．５・基礎・２人・区４</t>
  </si>
  <si>
    <t>同援早１．０・日１．５・基礎・区４</t>
  </si>
  <si>
    <t>同援早１．０・日１．５・２人・区４</t>
  </si>
  <si>
    <t>同援早１．０・日１．５・区４</t>
  </si>
  <si>
    <t>同援早１．０・日１．５・基礎・２人・盲ろう・区３</t>
  </si>
  <si>
    <t>同援早１．０・日１．５・基礎・盲ろう・区３</t>
  </si>
  <si>
    <t>同援早１．０・日１．５・２人・盲ろう・区３</t>
  </si>
  <si>
    <t>同援早１．０・日１．５・盲ろう・区３</t>
  </si>
  <si>
    <t>同援早１．０・日１．５・基礎・２人・区３</t>
  </si>
  <si>
    <t>同援早１．０・日１．５・基礎・区３</t>
  </si>
  <si>
    <t>同援早１．０・日１．５・２人・区３</t>
  </si>
  <si>
    <t>同援早１．０・日１．５・区３</t>
  </si>
  <si>
    <t>同援早１．０・日１．５・基礎・２人・盲ろう</t>
  </si>
  <si>
    <t>同援早１．０・日１．５・基礎・盲ろう</t>
  </si>
  <si>
    <t>同援早１．０・日１．５・２人・盲ろう</t>
  </si>
  <si>
    <t>同援早１．０・日１．５・盲ろう</t>
  </si>
  <si>
    <t>同援早１．０・日１．５・基礎・２人</t>
  </si>
  <si>
    <t>同援早１．０・日１．５・基礎</t>
  </si>
  <si>
    <t>同援早１．０・日１．５・２人</t>
  </si>
  <si>
    <t>同援早１．０・日１．５</t>
  </si>
  <si>
    <t>同援早１．０・日１．０・基礎・２人・盲ろう・区４</t>
  </si>
  <si>
    <t>同援早１．０・日１．０・基礎・盲ろう・区４</t>
  </si>
  <si>
    <t>同援早１．０・日１．０・２人・盲ろう・区４</t>
  </si>
  <si>
    <t>同援早１．０・日１．０・盲ろう・区４</t>
  </si>
  <si>
    <t>同援早１．０・日１．０・基礎・２人・区４</t>
  </si>
  <si>
    <t>同援早１．０・日１．０・基礎・区４</t>
  </si>
  <si>
    <t>同援早１．０・日１．０・２人・区４</t>
  </si>
  <si>
    <t>同援早１．０・日１．０・区４</t>
  </si>
  <si>
    <t>同援早１．０・日１．０・基礎・２人・盲ろう・区３</t>
  </si>
  <si>
    <t>同援早１．０・日１．０・基礎・盲ろう・区３</t>
  </si>
  <si>
    <t>同援早１．０・日１．０・２人・盲ろう・区３</t>
  </si>
  <si>
    <t>同援早１．０・日１．０・盲ろう・区３</t>
  </si>
  <si>
    <t>同援早１．０・日１．０・基礎・２人・区３</t>
  </si>
  <si>
    <t>同援早１．０・日１．０・基礎・区３</t>
  </si>
  <si>
    <t>同援早１．０・日１．０・２人・区３</t>
  </si>
  <si>
    <t>同援早１．０・日１．０・区３</t>
  </si>
  <si>
    <t>同援早１．０・日１．０・基礎・２人・盲ろう</t>
  </si>
  <si>
    <t>同援早１．０・日１．０・基礎・盲ろう</t>
  </si>
  <si>
    <t>同援早１．０・日１．０・２人・盲ろう</t>
  </si>
  <si>
    <t>同援早１．０・日１．０・盲ろう</t>
  </si>
  <si>
    <t>同援早１．０・日１．０・基礎・２人</t>
  </si>
  <si>
    <t>同援早１．０・日１．０・基礎</t>
  </si>
  <si>
    <t>同援早１．０・日１．０・２人</t>
  </si>
  <si>
    <t>同援早１．０・日１．０</t>
  </si>
  <si>
    <t>同援早１．０・日０．５・基礎・２人・盲ろう・区４</t>
  </si>
  <si>
    <t>同援早１．０・日０．５・基礎・盲ろう・区４</t>
  </si>
  <si>
    <t>同援早１．０・日０．５・２人・盲ろう・区４</t>
  </si>
  <si>
    <t>同援早１．０・日０．５・盲ろう・区４</t>
  </si>
  <si>
    <t>同援早１．０・日０．５・基礎・２人・区４</t>
  </si>
  <si>
    <t>同援早１．０・日０．５・基礎・区４</t>
  </si>
  <si>
    <t>同援早１．０・日０．５・２人・区４</t>
  </si>
  <si>
    <t>同援早１．０・日０．５・区４</t>
  </si>
  <si>
    <t>同援早１．０・日０．５・基礎・２人・盲ろう・区３</t>
  </si>
  <si>
    <t>同援早１．０・日０．５・基礎・盲ろう・区３</t>
  </si>
  <si>
    <t>同援早１．０・日０．５・２人・盲ろう・区３</t>
  </si>
  <si>
    <t>同援早１．０・日０．５・盲ろう・区３</t>
  </si>
  <si>
    <t>同援早１．０・日０．５・基礎・２人・区３</t>
  </si>
  <si>
    <t>同援早１．０・日０．５・基礎・区３</t>
  </si>
  <si>
    <t>同援早１．０・日０．５・２人・区３</t>
  </si>
  <si>
    <t>同援早１．０・日０．５・区３</t>
  </si>
  <si>
    <t>同援早１．０・日０．５・基礎・２人・盲ろう</t>
  </si>
  <si>
    <t>同援早１．０・日０．５・基礎・盲ろう</t>
  </si>
  <si>
    <t>同援早１．０・日０．５・２人・盲ろう</t>
  </si>
  <si>
    <t>同援早１．０・日０．５・盲ろう</t>
  </si>
  <si>
    <t>同援早１．０・日０．５・基礎・２人</t>
  </si>
  <si>
    <t>同援早１．０・日０．５・基礎</t>
  </si>
  <si>
    <t>同援早１．０・日０．５・２人</t>
  </si>
  <si>
    <t>同援早１．０・日０．５</t>
  </si>
  <si>
    <t>同援早０．５・日２．５・基礎・２人・盲ろう・区４</t>
  </si>
  <si>
    <t>同援早０．５・日２．５・基礎・盲ろう・区４</t>
  </si>
  <si>
    <t>同援早０．５・日２．５・２人・盲ろう・区４</t>
  </si>
  <si>
    <t>同援早０．５・日２．５・盲ろう・区４</t>
  </si>
  <si>
    <t>同援早０．５・日２．５・基礎・２人・区４</t>
  </si>
  <si>
    <t>同援早０．５・日２．５・基礎・区４</t>
  </si>
  <si>
    <t>同援早０．５・日２．５・２人・区４</t>
  </si>
  <si>
    <t>同援早０．５・日２．５・区４</t>
  </si>
  <si>
    <t>同援早０．５・日２．５・基礎・２人・盲ろう・区３</t>
  </si>
  <si>
    <t>同援早０．５・日２．５・基礎・盲ろう・区３</t>
  </si>
  <si>
    <t>同援早０．５・日２．５・２人・盲ろう・区３</t>
  </si>
  <si>
    <t>同援早０．５・日２．５・盲ろう・区３</t>
  </si>
  <si>
    <t>同援早０．５・日２．５・基礎・２人・区３</t>
  </si>
  <si>
    <t>同援早０．５・日２．５・基礎・区３</t>
  </si>
  <si>
    <t>同援早０．５・日２．５・２人・区３</t>
  </si>
  <si>
    <t>同援早０．５・日２．５・区３</t>
  </si>
  <si>
    <t>同援早０．５・日２．５・基礎・２人・盲ろう</t>
  </si>
  <si>
    <t>同援早０．５・日２．５・基礎・盲ろう</t>
  </si>
  <si>
    <t>同援早０．５・日２．５・２人・盲ろう</t>
  </si>
  <si>
    <t>同援早０．５・日２．５・盲ろう</t>
  </si>
  <si>
    <t>同援早０．５・日２．５・基礎・２人</t>
  </si>
  <si>
    <t>同援早０．５・日２．５・基礎</t>
  </si>
  <si>
    <t>同援早０．５・日２．５・２人</t>
  </si>
  <si>
    <t>同援早０．５・日２．５</t>
  </si>
  <si>
    <t>同援早０．５・日２．０・基礎・２人・盲ろう・区４</t>
  </si>
  <si>
    <t>同援早０．５・日２．０・基礎・盲ろう・区４</t>
  </si>
  <si>
    <t>同援早０．５・日２．０・２人・盲ろう・区４</t>
  </si>
  <si>
    <t>同援早０．５・日２．０・盲ろう・区４</t>
  </si>
  <si>
    <t>同援早０．５・日２．０・基礎・２人・区４</t>
  </si>
  <si>
    <t>同援早０．５・日２．０・基礎・区４</t>
  </si>
  <si>
    <t>同援早０．５・日２．０・２人・区４</t>
  </si>
  <si>
    <t>同援早０．５・日２．０・区４</t>
  </si>
  <si>
    <t>同援早０．５・日２．０・基礎・２人・盲ろう・区３</t>
  </si>
  <si>
    <t>同援早０．５・日２．０・基礎・盲ろう・区３</t>
  </si>
  <si>
    <t>同援早０．５・日２．０・２人・盲ろう・区３</t>
  </si>
  <si>
    <t>同援早０．５・日２．０・盲ろう・区３</t>
  </si>
  <si>
    <t>同援早０．５・日２．０・基礎・２人・区３</t>
  </si>
  <si>
    <t>同援早０．５・日２．０・基礎・区３</t>
  </si>
  <si>
    <t>同援早０．５・日２．０・２人・区３</t>
  </si>
  <si>
    <t>同援早０．５・日２．０・区３</t>
  </si>
  <si>
    <t>同援早０．５・日２．０・基礎・２人・盲ろう</t>
  </si>
  <si>
    <t>同援早０．５・日２．０・基礎・盲ろう</t>
  </si>
  <si>
    <t>同援早０．５・日２．０・２人・盲ろう</t>
  </si>
  <si>
    <t>同援早０．５・日２．０・盲ろう</t>
  </si>
  <si>
    <t>同援早０．５・日２．０・基礎・２人</t>
  </si>
  <si>
    <t>同援早０．５・日２．０・基礎</t>
  </si>
  <si>
    <t>同援早０．５・日２．０・２人</t>
  </si>
  <si>
    <t>同援早０．５・日２．０</t>
  </si>
  <si>
    <t>同援早０．５・日１．５・基礎・２人・盲ろう・区４</t>
  </si>
  <si>
    <t>同援早０．５・日１．５・基礎・盲ろう・区４</t>
  </si>
  <si>
    <t>同援早０．５・日１．５・２人・盲ろう・区４</t>
  </si>
  <si>
    <t>同援早０．５・日１．５・盲ろう・区４</t>
  </si>
  <si>
    <t>同援早０．５・日１．５・基礎・２人・区４</t>
  </si>
  <si>
    <t>同援早０．５・日１．５・基礎・区４</t>
  </si>
  <si>
    <t>同援早０．５・日１．５・２人・区４</t>
  </si>
  <si>
    <t>同援早０．５・日１．５・区４</t>
  </si>
  <si>
    <t>同援早０．５・日１．５・基礎・２人・盲ろう・区３</t>
  </si>
  <si>
    <t>同援早０．５・日１．５・基礎・盲ろう・区３</t>
  </si>
  <si>
    <t>同援早０．５・日１．５・２人・盲ろう・区３</t>
  </si>
  <si>
    <t>同援早０．５・日１．５・盲ろう・区３</t>
  </si>
  <si>
    <t>同援早０．５・日１．５・基礎・２人・区３</t>
  </si>
  <si>
    <t>同援早０．５・日１．５・基礎・区３</t>
  </si>
  <si>
    <t>同援早０．５・日１．５・２人・区３</t>
  </si>
  <si>
    <t>同援早０．５・日１．５・区３</t>
  </si>
  <si>
    <t>同援早０．５・日１．５・基礎・２人・盲ろう</t>
  </si>
  <si>
    <t>同援早０．５・日１．５・基礎・盲ろう</t>
  </si>
  <si>
    <t>同援早０．５・日１．５・２人・盲ろう</t>
  </si>
  <si>
    <t>同援早０．５・日１．５・盲ろう</t>
  </si>
  <si>
    <t>同援早０．５・日１．５・基礎・２人</t>
  </si>
  <si>
    <t>同援早０．５・日１．５・基礎</t>
  </si>
  <si>
    <t>同援早０．５・日１．５・２人</t>
  </si>
  <si>
    <t>同援早０．５・日１．５</t>
  </si>
  <si>
    <t>同援早０．５・日１．０・基礎・２人・盲ろう・区４</t>
  </si>
  <si>
    <t>同援早０．５・日１．０・基礎・盲ろう・区４</t>
  </si>
  <si>
    <t>同援早０．５・日１．０・２人・盲ろう・区４</t>
  </si>
  <si>
    <t>同援早０．５・日１．０・盲ろう・区４</t>
  </si>
  <si>
    <t>同援早０．５・日１．０・基礎・２人・区４</t>
  </si>
  <si>
    <t>同援早０．５・日１．０・基礎・区４</t>
  </si>
  <si>
    <t>同援早０．５・日１．０・２人・区４</t>
  </si>
  <si>
    <t>同援早０．５・日１．０・区４</t>
  </si>
  <si>
    <t>同援早０．５・日１．０・基礎・２人・盲ろう・区３</t>
  </si>
  <si>
    <t>同援早０．５・日１．０・基礎・盲ろう・区３</t>
  </si>
  <si>
    <t>同援早０．５・日１．０・２人・盲ろう・区３</t>
  </si>
  <si>
    <t>同援早０．５・日１．０・盲ろう・区３</t>
  </si>
  <si>
    <t>同援早０．５・日１．０・基礎・２人・区３</t>
  </si>
  <si>
    <t>同援早０．５・日１．０・基礎・区３</t>
  </si>
  <si>
    <t>同援早０．５・日１．０・２人・区３</t>
  </si>
  <si>
    <t>同援早０．５・日１．０・区３</t>
  </si>
  <si>
    <t>同援早０．５・日１．０・基礎・２人・盲ろう</t>
  </si>
  <si>
    <t>同援早０．５・日１．０・基礎・盲ろう</t>
  </si>
  <si>
    <t>同援早０．５・日１．０・２人・盲ろう</t>
  </si>
  <si>
    <t>同援早０．５・日１．０・盲ろう</t>
  </si>
  <si>
    <t>同援早０．５・日１．０・基礎・２人</t>
  </si>
  <si>
    <t>同援早０．５・日１．０・基礎</t>
  </si>
  <si>
    <t>同援早０．５・日１．０・２人</t>
  </si>
  <si>
    <t>同援早０．５・日１．０</t>
  </si>
  <si>
    <t>同援早０．５・日０．５・基礎・２人・盲ろう・区４</t>
  </si>
  <si>
    <t>同援早０．５・日０．５・基礎・盲ろう・区４</t>
  </si>
  <si>
    <t>同援早０．５・日０．５・２人・盲ろう・区４</t>
  </si>
  <si>
    <t>同援早０．５・日０．５・盲ろう・区４</t>
  </si>
  <si>
    <t>同援早０．５・日０．５・基礎・２人・区４</t>
  </si>
  <si>
    <t>同援早０．５・日０．５・基礎・区４</t>
  </si>
  <si>
    <t>同援早０．５・日０．５・２人・区４</t>
  </si>
  <si>
    <t>同援早０．５・日０．５・区４</t>
  </si>
  <si>
    <t>同援早０．５・日０．５・基礎・２人・盲ろう・区３</t>
  </si>
  <si>
    <t>同援早０．５・日０．５・基礎・盲ろう・区３</t>
  </si>
  <si>
    <t>同援早０．５・日０．５・２人・盲ろう・区３</t>
  </si>
  <si>
    <t>同援早０．５・日０．５・盲ろう・区３</t>
  </si>
  <si>
    <t>同援早０．５・日０．５・基礎・２人・区３</t>
  </si>
  <si>
    <t>同援早０．５・日０．５・基礎・区３</t>
  </si>
  <si>
    <t>同援早０．５・日０．５・２人・区３</t>
  </si>
  <si>
    <t>同援早０．５・日０．５・区３</t>
  </si>
  <si>
    <t>同援早０．５・日０．５・基礎・２人・盲ろう</t>
  </si>
  <si>
    <t>同援早０．５・日０．５・基礎・盲ろう</t>
  </si>
  <si>
    <t>同援早０．５・日０．５・２人・盲ろう</t>
  </si>
  <si>
    <t>同援早０．５・日０．５・盲ろう</t>
  </si>
  <si>
    <t>同援早０．５・日０．５・基礎・２人</t>
  </si>
  <si>
    <t>同援早０．５・日０．５・基礎</t>
  </si>
  <si>
    <t>同援早０．５・日０．５・２人</t>
  </si>
  <si>
    <t>同援早０．５・日０．５</t>
  </si>
  <si>
    <t>同援深０．５・早２．０・日０．５・基礎・２人・盲ろう・区４</t>
  </si>
  <si>
    <t>同援深０．５・早２．０・日０．５・基礎・盲ろう・区４</t>
  </si>
  <si>
    <t>同援深０．５・早２．０・日０．５・２人・盲ろう・区４</t>
  </si>
  <si>
    <t>同援深０．５・早２．０・日０．５・盲ろう・区４</t>
  </si>
  <si>
    <t>同援深０．５・早２．０・日０．５・基礎・２人・区４</t>
  </si>
  <si>
    <t>同援深０．５・早２．０・日０．５・基礎・区４</t>
  </si>
  <si>
    <t>同援深０．５・早２．０・日０．５・２人・区４</t>
  </si>
  <si>
    <t>同援深０．５・早２．０・日０．５・区４</t>
  </si>
  <si>
    <t>同援深０．５・早２．０・日０．５・基礎・２人・盲ろう・区３</t>
  </si>
  <si>
    <t>同援深０．５・早２．０・日０．５・基礎・盲ろう・区３</t>
  </si>
  <si>
    <t>同援深０．５・早２．０・日０．５・２人・盲ろう・区３</t>
  </si>
  <si>
    <t>同援深０．５・早２．０・日０．５・盲ろう・区３</t>
  </si>
  <si>
    <t>同援深０．５・早２．０・日０．５・基礎・２人・区３</t>
  </si>
  <si>
    <t>同援深０．５・早２．０・日０．５・基礎・区３</t>
  </si>
  <si>
    <t>同援深０．５・早２．０・日０．５・２人・区３</t>
  </si>
  <si>
    <t>同援深０．５・早２．０・日０．５・区３</t>
  </si>
  <si>
    <t>同援深０．５・早２．０・日０．５・基礎・２人・盲ろう</t>
  </si>
  <si>
    <t>同援深０．５・早２．０・日０．５・基礎・盲ろう</t>
  </si>
  <si>
    <t>同援深０．５・早２．０・日０．５・２人・盲ろう</t>
  </si>
  <si>
    <t>同援深０．５・早２．０・日０．５・盲ろう</t>
  </si>
  <si>
    <t>同援深０．５・早２．０・日０．５・基礎・２人</t>
  </si>
  <si>
    <t>同援深０．５・早２．０・日０．５・基礎</t>
  </si>
  <si>
    <t>同援深０．５・早２．０・日０．５・２人</t>
  </si>
  <si>
    <t>同援深０．５・早２．０・日０．５</t>
  </si>
  <si>
    <t>同援日２．５・夜０．５・基礎・２人・盲ろう・区４</t>
  </si>
  <si>
    <t>同援日２．５・夜０．５・基礎・盲ろう・区４</t>
  </si>
  <si>
    <t>同援日２．５・夜０．５・２人・盲ろう・区４</t>
  </si>
  <si>
    <t>同援日２．５・夜０．５・盲ろう・区４</t>
  </si>
  <si>
    <t>同援日２．５・夜０．５・基礎・２人・区４</t>
  </si>
  <si>
    <t>同援日２．５・夜０．５・基礎・区４</t>
  </si>
  <si>
    <t>同援日２．５・夜０．５・２人・区４</t>
  </si>
  <si>
    <t>同援日２．５・夜０．５・区４</t>
  </si>
  <si>
    <t>同援日２．５・夜０．５・基礎・２人・盲ろう・区３</t>
  </si>
  <si>
    <t>同援日２．５・夜０．５・基礎・盲ろう・区３</t>
  </si>
  <si>
    <t>同援日２．５・夜０．５・２人・盲ろう・区３</t>
  </si>
  <si>
    <t>同援日２．５・夜０．５・盲ろう・区３</t>
  </si>
  <si>
    <t>同援日２．５・夜０．５・基礎・２人・区３</t>
  </si>
  <si>
    <t>同援日２．５・夜０．５・基礎・区３</t>
  </si>
  <si>
    <t>同援日２．５・夜０．５・２人・区３</t>
  </si>
  <si>
    <t>同援日２．５・夜０．５・区３</t>
  </si>
  <si>
    <t>同援日２．５・夜０．５・基礎・２人・盲ろう</t>
  </si>
  <si>
    <t>同援日２．５・夜０．５・基礎・盲ろう</t>
  </si>
  <si>
    <t>同援日２．５・夜０．５・２人・盲ろう</t>
  </si>
  <si>
    <t>同援日２．５・夜０．５・盲ろう</t>
  </si>
  <si>
    <t>同援日２．５・夜０．５・基礎・２人</t>
  </si>
  <si>
    <t>同援日２．５・夜０．５・基礎</t>
  </si>
  <si>
    <t>同援日２．５・夜０．５・２人</t>
  </si>
  <si>
    <t>同援日２．５・夜０．５</t>
  </si>
  <si>
    <t>同援日２．０・夜１．０・基礎・２人・盲ろう・区４</t>
  </si>
  <si>
    <t>同援日２．０・夜１．０・基礎・盲ろう・区４</t>
  </si>
  <si>
    <t>同援日２．０・夜１．０・２人・盲ろう・区４</t>
  </si>
  <si>
    <t>同援日２．０・夜１．０・盲ろう・区４</t>
  </si>
  <si>
    <t>同援日２．０・夜１．０・基礎・２人・区４</t>
  </si>
  <si>
    <t>同援日２．０・夜１．０・基礎・区４</t>
  </si>
  <si>
    <t>同援日２．０・夜１．０・２人・区４</t>
  </si>
  <si>
    <t>同援日２．０・夜１．０・区４</t>
  </si>
  <si>
    <t>同援日２．０・夜１．０・基礎・２人・盲ろう・区３</t>
  </si>
  <si>
    <t>同援日２．０・夜１．０・基礎・盲ろう・区３</t>
  </si>
  <si>
    <t>同援日２．０・夜１．０・２人・盲ろう・区３</t>
  </si>
  <si>
    <t>同援日２．０・夜１．０・盲ろう・区３</t>
  </si>
  <si>
    <t>同援日２．０・夜１．０・基礎・２人・区３</t>
  </si>
  <si>
    <t>同援日２．０・夜１．０・基礎・区３</t>
  </si>
  <si>
    <t>同援日２．０・夜１．０・２人・区３</t>
  </si>
  <si>
    <t>同援日２．０・夜１．０・区３</t>
  </si>
  <si>
    <t>同援日２．０・夜１．０・基礎・２人・盲ろう</t>
  </si>
  <si>
    <t>同援日２．０・夜１．０・基礎・盲ろう</t>
  </si>
  <si>
    <t>同援日２．０・夜１．０・２人・盲ろう</t>
  </si>
  <si>
    <t>同援日２．０・夜１．０・盲ろう</t>
  </si>
  <si>
    <t>同援日２．０・夜１．０・基礎・２人</t>
  </si>
  <si>
    <t>同援日２．０・夜１．０・基礎</t>
  </si>
  <si>
    <t>同援日２．０・夜１．０・２人</t>
  </si>
  <si>
    <t>同援日２．０・夜１．０</t>
  </si>
  <si>
    <t>同援日２．０・夜０．５・基礎・２人・盲ろう・区４</t>
  </si>
  <si>
    <t>同援日２．０・夜０．５・基礎・盲ろう・区４</t>
  </si>
  <si>
    <t>同援日２．０・夜０．５・２人・盲ろう・区４</t>
  </si>
  <si>
    <t>同援日２．０・夜０．５・盲ろう・区４</t>
  </si>
  <si>
    <t>同援日２．０・夜０．５・基礎・２人・区４</t>
  </si>
  <si>
    <t>同援日２．０・夜０．５・基礎・区４</t>
  </si>
  <si>
    <t>同援日２．０・夜０．５・２人・区４</t>
  </si>
  <si>
    <t>同援日２．０・夜０．５・区４</t>
  </si>
  <si>
    <t>同援日２．０・夜０．５・基礎・２人・盲ろう・区３</t>
  </si>
  <si>
    <t>同援日２．０・夜０．５・基礎・盲ろう・区３</t>
  </si>
  <si>
    <t>同援日２．０・夜０．５・２人・盲ろう・区３</t>
  </si>
  <si>
    <t>同援日２．０・夜０．５・盲ろう・区３</t>
  </si>
  <si>
    <t>同援日２．０・夜０．５・基礎・２人・区３</t>
  </si>
  <si>
    <t>同援日２．０・夜０．５・基礎・区３</t>
  </si>
  <si>
    <t>同援日２．０・夜０．５・２人・区３</t>
  </si>
  <si>
    <t>同援日２．０・夜０．５・区３</t>
  </si>
  <si>
    <t>同援日２．０・夜０．５・基礎・２人・盲ろう</t>
  </si>
  <si>
    <t>同援日２．０・夜０．５・基礎・盲ろう</t>
  </si>
  <si>
    <t>同援日２．０・夜０．５・２人・盲ろう</t>
  </si>
  <si>
    <t>同援日２．０・夜０．５・盲ろう</t>
  </si>
  <si>
    <t>同援日２．０・夜０．５・基礎・２人</t>
  </si>
  <si>
    <t>同援日２．０・夜０．５・基礎</t>
  </si>
  <si>
    <t>同援日２．０・夜０．５・２人</t>
  </si>
  <si>
    <t>同援日２．０・夜０．５</t>
  </si>
  <si>
    <t>同援日１．５・夜１．５・基礎・２人・盲ろう・区４</t>
  </si>
  <si>
    <t>同援日１．５・夜１．５・基礎・盲ろう・区４</t>
  </si>
  <si>
    <t>同援日１．５・夜１．５・２人・盲ろう・区４</t>
  </si>
  <si>
    <t>同援日１．５・夜１．５・盲ろう・区４</t>
  </si>
  <si>
    <t>同援日１．５・夜１．５・基礎・２人・区４</t>
  </si>
  <si>
    <t>同援日１．５・夜１．５・基礎・区４</t>
  </si>
  <si>
    <t>同援日１．５・夜１．５・２人・区４</t>
  </si>
  <si>
    <t>同援日１．５・夜１．５・区４</t>
  </si>
  <si>
    <t>同援日１．５・夜１．５・基礎・２人・盲ろう・区３</t>
  </si>
  <si>
    <t>同援日１．５・夜１．５・基礎・盲ろう・区３</t>
  </si>
  <si>
    <t>同援日１．５・夜１．５・２人・盲ろう・区３</t>
  </si>
  <si>
    <t>同援日１．５・夜１．５・盲ろう・区３</t>
  </si>
  <si>
    <t>同援日１．５・夜１．５・基礎・２人・区３</t>
  </si>
  <si>
    <t>同援日１．５・夜１．５・基礎・区３</t>
  </si>
  <si>
    <t>同援日１．５・夜１．５・２人・区３</t>
  </si>
  <si>
    <t>同援日１．５・夜１．５・区３</t>
  </si>
  <si>
    <t>同援日１．５・夜１．５・基礎・２人・盲ろう</t>
  </si>
  <si>
    <t>同援日１．５・夜１．５・基礎・盲ろう</t>
  </si>
  <si>
    <t>同援日１．５・夜１．５・２人・盲ろう</t>
  </si>
  <si>
    <t>同援日１．５・夜１．５・盲ろう</t>
  </si>
  <si>
    <t>同援日１．５・夜１．５・基礎・２人</t>
  </si>
  <si>
    <t>同援日１．５・夜１．５・基礎</t>
  </si>
  <si>
    <t>同援日１．５・夜１．５・２人</t>
  </si>
  <si>
    <t>同援日１．５・夜１．５</t>
  </si>
  <si>
    <t>同援日１．５・夜１．０・基礎・２人・盲ろう・区４</t>
  </si>
  <si>
    <t>同援日１．５・夜１．０・基礎・盲ろう・区４</t>
  </si>
  <si>
    <t>同援日１．５・夜１．０・２人・盲ろう・区４</t>
  </si>
  <si>
    <t>同援日１．５・夜１．０・盲ろう・区４</t>
  </si>
  <si>
    <t>同援日１．５・夜１．０・基礎・２人・区４</t>
  </si>
  <si>
    <t>同援日１．５・夜１．０・基礎・区４</t>
  </si>
  <si>
    <t>同援日１．５・夜１．０・２人・区４</t>
  </si>
  <si>
    <t>同援日１．５・夜１．０・区４</t>
  </si>
  <si>
    <t>同援日１．５・夜１．０・基礎・２人・盲ろう・区３</t>
  </si>
  <si>
    <t>同援日１．５・夜１．０・基礎・盲ろう・区３</t>
  </si>
  <si>
    <t>同援日１．５・夜１．０・２人・盲ろう・区３</t>
  </si>
  <si>
    <t>同援日１．５・夜１．０・盲ろう・区３</t>
  </si>
  <si>
    <t>同援日１．５・夜１．０・基礎・２人・区３</t>
  </si>
  <si>
    <t>同援日１．５・夜１．０・基礎・区３</t>
  </si>
  <si>
    <t>同援日１．５・夜１．０・２人・区３</t>
  </si>
  <si>
    <t>同援日１．５・夜１．０・区３</t>
  </si>
  <si>
    <t>同援日１．５・夜１．０・基礎・２人・盲ろう</t>
  </si>
  <si>
    <t>同援日１．５・夜１．０・基礎・盲ろう</t>
  </si>
  <si>
    <t>同援日１．５・夜１．０・２人・盲ろう</t>
  </si>
  <si>
    <t>同援日１．５・夜１．０・盲ろう</t>
  </si>
  <si>
    <t>同援日１．５・夜１．０・基礎・２人</t>
  </si>
  <si>
    <t>同援日１．５・夜１．０・基礎</t>
  </si>
  <si>
    <t>同援日１．５・夜１．０・２人</t>
  </si>
  <si>
    <t>同援日１．５・夜１．０</t>
  </si>
  <si>
    <t>同援日１．５・夜０．５・基礎・２人・盲ろう・区４</t>
  </si>
  <si>
    <t>同援日１．５・夜０．５・基礎・盲ろう・区４</t>
  </si>
  <si>
    <t>同援日１．５・夜０．５・２人・盲ろう・区４</t>
  </si>
  <si>
    <t>同援日１．５・夜０．５・盲ろう・区４</t>
  </si>
  <si>
    <t>同援日１．５・夜０．５・基礎・２人・区４</t>
  </si>
  <si>
    <t>同援日１．５・夜０．５・基礎・区４</t>
  </si>
  <si>
    <t>同援日１．５・夜０．５・２人・区４</t>
  </si>
  <si>
    <t>同援日１．５・夜０．５・区４</t>
  </si>
  <si>
    <t>同援日１．５・夜０．５・基礎・２人・盲ろう・区３</t>
  </si>
  <si>
    <t>同援日１．５・夜０．５・基礎・盲ろう・区３</t>
  </si>
  <si>
    <t>同援日１．５・夜０．５・２人・盲ろう・区３</t>
  </si>
  <si>
    <t>同援日１．５・夜０．５・盲ろう・区３</t>
  </si>
  <si>
    <t>同援日１．５・夜０．５・基礎・２人・区３</t>
  </si>
  <si>
    <t>同援日１．５・夜０．５・基礎・区３</t>
  </si>
  <si>
    <t>同援日１．５・夜０．５・２人・区３</t>
  </si>
  <si>
    <t>同援日１．５・夜０．５・区３</t>
  </si>
  <si>
    <t>同援日１．５・夜０．５・基礎・２人・盲ろう</t>
  </si>
  <si>
    <t>同援日１．５・夜０．５・基礎・盲ろう</t>
  </si>
  <si>
    <t>同援日１．５・夜０．５・２人・盲ろう</t>
  </si>
  <si>
    <t>同援日１．５・夜０．５・盲ろう</t>
  </si>
  <si>
    <t>同援日１．５・夜０．５・基礎・２人</t>
  </si>
  <si>
    <t>同援日１．５・夜０．５・基礎</t>
  </si>
  <si>
    <t>同援日１．５・夜０．５・２人</t>
  </si>
  <si>
    <t>同援日１．５・夜０．５</t>
  </si>
  <si>
    <t>同援日１．０・夜２．０・基礎・２人・盲ろう・区４</t>
  </si>
  <si>
    <t>同援日１．０・夜２．０・基礎・盲ろう・区４</t>
  </si>
  <si>
    <t>同援日１．０・夜２．０・２人・盲ろう・区４</t>
  </si>
  <si>
    <t>同援日１．０・夜２．０・盲ろう・区４</t>
  </si>
  <si>
    <t>同援日１．０・夜２．０・基礎・２人・区４</t>
  </si>
  <si>
    <t>同援日１．０・夜２．０・基礎・区４</t>
  </si>
  <si>
    <t>同援日１．０・夜２．０・２人・区４</t>
  </si>
  <si>
    <t>同援日１．０・夜２．０・区４</t>
  </si>
  <si>
    <t>同援日１．０・夜２．０・基礎・２人・盲ろう・区３</t>
  </si>
  <si>
    <t>同援日１．０・夜２．０・基礎・盲ろう・区３</t>
  </si>
  <si>
    <t>同援日１．０・夜２．０・２人・盲ろう・区３</t>
  </si>
  <si>
    <t>同援日１．０・夜２．０・盲ろう・区３</t>
  </si>
  <si>
    <t>同援日１．０・夜２．０・基礎・２人・区３</t>
  </si>
  <si>
    <t>同援日１．０・夜２．０・基礎・区３</t>
  </si>
  <si>
    <t>同援日１．０・夜２．０・２人・区３</t>
  </si>
  <si>
    <t>同援日１．０・夜２．０・区３</t>
  </si>
  <si>
    <t>同援日１．０・夜２．０・基礎・２人・盲ろう</t>
  </si>
  <si>
    <t>同援日１．０・夜２．０・基礎・盲ろう</t>
  </si>
  <si>
    <t>同援日１．０・夜２．０・２人・盲ろう</t>
  </si>
  <si>
    <t>同援日１．０・夜２．０・盲ろう</t>
  </si>
  <si>
    <t>同援日１．０・夜２．０・基礎・２人</t>
  </si>
  <si>
    <t>同援日１．０・夜２．０・基礎</t>
  </si>
  <si>
    <t>同援日１．０・夜２．０・２人</t>
  </si>
  <si>
    <t>同援日１．０・夜２．０</t>
  </si>
  <si>
    <t>同援日１．０・夜１．５・基礎・２人・盲ろう・区４</t>
  </si>
  <si>
    <t>同援日１．０・夜１．５・基礎・盲ろう・区４</t>
  </si>
  <si>
    <t>同援日１．０・夜１．５・２人・盲ろう・区４</t>
  </si>
  <si>
    <t>同援日１．０・夜１．５・盲ろう・区４</t>
  </si>
  <si>
    <t>同援日１．０・夜１．５・基礎・２人・区４</t>
  </si>
  <si>
    <t>同援日１．０・夜１．５・基礎・区４</t>
  </si>
  <si>
    <t>同援日１．０・夜１．５・２人・区４</t>
  </si>
  <si>
    <t>同援日１．０・夜１．５・区４</t>
  </si>
  <si>
    <t>同援日１．０・夜１．５・基礎・２人・盲ろう・区３</t>
  </si>
  <si>
    <t>同援日１．０・夜１．５・基礎・盲ろう・区３</t>
  </si>
  <si>
    <t>同援日１．０・夜１．５・２人・盲ろう・区３</t>
  </si>
  <si>
    <t>同援日１．０・夜１．５・盲ろう・区３</t>
  </si>
  <si>
    <t>同援日１．０・夜１．５・基礎・２人・区３</t>
  </si>
  <si>
    <t>同援日１．０・夜１．５・基礎・区３</t>
  </si>
  <si>
    <t>同援日１．０・夜１．５・２人・区３</t>
  </si>
  <si>
    <t>同援日１．０・夜１．５・区３</t>
  </si>
  <si>
    <t>同援日１．０・夜１．５・基礎・２人・盲ろう</t>
  </si>
  <si>
    <t>同援日１．０・夜１．５・基礎・盲ろう</t>
  </si>
  <si>
    <t>同援日１．０・夜１．５・２人・盲ろう</t>
  </si>
  <si>
    <t>同援日１．０・夜１．５・盲ろう</t>
  </si>
  <si>
    <t>同援日１．０・夜１．５・基礎・２人</t>
  </si>
  <si>
    <t>同援日１．０・夜１．５・基礎</t>
  </si>
  <si>
    <t>同援日１．０・夜１．５・２人</t>
  </si>
  <si>
    <t>同援日１．０・夜１．５</t>
  </si>
  <si>
    <t>同援日１．０・夜１．０・基礎・２人・盲ろう・区４</t>
  </si>
  <si>
    <t>同援日１．０・夜１．０・基礎・盲ろう・区４</t>
  </si>
  <si>
    <t>同援日１．０・夜１．０・２人・盲ろう・区４</t>
  </si>
  <si>
    <t>同援日１．０・夜１．０・盲ろう・区４</t>
  </si>
  <si>
    <t>同援日１．０・夜１．０・基礎・２人・区４</t>
  </si>
  <si>
    <t>同援日１．０・夜１．０・基礎・区４</t>
  </si>
  <si>
    <t>同援日１．０・夜１．０・２人・区４</t>
  </si>
  <si>
    <t>同援日１．０・夜１．０・区４</t>
  </si>
  <si>
    <t>同援日１．０・夜１．０・基礎・２人・盲ろう・区３</t>
  </si>
  <si>
    <t>同援日１．０・夜１．０・基礎・盲ろう・区３</t>
  </si>
  <si>
    <t>同援日１．０・夜１．０・２人・盲ろう・区３</t>
  </si>
  <si>
    <t>同援日１．０・夜１．０・盲ろう・区３</t>
  </si>
  <si>
    <t>同援日１．０・夜１．０・基礎・２人・区３</t>
  </si>
  <si>
    <t>同援日１．０・夜１．０・基礎・区３</t>
  </si>
  <si>
    <t>同援日１．０・夜１．０・２人・区３</t>
  </si>
  <si>
    <t>同援日１．０・夜１．０・区３</t>
  </si>
  <si>
    <t>同援日１．０・夜１．０・基礎・２人・盲ろう</t>
  </si>
  <si>
    <t>同援日１．０・夜１．０・基礎・盲ろう</t>
  </si>
  <si>
    <t>同援日１．０・夜１．０・２人・盲ろう</t>
  </si>
  <si>
    <t>同援日１．０・夜１．０・盲ろう</t>
  </si>
  <si>
    <t>同援日１．０・夜１．０・基礎・２人</t>
  </si>
  <si>
    <t>同援日１．０・夜１．０・基礎</t>
  </si>
  <si>
    <t>同援日１．０・夜１．０・２人</t>
  </si>
  <si>
    <t>同援日１．０・夜１．０</t>
  </si>
  <si>
    <t>同援日１．０・夜０．５・基礎・２人・盲ろう・区４</t>
  </si>
  <si>
    <t>同援日１．０・夜０．５・基礎・盲ろう・区４</t>
  </si>
  <si>
    <t>同援日１．０・夜０．５・２人・盲ろう・区４</t>
  </si>
  <si>
    <t>同援日１．０・夜０．５・盲ろう・区４</t>
  </si>
  <si>
    <t>同援日１．０・夜０．５・基礎・２人・区４</t>
  </si>
  <si>
    <t>同援日１．０・夜０．５・基礎・区４</t>
  </si>
  <si>
    <t>同援日１．０・夜０．５・２人・区４</t>
  </si>
  <si>
    <t>同援日１．０・夜０．５・区４</t>
  </si>
  <si>
    <t>同援日１．０・夜０．５・基礎・２人・盲ろう・区３</t>
  </si>
  <si>
    <t>同援日１．０・夜０．５・基礎・盲ろう・区３</t>
  </si>
  <si>
    <t>同援日１．０・夜０．５・２人・盲ろう・区３</t>
  </si>
  <si>
    <t>同援日１．０・夜０．５・盲ろう・区３</t>
  </si>
  <si>
    <t>同援日１．０・夜０．５・基礎・２人・区３</t>
  </si>
  <si>
    <t>同援日１．０・夜０．５・基礎・区３</t>
  </si>
  <si>
    <t>同援日１．０・夜０．５・２人・区３</t>
  </si>
  <si>
    <t>同援日１．０・夜０．５・区３</t>
  </si>
  <si>
    <t>同援日１．０・夜０．５・基礎・２人・盲ろう</t>
  </si>
  <si>
    <t>同援日１．０・夜０．５・基礎・盲ろう</t>
  </si>
  <si>
    <t>同援日１．０・夜０．５・２人・盲ろう</t>
  </si>
  <si>
    <t>同援日１．０・夜０．５・盲ろう</t>
  </si>
  <si>
    <t>同援日１．０・夜０．５・基礎・２人</t>
  </si>
  <si>
    <t>同援日１．０・夜０．５・基礎</t>
  </si>
  <si>
    <t>同援日１．０・夜０．５・２人</t>
  </si>
  <si>
    <t>同援日１．０・夜０．５</t>
  </si>
  <si>
    <t>同援日０．５・夜２．５・基礎・２人・盲ろう・区４</t>
  </si>
  <si>
    <t>同援日０．５・夜２．５・基礎・盲ろう・区４</t>
  </si>
  <si>
    <t>同援日０．５・夜２．５・２人・盲ろう・区４</t>
  </si>
  <si>
    <t>同援日０．５・夜２．５・盲ろう・区４</t>
  </si>
  <si>
    <t>同援日０．５・夜２．５・基礎・２人・区４</t>
  </si>
  <si>
    <t>同援日０．５・夜２．５・基礎・区４</t>
  </si>
  <si>
    <t>同援日０．５・夜２．５・２人・区４</t>
  </si>
  <si>
    <t>同援日０．５・夜２．５・区４</t>
  </si>
  <si>
    <t>同援日０．５・夜２．５・基礎・２人・盲ろう・区３</t>
  </si>
  <si>
    <t>同援日０．５・夜２．５・基礎・盲ろう・区３</t>
  </si>
  <si>
    <t>同援日０．５・夜２．５・２人・盲ろう・区３</t>
  </si>
  <si>
    <t>同援日０．５・夜２．５・盲ろう・区３</t>
  </si>
  <si>
    <t>同援日０．５・夜２．５・基礎・２人・区３</t>
  </si>
  <si>
    <t>同援日０．５・夜２．５・基礎・区３</t>
  </si>
  <si>
    <t>同援日０．５・夜２．５・２人・区３</t>
  </si>
  <si>
    <t>同援日０．５・夜２．５・区３</t>
  </si>
  <si>
    <t>同援日０．５・夜２．５・基礎・２人・盲ろう</t>
  </si>
  <si>
    <t>同援日０．５・夜２．５・基礎・盲ろう</t>
  </si>
  <si>
    <t>同援日０．５・夜２．５・２人・盲ろう</t>
  </si>
  <si>
    <t>同援日０．５・夜２．５・盲ろう</t>
  </si>
  <si>
    <t>同援日０．５・夜２．５・基礎・２人</t>
  </si>
  <si>
    <t>同援日０．５・夜２．５・基礎</t>
  </si>
  <si>
    <t>同援日０．５・夜２．５・２人</t>
  </si>
  <si>
    <t>同援日０．５・夜２．５</t>
  </si>
  <si>
    <t>同援日０．５・夜２．０・基礎・２人・盲ろう・区４</t>
  </si>
  <si>
    <t>同援日０．５・夜２．０・基礎・盲ろう・区４</t>
  </si>
  <si>
    <t>同援日０．５・夜２．０・２人・盲ろう・区４</t>
  </si>
  <si>
    <t>同援日０．５・夜２．０・盲ろう・区４</t>
  </si>
  <si>
    <t>同援日０．５・夜２．０・基礎・２人・区４</t>
  </si>
  <si>
    <t>同援日０．５・夜２．０・基礎・区４</t>
  </si>
  <si>
    <t>同援日０．５・夜２．０・２人・区４</t>
  </si>
  <si>
    <t>同援日０．５・夜２．０・区４</t>
  </si>
  <si>
    <t>同援日０．５・夜２．０・基礎・２人・盲ろう・区３</t>
  </si>
  <si>
    <t>同援日０．５・夜２．０・基礎・盲ろう・区３</t>
  </si>
  <si>
    <t>同援日０．５・夜２．０・２人・盲ろう・区３</t>
  </si>
  <si>
    <t>同援日０．５・夜２．０・盲ろう・区３</t>
  </si>
  <si>
    <t>同援日０．５・夜２．０・基礎・２人・区３</t>
  </si>
  <si>
    <t>同援日０．５・夜２．０・基礎・区３</t>
  </si>
  <si>
    <t>同援日０．５・夜２．０・２人・区３</t>
  </si>
  <si>
    <t>同援日０．５・夜２．０・区３</t>
  </si>
  <si>
    <t>同援日０．５・夜２．０・基礎・２人・盲ろう</t>
  </si>
  <si>
    <t>同援日０．５・夜２．０・基礎・盲ろう</t>
  </si>
  <si>
    <t>同援日０．５・夜２．０・２人・盲ろう</t>
  </si>
  <si>
    <t>同援日０．５・夜２．０・盲ろう</t>
  </si>
  <si>
    <t>同援日０．５・夜２．０・基礎・２人</t>
  </si>
  <si>
    <t>同援日０．５・夜２．０・基礎</t>
  </si>
  <si>
    <t>同援日０．５・夜２．０・２人</t>
  </si>
  <si>
    <t>同援日０．５・夜２．０</t>
  </si>
  <si>
    <t>同援日０．５・夜１．５・基礎・２人・盲ろう・区４</t>
  </si>
  <si>
    <t>同援日０．５・夜１．５・基礎・盲ろう・区４</t>
  </si>
  <si>
    <t>同援日０．５・夜１．５・２人・盲ろう・区４</t>
  </si>
  <si>
    <t>同援日０．５・夜１．５・盲ろう・区４</t>
  </si>
  <si>
    <t>同援日０．５・夜１．５・基礎・２人・区４</t>
  </si>
  <si>
    <t>同援日０．５・夜１．５・基礎・区４</t>
  </si>
  <si>
    <t>同援日０．５・夜１．５・２人・区４</t>
  </si>
  <si>
    <t>同援日０．５・夜１．５・区４</t>
  </si>
  <si>
    <t>同援日０．５・夜１．５・基礎・２人・盲ろう・区３</t>
  </si>
  <si>
    <t>同援日０．５・夜１．５・基礎・盲ろう・区３</t>
  </si>
  <si>
    <t>同援日０．５・夜１．５・２人・盲ろう・区３</t>
  </si>
  <si>
    <t>同援日０．５・夜１．５・盲ろう・区３</t>
  </si>
  <si>
    <t>同援日０．５・夜１．５・基礎・２人・区３</t>
  </si>
  <si>
    <t>同援日０．５・夜１．５・基礎・区３</t>
  </si>
  <si>
    <t>同援日０．５・夜１．５・２人・区３</t>
  </si>
  <si>
    <t>同援日０．５・夜１．５・区３</t>
  </si>
  <si>
    <t>同援日０．５・夜１．５・基礎・２人・盲ろう</t>
  </si>
  <si>
    <t>同援日０．５・夜１．５・基礎・盲ろう</t>
  </si>
  <si>
    <t>同援日０．５・夜１．５・２人・盲ろう</t>
  </si>
  <si>
    <t>同援日０．５・夜１．５・盲ろう</t>
  </si>
  <si>
    <t>同援日０．５・夜１．５・基礎・２人</t>
  </si>
  <si>
    <t>同援日０．５・夜１．５・基礎</t>
  </si>
  <si>
    <t>同援日０．５・夜１．５・２人</t>
  </si>
  <si>
    <t>同援日０．５・夜１．５</t>
  </si>
  <si>
    <t>同援日０．５・夜１．０・基礎・２人・盲ろう・区４</t>
  </si>
  <si>
    <t>同援日０．５・夜１．０・基礎・盲ろう・区４</t>
  </si>
  <si>
    <t>同援日０．５・夜１．０・２人・盲ろう・区４</t>
  </si>
  <si>
    <t>同援日０．５・夜１．０・盲ろう・区４</t>
  </si>
  <si>
    <t>同援日０．５・夜１．０・基礎・２人・区４</t>
  </si>
  <si>
    <t>同援日０．５・夜１．０・基礎・区４</t>
  </si>
  <si>
    <t>同援日０．５・夜１．０・２人・区４</t>
  </si>
  <si>
    <t>同援日０．５・夜１．０・区４</t>
  </si>
  <si>
    <t>同援日０．５・夜１．０・基礎・２人・盲ろう・区３</t>
  </si>
  <si>
    <t>同援日０．５・夜１．０・基礎・盲ろう・区３</t>
  </si>
  <si>
    <t>同援日０．５・夜１．０・２人・盲ろう・区３</t>
  </si>
  <si>
    <t>同援日０．５・夜１．０・盲ろう・区３</t>
  </si>
  <si>
    <t>同援日０．５・夜１．０・基礎・２人・区３</t>
  </si>
  <si>
    <t>同援日０．５・夜１．０・基礎・区３</t>
  </si>
  <si>
    <t>同援日０．５・夜１．０・２人・区３</t>
  </si>
  <si>
    <t>同援日０．５・夜１．０・区３</t>
  </si>
  <si>
    <t>同援日０．５・夜１．０・基礎・２人・盲ろう</t>
  </si>
  <si>
    <t>同援日０．５・夜１．０・基礎・盲ろう</t>
  </si>
  <si>
    <t>同援日０．５・夜１．０・２人・盲ろう</t>
  </si>
  <si>
    <t>同援日０．５・夜１．０・盲ろう</t>
  </si>
  <si>
    <t>同援日０．５・夜１．０・基礎・２人</t>
  </si>
  <si>
    <t>同援日０．５・夜１．０・基礎</t>
  </si>
  <si>
    <t>同援日０．５・夜１．０・２人</t>
  </si>
  <si>
    <t>同援日０．５・夜１．０</t>
  </si>
  <si>
    <t>同援日０．５・夜０．５・基礎・２人・盲ろう・区４</t>
  </si>
  <si>
    <t>同援日０．５・夜０．５・基礎・盲ろう・区４</t>
  </si>
  <si>
    <t>同援日０．５・夜０．５・２人・盲ろう・区４</t>
  </si>
  <si>
    <t>同援日０．５・夜０．５・盲ろう・区４</t>
  </si>
  <si>
    <t>同援日０．５・夜０．５・基礎・２人・区４</t>
  </si>
  <si>
    <t>同援日０．５・夜０．５・基礎・区４</t>
  </si>
  <si>
    <t>同援日０．５・夜０．５・２人・区４</t>
  </si>
  <si>
    <t>同援日０．５・夜０．５・区４</t>
  </si>
  <si>
    <t>同援日０．５・夜０．５・基礎・２人・盲ろう・区３</t>
  </si>
  <si>
    <t>同援日０．５・夜０．５・基礎・盲ろう・区３</t>
  </si>
  <si>
    <t>同援日０．５・夜０．５・２人・盲ろう・区３</t>
  </si>
  <si>
    <t>同援日０．５・夜０．５・盲ろう・区３</t>
  </si>
  <si>
    <t>同援日０．５・夜０．５・基礎・２人・区３</t>
  </si>
  <si>
    <t>同援日０．５・夜０．５・基礎・区３</t>
  </si>
  <si>
    <t>同援日０．５・夜０．５・２人・区３</t>
  </si>
  <si>
    <t>同援日０．５・夜０．５・区３</t>
  </si>
  <si>
    <t>同援日０．５・夜０．５・基礎・２人・盲ろう</t>
  </si>
  <si>
    <t>同援日０．５・夜０．５・基礎・盲ろう</t>
  </si>
  <si>
    <t>同援日０．５・夜０．５・２人・盲ろう</t>
  </si>
  <si>
    <t>同援日０．５・夜０．５・盲ろう</t>
  </si>
  <si>
    <t>同援日０．５・夜０．５・基礎・２人</t>
  </si>
  <si>
    <t>同援日０．５・夜０．５・基礎</t>
  </si>
  <si>
    <t>同援日０．５・夜０．５・２人</t>
  </si>
  <si>
    <t>同援日０．５・夜０．５</t>
  </si>
  <si>
    <t>同援夜２．５・深０．５・基礎・２人・盲ろう・区４</t>
  </si>
  <si>
    <t>同援夜２．５・深０．５・基礎・盲ろう・区４</t>
  </si>
  <si>
    <t>同援夜２．５・深０．５・２人・盲ろう・区４</t>
  </si>
  <si>
    <t>同援夜２．５・深０．５・盲ろう・区４</t>
  </si>
  <si>
    <t>同援夜２．５・深０．５・基礎・２人・区４</t>
  </si>
  <si>
    <t>同援夜２．５・深０．５・基礎・区４</t>
  </si>
  <si>
    <t>同援夜２．５・深０．５・２人・区４</t>
  </si>
  <si>
    <t>同援夜２．５・深０．５・区４</t>
  </si>
  <si>
    <t>同援夜２．５・深０．５・基礎・２人・盲ろう・区３</t>
  </si>
  <si>
    <t>同援夜２．５・深０．５・基礎・盲ろう・区３</t>
  </si>
  <si>
    <t>同援夜２．５・深０．５・２人・盲ろう・区３</t>
  </si>
  <si>
    <t>同援夜２．５・深０．５・盲ろう・区３</t>
  </si>
  <si>
    <t>同援夜２．５・深０．５・基礎・２人・区３</t>
  </si>
  <si>
    <t>同援夜２．５・深０．５・基礎・区３</t>
  </si>
  <si>
    <t>同援夜２．５・深０．５・２人・区３</t>
  </si>
  <si>
    <t>同援夜２．５・深０．５・区３</t>
  </si>
  <si>
    <t>同援夜２．５・深０．５・基礎・２人・盲ろう</t>
  </si>
  <si>
    <t>同援夜２．５・深０．５・基礎・盲ろう</t>
  </si>
  <si>
    <t>同援夜２．５・深０．５・２人・盲ろう</t>
  </si>
  <si>
    <t>同援夜２．５・深０．５・盲ろう</t>
  </si>
  <si>
    <t>同援夜２．５・深０．５・基礎・２人</t>
  </si>
  <si>
    <t>同援夜２．５・深０．５・基礎</t>
  </si>
  <si>
    <t>同援夜２．５・深０．５・２人</t>
  </si>
  <si>
    <t>同援夜２．５・深０．５</t>
  </si>
  <si>
    <t>同援夜２．０・深１．０・基礎・２人・盲ろう・区４</t>
  </si>
  <si>
    <t>同援夜２．０・深１．０・基礎・盲ろう・区４</t>
  </si>
  <si>
    <t>同援夜２．０・深１．０・２人・盲ろう・区４</t>
  </si>
  <si>
    <t>同援夜２．０・深１．０・盲ろう・区４</t>
  </si>
  <si>
    <t>同援夜２．０・深１．０・基礎・２人・区４</t>
  </si>
  <si>
    <t>同援夜２．０・深１．０・基礎・区４</t>
  </si>
  <si>
    <t>同援夜２．０・深１．０・２人・区４</t>
  </si>
  <si>
    <t>同援夜２．０・深１．０・区４</t>
  </si>
  <si>
    <t>同援夜２．０・深１．０・基礎・２人・盲ろう・区３</t>
  </si>
  <si>
    <t>同援夜２．０・深１．０・基礎・盲ろう・区３</t>
  </si>
  <si>
    <t>同援夜２．０・深１．０・２人・盲ろう・区３</t>
  </si>
  <si>
    <t>同援夜２．０・深１．０・盲ろう・区３</t>
  </si>
  <si>
    <t>同援夜２．０・深１．０・基礎・２人・区３</t>
  </si>
  <si>
    <t>同援夜２．０・深１．０・基礎・区３</t>
  </si>
  <si>
    <t>同援夜２．０・深１．０・２人・区３</t>
  </si>
  <si>
    <t>同援夜２．０・深１．０・区３</t>
  </si>
  <si>
    <t>同援夜２．０・深１．０・基礎・２人・盲ろう</t>
  </si>
  <si>
    <t>同援夜２．０・深１．０・基礎・盲ろう</t>
  </si>
  <si>
    <t>同援夜２．０・深１．０・２人・盲ろう</t>
  </si>
  <si>
    <t>同援夜２．０・深１．０・盲ろう</t>
  </si>
  <si>
    <t>同援夜２．０・深１．０・基礎・２人</t>
  </si>
  <si>
    <t>同援夜２．０・深１．０・基礎</t>
  </si>
  <si>
    <t>同援夜２．０・深１．０・２人</t>
  </si>
  <si>
    <t>同援夜２．０・深１．０</t>
  </si>
  <si>
    <t>同援夜２．０・深０．５・基礎・２人・盲ろう・区４</t>
  </si>
  <si>
    <t>同援夜２．０・深０．５・基礎・盲ろう・区４</t>
  </si>
  <si>
    <t>同援夜２．０・深０．５・２人・盲ろう・区４</t>
  </si>
  <si>
    <t>同援夜２．０・深０．５・盲ろう・区４</t>
  </si>
  <si>
    <t>同援夜２．０・深０．５・基礎・２人・区４</t>
  </si>
  <si>
    <t>同援夜２．０・深０．５・基礎・区４</t>
  </si>
  <si>
    <t>同援夜２．０・深０．５・２人・区４</t>
  </si>
  <si>
    <t>同援夜２．０・深０．５・区４</t>
  </si>
  <si>
    <t>同援夜２．０・深０．５・基礎・２人・盲ろう・区３</t>
  </si>
  <si>
    <t>同援夜２．０・深０．５・基礎・盲ろう・区３</t>
  </si>
  <si>
    <t>同援夜２．０・深０．５・２人・盲ろう・区３</t>
  </si>
  <si>
    <t>同援夜２．０・深０．５・盲ろう・区３</t>
  </si>
  <si>
    <t>同援夜２．０・深０．５・基礎・２人・区３</t>
  </si>
  <si>
    <t>同援夜２．０・深０．５・基礎・区３</t>
  </si>
  <si>
    <t>同援夜２．０・深０．５・２人・区３</t>
  </si>
  <si>
    <t>同援夜２．０・深０．５・区３</t>
  </si>
  <si>
    <t>同援夜２．０・深０．５・基礎・２人・盲ろう</t>
  </si>
  <si>
    <t>同援夜２．０・深０．５・基礎・盲ろう</t>
  </si>
  <si>
    <t>同援夜２．０・深０．５・２人・盲ろう</t>
  </si>
  <si>
    <t>同援夜２．０・深０．５・盲ろう</t>
  </si>
  <si>
    <t>同援夜２．０・深０．５・基礎・２人</t>
  </si>
  <si>
    <t>同援夜２．０・深０．５・基礎</t>
  </si>
  <si>
    <t>同援夜２．０・深０．５・２人</t>
  </si>
  <si>
    <t>同援夜２．０・深０．５</t>
  </si>
  <si>
    <t>同援夜１．５・深１．５・基礎・２人・盲ろう・区４</t>
  </si>
  <si>
    <t>同援夜１．５・深１．５・基礎・盲ろう・区４</t>
  </si>
  <si>
    <t>同援夜１．５・深１．５・２人・盲ろう・区４</t>
  </si>
  <si>
    <t>同援夜１．５・深１．５・盲ろう・区４</t>
  </si>
  <si>
    <t>同援夜１．５・深１．５・基礎・２人・区４</t>
  </si>
  <si>
    <t>同援夜１．５・深１．５・基礎・区４</t>
  </si>
  <si>
    <t>同援夜１．５・深１．５・２人・区４</t>
  </si>
  <si>
    <t>同援夜１．５・深１．５・区４</t>
  </si>
  <si>
    <t>同援夜１．５・深１．５・基礎・２人・盲ろう・区３</t>
  </si>
  <si>
    <t>同援夜１．５・深１．５・基礎・盲ろう・区３</t>
  </si>
  <si>
    <t>同援夜１．５・深１．５・２人・盲ろう・区３</t>
  </si>
  <si>
    <t>同援夜１．５・深１．５・盲ろう・区３</t>
  </si>
  <si>
    <t>同援夜１．５・深１．５・基礎・２人・区３</t>
  </si>
  <si>
    <t>同援夜１．５・深１．５・基礎・区３</t>
  </si>
  <si>
    <t>同援夜１．５・深１．５・２人・区３</t>
  </si>
  <si>
    <t>同援夜１．５・深１．５・区３</t>
  </si>
  <si>
    <t>同援夜１．５・深１．５・基礎・２人・盲ろう</t>
  </si>
  <si>
    <t>同援夜１．５・深１．５・基礎・盲ろう</t>
  </si>
  <si>
    <t>同援夜１．５・深１．５・２人・盲ろう</t>
  </si>
  <si>
    <t>同援夜１．５・深１．５・盲ろう</t>
  </si>
  <si>
    <t>同援夜１．５・深１．５・基礎・２人</t>
  </si>
  <si>
    <t>同援夜１．５・深１．５・基礎</t>
  </si>
  <si>
    <t>同援夜１．５・深１．５・２人</t>
  </si>
  <si>
    <t>同援夜１．５・深１．５</t>
  </si>
  <si>
    <t>同援夜１．５・深１．０・基礎・２人・盲ろう・区４</t>
  </si>
  <si>
    <t>同援夜１．５・深１．０・基礎・盲ろう・区４</t>
  </si>
  <si>
    <t>同援夜１．５・深１．０・２人・盲ろう・区４</t>
  </si>
  <si>
    <t>同援夜１．５・深１．０・盲ろう・区４</t>
  </si>
  <si>
    <t>同援夜１．５・深１．０・基礎・２人・区４</t>
  </si>
  <si>
    <t>同援夜１．５・深１．０・基礎・区４</t>
  </si>
  <si>
    <t>同援夜１．５・深１．０・２人・区４</t>
  </si>
  <si>
    <t>同援夜１．５・深１．０・区４</t>
  </si>
  <si>
    <t>同援夜１．５・深１．０・基礎・２人・盲ろう・区３</t>
  </si>
  <si>
    <t>同援夜１．５・深１．０・基礎・盲ろう・区３</t>
  </si>
  <si>
    <t>同援夜１．５・深１．０・２人・盲ろう・区３</t>
  </si>
  <si>
    <t>同援夜１．５・深１．０・盲ろう・区３</t>
  </si>
  <si>
    <t>同援夜１．５・深１．０・基礎・２人・区３</t>
  </si>
  <si>
    <t>同援夜１．５・深１．０・基礎・区３</t>
  </si>
  <si>
    <t>同援夜１．５・深１．０・２人・区３</t>
  </si>
  <si>
    <t>同援夜１．５・深１．０・区３</t>
  </si>
  <si>
    <t>同援夜１．５・深１．０・基礎・２人・盲ろう</t>
  </si>
  <si>
    <t>同援夜１．５・深１．０・基礎・盲ろう</t>
  </si>
  <si>
    <t>同援夜１．５・深１．０・２人・盲ろう</t>
  </si>
  <si>
    <t>同援夜１．５・深１．０・盲ろう</t>
  </si>
  <si>
    <t>同援夜１．５・深１．０・基礎・２人</t>
  </si>
  <si>
    <t>同援夜１．５・深１．０・基礎</t>
  </si>
  <si>
    <t>同援夜１．５・深１．０・２人</t>
  </si>
  <si>
    <t>同援夜１．５・深１．０</t>
  </si>
  <si>
    <t>同援夜１．５・深０．５・基礎・２人・盲ろう・区４</t>
  </si>
  <si>
    <t>同援夜１．５・深０．５・基礎・盲ろう・区４</t>
  </si>
  <si>
    <t>同援夜１．５・深０．５・２人・盲ろう・区４</t>
  </si>
  <si>
    <t>同援夜１．５・深０．５・盲ろう・区４</t>
  </si>
  <si>
    <t>同援夜１．５・深０．５・基礎・２人・区４</t>
  </si>
  <si>
    <t>同援夜１．５・深０．５・基礎・区４</t>
  </si>
  <si>
    <t>同援夜１．５・深０．５・２人・区４</t>
  </si>
  <si>
    <t>同援夜１．５・深０．５・区４</t>
  </si>
  <si>
    <t>同援夜１．５・深０．５・基礎・２人・盲ろう・区３</t>
  </si>
  <si>
    <t>同援夜１．５・深０．５・基礎・盲ろう・区３</t>
  </si>
  <si>
    <t>同援夜１．５・深０．５・２人・盲ろう・区３</t>
  </si>
  <si>
    <t>同援夜１．５・深０．５・盲ろう・区３</t>
  </si>
  <si>
    <t>同援夜１．５・深０．５・基礎・２人・区３</t>
  </si>
  <si>
    <t>同援夜１．５・深０．５・基礎・区３</t>
  </si>
  <si>
    <t>同援夜１．５・深０．５・２人・区３</t>
  </si>
  <si>
    <t>同援夜１．５・深０．５・区３</t>
  </si>
  <si>
    <t>同援夜１．５・深０．５・基礎・２人・盲ろう</t>
  </si>
  <si>
    <t>同援夜１．５・深０．５・基礎・盲ろう</t>
  </si>
  <si>
    <t>同援夜１．５・深０．５・２人・盲ろう</t>
  </si>
  <si>
    <t>同援夜１．５・深０．５・盲ろう</t>
  </si>
  <si>
    <t>同援夜１．５・深０．５・基礎・２人</t>
  </si>
  <si>
    <t>同援夜１．５・深０．５・基礎</t>
  </si>
  <si>
    <t>同援夜１．５・深０．５・２人</t>
  </si>
  <si>
    <t>同援夜１．５・深０．５</t>
  </si>
  <si>
    <t>同援夜１．０・深２．０・基礎・２人・盲ろう・区４</t>
  </si>
  <si>
    <t>同援夜１．０・深２．０・基礎・盲ろう・区４</t>
  </si>
  <si>
    <t>同援夜１．０・深２．０・２人・盲ろう・区４</t>
  </si>
  <si>
    <t>同援夜１．０・深２．０・盲ろう・区４</t>
  </si>
  <si>
    <t>同援夜１．０・深２．０・基礎・２人・区４</t>
  </si>
  <si>
    <t>同援夜１．０・深２．０・基礎・区４</t>
  </si>
  <si>
    <t>同援夜１．０・深２．０・２人・区４</t>
  </si>
  <si>
    <t>同援夜１．０・深２．０・区４</t>
  </si>
  <si>
    <t>同援夜１．０・深２．０・基礎・２人・盲ろう・区３</t>
  </si>
  <si>
    <t>同援夜１．０・深２．０・基礎・盲ろう・区３</t>
  </si>
  <si>
    <t>同援夜１．０・深２．０・２人・盲ろう・区３</t>
  </si>
  <si>
    <t>同援夜１．０・深２．０・盲ろう・区３</t>
  </si>
  <si>
    <t>同援夜１．０・深２．０・基礎・２人・区３</t>
  </si>
  <si>
    <t>同援夜１．０・深２．０・基礎・区３</t>
  </si>
  <si>
    <t>同援夜１．０・深２．０・２人・区３</t>
  </si>
  <si>
    <t>同援夜１．０・深２．０・区３</t>
  </si>
  <si>
    <t>同援夜１．０・深２．０・基礎・２人・盲ろう</t>
  </si>
  <si>
    <t>同援夜１．０・深２．０・基礎・盲ろう</t>
  </si>
  <si>
    <t>同援夜１．０・深２．０・２人・盲ろう</t>
  </si>
  <si>
    <t>同援夜１．０・深２．０・盲ろう</t>
  </si>
  <si>
    <t>同援夜１．０・深２．０・基礎・２人</t>
  </si>
  <si>
    <t>同援夜１．０・深２．０・基礎</t>
  </si>
  <si>
    <t>同援夜１．０・深２．０・２人</t>
  </si>
  <si>
    <t>同援夜１．０・深２．０</t>
  </si>
  <si>
    <t>同援夜１．０・深１．５・基礎・２人・盲ろう・区４</t>
  </si>
  <si>
    <t>同援夜１．０・深１．５・基礎・盲ろう・区４</t>
  </si>
  <si>
    <t>同援夜１．０・深１．５・２人・盲ろう・区４</t>
  </si>
  <si>
    <t>同援夜１．０・深１．５・盲ろう・区４</t>
  </si>
  <si>
    <t>同援夜１．０・深１．５・基礎・２人・区４</t>
  </si>
  <si>
    <t>同援夜１．０・深１．５・基礎・区４</t>
  </si>
  <si>
    <t>同援夜１．０・深１．５・２人・区４</t>
  </si>
  <si>
    <t>同援夜１．０・深１．５・区４</t>
  </si>
  <si>
    <t>同援夜１．０・深１．５・基礎・２人・盲ろう・区３</t>
  </si>
  <si>
    <t>同援夜１．０・深１．５・基礎・盲ろう・区３</t>
  </si>
  <si>
    <t>同援夜１．０・深１．５・２人・盲ろう・区３</t>
  </si>
  <si>
    <t>同援夜１．０・深１．５・盲ろう・区３</t>
  </si>
  <si>
    <t>同援夜１．０・深１．５・基礎・２人・区３</t>
  </si>
  <si>
    <t>同援夜１．０・深１．５・基礎・区３</t>
  </si>
  <si>
    <t>同援夜１．０・深１．５・２人・区３</t>
  </si>
  <si>
    <t>同援夜１．０・深１．５・区３</t>
  </si>
  <si>
    <t>同援夜１．０・深１．５・基礎・２人・盲ろう</t>
  </si>
  <si>
    <t>同援夜１．０・深１．５・基礎・盲ろう</t>
  </si>
  <si>
    <t>同援夜１．０・深１．５・２人・盲ろう</t>
  </si>
  <si>
    <t>同援夜１．０・深１．５・盲ろう</t>
  </si>
  <si>
    <t>同援夜１．０・深１．５・基礎・２人</t>
  </si>
  <si>
    <t>同援夜１．０・深１．５・基礎</t>
  </si>
  <si>
    <t>同援夜１．０・深１．５・２人</t>
  </si>
  <si>
    <t>同援夜１．０・深１．５</t>
  </si>
  <si>
    <t>同援夜１．０・深１．０・基礎・２人・盲ろう・区４</t>
  </si>
  <si>
    <t>同援夜１．０・深１．０・基礎・盲ろう・区４</t>
  </si>
  <si>
    <t>同援夜１．０・深１．０・２人・盲ろう・区４</t>
  </si>
  <si>
    <t>同援夜１．０・深１．０・盲ろう・区４</t>
  </si>
  <si>
    <t>同援夜１．０・深１．０・基礎・２人・区４</t>
  </si>
  <si>
    <t>同援夜１．０・深１．０・基礎・区４</t>
  </si>
  <si>
    <t>同援夜１．０・深１．０・２人・区４</t>
  </si>
  <si>
    <t>同援夜１．０・深１．０・区４</t>
  </si>
  <si>
    <t>同援夜１．０・深１．０・基礎・２人・盲ろう・区３</t>
  </si>
  <si>
    <t>同援夜１．０・深１．０・基礎・盲ろう・区３</t>
  </si>
  <si>
    <t>同援夜１．０・深１．０・２人・盲ろう・区３</t>
  </si>
  <si>
    <t>同援夜１．０・深１．０・盲ろう・区３</t>
  </si>
  <si>
    <t>同援夜１．０・深１．０・基礎・２人・区３</t>
  </si>
  <si>
    <t>同援夜１．０・深１．０・基礎・区３</t>
  </si>
  <si>
    <t>同援夜１．０・深１．０・２人・区３</t>
  </si>
  <si>
    <t>同援夜１．０・深１．０・区３</t>
  </si>
  <si>
    <t>同援夜１．０・深１．０・基礎・２人・盲ろう</t>
  </si>
  <si>
    <t>同援夜１．０・深１．０・基礎・盲ろう</t>
  </si>
  <si>
    <t>同援夜１．０・深１．０・２人・盲ろう</t>
  </si>
  <si>
    <t>同援夜１．０・深１．０・盲ろう</t>
  </si>
  <si>
    <t>同援夜１．０・深１．０・基礎・２人</t>
  </si>
  <si>
    <t>同援夜１．０・深１．０・基礎</t>
  </si>
  <si>
    <t>同援夜１．０・深１．０・２人</t>
  </si>
  <si>
    <t>同援夜１．０・深１．０</t>
  </si>
  <si>
    <t>同援夜１．０・深０．５・基礎・２人・盲ろう・区４</t>
  </si>
  <si>
    <t>同援夜１．０・深０．５・基礎・盲ろう・区４</t>
  </si>
  <si>
    <t>同援夜１．０・深０．５・２人・盲ろう・区４</t>
  </si>
  <si>
    <t>同援夜１．０・深０．５・盲ろう・区４</t>
  </si>
  <si>
    <t>同援夜１．０・深０．５・基礎・２人・区４</t>
  </si>
  <si>
    <t>同援夜１．０・深０．５・基礎・区４</t>
  </si>
  <si>
    <t>同援夜１．０・深０．５・２人・区４</t>
  </si>
  <si>
    <t>同援夜１．０・深０．５・区４</t>
  </si>
  <si>
    <t>同援夜１．０・深０．５・基礎・２人・盲ろう・区３</t>
  </si>
  <si>
    <t>同援夜１．０・深０．５・基礎・盲ろう・区３</t>
  </si>
  <si>
    <t>同援夜１．０・深０．５・２人・盲ろう・区３</t>
  </si>
  <si>
    <t>同援夜１．０・深０．５・盲ろう・区３</t>
  </si>
  <si>
    <t>同援夜１．０・深０．５・基礎・２人・区３</t>
  </si>
  <si>
    <t>同援夜１．０・深０．５・基礎・区３</t>
  </si>
  <si>
    <t>同援夜１．０・深０．５・２人・区３</t>
  </si>
  <si>
    <t>同援夜１．０・深０．５・区３</t>
  </si>
  <si>
    <t>同援夜１．０・深０．５・基礎・２人・盲ろう</t>
  </si>
  <si>
    <t>同援夜１．０・深０．５・基礎・盲ろう</t>
  </si>
  <si>
    <t>同援夜１．０・深０．５・２人・盲ろう</t>
  </si>
  <si>
    <t>同援夜１．０・深０．５・盲ろう</t>
  </si>
  <si>
    <t>同援夜１．０・深０．５・基礎・２人</t>
  </si>
  <si>
    <t>同援夜１．０・深０．５・基礎</t>
  </si>
  <si>
    <t>同援夜１．０・深０．５・２人</t>
  </si>
  <si>
    <t>同援夜１．０・深０．５</t>
  </si>
  <si>
    <t>同援夜０．５・深２．５・基礎・２人・盲ろう・区４</t>
  </si>
  <si>
    <t>同援夜０．５・深２．５・基礎・盲ろう・区４</t>
  </si>
  <si>
    <t>同援夜０．５・深２．５・２人・盲ろう・区４</t>
  </si>
  <si>
    <t>同援夜０．５・深２．５・盲ろう・区４</t>
  </si>
  <si>
    <t>同援夜０．５・深２．５・基礎・２人・区４</t>
  </si>
  <si>
    <t>同援夜０．５・深２．５・基礎・区４</t>
  </si>
  <si>
    <t>同援夜０．５・深２．５・２人・区４</t>
  </si>
  <si>
    <t>同援夜０．５・深２．５・区４</t>
  </si>
  <si>
    <t>同援夜０．５・深２．５・基礎・２人・盲ろう・区３</t>
  </si>
  <si>
    <t>同援夜０．５・深２．５・基礎・盲ろう・区３</t>
  </si>
  <si>
    <t>同援夜０．５・深２．５・２人・盲ろう・区３</t>
  </si>
  <si>
    <t>同援夜０．５・深２．５・盲ろう・区３</t>
  </si>
  <si>
    <t>同援夜０．５・深２．５・基礎・２人・区３</t>
  </si>
  <si>
    <t>同援夜０．５・深２．５・基礎・区３</t>
  </si>
  <si>
    <t>同援夜０．５・深２．５・２人・区３</t>
  </si>
  <si>
    <t>同援夜０．５・深２．５・区３</t>
  </si>
  <si>
    <t>同援夜０．５・深２．５・基礎・２人・盲ろう</t>
  </si>
  <si>
    <t>同援夜０．５・深２．５・基礎・盲ろう</t>
  </si>
  <si>
    <t>同援夜０．５・深２．５・２人・盲ろう</t>
  </si>
  <si>
    <t>同援夜０．５・深２．５・盲ろう</t>
  </si>
  <si>
    <t>同援夜０．５・深２．５・基礎・２人</t>
  </si>
  <si>
    <t>同援夜０．５・深２．５・基礎</t>
  </si>
  <si>
    <t>同援夜０．５・深２．５・２人</t>
  </si>
  <si>
    <t>同援夜０．５・深２．５</t>
  </si>
  <si>
    <t>同援夜０．５・深２．０・基礎・２人・盲ろう・区４</t>
  </si>
  <si>
    <t>同援夜０．５・深２．０・基礎・盲ろう・区４</t>
  </si>
  <si>
    <t>同援夜０．５・深２．０・２人・盲ろう・区４</t>
  </si>
  <si>
    <t>同援夜０．５・深２．０・盲ろう・区４</t>
  </si>
  <si>
    <t>同援夜０．５・深２．０・基礎・２人・区４</t>
  </si>
  <si>
    <t>同援夜０．５・深２．０・基礎・区４</t>
  </si>
  <si>
    <t>同援夜０．５・深２．０・２人・区４</t>
  </si>
  <si>
    <t>同援夜０．５・深２．０・区４</t>
  </si>
  <si>
    <t>同援夜０．５・深２．０・基礎・２人・盲ろう・区３</t>
  </si>
  <si>
    <t>同援夜０．５・深２．０・基礎・盲ろう・区３</t>
  </si>
  <si>
    <t>同援夜０．５・深２．０・２人・盲ろう・区３</t>
  </si>
  <si>
    <t>同援夜０．５・深２．０・盲ろう・区３</t>
  </si>
  <si>
    <t>同援夜０．５・深２．０・基礎・２人・区３</t>
  </si>
  <si>
    <t>同援夜０．５・深２．０・基礎・区３</t>
  </si>
  <si>
    <t>同援夜０．５・深２．０・２人・区３</t>
  </si>
  <si>
    <t>同援夜０．５・深２．０・区３</t>
  </si>
  <si>
    <t>同援夜０．５・深２．０・基礎・２人・盲ろう</t>
  </si>
  <si>
    <t>同援夜０．５・深２．０・基礎・盲ろう</t>
  </si>
  <si>
    <t>同援夜０．５・深２．０・２人・盲ろう</t>
  </si>
  <si>
    <t>同援夜０．５・深２．０・盲ろう</t>
  </si>
  <si>
    <t>同援夜０．５・深２．０・基礎・２人</t>
  </si>
  <si>
    <t>同援夜０．５・深２．０・基礎</t>
  </si>
  <si>
    <t>同援夜０．５・深２．０・２人</t>
  </si>
  <si>
    <t>同援夜０．５・深２．０</t>
  </si>
  <si>
    <t>同援夜０．５・深１．５・基礎・２人・盲ろう・区４</t>
  </si>
  <si>
    <t>同援夜０．５・深１．５・基礎・盲ろう・区４</t>
  </si>
  <si>
    <t>同援夜０．５・深１．５・２人・盲ろう・区４</t>
  </si>
  <si>
    <t>同援夜０．５・深１．５・盲ろう・区４</t>
  </si>
  <si>
    <t>同援夜０．５・深１．５・基礎・２人・区４</t>
  </si>
  <si>
    <t>同援夜０．５・深１．５・基礎・区４</t>
  </si>
  <si>
    <t>同援夜０．５・深１．５・２人・区４</t>
  </si>
  <si>
    <t>同援夜０．５・深１．５・区４</t>
  </si>
  <si>
    <t>同援夜０．５・深１．５・基礎・２人・盲ろう・区３</t>
  </si>
  <si>
    <t>同援夜０．５・深１．５・基礎・盲ろう・区３</t>
  </si>
  <si>
    <t>同援夜０．５・深１．５・２人・盲ろう・区３</t>
  </si>
  <si>
    <t>同援夜０．５・深１．５・盲ろう・区３</t>
  </si>
  <si>
    <t>同援夜０．５・深１．５・基礎・２人・区３</t>
  </si>
  <si>
    <t>同援夜０．５・深１．５・基礎・区３</t>
  </si>
  <si>
    <t>同援夜０．５・深１．５・２人・区３</t>
  </si>
  <si>
    <t>A000</t>
  </si>
  <si>
    <t>同援夜０．５・深１．５・区３</t>
  </si>
  <si>
    <t>同援夜０．５・深１．５・基礎・２人・盲ろう</t>
  </si>
  <si>
    <t>同援夜０．５・深１．５・基礎・盲ろう</t>
  </si>
  <si>
    <t>同援夜０．５・深１．５・２人・盲ろう</t>
  </si>
  <si>
    <t>同援夜０．５・深１．５・盲ろう</t>
  </si>
  <si>
    <t>同援夜０．５・深１．５・基礎・２人</t>
  </si>
  <si>
    <t>同援夜０．５・深１．５・基礎</t>
  </si>
  <si>
    <t>同援夜０．５・深１．５・２人</t>
  </si>
  <si>
    <t>同援夜０．５・深１．５</t>
  </si>
  <si>
    <t>同援夜０．５・深１．０・基礎・２人・盲ろう・区４</t>
  </si>
  <si>
    <t>同援夜０．５・深１．０・基礎・盲ろう・区４</t>
  </si>
  <si>
    <t>同援夜０．５・深１．０・２人・盲ろう・区４</t>
  </si>
  <si>
    <t>同援夜０．５・深１．０・盲ろう・区４</t>
  </si>
  <si>
    <t>同援夜０．５・深１．０・基礎・２人・区４</t>
  </si>
  <si>
    <t>同援夜０．５・深１．０・基礎・区４</t>
  </si>
  <si>
    <t>同援夜０．５・深１．０・２人・区４</t>
  </si>
  <si>
    <t>同援夜０．５・深１．０・区４</t>
  </si>
  <si>
    <t>同援夜０．５・深１．０・基礎・２人・盲ろう・区３</t>
  </si>
  <si>
    <t>同援夜０．５・深１．０・基礎・盲ろう・区３</t>
  </si>
  <si>
    <t>同援夜０．５・深１．０・２人・盲ろう・区３</t>
  </si>
  <si>
    <t>同援夜０．５・深１．０・盲ろう・区３</t>
  </si>
  <si>
    <t>同援夜０．５・深１．０・基礎・２人・区３</t>
  </si>
  <si>
    <t>同援夜０．５・深１．０・基礎・区３</t>
  </si>
  <si>
    <t>同援夜０．５・深１．０・２人・区３</t>
  </si>
  <si>
    <t>同援夜０．５・深１．０・区３</t>
  </si>
  <si>
    <t>同援夜０．５・深１．０・基礎・２人・盲ろう</t>
  </si>
  <si>
    <t>同援夜０．５・深１．０・基礎・盲ろう</t>
  </si>
  <si>
    <t>同援夜０．５・深１．０・２人・盲ろう</t>
  </si>
  <si>
    <t>同援夜０．５・深１．０・盲ろう</t>
  </si>
  <si>
    <t>同援夜０．５・深１．０・基礎・２人</t>
  </si>
  <si>
    <t>同援夜０．５・深１．０・基礎</t>
  </si>
  <si>
    <t>同援夜０．５・深１．０・２人</t>
  </si>
  <si>
    <t>同援夜０．５・深１．０</t>
  </si>
  <si>
    <t>同援夜０．５・深０．５・基礎・２人・盲ろう・区４</t>
  </si>
  <si>
    <t>同援夜０．５・深０．５・基礎・盲ろう・区４</t>
  </si>
  <si>
    <t>同援夜０．５・深０．５・２人・盲ろう・区４</t>
  </si>
  <si>
    <t>同援夜０．５・深０．５・盲ろう・区４</t>
  </si>
  <si>
    <t>同援夜０．５・深０．５・基礎・２人・区４</t>
  </si>
  <si>
    <t>同援夜０．５・深０．５・基礎・区４</t>
  </si>
  <si>
    <t>同援夜０．５・深０．５・２人・区４</t>
  </si>
  <si>
    <t>同援夜０．５・深０．５・区４</t>
  </si>
  <si>
    <t>同援夜０．５・深０．５・基礎・２人・盲ろう・区３</t>
  </si>
  <si>
    <t>同援夜０．５・深０．５・基礎・盲ろう・区３</t>
  </si>
  <si>
    <t>同援夜０．５・深０．５・２人・盲ろう・区３</t>
  </si>
  <si>
    <t>同援夜０．５・深０．５・盲ろう・区３</t>
  </si>
  <si>
    <t>同援夜０．５・深０．５・基礎・２人・区３</t>
  </si>
  <si>
    <t>同援夜０．５・深０．５・基礎・区３</t>
  </si>
  <si>
    <t>同援夜０．５・深０．５・２人・区３</t>
  </si>
  <si>
    <t>同援夜０．５・深０．５・区３</t>
  </si>
  <si>
    <t>同援夜０．５・深０．５・基礎・２人・盲ろう</t>
  </si>
  <si>
    <t>同援夜０．５・深０．５・基礎・盲ろう</t>
  </si>
  <si>
    <t>同援夜０．５・深０．５・２人・盲ろう</t>
  </si>
  <si>
    <t>同援夜０．５・深０．５・盲ろう</t>
  </si>
  <si>
    <t>同援夜０．５・深０．５・基礎・２人</t>
  </si>
  <si>
    <t>同援夜０．５・深０．５・基礎</t>
  </si>
  <si>
    <t>同援夜０．５・深０．５・２人</t>
  </si>
  <si>
    <t>同援夜０．５・深０．５</t>
  </si>
  <si>
    <t>同援日跨増深２．５・深０．５・基礎・２人・盲ろう・区４</t>
  </si>
  <si>
    <t>同援日跨増深２．５・深０．５・基礎・盲ろう・区４</t>
  </si>
  <si>
    <t>同援日跨増深２．５・深０．５・２人・盲ろう・区４</t>
  </si>
  <si>
    <t>同援日跨増深２．５・深０．５・盲ろう・区４</t>
  </si>
  <si>
    <t>同援日跨増深２．５・深０．５・基礎・２人・区４</t>
  </si>
  <si>
    <t>同援日跨増深２．５・深０．５・基礎・区４</t>
  </si>
  <si>
    <t>同援日跨増深２．５・深０．５・２人・区４</t>
  </si>
  <si>
    <t>同援日跨増深２．５・深０．５・区４</t>
  </si>
  <si>
    <t>同援日跨増深２．５・深０．５・基礎・２人・盲ろう・区３</t>
  </si>
  <si>
    <t>同援日跨増深２．５・深０．５・基礎・盲ろう・区３</t>
  </si>
  <si>
    <t>同援日跨増深２．５・深０．５・２人・盲ろう・区３</t>
  </si>
  <si>
    <t>同援日跨増深２．５・深０．５・盲ろう・区３</t>
  </si>
  <si>
    <t>同援日跨増深２．５・深０．５・基礎・２人・区３</t>
  </si>
  <si>
    <t>同援日跨増深２．５・深０．５・基礎・区３</t>
  </si>
  <si>
    <t>同援日跨増深２．５・深０．５・２人・区３</t>
  </si>
  <si>
    <t>同援日跨増深２．５・深０．５・区３</t>
  </si>
  <si>
    <t>同援日跨増深２．５・深０．５・基礎・２人・盲ろう</t>
  </si>
  <si>
    <t>同援日跨増深２．５・深０．５・基礎・盲ろう</t>
  </si>
  <si>
    <t>同援日跨増深２．５・深０．５・２人・盲ろう</t>
  </si>
  <si>
    <t>同援日跨増深２．５・深０．５・盲ろう</t>
  </si>
  <si>
    <t>同援日跨増深２．５・深０．５・基礎・２人</t>
  </si>
  <si>
    <t>同援日跨増深２．５・深０．５・基礎</t>
  </si>
  <si>
    <t>同援日跨増深２．５・深０．５・２人</t>
  </si>
  <si>
    <t>同援日跨増深２．５・深０．５</t>
  </si>
  <si>
    <t>同援日跨増深２．０・深１．０・基礎・２人・盲ろう・区４</t>
  </si>
  <si>
    <t>同援日跨増深２．０・深１．０・基礎・盲ろう・区４</t>
  </si>
  <si>
    <t>同援日跨増深２．０・深１．０・２人・盲ろう・区４</t>
  </si>
  <si>
    <t>同援日跨増深２．０・深１．０・盲ろう・区４</t>
  </si>
  <si>
    <t>同援日跨増深２．０・深１．０・基礎・２人・区４</t>
  </si>
  <si>
    <t>同援日跨増深２．０・深１．０・基礎・区４</t>
  </si>
  <si>
    <t>同援日跨増深２．０・深１．０・２人・区４</t>
  </si>
  <si>
    <t>同援日跨増深２．０・深１．０・区４</t>
  </si>
  <si>
    <t>同援日跨増深２．０・深１．０・基礎・２人・盲ろう・区３</t>
  </si>
  <si>
    <t>同援日跨増深２．０・深１．０・基礎・盲ろう・区３</t>
  </si>
  <si>
    <t>同援日跨増深２．０・深１．０・２人・盲ろう・区３</t>
  </si>
  <si>
    <t>同援日跨増深２．０・深１．０・盲ろう・区３</t>
  </si>
  <si>
    <t>同援日跨増深２．０・深１．０・基礎・２人・区３</t>
  </si>
  <si>
    <t>同援日跨増深２．０・深１．０・基礎・区３</t>
  </si>
  <si>
    <t>同援日跨増深２．０・深１．０・２人・区３</t>
  </si>
  <si>
    <t>同援日跨増深２．０・深１．０・区３</t>
  </si>
  <si>
    <t>同援日跨増深２．０・深１．０・基礎・２人・盲ろう</t>
  </si>
  <si>
    <t>同援日跨増深２．０・深１．０・基礎・盲ろう</t>
  </si>
  <si>
    <t>同援日跨増深２．０・深１．０・２人・盲ろう</t>
  </si>
  <si>
    <t>同援日跨増深２．０・深１．０・盲ろう</t>
  </si>
  <si>
    <t>同援日跨増深２．０・深１．０・基礎・２人</t>
  </si>
  <si>
    <t>同援日跨増深２．０・深１．０・基礎</t>
  </si>
  <si>
    <t>同援日跨増深２．０・深１．０・２人</t>
  </si>
  <si>
    <t>同援日跨増深２．０・深１．０</t>
  </si>
  <si>
    <t>同援日跨増深２．０・深０．５・基礎・２人・盲ろう・区４</t>
  </si>
  <si>
    <t>同援日跨増深２．０・深０．５・基礎・盲ろう・区４</t>
  </si>
  <si>
    <t>同援日跨増深２．０・深０．５・２人・盲ろう・区４</t>
  </si>
  <si>
    <t>同援日跨増深２．０・深０．５・盲ろう・区４</t>
  </si>
  <si>
    <t>同援日跨増深２．０・深０．５・基礎・２人・区４</t>
  </si>
  <si>
    <t>同援日跨増深２．０・深０．５・基礎・区４</t>
  </si>
  <si>
    <t>同援日跨増深２．０・深０．５・２人・区４</t>
  </si>
  <si>
    <t>同援日跨増深２．０・深０．５・区４</t>
  </si>
  <si>
    <t>同援日跨増深２．０・深０．５・基礎・２人・盲ろう・区３</t>
  </si>
  <si>
    <t>同援日跨増深２．０・深０．５・基礎・盲ろう・区３</t>
  </si>
  <si>
    <t>同援日跨増深２．０・深０．５・２人・盲ろう・区３</t>
  </si>
  <si>
    <t>同援日跨増深２．０・深０．５・盲ろう・区３</t>
  </si>
  <si>
    <t>同援日跨増深２．０・深０．５・基礎・２人・区３</t>
  </si>
  <si>
    <t>同援日跨増深２．０・深０．５・基礎・区３</t>
  </si>
  <si>
    <t>同援日跨増深２．０・深０．５・２人・区３</t>
  </si>
  <si>
    <t>同援日跨増深２．０・深０．５・区３</t>
  </si>
  <si>
    <t>同援日跨増深２．０・深０．５・基礎・２人・盲ろう</t>
  </si>
  <si>
    <t>同援日跨増深２．０・深０．５・基礎・盲ろう</t>
  </si>
  <si>
    <t>同援日跨増深２．０・深０．５・２人・盲ろう</t>
  </si>
  <si>
    <t>同援日跨増深２．０・深０．５・盲ろう</t>
  </si>
  <si>
    <t>同援日跨増深２．０・深０．５・基礎・２人</t>
  </si>
  <si>
    <t>同援日跨増深２．０・深０．５・基礎</t>
  </si>
  <si>
    <t>同援日跨増深２．０・深０．５・２人</t>
  </si>
  <si>
    <t>同援日跨増深２．０・深０．５</t>
  </si>
  <si>
    <t>同援日跨増深１．５・深１．５・基礎・２人・盲ろう・区４</t>
  </si>
  <si>
    <t>同援日跨増深１．５・深１．５・基礎・盲ろう・区４</t>
  </si>
  <si>
    <t>同援日跨増深１．５・深１．５・２人・盲ろう・区４</t>
  </si>
  <si>
    <t>同援日跨増深１．５・深１．５・盲ろう・区４</t>
  </si>
  <si>
    <t>同援日跨増深１．５・深１．５・基礎・２人・区４</t>
  </si>
  <si>
    <t>同援日跨増深１．５・深１．５・基礎・区４</t>
  </si>
  <si>
    <t>同援日跨増深１．５・深１．５・２人・区４</t>
  </si>
  <si>
    <t>同援日跨増深１．５・深１．５・区４</t>
  </si>
  <si>
    <t>同援日跨増深１．５・深１．５・基礎・２人・盲ろう・区３</t>
  </si>
  <si>
    <t>同援日跨増深１．５・深１．５・基礎・盲ろう・区３</t>
  </si>
  <si>
    <t>同援日跨増深１．５・深１．５・２人・盲ろう・区３</t>
  </si>
  <si>
    <t>同援日跨増深１．５・深１．５・盲ろう・区３</t>
  </si>
  <si>
    <t>同援日跨増深１．５・深１．５・基礎・２人・区３</t>
  </si>
  <si>
    <t>同援日跨増深１．５・深１．５・基礎・区３</t>
  </si>
  <si>
    <t>同援日跨増深１．５・深１．５・２人・区３</t>
  </si>
  <si>
    <t>同援日跨増深１．５・深１．５・区３</t>
  </si>
  <si>
    <t>同援日跨増深１．５・深１．５・基礎・２人・盲ろう</t>
  </si>
  <si>
    <t>同援日跨増深１．５・深１．５・基礎・盲ろう</t>
  </si>
  <si>
    <t>同援日跨増深１．５・深１．５・２人・盲ろう</t>
  </si>
  <si>
    <t>同援日跨増深１．５・深１．５・盲ろう</t>
  </si>
  <si>
    <t>同援日跨増深１．５・深１．５・基礎・２人</t>
  </si>
  <si>
    <t>同援日跨増深１．５・深１．５・基礎</t>
  </si>
  <si>
    <t>同援日跨増深１．５・深１．５・２人</t>
  </si>
  <si>
    <t>同援日跨増深１．５・深１．５</t>
  </si>
  <si>
    <t>同援日跨増深１．５・深１．０・基礎・２人・盲ろう・区４</t>
  </si>
  <si>
    <t>同援日跨増深１．５・深１．０・基礎・盲ろう・区４</t>
  </si>
  <si>
    <t>同援日跨増深１．５・深１．０・２人・盲ろう・区４</t>
  </si>
  <si>
    <t>同援日跨増深１．５・深１．０・盲ろう・区４</t>
  </si>
  <si>
    <t>同援日跨増深１．５・深１．０・基礎・２人・区４</t>
  </si>
  <si>
    <t>同援日跨増深１．５・深１．０・基礎・区４</t>
  </si>
  <si>
    <t>同援日跨増深１．５・深１．０・２人・区４</t>
  </si>
  <si>
    <t>同援日跨増深１．５・深１．０・区４</t>
  </si>
  <si>
    <t>同援日跨増深１．５・深１．０・基礎・２人・盲ろう・区３</t>
  </si>
  <si>
    <t>同援日跨増深１．５・深１．０・基礎・盲ろう・区３</t>
  </si>
  <si>
    <t>同援日跨増深１．５・深１．０・２人・盲ろう・区３</t>
  </si>
  <si>
    <t>同援日跨増深１．５・深１．０・盲ろう・区３</t>
  </si>
  <si>
    <t>同援日跨増深１．５・深１．０・基礎・２人・区３</t>
  </si>
  <si>
    <t>同援日跨増深１．５・深１．０・基礎・区３</t>
  </si>
  <si>
    <t>同援日跨増深１．５・深１．０・２人・区３</t>
  </si>
  <si>
    <t>同援日跨増深１．５・深１．０・区３</t>
  </si>
  <si>
    <t>同援日跨増深１．５・深１．０・基礎・２人・盲ろう</t>
  </si>
  <si>
    <t>同援日跨増深１．５・深１．０・基礎・盲ろう</t>
  </si>
  <si>
    <t>同援日跨増深１．５・深１．０・２人・盲ろう</t>
  </si>
  <si>
    <t>同援日跨増深１．５・深１．０・盲ろう</t>
  </si>
  <si>
    <t>同援日跨増深１．５・深１．０・基礎・２人</t>
  </si>
  <si>
    <t>同援日跨増深１．５・深１．０・基礎</t>
  </si>
  <si>
    <t>同援日跨増深１．５・深１．０・２人</t>
  </si>
  <si>
    <t>同援日跨増深１．５・深１．０</t>
  </si>
  <si>
    <t>同援日跨増深１．５・深０．５・基礎・２人・盲ろう・区４</t>
  </si>
  <si>
    <t>同援日跨増深１．５・深０．５・基礎・盲ろう・区４</t>
  </si>
  <si>
    <t>同援日跨増深１．５・深０．５・２人・盲ろう・区４</t>
  </si>
  <si>
    <t>同援日跨増深１．５・深０．５・盲ろう・区４</t>
  </si>
  <si>
    <t>同援日跨増深１．５・深０．５・基礎・２人・区４</t>
  </si>
  <si>
    <t>同援日跨増深１．５・深０．５・基礎・区４</t>
  </si>
  <si>
    <t>同援日跨増深１．５・深０．５・２人・区４</t>
  </si>
  <si>
    <t>同援日跨増深１．５・深０．５・区４</t>
  </si>
  <si>
    <t>同援日跨増深１．５・深０．５・基礎・２人・盲ろう・区３</t>
  </si>
  <si>
    <t>同援日跨増深１．５・深０．５・基礎・盲ろう・区３</t>
  </si>
  <si>
    <t>同援日跨増深１．５・深０．５・２人・盲ろう・区３</t>
  </si>
  <si>
    <t>同援日跨増深１．５・深０．５・盲ろう・区３</t>
  </si>
  <si>
    <t>同援日跨増深１．５・深０．５・基礎・２人・区３</t>
  </si>
  <si>
    <t>同援日跨増深１．５・深０．５・基礎・区３</t>
  </si>
  <si>
    <t>同援日跨増深１．５・深０．５・２人・区３</t>
  </si>
  <si>
    <t>同援日跨増深１．５・深０．５・区３</t>
  </si>
  <si>
    <t>同援日跨増深１．５・深０．５・基礎・２人・盲ろう</t>
  </si>
  <si>
    <t>同援日跨増深１．５・深０．５・基礎・盲ろう</t>
  </si>
  <si>
    <t>同援日跨増深１．５・深０．５・２人・盲ろう</t>
  </si>
  <si>
    <t>同援日跨増深１．５・深０．５・盲ろう</t>
  </si>
  <si>
    <t>同援日跨増深１．５・深０．５・基礎・２人</t>
  </si>
  <si>
    <t>同援日跨増深１．５・深０．５・基礎</t>
  </si>
  <si>
    <t>同援日跨増深１．５・深０．５・２人</t>
  </si>
  <si>
    <t>同援日跨増深１．５・深０．５</t>
  </si>
  <si>
    <t>同援日跨増深１．０・深２．０・基礎・２人・盲ろう・区４</t>
  </si>
  <si>
    <t>同援日跨増深１．０・深２．０・基礎・盲ろう・区４</t>
  </si>
  <si>
    <t>同援日跨増深１．０・深２．０・２人・盲ろう・区４</t>
  </si>
  <si>
    <t>同援日跨増深１．０・深２．０・盲ろう・区４</t>
  </si>
  <si>
    <t>同援日跨増深１．０・深２．０・基礎・２人・区４</t>
  </si>
  <si>
    <t>同援日跨増深１．０・深２．０・基礎・区４</t>
  </si>
  <si>
    <t>同援日跨増深１．０・深２．０・２人・区４</t>
  </si>
  <si>
    <t>同援日跨増深１．０・深２．０・区４</t>
  </si>
  <si>
    <t>同援日跨増深１．０・深２．０・基礎・２人・盲ろう・区３</t>
  </si>
  <si>
    <t>同援日跨増深１．０・深２．０・基礎・盲ろう・区３</t>
  </si>
  <si>
    <t>同援日跨増深１．０・深２．０・２人・盲ろう・区３</t>
  </si>
  <si>
    <t>同援日跨増深１．０・深２．０・盲ろう・区３</t>
  </si>
  <si>
    <t>同援日跨増深１．０・深２．０・基礎・２人・区３</t>
  </si>
  <si>
    <t>同援日跨増深１．０・深２．０・基礎・区３</t>
  </si>
  <si>
    <t>同援日跨増深１．０・深２．０・２人・区３</t>
  </si>
  <si>
    <t>同援日跨増深１．０・深２．０・区３</t>
  </si>
  <si>
    <t>同援日跨増深１．０・深２．０・基礎・２人・盲ろう</t>
  </si>
  <si>
    <t>同援日跨増深１．０・深２．０・基礎・盲ろう</t>
  </si>
  <si>
    <t>同援日跨増深１．０・深２．０・２人・盲ろう</t>
  </si>
  <si>
    <t>同援日跨増深１．０・深２．０・盲ろう</t>
  </si>
  <si>
    <t>同援日跨増深１．０・深２．０・基礎・２人</t>
  </si>
  <si>
    <t>同援日跨増深１．０・深２．０・基礎</t>
  </si>
  <si>
    <t>同援日跨増深１．０・深２．０・２人</t>
  </si>
  <si>
    <t>同援日跨増深１．０・深２．０</t>
  </si>
  <si>
    <t>同援日跨増深１．０・深１．５・基礎・２人・盲ろう・区４</t>
  </si>
  <si>
    <t>同援日跨増深１．０・深１．５・基礎・盲ろう・区４</t>
  </si>
  <si>
    <t>同援日跨増深１．０・深１．５・２人・盲ろう・区４</t>
  </si>
  <si>
    <t>同援日跨増深１．０・深１．５・盲ろう・区４</t>
  </si>
  <si>
    <t>同援日跨増深１．０・深１．５・基礎・２人・区４</t>
  </si>
  <si>
    <t>同援日跨増深１．０・深１．５・基礎・区４</t>
  </si>
  <si>
    <t>同援日跨増深１．０・深１．５・２人・区４</t>
  </si>
  <si>
    <t>同援日跨増深１．０・深１．５・区４</t>
  </si>
  <si>
    <t>同援日跨増深１．０・深１．５・基礎・２人・盲ろう・区３</t>
  </si>
  <si>
    <t>同援日跨増深１．０・深１．５・基礎・盲ろう・区３</t>
  </si>
  <si>
    <t>同援日跨増深１．０・深１．５・２人・盲ろう・区３</t>
  </si>
  <si>
    <t>同援日跨増深１．０・深１．５・盲ろう・区３</t>
  </si>
  <si>
    <t>同援日跨増深１．０・深１．５・基礎・２人・区３</t>
  </si>
  <si>
    <t>同援日跨増深１．０・深１．５・基礎・区３</t>
  </si>
  <si>
    <t>同援日跨増深１．０・深１．５・２人・区３</t>
  </si>
  <si>
    <t>同援日跨増深１．０・深１．５・区３</t>
  </si>
  <si>
    <t>同援日跨増深１．０・深１．５・基礎・２人・盲ろう</t>
  </si>
  <si>
    <t>同援日跨増深１．０・深１．５・基礎・盲ろう</t>
  </si>
  <si>
    <t>同援日跨増深１．０・深１．５・２人・盲ろう</t>
  </si>
  <si>
    <t>同援日跨増深１．０・深１．５・盲ろう</t>
  </si>
  <si>
    <t>同援日跨増深１．０・深１．５・基礎・２人</t>
  </si>
  <si>
    <t>同援日跨増深１．０・深１．５・基礎</t>
  </si>
  <si>
    <t>同援日跨増深１．０・深１．５・２人</t>
  </si>
  <si>
    <t>同援日跨増深１．０・深１．５</t>
  </si>
  <si>
    <t>同援日跨増深１．０・深１．０・基礎・２人・盲ろう・区４</t>
  </si>
  <si>
    <t>同援日跨増深１．０・深１．０・基礎・盲ろう・区４</t>
  </si>
  <si>
    <t>同援日跨増深１．０・深１．０・２人・盲ろう・区４</t>
  </si>
  <si>
    <t>同援日跨増深１．０・深１．０・盲ろう・区４</t>
  </si>
  <si>
    <t>同援日跨増深１．０・深１．０・基礎・２人・区４</t>
  </si>
  <si>
    <t>同援日跨増深１．０・深１．０・基礎・区４</t>
  </si>
  <si>
    <t>同援日跨増深１．０・深１．０・２人・区４</t>
  </si>
  <si>
    <t>同援日跨増深１．０・深１．０・区４</t>
  </si>
  <si>
    <t>同援日跨増深１．０・深１．０・基礎・２人・盲ろう・区３</t>
  </si>
  <si>
    <t>同援日跨増深１．０・深１．０・基礎・盲ろう・区３</t>
  </si>
  <si>
    <t>同援日跨増深１．０・深１．０・２人・盲ろう・区３</t>
  </si>
  <si>
    <t>同援日跨増深１．０・深１．０・盲ろう・区３</t>
  </si>
  <si>
    <t>同援日跨増深１．０・深１．０・基礎・２人・区３</t>
  </si>
  <si>
    <t>同援日跨増深１．０・深１．０・基礎・区３</t>
  </si>
  <si>
    <t>同援日跨増深１．０・深１．０・２人・区３</t>
  </si>
  <si>
    <t>同援日跨増深１．０・深１．０・区３</t>
  </si>
  <si>
    <t>同援日跨増深１．０・深１．０・基礎・２人・盲ろう</t>
  </si>
  <si>
    <t>同援日跨増深１．０・深１．０・基礎・盲ろう</t>
  </si>
  <si>
    <t>同援日跨増深１．０・深１．０・２人・盲ろう</t>
  </si>
  <si>
    <t>同援日跨増深１．０・深１．０・盲ろう</t>
  </si>
  <si>
    <t>同援日跨増深１．０・深１．０・基礎・２人</t>
  </si>
  <si>
    <t>同援日跨増深１．０・深１．０・基礎</t>
  </si>
  <si>
    <t>同援日跨増深１．０・深１．０・２人</t>
  </si>
  <si>
    <t>同援日跨増深１．０・深１．０</t>
  </si>
  <si>
    <t>同援日跨増深１．０・深０．５・基礎・２人・盲ろう・区４</t>
  </si>
  <si>
    <t>同援日跨増深１．０・深０．５・基礎・盲ろう・区４</t>
  </si>
  <si>
    <t>同援日跨増深１．０・深０．５・２人・盲ろう・区４</t>
  </si>
  <si>
    <t>同援日跨増深１．０・深０．５・盲ろう・区４</t>
  </si>
  <si>
    <t>同援日跨増深１．０・深０．５・基礎・２人・区４</t>
  </si>
  <si>
    <t>同援日跨増深１．０・深０．５・基礎・区４</t>
  </si>
  <si>
    <t>同援日跨増深１．０・深０．５・２人・区４</t>
  </si>
  <si>
    <t>同援日跨増深１．０・深０．５・区４</t>
  </si>
  <si>
    <t>同援日跨増深１．０・深０．５・基礎・２人・盲ろう・区３</t>
  </si>
  <si>
    <t>同援日跨増深１．０・深０．５・基礎・盲ろう・区３</t>
  </si>
  <si>
    <t>同援日跨増深１．０・深０．５・２人・盲ろう・区３</t>
  </si>
  <si>
    <t>同援日跨増深１．０・深０．５・盲ろう・区３</t>
  </si>
  <si>
    <t>同援日跨増深１．０・深０．５・基礎・２人・区３</t>
  </si>
  <si>
    <t>同援日跨増深１．０・深０．５・基礎・区３</t>
  </si>
  <si>
    <t>同援日跨増深１．０・深０．５・２人・区３</t>
  </si>
  <si>
    <t>同援日跨増深１．０・深０．５・区３</t>
  </si>
  <si>
    <t>同援日跨増深１．０・深０．５・基礎・２人・盲ろう</t>
  </si>
  <si>
    <t>同援日跨増深１．０・深０．５・基礎・盲ろう</t>
  </si>
  <si>
    <t>同援日跨増深１．０・深０．５・２人・盲ろう</t>
  </si>
  <si>
    <t>同援日跨増深１．０・深０．５・盲ろう</t>
  </si>
  <si>
    <t>同援日跨増深１．０・深０．５・基礎・２人</t>
  </si>
  <si>
    <t>同援日跨増深１．０・深０．５・基礎</t>
  </si>
  <si>
    <t>同援日跨増深１．０・深０．５・２人</t>
  </si>
  <si>
    <t>同援日跨増深１．０・深０．５</t>
  </si>
  <si>
    <t>同援日跨増深０．５・深２．５・基礎・２人・盲ろう・区４</t>
  </si>
  <si>
    <t>同援日跨増深０．５・深２．５・基礎・盲ろう・区４</t>
  </si>
  <si>
    <t>同援日跨増深０．５・深２．５・２人・盲ろう・区４</t>
  </si>
  <si>
    <t>同援日跨増深０．５・深２．５・盲ろう・区４</t>
  </si>
  <si>
    <t>同援日跨増深０．５・深２．５・基礎・２人・区４</t>
  </si>
  <si>
    <t>同援日跨増深０．５・深２．５・基礎・区４</t>
  </si>
  <si>
    <t>同援日跨増深０．５・深２．５・２人・区４</t>
  </si>
  <si>
    <t>同援日跨増深０．５・深２．５・区４</t>
  </si>
  <si>
    <t>同援日跨増深０．５・深２．５・基礎・２人・盲ろう・区３</t>
  </si>
  <si>
    <t>同援日跨増深０．５・深２．５・基礎・盲ろう・区３</t>
  </si>
  <si>
    <t>同援日跨増深０．５・深２．５・２人・盲ろう・区３</t>
  </si>
  <si>
    <t>同援日跨増深０．５・深２．５・盲ろう・区３</t>
  </si>
  <si>
    <t>同援日跨増深０．５・深２．５・基礎・２人・区３</t>
  </si>
  <si>
    <t>同援日跨増深０．５・深２．５・基礎・区３</t>
  </si>
  <si>
    <t>同援日跨増深０．５・深２．５・２人・区３</t>
  </si>
  <si>
    <t>同援日跨増深０．５・深２．５・区３</t>
  </si>
  <si>
    <t>同援日跨増深０．５・深２．５・基礎・２人・盲ろう</t>
  </si>
  <si>
    <t>同援日跨増深０．５・深２．５・基礎・盲ろう</t>
  </si>
  <si>
    <t>同援日跨増深０．５・深２．５・２人・盲ろう</t>
  </si>
  <si>
    <t>同援日跨増深０．５・深２．５・盲ろう</t>
  </si>
  <si>
    <t>同援日跨増深０．５・深２．５・基礎・２人</t>
  </si>
  <si>
    <t>同援日跨増深０．５・深２．５・基礎</t>
  </si>
  <si>
    <t>同援日跨増深０．５・深２．５・２人</t>
  </si>
  <si>
    <t>同援日跨増深０．５・深２．５</t>
  </si>
  <si>
    <t>同援日跨増深０．５・深２．０・基礎・２人・盲ろう・区４</t>
  </si>
  <si>
    <t>同援日跨増深０．５・深２．０・基礎・盲ろう・区４</t>
  </si>
  <si>
    <t>同援日跨増深０．５・深２．０・２人・盲ろう・区４</t>
  </si>
  <si>
    <t>同援日跨増深０．５・深２．０・盲ろう・区４</t>
  </si>
  <si>
    <t>同援日跨増深０．５・深２．０・基礎・２人・区４</t>
  </si>
  <si>
    <t>同援日跨増深０．５・深２．０・基礎・区４</t>
  </si>
  <si>
    <t>同援日跨増深０．５・深２．０・２人・区４</t>
  </si>
  <si>
    <t>同援日跨増深０．５・深２．０・区４</t>
  </si>
  <si>
    <t>同援日跨増深０．５・深２．０・基礎・２人・盲ろう・区３</t>
  </si>
  <si>
    <t>同援日跨増深０．５・深２．０・基礎・盲ろう・区３</t>
  </si>
  <si>
    <t>同援日跨増深０．５・深２．０・２人・盲ろう・区３</t>
  </si>
  <si>
    <t>同援日跨増深０．５・深２．０・盲ろう・区３</t>
  </si>
  <si>
    <t>同援日跨増深０．５・深２．０・基礎・２人・区３</t>
  </si>
  <si>
    <t>同援日跨増深０．５・深２．０・基礎・区３</t>
  </si>
  <si>
    <t>同援日跨増深０．５・深２．０・２人・区３</t>
  </si>
  <si>
    <t>同援日跨増深０．５・深２．０・区３</t>
  </si>
  <si>
    <t>同援日跨増深０．５・深２．０・基礎・２人・盲ろう</t>
  </si>
  <si>
    <t>同援日跨増深０．５・深２．０・基礎・盲ろう</t>
  </si>
  <si>
    <t>同援日跨増深０．５・深２．０・２人・盲ろう</t>
  </si>
  <si>
    <t>同援日跨増深０．５・深２．０・盲ろう</t>
  </si>
  <si>
    <t>同援日跨増深０．５・深２．０・基礎・２人</t>
  </si>
  <si>
    <t>同援日跨増深０．５・深２．０・基礎</t>
  </si>
  <si>
    <t>同援日跨増深０．５・深２．０・２人</t>
  </si>
  <si>
    <t>同援日跨増深０．５・深２．０</t>
  </si>
  <si>
    <t>同援日跨増深０．５・深１．５・基礎・２人・盲ろう・区４</t>
  </si>
  <si>
    <t>同援日跨増深０．５・深１．５・基礎・盲ろう・区４</t>
  </si>
  <si>
    <t>同援日跨増深０．５・深１．５・２人・盲ろう・区４</t>
  </si>
  <si>
    <t>同援日跨増深０．５・深１．５・盲ろう・区４</t>
  </si>
  <si>
    <t>同援日跨増深０．５・深１．５・基礎・２人・区４</t>
  </si>
  <si>
    <t>同援日跨増深０．５・深１．５・基礎・区４</t>
  </si>
  <si>
    <t>同援日跨増深０．５・深１．５・２人・区４</t>
  </si>
  <si>
    <t>同援日跨増深０．５・深１．５・区４</t>
  </si>
  <si>
    <t>同援日跨増深０．５・深１．５・基礎・２人・盲ろう・区３</t>
  </si>
  <si>
    <t>同援日跨増深０．５・深１．５・基礎・盲ろう・区３</t>
  </si>
  <si>
    <t>同援日跨増深０．５・深１．５・２人・盲ろう・区３</t>
  </si>
  <si>
    <t>同援日跨増深０．５・深１．５・盲ろう・区３</t>
  </si>
  <si>
    <t>同援日跨増深０．５・深１．５・基礎・２人・区３</t>
  </si>
  <si>
    <t>同援日跨増深０．５・深１．５・基礎・区３</t>
  </si>
  <si>
    <t>同援日跨増深０．５・深１．５・２人・区３</t>
  </si>
  <si>
    <t>同援日跨増深０．５・深１．５・区３</t>
  </si>
  <si>
    <t>同援日跨増深０．５・深１．５・基礎・２人・盲ろう</t>
  </si>
  <si>
    <t>同援日跨増深０．５・深１．５・基礎・盲ろう</t>
  </si>
  <si>
    <t>同援日跨増深０．５・深１．５・２人・盲ろう</t>
  </si>
  <si>
    <t>同援日跨増深０．５・深１．５・盲ろう</t>
  </si>
  <si>
    <t>同援日跨増深０．５・深１．５・基礎・２人</t>
  </si>
  <si>
    <t>同援日跨増深０．５・深１．５・基礎</t>
  </si>
  <si>
    <t>同援日跨増深０．５・深１．５・２人</t>
  </si>
  <si>
    <t>同援日跨増深０．５・深１．５</t>
  </si>
  <si>
    <t>同援日跨増深０．５・深１．０・基礎・２人・盲ろう・区４</t>
  </si>
  <si>
    <t>同援日跨増深０．５・深１．０・基礎・盲ろう・区４</t>
  </si>
  <si>
    <t>同援日跨増深０．５・深１．０・２人・盲ろう・区４</t>
  </si>
  <si>
    <t>同援日跨増深０．５・深１．０・盲ろう・区４</t>
  </si>
  <si>
    <t>同援日跨増深０．５・深１．０・基礎・２人・区４</t>
  </si>
  <si>
    <t>同援日跨増深０．５・深１．０・基礎・区４</t>
  </si>
  <si>
    <t>同援日跨増深０．５・深１．０・２人・区４</t>
  </si>
  <si>
    <t>同援日跨増深０．５・深１．０・区４</t>
  </si>
  <si>
    <t>同援日跨増深０．５・深１．０・基礎・２人・盲ろう・区３</t>
  </si>
  <si>
    <t>同援日跨増深０．５・深１．０・基礎・盲ろう・区３</t>
  </si>
  <si>
    <t>同援日跨増深０．５・深１．０・２人・盲ろう・区３</t>
  </si>
  <si>
    <t>同援日跨増深０．５・深１．０・盲ろう・区３</t>
  </si>
  <si>
    <t>同援日跨増深０．５・深１．０・基礎・２人・区３</t>
  </si>
  <si>
    <t>同援日跨増深０．５・深１．０・基礎・区３</t>
  </si>
  <si>
    <t>同援日跨増深０．５・深１．０・２人・区３</t>
  </si>
  <si>
    <t>同援日跨増深０．５・深１．０・区３</t>
  </si>
  <si>
    <t>同援日跨増深０．５・深１．０・基礎・２人・盲ろう</t>
  </si>
  <si>
    <t>同援日跨増深０．５・深１．０・基礎・盲ろう</t>
  </si>
  <si>
    <t>同援日跨増深０．５・深１．０・２人・盲ろう</t>
  </si>
  <si>
    <t>同援日跨増深０．５・深１．０・盲ろう</t>
  </si>
  <si>
    <t>同援日跨増深０．５・深１．０・基礎・２人</t>
  </si>
  <si>
    <t>同援日跨増深０．５・深１．０・基礎</t>
  </si>
  <si>
    <t>同援日跨増深０．５・深１．０・２人</t>
  </si>
  <si>
    <t>同援日跨増深０．５・深１．０</t>
  </si>
  <si>
    <t>同援日跨増深０．５・深０．５・基礎・２人・盲ろう・区４</t>
  </si>
  <si>
    <t>同援日跨増深０．５・深０．５・基礎・盲ろう・区４</t>
  </si>
  <si>
    <t>同援日跨増深０．５・深０．５・２人・盲ろう・区４</t>
  </si>
  <si>
    <t>同援日跨増深０．５・深０．５・盲ろう・区４</t>
  </si>
  <si>
    <t>同援日跨増深０．５・深０．５・基礎・２人・区４</t>
  </si>
  <si>
    <t>同援日跨増深０．５・深０．５・基礎・区４</t>
  </si>
  <si>
    <t>同援日跨増深０．５・深０．５・２人・区４</t>
  </si>
  <si>
    <t>同援日跨増深０．５・深０．５・区４</t>
  </si>
  <si>
    <t>同援日跨増深０．５・深０．５・基礎・２人・盲ろう・区３</t>
  </si>
  <si>
    <t>同援日跨増深０．５・深０．５・基礎・盲ろう・区３</t>
  </si>
  <si>
    <t>同援日跨増深０．５・深０．５・２人・盲ろう・区３</t>
  </si>
  <si>
    <t>同援日跨増深０．５・深０．５・盲ろう・区３</t>
  </si>
  <si>
    <t>同援日跨増深０．５・深０．５・基礎・２人・区３</t>
  </si>
  <si>
    <t>同援日跨増深０．５・深０．５・基礎・区３</t>
  </si>
  <si>
    <t>同援日跨増深０．５・深０．５・２人・区３</t>
  </si>
  <si>
    <t>同援日跨増深０．５・深０．５・区３</t>
  </si>
  <si>
    <t>同援日跨増深０．５・深０．５・基礎・２人・盲ろう</t>
  </si>
  <si>
    <t>同援日跨増深０．５・深０．５・基礎・盲ろう</t>
  </si>
  <si>
    <t>同援日跨増深０．５・深０．５・２人・盲ろう</t>
  </si>
  <si>
    <t>同援日跨増深０．５・深０．５・盲ろう</t>
  </si>
  <si>
    <t>同援日跨増深０．５・深０．５・基礎・２人</t>
  </si>
  <si>
    <t>同援日跨増深０．５・深０．５・基礎</t>
  </si>
  <si>
    <t>同援日跨増深０．５・深０．５・２人</t>
  </si>
  <si>
    <t>同援日跨増深０．５・深０．５</t>
  </si>
  <si>
    <t>Ａ</t>
    <phoneticPr fontId="1"/>
  </si>
  <si>
    <t>同援深２．０・早０．５・日０．５・基礎・２人・盲ろう・区４</t>
  </si>
  <si>
    <t>同援深２．０・早０．５・日０．５・基礎・盲ろう・区４</t>
  </si>
  <si>
    <t>同援深２．０・早０．５・日０．５・２人・盲ろう・区４</t>
  </si>
  <si>
    <t>同援深２．０・早０．５・日０．５・盲ろう・区４</t>
  </si>
  <si>
    <t>同援深２．０・早０．５・日０．５・基礎・２人・区４</t>
  </si>
  <si>
    <t>同援深２．０・早０．５・日０．５・基礎・区４</t>
  </si>
  <si>
    <t>同援深２．０・早０．５・日０．５・２人・区４</t>
  </si>
  <si>
    <t>同援深２．０・早０．５・日０．５・区４</t>
  </si>
  <si>
    <t>同援深２．０・早０．５・日０．５・基礎・２人・盲ろう・区３</t>
  </si>
  <si>
    <t>同援深２．０・早０．５・日０．５・基礎・盲ろう・区３</t>
  </si>
  <si>
    <t>同援深２．０・早０．５・日０．５・２人・盲ろう・区３</t>
  </si>
  <si>
    <t>同援深２．０・早０．５・日０．５・盲ろう・区３</t>
  </si>
  <si>
    <t>同援深２．０・早０．５・日０．５・基礎・２人・区３</t>
  </si>
  <si>
    <t>同援深２．０・早０．５・日０．５・基礎・区３</t>
  </si>
  <si>
    <t>同援深２．０・早０．５・日０．５・２人・区３</t>
  </si>
  <si>
    <t>同援深２．０・早０．５・日０．５・区３</t>
  </si>
  <si>
    <t>同援深２．０・早０．５・日０．５・基礎・２人・盲ろう</t>
  </si>
  <si>
    <t>同援深２．０・早０．５・日０．５・基礎・盲ろう</t>
  </si>
  <si>
    <t>同援深２．０・早０．５・日０．５・２人・盲ろう</t>
  </si>
  <si>
    <t>同援深２．０・早０．５・日０．５・盲ろう</t>
  </si>
  <si>
    <t>同援深２．０・早０．５・日０．５・基礎・２人</t>
  </si>
  <si>
    <t>同援深２．０・早０．５・日０．５・基礎</t>
  </si>
  <si>
    <t>同援深２．０・早０．５・日０．５・２人</t>
  </si>
  <si>
    <t>同援深２．０・早０．５・日０．５</t>
  </si>
  <si>
    <t>同援深１．５・早１．０・日０．５・基礎・２人・盲ろう・区４</t>
  </si>
  <si>
    <t>同援深１．５・早１．０・日０．５・基礎・盲ろう・区４</t>
  </si>
  <si>
    <t>同援深１．５・早１．０・日０．５・２人・盲ろう・区４</t>
  </si>
  <si>
    <t>同援深１．５・早１．０・日０．５・盲ろう・区４</t>
  </si>
  <si>
    <t>同援深１．５・早１．０・日０．５・基礎・２人・区４</t>
  </si>
  <si>
    <t>同援深１．５・早１．０・日０．５・基礎・区４</t>
  </si>
  <si>
    <t>同援深１．５・早１．０・日０．５・２人・区４</t>
  </si>
  <si>
    <t>同援深１．５・早１．０・日０．５・区４</t>
  </si>
  <si>
    <t>同援深１．５・早１．０・日０．５・基礎・２人・盲ろう・区３</t>
  </si>
  <si>
    <t>同援深１．５・早１．０・日０．５・基礎・盲ろう・区３</t>
  </si>
  <si>
    <t>同援深１．５・早１．０・日０．５・２人・盲ろう・区３</t>
  </si>
  <si>
    <t>同援深１．５・早１．０・日０．５・盲ろう・区３</t>
  </si>
  <si>
    <t>同援深１．５・早１．０・日０．５・基礎・２人・区３</t>
  </si>
  <si>
    <t>同援深１．５・早１．０・日０．５・基礎・区３</t>
  </si>
  <si>
    <t>同援深１．５・早１．０・日０．５・２人・区３</t>
  </si>
  <si>
    <t>同援深１．５・早１．０・日０．５・区３</t>
  </si>
  <si>
    <t>同援深１．５・早１．０・日０．５・基礎・２人・盲ろう</t>
  </si>
  <si>
    <t>同援深１．５・早１．０・日０．５・基礎・盲ろう</t>
  </si>
  <si>
    <t>同援深１．５・早１．０・日０．５・２人・盲ろう</t>
  </si>
  <si>
    <t>同援深１．５・早１．０・日０．５・盲ろう</t>
  </si>
  <si>
    <t>同援深１．５・早１．０・日０．５・基礎・２人</t>
  </si>
  <si>
    <t>同援深１．５・早１．０・日０．５・基礎</t>
  </si>
  <si>
    <t>同援深１．５・早１．０・日０．５・２人</t>
  </si>
  <si>
    <t>同援深１．５・早１．０・日０．５</t>
  </si>
  <si>
    <t>同援深１．５・早０．５・日１．０・基礎・２人・盲ろう・区４</t>
  </si>
  <si>
    <t>同援深１．５・早０．５・日１．０・基礎・盲ろう・区４</t>
  </si>
  <si>
    <t>同援深１．５・早０．５・日１．０・２人・盲ろう・区４</t>
  </si>
  <si>
    <t>同援深１．５・早０．５・日１．０・盲ろう・区４</t>
  </si>
  <si>
    <t>同援深１．５・早０．５・日１．０・基礎・２人・区４</t>
  </si>
  <si>
    <t>同援深１．５・早０．５・日１．０・基礎・区４</t>
  </si>
  <si>
    <t>同援深１．５・早０．５・日１．０・２人・区４</t>
  </si>
  <si>
    <t>同援深１．５・早０．５・日１．０・区４</t>
  </si>
  <si>
    <t>同援深１．５・早０．５・日１．０・基礎・２人・盲ろう・区３</t>
  </si>
  <si>
    <t>同援深１．５・早０．５・日１．０・基礎・盲ろう・区３</t>
  </si>
  <si>
    <t>同援深１．５・早０．５・日１．０・２人・盲ろう・区３</t>
  </si>
  <si>
    <t>同援深１．５・早０．５・日１．０・盲ろう・区３</t>
  </si>
  <si>
    <t>同援深１．５・早０．５・日１．０・基礎・２人・区３</t>
  </si>
  <si>
    <t>同援深１．５・早０．５・日１．０・基礎・区３</t>
  </si>
  <si>
    <t>同援深１．５・早０．５・日１．０・２人・区３</t>
  </si>
  <si>
    <t>同援深１．５・早０．５・日１．０・区３</t>
  </si>
  <si>
    <t>同援深１．５・早０．５・日１．０・基礎・２人・盲ろう</t>
  </si>
  <si>
    <t>同援深１．５・早０．５・日１．０・基礎・盲ろう</t>
  </si>
  <si>
    <t>同援深１．５・早０．５・日１．０・２人・盲ろう</t>
  </si>
  <si>
    <t>同援深１．５・早０．５・日１．０・盲ろう</t>
  </si>
  <si>
    <t>同援深１．５・早０．５・日１．０・基礎・２人</t>
  </si>
  <si>
    <t>同援深１．５・早０．５・日１．０・基礎</t>
  </si>
  <si>
    <t>同援深１．５・早０．５・日１．０・２人</t>
  </si>
  <si>
    <t>同援深１．５・早０．５・日１．０</t>
  </si>
  <si>
    <t>同援深１．５・早０．５・日０．５・基礎・２人・盲ろう・区４</t>
  </si>
  <si>
    <t>同援深１．５・早０．５・日０．５・基礎・盲ろう・区４</t>
  </si>
  <si>
    <t>同援深１．５・早０．５・日０．５・２人・盲ろう・区４</t>
  </si>
  <si>
    <t>同援深１．５・早０．５・日０．５・盲ろう・区４</t>
  </si>
  <si>
    <t>同援深１．５・早０．５・日０．５・基礎・２人・区４</t>
  </si>
  <si>
    <t>同援深１．５・早０．５・日０．５・基礎・区４</t>
  </si>
  <si>
    <t>同援深１．５・早０．５・日０．５・２人・区４</t>
  </si>
  <si>
    <t>同援深１．５・早０．５・日０．５・区４</t>
  </si>
  <si>
    <t>同援深１．５・早０．５・日０．５・基礎・２人・盲ろう・区３</t>
  </si>
  <si>
    <t>同援深１．５・早０．５・日０．５・基礎・盲ろう・区３</t>
  </si>
  <si>
    <t>同援深１．５・早０．５・日０．５・２人・盲ろう・区３</t>
  </si>
  <si>
    <t>同援深１．５・早０．５・日０．５・盲ろう・区３</t>
  </si>
  <si>
    <t>同援深１．５・早０．５・日０．５・基礎・２人・区３</t>
  </si>
  <si>
    <t>同援深１．５・早０．５・日０．５・基礎・区３</t>
  </si>
  <si>
    <t>同援深１．５・早０．５・日０．５・２人・区３</t>
  </si>
  <si>
    <t>同援深１．５・早０．５・日０．５・区３</t>
  </si>
  <si>
    <t>同援深１．５・早０．５・日０．５・基礎・２人・盲ろう</t>
  </si>
  <si>
    <t>同援深１．５・早０．５・日０．５・基礎・盲ろう</t>
  </si>
  <si>
    <t>同援深１．５・早０．５・日０．５・２人・盲ろう</t>
  </si>
  <si>
    <t>同援深１．５・早０．５・日０．５・盲ろう</t>
  </si>
  <si>
    <t>同援深１．５・早０．５・日０．５・基礎・２人</t>
  </si>
  <si>
    <t>同援深１．５・早０．５・日０．５・基礎</t>
  </si>
  <si>
    <t>同援深１．５・早０．５・日０．５・２人</t>
  </si>
  <si>
    <t>同援深１．５・早０．５・日０．５</t>
  </si>
  <si>
    <t>同援深１．０・早１．５・日０．５・基礎・２人・盲ろう・区４</t>
  </si>
  <si>
    <t>同援深１．０・早１．５・日０．５・基礎・盲ろう・区４</t>
  </si>
  <si>
    <t>同援深１．０・早１．５・日０．５・２人・盲ろう・区４</t>
  </si>
  <si>
    <t>同援深１．０・早１．５・日０．５・盲ろう・区４</t>
  </si>
  <si>
    <t>同援深１．０・早１．５・日０．５・基礎・２人・区４</t>
  </si>
  <si>
    <t>同援深１．０・早１．５・日０．５・基礎・区４</t>
  </si>
  <si>
    <t>同援深１．０・早１．５・日０．５・２人・区４</t>
  </si>
  <si>
    <t>同援深１．０・早１．５・日０．５・区４</t>
  </si>
  <si>
    <t>同援深１．０・早１．５・日０．５・基礎・２人・盲ろう・区３</t>
  </si>
  <si>
    <t>同援深１．０・早１．５・日０．５・基礎・盲ろう・区３</t>
  </si>
  <si>
    <t>同援深１．０・早１．５・日０．５・２人・盲ろう・区３</t>
  </si>
  <si>
    <t>同援深１．０・早１．５・日０．５・盲ろう・区３</t>
  </si>
  <si>
    <t>同援深１．０・早１．５・日０．５・基礎・２人・区３</t>
  </si>
  <si>
    <t>同援深１．０・早１．５・日０．５・基礎・区３</t>
  </si>
  <si>
    <t>同援深１．０・早１．５・日０．５・２人・区３</t>
  </si>
  <si>
    <t>同援深１．０・早１．５・日０．５・区３</t>
  </si>
  <si>
    <t>同援深１．０・早１．５・日０．５・基礎・２人・盲ろう</t>
  </si>
  <si>
    <t>同援深１．０・早１．５・日０．５・基礎・盲ろう</t>
  </si>
  <si>
    <t>同援深１．０・早１．５・日０．５・２人・盲ろう</t>
  </si>
  <si>
    <t>同援深１．０・早１．５・日０．５・盲ろう</t>
  </si>
  <si>
    <t>同援深１．０・早１．５・日０．５・基礎・２人</t>
  </si>
  <si>
    <t>同援深１．０・早１．５・日０．５・基礎</t>
  </si>
  <si>
    <t>同援深１．０・早１．５・日０．５・２人</t>
  </si>
  <si>
    <t>(一)日中</t>
    <rPh sb="1" eb="2">
      <t>イチ</t>
    </rPh>
    <phoneticPr fontId="1"/>
  </si>
  <si>
    <t>同援深１．０・早１．５・日０．５</t>
  </si>
  <si>
    <t>同援深１．０・早１．０・日１．０・基礎・２人・盲ろう・区４</t>
  </si>
  <si>
    <t>同援深１．０・早１．０・日１．０・基礎・盲ろう・区４</t>
  </si>
  <si>
    <t>同援深１．０・早１．０・日１．０・２人・盲ろう・区４</t>
  </si>
  <si>
    <t>同援深１．０・早１．０・日１．０・盲ろう・区４</t>
  </si>
  <si>
    <t>同援深１．０・早１．０・日１．０・基礎・２人・区４</t>
  </si>
  <si>
    <t>同援深１．０・早１．０・日１．０・基礎・区４</t>
  </si>
  <si>
    <t>同援深１．０・早１．０・日１．０・２人・区４</t>
  </si>
  <si>
    <t>同援深１．０・早１．０・日１．０・区４</t>
  </si>
  <si>
    <t>同援深１．０・早１．０・日１．０・基礎・２人・盲ろう・区３</t>
  </si>
  <si>
    <t>同援深１．０・早１．０・日１．０・基礎・盲ろう・区３</t>
  </si>
  <si>
    <t>同援深１．０・早１．０・日１．０・２人・盲ろう・区３</t>
  </si>
  <si>
    <t>同援深１．０・早１．０・日１．０・盲ろう・区３</t>
  </si>
  <si>
    <t>同援深１．０・早１．０・日１．０・基礎・２人・区３</t>
  </si>
  <si>
    <t>同援深１．０・早１．０・日１．０・基礎・区３</t>
  </si>
  <si>
    <t>同援深１．０・早１．０・日１．０・２人・区３</t>
  </si>
  <si>
    <t>同援深１．０・早１．０・日１．０・区３</t>
  </si>
  <si>
    <t>同援深１．０・早１．０・日１．０・基礎・２人・盲ろう</t>
  </si>
  <si>
    <t>同援深１．０・早１．０・日１．０・基礎・盲ろう</t>
  </si>
  <si>
    <t>同援深１．０・早１．０・日１．０・２人・盲ろう</t>
  </si>
  <si>
    <t>同援深１．０・早１．０・日１．０・盲ろう</t>
  </si>
  <si>
    <t>同援深１．０・早１．０・日１．０・基礎・２人</t>
  </si>
  <si>
    <t>同援深１．０・早１．０・日１．０・基礎</t>
  </si>
  <si>
    <t>同援深１．０・早１．０・日１．０・２人</t>
  </si>
  <si>
    <t>同援深１．０・早１．０・日１．０</t>
  </si>
  <si>
    <t>同援深１．０・早１．０・日０．５・基礎・２人・盲ろう・区４</t>
  </si>
  <si>
    <t>同援深１．０・早１．０・日０．５・基礎・盲ろう・区４</t>
  </si>
  <si>
    <t>同援深１．０・早１．０・日０．５・２人・盲ろう・区４</t>
  </si>
  <si>
    <t>同援深１．０・早１．０・日０．５・盲ろう・区４</t>
  </si>
  <si>
    <t>同援深１．０・早１．０・日０．５・基礎・２人・区４</t>
  </si>
  <si>
    <t>同援深１．０・早１．０・日０．５・基礎・区４</t>
  </si>
  <si>
    <t>同援深１．０・早１．０・日０．５・２人・区４</t>
  </si>
  <si>
    <t>同援深１．０・早１．０・日０．５・区４</t>
  </si>
  <si>
    <t>同援深１．０・早１．０・日０．５・基礎・２人・盲ろう・区３</t>
  </si>
  <si>
    <t>同援深１．０・早１．０・日０．５・基礎・盲ろう・区３</t>
  </si>
  <si>
    <t>同援深１．０・早１．０・日０．５・２人・盲ろう・区３</t>
  </si>
  <si>
    <t>同援深１．０・早１．０・日０．５・盲ろう・区３</t>
  </si>
  <si>
    <t>同援深１．０・早１．０・日０．５・基礎・２人・区３</t>
  </si>
  <si>
    <t>同援深１．０・早１．０・日０．５・基礎・区３</t>
  </si>
  <si>
    <t>同援深１．０・早１．０・日０．５・２人・区３</t>
  </si>
  <si>
    <t>同援深１．０・早１．０・日０．５・区３</t>
  </si>
  <si>
    <t>同援深１．０・早１．０・日０．５・基礎・２人・盲ろう</t>
  </si>
  <si>
    <t>同援深１．０・早１．０・日０．５・基礎・盲ろう</t>
  </si>
  <si>
    <t>同援深１．０・早１．０・日０．５・２人・盲ろう</t>
  </si>
  <si>
    <t>同援深１．０・早１．０・日０．５・盲ろう</t>
  </si>
  <si>
    <t>同援深１．０・早１．０・日０．５・基礎・２人</t>
  </si>
  <si>
    <t>同援深１．０・早１．０・日０．５・基礎</t>
  </si>
  <si>
    <t>同援深１．０・早１．０・日０．５・２人</t>
  </si>
  <si>
    <t>同援深１．０・早１．０・日０．５</t>
  </si>
  <si>
    <t>同援深１．０・早０．５・日１．５・基礎・２人・盲ろう・区４</t>
  </si>
  <si>
    <t>同援深１．０・早０．５・日１．５・基礎・盲ろう・区４</t>
  </si>
  <si>
    <t>同援深１．０・早０．５・日１．５・２人・盲ろう・区４</t>
  </si>
  <si>
    <t>同援深１．０・早０．５・日１．５・盲ろう・区４</t>
  </si>
  <si>
    <t>同援深１．０・早０．５・日１．５・基礎・２人・区４</t>
  </si>
  <si>
    <t>同援深１．０・早０．５・日１．５・基礎・区４</t>
  </si>
  <si>
    <t>同援深１．０・早０．５・日１．５・２人・区４</t>
  </si>
  <si>
    <t>同援深１．０・早０．５・日１．５・区４</t>
  </si>
  <si>
    <t>同援深１．０・早０．５・日１．５・基礎・２人・盲ろう・区３</t>
  </si>
  <si>
    <t>同援深１．０・早０．５・日１．５・基礎・盲ろう・区３</t>
  </si>
  <si>
    <t>同援深１．０・早０．５・日１．５・２人・盲ろう・区３</t>
  </si>
  <si>
    <t>同援深１．０・早０．５・日１．５・盲ろう・区３</t>
  </si>
  <si>
    <t>同援深１．０・早０．５・日１．５・基礎・２人・区３</t>
  </si>
  <si>
    <t>同援深１．０・早０．５・日１．５・基礎・区３</t>
  </si>
  <si>
    <t>同援深１．０・早０．５・日１．５・２人・区３</t>
  </si>
  <si>
    <t>同援深１．０・早０．５・日１．５・区３</t>
  </si>
  <si>
    <t>同援深１．０・早０．５・日１．５・基礎・２人・盲ろう</t>
  </si>
  <si>
    <t>同援深１．０・早０．５・日１．５・基礎・盲ろう</t>
  </si>
  <si>
    <t>同援深１．０・早０．５・日１．５・２人・盲ろう</t>
  </si>
  <si>
    <t>同援深１．０・早０．５・日１．５・盲ろう</t>
  </si>
  <si>
    <t>同援深１．０・早０．５・日１．５・基礎・２人</t>
  </si>
  <si>
    <t>同援深１．０・早０．５・日１．５・基礎</t>
  </si>
  <si>
    <t>同援深１．０・早０．５・日１．５・２人</t>
  </si>
  <si>
    <t>同援深１．０・早０．５・日１．５</t>
  </si>
  <si>
    <t>同援深１．０・早０．５・日１．０・基礎・２人・盲ろう・区４</t>
  </si>
  <si>
    <t>同援深１．０・早０．５・日１．０・基礎・盲ろう・区４</t>
  </si>
  <si>
    <t>同援深１．０・早０．５・日１．０・２人・盲ろう・区４</t>
  </si>
  <si>
    <t>同援深１．０・早０．５・日１．０・盲ろう・区４</t>
  </si>
  <si>
    <t>同援深１．０・早０．５・日１．０・基礎・２人・区４</t>
  </si>
  <si>
    <t>同援深１．０・早０．５・日１．０・基礎・区４</t>
  </si>
  <si>
    <t>同援深１．０・早０．５・日１．０・２人・区４</t>
  </si>
  <si>
    <t>同援深１．０・早０．５・日１．０・区４</t>
  </si>
  <si>
    <t>同援深１．０・早０．５・日１．０・基礎・２人・盲ろう・区３</t>
  </si>
  <si>
    <t>同援深１．０・早０．５・日１．０・基礎・盲ろう・区３</t>
  </si>
  <si>
    <t>同援深１．０・早０．５・日１．０・２人・盲ろう・区３</t>
  </si>
  <si>
    <t>同援深１．０・早０．５・日１．０・盲ろう・区３</t>
  </si>
  <si>
    <t>同援深１．０・早０．５・日１．０・基礎・２人・区３</t>
  </si>
  <si>
    <t>同援深１．０・早０．５・日１．０・基礎・区３</t>
  </si>
  <si>
    <t>同援深１．０・早０．５・日１．０・２人・区３</t>
  </si>
  <si>
    <t>同援深１．０・早０．５・日１．０・区３</t>
  </si>
  <si>
    <t>同援深１．０・早０．５・日１．０・基礎・２人・盲ろう</t>
  </si>
  <si>
    <t>同援深１．０・早０．５・日１．０・基礎・盲ろう</t>
  </si>
  <si>
    <t>同援深１．０・早０．５・日１．０・２人・盲ろう</t>
  </si>
  <si>
    <t>同援深１．０・早０．５・日１．０・盲ろう</t>
  </si>
  <si>
    <t>同援深１．０・早０．５・日１．０・基礎・２人</t>
  </si>
  <si>
    <t>同援深１．０・早０．５・日１．０・基礎</t>
  </si>
  <si>
    <t>同援深１．０・早０．５・日１．０・２人</t>
  </si>
  <si>
    <t>同援深１．０・早０．５・日１．０</t>
  </si>
  <si>
    <t>同援深１．０・早０．５・日０．５・基礎・２人・盲ろう・区４</t>
  </si>
  <si>
    <t>同援深１．０・早０．５・日０．５・基礎・盲ろう・区４</t>
  </si>
  <si>
    <t>同援深１．０・早０．５・日０．５・２人・盲ろう・区４</t>
  </si>
  <si>
    <t>同援深１．０・早０．５・日０．５・盲ろう・区４</t>
  </si>
  <si>
    <t>同援深１．０・早０．５・日０．５・基礎・２人・区４</t>
  </si>
  <si>
    <t>同援深１．０・早０．５・日０．５・基礎・区４</t>
  </si>
  <si>
    <t>同援深１．０・早０．５・日０．５・２人・区４</t>
  </si>
  <si>
    <t>同援深１．０・早０．５・日０．５・区４</t>
  </si>
  <si>
    <t>同援深１．０・早０．５・日０．５・基礎・２人・盲ろう・区３</t>
  </si>
  <si>
    <t>同援深１．０・早０．５・日０．５・基礎・盲ろう・区３</t>
  </si>
  <si>
    <t>同援深１．０・早０．５・日０．５・２人・盲ろう・区３</t>
  </si>
  <si>
    <t>同援深１．０・早０．５・日０．５・盲ろう・区３</t>
  </si>
  <si>
    <t>同援深１．０・早０．５・日０．５・基礎・２人・区３</t>
  </si>
  <si>
    <t>同援深１．０・早０．５・日０．５・基礎・区３</t>
  </si>
  <si>
    <t>同援深１．０・早０．５・日０．５・２人・区３</t>
  </si>
  <si>
    <t>同援深１．０・早０．５・日０．５・区３</t>
  </si>
  <si>
    <t>同援深１．０・早０．５・日０．５・基礎・２人・盲ろう</t>
  </si>
  <si>
    <t>同援深１．０・早０．５・日０．５・基礎・盲ろう</t>
  </si>
  <si>
    <t>同援深１．０・早０．５・日０．５・２人・盲ろう</t>
  </si>
  <si>
    <t>同援深１．０・早０．５・日０．５・盲ろう</t>
  </si>
  <si>
    <t>同援深１．０・早０．５・日０．５・基礎・２人</t>
  </si>
  <si>
    <t>同援深１．０・早０．５・日０．５・基礎</t>
  </si>
  <si>
    <t>同援深１．０・早０．５・日０．５・２人</t>
  </si>
  <si>
    <t>同援深１．０・早０．５・日０．５</t>
  </si>
  <si>
    <t>同援深０．５・早１．５・日１．０・基礎・２人・盲ろう・区４</t>
  </si>
  <si>
    <t>同援深０．５・早１．５・日１．０・基礎・盲ろう・区４</t>
  </si>
  <si>
    <t>同援深０．５・早１．５・日１．０・２人・盲ろう・区４</t>
  </si>
  <si>
    <t>同援深０．５・早１．５・日１．０・盲ろう・区４</t>
  </si>
  <si>
    <t>同援深０．５・早１．５・日１．０・基礎・２人・区４</t>
  </si>
  <si>
    <t>同援深０．５・早１．５・日１．０・基礎・区４</t>
  </si>
  <si>
    <t>同援深０．５・早１．５・日１．０・２人・区４</t>
  </si>
  <si>
    <t>同援深０．５・早１．５・日１．０・区４</t>
  </si>
  <si>
    <t>同援深０．５・早１．５・日１．０・基礎・２人・盲ろう・区３</t>
  </si>
  <si>
    <t>同援深０．５・早１．５・日１．０・基礎・盲ろう・区３</t>
  </si>
  <si>
    <t>同援深０．５・早１．５・日１．０・２人・盲ろう・区３</t>
  </si>
  <si>
    <t>同援深０．５・早１．５・日１．０・盲ろう・区３</t>
  </si>
  <si>
    <t>同援深０．５・早１．５・日１．０・基礎・２人・区３</t>
  </si>
  <si>
    <t>同援深０．５・早１．５・日１．０・基礎・区３</t>
  </si>
  <si>
    <t>同援深０．５・早１．５・日１．０・２人・区３</t>
  </si>
  <si>
    <t>同援深０．５・早１．５・日１．０・区３</t>
  </si>
  <si>
    <t>同援深０．５・早１．５・日１．０・基礎・２人・盲ろう</t>
  </si>
  <si>
    <t>同援深０．５・早１．５・日１．０・基礎・盲ろう</t>
  </si>
  <si>
    <t>同援深０．５・早１．５・日１．０・２人・盲ろう</t>
  </si>
  <si>
    <t>同援深０．５・早１．５・日１．０・盲ろう</t>
  </si>
  <si>
    <t>同援深０．５・早１．５・日１．０・基礎・２人</t>
  </si>
  <si>
    <t>同援深０．５・早１．５・日１．０・基礎</t>
  </si>
  <si>
    <t>同援深０．５・早１．５・日１．０・２人</t>
  </si>
  <si>
    <t>同援深０．５・早１．５・日１．０</t>
  </si>
  <si>
    <t>同援深０．５・早１．５・日０．５・基礎・２人・盲ろう・区４</t>
  </si>
  <si>
    <t>同援深０．５・早１．５・日０．５・基礎・盲ろう・区４</t>
  </si>
  <si>
    <t>同援深０．５・早１．５・日０．５・２人・盲ろう・区４</t>
  </si>
  <si>
    <t>同援深０．５・早１．５・日０．５・盲ろう・区４</t>
  </si>
  <si>
    <t>同援深０．５・早１．５・日０．５・基礎・２人・区４</t>
  </si>
  <si>
    <t>同援深０．５・早１．５・日０．５・基礎・区４</t>
  </si>
  <si>
    <t>同援深０．５・早１．５・日０．５・２人・区４</t>
  </si>
  <si>
    <t>同援深０．５・早１．５・日０．５・区４</t>
  </si>
  <si>
    <t>同援深０．５・早１．５・日０．５・基礎・２人・盲ろう・区３</t>
  </si>
  <si>
    <t>同援深０．５・早１．５・日０．５・基礎・盲ろう・区３</t>
  </si>
  <si>
    <t>同援深０．５・早１．５・日０．５・２人・盲ろう・区３</t>
  </si>
  <si>
    <t>同援深０．５・早１．５・日０．５・盲ろう・区３</t>
  </si>
  <si>
    <t>同援深０．５・早１．５・日０．５・基礎・２人・区３</t>
  </si>
  <si>
    <t>同援深０．５・早１．５・日０．５・基礎・区３</t>
  </si>
  <si>
    <t>同援深０．５・早１．５・日０．５・２人・区３</t>
  </si>
  <si>
    <t>同援深０．５・早１．５・日０．５・区３</t>
  </si>
  <si>
    <t>同援深０．５・早１．５・日０．５・基礎・２人・盲ろう</t>
  </si>
  <si>
    <t>同援深０．５・早１．５・日０．５・基礎・盲ろう</t>
  </si>
  <si>
    <t>同援深０．５・早１．５・日０．５・２人・盲ろう</t>
  </si>
  <si>
    <t>同援深０．５・早１．５・日０．５・盲ろう</t>
  </si>
  <si>
    <t>同援深０．５・早１．５・日０．５・基礎・２人</t>
  </si>
  <si>
    <t>同援深０．５・早１．５・日０．５・基礎</t>
  </si>
  <si>
    <t>同援深０．５・早１．５・日０．５・２人</t>
  </si>
  <si>
    <t>同援深０．５・早１．５・日０．５</t>
  </si>
  <si>
    <t>同援深０．５・早１．０・日１．５・基礎・２人・盲ろう・区４</t>
  </si>
  <si>
    <t>同援深０．５・早１．０・日１．５・基礎・盲ろう・区４</t>
  </si>
  <si>
    <t>同援深０．５・早１．０・日１．５・２人・盲ろう・区４</t>
  </si>
  <si>
    <t>同援深０．５・早１．０・日１．５・盲ろう・区４</t>
  </si>
  <si>
    <t>同援深０．５・早１．０・日１．５・基礎・２人・区４</t>
  </si>
  <si>
    <t>同援深０．５・早１．０・日１．５・基礎・区４</t>
  </si>
  <si>
    <t>同援深０．５・早１．０・日１．５・２人・区４</t>
  </si>
  <si>
    <t>同援深０．５・早１．０・日１．５・区４</t>
  </si>
  <si>
    <t>同援深０．５・早１．０・日１．５・基礎・２人・盲ろう・区３</t>
  </si>
  <si>
    <t>同援深０．５・早１．０・日１．５・基礎・盲ろう・区３</t>
  </si>
  <si>
    <t>同援深０．５・早１．０・日１．５・２人・盲ろう・区３</t>
  </si>
  <si>
    <t>同援深０．５・早１．０・日１．５・盲ろう・区３</t>
  </si>
  <si>
    <t>同援深０．５・早１．０・日１．５・基礎・２人・区３</t>
  </si>
  <si>
    <t>同援深０．５・早１．０・日１．５・基礎・区３</t>
  </si>
  <si>
    <t>同援深０．５・早１．０・日１．５・２人・区３</t>
  </si>
  <si>
    <t>同援深０．５・早１．０・日１．５・区３</t>
  </si>
  <si>
    <t>同援深０．５・早１．０・日１．５・基礎・２人・盲ろう</t>
  </si>
  <si>
    <t>同援深０．５・早１．０・日１．５・基礎・盲ろう</t>
  </si>
  <si>
    <t>同援深０．５・早１．０・日１．５・２人・盲ろう</t>
  </si>
  <si>
    <t>同援深０．５・早１．０・日１．５・盲ろう</t>
  </si>
  <si>
    <t>同援深０．５・早１．０・日１．５・基礎・２人</t>
  </si>
  <si>
    <t>同援深０．５・早１．０・日１．５・基礎</t>
  </si>
  <si>
    <t>同援深０．５・早１．０・日１．５・２人</t>
  </si>
  <si>
    <t>同援深０．５・早１．０・日１．５</t>
  </si>
  <si>
    <t>同援深０．５・早１．０・日１．０・基礎・２人・盲ろう・区４</t>
  </si>
  <si>
    <t>同援深０．５・早１．０・日１．０・基礎・盲ろう・区４</t>
  </si>
  <si>
    <t>同援深０．５・早１．０・日１．０・２人・盲ろう・区４</t>
  </si>
  <si>
    <t>同援深０．５・早１．０・日１．０・盲ろう・区４</t>
  </si>
  <si>
    <t>同援深０．５・早１．０・日１．０・基礎・２人・区４</t>
  </si>
  <si>
    <t>同援深０．５・早１．０・日１．０・基礎・区４</t>
  </si>
  <si>
    <t>同援深０．５・早１．０・日１．０・２人・区４</t>
  </si>
  <si>
    <t>同援深０．５・早１．０・日１．０・区４</t>
  </si>
  <si>
    <t>同援深０．５・早１．０・日１．０・基礎・２人・盲ろう・区３</t>
  </si>
  <si>
    <t>同援深０．５・早１．０・日１．０・基礎・盲ろう・区３</t>
  </si>
  <si>
    <t>同援深０．５・早１．０・日１．０・２人・盲ろう・区３</t>
  </si>
  <si>
    <t>同援深０．５・早１．０・日１．０・盲ろう・区３</t>
  </si>
  <si>
    <t>同援深０．５・早１．０・日１．０・基礎・２人・区３</t>
  </si>
  <si>
    <t>同援深０．５・早１．０・日１．０・基礎・区３</t>
  </si>
  <si>
    <t>同援深０．５・早１．０・日１．０・２人・区３</t>
  </si>
  <si>
    <t>同援深０．５・早１．０・日１．０・区３</t>
  </si>
  <si>
    <t>同援深０．５・早１．０・日１．０・基礎・２人・盲ろう</t>
  </si>
  <si>
    <t>同援深０．５・早１．０・日１．０・基礎・盲ろう</t>
  </si>
  <si>
    <t>同援深０．５・早１．０・日１．０・２人・盲ろう</t>
  </si>
  <si>
    <t>同援深０．５・早１．０・日１．０・盲ろう</t>
  </si>
  <si>
    <t>同援深０．５・早１．０・日１．０・基礎・２人</t>
  </si>
  <si>
    <t>同援深０．５・早１．０・日１．０・基礎</t>
  </si>
  <si>
    <t>同援深０．５・早１．０・日１．０・２人</t>
  </si>
  <si>
    <t>同援深０．５・早１．０・日１．０</t>
  </si>
  <si>
    <t>同援深０．５・早１．０・日０．５・基礎・２人・盲ろう・区４</t>
  </si>
  <si>
    <t>同援深０．５・早１．０・日０．５・基礎・盲ろう・区４</t>
  </si>
  <si>
    <t>同援深０．５・早１．０・日０．５・２人・盲ろう・区４</t>
  </si>
  <si>
    <t>同援深０．５・早１．０・日０．５・盲ろう・区４</t>
  </si>
  <si>
    <t>同援深０．５・早１．０・日０．５・基礎・２人・区４</t>
  </si>
  <si>
    <t>同援深０．５・早１．０・日０．５・基礎・区４</t>
  </si>
  <si>
    <t>同援深０．５・早１．０・日０．５・２人・区４</t>
  </si>
  <si>
    <t>同援深０．５・早１．０・日０．５・区４</t>
  </si>
  <si>
    <t>同援深０．５・早１．０・日０．５・基礎・２人・盲ろう・区３</t>
  </si>
  <si>
    <t>同援深０．５・早１．０・日０．５・基礎・盲ろう・区３</t>
  </si>
  <si>
    <t>同援深０．５・早１．０・日０．５・２人・盲ろう・区３</t>
  </si>
  <si>
    <t>同援深０．５・早１．０・日０．５・盲ろう・区３</t>
  </si>
  <si>
    <t>同援深０．５・早１．０・日０．５・基礎・２人・区３</t>
  </si>
  <si>
    <t>同援深０．５・早１．０・日０．５・基礎・区３</t>
  </si>
  <si>
    <t>同援深０．５・早１．０・日０．５・２人・区３</t>
  </si>
  <si>
    <t>同援深０．５・早１．０・日０．５・区３</t>
  </si>
  <si>
    <t>同援深０．５・早１．０・日０．５・基礎・２人・盲ろう</t>
  </si>
  <si>
    <t>同援深０．５・早１．０・日０．５・基礎・盲ろう</t>
  </si>
  <si>
    <t>同援深０．５・早１．０・日０．５・２人・盲ろう</t>
  </si>
  <si>
    <t>同援深０．５・早１．０・日０．５・盲ろう</t>
  </si>
  <si>
    <t>同援深０．５・早１．０・日０．５・基礎・２人</t>
  </si>
  <si>
    <t>同援深０．５・早１．０・日０．５・基礎</t>
  </si>
  <si>
    <t>同援深０．５・早１．０・日０．５・２人</t>
  </si>
  <si>
    <t>同援深０．５・早１．０・日０．５</t>
  </si>
  <si>
    <t>同援深０．５・早０．５・日２．０・基礎・２人・盲ろう・区４</t>
  </si>
  <si>
    <t>同援深０．５・早０．５・日２．０・基礎・盲ろう・区４</t>
  </si>
  <si>
    <t>同援深０．５・早０．５・日２．０・２人・盲ろう・区４</t>
  </si>
  <si>
    <t>同援深０．５・早０．５・日２．０・盲ろう・区４</t>
  </si>
  <si>
    <t>同援深０．５・早０．５・日２．０・基礎・２人・区４</t>
  </si>
  <si>
    <t>同援深０．５・早０．５・日２．０・基礎・区４</t>
  </si>
  <si>
    <t>同援深０．５・早０．５・日２．０・２人・区４</t>
  </si>
  <si>
    <t>同援深０．５・早０．５・日２．０・区４</t>
  </si>
  <si>
    <t>同援深０．５・早０．５・日２．０・基礎・２人・盲ろう・区３</t>
  </si>
  <si>
    <t>同援深０．５・早０．５・日２．０・基礎・盲ろう・区３</t>
  </si>
  <si>
    <t>同援深０．５・早０．５・日２．０・２人・盲ろう・区３</t>
  </si>
  <si>
    <t>同援深０．５・早０．５・日２．０・盲ろう・区３</t>
  </si>
  <si>
    <t>同援深０．５・早０．５・日２．０・基礎・２人・区３</t>
  </si>
  <si>
    <t>同援深０．５・早０．５・日２．０・基礎・区３</t>
  </si>
  <si>
    <t>同援深０．５・早０．５・日２．０・２人・区３</t>
  </si>
  <si>
    <t>同援深０．５・早０．５・日２．０・区３</t>
  </si>
  <si>
    <t>同援深０．５・早０．５・日２．０・基礎・２人・盲ろう</t>
  </si>
  <si>
    <t>同援深０．５・早０．５・日２．０・基礎・盲ろう</t>
  </si>
  <si>
    <t>同援深０．５・早０．５・日２．０・２人・盲ろう</t>
  </si>
  <si>
    <t>同援深０．５・早０．５・日２．０・盲ろう</t>
  </si>
  <si>
    <t>同援深０．５・早０．５・日２．０・基礎・２人</t>
  </si>
  <si>
    <t>同援深０．５・早０．５・日２．０・基礎</t>
  </si>
  <si>
    <t>同援深０．５・早０．５・日２．０・２人</t>
  </si>
  <si>
    <t>同援深０．５・早０．５・日２．０</t>
  </si>
  <si>
    <t>同援深０．５・早０．５・日１．５・基礎・２人・盲ろう・区４</t>
  </si>
  <si>
    <t>同援深０．５・早０．５・日１．５・基礎・盲ろう・区４</t>
  </si>
  <si>
    <t>同援深０．５・早０．５・日１．５・２人・盲ろう・区４</t>
  </si>
  <si>
    <t>同援深０．５・早０．５・日１．５・盲ろう・区４</t>
  </si>
  <si>
    <t>同援深０．５・早０．５・日１．５・基礎・２人・区４</t>
  </si>
  <si>
    <t>同援深０．５・早０．５・日１．５・基礎・区４</t>
  </si>
  <si>
    <t>同援深０．５・早０．５・日１．５・２人・区４</t>
  </si>
  <si>
    <t>同援深０．５・早０．５・日１．５・区４</t>
  </si>
  <si>
    <t>同援深０．５・早０．５・日１．５・基礎・２人・盲ろう・区３</t>
  </si>
  <si>
    <t>同援深０．５・早０．５・日１．５・基礎・盲ろう・区３</t>
  </si>
  <si>
    <t>同援深０．５・早０．５・日１．５・２人・盲ろう・区３</t>
  </si>
  <si>
    <t>同援深０．５・早０．５・日１．５・盲ろう・区３</t>
  </si>
  <si>
    <t>同援深０．５・早０．５・日１．５・基礎・２人・区３</t>
  </si>
  <si>
    <t>同援深０．５・早０．５・日１．５・基礎・区３</t>
  </si>
  <si>
    <t>同援深０．５・早０．５・日１．５・２人・区３</t>
  </si>
  <si>
    <t>同援深０．５・早０．５・日１．５・区３</t>
  </si>
  <si>
    <t>同援深０．５・早０．５・日１．５・基礎・２人・盲ろう</t>
  </si>
  <si>
    <t>同援深０．５・早０．５・日１．５・基礎・盲ろう</t>
  </si>
  <si>
    <t>同援深０．５・早０．５・日１．５・２人・盲ろう</t>
  </si>
  <si>
    <t>同援深０．５・早０．５・日１．５・盲ろう</t>
  </si>
  <si>
    <t>同援深０．５・早０．５・日１．５・基礎・２人</t>
  </si>
  <si>
    <t>同援深０．５・早０．５・日１．５・基礎</t>
  </si>
  <si>
    <t>同援深０．５・早０．５・日１．５・２人</t>
  </si>
  <si>
    <t>同援深０．５・早０．５・日１．５</t>
  </si>
  <si>
    <t>同援深０．５・早０．５・日１．０・基礎・２人・盲ろう・区４</t>
  </si>
  <si>
    <t>同援深０．５・早０．５・日１．０・基礎・盲ろう・区４</t>
  </si>
  <si>
    <t>同援深０．５・早０．５・日１．０・２人・盲ろう・区４</t>
  </si>
  <si>
    <t>同援深０．５・早０．５・日１．０・盲ろう・区４</t>
  </si>
  <si>
    <t>同援深０．５・早０．５・日１．０・基礎・２人・区４</t>
  </si>
  <si>
    <t>同援深０．５・早０．５・日１．０・基礎・区４</t>
  </si>
  <si>
    <t>同援深０．５・早０．５・日１．０・２人・区４</t>
  </si>
  <si>
    <t>同援深０．５・早０．５・日１．０・区４</t>
  </si>
  <si>
    <t>同援深０．５・早０．５・日１．０・基礎・２人・盲ろう・区３</t>
  </si>
  <si>
    <t>同援深０．５・早０．５・日１．０・基礎・盲ろう・区３</t>
  </si>
  <si>
    <t>同援深０．５・早０．５・日１．０・２人・盲ろう・区３</t>
  </si>
  <si>
    <t>同援深０．５・早０．５・日１．０・盲ろう・区３</t>
  </si>
  <si>
    <t>同援深０．５・早０．５・日１．０・基礎・２人・区３</t>
  </si>
  <si>
    <t>同援深０．５・早０．５・日１．０・基礎・区３</t>
  </si>
  <si>
    <t>同援深０．５・早０．５・日１．０・２人・区３</t>
  </si>
  <si>
    <t>同援深０．５・早０．５・日１．０・区３</t>
  </si>
  <si>
    <t>同援深０．５・早０．５・日１．０・基礎・２人・盲ろう</t>
  </si>
  <si>
    <t>同援深０．５・早０．５・日１．０・基礎・盲ろう</t>
  </si>
  <si>
    <t>同援深０．５・早０．５・日１．０・２人・盲ろう</t>
  </si>
  <si>
    <t>同援深０．５・早０．５・日１．０・盲ろう</t>
  </si>
  <si>
    <t>同援深０．５・早０．５・日１．０・基礎・２人</t>
  </si>
  <si>
    <t>同援深０．５・早０．５・日１．０・基礎</t>
  </si>
  <si>
    <t>同援深０．５・早０．５・日１．０・２人</t>
  </si>
  <si>
    <t>同援深０．５・早０．５・日１．０</t>
  </si>
  <si>
    <t>同援深０．５・早０．５・日０．５・基礎・２人・盲ろう・区４</t>
  </si>
  <si>
    <t>同援深０．５・早０．５・日０．５・基礎・盲ろう・区４</t>
  </si>
  <si>
    <t>同援深０．５・早０．５・日０．５・２人・盲ろう・区４</t>
  </si>
  <si>
    <t>同援深０．５・早０．５・日０．５・盲ろう・区４</t>
  </si>
  <si>
    <t>同援深０．５・早０．５・日０．５・基礎・２人・区４</t>
  </si>
  <si>
    <t>同援深０．５・早０．５・日０．５・基礎・区４</t>
  </si>
  <si>
    <t>同援深０．５・早０．５・日０．５・２人・区４</t>
  </si>
  <si>
    <t>同援深０．５・早０．５・日０．５・区４</t>
  </si>
  <si>
    <t>同援深０．５・早０．５・日０．５・基礎・２人・盲ろう・区３</t>
  </si>
  <si>
    <t>同援深０．５・早０．５・日０．５・基礎・盲ろう・区３</t>
  </si>
  <si>
    <t>同援深０．５・早０．５・日０．５・２人・盲ろう・区３</t>
  </si>
  <si>
    <t>同援深０．５・早０．５・日０．５・盲ろう・区３</t>
  </si>
  <si>
    <t>同援深０．５・早０．５・日０．５・基礎・２人・区３</t>
  </si>
  <si>
    <t>同援深０．５・早０．５・日０．５・基礎・区３</t>
  </si>
  <si>
    <t>同援深０．５・早０．５・日０．５・２人・区３</t>
  </si>
  <si>
    <t>同援深０．５・早０．５・日０．５・区３</t>
  </si>
  <si>
    <t>同援深０．５・早０．５・日０．５・基礎・２人・盲ろう</t>
  </si>
  <si>
    <t>場合 B</t>
  </si>
  <si>
    <t>同援深０．５・早０．５・日０．５・基礎・盲ろう</t>
  </si>
  <si>
    <t>同援深０．５・早０．５・日０．５・２人・盲ろう</t>
  </si>
  <si>
    <t>同援深０．５・早０．５・日０．５・盲ろう</t>
  </si>
  <si>
    <t>同援深０．５・早０．５・日０．５・基礎・２人</t>
  </si>
  <si>
    <t>同援深０．５・早０．５・日０．５・基礎</t>
  </si>
  <si>
    <t>同援深０．５・早０．５・日０．５・２人</t>
  </si>
  <si>
    <t>同援深０．５・早０．５・日０．５</t>
  </si>
  <si>
    <t>同援深２．５・日０．５・基礎・２人・盲ろう・区４</t>
  </si>
  <si>
    <t>同援深２．５・日０．５・基礎・盲ろう・区４</t>
  </si>
  <si>
    <t>同援深２．５・日０．５・２人・盲ろう・区４</t>
  </si>
  <si>
    <t>同援深２．５・日０．５・盲ろう・区４</t>
  </si>
  <si>
    <t>同援深２．５・日０．５・基礎・２人・区４</t>
  </si>
  <si>
    <t>同援深２．５・日０．５・基礎・区４</t>
  </si>
  <si>
    <t>同援深２．５・日０．５・２人・区４</t>
  </si>
  <si>
    <t>同援深２．５・日０．５・区４</t>
  </si>
  <si>
    <t>同援深２．５・日０．５・基礎・２人・盲ろう・区３</t>
  </si>
  <si>
    <t>同援深２．５・日０．５・基礎・盲ろう・区３</t>
  </si>
  <si>
    <t>同援深２．５・日０．５・２人・盲ろう・区３</t>
  </si>
  <si>
    <t>同援深２．５・日０．５・盲ろう・区３</t>
  </si>
  <si>
    <t>同援深２．５・日０．５・基礎・２人・区３</t>
  </si>
  <si>
    <t>同援深２．５・日０．５・基礎・区３</t>
  </si>
  <si>
    <t>同援深２．５・日０．５・２人・区３</t>
  </si>
  <si>
    <t>同援深２．５・日０．５・区３</t>
  </si>
  <si>
    <t>同援深２．５・日０．５・基礎・２人・盲ろう</t>
  </si>
  <si>
    <t>同援深２．５・日０．５・基礎・盲ろう</t>
  </si>
  <si>
    <t>同援深２．５・日０．５・２人・盲ろう</t>
  </si>
  <si>
    <t>同援深２．５・日０．５・盲ろう</t>
  </si>
  <si>
    <t>同援深２．５・日０．５・基礎・２人</t>
  </si>
  <si>
    <t>同援深２．５・日０．５・基礎</t>
  </si>
  <si>
    <t>同援深２．５・日０．５・２人</t>
  </si>
  <si>
    <t>同援深２．５・日０．５</t>
  </si>
  <si>
    <t>同援深２．０・日１．０・基礎・２人・盲ろう・区４</t>
  </si>
  <si>
    <t>同援深２．０・日１．０・基礎・盲ろう・区４</t>
  </si>
  <si>
    <t>同援深２．０・日１．０・２人・盲ろう・区４</t>
  </si>
  <si>
    <t>同援深２．０・日１．０・盲ろう・区４</t>
  </si>
  <si>
    <t>同援深２．０・日１．０・基礎・２人・区４</t>
  </si>
  <si>
    <t>同援深２．０・日１．０・基礎・区４</t>
  </si>
  <si>
    <t>同援深２．０・日１．０・２人・区４</t>
  </si>
  <si>
    <t>同援深２．０・日１．０・区４</t>
  </si>
  <si>
    <t>同援深２．０・日１．０・基礎・２人・盲ろう・区３</t>
  </si>
  <si>
    <t>同援深２．０・日１．０・基礎・盲ろう・区３</t>
  </si>
  <si>
    <t>同援深２．０・日１．０・２人・盲ろう・区３</t>
  </si>
  <si>
    <t>同援深２．０・日１．０・盲ろう・区３</t>
  </si>
  <si>
    <t>同援深２．０・日１．０・基礎・２人・区３</t>
  </si>
  <si>
    <t>同援深２．０・日１．０・基礎・区３</t>
  </si>
  <si>
    <t>同援深２．０・日１．０・２人・区３</t>
  </si>
  <si>
    <t>同援深２．０・日１．０・区３</t>
  </si>
  <si>
    <t>同援深２．０・日１．０・基礎・２人・盲ろう</t>
  </si>
  <si>
    <t>同援深２．０・日１．０・基礎・盲ろう</t>
  </si>
  <si>
    <t>同援深２．０・日１．０・２人・盲ろう</t>
  </si>
  <si>
    <t>同援深２．０・日１．０・盲ろう</t>
  </si>
  <si>
    <t>同援深２．０・日１．０・基礎・２人</t>
  </si>
  <si>
    <t>同援深２．０・日１．０・基礎</t>
  </si>
  <si>
    <t>同援深２．０・日１．０・２人</t>
  </si>
  <si>
    <t>同援深２．０・日１．０</t>
  </si>
  <si>
    <t>同援深２．０・日０．５・基礎・２人・盲ろう・区４</t>
  </si>
  <si>
    <t>同援深２．０・日０．５・基礎・盲ろう・区４</t>
  </si>
  <si>
    <t>同援深２．０・日０．５・２人・盲ろう・区４</t>
  </si>
  <si>
    <t>同援深２．０・日０．５・盲ろう・区４</t>
  </si>
  <si>
    <t>同援深２．０・日０．５・基礎・２人・区４</t>
  </si>
  <si>
    <t>同援深２．０・日０．５・基礎・区４</t>
  </si>
  <si>
    <t>同援深２．０・日０．５・２人・区４</t>
  </si>
  <si>
    <t>同援深２．０・日０．５・区４</t>
  </si>
  <si>
    <t>同援深２．０・日０．５・基礎・２人・盲ろう・区３</t>
  </si>
  <si>
    <t>同援深２．０・日０．５・基礎・盲ろう・区３</t>
  </si>
  <si>
    <t>同援深２．０・日０．５・２人・盲ろう・区３</t>
  </si>
  <si>
    <t>同援深２．０・日０．５・盲ろう・区３</t>
  </si>
  <si>
    <t>同援深２．０・日０．５・基礎・２人・区３</t>
  </si>
  <si>
    <t>同援深２．０・日０．５・基礎・区３</t>
  </si>
  <si>
    <t>同援深２．０・日０．５・２人・区３</t>
  </si>
  <si>
    <t>同援深２．０・日０．５・区３</t>
  </si>
  <si>
    <t>同援深２．０・日０．５・基礎・２人・盲ろう</t>
  </si>
  <si>
    <t>同援深２．０・日０．５・基礎・盲ろう</t>
  </si>
  <si>
    <t>同援深２．０・日０．５・２人・盲ろう</t>
  </si>
  <si>
    <t>同援深２．０・日０．５・盲ろう</t>
  </si>
  <si>
    <t>同援深２．０・日０．５・基礎・２人</t>
  </si>
  <si>
    <t>同援深２．０・日０．５・基礎</t>
  </si>
  <si>
    <t>同援深２．０・日０．５・２人</t>
  </si>
  <si>
    <t>同援深２．０・日０．５</t>
  </si>
  <si>
    <t>同援深１．５・日１．５・基礎・２人・盲ろう・区４</t>
  </si>
  <si>
    <t>同援深１．５・日１．５・基礎・盲ろう・区４</t>
  </si>
  <si>
    <t>同援深１．５・日１．５・２人・盲ろう・区４</t>
  </si>
  <si>
    <t>同援深１．５・日１．５・盲ろう・区４</t>
  </si>
  <si>
    <t>同援深１．５・日１．５・基礎・２人・区４</t>
  </si>
  <si>
    <t>同援深１．５・日１．５・基礎・区４</t>
  </si>
  <si>
    <t>同援深１．５・日１．５・２人・区４</t>
  </si>
  <si>
    <t>同援深１．５・日１．５・区４</t>
  </si>
  <si>
    <t>同援深１．５・日１．５・基礎・２人・盲ろう・区３</t>
  </si>
  <si>
    <t>同援深１．５・日１．５・基礎・盲ろう・区３</t>
  </si>
  <si>
    <t>同援深１．５・日１．５・２人・盲ろう・区３</t>
  </si>
  <si>
    <t>同援深１．５・日１．５・盲ろう・区３</t>
  </si>
  <si>
    <t>同援深１．５・日１．５・基礎・２人・区３</t>
  </si>
  <si>
    <t>同援深１．５・日１．５・基礎・区３</t>
  </si>
  <si>
    <t>同援深１．５・日１．５・２人・区３</t>
  </si>
  <si>
    <t>同援深１．５・日１．５・区３</t>
  </si>
  <si>
    <t>同援深１．５・日１．５・基礎・２人・盲ろう</t>
  </si>
  <si>
    <t>同援深１．５・日１．５・基礎・盲ろう</t>
  </si>
  <si>
    <t>同援深１．５・日１．５・２人・盲ろう</t>
  </si>
  <si>
    <t>同援深１．５・日１．５・盲ろう</t>
  </si>
  <si>
    <t>同援深１．５・日１．５・基礎・２人</t>
  </si>
  <si>
    <t>同援深１．５・日１．５・基礎</t>
  </si>
  <si>
    <t>同援深１．５・日１．５・２人</t>
  </si>
  <si>
    <t>同援深１．５・日１．５</t>
  </si>
  <si>
    <t>同援深１．５・日１．０・基礎・２人・盲ろう・区４</t>
  </si>
  <si>
    <t>同援深１．５・日１．０・基礎・盲ろう・区４</t>
  </si>
  <si>
    <t>同援深１．５・日１．０・２人・盲ろう・区４</t>
  </si>
  <si>
    <t>同援深１．５・日１．０・盲ろう・区４</t>
  </si>
  <si>
    <t>同援深１．５・日１．０・基礎・２人・区４</t>
  </si>
  <si>
    <t>同援深１．５・日１．０・基礎・区４</t>
  </si>
  <si>
    <t>同援深１．５・日１．０・２人・区４</t>
  </si>
  <si>
    <t>同援深１．５・日１．０・区４</t>
  </si>
  <si>
    <t>同援深１．５・日１．０・基礎・２人・盲ろう・区３</t>
  </si>
  <si>
    <t>同援深１．５・日１．０・基礎・盲ろう・区３</t>
  </si>
  <si>
    <t>同援深１．５・日１．０・２人・盲ろう・区３</t>
  </si>
  <si>
    <t>同援深１．５・日１．０・盲ろう・区３</t>
  </si>
  <si>
    <t>同援深１．５・日１．０・基礎・２人・区３</t>
  </si>
  <si>
    <t>同援深１．５・日１．０・基礎・区３</t>
  </si>
  <si>
    <t>同援深１．５・日１．０・２人・区３</t>
  </si>
  <si>
    <t>同援深１．５・日１．０・区３</t>
  </si>
  <si>
    <t>同援深１．５・日１．０・基礎・２人・盲ろう</t>
  </si>
  <si>
    <t>同援深１．５・日１．０・基礎・盲ろう</t>
  </si>
  <si>
    <t>同援深１．５・日１．０・２人・盲ろう</t>
  </si>
  <si>
    <t>同援深１．５・日１．０・盲ろう</t>
  </si>
  <si>
    <t>同援深１．５・日１．０・基礎・２人</t>
  </si>
  <si>
    <t>同援深１．５・日１．０・基礎</t>
  </si>
  <si>
    <t>同援深１．５・日１．０・２人</t>
  </si>
  <si>
    <t>同援深１．５・日１．０</t>
  </si>
  <si>
    <t>同援深１．５・日０．５・基礎・２人・盲ろう・区４</t>
  </si>
  <si>
    <t>同援深１．５・日０．５・基礎・盲ろう・区４</t>
  </si>
  <si>
    <t>同援深１．５・日０．５・２人・盲ろう・区４</t>
  </si>
  <si>
    <t>同援深１．５・日０．５・盲ろう・区４</t>
  </si>
  <si>
    <t>同援深１．５・日０．５・基礎・２人・区４</t>
  </si>
  <si>
    <t>同援深１．５・日０．５・基礎・区４</t>
  </si>
  <si>
    <t>同援深１．５・日０．５・２人・区４</t>
  </si>
  <si>
    <t>同援深１．５・日０．５・区４</t>
  </si>
  <si>
    <t>同援深１．５・日０．５・基礎・２人・盲ろう・区３</t>
  </si>
  <si>
    <t>同援深１．５・日０．５・基礎・盲ろう・区３</t>
  </si>
  <si>
    <t>同援深１．５・日０．５・２人・盲ろう・区３</t>
  </si>
  <si>
    <t>同援深１．５・日０．５・盲ろう・区３</t>
  </si>
  <si>
    <t>同援深１．５・日０．５・基礎・２人・区３</t>
  </si>
  <si>
    <t>同援深１．５・日０．５・基礎・区３</t>
  </si>
  <si>
    <t>同援深１．５・日０．５・２人・区３</t>
  </si>
  <si>
    <t>同援深１．５・日０．５・区３</t>
  </si>
  <si>
    <t>同援深１．５・日０．５・基礎・２人・盲ろう</t>
  </si>
  <si>
    <t>同援深１．５・日０．５・基礎・盲ろう</t>
  </si>
  <si>
    <t>同援深１．５・日０．５・２人・盲ろう</t>
  </si>
  <si>
    <t>同援深１．５・日０．５・盲ろう</t>
  </si>
  <si>
    <t>同援深１．５・日０．５・基礎・２人</t>
  </si>
  <si>
    <t>同援深１．５・日０．５・基礎</t>
  </si>
  <si>
    <t>同援深１．５・日０．５・２人</t>
  </si>
  <si>
    <t>同援深１．５・日０．５</t>
  </si>
  <si>
    <t>同援深１．０・日２．０・基礎・２人・盲ろう・区４</t>
  </si>
  <si>
    <t>同援深１．０・日２．０・基礎・盲ろう・区４</t>
  </si>
  <si>
    <t>同援深１．０・日２．０・２人・盲ろう・区４</t>
  </si>
  <si>
    <t>同援深１．０・日２．０・盲ろう・区４</t>
  </si>
  <si>
    <t>同援深１．０・日２．０・基礎・２人・区４</t>
  </si>
  <si>
    <t>同援深１．０・日２．０・基礎・区４</t>
  </si>
  <si>
    <t>同援深１．０・日２．０・２人・区４</t>
  </si>
  <si>
    <t>同援深１．０・日２．０・区４</t>
  </si>
  <si>
    <t>同援深１．０・日２．０・基礎・２人・盲ろう・区３</t>
  </si>
  <si>
    <t>同援深１．０・日２．０・基礎・盲ろう・区３</t>
  </si>
  <si>
    <t>同援深１．０・日２．０・２人・盲ろう・区３</t>
  </si>
  <si>
    <t>同援深１．０・日２．０・盲ろう・区３</t>
  </si>
  <si>
    <t>同援深１．０・日２．０・基礎・２人・区３</t>
  </si>
  <si>
    <t>同援深１．０・日２．０・基礎・区３</t>
  </si>
  <si>
    <t>同援深１．０・日２．０・２人・区３</t>
  </si>
  <si>
    <t>同援深１．０・日２．０・区３</t>
  </si>
  <si>
    <t>同援深１．０・日２．０・基礎・２人・盲ろう</t>
  </si>
  <si>
    <t>同援深１．０・日２．０・基礎・盲ろう</t>
  </si>
  <si>
    <t>同援深１．０・日２．０・２人・盲ろう</t>
  </si>
  <si>
    <t>同援深１．０・日２．０・盲ろう</t>
  </si>
  <si>
    <t>同援深１．０・日２．０・基礎・２人</t>
  </si>
  <si>
    <t>同援深１．０・日２．０・基礎</t>
  </si>
  <si>
    <t>同援深１．０・日２．０・２人</t>
  </si>
  <si>
    <t>同援深１．０・日２．０</t>
  </si>
  <si>
    <t>同援深１．０・日１．５・基礎・２人・盲ろう・区４</t>
  </si>
  <si>
    <t>同援深１．０・日１．５・基礎・盲ろう・区４</t>
  </si>
  <si>
    <t>同援深１．０・日１．５・２人・盲ろう・区４</t>
  </si>
  <si>
    <t>同援深１．０・日１．５・盲ろう・区４</t>
  </si>
  <si>
    <t>同援深１．０・日１．５・基礎・２人・区４</t>
  </si>
  <si>
    <t>同援深１．０・日１．５・基礎・区４</t>
  </si>
  <si>
    <t>同援深１．０・日１．５・２人・区４</t>
  </si>
  <si>
    <t>同援深１．０・日１．５・区４</t>
  </si>
  <si>
    <t>同援深１．０・日１．５・基礎・２人・盲ろう・区３</t>
  </si>
  <si>
    <t>同援深１．０・日１．５・基礎・盲ろう・区３</t>
  </si>
  <si>
    <t>同援深１．０・日１．５・２人・盲ろう・区３</t>
  </si>
  <si>
    <t>同援深１．０・日１．５・盲ろう・区３</t>
  </si>
  <si>
    <t>同援深１．０・日１．５・基礎・２人・区３</t>
  </si>
  <si>
    <t>同援深１．０・日１．５・基礎・区３</t>
  </si>
  <si>
    <t>同援深１．０・日１．５・２人・区３</t>
  </si>
  <si>
    <t>同援深１．０・日１．５・区３</t>
  </si>
  <si>
    <t>同援深１．０・日１．５・基礎・２人・盲ろう</t>
  </si>
  <si>
    <t>同援深１．０・日１．５・基礎・盲ろう</t>
  </si>
  <si>
    <t>同援深１．０・日１．５・２人・盲ろう</t>
  </si>
  <si>
    <t>同援深１．０・日１．５・盲ろう</t>
  </si>
  <si>
    <t>同援深１．０・日１．５・基礎・２人</t>
  </si>
  <si>
    <t>同援深１．０・日１．５・基礎</t>
  </si>
  <si>
    <t>同援深１．０・日１．５・２人</t>
  </si>
  <si>
    <t>同援深１．０・日１．５</t>
  </si>
  <si>
    <t>同援深１．０・日１．０・基礎・２人・盲ろう・区４</t>
  </si>
  <si>
    <t>同援深１．０・日１．０・基礎・盲ろう・区４</t>
  </si>
  <si>
    <t>同援深１．０・日１．０・２人・盲ろう・区４</t>
  </si>
  <si>
    <t>同援深１．０・日１．０・盲ろう・区４</t>
  </si>
  <si>
    <t>同援深１．０・日１．０・基礎・２人・区４</t>
  </si>
  <si>
    <t>同援深１．０・日１．０・基礎・区４</t>
  </si>
  <si>
    <t>同援深１．０・日１．０・２人・区４</t>
  </si>
  <si>
    <t>同援深１．０・日１．０・区４</t>
  </si>
  <si>
    <t>同援深１．０・日１．０・基礎・２人・盲ろう・区３</t>
  </si>
  <si>
    <t>同援深１．０・日１．０・基礎・盲ろう・区３</t>
  </si>
  <si>
    <t>同援深１．０・日１．０・２人・盲ろう・区３</t>
  </si>
  <si>
    <t>同援深１．０・日１．０・盲ろう・区３</t>
  </si>
  <si>
    <t>同援深１．０・日１．０・基礎・２人・区３</t>
  </si>
  <si>
    <t>同援深１．０・日１．０・基礎・区３</t>
  </si>
  <si>
    <t>同援深１．０・日１．０・２人・区３</t>
  </si>
  <si>
    <t>同援深１．０・日１．０・区３</t>
  </si>
  <si>
    <t>同援深１．０・日１．０・基礎・２人・盲ろう</t>
  </si>
  <si>
    <t>同援深１．０・日１．０・基礎・盲ろう</t>
  </si>
  <si>
    <t>同援深１．０・日１．０・２人・盲ろう</t>
  </si>
  <si>
    <t>同援深１．０・日１．０・盲ろう</t>
  </si>
  <si>
    <t>同援深１．０・日１．０・基礎・２人</t>
  </si>
  <si>
    <t>同援深１．０・日１．０・基礎</t>
  </si>
  <si>
    <t>同援深１．０・日１．０・２人</t>
  </si>
  <si>
    <t>同援深１．０・日１．０</t>
  </si>
  <si>
    <t>同援深１．０・日０．５・基礎・２人・盲ろう・区４</t>
  </si>
  <si>
    <t>同援深１．０・日０．５・基礎・盲ろう・区４</t>
  </si>
  <si>
    <t>同援深１．０・日０．５・２人・盲ろう・区４</t>
  </si>
  <si>
    <t>同援深１．０・日０．５・盲ろう・区４</t>
  </si>
  <si>
    <t>同援深１．０・日０．５・基礎・２人・区４</t>
  </si>
  <si>
    <t>同援深１．０・日０．５・基礎・区４</t>
  </si>
  <si>
    <t>同援深１．０・日０．５・２人・区４</t>
  </si>
  <si>
    <t>同援深１．０・日０．５・区４</t>
  </si>
  <si>
    <t>同援深１．０・日０．５・基礎・２人・盲ろう・区３</t>
  </si>
  <si>
    <t>同援深１．０・日０．５・基礎・盲ろう・区３</t>
  </si>
  <si>
    <t>同援深１．０・日０．５・２人・盲ろう・区３</t>
  </si>
  <si>
    <t>同援深１．０・日０．５・盲ろう・区３</t>
  </si>
  <si>
    <t>同援深１．０・日０．５・基礎・２人・区３</t>
  </si>
  <si>
    <t>同援深１．０・日０．５・基礎・区３</t>
  </si>
  <si>
    <t>同援深１．０・日０．５・２人・区３</t>
  </si>
  <si>
    <t>同援深１．０・日０．５・区３</t>
  </si>
  <si>
    <t>同援深１．０・日０．５・基礎・２人・盲ろう</t>
  </si>
  <si>
    <t>同援深１．０・日０．５・基礎・盲ろう</t>
  </si>
  <si>
    <t>同援深１．０・日０．５・２人・盲ろう</t>
  </si>
  <si>
    <t>同援深１．０・日０．５・盲ろう</t>
  </si>
  <si>
    <t>同援深１．０・日０．５・基礎・２人</t>
  </si>
  <si>
    <t>同援深１．０・日０．５・基礎</t>
  </si>
  <si>
    <t>同援深１．０・日０．５・２人</t>
  </si>
  <si>
    <t>同援深１．０・日０．５</t>
  </si>
  <si>
    <t>同援深０．５・日２．５・基礎・２人・盲ろう・区４</t>
  </si>
  <si>
    <t>同援深０．５・日２．５・基礎・盲ろう・区４</t>
  </si>
  <si>
    <t>同援深０．５・日２．５・２人・盲ろう・区４</t>
  </si>
  <si>
    <t>同援深０．５・日２．５・盲ろう・区４</t>
  </si>
  <si>
    <t>同援深０．５・日２．５・基礎・２人・区４</t>
  </si>
  <si>
    <t>同援深０．５・日２．５・基礎・区４</t>
  </si>
  <si>
    <t>同援深０．５・日２．５・２人・区４</t>
  </si>
  <si>
    <t>同援深０．５・日２．５・区４</t>
  </si>
  <si>
    <t>同援深０．５・日２．５・基礎・２人・盲ろう・区３</t>
  </si>
  <si>
    <t>同援深０．５・日２．５・基礎・盲ろう・区３</t>
  </si>
  <si>
    <t>同援深０．５・日２．５・２人・盲ろう・区３</t>
  </si>
  <si>
    <t>同援深０．５・日２．５・盲ろう・区３</t>
  </si>
  <si>
    <t>同援深０．５・日２．５・基礎・２人・区３</t>
  </si>
  <si>
    <t>同援深０．５・日２．５・基礎・区３</t>
  </si>
  <si>
    <t>同援深０．５・日２．５・２人・区３</t>
  </si>
  <si>
    <t>同援深０．５・日２．５・区３</t>
  </si>
  <si>
    <t>同援深０．５・日２．５・基礎・２人・盲ろう</t>
  </si>
  <si>
    <t>同援深０．５・日２．５・基礎・盲ろう</t>
  </si>
  <si>
    <t>同援深０．５・日２．５・２人・盲ろう</t>
  </si>
  <si>
    <t>同援深０．５・日２．５・盲ろう</t>
  </si>
  <si>
    <t>同援深０．５・日２．５・基礎・２人</t>
  </si>
  <si>
    <t>同援深０．５・日２．５・基礎</t>
  </si>
  <si>
    <t>同援深０．５・日２．５・２人</t>
  </si>
  <si>
    <t>同援深０．５・日２．５</t>
  </si>
  <si>
    <t>同援深０．５・日２．０・基礎・２人・盲ろう・区４</t>
  </si>
  <si>
    <t>同援深０．５・日２．０・基礎・盲ろう・区４</t>
  </si>
  <si>
    <t>同援深０．５・日２．０・２人・盲ろう・区４</t>
  </si>
  <si>
    <t>同援深０．５・日２．０・盲ろう・区４</t>
  </si>
  <si>
    <t>同援深０．５・日２．０・基礎・２人・区４</t>
  </si>
  <si>
    <t>同援深０．５・日２．０・基礎・区４</t>
  </si>
  <si>
    <t>同援深０．５・日２．０・２人・区４</t>
  </si>
  <si>
    <t>同援深０．５・日２．０・区４</t>
  </si>
  <si>
    <t>同援深０．５・日２．０・基礎・２人・盲ろう・区３</t>
  </si>
  <si>
    <t>同援深０．５・日２．０・基礎・盲ろう・区３</t>
  </si>
  <si>
    <t>同援深０．５・日２．０・２人・盲ろう・区３</t>
  </si>
  <si>
    <t>同援深０．５・日２．０・盲ろう・区３</t>
  </si>
  <si>
    <t>同援深０．５・日２．０・基礎・２人・区３</t>
  </si>
  <si>
    <t>同援深０．５・日２．０・基礎・区３</t>
  </si>
  <si>
    <t>同援深０．５・日２．０・２人・区３</t>
  </si>
  <si>
    <t>同援深０．５・日２．０・区３</t>
  </si>
  <si>
    <t>同援深０．５・日２．０・基礎・２人・盲ろう</t>
  </si>
  <si>
    <t>同援深０．５・日２．０・基礎・盲ろう</t>
  </si>
  <si>
    <t>同援深０．５・日２．０・２人・盲ろう</t>
  </si>
  <si>
    <t>同援深０．５・日２．０・盲ろう</t>
  </si>
  <si>
    <t>同援深０．５・日２．０・基礎・２人</t>
  </si>
  <si>
    <t>同援深０．５・日２．０・基礎</t>
  </si>
  <si>
    <t>同援深０．５・日２．０・２人</t>
  </si>
  <si>
    <t>同援深０．５・日２．０</t>
  </si>
  <si>
    <t>同援深０．５・日１．５・基礎・２人・盲ろう・区４</t>
  </si>
  <si>
    <t>同援深０．５・日１．５・基礎・盲ろう・区４</t>
  </si>
  <si>
    <t>同援深０．５・日１．５・２人・盲ろう・区４</t>
  </si>
  <si>
    <t>同援深０．５・日１．５・盲ろう・区４</t>
  </si>
  <si>
    <t>同援深０．５・日１．５・基礎・２人・区４</t>
  </si>
  <si>
    <t>同援深０．５・日１．５・基礎・区４</t>
  </si>
  <si>
    <t>同援深０．５・日１．５・２人・区４</t>
  </si>
  <si>
    <t>同援深０．５・日１．５・区４</t>
  </si>
  <si>
    <t>同援深０．５・日１．５・基礎・２人・盲ろう・区３</t>
  </si>
  <si>
    <t>同援深０．５・日１．５・基礎・盲ろう・区３</t>
  </si>
  <si>
    <t>同援深０．５・日１．５・２人・盲ろう・区３</t>
  </si>
  <si>
    <t>同援深０．５・日１．５・盲ろう・区３</t>
  </si>
  <si>
    <t>同援深０．５・日１．５・基礎・２人・区３</t>
  </si>
  <si>
    <t>同援深０．５・日１．５・基礎・区３</t>
  </si>
  <si>
    <t>同援深０．５・日１．５・２人・区３</t>
  </si>
  <si>
    <t>同援深０．５・日１．５・区３</t>
  </si>
  <si>
    <t>同援深０．５・日１．５・基礎・２人・盲ろう</t>
  </si>
  <si>
    <t>同援深０．５・日１．５・基礎・盲ろう</t>
  </si>
  <si>
    <t>同援深０．５・日１．５・２人・盲ろう</t>
  </si>
  <si>
    <t>同援深０．５・日１．５・盲ろう</t>
  </si>
  <si>
    <t>同援深０．５・日１．５・基礎・２人</t>
  </si>
  <si>
    <t>同援深０．５・日１．５・基礎</t>
  </si>
  <si>
    <t>同援深０．５・日１．５・２人</t>
  </si>
  <si>
    <t>同援深０．５・日１．５</t>
  </si>
  <si>
    <t>同援深０．５・日１．０・基礎・２人・盲ろう・区４</t>
  </si>
  <si>
    <t>同援深０．５・日１．０・基礎・盲ろう・区４</t>
  </si>
  <si>
    <t>同援深０．５・日１．０・２人・盲ろう・区４</t>
  </si>
  <si>
    <t>同援深０．５・日１．０・盲ろう・区４</t>
  </si>
  <si>
    <t>同援深０．５・日１．０・基礎・２人・区４</t>
  </si>
  <si>
    <t>同援深０．５・日１．０・基礎・区４</t>
  </si>
  <si>
    <t>同援深０．５・日１．０・２人・区４</t>
  </si>
  <si>
    <t>同援深０．５・日１．０・区４</t>
  </si>
  <si>
    <t>同援深０．５・日１．０・基礎・２人・盲ろう・区３</t>
  </si>
  <si>
    <t>同援深０．５・日１．０・基礎・盲ろう・区３</t>
  </si>
  <si>
    <t>同援深０．５・日１．０・２人・盲ろう・区３</t>
  </si>
  <si>
    <t>同援深０．５・日１．０・盲ろう・区３</t>
  </si>
  <si>
    <t>同援深０．５・日１．０・基礎・２人・区３</t>
  </si>
  <si>
    <t>同援深０．５・日１．０・基礎・区３</t>
  </si>
  <si>
    <t>同援深０．５・日１．０・２人・区３</t>
  </si>
  <si>
    <t>同援深０．５・日１．０・区３</t>
  </si>
  <si>
    <t>同援深０．５・日１．０・基礎・２人・盲ろう</t>
  </si>
  <si>
    <t>同援深０．５・日１．０・基礎・盲ろう</t>
  </si>
  <si>
    <t>同援深０．５・日１．０・２人・盲ろう</t>
  </si>
  <si>
    <t>同援深０．５・日１．０・盲ろう</t>
  </si>
  <si>
    <t>同援深０．５・日１．０・基礎・２人</t>
  </si>
  <si>
    <t>同援深０．５・日１．０・基礎</t>
  </si>
  <si>
    <t>同援深０．５・日１．０・２人</t>
  </si>
  <si>
    <t>同援深０．５・日１．０</t>
  </si>
  <si>
    <t>同援深０．５・日０．５・基礎・２人・盲ろう・区４</t>
  </si>
  <si>
    <t>同援深０．５・日０．５・基礎・盲ろう・区４</t>
  </si>
  <si>
    <t>同援深０．５・日０．５・２人・盲ろう・区４</t>
  </si>
  <si>
    <t>同援深０．５・日０．５・盲ろう・区４</t>
  </si>
  <si>
    <t>同援深０．５・日０．５・基礎・２人・区４</t>
  </si>
  <si>
    <t>同援深０．５・日０．５・基礎・区４</t>
  </si>
  <si>
    <t>同援深０．５・日０．５・２人・区４</t>
  </si>
  <si>
    <t>同援深０．５・日０．５・区４</t>
  </si>
  <si>
    <t>同援深０．５・日０．５・基礎・２人・盲ろう・区３</t>
  </si>
  <si>
    <t>同援深０．５・日０．５・基礎・盲ろう・区３</t>
  </si>
  <si>
    <t>同援深０．５・日０．５・２人・盲ろう・区３</t>
  </si>
  <si>
    <t>同援深０．５・日０．５・盲ろう・区３</t>
  </si>
  <si>
    <t>同援深０．５・日０．５・基礎・２人・区３</t>
  </si>
  <si>
    <t>同援深０．５・日０．５・基礎・区３</t>
  </si>
  <si>
    <t>同援深０．５・日０．５・２人・区３</t>
  </si>
  <si>
    <t>同援深０．５・日０．５・区３</t>
  </si>
  <si>
    <t>同援深０．５・日０．５・基礎・２人・盲ろう</t>
  </si>
  <si>
    <t>同援深０．５・日０．５・基礎・盲ろう</t>
  </si>
  <si>
    <t>同援深０．５・日０．５・２人・盲ろう</t>
  </si>
  <si>
    <t>同援深０．５・日０．５・盲ろう</t>
  </si>
  <si>
    <t>同援深０．５・日０．５・基礎・２人</t>
  </si>
  <si>
    <t>同援深０．５・日０．５・基礎</t>
  </si>
  <si>
    <t>同援深０．５・日０．５・２人</t>
  </si>
  <si>
    <t>同援深０．５・日０．５</t>
  </si>
  <si>
    <t>同援早０．５・日２．０・夜０．５・基礎・２人・盲ろう・区４</t>
  </si>
  <si>
    <t>同援早０．５・日２．０・夜０．５・基礎・盲ろう・区４</t>
  </si>
  <si>
    <t>同援早０．５・日２．０・夜０．５・２人・盲ろう・区４</t>
  </si>
  <si>
    <t>同援早０．５・日２．０・夜０．５・盲ろう・区４</t>
  </si>
  <si>
    <t>同援早０．５・日２．０・夜０．５・基礎・２人・区４</t>
  </si>
  <si>
    <t>同援早０．５・日２．０・夜０．５・基礎・区４</t>
  </si>
  <si>
    <t>同援早０．５・日２．０・夜０．５・２人・区４</t>
  </si>
  <si>
    <t>同援早０．５・日２．０・夜０．５・区４</t>
  </si>
  <si>
    <t>同援早０．５・日２．０・夜０．５・基礎・２人・盲ろう・区３</t>
  </si>
  <si>
    <t>同援早０．５・日２．０・夜０．５・基礎・盲ろう・区３</t>
  </si>
  <si>
    <t>同援早０．５・日２．０・夜０．５・２人・盲ろう・区３</t>
  </si>
  <si>
    <t>同援早０．５・日２．０・夜０．５・盲ろう・区３</t>
  </si>
  <si>
    <t>同援早０．５・日２．０・夜０．５・基礎・２人・区３</t>
  </si>
  <si>
    <t>同援早０．５・日２．０・夜０．５・基礎・区３</t>
  </si>
  <si>
    <t>同援早０．５・日２．０・夜０．５・２人・区３</t>
  </si>
  <si>
    <t>同援早０．５・日２．０・夜０．５・区３</t>
  </si>
  <si>
    <t>同援早０．５・日２．０・夜０．５・基礎・２人・盲ろう</t>
  </si>
  <si>
    <t>同援早０．５・日２．０・夜０．５・基礎・盲ろう</t>
  </si>
  <si>
    <t>同援早０．５・日２．０・夜０．５・２人・盲ろう</t>
  </si>
  <si>
    <t>同援早０．５・日２．０・夜０．５・盲ろう</t>
  </si>
  <si>
    <t>同援早０．５・日２．０・夜０．５・基礎・２人</t>
  </si>
  <si>
    <t>同援早０．５・日２．０・夜０．５・基礎</t>
  </si>
  <si>
    <t>同援早０．５・日２．０・夜０．５・２人</t>
  </si>
  <si>
    <t>同援早０．５・日２．０・夜０．５</t>
  </si>
  <si>
    <t>同援日２．０・夜０．５・深０．５・基礎・２人・盲ろう・区４</t>
  </si>
  <si>
    <t>同援日２．０・夜０．５・深０．５・基礎・盲ろう・区４</t>
  </si>
  <si>
    <t>同援日２．０・夜０．５・深０．５・２人・盲ろう・区４</t>
  </si>
  <si>
    <t>同援日２．０・夜０．５・深０．５・盲ろう・区４</t>
  </si>
  <si>
    <t>同援日２．０・夜０．５・深０．５・基礎・２人・区４</t>
  </si>
  <si>
    <t>同援日２．０・夜０．５・深０．５・基礎・区４</t>
  </si>
  <si>
    <t>同援日２．０・夜０．５・深０．５・２人・区４</t>
  </si>
  <si>
    <t>同援日２．０・夜０．５・深０．５・区４</t>
  </si>
  <si>
    <t>同援日２．０・夜０．５・深０．５・基礎・２人・盲ろう・区３</t>
  </si>
  <si>
    <t>同援日２．０・夜０．５・深０．５・基礎・盲ろう・区３</t>
  </si>
  <si>
    <t>同援日２．０・夜０．５・深０．５・２人・盲ろう・区３</t>
  </si>
  <si>
    <t>同援日２．０・夜０．５・深０．５・盲ろう・区３</t>
  </si>
  <si>
    <t>同援日２．０・夜０．５・深０．５・基礎・２人・区３</t>
  </si>
  <si>
    <t>同援日２．０・夜０．５・深０．５・基礎・区３</t>
  </si>
  <si>
    <t>同援日２．０・夜０．５・深０．５・２人・区３</t>
  </si>
  <si>
    <t>同援日２．０・夜０．５・深０．５・区３</t>
  </si>
  <si>
    <t>同援日２．０・夜０．５・深０．５・基礎・２人・盲ろう</t>
  </si>
  <si>
    <t>同援日２．０・夜０．５・深０．５・基礎・盲ろう</t>
  </si>
  <si>
    <t>同援日２．０・夜０．５・深０．５・２人・盲ろう</t>
  </si>
  <si>
    <t>同援日２．０・夜０．５・深０．５・盲ろう</t>
  </si>
  <si>
    <t>同援日２．０・夜０．５・深０．５・基礎・２人</t>
  </si>
  <si>
    <t>同援日２．０・夜０．５・深０．５・基礎</t>
  </si>
  <si>
    <t>同援日２．０・夜０．５・深０．５・２人</t>
  </si>
  <si>
    <t>同援日２．０・夜０．５・深０．５</t>
  </si>
  <si>
    <t>同援日１．５・夜１．０・深０．５・基礎・２人・盲ろう・区４</t>
  </si>
  <si>
    <t>同援日１．５・夜１．０・深０．５・基礎・盲ろう・区４</t>
  </si>
  <si>
    <t>同援日１．５・夜１．０・深０．５・２人・盲ろう・区４</t>
  </si>
  <si>
    <t>同援日１．５・夜１．０・深０．５・盲ろう・区４</t>
  </si>
  <si>
    <t>同援日１．５・夜１．０・深０．５・基礎・２人・区４</t>
  </si>
  <si>
    <t>同援日１．５・夜１．０・深０．５・基礎・区４</t>
  </si>
  <si>
    <t>同援日１．５・夜１．０・深０．５・２人・区４</t>
  </si>
  <si>
    <t>同援日１．５・夜１．０・深０．５・区４</t>
  </si>
  <si>
    <t>同援日１．５・夜１．０・深０．５・基礎・２人・盲ろう・区３</t>
  </si>
  <si>
    <t>同援日１．５・夜１．０・深０．５・基礎・盲ろう・区３</t>
  </si>
  <si>
    <t>同援日１．５・夜１．０・深０．５・２人・盲ろう・区３</t>
  </si>
  <si>
    <t>同援日１．５・夜１．０・深０．５・盲ろう・区３</t>
  </si>
  <si>
    <t>同援日１．５・夜１．０・深０．５・基礎・２人・区３</t>
  </si>
  <si>
    <t>同援日１．５・夜１．０・深０．５・基礎・区３</t>
  </si>
  <si>
    <t>同援日１．５・夜１．０・深０．５・２人・区３</t>
  </si>
  <si>
    <t>同援日１．５・夜１．０・深０．５・区３</t>
  </si>
  <si>
    <t>同援日１．５・夜１．０・深０．５・基礎・２人・盲ろう</t>
  </si>
  <si>
    <t>同援日１．５・夜１．０・深０．５・基礎・盲ろう</t>
  </si>
  <si>
    <t>同援日１．５・夜１．０・深０．５・２人・盲ろう</t>
  </si>
  <si>
    <t>同援日１．５・夜１．０・深０．５・盲ろう</t>
  </si>
  <si>
    <t>同援日１．５・夜１．０・深０．５・基礎・２人</t>
  </si>
  <si>
    <t>同援日１．５・夜１．０・深０．５・基礎</t>
  </si>
  <si>
    <t>同援日１．５・夜１．０・深０．５・２人</t>
  </si>
  <si>
    <t>同援日１．５・夜１．０・深０．５</t>
  </si>
  <si>
    <t>同援日１．５・夜０．５・深１．０・基礎・２人・盲ろう・区４</t>
  </si>
  <si>
    <t>同援日１．５・夜０．５・深１．０・基礎・盲ろう・区４</t>
  </si>
  <si>
    <t>同援日１．５・夜０．５・深１．０・２人・盲ろう・区４</t>
  </si>
  <si>
    <t>同援日１．５・夜０．５・深１．０・盲ろう・区４</t>
  </si>
  <si>
    <t>同援日１．５・夜０．５・深１．０・基礎・２人・区４</t>
  </si>
  <si>
    <t>同援日１．５・夜０．５・深１．０・基礎・区４</t>
  </si>
  <si>
    <t>同援日１．５・夜０．５・深１．０・２人・区４</t>
  </si>
  <si>
    <t>同援日１．５・夜０．５・深１．０・区４</t>
  </si>
  <si>
    <t>同援日１．５・夜０．５・深１．０・基礎・２人・盲ろう・区３</t>
  </si>
  <si>
    <t>同援日１．５・夜０．５・深１．０・基礎・盲ろう・区３</t>
  </si>
  <si>
    <t>同援日１．５・夜０．５・深１．０・２人・盲ろう・区３</t>
  </si>
  <si>
    <t>同援日１．５・夜０．５・深１．０・盲ろう・区３</t>
  </si>
  <si>
    <t>同援日１．５・夜０．５・深１．０・基礎・２人・区３</t>
  </si>
  <si>
    <t>同援日１．５・夜０．５・深１．０・基礎・区３</t>
  </si>
  <si>
    <t>同援日１．５・夜０．５・深１．０・２人・区３</t>
  </si>
  <si>
    <t>同援日１．５・夜０．５・深１．０・区３</t>
  </si>
  <si>
    <t>同援日１．５・夜０．５・深１．０・基礎・２人・盲ろう</t>
  </si>
  <si>
    <t>同援日１．５・夜０．５・深１．０・基礎・盲ろう</t>
  </si>
  <si>
    <t>同援日１．５・夜０．５・深１．０・２人・盲ろう</t>
  </si>
  <si>
    <t>同援日１．５・夜０．５・深１．０・盲ろう</t>
  </si>
  <si>
    <t>同援日１．５・夜０．５・深１．０・基礎・２人</t>
  </si>
  <si>
    <t>同援日１．５・夜０．５・深１．０・基礎</t>
  </si>
  <si>
    <t>同援日１．５・夜０．５・深１．０・２人</t>
  </si>
  <si>
    <t>同援日１．５・夜０．５・深１．０</t>
  </si>
  <si>
    <t>同援日１．５・夜０．５・深０．５・基礎・２人・盲ろう・区４</t>
  </si>
  <si>
    <t>同援日１．５・夜０．５・深０．５・基礎・盲ろう・区４</t>
  </si>
  <si>
    <t>同援日１．５・夜０．５・深０．５・２人・盲ろう・区４</t>
  </si>
  <si>
    <t>同援日１．５・夜０．５・深０．５・盲ろう・区４</t>
  </si>
  <si>
    <t>同援日１．５・夜０．５・深０．５・基礎・２人・区４</t>
  </si>
  <si>
    <t>同援日１．５・夜０．５・深０．５・基礎・区４</t>
  </si>
  <si>
    <t>同援日１．５・夜０．５・深０．５・２人・区４</t>
  </si>
  <si>
    <t>同援日１．５・夜０．５・深０．５・区４</t>
  </si>
  <si>
    <t>同援日１．５・夜０．５・深０．５・基礎・２人・盲ろう・区３</t>
  </si>
  <si>
    <t>同援日１．５・夜０．５・深０．５・基礎・盲ろう・区３</t>
  </si>
  <si>
    <t>同援日１．５・夜０．５・深０．５・２人・盲ろう・区３</t>
  </si>
  <si>
    <t>同援日１．５・夜０．５・深０．５・盲ろう・区３</t>
  </si>
  <si>
    <t>同援日１．５・夜０．５・深０．５・基礎・２人・区３</t>
  </si>
  <si>
    <t>同援日１．５・夜０．５・深０．５・基礎・区３</t>
  </si>
  <si>
    <t>同援日１．５・夜０．５・深０．５・２人・区３</t>
  </si>
  <si>
    <t>同援日１．５・夜０．５・深０．５・区３</t>
  </si>
  <si>
    <t>同援日１．５・夜０．５・深０．５・基礎・２人・盲ろう</t>
  </si>
  <si>
    <t>同援日１．５・夜０．５・深０．５・基礎・盲ろう</t>
  </si>
  <si>
    <t>同援日１．５・夜０．５・深０．５・２人・盲ろう</t>
  </si>
  <si>
    <t>同援日１．５・夜０．５・深０．５・盲ろう</t>
  </si>
  <si>
    <t>同援日１．５・夜０．５・深０．５・基礎・２人</t>
  </si>
  <si>
    <t>同援日１．５・夜０．５・深０．５・基礎</t>
  </si>
  <si>
    <t>同援日１．５・夜０．５・深０．５・２人</t>
  </si>
  <si>
    <t>同援日１．５・夜０．５・深０．５</t>
  </si>
  <si>
    <t>同援日１．０・夜１．５・深０．５・基礎・２人・盲ろう・区４</t>
  </si>
  <si>
    <t>同援日１．０・夜１．５・深０．５・基礎・盲ろう・区４</t>
  </si>
  <si>
    <t>同援日１．０・夜１．５・深０．５・２人・盲ろう・区４</t>
  </si>
  <si>
    <t>同援日１．０・夜１．５・深０．５・盲ろう・区４</t>
  </si>
  <si>
    <t>同援日１．０・夜１．５・深０．５・基礎・２人・区４</t>
  </si>
  <si>
    <t>同援日１．０・夜１．５・深０．５・基礎・区４</t>
  </si>
  <si>
    <t>同援日１．０・夜１．５・深０．５・２人・区４</t>
  </si>
  <si>
    <t>同援日１．０・夜１．５・深０．５・区４</t>
  </si>
  <si>
    <t>同援日１．０・夜１．５・深０．５・基礎・２人・盲ろう・区３</t>
  </si>
  <si>
    <t>同援日１．０・夜１．５・深０．５・基礎・盲ろう・区３</t>
  </si>
  <si>
    <t>同援日１．０・夜１．５・深０．５・２人・盲ろう・区３</t>
  </si>
  <si>
    <t>同援日１．０・夜１．５・深０．５・盲ろう・区３</t>
  </si>
  <si>
    <t>同援日１．０・夜１．５・深０．５・基礎・２人・区３</t>
  </si>
  <si>
    <t>同援日１．０・夜１．５・深０．５・基礎・区３</t>
  </si>
  <si>
    <t>同援日１．０・夜１．５・深０．５・２人・区３</t>
  </si>
  <si>
    <t>同援日１．０・夜１．５・深０．５・区３</t>
  </si>
  <si>
    <t>同援日１．０・夜１．５・深０．５・基礎・２人・盲ろう</t>
  </si>
  <si>
    <t>同援日１．０・夜１．５・深０．５・基礎・盲ろう</t>
  </si>
  <si>
    <t>同援日１．０・夜１．５・深０．５・２人・盲ろう</t>
  </si>
  <si>
    <t>同援日１．０・夜１．５・深０．５・盲ろう</t>
  </si>
  <si>
    <t>同援日１．０・夜１．５・深０．５・基礎・２人</t>
  </si>
  <si>
    <t>同援日１．０・夜１．５・深０．５・基礎</t>
  </si>
  <si>
    <t>同援日１．０・夜１．５・深０．５・２人</t>
  </si>
  <si>
    <t>同援日１．０・夜１．５・深０．５</t>
  </si>
  <si>
    <t>同援日１．０・夜１．０・深１．０・基礎・２人・盲ろう・区４</t>
  </si>
  <si>
    <t>同援日１．０・夜１．０・深１．０・基礎・盲ろう・区４</t>
  </si>
  <si>
    <t>同援日１．０・夜１．０・深１．０・２人・盲ろう・区４</t>
  </si>
  <si>
    <t>同援日１．０・夜１．０・深１．０・盲ろう・区４</t>
  </si>
  <si>
    <t>同援日１．０・夜１．０・深１．０・基礎・２人・区４</t>
  </si>
  <si>
    <t>同援日１．０・夜１．０・深１．０・基礎・区４</t>
  </si>
  <si>
    <t>同援日１．０・夜１．０・深１．０・２人・区４</t>
  </si>
  <si>
    <t>同援日１．０・夜１．０・深１．０・区４</t>
  </si>
  <si>
    <t>同援日１．０・夜１．０・深１．０・基礎・２人・盲ろう・区３</t>
  </si>
  <si>
    <t>同援日１．０・夜１．０・深１．０・基礎・盲ろう・区３</t>
  </si>
  <si>
    <t>同援日１．０・夜１．０・深１．０・２人・盲ろう・区３</t>
  </si>
  <si>
    <t>同援日１．０・夜１．０・深１．０・盲ろう・区３</t>
  </si>
  <si>
    <t>同援日１．０・夜１．０・深１．０・基礎・２人・区３</t>
  </si>
  <si>
    <t>同援日１．０・夜１．０・深１．０・基礎・区３</t>
  </si>
  <si>
    <t>同援日１．０・夜１．０・深１．０・２人・区３</t>
  </si>
  <si>
    <t>同援日１．０・夜１．０・深１．０・区３</t>
  </si>
  <si>
    <t>同援日１．０・夜１．０・深１．０・基礎・２人・盲ろう</t>
  </si>
  <si>
    <t>同援日１．０・夜１．０・深１．０・基礎・盲ろう</t>
  </si>
  <si>
    <t>同援日１．０・夜１．０・深１．０・２人・盲ろう</t>
  </si>
  <si>
    <t>同援日１．０・夜１．０・深１．０・盲ろう</t>
  </si>
  <si>
    <t>同援日１．０・夜１．０・深１．０・基礎・２人</t>
  </si>
  <si>
    <t>同援日１．０・夜１．０・深１．０・基礎</t>
  </si>
  <si>
    <t>同援日１．０・夜１．０・深１．０・２人</t>
  </si>
  <si>
    <t>同援日１．０・夜１．０・深１．０</t>
  </si>
  <si>
    <t>同援日１．０・夜１．０・深０．５・基礎・２人・盲ろう・区４</t>
  </si>
  <si>
    <t>同援日１．０・夜１．０・深０．５・基礎・盲ろう・区４</t>
  </si>
  <si>
    <t>同援日１．０・夜１．０・深０．５・２人・盲ろう・区４</t>
  </si>
  <si>
    <t>同援日１．０・夜１．０・深０．５・盲ろう・区４</t>
  </si>
  <si>
    <t>同援日１．０・夜１．０・深０．５・基礎・２人・区４</t>
  </si>
  <si>
    <t>同援日１．０・夜１．０・深０．５・基礎・区４</t>
  </si>
  <si>
    <t>同援日１．０・夜１．０・深０．５・２人・区４</t>
  </si>
  <si>
    <t>同援日１．０・夜１．０・深０．５・区４</t>
  </si>
  <si>
    <t>同援日１．０・夜１．０・深０．５・基礎・２人・盲ろう・区３</t>
  </si>
  <si>
    <t>同援日１．０・夜１．０・深０．５・基礎・盲ろう・区３</t>
  </si>
  <si>
    <t>同援日１．０・夜１．０・深０．５・２人・盲ろう・区３</t>
  </si>
  <si>
    <t>同援日１．０・夜１．０・深０．５・盲ろう・区３</t>
  </si>
  <si>
    <t>同援日１．０・夜１．０・深０．５・基礎・２人・区３</t>
  </si>
  <si>
    <t>同援日１．０・夜１．０・深０．５・基礎・区３</t>
  </si>
  <si>
    <t>同援日１．０・夜１．０・深０．５・２人・区３</t>
  </si>
  <si>
    <t>同援日１．０・夜１．０・深０．５・区３</t>
  </si>
  <si>
    <t>同援日１．０・夜１．０・深０．５・基礎・２人・盲ろう</t>
  </si>
  <si>
    <t>同援日１．０・夜１．０・深０．５・基礎・盲ろう</t>
  </si>
  <si>
    <t>同援日１．０・夜１．０・深０．５・２人・盲ろう</t>
  </si>
  <si>
    <t>同援日１．０・夜１．０・深０．５・盲ろう</t>
  </si>
  <si>
    <t>同援日１．０・夜１．０・深０．５・基礎・２人</t>
  </si>
  <si>
    <t>同援日１．０・夜１．０・深０．５・基礎</t>
  </si>
  <si>
    <t>同援日１．０・夜１．０・深０．５・２人</t>
  </si>
  <si>
    <t>同援日１．０・夜１．０・深０．５</t>
  </si>
  <si>
    <t>同援日１．０・夜０．５・深１．５・基礎・２人・盲ろう・区４</t>
  </si>
  <si>
    <t>同援日１．０・夜０．５・深１．５・基礎・盲ろう・区４</t>
  </si>
  <si>
    <t>同援日１．０・夜０．５・深１．５・２人・盲ろう・区４</t>
  </si>
  <si>
    <t>同援日１．０・夜０．５・深１．５・盲ろう・区４</t>
  </si>
  <si>
    <t>同援日１．０・夜０．５・深１．５・基礎・２人・区４</t>
  </si>
  <si>
    <t>同援日１．０・夜０．５・深１．５・基礎・区４</t>
  </si>
  <si>
    <t>同援日１．０・夜０．５・深１．５・２人・区４</t>
  </si>
  <si>
    <t>同援日１．０・夜０．５・深１．５・区４</t>
  </si>
  <si>
    <t>同援日１．０・夜０．５・深１．５・基礎・２人・盲ろう・区３</t>
  </si>
  <si>
    <t>同援日１．０・夜０．５・深１．５・基礎・盲ろう・区３</t>
  </si>
  <si>
    <t>同援日１．０・夜０．５・深１．５・２人・盲ろう・区３</t>
  </si>
  <si>
    <t>同援日１．０・夜０．５・深１．５・盲ろう・区３</t>
  </si>
  <si>
    <t>同援日１．０・夜０．５・深１．５・基礎・２人・区３</t>
  </si>
  <si>
    <t>同援日１．０・夜０．５・深１．５・基礎・区３</t>
  </si>
  <si>
    <t>同援日１．０・夜０．５・深１．５・２人・区３</t>
  </si>
  <si>
    <t>同援日１．０・夜０．５・深１．５・区３</t>
  </si>
  <si>
    <t>同援日１．０・夜０．５・深１．５・基礎・２人・盲ろう</t>
  </si>
  <si>
    <t>同援日１．０・夜０．５・深１．５・基礎・盲ろう</t>
  </si>
  <si>
    <t>同援日１．０・夜０．５・深１．５・２人・盲ろう</t>
  </si>
  <si>
    <t>同援日１．０・夜０．５・深１．５・盲ろう</t>
  </si>
  <si>
    <t>同援日１．０・夜０．５・深１．５・基礎・２人</t>
  </si>
  <si>
    <t>同援日１．０・夜０．５・深１．５・基礎</t>
  </si>
  <si>
    <t>同援日１．０・夜０．５・深１．５・２人</t>
  </si>
  <si>
    <t>同援日１．０・夜０．５・深１．５</t>
  </si>
  <si>
    <t>同援日１．０・夜０．５・深１．０・基礎・２人・盲ろう・区４</t>
  </si>
  <si>
    <t>同援日１．０・夜０．５・深１．０・基礎・盲ろう・区４</t>
  </si>
  <si>
    <t>同援日１．０・夜０．５・深１．０・２人・盲ろう・区４</t>
  </si>
  <si>
    <t>同援日１．０・夜０．５・深１．０・盲ろう・区４</t>
  </si>
  <si>
    <t>同援日１．０・夜０．５・深１．０・基礎・２人・区４</t>
  </si>
  <si>
    <t>同援日１．０・夜０．５・深１．０・基礎・区４</t>
  </si>
  <si>
    <t>同援日１．０・夜０．５・深１．０・２人・区４</t>
  </si>
  <si>
    <t>同援日１．０・夜０．５・深１．０・区４</t>
  </si>
  <si>
    <t>同援日１．０・夜０．５・深１．０・基礎・２人・盲ろう・区３</t>
  </si>
  <si>
    <t>同援日１．０・夜０．５・深１．０・基礎・盲ろう・区３</t>
  </si>
  <si>
    <t>同援日１．０・夜０．５・深１．０・２人・盲ろう・区３</t>
  </si>
  <si>
    <t>同援日１．０・夜０．５・深１．０・盲ろう・区３</t>
  </si>
  <si>
    <t>同援日１．０・夜０．５・深１．０・基礎・２人・区３</t>
  </si>
  <si>
    <t>同援日１．０・夜０．５・深１．０・基礎・区３</t>
  </si>
  <si>
    <t>同援日１．０・夜０．５・深１．０・２人・区３</t>
  </si>
  <si>
    <t>同援日１．０・夜０．５・深１．０・区３</t>
  </si>
  <si>
    <t>同援日１．０・夜０．５・深１．０・基礎・２人・盲ろう</t>
  </si>
  <si>
    <t>同援日１．０・夜０．５・深１．０・基礎・盲ろう</t>
  </si>
  <si>
    <t>同援日１．０・夜０．５・深１．０・２人・盲ろう</t>
  </si>
  <si>
    <t>同援日１．０・夜０．５・深１．０・盲ろう</t>
  </si>
  <si>
    <t>同援日１．０・夜０．５・深１．０・基礎・２人</t>
  </si>
  <si>
    <t>同援日１．０・夜０．５・深１．０・基礎</t>
  </si>
  <si>
    <t>同援日１．０・夜０．５・深１．０・２人</t>
  </si>
  <si>
    <t>同援日１．０・夜０．５・深１．０</t>
  </si>
  <si>
    <t>同援日１．０・夜０．５・深０．５・基礎・２人・盲ろう・区４</t>
  </si>
  <si>
    <t>同援日１．０・夜０．５・深０．５・基礎・盲ろう・区４</t>
  </si>
  <si>
    <t>同援日１．０・夜０．５・深０．５・２人・盲ろう・区４</t>
  </si>
  <si>
    <t>同援日１．０・夜０．５・深０．５・盲ろう・区４</t>
  </si>
  <si>
    <t>同援日１．０・夜０．５・深０．５・基礎・２人・区４</t>
  </si>
  <si>
    <t>同援日１．０・夜０．５・深０．５・基礎・区４</t>
  </si>
  <si>
    <t>同援日１．０・夜０．５・深０．５・２人・区４</t>
  </si>
  <si>
    <t>同援日１．０・夜０．５・深０．５・区４</t>
  </si>
  <si>
    <t>同援日１．０・夜０．５・深０．５・基礎・２人・盲ろう・区３</t>
  </si>
  <si>
    <t>同援日１．０・夜０．５・深０．５・基礎・盲ろう・区３</t>
  </si>
  <si>
    <t>同援日１．０・夜０．５・深０．５・２人・盲ろう・区３</t>
  </si>
  <si>
    <t>同援日１．０・夜０．５・深０．５・盲ろう・区３</t>
  </si>
  <si>
    <t>同援日１．０・夜０．５・深０．５・基礎・２人・区３</t>
  </si>
  <si>
    <t>同援日１．０・夜０．５・深０．５・基礎・区３</t>
  </si>
  <si>
    <t>同援日１．０・夜０．５・深０．５・２人・区３</t>
  </si>
  <si>
    <t>同援日１．０・夜０．５・深０．５・区３</t>
  </si>
  <si>
    <t>同援日１．０・夜０．５・深０．５・基礎・２人・盲ろう</t>
  </si>
  <si>
    <t>同援日１．０・夜０．５・深０．５・基礎・盲ろう</t>
  </si>
  <si>
    <t>同援日１．０・夜０．５・深０．５・２人・盲ろう</t>
  </si>
  <si>
    <t>同援日１．０・夜０．５・深０．５・盲ろう</t>
  </si>
  <si>
    <t>同援日１．０・夜０．５・深０．５・基礎・２人</t>
  </si>
  <si>
    <t>同援日１．０・夜０．５・深０．５・基礎</t>
  </si>
  <si>
    <t>同援日１．０・夜０．５・深０．５・２人</t>
  </si>
  <si>
    <t>同援日１．０・夜０．５・深０．５</t>
  </si>
  <si>
    <t>同援日０．５・夜２．０・深０．５・基礎・２人・盲ろう・区４</t>
  </si>
  <si>
    <t>同援日０．５・夜２．０・深０．５・基礎・盲ろう・区４</t>
  </si>
  <si>
    <t>同援日０．５・夜２．０・深０．５・２人・盲ろう・区４</t>
  </si>
  <si>
    <t>同援日０．５・夜２．０・深０．５・盲ろう・区４</t>
  </si>
  <si>
    <t>同援日０．５・夜２．０・深０．５・基礎・２人・区４</t>
  </si>
  <si>
    <t>同援日０．５・夜２．０・深０．５・基礎・区４</t>
  </si>
  <si>
    <t>同援日０．５・夜２．０・深０．５・２人・区４</t>
  </si>
  <si>
    <t>同援日０．５・夜２．０・深０．５・区４</t>
  </si>
  <si>
    <t>同援日０．５・夜２．０・深０．５・基礎・２人・盲ろう・区３</t>
  </si>
  <si>
    <t>同援日０．５・夜２．０・深０．５・基礎・盲ろう・区３</t>
  </si>
  <si>
    <t>同援日０．５・夜２．０・深０．５・２人・盲ろう・区３</t>
  </si>
  <si>
    <t>同援日０．５・夜２．０・深０．５・盲ろう・区３</t>
  </si>
  <si>
    <t>同援日０．５・夜２．０・深０．５・基礎・２人・区３</t>
  </si>
  <si>
    <t>同援日０．５・夜２．０・深０．５・基礎・区３</t>
  </si>
  <si>
    <t>同援日０．５・夜２．０・深０．５・２人・区３</t>
  </si>
  <si>
    <t>同援日０．５・夜２．０・深０．５・区３</t>
  </si>
  <si>
    <t>同援日０．５・夜２．０・深０．５・基礎・２人・盲ろう</t>
  </si>
  <si>
    <t>同援日０．５・夜２．０・深０．５・基礎・盲ろう</t>
  </si>
  <si>
    <t>同援日０．５・夜２．０・深０．５・２人・盲ろう</t>
  </si>
  <si>
    <t>同援日０．５・夜２．０・深０．５・盲ろう</t>
  </si>
  <si>
    <t>同援日０．５・夜２．０・深０．５・基礎・２人</t>
  </si>
  <si>
    <t>同援日０．５・夜２．０・深０．５・基礎</t>
  </si>
  <si>
    <t>同援日０．５・夜２．０・深０．５・２人</t>
  </si>
  <si>
    <t>同援日０．５・夜２．０・深０．５</t>
  </si>
  <si>
    <t>同援日０．５・夜１．５・深１．０・基礎・２人・盲ろう・区４</t>
  </si>
  <si>
    <t>同援日０．５・夜１．５・深１．０・基礎・盲ろう・区４</t>
  </si>
  <si>
    <t>同援日０．５・夜１．５・深１．０・２人・盲ろう・区４</t>
  </si>
  <si>
    <t>同援日０．５・夜１．５・深１．０・盲ろう・区４</t>
  </si>
  <si>
    <t>同援日０．５・夜１．５・深１．０・基礎・２人・区４</t>
  </si>
  <si>
    <t>同援日０．５・夜１．５・深１．０・基礎・区４</t>
  </si>
  <si>
    <t>同援日０．５・夜１．５・深１．０・２人・区４</t>
  </si>
  <si>
    <t>同援日０．５・夜１．５・深１．０・区４</t>
  </si>
  <si>
    <t>同援日０．５・夜１．５・深１．０・基礎・２人・盲ろう・区３</t>
  </si>
  <si>
    <t>同援日０．５・夜１．５・深１．０・基礎・盲ろう・区３</t>
  </si>
  <si>
    <t>同援日０．５・夜１．５・深１．０・２人・盲ろう・区３</t>
  </si>
  <si>
    <t>同援日０．５・夜１．５・深１．０・盲ろう・区３</t>
  </si>
  <si>
    <t>同援日０．５・夜１．５・深１．０・基礎・２人・区３</t>
  </si>
  <si>
    <t>同援日０．５・夜１．５・深１．０・基礎・区３</t>
  </si>
  <si>
    <t>同援日０．５・夜１．５・深１．０・２人・区３</t>
  </si>
  <si>
    <t>同援日０．５・夜１．５・深１．０・区３</t>
  </si>
  <si>
    <t>同援日０．５・夜１．５・深１．０・基礎・２人・盲ろう</t>
  </si>
  <si>
    <t>同援日０．５・夜１．５・深１．０・基礎・盲ろう</t>
  </si>
  <si>
    <t>同援日０．５・夜１．５・深１．０・２人・盲ろう</t>
  </si>
  <si>
    <t>同援日０．５・夜１．５・深１．０・盲ろう</t>
  </si>
  <si>
    <t>同援日０．５・夜１．５・深１．０・基礎・２人</t>
  </si>
  <si>
    <t>同援日０．５・夜１．５・深１．０・基礎</t>
  </si>
  <si>
    <t>同援日０．５・夜１．５・深１．０・２人</t>
  </si>
  <si>
    <t>同援日０．５・夜１．５・深１．０</t>
  </si>
  <si>
    <t>同援日０．５・夜１．５・深０．５・基礎・２人・盲ろう・区４</t>
  </si>
  <si>
    <t>同援日０．５・夜１．５・深０．５・基礎・盲ろう・区４</t>
  </si>
  <si>
    <t>同援日０．５・夜１．５・深０．５・２人・盲ろう・区４</t>
  </si>
  <si>
    <t>同援日０．５・夜１．５・深０．５・盲ろう・区４</t>
  </si>
  <si>
    <t>同援日０．５・夜１．５・深０．５・基礎・２人・区４</t>
  </si>
  <si>
    <t>同援日０．５・夜１．５・深０．５・基礎・区４</t>
  </si>
  <si>
    <t>同援日０．５・夜１．５・深０．５・２人・区４</t>
  </si>
  <si>
    <t>同援日０．５・夜１．５・深０．５・区４</t>
  </si>
  <si>
    <t>同援日０．５・夜１．５・深０．５・基礎・２人・盲ろう・区３</t>
  </si>
  <si>
    <t>同援日０．５・夜１．５・深０．５・基礎・盲ろう・区３</t>
  </si>
  <si>
    <t>同援日０．５・夜１．５・深０．５・２人・盲ろう・区３</t>
  </si>
  <si>
    <t>同援日０．５・夜１．５・深０．５・盲ろう・区３</t>
  </si>
  <si>
    <t>同援日０．５・夜１．５・深０．５・基礎・２人・区３</t>
  </si>
  <si>
    <t>同援日０．５・夜１．５・深０．５・基礎・区３</t>
  </si>
  <si>
    <t>同援日０．５・夜１．５・深０．５・２人・区３</t>
  </si>
  <si>
    <t>同援日０．５・夜１．５・深０．５・区３</t>
  </si>
  <si>
    <t>同援日０．５・夜１．５・深０．５・基礎・２人・盲ろう</t>
  </si>
  <si>
    <t>同援日０．５・夜１．５・深０．５・基礎・盲ろう</t>
  </si>
  <si>
    <t>同援日０．５・夜１．５・深０．５・２人・盲ろう</t>
  </si>
  <si>
    <t>同援日０．５・夜１．５・深０．５・盲ろう</t>
  </si>
  <si>
    <t>同援日０．５・夜１．５・深０．５・基礎・２人</t>
  </si>
  <si>
    <t>同援日０．５・夜１．５・深０．５・基礎</t>
  </si>
  <si>
    <t>同援日０．５・夜１．５・深０．５・２人</t>
  </si>
  <si>
    <t>同援日０．５・夜１．５・深０．５</t>
  </si>
  <si>
    <t>同援日０．５・夜１．０・深１．５・基礎・２人・盲ろう・区４</t>
  </si>
  <si>
    <t>同援日０．５・夜１．０・深１．５・基礎・盲ろう・区４</t>
  </si>
  <si>
    <t>同援日０．５・夜１．０・深１．５・２人・盲ろう・区４</t>
  </si>
  <si>
    <t>同援日０．５・夜１．０・深１．５・盲ろう・区４</t>
  </si>
  <si>
    <t>同援日０．５・夜１．０・深１．５・基礎・２人・区４</t>
  </si>
  <si>
    <t>同援日０．５・夜１．０・深１．５・基礎・区４</t>
  </si>
  <si>
    <t>同援日０．５・夜１．０・深１．５・２人・区４</t>
  </si>
  <si>
    <t>同援日０．５・夜１．０・深１．５・区４</t>
  </si>
  <si>
    <t>同援日０．５・夜１．０・深１．５・基礎・２人・盲ろう・区３</t>
  </si>
  <si>
    <t>同援日０．５・夜１．０・深１．５・基礎・盲ろう・区３</t>
  </si>
  <si>
    <t>同援日０．５・夜１．０・深１．５・２人・盲ろう・区３</t>
  </si>
  <si>
    <t>同援日０．５・夜１．０・深１．５・盲ろう・区３</t>
  </si>
  <si>
    <t>同援日０．５・夜１．０・深１．５・基礎・２人・区３</t>
  </si>
  <si>
    <t>同援日０．５・夜１．０・深１．５・基礎・区３</t>
  </si>
  <si>
    <t>同援日０．５・夜１．０・深１．５・２人・区３</t>
  </si>
  <si>
    <t>同援日０．５・夜１．０・深１．５・区３</t>
  </si>
  <si>
    <t>同援日０．５・夜１．０・深１．５・基礎・２人・盲ろう</t>
  </si>
  <si>
    <t>同援日０．５・夜１．０・深１．５・基礎・盲ろう</t>
  </si>
  <si>
    <t>同援日０．５・夜１．０・深１．５・２人・盲ろう</t>
  </si>
  <si>
    <t>同援日０．５・夜１．０・深１．５・盲ろう</t>
  </si>
  <si>
    <t>同援日０．５・夜１．０・深１．５・基礎・２人</t>
  </si>
  <si>
    <t>同援日０．５・夜１．０・深１．５・基礎</t>
  </si>
  <si>
    <t>同援日０．５・夜１．０・深１．５・２人</t>
  </si>
  <si>
    <t>同援日０．５・夜１．０・深１．５</t>
  </si>
  <si>
    <t>同援日０．５・夜１．０・深１．０・基礎・２人・盲ろう・区４</t>
  </si>
  <si>
    <t>同援日０．５・夜１．０・深１．０・基礎・盲ろう・区４</t>
  </si>
  <si>
    <t>同援日０．５・夜１．０・深１．０・２人・盲ろう・区４</t>
  </si>
  <si>
    <t>同援日０．５・夜１．０・深１．０・盲ろう・区４</t>
  </si>
  <si>
    <t>同援日０．５・夜１．０・深１．０・基礎・２人・区４</t>
  </si>
  <si>
    <t>同援日０．５・夜１．０・深１．０・基礎・区４</t>
  </si>
  <si>
    <t>同援日０．５・夜１．０・深１．０・２人・区４</t>
  </si>
  <si>
    <t>同援日０．５・夜１．０・深１．０・区４</t>
  </si>
  <si>
    <t>同援日０．５・夜１．０・深１．０・基礎・２人・盲ろう・区３</t>
  </si>
  <si>
    <t>同援日０．５・夜１．０・深１．０・基礎・盲ろう・区３</t>
  </si>
  <si>
    <t>同援日０．５・夜１．０・深１．０・２人・盲ろう・区３</t>
  </si>
  <si>
    <t>同援日０．５・夜１．０・深１．０・盲ろう・区３</t>
  </si>
  <si>
    <t>同援日０．５・夜１．０・深１．０・基礎・２人・区３</t>
  </si>
  <si>
    <t>同援日０．５・夜１．０・深１．０・基礎・区３</t>
  </si>
  <si>
    <t>同援日０．５・夜１．０・深１．０・２人・区３</t>
  </si>
  <si>
    <t>同援日０．５・夜１．０・深１．０・区３</t>
  </si>
  <si>
    <t>同援日０．５・夜１．０・深１．０・基礎・２人・盲ろう</t>
  </si>
  <si>
    <t>同援日０．５・夜１．０・深１．０・基礎・盲ろう</t>
  </si>
  <si>
    <t>同援日０．５・夜１．０・深１．０・２人・盲ろう</t>
  </si>
  <si>
    <t>同援日０．５・夜１．０・深１．０・盲ろう</t>
  </si>
  <si>
    <t>同援日０．５・夜１．０・深１．０・基礎・２人</t>
  </si>
  <si>
    <t>同援日０．５・夜１．０・深１．０・基礎</t>
  </si>
  <si>
    <t>同援日０．５・夜１．０・深１．０・２人</t>
  </si>
  <si>
    <t>同援日０．５・夜１．０・深１．０</t>
  </si>
  <si>
    <t>同援日０．５・夜１．０・深０．５・基礎・２人・盲ろう・区４</t>
  </si>
  <si>
    <t>同援日０．５・夜１．０・深０．５・基礎・盲ろう・区４</t>
  </si>
  <si>
    <t>同援日０．５・夜１．０・深０．５・基礎・２人・区４</t>
  </si>
  <si>
    <t>同援日０．５・夜１．０・深０．５・基礎・区４</t>
  </si>
  <si>
    <t>同援日０．５・夜１．０・深０．５・２人・区４</t>
  </si>
  <si>
    <t>同援日０．５・夜１．０・深０．５・区４</t>
  </si>
  <si>
    <t>同援日０．５・夜１．０・深０．５・基礎・２人・盲ろう・区３</t>
  </si>
  <si>
    <t>同援日０．５・夜１．０・深０．５・基礎・盲ろう・区３</t>
  </si>
  <si>
    <t>同援日０．５・夜１．０・深０．５・２人・盲ろう・区３</t>
  </si>
  <si>
    <t>同援日０．５・夜１．０・深０．５・盲ろう・区３</t>
  </si>
  <si>
    <t>同援日０．５・夜１．０・深０．５・基礎・２人・区３</t>
  </si>
  <si>
    <t>同援日０．５・夜１．０・深０．５・基礎・区３</t>
  </si>
  <si>
    <t>同援日０．５・夜１．０・深０．５・２人・区３</t>
  </si>
  <si>
    <t>同援日０．５・夜１．０・深０．５・区３</t>
  </si>
  <si>
    <t>同援日０．５・夜１．０・深０．５・基礎・２人・盲ろう</t>
  </si>
  <si>
    <t>同援日０．５・夜１．０・深０．５・基礎・盲ろう</t>
  </si>
  <si>
    <t>同援日０．５・夜１．０・深０．５・２人・盲ろう</t>
  </si>
  <si>
    <t>同援日０．５・夜１．０・深０．５・盲ろう</t>
  </si>
  <si>
    <t>同援日０．５・夜１．０・深０．５・基礎・２人</t>
  </si>
  <si>
    <t>同援日０．５・夜１．０・深０．５・基礎</t>
  </si>
  <si>
    <t>同援日０．５・夜１．０・深０．５・２人</t>
  </si>
  <si>
    <t>同援日０．５・夜１．０・深０．５</t>
  </si>
  <si>
    <t>同援日０．５・夜０．５・深２．０・基礎・２人・盲ろう・区４</t>
  </si>
  <si>
    <t>同援日０．５・夜０．５・深２．０・基礎・盲ろう・区４</t>
  </si>
  <si>
    <t>同援日０．５・夜０．５・深２．０・２人・盲ろう・区４</t>
  </si>
  <si>
    <t>同援日０．５・夜０．５・深２．０・盲ろう・区４</t>
  </si>
  <si>
    <t>同援日０．５・夜０．５・深２．０・基礎・２人・区４</t>
  </si>
  <si>
    <t>同援日０．５・夜０．５・深２．０・基礎・区４</t>
  </si>
  <si>
    <t>同援日０．５・夜０．５・深２．０・２人・区４</t>
  </si>
  <si>
    <t>同援日０．５・夜０．５・深２．０・区４</t>
  </si>
  <si>
    <t>同援日０．５・夜０．５・深２．０・基礎・２人・盲ろう・区３</t>
  </si>
  <si>
    <t>同援日０．５・夜０．５・深２．０・基礎・盲ろう・区３</t>
  </si>
  <si>
    <t>同援日０．５・夜０．５・深２．０・２人・盲ろう・区３</t>
  </si>
  <si>
    <t>同援日０．５・夜０．５・深２．０・盲ろう・区３</t>
  </si>
  <si>
    <t>同援日０．５・夜０．５・深２．０・基礎・２人・区３</t>
  </si>
  <si>
    <t>同援日０．５・夜０．５・深２．０・基礎・区３</t>
  </si>
  <si>
    <t>同援日０．５・夜０．５・深２．０・２人・区３</t>
  </si>
  <si>
    <t>同援日０．５・夜０．５・深２．０・区３</t>
  </si>
  <si>
    <t>同援日０．５・夜０．５・深２．０・基礎・２人・盲ろう</t>
  </si>
  <si>
    <t>同援日０．５・夜０．５・深２．０・基礎・盲ろう</t>
  </si>
  <si>
    <t>同援日０．５・夜０．５・深２．０・２人・盲ろう</t>
  </si>
  <si>
    <t>同援日０．５・夜０．５・深２．０・盲ろう</t>
  </si>
  <si>
    <t>同援日０．５・夜０．５・深２．０・基礎・２人</t>
  </si>
  <si>
    <t>同援日０．５・夜０．５・深２．０・基礎</t>
  </si>
  <si>
    <t>同援日０．５・夜０．５・深２．０・２人</t>
  </si>
  <si>
    <t>同援日０．５・夜０．５・深２．０</t>
  </si>
  <si>
    <t>同援日０．５・夜０．５・深１．５・基礎・２人・盲ろう・区４</t>
  </si>
  <si>
    <t>同援日０．５・夜０．５・深１．５・基礎・盲ろう・区４</t>
  </si>
  <si>
    <t>同援日０．５・夜０．５・深１．５・２人・盲ろう・区４</t>
  </si>
  <si>
    <t>同援日０．５・夜０．５・深１．５・盲ろう・区４</t>
  </si>
  <si>
    <t>同援日０．５・夜０．５・深１．５・基礎・２人・区４</t>
  </si>
  <si>
    <t>同援日０．５・夜０．５・深１．５・基礎・区４</t>
  </si>
  <si>
    <t>同援日０．５・夜０．５・深１．５・２人・区４</t>
  </si>
  <si>
    <t>同援日０．５・夜０．５・深１．５・区４</t>
  </si>
  <si>
    <t>同援日０．５・夜０．５・深１．５・基礎・２人・盲ろう・区３</t>
  </si>
  <si>
    <t>同援日０．５・夜０．５・深１．５・基礎・盲ろう・区３</t>
  </si>
  <si>
    <t>同援日０．５・夜０．５・深１．５・２人・盲ろう・区３</t>
  </si>
  <si>
    <t>同援日０．５・夜０．５・深１．５・盲ろう・区３</t>
  </si>
  <si>
    <t>同援日０．５・夜０．５・深１．５・基礎・２人・区３</t>
  </si>
  <si>
    <t>同援日０．５・夜０．５・深１．５・基礎・区３</t>
  </si>
  <si>
    <t>同援日０．５・夜０．５・深１．５・２人・区３</t>
  </si>
  <si>
    <t>同援日０．５・夜０．５・深１．５・区３</t>
  </si>
  <si>
    <t>同援日０．５・夜０．５・深１．５・基礎・２人・盲ろう</t>
  </si>
  <si>
    <t>同援日０．５・夜０．５・深１．５・基礎・盲ろう</t>
  </si>
  <si>
    <t>同援日０．５・夜０．５・深１．５・２人・盲ろう</t>
  </si>
  <si>
    <t>同援日０．５・夜０．５・深１．５・盲ろう</t>
  </si>
  <si>
    <t>同援日０．５・夜０．５・深１．５・基礎・２人</t>
  </si>
  <si>
    <t>同援日０．５・夜０．５・深１．５・基礎</t>
  </si>
  <si>
    <t>同援日０．５・夜０．５・深１．５・２人</t>
  </si>
  <si>
    <t>同援日０．５・夜０．５・深１．５</t>
  </si>
  <si>
    <t>同援日０．５・夜０．５・深１．０・基礎・２人・盲ろう・区４</t>
  </si>
  <si>
    <t>同援日０．５・夜０．５・深１．０・基礎・盲ろう・区４</t>
  </si>
  <si>
    <t>同援日０．５・夜０．５・深１．０・２人・盲ろう・区４</t>
  </si>
  <si>
    <t>同援日０．５・夜０．５・深１．０・盲ろう・区４</t>
  </si>
  <si>
    <t>同援日０．５・夜０．５・深１．０・基礎・２人・区４</t>
  </si>
  <si>
    <t>同援日０．５・夜０．５・深１．０・基礎・区４</t>
  </si>
  <si>
    <t>同援日０．５・夜０．５・深１．０・２人・区４</t>
  </si>
  <si>
    <t>同援日０．５・夜０．５・深１．０・区４</t>
  </si>
  <si>
    <t>同援日０．５・夜０．５・深１．０・基礎・２人・盲ろう・区３</t>
  </si>
  <si>
    <t>同援日０．５・夜０．５・深１．０・基礎・盲ろう・区３</t>
  </si>
  <si>
    <t>同援日０．５・夜０．５・深１．０・２人・盲ろう・区３</t>
  </si>
  <si>
    <t>同援日０．５・夜０．５・深１．０・盲ろう・区３</t>
  </si>
  <si>
    <t>同援日０．５・夜０．５・深１．０・基礎・２人・区３</t>
  </si>
  <si>
    <t>同援日０．５・夜０．５・深１．０・基礎・区３</t>
  </si>
  <si>
    <t>同援日０．５・夜０．５・深１．０・２人・区３</t>
  </si>
  <si>
    <t>同援日０．５・夜０．５・深１．０・区３</t>
  </si>
  <si>
    <t>同援日０．５・夜０．５・深１．０・基礎・２人・盲ろう</t>
  </si>
  <si>
    <t>同援日０．５・夜０．５・深１．０・基礎・盲ろう</t>
  </si>
  <si>
    <t>同援日０．５・夜０．５・深１．０・２人・盲ろう</t>
  </si>
  <si>
    <t>同援日０．５・夜０．５・深１．０・盲ろう</t>
  </si>
  <si>
    <t>同援日０．５・夜０．５・深１．０・基礎・２人</t>
  </si>
  <si>
    <t>同援日０．５・夜０．５・深１．０・基礎</t>
  </si>
  <si>
    <t>同援日０．５・夜０．５・深１．０・２人</t>
  </si>
  <si>
    <t>同援日０．５・夜０．５・深１．０</t>
  </si>
  <si>
    <t>同援日０．５・夜０．５・深０．５・基礎・２人・盲ろう・区４</t>
  </si>
  <si>
    <t>同援日０．５・夜０．５・深０．５・基礎・盲ろう・区４</t>
  </si>
  <si>
    <t>同援日０．５・夜０．５・深０．５・２人・盲ろう・区４</t>
  </si>
  <si>
    <t>同援日０．５・夜０．５・深０．５・盲ろう・区４</t>
  </si>
  <si>
    <t>同援日０．５・夜０．５・深０．５・基礎・２人・区４</t>
  </si>
  <si>
    <t>同援日０．５・夜０．５・深０．５・基礎・区４</t>
  </si>
  <si>
    <t>同援日０．５・夜０．５・深０．５・２人・区４</t>
  </si>
  <si>
    <t>同援日０．５・夜０．５・深０．５・区４</t>
  </si>
  <si>
    <t>同援日０．５・夜０．５・深０．５・基礎・２人・盲ろう・区３</t>
  </si>
  <si>
    <t>同援日０．５・夜０．５・深０．５・基礎・盲ろう・区３</t>
  </si>
  <si>
    <t>同援日０．５・夜０．５・深０．５・２人・盲ろう・区３</t>
  </si>
  <si>
    <t>同援日０．５・夜０．５・深０．５・盲ろう・区３</t>
  </si>
  <si>
    <t>同援日０．５・夜０．５・深０．５・基礎・２人・区３</t>
  </si>
  <si>
    <t>同援日０．５・夜０．５・深０．５・基礎・区３</t>
  </si>
  <si>
    <t>同援日０．５・夜０．５・深０．５・２人・区３</t>
  </si>
  <si>
    <t>同援日０．５・夜０．５・深０．５・区３</t>
  </si>
  <si>
    <t>同援日０．５・夜０．５・深０．５・基礎・２人・盲ろう</t>
  </si>
  <si>
    <t>同援日０．５・夜０．５・深０．５・基礎・盲ろう</t>
  </si>
  <si>
    <t>同援日０．５・夜０．５・深０．５・２人・盲ろう</t>
  </si>
  <si>
    <t>同援日０．５・夜０．５・深０．５・盲ろう</t>
  </si>
  <si>
    <t>同援日０．５・夜０．５・深０．５・基礎・２人</t>
  </si>
  <si>
    <t>同援日０．５・夜０．５・深０．５・基礎</t>
  </si>
  <si>
    <t>同援日０．５・夜０．５・深０．５・２人</t>
  </si>
  <si>
    <t>同援日０．５・夜０．５・深０．５</t>
  </si>
  <si>
    <t>同援日増１０．５・基礎・２人・盲ろう・区４</t>
  </si>
  <si>
    <t>同援日増１０．５・基礎・盲ろう・区４</t>
  </si>
  <si>
    <t>同援日増１０．５・２人・盲ろう・区４</t>
  </si>
  <si>
    <t>同援日増１０．５・盲ろう・区４</t>
  </si>
  <si>
    <t>同援日増１０．５・基礎・２人・区４</t>
  </si>
  <si>
    <t>同援日増１０．５・基礎・区４</t>
  </si>
  <si>
    <t>同援日増１０．５・２人・区４</t>
  </si>
  <si>
    <t>同援日増１０．５・区４</t>
  </si>
  <si>
    <t>同援日増１０．５・基礎・２人・盲ろう・区３</t>
  </si>
  <si>
    <t>同援日増１０．５・基礎・盲ろう・区３</t>
  </si>
  <si>
    <t>同援日増１０．５・２人・盲ろう・区３</t>
  </si>
  <si>
    <t>同援日増１０．５・盲ろう・区３</t>
  </si>
  <si>
    <t>同援日増１０．５・基礎・２人・区３</t>
  </si>
  <si>
    <t>同援日増１０．５・基礎・区３</t>
  </si>
  <si>
    <t>同援日増１０．５・２人・区３</t>
  </si>
  <si>
    <t>同援日増１０．５・区３</t>
  </si>
  <si>
    <t>同援日増１０．５・基礎・２人・盲ろう</t>
  </si>
  <si>
    <t>同援日増１０．５・基礎・盲ろう</t>
  </si>
  <si>
    <t>同援日増１０．５・２人・盲ろう</t>
  </si>
  <si>
    <t>同援日増１０．５・盲ろう</t>
  </si>
  <si>
    <t>同援日増１０．５・基礎・２人</t>
  </si>
  <si>
    <t>同援日増１０．５・基礎</t>
  </si>
  <si>
    <t>同援日増１０．５・２人</t>
  </si>
  <si>
    <t>同援日増１０．５</t>
  </si>
  <si>
    <t>同援日増１０．０・基礎・２人・盲ろう・区４</t>
  </si>
  <si>
    <t>同援日増１０．０・基礎・盲ろう・区４</t>
  </si>
  <si>
    <t>同援日増１０．０・２人・盲ろう・区４</t>
  </si>
  <si>
    <t>同援日増１０．０・盲ろう・区４</t>
  </si>
  <si>
    <t>同援日増１０．０・基礎・２人・区４</t>
  </si>
  <si>
    <t>同援日増１０．０・基礎・区４</t>
  </si>
  <si>
    <t>同援日増１０．０・２人・区４</t>
  </si>
  <si>
    <t>同援日増１０．０・区４</t>
  </si>
  <si>
    <t>同援日増１０．０・基礎・２人・盲ろう・区３</t>
  </si>
  <si>
    <t>同援日増１０．０・基礎・盲ろう・区３</t>
  </si>
  <si>
    <t>同援日増１０．０・２人・盲ろう・区３</t>
  </si>
  <si>
    <t>同援日増１０．０・盲ろう・区３</t>
  </si>
  <si>
    <t>同援日増１０．０・基礎・２人・区３</t>
  </si>
  <si>
    <t>同援日増１０．０・基礎・区３</t>
  </si>
  <si>
    <t>同援日増１０．０・２人・区３</t>
  </si>
  <si>
    <t>同援日増１０．０・区３</t>
  </si>
  <si>
    <t>同援日増１０．０・基礎・２人・盲ろう</t>
  </si>
  <si>
    <t>同援日増１０．０・基礎・盲ろう</t>
  </si>
  <si>
    <t>同援日増１０．０・２人・盲ろう</t>
  </si>
  <si>
    <t>同援日増１０．０・盲ろう</t>
  </si>
  <si>
    <t>同援日増１０．０・基礎・２人</t>
  </si>
  <si>
    <t>同援日増１０．０・基礎</t>
  </si>
  <si>
    <t>同援日増１０．０・２人</t>
  </si>
  <si>
    <t>同援日増１０．０</t>
  </si>
  <si>
    <t>同援日増９．５・基礎・２人・盲ろう・区４</t>
  </si>
  <si>
    <t>同援日増９．５・基礎・盲ろう・区４</t>
  </si>
  <si>
    <t>同援日増９．５・２人・盲ろう・区４</t>
  </si>
  <si>
    <t>同援日増９．５・盲ろう・区４</t>
  </si>
  <si>
    <t>同援日増９．５・基礎・２人・区４</t>
  </si>
  <si>
    <t>同援日増９．５・基礎・区４</t>
  </si>
  <si>
    <t>同援日増９．５・２人・区４</t>
  </si>
  <si>
    <t>同援日増９．５・区４</t>
  </si>
  <si>
    <t>同援日増９．５・基礎・２人・盲ろう・区３</t>
  </si>
  <si>
    <t>同援日増９．５・基礎・盲ろう・区３</t>
  </si>
  <si>
    <t>同援日増９．５・２人・盲ろう・区３</t>
  </si>
  <si>
    <t>同援日増９．５・盲ろう・区３</t>
  </si>
  <si>
    <t>同援日増９．５・基礎・２人・区３</t>
  </si>
  <si>
    <t>同援日増９．５・基礎・区３</t>
  </si>
  <si>
    <t>同援日増９．５・２人・区３</t>
  </si>
  <si>
    <t>同援日増９．５・区３</t>
  </si>
  <si>
    <t>同援日増９．５・基礎・２人・盲ろう</t>
  </si>
  <si>
    <t>同援日増９．５・基礎・盲ろう</t>
  </si>
  <si>
    <t>同援日増９．５・２人・盲ろう</t>
  </si>
  <si>
    <t>同援日増９．５・盲ろう</t>
  </si>
  <si>
    <t>同援日増９．５・基礎・２人</t>
  </si>
  <si>
    <t>同援日増９．５・基礎</t>
  </si>
  <si>
    <t>同援日増９．５・２人</t>
  </si>
  <si>
    <t>同援日増９．５</t>
  </si>
  <si>
    <t>同援日増９．０・基礎・２人・盲ろう・区４</t>
  </si>
  <si>
    <t>同援日増９．０・基礎・盲ろう・区４</t>
  </si>
  <si>
    <t>同援日増９．０・２人・盲ろう・区４</t>
  </si>
  <si>
    <t>同援日増９．０・盲ろう・区４</t>
  </si>
  <si>
    <t>同援日増９．０・基礎・２人・区４</t>
  </si>
  <si>
    <t>同援日増９．０・基礎・区４</t>
  </si>
  <si>
    <t>同援日増９．０・２人・区４</t>
  </si>
  <si>
    <t>同援日増９．０・区４</t>
  </si>
  <si>
    <t>同援日増９．０・基礎・２人・盲ろう・区３</t>
  </si>
  <si>
    <t>同援日増９．０・基礎・盲ろう・区３</t>
  </si>
  <si>
    <t>同援日増９．０・２人・盲ろう・区３</t>
  </si>
  <si>
    <t>同援日増９．０・盲ろう・区３</t>
  </si>
  <si>
    <t>同援日増９．０・基礎・２人・区３</t>
  </si>
  <si>
    <t>同援日増９．０・基礎・区３</t>
  </si>
  <si>
    <t>同援日増９．０・２人・区３</t>
  </si>
  <si>
    <t>同援日増９．０・区３</t>
  </si>
  <si>
    <t>同援日増９．０・基礎・２人・盲ろう</t>
  </si>
  <si>
    <t>同援日増９．０・基礎・盲ろう</t>
  </si>
  <si>
    <t>同援日増９．０・２人・盲ろう</t>
  </si>
  <si>
    <t>同援日増９．０・盲ろう</t>
  </si>
  <si>
    <t>同援日増９．０・基礎・２人</t>
  </si>
  <si>
    <t>同援日増９．０・基礎</t>
  </si>
  <si>
    <t>同援日増９．０・２人</t>
  </si>
  <si>
    <t>同援日増９．０</t>
  </si>
  <si>
    <t>同援日増８．５・基礎・２人・盲ろう・区４</t>
  </si>
  <si>
    <t>同援日増８．５・基礎・盲ろう・区４</t>
  </si>
  <si>
    <t>同援日増８．５・２人・盲ろう・区４</t>
  </si>
  <si>
    <t>同援日増８．５・盲ろう・区４</t>
  </si>
  <si>
    <t>同援日増８．５・基礎・２人・区４</t>
  </si>
  <si>
    <t>同援日増８．５・基礎・区４</t>
  </si>
  <si>
    <t>同援日増８．５・２人・区４</t>
  </si>
  <si>
    <t>同援日増８．５・区４</t>
  </si>
  <si>
    <t>同援日増８．５・基礎・２人・盲ろう・区３</t>
  </si>
  <si>
    <t>同援日増８．５・基礎・盲ろう・区３</t>
  </si>
  <si>
    <t>同援日増８．５・２人・盲ろう・区３</t>
  </si>
  <si>
    <t>同援日増８．５・盲ろう・区３</t>
  </si>
  <si>
    <t>同援日増８．５・基礎・２人・区３</t>
  </si>
  <si>
    <t>同援日増８．５・基礎・区３</t>
  </si>
  <si>
    <t>同援日増８．５・２人・区３</t>
  </si>
  <si>
    <t>同援日増８．５・区３</t>
  </si>
  <si>
    <t>同援日増８．５・基礎・２人・盲ろう</t>
  </si>
  <si>
    <t>同援日増８．５・基礎・盲ろう</t>
  </si>
  <si>
    <t>同援日増８．５・２人・盲ろう</t>
  </si>
  <si>
    <t>同援日増８．５・盲ろう</t>
  </si>
  <si>
    <t>同援日増８．５・基礎・２人</t>
  </si>
  <si>
    <t>同援日増８．５・基礎</t>
  </si>
  <si>
    <t>同援日増８．５・２人</t>
  </si>
  <si>
    <t>同援日増８．５</t>
  </si>
  <si>
    <t>同援日増８．０・基礎・２人・盲ろう・区４</t>
  </si>
  <si>
    <t>同援日増８．０・基礎・盲ろう・区４</t>
  </si>
  <si>
    <t>同援日増８．０・２人・盲ろう・区４</t>
  </si>
  <si>
    <t>同援日増８．０・盲ろう・区４</t>
  </si>
  <si>
    <t>同援日増８．０・基礎・２人・区４</t>
  </si>
  <si>
    <t>同援日増８．０・基礎・区４</t>
  </si>
  <si>
    <t>同援日増８．０・２人・区４</t>
  </si>
  <si>
    <t>同援日増８．０・区４</t>
  </si>
  <si>
    <t>同援日増８．０・基礎・２人・盲ろう・区３</t>
  </si>
  <si>
    <t>同援日増８．０・基礎・盲ろう・区３</t>
  </si>
  <si>
    <t>同援日増８．０・２人・盲ろう・区３</t>
  </si>
  <si>
    <t>同援日増８．０・盲ろう・区３</t>
  </si>
  <si>
    <t>同援日増８．０・基礎・２人・区３</t>
  </si>
  <si>
    <t>同援日増８．０・基礎・区３</t>
  </si>
  <si>
    <t>同援日増８．０・２人・区３</t>
  </si>
  <si>
    <t>同援日増８．０・区３</t>
  </si>
  <si>
    <t>同援日増８．０・基礎・２人・盲ろう</t>
  </si>
  <si>
    <t>同援日増８．０・基礎・盲ろう</t>
  </si>
  <si>
    <t>同援日増８．０・２人・盲ろう</t>
  </si>
  <si>
    <t>同援日増８．０・盲ろう</t>
  </si>
  <si>
    <t>同援日増８．０・基礎・２人</t>
  </si>
  <si>
    <t>同援日増８．０・基礎</t>
  </si>
  <si>
    <t>同援日増８．０・２人</t>
  </si>
  <si>
    <t>同援日増８．０</t>
  </si>
  <si>
    <t>同援日増７．５・基礎・２人・盲ろう・区４</t>
  </si>
  <si>
    <t>同援日増７．５・基礎・盲ろう・区４</t>
  </si>
  <si>
    <t>同援日増７．５・２人・盲ろう・区４</t>
  </si>
  <si>
    <t>同援日増７．５・盲ろう・区４</t>
  </si>
  <si>
    <t>同援日増７．５・基礎・２人・区４</t>
  </si>
  <si>
    <t>同援日増７．５・基礎・区４</t>
  </si>
  <si>
    <t>同援日増７．５・２人・区４</t>
  </si>
  <si>
    <t>同援日増７．５・区４</t>
  </si>
  <si>
    <t>同援日増７．５・基礎・２人・盲ろう・区３</t>
  </si>
  <si>
    <t>同援日増７．５・基礎・盲ろう・区３</t>
  </si>
  <si>
    <t>同援日増７．５・２人・盲ろう・区３</t>
  </si>
  <si>
    <t>同援日増７．５・盲ろう・区３</t>
  </si>
  <si>
    <t>同援日増７．５・基礎・２人・区３</t>
  </si>
  <si>
    <t>同援日増７．５・基礎・区３</t>
  </si>
  <si>
    <t>同援日増７．５・２人・区３</t>
  </si>
  <si>
    <t>同援日増７．５・区３</t>
  </si>
  <si>
    <t>同援日増７．５・基礎・２人・盲ろう</t>
  </si>
  <si>
    <t>同援日増７．５・基礎・盲ろう</t>
  </si>
  <si>
    <t>同援日増７．５・２人・盲ろう</t>
  </si>
  <si>
    <t>同援日増７．５・盲ろう</t>
  </si>
  <si>
    <t>同援日増７．５・基礎・２人</t>
  </si>
  <si>
    <t xml:space="preserve"> ７時間３０分未満</t>
  </si>
  <si>
    <t>同援日増７．５・基礎</t>
  </si>
  <si>
    <t>同援日増７．５・２人</t>
  </si>
  <si>
    <t>同援日増７．５</t>
  </si>
  <si>
    <t>同援日増７．０・基礎・２人・盲ろう・区４</t>
  </si>
  <si>
    <t>同援日増７．０・基礎・盲ろう・区４</t>
  </si>
  <si>
    <t>同援日増７．０・２人・盲ろう・区４</t>
  </si>
  <si>
    <t>同援日増７．０・盲ろう・区４</t>
  </si>
  <si>
    <t>同援日増７．０・基礎・２人・区４</t>
  </si>
  <si>
    <t>同援日増７．０・基礎・区４</t>
  </si>
  <si>
    <t>同援日増７．０・２人・区４</t>
  </si>
  <si>
    <t>同援日増７．０・区４</t>
  </si>
  <si>
    <t>同援日増７．０・基礎・２人・盲ろう・区３</t>
  </si>
  <si>
    <t>同援日増７．０・基礎・盲ろう・区３</t>
  </si>
  <si>
    <t>同援日増７．０・２人・盲ろう・区３</t>
  </si>
  <si>
    <t>同援日増７．０・盲ろう・区３</t>
  </si>
  <si>
    <t>同援日増７．０・基礎・２人・区３</t>
  </si>
  <si>
    <t>同援日増７．０・基礎・区３</t>
  </si>
  <si>
    <t>同援日増７．０・２人・区３</t>
  </si>
  <si>
    <t>同援日増７．０・区３</t>
  </si>
  <si>
    <t>同援日増７．０・基礎・２人・盲ろう</t>
  </si>
  <si>
    <t>同援日増７．０・基礎・盲ろう</t>
  </si>
  <si>
    <t>同援日増７．０・２人・盲ろう</t>
  </si>
  <si>
    <t>同援日増７．０・盲ろう</t>
  </si>
  <si>
    <t>同援日増７．０・基礎・２人</t>
  </si>
  <si>
    <t xml:space="preserve"> ７時間未満</t>
  </si>
  <si>
    <t>同援日増７．０・基礎</t>
  </si>
  <si>
    <t>同援日増７．０・２人</t>
  </si>
  <si>
    <t>同援日増７．０</t>
  </si>
  <si>
    <t>同援日増６．５・基礎・２人・盲ろう・区４</t>
  </si>
  <si>
    <t>同援日増６．５・基礎・盲ろう・区４</t>
  </si>
  <si>
    <t>同援日増６．５・２人・盲ろう・区４</t>
  </si>
  <si>
    <t>同援日増６．５・盲ろう・区４</t>
  </si>
  <si>
    <t>同援日増６．５・基礎・２人・区４</t>
  </si>
  <si>
    <t>同援日増６．５・基礎・区４</t>
  </si>
  <si>
    <t>同援日増６．５・２人・区４</t>
  </si>
  <si>
    <t>同援日増６．５・区４</t>
  </si>
  <si>
    <t>同援日増６．５・基礎・２人・盲ろう・区３</t>
  </si>
  <si>
    <t>同援日増６．５・基礎・盲ろう・区３</t>
  </si>
  <si>
    <t>同援日増６．５・２人・盲ろう・区３</t>
  </si>
  <si>
    <t>同援日増６．５・盲ろう・区３</t>
  </si>
  <si>
    <t>同援日増６．５・基礎・２人・区３</t>
  </si>
  <si>
    <t>同援日増６．５・基礎・区３</t>
  </si>
  <si>
    <t>同援日増６．５・２人・区３</t>
  </si>
  <si>
    <t>同援日増６．５・区３</t>
  </si>
  <si>
    <t>同援日増６．５・基礎・２人・盲ろう</t>
  </si>
  <si>
    <t>同援日増６．５・基礎・盲ろう</t>
  </si>
  <si>
    <t>同援日増６．５・２人・盲ろう</t>
  </si>
  <si>
    <t>同援日増６．５・盲ろう</t>
  </si>
  <si>
    <t>同援日増６．５・基礎・２人</t>
  </si>
  <si>
    <t>同援日増６．５・基礎</t>
  </si>
  <si>
    <t>同援日増６．５・２人</t>
  </si>
  <si>
    <t>同援日増６．５</t>
  </si>
  <si>
    <t>同援日増６．０・基礎・２人・盲ろう・区４</t>
  </si>
  <si>
    <t>同援日増６．０・基礎・盲ろう・区４</t>
  </si>
  <si>
    <t>同援日増６．０・２人・盲ろう・区４</t>
  </si>
  <si>
    <t>同援日増６．０・盲ろう・区４</t>
  </si>
  <si>
    <t>同援日増６．０・基礎・２人・区４</t>
  </si>
  <si>
    <t>同援日増６．０・基礎・区４</t>
  </si>
  <si>
    <t>同援日増６．０・２人・区４</t>
  </si>
  <si>
    <t>同援日増６．０・区４</t>
  </si>
  <si>
    <t>同援日増６．０・基礎・２人・盲ろう・区３</t>
  </si>
  <si>
    <t>同援日増６．０・基礎・盲ろう・区３</t>
  </si>
  <si>
    <t>同援日増６．０・２人・盲ろう・区３</t>
  </si>
  <si>
    <t>同援日増６．０・盲ろう・区３</t>
  </si>
  <si>
    <t>同援日増６．０・基礎・２人・区３</t>
  </si>
  <si>
    <t>同援日増６．０・基礎・区３</t>
  </si>
  <si>
    <t>同援日増６．０・２人・区３</t>
  </si>
  <si>
    <t>同援日増６．０・区３</t>
  </si>
  <si>
    <t>同援日増６．０・基礎・２人・盲ろう</t>
  </si>
  <si>
    <t>同援日増６．０・基礎・盲ろう</t>
  </si>
  <si>
    <t>同援日増６．０・２人・盲ろう</t>
  </si>
  <si>
    <t>同援日増６．０・盲ろう</t>
  </si>
  <si>
    <t>同援日増６．０・基礎・２人</t>
  </si>
  <si>
    <t>同援日増６．０・基礎</t>
  </si>
  <si>
    <t>同援日増６．０・２人</t>
  </si>
  <si>
    <t>同援日増６．０</t>
  </si>
  <si>
    <t>同援日増５．５・基礎・２人・盲ろう・区４</t>
  </si>
  <si>
    <t>同援日増５．５・基礎・盲ろう・区４</t>
  </si>
  <si>
    <t>同援日増５．５・２人・盲ろう・区４</t>
  </si>
  <si>
    <t>同援日増５．５・盲ろう・区４</t>
  </si>
  <si>
    <t>同援日増５．５・基礎・２人・区４</t>
  </si>
  <si>
    <t>同援日増５．５・基礎・区４</t>
  </si>
  <si>
    <t>同援日増５．５・２人・区４</t>
  </si>
  <si>
    <t>同援日増５．５・区４</t>
  </si>
  <si>
    <t>同援日増５．５・基礎・２人・盲ろう・区３</t>
  </si>
  <si>
    <t>同援日増５．５・基礎・盲ろう・区３</t>
  </si>
  <si>
    <t>同援日増５．５・２人・盲ろう・区３</t>
  </si>
  <si>
    <t>同援日増５．５・盲ろう・区３</t>
  </si>
  <si>
    <t>同援日増５．５・基礎・２人・区３</t>
  </si>
  <si>
    <t>同援日増５．５・基礎・区３</t>
  </si>
  <si>
    <t>同援日増５．５・２人・区３</t>
  </si>
  <si>
    <t>同援日増５．５・区３</t>
  </si>
  <si>
    <t>同援日増５．５・基礎・２人・盲ろう</t>
  </si>
  <si>
    <t>同援日増５．５・基礎・盲ろう</t>
  </si>
  <si>
    <t>同援日増５．５・２人・盲ろう</t>
  </si>
  <si>
    <t>同援日増５．５・盲ろう</t>
  </si>
  <si>
    <t>同援日増５．５・基礎・２人</t>
  </si>
  <si>
    <t>同援日増５．５・基礎</t>
  </si>
  <si>
    <t>同援日増５．５・２人</t>
  </si>
  <si>
    <t>同援日増５．５</t>
  </si>
  <si>
    <t>同援日増５．０・基礎・２人・盲ろう・区４</t>
  </si>
  <si>
    <t>同援日増５．０・基礎・盲ろう・区４</t>
  </si>
  <si>
    <t>同援日増５．０・２人・盲ろう・区４</t>
  </si>
  <si>
    <t>同援日増５．０・盲ろう・区４</t>
  </si>
  <si>
    <t>同援日増５．０・基礎・２人・区４</t>
  </si>
  <si>
    <t>同援日増５．０・基礎・区４</t>
  </si>
  <si>
    <t>同援日増５．０・２人・区４</t>
  </si>
  <si>
    <t>同援日増５．０・区４</t>
  </si>
  <si>
    <t>同援日増５．０・基礎・２人・盲ろう・区３</t>
  </si>
  <si>
    <t>同援日増５．０・基礎・盲ろう・区３</t>
  </si>
  <si>
    <t>同援日増５．０・２人・盲ろう・区３</t>
  </si>
  <si>
    <t>同援日増５．０・盲ろう・区３</t>
  </si>
  <si>
    <t>同援日増５．０・基礎・２人・区３</t>
  </si>
  <si>
    <t>同援日増５．０・基礎・区３</t>
  </si>
  <si>
    <t>同援日増５．０・２人・区３</t>
  </si>
  <si>
    <t>同援日増５．０・区３</t>
  </si>
  <si>
    <t>同援日増５．０・基礎・２人・盲ろう</t>
  </si>
  <si>
    <t>同援日増５．０・基礎・盲ろう</t>
  </si>
  <si>
    <t>同援日増５．０・２人・盲ろう</t>
  </si>
  <si>
    <t>同援日増５．０・盲ろう</t>
  </si>
  <si>
    <t>同援日増５．０・基礎・２人</t>
  </si>
  <si>
    <t>同援日増５．０・基礎</t>
  </si>
  <si>
    <t>同援日増５．０・２人</t>
  </si>
  <si>
    <t>同援日増５．０</t>
  </si>
  <si>
    <t>同援日増４．５・基礎・２人・盲ろう・区４</t>
  </si>
  <si>
    <t>同援日増４．５・基礎・盲ろう・区４</t>
  </si>
  <si>
    <t>同援日増４．５・２人・盲ろう・区４</t>
  </si>
  <si>
    <t>同援日増４．５・盲ろう・区４</t>
  </si>
  <si>
    <t>同援日増４．５・基礎・２人・区４</t>
  </si>
  <si>
    <t>同援日増４．５・基礎・区４</t>
  </si>
  <si>
    <t>同援日増４．５・２人・区４</t>
  </si>
  <si>
    <t>同援日増４．５・区４</t>
  </si>
  <si>
    <t>同援日増４．５・基礎・２人・盲ろう・区３</t>
  </si>
  <si>
    <t>同援日増４．５・基礎・盲ろう・区３</t>
  </si>
  <si>
    <t>同援日増４．５・２人・盲ろう・区３</t>
  </si>
  <si>
    <t>同援日増４．５・盲ろう・区３</t>
  </si>
  <si>
    <t>同援日増４．５・基礎・２人・区３</t>
  </si>
  <si>
    <t>同援日増４．５・基礎・区３</t>
  </si>
  <si>
    <t>同援日増４．５・２人・区３</t>
  </si>
  <si>
    <t>同援日増４．５・区３</t>
  </si>
  <si>
    <t>同援日増４．５・基礎・２人・盲ろう</t>
  </si>
  <si>
    <t>同援日増４．５・基礎・盲ろう</t>
  </si>
  <si>
    <t>同援日増４．５・２人・盲ろう</t>
  </si>
  <si>
    <t>同援日増４．５・盲ろう</t>
  </si>
  <si>
    <t>同援日増４．５・基礎・２人</t>
  </si>
  <si>
    <t>同援日増４．５・基礎</t>
  </si>
  <si>
    <t>同援日増４．５・２人</t>
  </si>
  <si>
    <t>同援日増４．５</t>
  </si>
  <si>
    <t>同援日増４．０・基礎・２人・盲ろう・区４</t>
  </si>
  <si>
    <t>同援日増４．０・基礎・盲ろう・区４</t>
  </si>
  <si>
    <t>同援日増４．０・２人・盲ろう・区４</t>
  </si>
  <si>
    <t>同援日増４．０・盲ろう・区４</t>
  </si>
  <si>
    <t>同援日増４．０・基礎・２人・区４</t>
  </si>
  <si>
    <t>同援日増４．０・基礎・区４</t>
  </si>
  <si>
    <t>同援日増４．０・２人・区４</t>
  </si>
  <si>
    <t>同援日増４．０・区４</t>
  </si>
  <si>
    <t>同援日増４．０・基礎・２人・盲ろう・区３</t>
  </si>
  <si>
    <t>同援日増４．０・基礎・盲ろう・区３</t>
  </si>
  <si>
    <t>同援日増４．０・２人・盲ろう・区３</t>
  </si>
  <si>
    <t>同援日増４．０・盲ろう・区３</t>
  </si>
  <si>
    <t>同援日増４．０・基礎・２人・区３</t>
  </si>
  <si>
    <t>同援日増４．０・基礎・区３</t>
  </si>
  <si>
    <t>同援日増４．０・２人・区３</t>
  </si>
  <si>
    <t>同援日増４．０・区３</t>
  </si>
  <si>
    <t>同援日増４．０・基礎・２人・盲ろう</t>
  </si>
  <si>
    <t>同援日増４．０・基礎・盲ろう</t>
  </si>
  <si>
    <t>同援日増４．０・２人・盲ろう</t>
  </si>
  <si>
    <t>同援日増４．０・盲ろう</t>
  </si>
  <si>
    <t>同援日増４．０・基礎・２人</t>
  </si>
  <si>
    <t>同援日増４．０・基礎</t>
  </si>
  <si>
    <t>同援日増４．０・２人</t>
  </si>
  <si>
    <t>同援日増４．０</t>
  </si>
  <si>
    <t>同援日増３．５・基礎・２人・盲ろう・区４</t>
  </si>
  <si>
    <t>同援日増３．５・基礎・盲ろう・区４</t>
  </si>
  <si>
    <t>同援日増３．５・２人・盲ろう・区４</t>
  </si>
  <si>
    <t>同援日増３．５・盲ろう・区４</t>
  </si>
  <si>
    <t>同援日増３．５・基礎・２人・区４</t>
  </si>
  <si>
    <t>同援日増３．５・基礎・区４</t>
  </si>
  <si>
    <t>同援日増３．５・２人・区４</t>
  </si>
  <si>
    <t>同援日増３．５・区４</t>
  </si>
  <si>
    <t>同援日増３．５・基礎・２人・盲ろう・区３</t>
  </si>
  <si>
    <t>同援日増３．５・基礎・盲ろう・区３</t>
  </si>
  <si>
    <t>同援日増３．５・２人・盲ろう・区３</t>
  </si>
  <si>
    <t>同援日増３．５・盲ろう・区３</t>
  </si>
  <si>
    <t>同援日増３．５・基礎・２人・区３</t>
  </si>
  <si>
    <t>同援日増３．５・基礎・区３</t>
  </si>
  <si>
    <t>同援日増３．５・２人・区３</t>
  </si>
  <si>
    <t>同援日増３．５・区３</t>
  </si>
  <si>
    <t>同援日増３．５・基礎・２人・盲ろう</t>
  </si>
  <si>
    <t>同援日増３．５・基礎・盲ろう</t>
  </si>
  <si>
    <t>同援日増３．５・２人・盲ろう</t>
  </si>
  <si>
    <t>同援日増３．５・盲ろう</t>
  </si>
  <si>
    <t>同援日増３．５・基礎・２人</t>
  </si>
  <si>
    <t>同援日増３．５・基礎</t>
  </si>
  <si>
    <t>同援日増３．５・２人</t>
  </si>
  <si>
    <t>同援日増３．５</t>
  </si>
  <si>
    <t>同援日増３．０・基礎・２人・盲ろう・区４</t>
  </si>
  <si>
    <t>同援日増３．０・基礎・盲ろう・区４</t>
  </si>
  <si>
    <t>同援日増３．０・２人・盲ろう・区４</t>
  </si>
  <si>
    <t>同援日増３．０・盲ろう・区４</t>
  </si>
  <si>
    <t>同援日増３．０・基礎・２人・区４</t>
  </si>
  <si>
    <t>同援日増３．０・基礎・区４</t>
  </si>
  <si>
    <t>同援日増３．０・２人・区４</t>
  </si>
  <si>
    <t>同援日増３．０・区４</t>
  </si>
  <si>
    <t>同援日増３．０・基礎・２人・盲ろう・区３</t>
  </si>
  <si>
    <t>同援日増３．０・基礎・盲ろう・区３</t>
  </si>
  <si>
    <t>同援日増３．０・２人・盲ろう・区３</t>
  </si>
  <si>
    <t>同援日増３．０・盲ろう・区３</t>
  </si>
  <si>
    <t>同援日増３．０・基礎・２人・区３</t>
  </si>
  <si>
    <t>同援日増３．０・基礎・区３</t>
  </si>
  <si>
    <t>同援日増３．０・２人・区３</t>
  </si>
  <si>
    <t>同援日増３．０・区３</t>
  </si>
  <si>
    <t>同援日増３．０・基礎・２人・盲ろう</t>
  </si>
  <si>
    <t>同援日増３．０・基礎・盲ろう</t>
  </si>
  <si>
    <t>同援日増３．０・２人・盲ろう</t>
  </si>
  <si>
    <t>同援日増３．０・盲ろう</t>
  </si>
  <si>
    <t>同援日増３．０・基礎・２人</t>
  </si>
  <si>
    <t>同援日増３．０・基礎</t>
  </si>
  <si>
    <t>同援日増３．０・２人</t>
  </si>
  <si>
    <t>同援日増３．０</t>
  </si>
  <si>
    <t>同援日増２．５・基礎・２人・盲ろう・区４</t>
  </si>
  <si>
    <t>同援日増２．５・基礎・盲ろう・区４</t>
  </si>
  <si>
    <t>同援日増２．５・２人・盲ろう・区４</t>
  </si>
  <si>
    <t>同援日増２．５・盲ろう・区４</t>
  </si>
  <si>
    <t>同援日増２．５・基礎・２人・区４</t>
  </si>
  <si>
    <t>同援日増２．５・基礎・区４</t>
  </si>
  <si>
    <t>同援日増２．５・２人・区４</t>
  </si>
  <si>
    <t>同援日増２．５・区４</t>
  </si>
  <si>
    <t>同援日増２．５・基礎・２人・盲ろう・区３</t>
  </si>
  <si>
    <t>同援日増２．５・基礎・盲ろう・区３</t>
  </si>
  <si>
    <t>同援日増２．５・２人・盲ろう・区３</t>
  </si>
  <si>
    <t>同援日増２．５・盲ろう・区３</t>
  </si>
  <si>
    <t>同援日増２．５・基礎・２人・区３</t>
  </si>
  <si>
    <t>同援日増２．５・基礎・区３</t>
  </si>
  <si>
    <t>同援日増２．５・２人・区３</t>
  </si>
  <si>
    <t>同援日増２．５・区３</t>
  </si>
  <si>
    <t>同援日増２．５・基礎・２人・盲ろう</t>
  </si>
  <si>
    <t>同援日増２．５・基礎・盲ろう</t>
  </si>
  <si>
    <t>同援日増２．５・２人・盲ろう</t>
  </si>
  <si>
    <t>同援日増２．５・盲ろう</t>
  </si>
  <si>
    <t>同援日増２．５・基礎・２人</t>
  </si>
  <si>
    <t>同援日増２．５・基礎</t>
  </si>
  <si>
    <t>同援日増２．５・２人</t>
  </si>
  <si>
    <t>同援日増２．５</t>
  </si>
  <si>
    <t>同援日増２．０・基礎・２人・盲ろう・区４</t>
  </si>
  <si>
    <t>同援日増２．０・基礎・盲ろう・区４</t>
  </si>
  <si>
    <t>同援日増２．０・２人・盲ろう・区４</t>
  </si>
  <si>
    <t>同援日増２．０・盲ろう・区４</t>
  </si>
  <si>
    <t>同援日増２．０・基礎・２人・区４</t>
  </si>
  <si>
    <t>同援日増２．０・基礎・区４</t>
  </si>
  <si>
    <t>同援日増２．０・２人・区４</t>
  </si>
  <si>
    <t>同援日増２．０・区４</t>
  </si>
  <si>
    <t>同援日増２．０・基礎・２人・盲ろう・区３</t>
  </si>
  <si>
    <t>同援日増２．０・基礎・盲ろう・区３</t>
  </si>
  <si>
    <t>同援日増２．０・２人・盲ろう・区３</t>
  </si>
  <si>
    <t>同援日増２．０・盲ろう・区３</t>
  </si>
  <si>
    <t>同援日増２．０・基礎・２人・区３</t>
  </si>
  <si>
    <t>同援日増２．０・基礎・区３</t>
  </si>
  <si>
    <t>同援日増２．０・２人・区３</t>
  </si>
  <si>
    <t>同援日増２．０・区３</t>
  </si>
  <si>
    <t>同援日増２．０・基礎・２人・盲ろう</t>
  </si>
  <si>
    <t>同援日増２．０・基礎・盲ろう</t>
  </si>
  <si>
    <t>同援日増２．０・２人・盲ろう</t>
  </si>
  <si>
    <t>同援日増２．０・盲ろう</t>
  </si>
  <si>
    <t>同援日増２．０・基礎・２人</t>
  </si>
  <si>
    <t>同援日増２．０・基礎</t>
  </si>
  <si>
    <t>同援日増２．０・２人</t>
  </si>
  <si>
    <t>同援日増２．０</t>
  </si>
  <si>
    <t>同援日増１．５・基礎・２人・盲ろう・区４</t>
  </si>
  <si>
    <t>同援日増１．５・基礎・盲ろう・区４</t>
  </si>
  <si>
    <t>同援日増１．５・２人・盲ろう・区４</t>
  </si>
  <si>
    <t>同援日増１．５・盲ろう・区４</t>
  </si>
  <si>
    <t>同援日増１．５・基礎・２人・区４</t>
  </si>
  <si>
    <t>同援日増１．５・基礎・区４</t>
  </si>
  <si>
    <t>同援日増１．５・２人・区４</t>
  </si>
  <si>
    <t>同援日増１．５・区４</t>
  </si>
  <si>
    <t>同援日増１．５・基礎・２人・盲ろう・区３</t>
  </si>
  <si>
    <t>同援日増１．５・基礎・盲ろう・区３</t>
  </si>
  <si>
    <t>同援日増１．５・２人・盲ろう・区３</t>
  </si>
  <si>
    <t>同援日増１．５・盲ろう・区３</t>
  </si>
  <si>
    <t>同援日増１．５・基礎・２人・区３</t>
  </si>
  <si>
    <t>同援日増１．５・基礎・区３</t>
  </si>
  <si>
    <t>同援日増１．５・２人・区３</t>
  </si>
  <si>
    <t>同援日増１．５・区３</t>
  </si>
  <si>
    <t>同援日増１．５・基礎・２人・盲ろう</t>
  </si>
  <si>
    <t>同援日増１．５・基礎・盲ろう</t>
  </si>
  <si>
    <t>同援日増１．５・２人・盲ろう</t>
  </si>
  <si>
    <t>同援日増１．５・盲ろう</t>
  </si>
  <si>
    <t>同援日増１．５・基礎・２人</t>
  </si>
  <si>
    <t>同援日増１．５・基礎</t>
  </si>
  <si>
    <t>同援日増１．５・２人</t>
  </si>
  <si>
    <t>同援日増１．５</t>
  </si>
  <si>
    <t>同援日増１．０・基礎・２人・盲ろう・区４</t>
  </si>
  <si>
    <t>同援日増１．０・基礎・盲ろう・区４</t>
  </si>
  <si>
    <t>同援日増１．０・２人・盲ろう・区４</t>
  </si>
  <si>
    <t>同援日増１．０・盲ろう・区４</t>
  </si>
  <si>
    <t>同援日増１．０・基礎・２人・区４</t>
  </si>
  <si>
    <t>同援日増１．０・基礎・区４</t>
  </si>
  <si>
    <t>同援日増１．０・２人・区４</t>
  </si>
  <si>
    <t>同援日増１．０・区４</t>
  </si>
  <si>
    <t>同援日増１．０・基礎・２人・盲ろう・区３</t>
  </si>
  <si>
    <t>同援日増１．０・基礎・盲ろう・区３</t>
  </si>
  <si>
    <t>同援日増１．０・２人・盲ろう・区３</t>
  </si>
  <si>
    <t>同援日増１．０・盲ろう・区３</t>
  </si>
  <si>
    <t>同援日増１．０・基礎・２人・区３</t>
  </si>
  <si>
    <t>同援日増１．０・基礎・区３</t>
  </si>
  <si>
    <t>同援日増１．０・２人・区３</t>
  </si>
  <si>
    <t>同援日増１．０・区３</t>
  </si>
  <si>
    <t>同援日増１．０・基礎・２人・盲ろう</t>
  </si>
  <si>
    <t>同援日増１．０・基礎・盲ろう</t>
  </si>
  <si>
    <t>同援日増１．０・２人・盲ろう</t>
  </si>
  <si>
    <t>同援日増１．０・盲ろう</t>
  </si>
  <si>
    <t>同援日増１．０・基礎・２人</t>
  </si>
  <si>
    <t>同援日増１．０・基礎</t>
  </si>
  <si>
    <t>同援日増１．０・２人</t>
  </si>
  <si>
    <t>同援日増１．０</t>
  </si>
  <si>
    <t>同援日増０．５・基礎・２人・盲ろう・区４</t>
  </si>
  <si>
    <t>同援日増０．５・基礎・盲ろう・区４</t>
  </si>
  <si>
    <t>同援日増０．５・２人・盲ろう・区４</t>
  </si>
  <si>
    <t>同援日増０．５・盲ろう・区４</t>
  </si>
  <si>
    <t>同援日増０．５・基礎・２人・区４</t>
  </si>
  <si>
    <t>同援日増０．５・基礎・区４</t>
  </si>
  <si>
    <t>同援日増０．５・２人・区４</t>
  </si>
  <si>
    <t>同援日増０．５・区４</t>
  </si>
  <si>
    <t>同援日増０．５・基礎・２人・盲ろう・区３</t>
  </si>
  <si>
    <t>同援日増０．５・基礎・盲ろう・区３</t>
  </si>
  <si>
    <t>同援日増０．５・２人・盲ろう・区３</t>
  </si>
  <si>
    <t>同援日増０．５・盲ろう・区３</t>
  </si>
  <si>
    <t>同援日増０．５・基礎・２人・区３</t>
  </si>
  <si>
    <t>同援日増０．５・基礎・区３</t>
  </si>
  <si>
    <t>同援日増０．５・２人・区３</t>
  </si>
  <si>
    <t>同援日増０．５・区３</t>
  </si>
  <si>
    <t>同援日増０．５・基礎・２人・盲ろう</t>
  </si>
  <si>
    <t>同援日増０．５・基礎・盲ろう</t>
  </si>
  <si>
    <t>同援日増０．５・２人・盲ろう</t>
  </si>
  <si>
    <t>同援日増０．５・盲ろう</t>
  </si>
  <si>
    <t>同援日増０．５・基礎・２人</t>
  </si>
  <si>
    <t>同援日増０．５・基礎</t>
  </si>
  <si>
    <t>同援日増０．５・２人</t>
  </si>
  <si>
    <t>同援日増０．５</t>
  </si>
  <si>
    <t>同援夜増４．５・基礎・２人・盲ろう・区４</t>
  </si>
  <si>
    <t>同援夜増４．５・基礎・盲ろう・区４</t>
  </si>
  <si>
    <t>同援夜増４．５・２人・盲ろう・区４</t>
  </si>
  <si>
    <t>同援夜増４．５・盲ろう・区４</t>
  </si>
  <si>
    <t>同援夜増４．５・基礎・２人・区４</t>
  </si>
  <si>
    <t>同援夜増４．５・基礎・区４</t>
  </si>
  <si>
    <t>同援夜増４．５・２人・区４</t>
  </si>
  <si>
    <t>同援夜増４．５・区４</t>
  </si>
  <si>
    <t>同援夜増４．５・基礎・２人・盲ろう・区３</t>
  </si>
  <si>
    <t>同援夜増４．５・基礎・盲ろう・区３</t>
  </si>
  <si>
    <t>同援夜増４．５・２人・盲ろう・区３</t>
  </si>
  <si>
    <t>同援夜増４．５・盲ろう・区３</t>
  </si>
  <si>
    <t>同援夜増４．５・基礎・２人・区３</t>
  </si>
  <si>
    <t>同援夜増４．５・基礎・区３</t>
  </si>
  <si>
    <t>同援夜増４．５・２人・区３</t>
  </si>
  <si>
    <t>同援夜増４．５・区３</t>
  </si>
  <si>
    <t>同援夜増４．５・基礎・２人・盲ろう</t>
  </si>
  <si>
    <t>同援夜増４．５・基礎・盲ろう</t>
  </si>
  <si>
    <t>同援夜増４．５・２人・盲ろう</t>
  </si>
  <si>
    <t>同援夜増４．５・盲ろう</t>
  </si>
  <si>
    <t>同援夜増４．５・基礎・２人</t>
  </si>
  <si>
    <t>同援夜増４．５・基礎</t>
  </si>
  <si>
    <t>同援夜増４．５・２人</t>
  </si>
  <si>
    <t>同援夜増４．５</t>
  </si>
  <si>
    <t>同援夜増４．０・基礎・２人・盲ろう・区４</t>
  </si>
  <si>
    <t>同援夜増４．０・基礎・盲ろう・区４</t>
  </si>
  <si>
    <t>同援夜増４．０・２人・盲ろう・区４</t>
  </si>
  <si>
    <t>同援夜増４．０・盲ろう・区４</t>
  </si>
  <si>
    <t>同援夜増４．０・基礎・２人・区４</t>
  </si>
  <si>
    <t>同援夜増４．０・基礎・区４</t>
  </si>
  <si>
    <t>同援夜増４．０・２人・区４</t>
  </si>
  <si>
    <t>同援夜増４．０・区４</t>
  </si>
  <si>
    <t>同援夜増４．０・基礎・２人・盲ろう・区３</t>
  </si>
  <si>
    <t>同援夜増４．０・基礎・盲ろう・区３</t>
  </si>
  <si>
    <t>同援夜増４．０・２人・盲ろう・区３</t>
  </si>
  <si>
    <t>同援夜増４．０・盲ろう・区３</t>
  </si>
  <si>
    <t>同援夜増４．０・基礎・２人・区３</t>
  </si>
  <si>
    <t>同援夜増４．０・基礎・区３</t>
  </si>
  <si>
    <t>同援夜増４．０・２人・区３</t>
  </si>
  <si>
    <t>同援夜増４．０・区３</t>
  </si>
  <si>
    <t>同援夜増４．０・基礎・２人・盲ろう</t>
  </si>
  <si>
    <t>同援夜増４．０・基礎・盲ろう</t>
  </si>
  <si>
    <t>同援夜増４．０・２人・盲ろう</t>
  </si>
  <si>
    <t>同援夜増４．０・盲ろう</t>
  </si>
  <si>
    <t>同援夜増４．０・基礎・２人</t>
  </si>
  <si>
    <t>同援夜増４．０・基礎</t>
  </si>
  <si>
    <t>同援夜増４．０・２人</t>
  </si>
  <si>
    <t>同援夜増４．０</t>
  </si>
  <si>
    <t>同援夜増３．５・基礎・２人・盲ろう・区４</t>
  </si>
  <si>
    <t>同援夜増３．５・基礎・盲ろう・区４</t>
  </si>
  <si>
    <t>同援夜増３．５・２人・盲ろう・区４</t>
  </si>
  <si>
    <t>同援夜増３．５・盲ろう・区４</t>
  </si>
  <si>
    <t>同援夜増３．５・基礎・２人・区４</t>
  </si>
  <si>
    <t>同援夜増３．５・基礎・区４</t>
  </si>
  <si>
    <t>同援夜増３．５・２人・区４</t>
  </si>
  <si>
    <t>同援夜増３．５・区４</t>
  </si>
  <si>
    <t>同援夜増３．５・基礎・２人・盲ろう・区３</t>
  </si>
  <si>
    <t>同援夜増３．５・基礎・盲ろう・区３</t>
  </si>
  <si>
    <t>同援夜増３．５・２人・盲ろう・区３</t>
  </si>
  <si>
    <t>同援夜増３．５・盲ろう・区３</t>
  </si>
  <si>
    <t>同援夜増３．５・基礎・２人・区３</t>
  </si>
  <si>
    <t>同援夜増３．５・基礎・区３</t>
  </si>
  <si>
    <t>同援夜増３．５・２人・区３</t>
  </si>
  <si>
    <t>同援夜増３．５・区３</t>
  </si>
  <si>
    <t>同援夜増３．５・基礎・２人・盲ろう</t>
  </si>
  <si>
    <t>同援夜増３．５・基礎・盲ろう</t>
  </si>
  <si>
    <t>同援夜増３．５・２人・盲ろう</t>
  </si>
  <si>
    <t>同援夜増３．５・盲ろう</t>
  </si>
  <si>
    <t>同援夜増３．５・基礎・２人</t>
  </si>
  <si>
    <t>同援夜増３．５・基礎</t>
  </si>
  <si>
    <t>同援夜増３．５・２人</t>
  </si>
  <si>
    <t>同援夜増３．５</t>
  </si>
  <si>
    <t>同援夜増３．０・基礎・２人・盲ろう・区４</t>
  </si>
  <si>
    <t>同援夜増３．０・基礎・盲ろう・区４</t>
  </si>
  <si>
    <t>同援夜増３．０・２人・盲ろう・区４</t>
  </si>
  <si>
    <t>同援夜増３．０・盲ろう・区４</t>
  </si>
  <si>
    <t>同援夜増３．０・基礎・２人・区４</t>
  </si>
  <si>
    <t>同援夜増３．０・基礎・区４</t>
  </si>
  <si>
    <t>同援夜増３．０・２人・区４</t>
  </si>
  <si>
    <t>同援夜増３．０・区４</t>
  </si>
  <si>
    <t>同援夜増３．０・基礎・２人・盲ろう・区３</t>
  </si>
  <si>
    <t>同援夜増３．０・基礎・盲ろう・区３</t>
  </si>
  <si>
    <t>同援夜増３．０・２人・盲ろう・区３</t>
  </si>
  <si>
    <t>同援夜増３．０・盲ろう・区３</t>
  </si>
  <si>
    <t>同援夜増３．０・基礎・２人・区３</t>
  </si>
  <si>
    <t>同援夜増３．０・基礎・区３</t>
  </si>
  <si>
    <t>同援夜増３．０・２人・区３</t>
  </si>
  <si>
    <t>同援夜増３．０・区３</t>
  </si>
  <si>
    <t>同援夜増３．０・基礎・２人・盲ろう</t>
  </si>
  <si>
    <t>同援夜増３．０・基礎・盲ろう</t>
  </si>
  <si>
    <t>同援夜増３．０・２人・盲ろう</t>
  </si>
  <si>
    <t>同援夜増３．０・盲ろう</t>
  </si>
  <si>
    <t>同援夜増３．０・基礎・２人</t>
  </si>
  <si>
    <t>同援夜増３．０・基礎</t>
  </si>
  <si>
    <t>同援夜増３．０・２人</t>
  </si>
  <si>
    <t>同援夜増３．０</t>
  </si>
  <si>
    <t>同援夜増２．５・基礎・２人・盲ろう・区４</t>
  </si>
  <si>
    <t>同援夜増２．５・基礎・盲ろう・区４</t>
  </si>
  <si>
    <t>同援夜増２．５・２人・盲ろう・区４</t>
  </si>
  <si>
    <t>同援夜増２．５・盲ろう・区４</t>
  </si>
  <si>
    <t>同援夜増２．５・基礎・２人・区４</t>
  </si>
  <si>
    <t>同援夜増２．５・基礎・区４</t>
  </si>
  <si>
    <t>同援夜増２．５・２人・区４</t>
  </si>
  <si>
    <t>同援夜増２．５・区４</t>
  </si>
  <si>
    <t>同援夜増２．５・基礎・２人・盲ろう・区３</t>
  </si>
  <si>
    <t>同援夜増２．５・基礎・盲ろう・区３</t>
  </si>
  <si>
    <t>同援夜増２．５・２人・盲ろう・区３</t>
  </si>
  <si>
    <t>同援夜増２．５・盲ろう・区３</t>
  </si>
  <si>
    <t>同援夜増２．５・基礎・２人・区３</t>
  </si>
  <si>
    <t>同援夜増２．５・基礎・区３</t>
  </si>
  <si>
    <t>同援夜増２．５・２人・区３</t>
  </si>
  <si>
    <t>同援夜増２．５・区３</t>
  </si>
  <si>
    <t>同援夜増２．５・基礎・２人・盲ろう</t>
  </si>
  <si>
    <t>同援夜増２．５・基礎・盲ろう</t>
  </si>
  <si>
    <t>同援夜増２．５・２人・盲ろう</t>
  </si>
  <si>
    <t>同援夜増２．５・盲ろう</t>
  </si>
  <si>
    <t>同援夜増２．５・基礎・２人</t>
  </si>
  <si>
    <t>同援夜増２．５・基礎</t>
  </si>
  <si>
    <t>同援夜増２．５・２人</t>
  </si>
  <si>
    <t>同援夜増２．５</t>
  </si>
  <si>
    <t>同援夜増２．０・基礎・２人・盲ろう・区４</t>
  </si>
  <si>
    <t>同援夜増２．０・基礎・盲ろう・区４</t>
  </si>
  <si>
    <t>同援夜増２．０・２人・盲ろう・区４</t>
  </si>
  <si>
    <t>同援夜増２．０・盲ろう・区４</t>
  </si>
  <si>
    <t>同援夜増２．０・基礎・２人・区４</t>
  </si>
  <si>
    <t>同援夜増２．０・基礎・区４</t>
  </si>
  <si>
    <t>同援夜増２．０・２人・区４</t>
  </si>
  <si>
    <t>同援夜増２．０・区４</t>
  </si>
  <si>
    <t>同援夜増２．０・基礎・２人・盲ろう・区３</t>
  </si>
  <si>
    <t>同援夜増２．０・基礎・盲ろう・区３</t>
  </si>
  <si>
    <t>同援夜増２．０・２人・盲ろう・区３</t>
  </si>
  <si>
    <t>同援夜増２．０・盲ろう・区３</t>
  </si>
  <si>
    <t>同援夜増２．０・基礎・２人・区３</t>
  </si>
  <si>
    <t>同援夜増２．０・基礎・区３</t>
  </si>
  <si>
    <t>同援夜増２．０・２人・区３</t>
  </si>
  <si>
    <t>同援夜増２．０・区３</t>
  </si>
  <si>
    <t>同援夜増２．０・基礎・２人・盲ろう</t>
  </si>
  <si>
    <t>同援夜増２．０・基礎・盲ろう</t>
  </si>
  <si>
    <t>同援夜増２．０・２人・盲ろう</t>
  </si>
  <si>
    <t>同援夜増２．０・盲ろう</t>
  </si>
  <si>
    <t>同援夜増２．０・基礎・２人</t>
  </si>
  <si>
    <t>同援夜増２．０・基礎</t>
  </si>
  <si>
    <t>同援夜増２．０・２人</t>
  </si>
  <si>
    <t>同援夜増２．０</t>
  </si>
  <si>
    <t>同援夜増１．５・基礎・２人・盲ろう・区４</t>
  </si>
  <si>
    <t>同援夜増１．５・基礎・盲ろう・区４</t>
  </si>
  <si>
    <t>同援夜増１．５・２人・盲ろう・区４</t>
  </si>
  <si>
    <t>同援夜増１．５・盲ろう・区４</t>
  </si>
  <si>
    <t>同援夜増１．５・基礎・２人・区４</t>
  </si>
  <si>
    <t>同援夜増１．５・基礎・区４</t>
  </si>
  <si>
    <t>同援夜増１．５・２人・区４</t>
  </si>
  <si>
    <t>同援夜増１．５・区４</t>
  </si>
  <si>
    <t>同援夜増１．５・基礎・２人・盲ろう・区３</t>
  </si>
  <si>
    <t>同援夜増１．５・基礎・盲ろう・区３</t>
  </si>
  <si>
    <t>同援夜増１．５・２人・盲ろう・区３</t>
  </si>
  <si>
    <t>同援夜増１．５・盲ろう・区３</t>
  </si>
  <si>
    <t>同援夜増１．５・基礎・２人・区３</t>
  </si>
  <si>
    <t>同援夜増１．５・基礎・区３</t>
  </si>
  <si>
    <t>同援夜増１．５・２人・区３</t>
  </si>
  <si>
    <t>同援夜増１．５・区３</t>
  </si>
  <si>
    <t>同援夜増１．５・基礎・２人・盲ろう</t>
  </si>
  <si>
    <t>同援夜増１．５・基礎・盲ろう</t>
  </si>
  <si>
    <t>同援夜増１．５・２人・盲ろう</t>
  </si>
  <si>
    <t>同援夜増１．５・盲ろう</t>
  </si>
  <si>
    <t>同援夜増１．５・基礎・２人</t>
  </si>
  <si>
    <t>同援夜増１．５・基礎</t>
  </si>
  <si>
    <t>同援夜増１．５・２人</t>
  </si>
  <si>
    <t>同援夜増１．５</t>
  </si>
  <si>
    <t>同援夜増１．０・基礎・２人・盲ろう・区４</t>
  </si>
  <si>
    <t>同援夜増１．０・基礎・盲ろう・区４</t>
  </si>
  <si>
    <t>同援夜増１．０・２人・盲ろう・区４</t>
  </si>
  <si>
    <t>同援夜増１．０・盲ろう・区４</t>
  </si>
  <si>
    <t>同援夜増１．０・基礎・２人・区４</t>
  </si>
  <si>
    <t>同援夜増１．０・基礎・区４</t>
  </si>
  <si>
    <t>同援夜増１．０・２人・区４</t>
  </si>
  <si>
    <t>同援夜増１．０・区４</t>
  </si>
  <si>
    <t>同援夜増１．０・基礎・２人・盲ろう・区３</t>
  </si>
  <si>
    <t>同援夜増１．０・基礎・盲ろう・区３</t>
  </si>
  <si>
    <t>同援夜増１．０・２人・盲ろう・区３</t>
  </si>
  <si>
    <t>同援夜増１．０・盲ろう・区３</t>
  </si>
  <si>
    <t>同援夜増１．０・基礎・２人・区３</t>
  </si>
  <si>
    <t>同援夜増１．０・基礎・区３</t>
  </si>
  <si>
    <t>同援夜増１．０・２人・区３</t>
  </si>
  <si>
    <t>同援夜増１．０・区３</t>
  </si>
  <si>
    <t>同援夜増１．０・基礎・２人・盲ろう</t>
  </si>
  <si>
    <t>同援夜増１．０・基礎・盲ろう</t>
  </si>
  <si>
    <t>同援夜増１．０・２人・盲ろう</t>
  </si>
  <si>
    <t>同援夜増１．０・盲ろう</t>
  </si>
  <si>
    <t>同援夜増１．０・基礎・２人</t>
  </si>
  <si>
    <t>同援夜増１．０・基礎</t>
  </si>
  <si>
    <t>同援夜増１．０・２人</t>
  </si>
  <si>
    <t>同援夜増１．０</t>
  </si>
  <si>
    <t>同援夜増０．５・基礎・２人・盲ろう・区４</t>
  </si>
  <si>
    <t>同援夜増０．５・基礎・盲ろう・区４</t>
  </si>
  <si>
    <t>同援夜増０．５・２人・盲ろう・区４</t>
  </si>
  <si>
    <t>同援夜増０．５・盲ろう・区４</t>
  </si>
  <si>
    <t>同援夜増０．５・基礎・２人・区４</t>
  </si>
  <si>
    <t>同援夜増０．５・基礎・区４</t>
  </si>
  <si>
    <t>同援夜増０．５・２人・区４</t>
  </si>
  <si>
    <t>同援夜増０．５・区４</t>
  </si>
  <si>
    <t>同援夜増０．５・基礎・２人・盲ろう・区３</t>
  </si>
  <si>
    <t>同援夜増０．５・基礎・盲ろう・区３</t>
  </si>
  <si>
    <t>同援夜増０．５・２人・盲ろう・区３</t>
  </si>
  <si>
    <t>同援夜増０．５・盲ろう・区３</t>
  </si>
  <si>
    <t>同援夜増０．５・基礎・２人・区３</t>
  </si>
  <si>
    <t>同援夜増０．５・基礎・区３</t>
  </si>
  <si>
    <t>同援夜増０．５・２人・区３</t>
  </si>
  <si>
    <t>同援夜増０．５・区３</t>
  </si>
  <si>
    <t>同援夜増０．５・基礎・２人・盲ろう</t>
  </si>
  <si>
    <t>同援夜増０．５・基礎・盲ろう</t>
  </si>
  <si>
    <t>同援夜増０．５・２人・盲ろう</t>
  </si>
  <si>
    <t>同援夜増０．５・盲ろう</t>
  </si>
  <si>
    <t>同援夜増０．５・基礎・２人</t>
  </si>
  <si>
    <t>同援夜増０．５・基礎</t>
  </si>
  <si>
    <t>同援夜増０．５・２人</t>
  </si>
  <si>
    <t>同援夜増０．５</t>
  </si>
  <si>
    <t>同援早増２．５・基礎・２人・盲ろう・区４</t>
  </si>
  <si>
    <t>同援早増２．５・基礎・盲ろう・区４</t>
  </si>
  <si>
    <t>同援早増２．５・２人・盲ろう・区４</t>
  </si>
  <si>
    <t>同援早増２．５・盲ろう・区４</t>
  </si>
  <si>
    <t>同援早増２．５・基礎・２人・区４</t>
  </si>
  <si>
    <t>同援早増２．５・基礎・区４</t>
  </si>
  <si>
    <t>同援早増２．５・２人・区４</t>
  </si>
  <si>
    <t>同援早増２．５・区４</t>
  </si>
  <si>
    <t>同援早増２．５・基礎・２人・盲ろう・区３</t>
  </si>
  <si>
    <t>同援早増２．５・基礎・盲ろう・区３</t>
  </si>
  <si>
    <t>同援早増２．５・２人・盲ろう・区３</t>
  </si>
  <si>
    <t>同援早増２．５・盲ろう・区３</t>
  </si>
  <si>
    <t>同援早増２．５・基礎・２人・区３</t>
  </si>
  <si>
    <t>同援早増２．５・基礎・区３</t>
  </si>
  <si>
    <t>同援早増２．５・２人・区３</t>
  </si>
  <si>
    <t>同援早増２．５・区３</t>
  </si>
  <si>
    <t>同援早増２．５・基礎・２人・盲ろう</t>
  </si>
  <si>
    <t>同援早増２．５・基礎・盲ろう</t>
  </si>
  <si>
    <t>同援早増２．５・２人・盲ろう</t>
  </si>
  <si>
    <t>同援早増２．５・盲ろう</t>
  </si>
  <si>
    <t>同援早増２．５・基礎・２人</t>
  </si>
  <si>
    <t>同援早増２．５・基礎</t>
  </si>
  <si>
    <t>同援早増２．５・２人</t>
  </si>
  <si>
    <t>同援早増２．５</t>
  </si>
  <si>
    <t>同援早増２．０・基礎・２人・盲ろう・区４</t>
  </si>
  <si>
    <t>同援早増２．０・基礎・盲ろう・区４</t>
  </si>
  <si>
    <t>同援早増２．０・２人・盲ろう・区４</t>
  </si>
  <si>
    <t>同援早増２．０・盲ろう・区４</t>
  </si>
  <si>
    <t>同援早増２．０・基礎・２人・区４</t>
  </si>
  <si>
    <t>同援早増２．０・基礎・区４</t>
  </si>
  <si>
    <t>同援早増２．０・２人・区４</t>
  </si>
  <si>
    <t>同援早増２．０・区４</t>
  </si>
  <si>
    <t>同援早増２．０・基礎・２人・盲ろう・区３</t>
  </si>
  <si>
    <t>同援早増２．０・基礎・盲ろう・区３</t>
  </si>
  <si>
    <t>同援早増２．０・２人・盲ろう・区３</t>
  </si>
  <si>
    <t>同援早増２．０・盲ろう・区３</t>
  </si>
  <si>
    <t>同援早増２．０・基礎・２人・区３</t>
  </si>
  <si>
    <t>同援早増２．０・基礎・区３</t>
  </si>
  <si>
    <t>同援早増２．０・２人・区３</t>
  </si>
  <si>
    <t>同援早増２．０・区３</t>
  </si>
  <si>
    <t>同援早増２．０・基礎・２人・盲ろう</t>
  </si>
  <si>
    <t>同援早増２．０・基礎・盲ろう</t>
  </si>
  <si>
    <t>同援早増２．０・２人・盲ろう</t>
  </si>
  <si>
    <t>同援早増２．０・盲ろう</t>
  </si>
  <si>
    <t>同援早増２．０・基礎・２人</t>
  </si>
  <si>
    <t>同援早増２．０・基礎</t>
  </si>
  <si>
    <t>同援早増２．０・２人</t>
  </si>
  <si>
    <t>同援早増２．０</t>
  </si>
  <si>
    <t>同援早増１．５・基礎・２人・盲ろう・区４</t>
  </si>
  <si>
    <t>同援早増１．５・基礎・盲ろう・区４</t>
  </si>
  <si>
    <t>同援早増１．５・２人・盲ろう・区４</t>
  </si>
  <si>
    <t>同援早増１．５・盲ろう・区４</t>
  </si>
  <si>
    <t>同援早増１．５・基礎・２人・区４</t>
  </si>
  <si>
    <t>同援早増１．５・基礎・区４</t>
  </si>
  <si>
    <t>同援早増１．５・２人・区４</t>
  </si>
  <si>
    <t>同援早増１．５・区４</t>
  </si>
  <si>
    <t>同援早増１．５・基礎・２人・盲ろう・区３</t>
  </si>
  <si>
    <t>同援早増１．５・基礎・盲ろう・区３</t>
  </si>
  <si>
    <t>同援早増１．５・２人・盲ろう・区３</t>
  </si>
  <si>
    <t>同援早増１．５・盲ろう・区３</t>
  </si>
  <si>
    <t>同援早増１．５・基礎・２人・区３</t>
  </si>
  <si>
    <t>同援早増１．５・基礎・区３</t>
  </si>
  <si>
    <t>同援早増１．５・２人・区３</t>
  </si>
  <si>
    <t>同援早増１．５・区３</t>
  </si>
  <si>
    <t>同援早増１．５・基礎・２人・盲ろう</t>
  </si>
  <si>
    <t>同援早増１．５・基礎・盲ろう</t>
  </si>
  <si>
    <t>同援早増１．５・２人・盲ろう</t>
  </si>
  <si>
    <t>同援早増１．５・盲ろう</t>
  </si>
  <si>
    <t>同援早増１．５・基礎・２人</t>
  </si>
  <si>
    <t>同援早増１．５・基礎</t>
  </si>
  <si>
    <t>同援早増１．５・２人</t>
  </si>
  <si>
    <t>同援早増１．５</t>
  </si>
  <si>
    <t>同援早増１．０・基礎・２人・盲ろう・区４</t>
  </si>
  <si>
    <t>同援早増１．０・基礎・盲ろう・区４</t>
  </si>
  <si>
    <t>同援早増１．０・２人・盲ろう・区４</t>
  </si>
  <si>
    <t>同援早増１．０・盲ろう・区４</t>
  </si>
  <si>
    <t>同援早増１．０・基礎・２人・区４</t>
  </si>
  <si>
    <t>同援早増１．０・基礎・区４</t>
  </si>
  <si>
    <t>同援早増１．０・２人・区４</t>
  </si>
  <si>
    <t>同援早増１．０・区４</t>
  </si>
  <si>
    <t>同援早増１．０・基礎・２人・盲ろう・区３</t>
  </si>
  <si>
    <t>同援早増１．０・基礎・盲ろう・区３</t>
  </si>
  <si>
    <t>同援早増１．０・２人・盲ろう・区３</t>
  </si>
  <si>
    <t>同援早増１．０・盲ろう・区３</t>
  </si>
  <si>
    <t>同援早増１．０・基礎・２人・区３</t>
  </si>
  <si>
    <t>同援早増１．０・基礎・区３</t>
  </si>
  <si>
    <t>同援早増１．０・２人・区３</t>
  </si>
  <si>
    <t>同援早増１．０・区３</t>
  </si>
  <si>
    <t>同援早増１．０・基礎・２人・盲ろう</t>
  </si>
  <si>
    <t>同援早増１．０・基礎・盲ろう</t>
  </si>
  <si>
    <t>同援早増１．０・２人・盲ろう</t>
  </si>
  <si>
    <t>同援早増１．０・盲ろう</t>
  </si>
  <si>
    <t>同援早増１．０・基礎・２人</t>
  </si>
  <si>
    <t>同援早増１．０・基礎</t>
  </si>
  <si>
    <t>同援早増１．０・２人</t>
  </si>
  <si>
    <t>同援早増１．０</t>
  </si>
  <si>
    <t>同援早増０．５・基礎・２人・盲ろう・区４</t>
  </si>
  <si>
    <t>同援早増０．５・基礎・盲ろう・区４</t>
  </si>
  <si>
    <t>同援早増０．５・２人・盲ろう・区４</t>
  </si>
  <si>
    <t>同援早増０．５・盲ろう・区４</t>
  </si>
  <si>
    <t>同援早増０．５・基礎・２人・区４</t>
  </si>
  <si>
    <t>同援早増０．５・基礎・区４</t>
  </si>
  <si>
    <t>同援早増０．５・２人・区４</t>
  </si>
  <si>
    <t>同援早増０．５・区４</t>
  </si>
  <si>
    <t>同援早増０．５・基礎・２人・盲ろう・区３</t>
  </si>
  <si>
    <t>同援早増０．５・基礎・盲ろう・区３</t>
  </si>
  <si>
    <t>同援早増０．５・２人・盲ろう・区３</t>
  </si>
  <si>
    <t>同援早増０．５・盲ろう・区３</t>
  </si>
  <si>
    <t>同援早増０．５・基礎・２人・区３</t>
  </si>
  <si>
    <t>同援早増０．５・基礎・区３</t>
  </si>
  <si>
    <t>同援早増０．５・２人・区３</t>
  </si>
  <si>
    <t>同援早増０．５・区３</t>
  </si>
  <si>
    <t>同援早増０．５・基礎・２人・盲ろう</t>
  </si>
  <si>
    <t>同援早増０．５・基礎・盲ろう</t>
  </si>
  <si>
    <t>同援早増０．５・２人・盲ろう</t>
  </si>
  <si>
    <t>同援早増０．５・盲ろう</t>
  </si>
  <si>
    <t>同援早増０．５・基礎・２人</t>
  </si>
  <si>
    <t>同援早増０．５・基礎</t>
  </si>
  <si>
    <t>同援早増０．５・２人</t>
  </si>
  <si>
    <t>同援早増０．５</t>
  </si>
  <si>
    <t>同援深増６．５・基礎・２人・盲ろう・区４</t>
  </si>
  <si>
    <t>同援深増６．５・基礎・盲ろう・区４</t>
  </si>
  <si>
    <t>同援深増６．５・２人・盲ろう・区４</t>
  </si>
  <si>
    <t>同援深増６．５・盲ろう・区４</t>
  </si>
  <si>
    <t>同援深増６．５・基礎・２人・区４</t>
  </si>
  <si>
    <t>同援深増６．５・基礎・区４</t>
  </si>
  <si>
    <t>同援深増６．５・２人・区４</t>
  </si>
  <si>
    <t>同援深増６．５・区４</t>
  </si>
  <si>
    <t>同援深増６．５・基礎・２人・盲ろう・区３</t>
  </si>
  <si>
    <t>同援深増６．５・基礎・盲ろう・区３</t>
  </si>
  <si>
    <t>同援深増６．５・２人・盲ろう・区３</t>
  </si>
  <si>
    <t>同援深増６．５・盲ろう・区３</t>
  </si>
  <si>
    <t>同援深増６．５・基礎・２人・区３</t>
  </si>
  <si>
    <t>同援深増６．５・基礎・区３</t>
  </si>
  <si>
    <t>同援深増６．５・２人・区３</t>
  </si>
  <si>
    <t>同援深増６．５・区３</t>
  </si>
  <si>
    <t>同援深増６．５・基礎・２人・盲ろう</t>
  </si>
  <si>
    <t>同援深増６．５・基礎・盲ろう</t>
  </si>
  <si>
    <t>同援深増６．５・２人・盲ろう</t>
  </si>
  <si>
    <t>同援深増６．５・盲ろう</t>
  </si>
  <si>
    <t>同援深増６．５・基礎・２人</t>
  </si>
  <si>
    <t>同援深増６．５・基礎</t>
  </si>
  <si>
    <t>同援深増６．５・２人</t>
  </si>
  <si>
    <t>同援深増６．５</t>
  </si>
  <si>
    <t>同援深増６．０・基礎・２人・盲ろう・区４</t>
  </si>
  <si>
    <t>同援深増６．０・基礎・盲ろう・区４</t>
  </si>
  <si>
    <t>同援深増６．０・２人・盲ろう・区４</t>
  </si>
  <si>
    <t>同援深増６．０・盲ろう・区４</t>
  </si>
  <si>
    <t>同援深増６．０・基礎・２人・区４</t>
  </si>
  <si>
    <t>同援深増６．０・基礎・区４</t>
  </si>
  <si>
    <t>同援深増６．０・２人・区４</t>
  </si>
  <si>
    <t>同援深増６．０・区４</t>
  </si>
  <si>
    <t>同援深増６．０・基礎・２人・盲ろう・区３</t>
  </si>
  <si>
    <t>同援深増６．０・基礎・盲ろう・区３</t>
  </si>
  <si>
    <t>同援深増６．０・２人・盲ろう・区３</t>
  </si>
  <si>
    <t>同援深増６．０・盲ろう・区３</t>
  </si>
  <si>
    <t>同援深増６．０・基礎・２人・区３</t>
  </si>
  <si>
    <t>同援深増６．０・基礎・区３</t>
  </si>
  <si>
    <t>同援深増６．０・２人・区３</t>
  </si>
  <si>
    <t>同援深増６．０・区３</t>
  </si>
  <si>
    <t>同援深増６．０・基礎・２人・盲ろう</t>
  </si>
  <si>
    <t>同援深増６．０・基礎・盲ろう</t>
  </si>
  <si>
    <t>同援深増６．０・２人・盲ろう</t>
  </si>
  <si>
    <t>同援深増６．０・盲ろう</t>
  </si>
  <si>
    <t>同援深増６．０・基礎・２人</t>
  </si>
  <si>
    <t>同援深増６．０・基礎</t>
  </si>
  <si>
    <t>同援深増６．０・２人</t>
  </si>
  <si>
    <t>同援深増６．０</t>
  </si>
  <si>
    <t>同援深増５．５・基礎・２人・盲ろう・区４</t>
  </si>
  <si>
    <t>同援深増５．５・基礎・盲ろう・区４</t>
  </si>
  <si>
    <t>同援深増５．５・２人・盲ろう・区４</t>
  </si>
  <si>
    <t>同援深増５．５・盲ろう・区４</t>
  </si>
  <si>
    <t>同援深増５．５・基礎・２人・区４</t>
  </si>
  <si>
    <t>同援深増５．５・基礎・区４</t>
  </si>
  <si>
    <t>同援深増５．５・２人・区４</t>
  </si>
  <si>
    <t>同援深増５．５・区４</t>
  </si>
  <si>
    <t>同援深増５．５・基礎・２人・盲ろう・区３</t>
  </si>
  <si>
    <t>同援深増５．５・基礎・盲ろう・区３</t>
  </si>
  <si>
    <t>同援深増５．５・２人・盲ろう・区３</t>
  </si>
  <si>
    <t>同援深増５．５・盲ろう・区３</t>
  </si>
  <si>
    <t>同援深増５．５・基礎・２人・区３</t>
  </si>
  <si>
    <t>同援深増５．５・基礎・区３</t>
  </si>
  <si>
    <t>同援深増５．５・２人・区３</t>
  </si>
  <si>
    <t>同援深増５．５・区３</t>
  </si>
  <si>
    <t>同援深増５．５・基礎・２人・盲ろう</t>
  </si>
  <si>
    <t>同援深増５．５・基礎・盲ろう</t>
  </si>
  <si>
    <t>同援深増５．５・２人・盲ろう</t>
  </si>
  <si>
    <t>同援深増５．５・盲ろう</t>
  </si>
  <si>
    <t>同援深増５．５・基礎・２人</t>
  </si>
  <si>
    <t>同援深増５．５・基礎</t>
  </si>
  <si>
    <t>同援深増５．５・２人</t>
  </si>
  <si>
    <t>同援深増５．５</t>
  </si>
  <si>
    <t>同援深増５．０・基礎・２人・盲ろう・区４</t>
  </si>
  <si>
    <t>同援深増５．０・基礎・盲ろう・区４</t>
  </si>
  <si>
    <t>同援深増５．０・２人・盲ろう・区４</t>
  </si>
  <si>
    <t>同援深増５．０・盲ろう・区４</t>
  </si>
  <si>
    <t>同援深増５．０・基礎・２人・区４</t>
  </si>
  <si>
    <t>同援深増５．０・基礎・区４</t>
  </si>
  <si>
    <t>同援深増５．０・２人・区４</t>
  </si>
  <si>
    <t>同援深増５．０・区４</t>
  </si>
  <si>
    <t>同援深増５．０・基礎・２人・盲ろう・区３</t>
  </si>
  <si>
    <t>同援深増５．０・基礎・盲ろう・区３</t>
  </si>
  <si>
    <t>同援深増５．０・２人・盲ろう・区３</t>
  </si>
  <si>
    <t>同援深増５．０・盲ろう・区３</t>
  </si>
  <si>
    <t>同援深増５．０・基礎・２人・区３</t>
  </si>
  <si>
    <t>同援深増５．０・基礎・区３</t>
  </si>
  <si>
    <t>同援深増５．０・２人・区３</t>
  </si>
  <si>
    <t>同援深増５．０・区３</t>
  </si>
  <si>
    <t>同援深増５．０・基礎・２人・盲ろう</t>
  </si>
  <si>
    <t>同援深増５．０・基礎・盲ろう</t>
  </si>
  <si>
    <t>同援深増５．０・２人・盲ろう</t>
  </si>
  <si>
    <t>同援深増５．０・盲ろう</t>
  </si>
  <si>
    <t>同援深増５．０・基礎・２人</t>
  </si>
  <si>
    <t>同援深増５．０・基礎</t>
  </si>
  <si>
    <t>同援深増５．０・２人</t>
  </si>
  <si>
    <t>同援深増５．０</t>
  </si>
  <si>
    <t>同援深増４．５・基礎・２人・盲ろう・区４</t>
  </si>
  <si>
    <t>同援深増４．５・基礎・盲ろう・区４</t>
  </si>
  <si>
    <t>同援深増４．５・２人・盲ろう・区４</t>
  </si>
  <si>
    <t>同援深増４．５・盲ろう・区４</t>
  </si>
  <si>
    <t>同援深増４．５・基礎・２人・区４</t>
  </si>
  <si>
    <t>同援深増４．５・基礎・区４</t>
  </si>
  <si>
    <t>同援深増４．５・２人・区４</t>
  </si>
  <si>
    <t>同援深増４．５・区４</t>
  </si>
  <si>
    <t>同援深増４．５・基礎・２人・盲ろう・区３</t>
  </si>
  <si>
    <t>同援深増４．５・基礎・盲ろう・区３</t>
  </si>
  <si>
    <t>同援深増４．５・２人・盲ろう・区３</t>
  </si>
  <si>
    <t>同援深増４．５・盲ろう・区３</t>
  </si>
  <si>
    <t>同援深増４．５・基礎・２人・区３</t>
  </si>
  <si>
    <t>同援深増４．５・基礎・区３</t>
  </si>
  <si>
    <t>同援深増４．５・２人・区３</t>
  </si>
  <si>
    <t>同援深増４．５・区３</t>
  </si>
  <si>
    <t>同援深増４．５・基礎・２人・盲ろう</t>
  </si>
  <si>
    <t>同援深増４．５・基礎・盲ろう</t>
  </si>
  <si>
    <t>同援深増４．５・２人・盲ろう</t>
  </si>
  <si>
    <t>同援深増４．５・盲ろう</t>
  </si>
  <si>
    <t>同援深増４．５・基礎・２人</t>
  </si>
  <si>
    <t>同援深増４．５・基礎</t>
  </si>
  <si>
    <t>同援深増４．５・２人</t>
  </si>
  <si>
    <t>同援深増４．５</t>
  </si>
  <si>
    <t>同援深増４．０・基礎・２人・盲ろう・区４</t>
  </si>
  <si>
    <t>同援深増４．０・基礎・盲ろう・区４</t>
  </si>
  <si>
    <t>同援深増４．０・２人・盲ろう・区４</t>
  </si>
  <si>
    <t>同援深増４．０・盲ろう・区４</t>
  </si>
  <si>
    <t>同援深増４．０・基礎・２人・区４</t>
  </si>
  <si>
    <t>同援深増４．０・基礎・区４</t>
  </si>
  <si>
    <t>同援深増４．０・２人・区４</t>
  </si>
  <si>
    <t>同援深増４．０・区４</t>
  </si>
  <si>
    <t>同援深増４．０・基礎・２人・盲ろう・区３</t>
  </si>
  <si>
    <t>同援深増４．０・基礎・盲ろう・区３</t>
  </si>
  <si>
    <t>同援深増４．０・２人・盲ろう・区３</t>
  </si>
  <si>
    <t>同援深増４．０・盲ろう・区３</t>
  </si>
  <si>
    <t>同援深増４．０・基礎・２人・区３</t>
  </si>
  <si>
    <t>同援深増４．０・基礎・区３</t>
  </si>
  <si>
    <t>同援深増４．０・２人・区３</t>
  </si>
  <si>
    <t>同援深増４．０・区３</t>
  </si>
  <si>
    <t>同援深増４．０・基礎・２人・盲ろう</t>
  </si>
  <si>
    <t>同援深増４．０・基礎・盲ろう</t>
  </si>
  <si>
    <t>同援深増４．０・２人・盲ろう</t>
  </si>
  <si>
    <t>同援深増４．０・盲ろう</t>
  </si>
  <si>
    <t>同援深増４．０・基礎・２人</t>
  </si>
  <si>
    <t>同援深増４．０・基礎</t>
  </si>
  <si>
    <t>同援深増４．０・２人</t>
  </si>
  <si>
    <t>同援深増４．０</t>
  </si>
  <si>
    <t>同援深増３．５・基礎・２人・盲ろう・区４</t>
  </si>
  <si>
    <t>同援深増３．５・基礎・盲ろう・区４</t>
  </si>
  <si>
    <t>同援深増３．５・２人・盲ろう・区４</t>
  </si>
  <si>
    <t>同援深増３．５・盲ろう・区４</t>
  </si>
  <si>
    <t>同援深増３．５・基礎・２人・区４</t>
  </si>
  <si>
    <t>同援深増３．５・基礎・区４</t>
  </si>
  <si>
    <t>同援深増３．５・２人・区４</t>
  </si>
  <si>
    <t>同援深増３．５・区４</t>
  </si>
  <si>
    <t>同援深増３．５・基礎・２人・盲ろう・区３</t>
  </si>
  <si>
    <t>同援深増３．５・基礎・盲ろう・区３</t>
  </si>
  <si>
    <t>同援深増３．５・２人・盲ろう・区３</t>
  </si>
  <si>
    <t>同援深増３．５・盲ろう・区３</t>
  </si>
  <si>
    <t>同援深増３．５・基礎・２人・区３</t>
  </si>
  <si>
    <t>同援深増３．５・基礎・区３</t>
  </si>
  <si>
    <t>同援深増３．５・２人・区３</t>
  </si>
  <si>
    <t>同援深増３．５・区３</t>
  </si>
  <si>
    <t>同援深増３．５・基礎・２人・盲ろう</t>
  </si>
  <si>
    <t>同援深増３．５・基礎・盲ろう</t>
  </si>
  <si>
    <t>同援深増３．５・２人・盲ろう</t>
  </si>
  <si>
    <t>同援深増３．５・盲ろう</t>
  </si>
  <si>
    <t>同援深増３．５・基礎・２人</t>
  </si>
  <si>
    <t>同援深増３．５・基礎</t>
  </si>
  <si>
    <t>同援深増３．５・２人</t>
  </si>
  <si>
    <t>同援深増３．５</t>
  </si>
  <si>
    <t>同援深増３．０・基礎・２人・盲ろう・区４</t>
  </si>
  <si>
    <t>同援深増３．０・基礎・盲ろう・区４</t>
  </si>
  <si>
    <t>同援深増３．０・２人・盲ろう・区４</t>
  </si>
  <si>
    <t>同援深増３．０・盲ろう・区４</t>
  </si>
  <si>
    <t>同援深増３．０・基礎・２人・区４</t>
  </si>
  <si>
    <t>同援深増３．０・基礎・区４</t>
  </si>
  <si>
    <t>同援深増３．０・２人・区４</t>
  </si>
  <si>
    <t>同援深増３．０・区４</t>
  </si>
  <si>
    <t>同援深増３．０・基礎・２人・盲ろう・区３</t>
  </si>
  <si>
    <t>同援深増３．０・基礎・盲ろう・区３</t>
  </si>
  <si>
    <t>同援深増３．０・２人・盲ろう・区３</t>
  </si>
  <si>
    <t>同援深増３．０・盲ろう・区３</t>
  </si>
  <si>
    <t>同援深増３．０・基礎・２人・区３</t>
  </si>
  <si>
    <t>同援深増３．０・基礎・区３</t>
  </si>
  <si>
    <t>同援深増３．０・２人・区３</t>
  </si>
  <si>
    <t>同援深増３．０・区３</t>
  </si>
  <si>
    <t>同援深増３．０・基礎・２人・盲ろう</t>
  </si>
  <si>
    <t>同援深増３．０・基礎・盲ろう</t>
  </si>
  <si>
    <t>同援深増３．０・２人・盲ろう</t>
  </si>
  <si>
    <t>同援深増３．０・盲ろう</t>
  </si>
  <si>
    <t>同援深増３．０・基礎・２人</t>
  </si>
  <si>
    <t>同援深増３．０・基礎</t>
  </si>
  <si>
    <t>同援深増３．０・２人</t>
  </si>
  <si>
    <t>同援深増３．０</t>
  </si>
  <si>
    <t>同援深増２．５・基礎・２人・盲ろう・区４</t>
  </si>
  <si>
    <t>同援深増２．５・基礎・盲ろう・区４</t>
  </si>
  <si>
    <t>同援深増２．５・２人・盲ろう・区４</t>
  </si>
  <si>
    <t>同援深増２．５・盲ろう・区４</t>
  </si>
  <si>
    <t>同援深増２．５・基礎・２人・区４</t>
  </si>
  <si>
    <t>同援深増２．５・基礎・区４</t>
  </si>
  <si>
    <t>同援深増２．５・２人・区４</t>
  </si>
  <si>
    <t>同援深増２．５・区４</t>
  </si>
  <si>
    <t>同援深増２．５・基礎・２人・盲ろう・区３</t>
  </si>
  <si>
    <t>同援深増２．５・基礎・盲ろう・区３</t>
  </si>
  <si>
    <t>同援深増２．５・２人・盲ろう・区３</t>
  </si>
  <si>
    <t>同援深増２．５・盲ろう・区３</t>
  </si>
  <si>
    <t>同援深増２．５・基礎・２人・区３</t>
  </si>
  <si>
    <t>同援深増２．５・基礎・区３</t>
  </si>
  <si>
    <t>同援深増２．５・２人・区３</t>
  </si>
  <si>
    <t>同援深増２．５・区３</t>
  </si>
  <si>
    <t>同援深増２．５・基礎・２人・盲ろう</t>
  </si>
  <si>
    <t>同援深増２．５・基礎・盲ろう</t>
  </si>
  <si>
    <t>同援深増２．５・２人・盲ろう</t>
  </si>
  <si>
    <t>同援深増２．５・盲ろう</t>
  </si>
  <si>
    <t>同援深増２．５・基礎・２人</t>
  </si>
  <si>
    <t>同援深増２．５・基礎</t>
  </si>
  <si>
    <t>同援深増２．５・２人</t>
  </si>
  <si>
    <t>同援深増２．５</t>
  </si>
  <si>
    <t>同援深増２．０・基礎・２人・盲ろう・区４</t>
  </si>
  <si>
    <t>同援深増２．０・基礎・盲ろう・区４</t>
  </si>
  <si>
    <t>同援深増２．０・２人・盲ろう・区４</t>
  </si>
  <si>
    <t>同援深増２．０・盲ろう・区４</t>
  </si>
  <si>
    <t>同援深増２．０・基礎・２人・区４</t>
  </si>
  <si>
    <t>同援深増２．０・基礎・区４</t>
  </si>
  <si>
    <t>同援深増２．０・２人・区４</t>
  </si>
  <si>
    <t>同援深増２．０・区４</t>
  </si>
  <si>
    <t>同援深増２．０・基礎・２人・盲ろう・区３</t>
  </si>
  <si>
    <t>同援深増２．０・基礎・盲ろう・区３</t>
  </si>
  <si>
    <t>同援深増２．０・２人・盲ろう・区３</t>
  </si>
  <si>
    <t>同援深増２．０・盲ろう・区３</t>
  </si>
  <si>
    <t>同援深増２．０・基礎・２人・区３</t>
  </si>
  <si>
    <t>同援深増２．０・基礎・区３</t>
  </si>
  <si>
    <t>同援深増２．０・２人・区３</t>
  </si>
  <si>
    <t>同援深増２．０・区３</t>
  </si>
  <si>
    <t>同援深増２．０・基礎・２人・盲ろう</t>
  </si>
  <si>
    <t>同援深増２．０・基礎・盲ろう</t>
  </si>
  <si>
    <t>同援深増２．０・２人・盲ろう</t>
  </si>
  <si>
    <t>同援深増２．０・盲ろう</t>
  </si>
  <si>
    <t>同援深増２．０・基礎・２人</t>
  </si>
  <si>
    <t>同援深増２．０・基礎</t>
  </si>
  <si>
    <t>同援深増２．０・２人</t>
  </si>
  <si>
    <t>同援深増２．０</t>
  </si>
  <si>
    <t>同援深増１．５・基礎・２人・盲ろう・区４</t>
  </si>
  <si>
    <t>同援深増１．５・基礎・盲ろう・区４</t>
  </si>
  <si>
    <t>同援深増１．５・２人・盲ろう・区４</t>
  </si>
  <si>
    <t>同援深増１．５・盲ろう・区４</t>
  </si>
  <si>
    <t>同援深増１．５・基礎・２人・区４</t>
  </si>
  <si>
    <t>同援深増１．５・基礎・区４</t>
  </si>
  <si>
    <t>同援深増１．５・２人・区４</t>
  </si>
  <si>
    <t>同援深増１．５・区４</t>
  </si>
  <si>
    <t>同援深増１．５・基礎・２人・盲ろう・区３</t>
  </si>
  <si>
    <t>同援深増１．５・基礎・盲ろう・区３</t>
  </si>
  <si>
    <t>同援深増１．５・２人・盲ろう・区３</t>
  </si>
  <si>
    <t>同援深増１．５・盲ろう・区３</t>
  </si>
  <si>
    <t>同援深増１．５・基礎・２人・区３</t>
  </si>
  <si>
    <t>同援深増１．５・基礎・区３</t>
  </si>
  <si>
    <t>同援深増１．５・２人・区３</t>
  </si>
  <si>
    <t>同援深増１．５・区３</t>
  </si>
  <si>
    <t>同援深増１．５・基礎・２人・盲ろう</t>
  </si>
  <si>
    <t>同援深増１．５・基礎・盲ろう</t>
  </si>
  <si>
    <t>同援深増１．５・２人・盲ろう</t>
  </si>
  <si>
    <t>同援深増１．５・盲ろう</t>
  </si>
  <si>
    <t>同援深増１．５・基礎・２人</t>
  </si>
  <si>
    <t>同援深増１．５・基礎</t>
  </si>
  <si>
    <t>同援深増１．５・２人</t>
  </si>
  <si>
    <t>同援深増１．５</t>
  </si>
  <si>
    <t>同援深増１．０・基礎・２人・盲ろう・区４</t>
  </si>
  <si>
    <t>同援深増１．０・基礎・盲ろう・区４</t>
  </si>
  <si>
    <t>同援深増１．０・２人・盲ろう・区４</t>
  </si>
  <si>
    <t>同援深増１．０・盲ろう・区４</t>
  </si>
  <si>
    <t>同援深増１．０・基礎・２人・区４</t>
  </si>
  <si>
    <t>同援深増１．０・基礎・区４</t>
  </si>
  <si>
    <t>同援深増１．０・２人・区４</t>
  </si>
  <si>
    <t>同援深増１．０・区４</t>
  </si>
  <si>
    <t>同援深増１．０・基礎・２人・盲ろう・区３</t>
  </si>
  <si>
    <t>同援深増１．０・基礎・盲ろう・区３</t>
  </si>
  <si>
    <t>同援深増１．０・２人・盲ろう・区３</t>
  </si>
  <si>
    <t>同援深増１．０・盲ろう・区３</t>
  </si>
  <si>
    <t>同援深増１．０・基礎・２人・区３</t>
  </si>
  <si>
    <t>同援深増１．０・基礎・区３</t>
  </si>
  <si>
    <t>同援深増１．０・２人・区３</t>
  </si>
  <si>
    <t>同援深増１．０・区３</t>
  </si>
  <si>
    <t>同援深増１．０・基礎・２人・盲ろう</t>
  </si>
  <si>
    <t>同援深増１．０・基礎・盲ろう</t>
  </si>
  <si>
    <t>同援深増１．０・２人・盲ろう</t>
  </si>
  <si>
    <t>同援深増１．０・盲ろう</t>
  </si>
  <si>
    <t>同援深増１．０・基礎・２人</t>
  </si>
  <si>
    <t>同援深増１．０・基礎</t>
  </si>
  <si>
    <t>同援深増１．０・２人</t>
  </si>
  <si>
    <t>同援深増１．０</t>
  </si>
  <si>
    <t>同援深増０．５・基礎・２人・盲ろう・区４</t>
  </si>
  <si>
    <t>同援深増０．５・基礎・盲ろう・区４</t>
  </si>
  <si>
    <t>同援深増０．５・２人・盲ろう・区４</t>
  </si>
  <si>
    <t>同援深増０．５・盲ろう・区４</t>
  </si>
  <si>
    <t>同援深増０．５・基礎・２人・区４</t>
  </si>
  <si>
    <t>同援深増０．５・基礎・区４</t>
  </si>
  <si>
    <t>同援深増０．５・２人・区４</t>
  </si>
  <si>
    <t>同援深増０．５・区４</t>
  </si>
  <si>
    <t>同援深増０．５・基礎・２人・盲ろう・区３</t>
  </si>
  <si>
    <t>同援深増０．５・基礎・盲ろう・区３</t>
  </si>
  <si>
    <t>同援深増０．５・２人・盲ろう・区３</t>
  </si>
  <si>
    <t>同援深増０．５・盲ろう・区３</t>
  </si>
  <si>
    <t>同援深増０．５・基礎・２人・区３</t>
  </si>
  <si>
    <t>同援深増０．５・基礎・区３</t>
  </si>
  <si>
    <t>同援深増０．５・２人・区３</t>
  </si>
  <si>
    <t>同援深増０．５・区３</t>
  </si>
  <si>
    <t>同援深増０．５・基礎・２人・盲ろう</t>
  </si>
  <si>
    <t>同援深増０．５・基礎・盲ろう</t>
  </si>
  <si>
    <t>同援深増０．５・２人・盲ろう</t>
  </si>
  <si>
    <t>同援深増０．５・盲ろう</t>
  </si>
  <si>
    <t>同援深増０．５・基礎・２人</t>
  </si>
  <si>
    <t>同援深増０．５・基礎</t>
  </si>
  <si>
    <t>同援深増０．５・２人</t>
  </si>
  <si>
    <t>同援深増０．５</t>
  </si>
  <si>
    <t>同援日１０．５・通訳・２人・盲ろう・区４</t>
  </si>
  <si>
    <t>同援日１０．５・通訳・盲ろう・区４</t>
  </si>
  <si>
    <t>同援日１０．５・通訳・２人・区４</t>
  </si>
  <si>
    <t>同援日１０．５・通訳・区４</t>
  </si>
  <si>
    <t>同援日１０．５・通訳・２人・盲ろう・区３</t>
  </si>
  <si>
    <t>同援日１０．５・通訳・盲ろう・区３</t>
  </si>
  <si>
    <t>同援日１０．５・通訳・２人・区３</t>
  </si>
  <si>
    <t>同援日１０．５・通訳・区３</t>
  </si>
  <si>
    <t>同援日１０．５・通訳・２人・盲ろう</t>
  </si>
  <si>
    <t>同援日１０．５・通訳・盲ろう</t>
  </si>
  <si>
    <t>同援日１０．５・通訳・２人</t>
  </si>
  <si>
    <t>同援日１０．５・通訳</t>
  </si>
  <si>
    <t>同援日１０．０・通訳・２人・盲ろう・区４</t>
  </si>
  <si>
    <t>同援日１０．０・通訳・盲ろう・区４</t>
  </si>
  <si>
    <t>同援日１０．０・通訳・２人・区４</t>
  </si>
  <si>
    <t>同援日１０．０・通訳・区４</t>
  </si>
  <si>
    <t>同援日１０．０・通訳・２人・盲ろう・区３</t>
  </si>
  <si>
    <t>同援日１０．０・通訳・盲ろう・区３</t>
  </si>
  <si>
    <t>同援日１０．０・通訳・２人・区３</t>
  </si>
  <si>
    <t>同援日１０．０・通訳・区３</t>
  </si>
  <si>
    <t>同援日１０．０・通訳・２人・盲ろう</t>
  </si>
  <si>
    <t>同援日１０．０・通訳・盲ろう</t>
  </si>
  <si>
    <t>同援日１０．０・通訳・２人</t>
  </si>
  <si>
    <t>同援日１０．０・通訳</t>
  </si>
  <si>
    <t>同援日９．５・通訳・２人・盲ろう・区４</t>
  </si>
  <si>
    <t>同援日９．５・通訳・盲ろう・区４</t>
  </si>
  <si>
    <t>同援日９．５・通訳・２人・区４</t>
  </si>
  <si>
    <t>同援日９．５・通訳・区４</t>
  </si>
  <si>
    <t>同援日９．５・通訳・２人・盲ろう・区３</t>
  </si>
  <si>
    <t>同援日９．５・通訳・盲ろう・区３</t>
  </si>
  <si>
    <t>同援日９．５・通訳・２人・区３</t>
  </si>
  <si>
    <t>同援日９．５・通訳・区３</t>
  </si>
  <si>
    <t>同援日９．５・通訳・２人・盲ろう</t>
  </si>
  <si>
    <t>同援日９．５・通訳・盲ろう</t>
  </si>
  <si>
    <t>同援日９．５・通訳・２人</t>
  </si>
  <si>
    <t>同援日９．５・通訳</t>
  </si>
  <si>
    <t>同援日９．０・通訳・２人・盲ろう・区４</t>
  </si>
  <si>
    <t>同援日９．０・通訳・盲ろう・区４</t>
  </si>
  <si>
    <t>同援日９．０・通訳・２人・区４</t>
  </si>
  <si>
    <t>同援日９．０・通訳・区４</t>
  </si>
  <si>
    <t>同援日９．０・通訳・２人・盲ろう・区３</t>
  </si>
  <si>
    <t>同援日９．０・通訳・盲ろう・区３</t>
  </si>
  <si>
    <t>同援日９．０・通訳・２人・区３</t>
  </si>
  <si>
    <t>同援日９．０・通訳・区３</t>
  </si>
  <si>
    <t>同援日９．０・通訳・２人・盲ろう</t>
  </si>
  <si>
    <t>同援日９．０・通訳・盲ろう</t>
  </si>
  <si>
    <t>同援日９．０・通訳・２人</t>
  </si>
  <si>
    <t>同援日９．０・通訳</t>
  </si>
  <si>
    <t>同援日８．５・通訳・２人・盲ろう・区４</t>
  </si>
  <si>
    <t>同援日８．５・通訳・盲ろう・区４</t>
  </si>
  <si>
    <t>同援日８．５・通訳・２人・区４</t>
  </si>
  <si>
    <t>同援日８．５・通訳・区４</t>
  </si>
  <si>
    <t>同援日８．５・通訳・２人・盲ろう・区３</t>
  </si>
  <si>
    <t>同援日８．５・通訳・盲ろう・区３</t>
  </si>
  <si>
    <t>同援日８．５・通訳・２人・区３</t>
  </si>
  <si>
    <t>同援日８．５・通訳・区３</t>
  </si>
  <si>
    <t>同援日８．５・通訳・２人・盲ろう</t>
  </si>
  <si>
    <t>同援日８．５・通訳・盲ろう</t>
  </si>
  <si>
    <t>同援日８．５・通訳・２人</t>
  </si>
  <si>
    <t>同援日８．５・通訳</t>
  </si>
  <si>
    <t>同援日８．０・通訳・２人・盲ろう・区４</t>
  </si>
  <si>
    <t>同援日８．０・通訳・盲ろう・区４</t>
  </si>
  <si>
    <t>同援日８．０・通訳・２人・区４</t>
  </si>
  <si>
    <t>同援日８．０・通訳・区４</t>
  </si>
  <si>
    <t>同援日８．０・通訳・２人・盲ろう・区３</t>
  </si>
  <si>
    <t>同援日８．０・通訳・盲ろう・区３</t>
  </si>
  <si>
    <t>同援日８．０・通訳・２人・区３</t>
  </si>
  <si>
    <t>同援日８．０・通訳・区３</t>
  </si>
  <si>
    <t>同援日８．０・通訳・２人・盲ろう</t>
  </si>
  <si>
    <t>同援日８．０・通訳・盲ろう</t>
  </si>
  <si>
    <t>同援日８．０・通訳・２人</t>
  </si>
  <si>
    <t>同援日８．０・通訳</t>
  </si>
  <si>
    <t>同援日７．５・通訳・２人・盲ろう・区４</t>
  </si>
  <si>
    <t>同援日７．５・通訳・盲ろう・区４</t>
  </si>
  <si>
    <t>同援日７．５・通訳・２人・区４</t>
  </si>
  <si>
    <t>同援日７．５・通訳・区４</t>
  </si>
  <si>
    <t>同援日７．５・通訳・２人・盲ろう・区３</t>
  </si>
  <si>
    <t>同援日７．５・通訳・盲ろう・区３</t>
  </si>
  <si>
    <t>同援日７．５・通訳・２人・区３</t>
  </si>
  <si>
    <t>同援日７．５・通訳・区３</t>
  </si>
  <si>
    <t>同援日７．５・通訳・２人・盲ろう</t>
  </si>
  <si>
    <t>同援日７．５・通訳・盲ろう</t>
  </si>
  <si>
    <t>同援日７．５・通訳・２人</t>
  </si>
  <si>
    <t>同援日７．５・通訳</t>
  </si>
  <si>
    <t>同援日７．０・通訳・２人・盲ろう・区４</t>
  </si>
  <si>
    <t>同援日７．０・通訳・盲ろう・区４</t>
  </si>
  <si>
    <t>同援日７．０・通訳・２人・区４</t>
  </si>
  <si>
    <t>同援日７．０・通訳・区４</t>
  </si>
  <si>
    <t>同援日７．０・通訳・２人・盲ろう・区３</t>
  </si>
  <si>
    <t>同援日７．０・通訳・盲ろう・区３</t>
  </si>
  <si>
    <t>同援日７．０・通訳・２人・区３</t>
  </si>
  <si>
    <t>同援日７．０・通訳・区３</t>
  </si>
  <si>
    <t>同援日７．０・通訳・２人・盲ろう</t>
  </si>
  <si>
    <t>同援日７．０・通訳・盲ろう</t>
  </si>
  <si>
    <t>同援日７．０・通訳・２人</t>
  </si>
  <si>
    <t>同援日７．０・通訳</t>
  </si>
  <si>
    <t>同援日６．５・通訳・２人・盲ろう・区４</t>
  </si>
  <si>
    <t>同援日６．５・通訳・盲ろう・区４</t>
  </si>
  <si>
    <t>同援日６．５・通訳・２人・区４</t>
  </si>
  <si>
    <t>同援日６．５・通訳・区４</t>
  </si>
  <si>
    <t>同援日６．５・通訳・２人・盲ろう・区３</t>
  </si>
  <si>
    <t>同援日６．５・通訳・盲ろう・区３</t>
  </si>
  <si>
    <t>同援日６．５・通訳・２人・区３</t>
  </si>
  <si>
    <t>同援日６．５・通訳・区３</t>
  </si>
  <si>
    <t>同援日６．５・通訳・２人・盲ろう</t>
  </si>
  <si>
    <t>同援日６．５・通訳・盲ろう</t>
  </si>
  <si>
    <t>同援日６．５・通訳・２人</t>
  </si>
  <si>
    <t>同援日６．５・通訳</t>
  </si>
  <si>
    <t>同援日６．０・通訳・２人・盲ろう・区４</t>
  </si>
  <si>
    <t>同援日６．０・通訳・盲ろう・区４</t>
  </si>
  <si>
    <t>同援日６．０・通訳・２人・区４</t>
  </si>
  <si>
    <t>同援日６．０・通訳・区４</t>
  </si>
  <si>
    <t>同援日６．０・通訳・２人・盲ろう・区３</t>
  </si>
  <si>
    <t>同援日６．０・通訳・盲ろう・区３</t>
  </si>
  <si>
    <t>同援日６．０・通訳・２人・区３</t>
  </si>
  <si>
    <t>同援日６．０・通訳・区３</t>
  </si>
  <si>
    <t>同援日６．０・通訳・２人・盲ろう</t>
  </si>
  <si>
    <t>同援日６．０・通訳・盲ろう</t>
  </si>
  <si>
    <t>同援日６．０・通訳・２人</t>
  </si>
  <si>
    <t>同援日６．０・通訳</t>
  </si>
  <si>
    <t>同援日５．５・通訳・２人・盲ろう・区４</t>
  </si>
  <si>
    <t>同援日５．５・通訳・盲ろう・区４</t>
  </si>
  <si>
    <t>同援日５．５・通訳・２人・区４</t>
  </si>
  <si>
    <t>同援日５．５・通訳・区４</t>
  </si>
  <si>
    <t>同援日５．５・通訳・２人・盲ろう・区３</t>
  </si>
  <si>
    <t>同援日５．５・通訳・盲ろう・区３</t>
  </si>
  <si>
    <t>同援日５．５・通訳・２人・区３</t>
  </si>
  <si>
    <t>同援日５．５・通訳・区３</t>
  </si>
  <si>
    <t>同援日５．５・通訳・２人・盲ろう</t>
  </si>
  <si>
    <t>同援日５．５・通訳・盲ろう</t>
  </si>
  <si>
    <t>同援日５．５・通訳・２人</t>
  </si>
  <si>
    <t>同援日５．５・通訳</t>
  </si>
  <si>
    <t>同援日５．０・通訳・２人・盲ろう・区４</t>
  </si>
  <si>
    <t>同援日５．０・通訳・盲ろう・区４</t>
  </si>
  <si>
    <t>同援日５．０・通訳・２人・区４</t>
  </si>
  <si>
    <t>同援日５．０・通訳・区４</t>
  </si>
  <si>
    <t>同援日５．０・通訳・２人・盲ろう・区３</t>
  </si>
  <si>
    <t>同援日５．０・通訳・盲ろう・区３</t>
  </si>
  <si>
    <t>同援日５．０・通訳・２人・区３</t>
  </si>
  <si>
    <t>同援日５．０・通訳・区３</t>
  </si>
  <si>
    <t>同援日５．０・通訳・２人・盲ろう</t>
  </si>
  <si>
    <t>同援日５．０・通訳・盲ろう</t>
  </si>
  <si>
    <t>同援日５．０・通訳・２人</t>
  </si>
  <si>
    <t>同援日５．０・通訳</t>
  </si>
  <si>
    <t>同援日４．５・通訳・２人・盲ろう・区４</t>
  </si>
  <si>
    <t>同援日４．５・通訳・盲ろう・区４</t>
  </si>
  <si>
    <t>同援日４．５・通訳・２人・区４</t>
  </si>
  <si>
    <t>同援日４．５・通訳・区４</t>
  </si>
  <si>
    <t>同援日４．５・通訳・２人・盲ろう・区３</t>
  </si>
  <si>
    <t>同援日４．５・通訳・盲ろう・区３</t>
  </si>
  <si>
    <t>同援日４．５・通訳・２人・区３</t>
  </si>
  <si>
    <t>同援日４．５・通訳・区３</t>
  </si>
  <si>
    <t>同援日４．５・通訳・２人・盲ろう</t>
  </si>
  <si>
    <t>同援日４．５・通訳・盲ろう</t>
  </si>
  <si>
    <t>同援日４．５・通訳・２人</t>
  </si>
  <si>
    <t>同援日４．５・通訳</t>
  </si>
  <si>
    <t>同援日４．０・通訳・２人・盲ろう・区４</t>
  </si>
  <si>
    <t>同援日４．０・通訳・盲ろう・区４</t>
  </si>
  <si>
    <t>同援日４．０・通訳・２人・区４</t>
  </si>
  <si>
    <t>同援日４．０・通訳・区４</t>
  </si>
  <si>
    <t>同援日４．０・通訳・２人・盲ろう・区３</t>
  </si>
  <si>
    <t>同援日４．０・通訳・盲ろう・区３</t>
  </si>
  <si>
    <t>同援日４．０・通訳・２人・区３</t>
  </si>
  <si>
    <t>同援日４．０・通訳・区３</t>
  </si>
  <si>
    <t>同援日４．０・通訳・２人・盲ろう</t>
  </si>
  <si>
    <t>同援日４．０・通訳・盲ろう</t>
  </si>
  <si>
    <t>同援日４．０・通訳・２人</t>
  </si>
  <si>
    <t>同援日４．０・通訳</t>
  </si>
  <si>
    <t>同援日３．５・通訳・２人・盲ろう・区４</t>
  </si>
  <si>
    <t>同援日３．５・通訳・盲ろう・区４</t>
  </si>
  <si>
    <t>同援日３．５・通訳・２人・区４</t>
  </si>
  <si>
    <t>同援日３．５・通訳・区４</t>
  </si>
  <si>
    <t>同援日３．５・通訳・２人・盲ろう・区３</t>
  </si>
  <si>
    <t>同援日３．５・通訳・盲ろう・区３</t>
  </si>
  <si>
    <t>同援日３．５・通訳・２人・区３</t>
  </si>
  <si>
    <t>同援日３．５・通訳・区３</t>
  </si>
  <si>
    <t>同援日３．５・通訳・２人・盲ろう</t>
  </si>
  <si>
    <t>同援日３．５・通訳・盲ろう</t>
  </si>
  <si>
    <t>同援日３．５・通訳・２人</t>
  </si>
  <si>
    <t>同援日３．５・通訳</t>
  </si>
  <si>
    <t>同援日３．０・通訳・２人・盲ろう・区４</t>
  </si>
  <si>
    <t>同援日３．０・通訳・盲ろう・区４</t>
  </si>
  <si>
    <t>同援日３．０・通訳・２人・区４</t>
  </si>
  <si>
    <t>同援日３．０・通訳・区４</t>
  </si>
  <si>
    <t>同援日３．０・通訳・２人・盲ろう・区３</t>
  </si>
  <si>
    <t>同援日３．０・通訳・盲ろう・区３</t>
  </si>
  <si>
    <t>同援日３．０・通訳・２人・区３</t>
  </si>
  <si>
    <t>同援日３．０・通訳・区３</t>
  </si>
  <si>
    <t>同援日３．０・通訳・２人・盲ろう</t>
  </si>
  <si>
    <t>同援日３．０・通訳・盲ろう</t>
  </si>
  <si>
    <t>同援日３．０・通訳・２人</t>
  </si>
  <si>
    <t>同援日３．０・通訳</t>
  </si>
  <si>
    <t>同援日２．５・通訳・２人・盲ろう・区４</t>
  </si>
  <si>
    <t>同援日２．５・通訳・盲ろう・区４</t>
  </si>
  <si>
    <t>同援日２．５・通訳・２人・区４</t>
  </si>
  <si>
    <t>同援日２．５・通訳・区４</t>
  </si>
  <si>
    <t>同援日２．５・通訳・２人・盲ろう・区３</t>
  </si>
  <si>
    <t>同援日２．５・通訳・盲ろう・区３</t>
  </si>
  <si>
    <t>同援日２．５・通訳・２人・区３</t>
  </si>
  <si>
    <t>同援日２．５・通訳・区３</t>
  </si>
  <si>
    <t>同援日２．５・通訳・２人・盲ろう</t>
  </si>
  <si>
    <t>同援日２．５・通訳・盲ろう</t>
  </si>
  <si>
    <t>同援日２．５・通訳・２人</t>
  </si>
  <si>
    <t>同援日２．５・通訳</t>
  </si>
  <si>
    <t>同援日２．０・通訳・２人・盲ろう・区４</t>
  </si>
  <si>
    <t>同援日２．０・通訳・盲ろう・区４</t>
  </si>
  <si>
    <t>同援日２．０・通訳・２人・区４</t>
  </si>
  <si>
    <t>同援日２．０・通訳・区４</t>
  </si>
  <si>
    <t>同援日２．０・通訳・２人・盲ろう・区３</t>
  </si>
  <si>
    <t>同援日２．０・通訳・盲ろう・区３</t>
  </si>
  <si>
    <t>同援日２．０・通訳・２人・区３</t>
  </si>
  <si>
    <t>同援日２．０・通訳・区３</t>
  </si>
  <si>
    <t>同援日２．０・通訳・２人・盲ろう</t>
  </si>
  <si>
    <t>同援日２．０・通訳・盲ろう</t>
  </si>
  <si>
    <t>同援日２．０・通訳・２人</t>
  </si>
  <si>
    <t>同援日２．０・通訳</t>
  </si>
  <si>
    <t>同援日１．５・通訳・２人・盲ろう・区４</t>
  </si>
  <si>
    <t>同援日１．５・通訳・盲ろう・区４</t>
  </si>
  <si>
    <t>同援日１．５・通訳・２人・区４</t>
  </si>
  <si>
    <t>同援日１．５・通訳・区４</t>
  </si>
  <si>
    <t>同援日１．５・通訳・２人・盲ろう・区３</t>
  </si>
  <si>
    <t>同援日１．５・通訳・盲ろう・区３</t>
  </si>
  <si>
    <t>同援日１．５・通訳・２人・区３</t>
  </si>
  <si>
    <t>同援日１．５・通訳・区３</t>
  </si>
  <si>
    <t>同援日１．５・通訳・２人・盲ろう</t>
  </si>
  <si>
    <t>同援日１．５・通訳・盲ろう</t>
  </si>
  <si>
    <t>同援日１．５・通訳・２人</t>
  </si>
  <si>
    <t>同援日１．５・通訳</t>
  </si>
  <si>
    <t>同援日１．０・通訳・２人・盲ろう・区４</t>
  </si>
  <si>
    <t>同援日１．０・通訳・盲ろう・区４</t>
  </si>
  <si>
    <t>同援日１．０・通訳・２人・区４</t>
  </si>
  <si>
    <t>同援日１．０・通訳・区４</t>
  </si>
  <si>
    <t>同援日１．０・通訳・２人・盲ろう・区３</t>
  </si>
  <si>
    <t>同援日１．０・通訳・盲ろう・区３</t>
  </si>
  <si>
    <t>同援日１．０・通訳・２人・区３</t>
  </si>
  <si>
    <t>同援日１．０・通訳・区３</t>
  </si>
  <si>
    <t>同援日１．０・通訳・２人・盲ろう</t>
  </si>
  <si>
    <t>同援日１．０・通訳・盲ろう</t>
  </si>
  <si>
    <t>同援日１．０・通訳・２人</t>
  </si>
  <si>
    <t>同援日１．０・通訳</t>
  </si>
  <si>
    <t>同援日０．５・通訳・２人・盲ろう・区４</t>
  </si>
  <si>
    <t>同援日０．５・通訳・盲ろう・区４</t>
  </si>
  <si>
    <t>同援日０．５・通訳・２人・区４</t>
  </si>
  <si>
    <t>同援日０．５・通訳・区４</t>
  </si>
  <si>
    <t>同援日０．５・通訳・２人・盲ろう・区３</t>
  </si>
  <si>
    <t>行われる場合</t>
  </si>
  <si>
    <t>同援日０．５・通訳・盲ろう・区３</t>
  </si>
  <si>
    <t>盲ろう者向け通訳・介助員により</t>
  </si>
  <si>
    <t>同援日０．５・通訳・２人・区３</t>
  </si>
  <si>
    <t>同援日０．５・通訳・区３</t>
  </si>
  <si>
    <t>同援日０．５・通訳・２人・盲ろう</t>
  </si>
  <si>
    <t>同援日０．５・通訳・盲ろう</t>
  </si>
  <si>
    <t>同援日０．５・通訳・２人</t>
  </si>
  <si>
    <t>同援日０．５・通訳</t>
  </si>
  <si>
    <t>同援夜４．５・通訳・２人・盲ろう・区４</t>
  </si>
  <si>
    <t>同援夜４．５・通訳・盲ろう・区４</t>
  </si>
  <si>
    <t>同援夜４．５・通訳・２人・区４</t>
  </si>
  <si>
    <t>同援夜４．５・通訳・区４</t>
  </si>
  <si>
    <t>同援夜４．５・通訳・２人・盲ろう・区３</t>
  </si>
  <si>
    <t>同援夜４．５・通訳・盲ろう・区３</t>
  </si>
  <si>
    <t>同援夜４．５・通訳・２人・区３</t>
  </si>
  <si>
    <t>同援夜４．５・通訳・区３</t>
  </si>
  <si>
    <t>同援夜４．５・通訳・２人・盲ろう</t>
  </si>
  <si>
    <t>同援夜４．５・通訳・盲ろう</t>
  </si>
  <si>
    <t>同援夜４．５・通訳・２人</t>
  </si>
  <si>
    <t>同援夜４．５・通訳</t>
  </si>
  <si>
    <t>同援夜４．０・通訳・２人・盲ろう・区４</t>
  </si>
  <si>
    <t>同援夜４．０・通訳・盲ろう・区４</t>
  </si>
  <si>
    <t>同援夜４．０・通訳・２人・区４</t>
  </si>
  <si>
    <t>同援夜４．０・通訳・区４</t>
  </si>
  <si>
    <t>同援夜４．０・通訳・２人・盲ろう・区３</t>
  </si>
  <si>
    <t>同援夜４．０・通訳・盲ろう・区３</t>
  </si>
  <si>
    <t>同援夜４．０・通訳・２人・区３</t>
  </si>
  <si>
    <t>同援夜４．０・通訳・区３</t>
  </si>
  <si>
    <t>同援夜４．０・通訳・２人・盲ろう</t>
  </si>
  <si>
    <t>同援夜４．０・通訳・盲ろう</t>
  </si>
  <si>
    <t>同援夜４．０・通訳・２人</t>
  </si>
  <si>
    <t>同援夜４．０・通訳</t>
  </si>
  <si>
    <t>同援夜３．５・通訳・２人・盲ろう・区４</t>
  </si>
  <si>
    <t>同援夜３．５・通訳・盲ろう・区４</t>
  </si>
  <si>
    <t>同援夜３．５・通訳・２人・区４</t>
  </si>
  <si>
    <t>同援夜３．５・通訳・区４</t>
  </si>
  <si>
    <t>同援夜３．５・通訳・２人・盲ろう・区３</t>
  </si>
  <si>
    <t>同援夜３．５・通訳・盲ろう・区３</t>
  </si>
  <si>
    <t>同援夜３．５・通訳・２人・区３</t>
  </si>
  <si>
    <t>同援夜３．５・通訳・区３</t>
  </si>
  <si>
    <t>同援夜３．５・通訳・２人・盲ろう</t>
  </si>
  <si>
    <t>同援夜３．５・通訳・盲ろう</t>
  </si>
  <si>
    <t>同援夜３．５・通訳・２人</t>
  </si>
  <si>
    <t>同援夜３．５・通訳</t>
  </si>
  <si>
    <t>同援夜３．０・通訳・２人・盲ろう・区４</t>
  </si>
  <si>
    <t>同援夜３．０・通訳・盲ろう・区４</t>
  </si>
  <si>
    <t>同援夜３．０・通訳・２人・区４</t>
  </si>
  <si>
    <t>同援夜３．０・通訳・区４</t>
  </si>
  <si>
    <t>同援夜３．０・通訳・２人・盲ろう・区３</t>
  </si>
  <si>
    <t>同援夜３．０・通訳・盲ろう・区３</t>
  </si>
  <si>
    <t>同援夜３．０・通訳・２人・区３</t>
  </si>
  <si>
    <t>同援夜３．０・通訳・区３</t>
  </si>
  <si>
    <t>同援夜３．０・通訳・２人・盲ろう</t>
  </si>
  <si>
    <t>同援夜３．０・通訳・盲ろう</t>
  </si>
  <si>
    <t>同援夜３．０・通訳・２人</t>
  </si>
  <si>
    <t>同援夜３．０・通訳</t>
  </si>
  <si>
    <t>同援夜２．５・通訳・２人・盲ろう・区４</t>
  </si>
  <si>
    <t>同援夜２．５・通訳・盲ろう・区４</t>
  </si>
  <si>
    <t>同援夜２．５・通訳・２人・区４</t>
  </si>
  <si>
    <t>同援夜２．５・通訳・区４</t>
  </si>
  <si>
    <t>同援夜２．５・通訳・２人・盲ろう・区３</t>
  </si>
  <si>
    <t>同援夜２．５・通訳・盲ろう・区３</t>
  </si>
  <si>
    <t>同援夜２．５・通訳・２人・区３</t>
  </si>
  <si>
    <t>同援夜２．５・通訳・区３</t>
  </si>
  <si>
    <t>同援夜２．５・通訳・２人・盲ろう</t>
  </si>
  <si>
    <t>同援夜２．５・通訳・盲ろう</t>
  </si>
  <si>
    <t>同援夜２．５・通訳・２人</t>
  </si>
  <si>
    <t>同援夜２．５・通訳</t>
  </si>
  <si>
    <t>同援夜２．０・通訳・２人・盲ろう・区４</t>
  </si>
  <si>
    <t>同援夜２．０・通訳・盲ろう・区４</t>
  </si>
  <si>
    <t>同援夜２．０・通訳・２人・区４</t>
  </si>
  <si>
    <t>同援夜２．０・通訳・区４</t>
  </si>
  <si>
    <t>同援夜２．０・通訳・２人・盲ろう・区３</t>
  </si>
  <si>
    <t>同援夜２．０・通訳・盲ろう・区３</t>
  </si>
  <si>
    <t>同援夜２．０・通訳・２人・区３</t>
  </si>
  <si>
    <t>同援夜２．０・通訳・区３</t>
  </si>
  <si>
    <t>同援夜２．０・通訳・２人・盲ろう</t>
  </si>
  <si>
    <t>同援夜２．０・通訳・盲ろう</t>
  </si>
  <si>
    <t>同援夜２．０・通訳・２人</t>
  </si>
  <si>
    <t>同援夜２．０・通訳</t>
  </si>
  <si>
    <t>同援夜１．５・通訳・２人・盲ろう・区４</t>
  </si>
  <si>
    <t>同援夜１．５・通訳・盲ろう・区４</t>
  </si>
  <si>
    <t>同援夜１．５・通訳・２人・区４</t>
  </si>
  <si>
    <t>同援夜１．５・通訳・区４</t>
  </si>
  <si>
    <t>同援夜１．５・通訳・２人・盲ろう・区３</t>
  </si>
  <si>
    <t>同援夜１．５・通訳・盲ろう・区３</t>
  </si>
  <si>
    <t>同援夜１．５・通訳・２人・区３</t>
  </si>
  <si>
    <t>同援夜１．５・通訳・区３</t>
  </si>
  <si>
    <t>同援夜１．５・通訳・２人・盲ろう</t>
  </si>
  <si>
    <t>同援夜１．５・通訳・盲ろう</t>
  </si>
  <si>
    <t>同援夜１．５・通訳・２人</t>
  </si>
  <si>
    <t>同援夜１．５・通訳</t>
  </si>
  <si>
    <t>同援夜１．０・通訳・２人・盲ろう・区４</t>
  </si>
  <si>
    <t>同援夜１．０・通訳・盲ろう・区４</t>
  </si>
  <si>
    <t>同援夜１．０・通訳・２人・区４</t>
  </si>
  <si>
    <t>同援夜１．０・通訳・区４</t>
  </si>
  <si>
    <t>同援夜１．０・通訳・２人・盲ろう・区３</t>
  </si>
  <si>
    <t>同援夜１．０・通訳・盲ろう・区３</t>
  </si>
  <si>
    <t>同援夜１．０・通訳・２人・区３</t>
  </si>
  <si>
    <t>同援夜１．０・通訳・区３</t>
  </si>
  <si>
    <t>同援夜１．０・通訳・２人・盲ろう</t>
  </si>
  <si>
    <t>同援夜１．０・通訳・盲ろう</t>
  </si>
  <si>
    <t>同援夜１．０・通訳・２人</t>
  </si>
  <si>
    <t>同援夜１．０・通訳</t>
  </si>
  <si>
    <t>同援夜０．５・通訳・２人・盲ろう・区４</t>
  </si>
  <si>
    <t>同援夜０．５・通訳・盲ろう・区４</t>
  </si>
  <si>
    <t>同援夜０．５・通訳・２人・区４</t>
  </si>
  <si>
    <t>同援夜０．５・通訳・区４</t>
  </si>
  <si>
    <t>同援夜０．５・通訳・２人・盲ろう・区３</t>
  </si>
  <si>
    <t>同援夜０．５・通訳・盲ろう・区３</t>
  </si>
  <si>
    <t>同援夜０．５・通訳・２人・区３</t>
  </si>
  <si>
    <t>同援夜０．５・通訳・区３</t>
  </si>
  <si>
    <t>同援夜０．５・通訳・２人・盲ろう</t>
  </si>
  <si>
    <t>同援夜０．５・通訳・盲ろう</t>
  </si>
  <si>
    <t>同援夜０．５・通訳・２人</t>
  </si>
  <si>
    <t>同援夜０．５・通訳</t>
  </si>
  <si>
    <t>同援早２．５・通訳・２人・盲ろう・区４</t>
  </si>
  <si>
    <t>同援早２．５・通訳・盲ろう・区４</t>
  </si>
  <si>
    <t>同援早２．５・通訳・２人・区４</t>
  </si>
  <si>
    <t>同援早２．５・通訳・区４</t>
  </si>
  <si>
    <t>同援早２．５・通訳・２人・盲ろう・区３</t>
  </si>
  <si>
    <t>同援早２．５・通訳・盲ろう・区３</t>
  </si>
  <si>
    <t>同援早２．５・通訳・２人・区３</t>
  </si>
  <si>
    <t>同援早２．５・通訳・区３</t>
  </si>
  <si>
    <t>同援早２．５・通訳・２人・盲ろう</t>
  </si>
  <si>
    <t>同援早２．５・通訳・盲ろう</t>
  </si>
  <si>
    <t>同援早２．５・通訳・２人</t>
  </si>
  <si>
    <t>同援早２．５・通訳</t>
  </si>
  <si>
    <t>同援早２．０・通訳・２人・盲ろう・区４</t>
  </si>
  <si>
    <t>同援早２．０・通訳・盲ろう・区４</t>
  </si>
  <si>
    <t>同援早２．０・通訳・２人・区４</t>
  </si>
  <si>
    <t>同援早２．０・通訳・区４</t>
  </si>
  <si>
    <t>同援早２．０・通訳・２人・盲ろう・区３</t>
  </si>
  <si>
    <t>同援早２．０・通訳・盲ろう・区３</t>
  </si>
  <si>
    <t>同援早２．０・通訳・２人・区３</t>
  </si>
  <si>
    <t>同援早２．０・通訳・区３</t>
  </si>
  <si>
    <t>同援早２．０・通訳・２人・盲ろう</t>
  </si>
  <si>
    <t>同援早２．０・通訳・盲ろう</t>
  </si>
  <si>
    <t>同援早２．０・通訳・２人</t>
  </si>
  <si>
    <t>同援早２．０・通訳</t>
  </si>
  <si>
    <t>同援早１．５・通訳・２人・盲ろう・区４</t>
  </si>
  <si>
    <t>同援早１．５・通訳・盲ろう・区４</t>
  </si>
  <si>
    <t>同援早１．５・通訳・２人・区４</t>
  </si>
  <si>
    <t>同援早１．５・通訳・区４</t>
  </si>
  <si>
    <t>同援早１．５・通訳・２人・盲ろう・区３</t>
  </si>
  <si>
    <t>同援早１．５・通訳・盲ろう・区３</t>
  </si>
  <si>
    <t>同援早１．５・通訳・２人・区３</t>
  </si>
  <si>
    <t>同援早１．５・通訳・区３</t>
  </si>
  <si>
    <t>同援早１．５・通訳・２人・盲ろう</t>
  </si>
  <si>
    <t>同援早１．５・通訳・盲ろう</t>
  </si>
  <si>
    <t>同援早１．５・通訳・２人</t>
  </si>
  <si>
    <t>同援早１．５・通訳</t>
  </si>
  <si>
    <t>同援早１．０・通訳・２人・盲ろう・区４</t>
  </si>
  <si>
    <t>同援早１．０・通訳・盲ろう・区４</t>
  </si>
  <si>
    <t>同援早１．０・通訳・２人・区４</t>
  </si>
  <si>
    <t>同援早１．０・通訳・区４</t>
  </si>
  <si>
    <t>同援早１．０・通訳・２人・盲ろう・区３</t>
  </si>
  <si>
    <t>同援早１．０・通訳・盲ろう・区３</t>
  </si>
  <si>
    <t>同援早１．０・通訳・２人・区３</t>
  </si>
  <si>
    <t>同援早１．０・通訳・区３</t>
  </si>
  <si>
    <t>同援早１．０・通訳・２人・盲ろう</t>
  </si>
  <si>
    <t>同援早１．０・通訳・盲ろう</t>
  </si>
  <si>
    <t>同援早１．０・通訳・２人</t>
  </si>
  <si>
    <t>同援早１．０・通訳</t>
  </si>
  <si>
    <t>同援早０．５・通訳・２人・盲ろう・区４</t>
  </si>
  <si>
    <t>同援早０．５・通訳・盲ろう・区４</t>
  </si>
  <si>
    <t>同援早０．５・通訳・２人・区４</t>
  </si>
  <si>
    <t>同援早０．５・通訳・区４</t>
  </si>
  <si>
    <t>同援早０．５・通訳・２人・盲ろう・区３</t>
  </si>
  <si>
    <t>同援早０．５・通訳・盲ろう・区３</t>
  </si>
  <si>
    <t>同援早０．５・通訳・２人・区３</t>
  </si>
  <si>
    <t>同援早０．５・通訳・区３</t>
  </si>
  <si>
    <t>同援早０．５・通訳・２人・盲ろう</t>
  </si>
  <si>
    <t>同援早０．５・通訳・盲ろう</t>
  </si>
  <si>
    <t>同援早０．５・通訳・２人</t>
  </si>
  <si>
    <t>同援早０．５・通訳</t>
  </si>
  <si>
    <t>同援深６．５・通訳・２人・盲ろう・区４</t>
  </si>
  <si>
    <t>同援深６．５・通訳・盲ろう・区４</t>
  </si>
  <si>
    <t>同援深６．５・通訳・２人・区４</t>
  </si>
  <si>
    <t>同援深６．５・通訳・区４</t>
  </si>
  <si>
    <t>同援深６．５・通訳・２人・盲ろう・区３</t>
  </si>
  <si>
    <t>同援深６．５・通訳・盲ろう・区３</t>
  </si>
  <si>
    <t>同援深６．５・通訳・２人・区３</t>
  </si>
  <si>
    <t>同援深６．５・通訳・区３</t>
  </si>
  <si>
    <t>同援深６．５・通訳・２人・盲ろう</t>
  </si>
  <si>
    <t>同援深６．５・通訳・盲ろう</t>
  </si>
  <si>
    <t>同援深６．５・通訳・２人</t>
  </si>
  <si>
    <t>同援深６．５・通訳</t>
  </si>
  <si>
    <t>同援深６．０・通訳・２人・盲ろう・区４</t>
  </si>
  <si>
    <t>同援深６．０・通訳・盲ろう・区４</t>
  </si>
  <si>
    <t>同援深６．０・通訳・２人・区４</t>
  </si>
  <si>
    <t>同援深６．０・通訳・区４</t>
  </si>
  <si>
    <t>同援深６．０・通訳・２人・盲ろう・区３</t>
  </si>
  <si>
    <t>同援深６．０・通訳・盲ろう・区３</t>
  </si>
  <si>
    <t>同援深６．０・通訳・２人・区３</t>
  </si>
  <si>
    <t>同援深６．０・通訳・区３</t>
  </si>
  <si>
    <t>同援深６．０・通訳・２人・盲ろう</t>
  </si>
  <si>
    <t>同援深６．０・通訳・盲ろう</t>
  </si>
  <si>
    <t>同援深６．０・通訳・２人</t>
  </si>
  <si>
    <t>同援深６．０・通訳</t>
  </si>
  <si>
    <t>同援深５．５・通訳・２人・盲ろう・区４</t>
  </si>
  <si>
    <t>同援深５．５・通訳・盲ろう・区４</t>
  </si>
  <si>
    <t>同援深５．５・通訳・２人・区４</t>
  </si>
  <si>
    <t>同援深５．５・通訳・区４</t>
  </si>
  <si>
    <t>同援深５．５・通訳・２人・盲ろう・区３</t>
  </si>
  <si>
    <t>同援深５．５・通訳・盲ろう・区３</t>
  </si>
  <si>
    <t>同援深５．５・通訳・２人・区３</t>
  </si>
  <si>
    <t>同援深５．５・通訳・区３</t>
  </si>
  <si>
    <t>同援深５．５・通訳・２人・盲ろう</t>
  </si>
  <si>
    <t>同援深５．５・通訳・盲ろう</t>
  </si>
  <si>
    <t>同援深５．５・通訳・２人</t>
  </si>
  <si>
    <t>同援深５．５・通訳</t>
  </si>
  <si>
    <t>同援深５．０・通訳・２人・盲ろう・区４</t>
  </si>
  <si>
    <t>同援深５．０・通訳・盲ろう・区４</t>
  </si>
  <si>
    <t>同援深５．０・通訳・２人・区４</t>
  </si>
  <si>
    <t>同援深５．０・通訳・区４</t>
  </si>
  <si>
    <t>同援深５．０・通訳・２人・盲ろう・区３</t>
  </si>
  <si>
    <t>同援深５．０・通訳・盲ろう・区３</t>
  </si>
  <si>
    <t>同援深５．０・通訳・２人・区３</t>
  </si>
  <si>
    <t>同援深５．０・通訳・区３</t>
  </si>
  <si>
    <t>同援深５．０・通訳・２人・盲ろう</t>
  </si>
  <si>
    <t>同援深５．０・通訳・盲ろう</t>
  </si>
  <si>
    <t>同援深５．０・通訳・２人</t>
  </si>
  <si>
    <t>同援深５．０・通訳</t>
  </si>
  <si>
    <t>同援深４．５・通訳・２人・盲ろう・区４</t>
  </si>
  <si>
    <t>同援深４．５・通訳・盲ろう・区４</t>
  </si>
  <si>
    <t>同援深４．５・通訳・２人・区４</t>
  </si>
  <si>
    <t>同援深４．５・通訳・区４</t>
  </si>
  <si>
    <t>同援深４．５・通訳・２人・盲ろう・区３</t>
  </si>
  <si>
    <t>同援深４．５・通訳・盲ろう・区３</t>
  </si>
  <si>
    <t>同援深４．５・通訳・２人・区３</t>
  </si>
  <si>
    <t>同援深４．５・通訳・区３</t>
  </si>
  <si>
    <t>同援深４．５・通訳・２人・盲ろう</t>
  </si>
  <si>
    <t>同援深４．５・通訳・盲ろう</t>
  </si>
  <si>
    <t>同援深４．５・通訳・２人</t>
  </si>
  <si>
    <t>同援深４．５・通訳</t>
  </si>
  <si>
    <t>同援深４．０・通訳・２人・盲ろう・区４</t>
  </si>
  <si>
    <t>同援深４．０・通訳・盲ろう・区４</t>
  </si>
  <si>
    <t>同援深４．０・通訳・２人・区４</t>
  </si>
  <si>
    <t>同援深４．０・通訳・区４</t>
  </si>
  <si>
    <t>同援深４．０・通訳・２人・盲ろう・区３</t>
  </si>
  <si>
    <t>同援深４．０・通訳・盲ろう・区３</t>
  </si>
  <si>
    <t>同援深４．０・通訳・２人・区３</t>
  </si>
  <si>
    <t>同援深４．０・通訳・区３</t>
  </si>
  <si>
    <t>同援深４．０・通訳・２人・盲ろう</t>
  </si>
  <si>
    <t>同援深４．０・通訳・盲ろう</t>
  </si>
  <si>
    <t>同援深４．０・通訳・２人</t>
  </si>
  <si>
    <t>同援深４．０・通訳</t>
  </si>
  <si>
    <t>同援深３．５・通訳・２人・盲ろう・区４</t>
  </si>
  <si>
    <t>同援深３．５・通訳・盲ろう・区４</t>
  </si>
  <si>
    <t>同援深３．５・通訳・２人・区４</t>
  </si>
  <si>
    <t>同援深３．５・通訳・区４</t>
  </si>
  <si>
    <t>同援深３．５・通訳・２人・盲ろう・区３</t>
  </si>
  <si>
    <t>同援深３．５・通訳・盲ろう・区３</t>
  </si>
  <si>
    <t>同援深３．５・通訳・２人・区３</t>
  </si>
  <si>
    <t>同援深３．５・通訳・区３</t>
  </si>
  <si>
    <t>同援深３．５・通訳・２人・盲ろう</t>
  </si>
  <si>
    <t>同援深３．５・通訳・盲ろう</t>
  </si>
  <si>
    <t>同援深３．５・通訳・２人</t>
  </si>
  <si>
    <t>同援深３．５・通訳</t>
  </si>
  <si>
    <t>同援深３．０・通訳・２人・盲ろう・区４</t>
  </si>
  <si>
    <t>同援深３．０・通訳・盲ろう・区４</t>
  </si>
  <si>
    <t>同援深３．０・通訳・２人・区４</t>
  </si>
  <si>
    <t>同援深３．０・通訳・区４</t>
  </si>
  <si>
    <t>同援深３．０・通訳・２人・盲ろう・区３</t>
  </si>
  <si>
    <t>同援深３．０・通訳・盲ろう・区３</t>
  </si>
  <si>
    <t>同援深３．０・通訳・２人・区３</t>
  </si>
  <si>
    <t>同援深３．０・通訳・区３</t>
  </si>
  <si>
    <t>同援深３．０・通訳・２人・盲ろう</t>
  </si>
  <si>
    <t>同援深３．０・通訳・盲ろう</t>
  </si>
  <si>
    <t>同援深３．０・通訳・２人</t>
  </si>
  <si>
    <t>同援深３．０・通訳</t>
  </si>
  <si>
    <t>同援深２．５・通訳・２人・盲ろう・区４</t>
  </si>
  <si>
    <t>同援深２．５・通訳・盲ろう・区４</t>
  </si>
  <si>
    <t>同援深２．５・通訳・２人・区４</t>
  </si>
  <si>
    <t>同援深２．５・通訳・区４</t>
  </si>
  <si>
    <t>同援深２．５・通訳・２人・盲ろう・区３</t>
  </si>
  <si>
    <t>同援深２．５・通訳・盲ろう・区３</t>
  </si>
  <si>
    <t>同援深２．５・通訳・２人・区３</t>
  </si>
  <si>
    <t>同援深２．５・通訳・区３</t>
  </si>
  <si>
    <t>同援深２．５・通訳・２人・盲ろう</t>
  </si>
  <si>
    <t>同援深２．５・通訳・盲ろう</t>
  </si>
  <si>
    <t>同援深２．５・通訳・２人</t>
  </si>
  <si>
    <t>同援深２．５・通訳</t>
  </si>
  <si>
    <t>同援深２．０・通訳・２人・盲ろう・区４</t>
  </si>
  <si>
    <t>同援深２．０・通訳・盲ろう・区４</t>
  </si>
  <si>
    <t>同援深２．０・通訳・２人・区４</t>
  </si>
  <si>
    <t>同援深２．０・通訳・区４</t>
  </si>
  <si>
    <t>同援深２．０・通訳・２人・盲ろう・区３</t>
  </si>
  <si>
    <t>同援深２．０・通訳・盲ろう・区３</t>
  </si>
  <si>
    <t>同援深２．０・通訳・２人・区３</t>
  </si>
  <si>
    <t>同援深２．０・通訳・区３</t>
  </si>
  <si>
    <t>同援深２．０・通訳・２人・盲ろう</t>
  </si>
  <si>
    <t>同援深２．０・通訳・盲ろう</t>
  </si>
  <si>
    <t>同援深２．０・通訳・２人</t>
  </si>
  <si>
    <t>同援深２．０・通訳</t>
  </si>
  <si>
    <t>同援深１．５・通訳・２人・盲ろう・区４</t>
  </si>
  <si>
    <t>同援深１．５・通訳・盲ろう・区４</t>
  </si>
  <si>
    <t>同援深１．５・通訳・２人・区４</t>
  </si>
  <si>
    <t>同援深１．５・通訳・区４</t>
  </si>
  <si>
    <t>同援深１．５・通訳・２人・盲ろう・区３</t>
  </si>
  <si>
    <t>同援深１．５・通訳・盲ろう・区３</t>
  </si>
  <si>
    <t>同援深１．５・通訳・２人・区３</t>
  </si>
  <si>
    <t>同援深１．５・通訳・区３</t>
  </si>
  <si>
    <t>同援深１．５・通訳・２人・盲ろう</t>
  </si>
  <si>
    <t>同援深１．５・通訳・盲ろう</t>
  </si>
  <si>
    <t>同援深１．５・通訳・２人</t>
  </si>
  <si>
    <t>同援深１．５・通訳</t>
  </si>
  <si>
    <t>同援深１．０・通訳・２人・盲ろう・区４</t>
  </si>
  <si>
    <t>同援深１．０・通訳・盲ろう・区４</t>
  </si>
  <si>
    <t>同援深１．０・通訳・２人・区４</t>
  </si>
  <si>
    <t>同援深１．０・通訳・区４</t>
  </si>
  <si>
    <t>同援深１．０・通訳・２人・盲ろう・区３</t>
  </si>
  <si>
    <t>同援深１．０・通訳・盲ろう・区３</t>
  </si>
  <si>
    <t>同援深１．０・通訳・２人・区３</t>
  </si>
  <si>
    <t>同援深１．０・通訳・区３</t>
  </si>
  <si>
    <t>同援深１．０・通訳・２人・盲ろう</t>
  </si>
  <si>
    <t>同援深１．０・通訳・盲ろう</t>
  </si>
  <si>
    <t>同援深１．０・通訳・２人</t>
  </si>
  <si>
    <t>同援深１．０・通訳</t>
  </si>
  <si>
    <t>同援深０．５・通訳・２人・盲ろう・区４</t>
  </si>
  <si>
    <t>同援深０．５・通訳・盲ろう・区４</t>
  </si>
  <si>
    <t>同援深０．５・通訳・２人・区４</t>
  </si>
  <si>
    <t>同援深０．５・通訳・区４</t>
  </si>
  <si>
    <t>同援深０．５・通訳・２人・盲ろう・区３</t>
  </si>
  <si>
    <t>同援深０．５・通訳・盲ろう・区３</t>
  </si>
  <si>
    <t>同援深０．５・通訳・２人・区３</t>
  </si>
  <si>
    <t>同援深０．５・通訳・区３</t>
  </si>
  <si>
    <t>同援深０．５・通訳・２人・盲ろう</t>
  </si>
  <si>
    <t>同援深０．５・通訳・盲ろう</t>
  </si>
  <si>
    <t>同援深０．５・通訳・２人</t>
  </si>
  <si>
    <t>同援深０．５・通訳</t>
  </si>
  <si>
    <t>同援深２．５・早０．５・通訳・２人・盲ろう・区４</t>
  </si>
  <si>
    <t>同援深２．５・早０．５・通訳・盲ろう・区４</t>
  </si>
  <si>
    <t>同援深２．５・早０．５・通訳・２人・区４</t>
  </si>
  <si>
    <t>同援深２．５・早０．５・通訳・区４</t>
  </si>
  <si>
    <t>同援深２．５・早０．５・通訳・２人・盲ろう・区３</t>
  </si>
  <si>
    <t>同援深２．５・早０．５・通訳・盲ろう・区３</t>
  </si>
  <si>
    <t>同援深２．５・早０．５・通訳・２人・区３</t>
  </si>
  <si>
    <t>同援深２．５・早０．５・通訳・区３</t>
  </si>
  <si>
    <t>同援深２．５・早０．５・通訳・２人・盲ろう</t>
  </si>
  <si>
    <t>同援深２．５・早０．５・通訳・盲ろう</t>
  </si>
  <si>
    <t>同援深２．５・早０．５・通訳・２人</t>
  </si>
  <si>
    <t>同援深２．５・早０．５・通訳</t>
  </si>
  <si>
    <t>同援深２．０・早１．０・通訳・２人・盲ろう・区４</t>
  </si>
  <si>
    <t>同援深２．０・早１．０・通訳・盲ろう・区４</t>
  </si>
  <si>
    <t>同援深２．０・早１．０・通訳・２人・区４</t>
  </si>
  <si>
    <t>同援深２．０・早１．０・通訳・区４</t>
  </si>
  <si>
    <t>同援深２．０・早１．０・通訳・２人・盲ろう・区３</t>
  </si>
  <si>
    <t>同援深２．０・早１．０・通訳・盲ろう・区３</t>
  </si>
  <si>
    <t>同援深２．０・早１．０・通訳・２人・区３</t>
  </si>
  <si>
    <t>同援深２．０・早１．０・通訳・区３</t>
  </si>
  <si>
    <t>同援深２．０・早１．０・通訳・２人・盲ろう</t>
  </si>
  <si>
    <t>同援深２．０・早１．０・通訳・盲ろう</t>
  </si>
  <si>
    <t>同援深２．０・早１．０・通訳・２人</t>
  </si>
  <si>
    <t>同援深２．０・早１．０・通訳</t>
  </si>
  <si>
    <t>同援深２．０・早０．５・通訳・２人・盲ろう・区４</t>
  </si>
  <si>
    <t>同援深２．０・早０．５・通訳・盲ろう・区４</t>
  </si>
  <si>
    <t>同援深２．０・早０．５・通訳・２人・区４</t>
  </si>
  <si>
    <t>同援深２．０・早０．５・通訳・区４</t>
  </si>
  <si>
    <t>同援深２．０・早０．５・通訳・２人・盲ろう・区３</t>
  </si>
  <si>
    <t>同援深２．０・早０．５・通訳・盲ろう・区３</t>
  </si>
  <si>
    <t>同援深２．０・早０．５・通訳・２人・区３</t>
  </si>
  <si>
    <t>同援深２．０・早０．５・通訳・区３</t>
  </si>
  <si>
    <t>同援深２．０・早０．５・通訳・２人・盲ろう</t>
  </si>
  <si>
    <t>同援深２．０・早０．５・通訳・盲ろう</t>
  </si>
  <si>
    <t>同援深２．０・早０．５・通訳・２人</t>
  </si>
  <si>
    <t>同援深２．０・早０．５・通訳</t>
  </si>
  <si>
    <t>同援深１．５・早１．５・通訳・２人・盲ろう・区４</t>
  </si>
  <si>
    <t>同援深１．５・早１．５・通訳・盲ろう・区４</t>
  </si>
  <si>
    <t>同援深１．５・早１．５・通訳・２人・区４</t>
  </si>
  <si>
    <t>同援深１．５・早１．５・通訳・区４</t>
  </si>
  <si>
    <t>同援深１．５・早１．５・通訳・２人・盲ろう・区３</t>
  </si>
  <si>
    <t>同援深１．５・早１．５・通訳・盲ろう・区３</t>
  </si>
  <si>
    <t>同援深１．５・早１．５・通訳・２人・区３</t>
  </si>
  <si>
    <t>同援深１．５・早１．５・通訳・区３</t>
  </si>
  <si>
    <t>同援深１．５・早１．５・通訳・２人・盲ろう</t>
  </si>
  <si>
    <t>同援深１．５・早１．５・通訳・盲ろう</t>
  </si>
  <si>
    <t>同援深１．５・早１．５・通訳・２人</t>
  </si>
  <si>
    <t>同援深１．５・早１．５・通訳</t>
  </si>
  <si>
    <t>同援深１．５・早１．０・通訳・２人・盲ろう・区４</t>
  </si>
  <si>
    <t>同援深１．５・早１．０・通訳・盲ろう・区４</t>
  </si>
  <si>
    <t>同援深１．５・早１．０・通訳・２人・区４</t>
  </si>
  <si>
    <t>同援深１．５・早１．０・通訳・区４</t>
  </si>
  <si>
    <t>同援深１．５・早１．０・通訳・２人・盲ろう・区３</t>
  </si>
  <si>
    <t>同援深１．５・早１．０・通訳・盲ろう・区３</t>
  </si>
  <si>
    <t>同援深１．５・早１．０・通訳・２人・区３</t>
  </si>
  <si>
    <t>同援深１．５・早１．０・通訳・区３</t>
  </si>
  <si>
    <t>同援深１．５・早１．０・通訳・２人・盲ろう</t>
  </si>
  <si>
    <t>同援深１．５・早１．０・通訳・盲ろう</t>
  </si>
  <si>
    <t>同援深１．５・早１．０・通訳・２人</t>
  </si>
  <si>
    <t>同援深１．５・早１．０・通訳</t>
  </si>
  <si>
    <t>同援深１．５・早０．５・通訳・２人・盲ろう・区４</t>
  </si>
  <si>
    <t>同援深１．５・早０．５・通訳・盲ろう・区４</t>
  </si>
  <si>
    <t>同援深１．５・早０．５・通訳・２人・区４</t>
  </si>
  <si>
    <t>同援深１．５・早０．５・通訳・区４</t>
  </si>
  <si>
    <t>同援深１．５・早０．５・通訳・２人・盲ろう・区３</t>
  </si>
  <si>
    <t>同援深１．５・早０．５・通訳・盲ろう・区３</t>
  </si>
  <si>
    <t>同援深１．５・早０．５・通訳・２人・区３</t>
  </si>
  <si>
    <t>同援深１．５・早０．５・通訳・区３</t>
  </si>
  <si>
    <t>同援深１．５・早０．５・通訳・２人・盲ろう</t>
  </si>
  <si>
    <t>同援深１．５・早０．５・通訳・盲ろう</t>
  </si>
  <si>
    <t>同援深１．５・早０．５・通訳・２人</t>
  </si>
  <si>
    <t>同援深１．５・早０．５・通訳</t>
  </si>
  <si>
    <t>同援深１．０・早２．０・通訳・２人・盲ろう・区４</t>
  </si>
  <si>
    <t>同援深１．０・早２．０・通訳・盲ろう・区４</t>
  </si>
  <si>
    <t>同援深１．０・早２．０・通訳・２人・区４</t>
  </si>
  <si>
    <t>同援深１．０・早２．０・通訳・区４</t>
  </si>
  <si>
    <t>同援深１．０・早２．０・通訳・２人・盲ろう・区３</t>
  </si>
  <si>
    <t>同援深１．０・早２．０・通訳・盲ろう・区３</t>
  </si>
  <si>
    <t>同援深１．０・早２．０・通訳・２人・区３</t>
  </si>
  <si>
    <t>同援深１．０・早２．０・通訳・区３</t>
  </si>
  <si>
    <t>同援深１．０・早２．０・通訳・２人・盲ろう</t>
  </si>
  <si>
    <t>同援深１．０・早２．０・通訳・盲ろう</t>
  </si>
  <si>
    <t>同援深１．０・早２．０・通訳・２人</t>
  </si>
  <si>
    <t>同援深１．０・早２．０・通訳</t>
  </si>
  <si>
    <t>同援深１．０・早１．５・通訳・２人・盲ろう・区４</t>
  </si>
  <si>
    <t>同援深１．０・早１．５・通訳・盲ろう・区４</t>
  </si>
  <si>
    <t>同援深１．０・早１．５・通訳・２人・区４</t>
  </si>
  <si>
    <t>同援深１．０・早１．５・通訳・区４</t>
  </si>
  <si>
    <t>同援深１．０・早１．５・通訳・２人・盲ろう・区３</t>
  </si>
  <si>
    <t>同援深１．０・早１．５・通訳・盲ろう・区３</t>
  </si>
  <si>
    <t>同援深１．０・早１．５・通訳・２人・区３</t>
  </si>
  <si>
    <t>同援深１．０・早１．５・通訳・区３</t>
  </si>
  <si>
    <t>同援深１．０・早１．５・通訳・２人・盲ろう</t>
  </si>
  <si>
    <t>同援深１．０・早１．５・通訳・盲ろう</t>
  </si>
  <si>
    <t>同援深１．０・早１．５・通訳・２人</t>
  </si>
  <si>
    <t>同援深１．０・早１．５・通訳</t>
  </si>
  <si>
    <t>同援深１．０・早１．０・通訳・２人・盲ろう・区４</t>
  </si>
  <si>
    <t>同援深１．０・早１．０・通訳・盲ろう・区４</t>
  </si>
  <si>
    <t>同援深１．０・早１．０・通訳・２人・区４</t>
  </si>
  <si>
    <t>同援深１．０・早１．０・通訳・区４</t>
  </si>
  <si>
    <t>同援深１．０・早１．０・通訳・２人・盲ろう・区３</t>
  </si>
  <si>
    <t>同援深１．０・早１．０・通訳・盲ろう・区３</t>
  </si>
  <si>
    <t>同援深１．０・早１．０・通訳・２人・区３</t>
  </si>
  <si>
    <t>同援深１．０・早１．０・通訳・区３</t>
  </si>
  <si>
    <t>同援深１．０・早１．０・通訳・２人・盲ろう</t>
  </si>
  <si>
    <t>同援深１．０・早１．０・通訳・盲ろう</t>
  </si>
  <si>
    <t>同援深１．０・早１．０・通訳・２人</t>
  </si>
  <si>
    <t>同援深１．０・早１．０・通訳</t>
  </si>
  <si>
    <t>同援深１．０・早０．５・通訳・２人・盲ろう・区４</t>
  </si>
  <si>
    <t>同援深１．０・早０．５・通訳・盲ろう・区４</t>
  </si>
  <si>
    <t>同援深１．０・早０．５・通訳・２人・区４</t>
  </si>
  <si>
    <t>同援深１．０・早０．５・通訳・区４</t>
  </si>
  <si>
    <t>同援深１．０・早０．５・通訳・２人・盲ろう・区３</t>
  </si>
  <si>
    <t>同援深１．０・早０．５・通訳・盲ろう・区３</t>
  </si>
  <si>
    <t>同援深１．０・早０．５・通訳・２人・区３</t>
  </si>
  <si>
    <t>同援深１．０・早０．５・通訳・区３</t>
  </si>
  <si>
    <t>同援深１．０・早０．５・通訳・２人・盲ろう</t>
  </si>
  <si>
    <t>同援深１．０・早０．５・通訳・盲ろう</t>
  </si>
  <si>
    <t>同援深１．０・早０．５・通訳・２人</t>
  </si>
  <si>
    <t>同援深１．０・早０．５・通訳</t>
  </si>
  <si>
    <t>同援深０．５・早２．５・通訳・２人・盲ろう・区４</t>
  </si>
  <si>
    <t>同援深０．５・早２．５・通訳・盲ろう・区４</t>
  </si>
  <si>
    <t>同援深０．５・早２．５・通訳・２人・区４</t>
  </si>
  <si>
    <t>同援深０．５・早２．５・通訳・区４</t>
  </si>
  <si>
    <t>同援深０．５・早２．５・通訳・２人・盲ろう・区３</t>
  </si>
  <si>
    <t>同援深０．５・早２．５・通訳・盲ろう・区３</t>
  </si>
  <si>
    <t>同援深０．５・早２．５・通訳・２人・区３</t>
  </si>
  <si>
    <t>同援深０．５・早２．５・通訳・区３</t>
  </si>
  <si>
    <t>同援深０．５・早２．５・通訳・２人・盲ろう</t>
  </si>
  <si>
    <t>同援深０．５・早２．５・通訳・盲ろう</t>
  </si>
  <si>
    <t>同援深０．５・早２．５・通訳・２人</t>
  </si>
  <si>
    <t>同援深０．５・早２．５・通訳</t>
  </si>
  <si>
    <t>同援深０．５・早２．０・通訳・２人・盲ろう・区４</t>
  </si>
  <si>
    <t>同援深０．５・早２．０・通訳・盲ろう・区４</t>
  </si>
  <si>
    <t>同援深０．５・早２．０・通訳・２人・区４</t>
  </si>
  <si>
    <t>同援深０．５・早２．０・通訳・区４</t>
  </si>
  <si>
    <t>同援深０．５・早２．０・通訳・２人・盲ろう・区３</t>
  </si>
  <si>
    <t>同援深０．５・早２．０・通訳・盲ろう・区３</t>
  </si>
  <si>
    <t>同援深０．５・早２．０・通訳・２人・区３</t>
  </si>
  <si>
    <t>同援深０．５・早２．０・通訳・区３</t>
  </si>
  <si>
    <t>同援深０．５・早２．０・通訳・２人・盲ろう</t>
  </si>
  <si>
    <t>同援深０．５・早２．０・通訳・盲ろう</t>
  </si>
  <si>
    <t>同援深０．５・早２．０・通訳・２人</t>
  </si>
  <si>
    <t>同援深０．５・早２．０・通訳</t>
  </si>
  <si>
    <t>同援深０．５・早１．５・通訳・２人・盲ろう・区４</t>
  </si>
  <si>
    <t>同援深０．５・早１．５・通訳・盲ろう・区４</t>
  </si>
  <si>
    <t>同援深０．５・早１．５・通訳・２人・区４</t>
  </si>
  <si>
    <t>同援深０．５・早１．５・通訳・区４</t>
  </si>
  <si>
    <t>同援深０．５・早１．５・通訳・２人・盲ろう・区３</t>
  </si>
  <si>
    <t>同援深０．５・早１．５・通訳・盲ろう・区３</t>
  </si>
  <si>
    <t>同援深０．５・早１．５・通訳・２人・区３</t>
  </si>
  <si>
    <t>同援深０．５・早１．５・通訳・区３</t>
  </si>
  <si>
    <t>同援深０．５・早１．５・通訳・２人・盲ろう</t>
  </si>
  <si>
    <t>同援深０．５・早１．５・通訳・盲ろう</t>
  </si>
  <si>
    <t>同援深０．５・早１．５・通訳・２人</t>
  </si>
  <si>
    <t>同援深０．５・早１．５・通訳</t>
  </si>
  <si>
    <t>同援深０．５・早１．０・通訳・２人・盲ろう・区４</t>
  </si>
  <si>
    <t>同援深０．５・早１．０・通訳・盲ろう・区４</t>
  </si>
  <si>
    <t>同援深０．５・早１．０・通訳・２人・区４</t>
  </si>
  <si>
    <t>同援深０．５・早１．０・通訳・区４</t>
  </si>
  <si>
    <t>同援深０．５・早１．０・通訳・２人・盲ろう・区３</t>
  </si>
  <si>
    <t>同援深０．５・早１．０・通訳・盲ろう・区３</t>
  </si>
  <si>
    <t>同援深０．５・早１．０・通訳・２人・区３</t>
  </si>
  <si>
    <t>同援深０．５・早１．０・通訳・区３</t>
  </si>
  <si>
    <t>同援深０．５・早１．０・通訳・２人・盲ろう</t>
  </si>
  <si>
    <t>同援深０．５・早１．０・通訳・盲ろう</t>
  </si>
  <si>
    <t>同援深０．５・早１．０・通訳・２人</t>
  </si>
  <si>
    <t>同援深０．５・早１．０・通訳</t>
  </si>
  <si>
    <t>同援深０．５・早０．５・通訳・２人・盲ろう・区４</t>
  </si>
  <si>
    <t>同援深０．５・早０．５・通訳・盲ろう・区４</t>
  </si>
  <si>
    <t>同援深０．５・早０．５・通訳・２人・区４</t>
  </si>
  <si>
    <t>同援深０．５・早０．５・通訳・区４</t>
  </si>
  <si>
    <t>同援深０．５・早０．５・通訳・２人・盲ろう・区３</t>
  </si>
  <si>
    <t>場合 A</t>
  </si>
  <si>
    <t>同援深０．５・早０．５・通訳・盲ろう・区３</t>
  </si>
  <si>
    <t>同援深０．５・早０．５・通訳・２人・区３</t>
  </si>
  <si>
    <t>同援深０．５・早０．５・通訳・区３</t>
  </si>
  <si>
    <t>同援深０．５・早０．５・通訳・２人・盲ろう</t>
  </si>
  <si>
    <t>同援深０．５・早０．５・通訳・盲ろう</t>
  </si>
  <si>
    <t>同援深０．５・早０．５・通訳・２人</t>
  </si>
  <si>
    <t>同援深０．５・早０．５・通訳</t>
  </si>
  <si>
    <t>同援早２．５・日０．５・通訳・２人・盲ろう・区４</t>
  </si>
  <si>
    <t>同援早２．５・日０．５・通訳・盲ろう・区４</t>
  </si>
  <si>
    <t>同援早２．５・日０．５・通訳・２人・区４</t>
  </si>
  <si>
    <t>同援早２．５・日０．５・通訳・区４</t>
  </si>
  <si>
    <t>同援早２．５・日０．５・通訳・２人・盲ろう・区３</t>
  </si>
  <si>
    <t>同援早２．５・日０．５・通訳・盲ろう・区３</t>
  </si>
  <si>
    <t>同援早２．５・日０．５・通訳・２人・区３</t>
  </si>
  <si>
    <t>同援早２．５・日０．５・通訳・区３</t>
  </si>
  <si>
    <t>同援早２．５・日０．５・通訳・２人・盲ろう</t>
  </si>
  <si>
    <t>同援早２．５・日０．５・通訳・盲ろう</t>
  </si>
  <si>
    <t>同援早２．５・日０．５・通訳・２人</t>
  </si>
  <si>
    <t>同援早２．５・日０．５・通訳</t>
  </si>
  <si>
    <t>同援早２．０・日１．０・通訳・２人・盲ろう・区４</t>
  </si>
  <si>
    <t>同援早２．０・日１．０・通訳・盲ろう・区４</t>
  </si>
  <si>
    <t>同援早２．０・日１．０・通訳・２人・区４</t>
  </si>
  <si>
    <t>同援早２．０・日１．０・通訳・区４</t>
  </si>
  <si>
    <t>同援早２．０・日１．０・通訳・２人・盲ろう・区３</t>
  </si>
  <si>
    <t>同援早２．０・日１．０・通訳・盲ろう・区３</t>
  </si>
  <si>
    <t>同援早２．０・日１．０・通訳・２人・区３</t>
  </si>
  <si>
    <t>同援早２．０・日１．０・通訳・区３</t>
  </si>
  <si>
    <t>同援早２．０・日１．０・通訳・２人・盲ろう</t>
  </si>
  <si>
    <t>同援早２．０・日１．０・通訳・盲ろう</t>
  </si>
  <si>
    <t>同援早２．０・日１．０・通訳・２人</t>
  </si>
  <si>
    <t>同援早２．０・日１．０・通訳</t>
  </si>
  <si>
    <t>同援早２．０・日０．５・通訳・２人・盲ろう・区４</t>
  </si>
  <si>
    <t>同援早２．０・日０．５・通訳・盲ろう・区４</t>
  </si>
  <si>
    <t>同援早２．０・日０．５・通訳・２人・区４</t>
  </si>
  <si>
    <t>同援早２．０・日０．５・通訳・区４</t>
  </si>
  <si>
    <t>同援早２．０・日０．５・通訳・２人・盲ろう・区３</t>
  </si>
  <si>
    <t>同援早２．０・日０．５・通訳・盲ろう・区３</t>
  </si>
  <si>
    <t>同援早２．０・日０．５・通訳・２人・区３</t>
  </si>
  <si>
    <t>同援早２．０・日０．５・通訳・区３</t>
  </si>
  <si>
    <t>同援早２．０・日０．５・通訳・２人・盲ろう</t>
  </si>
  <si>
    <t>同援早２．０・日０．５・通訳・盲ろう</t>
  </si>
  <si>
    <t>同援早２．０・日０．５・通訳・２人</t>
  </si>
  <si>
    <t>同援早２．０・日０．５・通訳</t>
  </si>
  <si>
    <t>同援早１．５・日１．５・通訳・２人・盲ろう・区４</t>
  </si>
  <si>
    <t>同援早１．５・日１．５・通訳・盲ろう・区４</t>
  </si>
  <si>
    <t>同援早１．５・日１．５・通訳・２人・区４</t>
  </si>
  <si>
    <t>同援早１．５・日１．５・通訳・区４</t>
  </si>
  <si>
    <t>同援早１．５・日１．５・通訳・２人・盲ろう・区３</t>
  </si>
  <si>
    <t>同援早１．５・日１．５・通訳・盲ろう・区３</t>
  </si>
  <si>
    <t>同援早１．５・日１．５・通訳・２人・区３</t>
  </si>
  <si>
    <t>同援早１．５・日１．５・通訳・区３</t>
  </si>
  <si>
    <t>同援早１．５・日１．５・通訳・２人・盲ろう</t>
  </si>
  <si>
    <t>同援早１．５・日１．５・通訳・盲ろう</t>
  </si>
  <si>
    <t>同援早１．５・日１．５・通訳・２人</t>
  </si>
  <si>
    <t>同援早１．５・日１．５・通訳</t>
  </si>
  <si>
    <t>同援早１．５・日１．０・通訳・２人・盲ろう・区４</t>
  </si>
  <si>
    <t>同援早１．５・日１．０・通訳・盲ろう・区４</t>
  </si>
  <si>
    <t>同援早１．５・日１．０・通訳・２人・区４</t>
  </si>
  <si>
    <t>同援早１．５・日１．０・通訳・区４</t>
  </si>
  <si>
    <t>同援早１．５・日１．０・通訳・２人・盲ろう・区３</t>
  </si>
  <si>
    <t>同援早１．５・日１．０・通訳・盲ろう・区３</t>
  </si>
  <si>
    <t>同援早１．５・日１．０・通訳・２人・区３</t>
  </si>
  <si>
    <t>同援早１．５・日１．０・通訳・区３</t>
  </si>
  <si>
    <t>同援早１．５・日１．０・通訳・２人・盲ろう</t>
  </si>
  <si>
    <t>同援早１．５・日１．０・通訳・盲ろう</t>
  </si>
  <si>
    <t>同援早１．５・日１．０・通訳・２人</t>
  </si>
  <si>
    <t>同援早１．５・日１．０・通訳</t>
  </si>
  <si>
    <t>同援早１．５・日０．５・通訳・２人・盲ろう・区４</t>
  </si>
  <si>
    <t>同援早１．５・日０．５・通訳・盲ろう・区４</t>
  </si>
  <si>
    <t>同援早１．５・日０．５・通訳・２人・区４</t>
  </si>
  <si>
    <t>同援早１．５・日０．５・通訳・区４</t>
  </si>
  <si>
    <t>同援早１．５・日０．５・通訳・２人・盲ろう・区３</t>
  </si>
  <si>
    <t>同援早１．５・日０．５・通訳・盲ろう・区３</t>
  </si>
  <si>
    <t>同援早１．５・日０．５・通訳・２人・区３</t>
  </si>
  <si>
    <t>同援早１．５・日０．５・通訳・区３</t>
  </si>
  <si>
    <t>同援早１．５・日０．５・通訳・２人・盲ろう</t>
  </si>
  <si>
    <t>同援早１．５・日０．５・通訳・盲ろう</t>
  </si>
  <si>
    <t>同援早１．５・日０．５・通訳・２人</t>
  </si>
  <si>
    <t>同援早１．５・日０．５・通訳</t>
  </si>
  <si>
    <t>同援早１．０・日２．０・通訳・２人・盲ろう・区４</t>
  </si>
  <si>
    <t>同援早１．０・日２．０・通訳・盲ろう・区４</t>
  </si>
  <si>
    <t>同援早１．０・日２．０・通訳・２人・区４</t>
  </si>
  <si>
    <t>同援早１．０・日２．０・通訳・区４</t>
  </si>
  <si>
    <t>同援早１．０・日２．０・通訳・２人・盲ろう・区３</t>
  </si>
  <si>
    <t>同援早１．０・日２．０・通訳・盲ろう・区３</t>
  </si>
  <si>
    <t>同援早１．０・日２．０・通訳・２人・区３</t>
  </si>
  <si>
    <t>同援早１．０・日２．０・通訳・区３</t>
  </si>
  <si>
    <t>同援早１．０・日２．０・通訳・２人・盲ろう</t>
  </si>
  <si>
    <t>同援早１．０・日２．０・通訳・盲ろう</t>
  </si>
  <si>
    <t>同援早１．０・日２．０・通訳・２人</t>
  </si>
  <si>
    <t>同援早１．０・日２．０・通訳</t>
  </si>
  <si>
    <t>同援早１．０・日１．５・通訳・２人・盲ろう・区４</t>
  </si>
  <si>
    <t>同援早１．０・日１．５・通訳・盲ろう・区４</t>
  </si>
  <si>
    <t>同援早１．０・日１．５・通訳・２人・区４</t>
  </si>
  <si>
    <t>同援早１．０・日１．５・通訳・区４</t>
  </si>
  <si>
    <t>同援早１．０・日１．５・通訳・２人・盲ろう・区３</t>
  </si>
  <si>
    <t>同援早１．０・日１．５・通訳・盲ろう・区３</t>
  </si>
  <si>
    <t>同援早１．０・日１．５・通訳・２人・区３</t>
  </si>
  <si>
    <t>同援早１．０・日１．５・通訳・区３</t>
  </si>
  <si>
    <t>同援早１．０・日１．５・通訳・２人・盲ろう</t>
  </si>
  <si>
    <t>同援早１．０・日１．５・通訳・盲ろう</t>
  </si>
  <si>
    <t>同援早１．０・日１．５・通訳・２人</t>
  </si>
  <si>
    <t>同援早１．０・日１．５・通訳</t>
  </si>
  <si>
    <t>同援早１．０・日１．０・通訳・２人・盲ろう・区４</t>
  </si>
  <si>
    <t>同援早１．０・日１．０・通訳・盲ろう・区４</t>
  </si>
  <si>
    <t>同援早１．０・日１．０・通訳・２人・区４</t>
  </si>
  <si>
    <t>同援早１．０・日１．０・通訳・区４</t>
  </si>
  <si>
    <t>同援早１．０・日１．０・通訳・２人・盲ろう・区３</t>
  </si>
  <si>
    <t>同援早１．０・日１．０・通訳・盲ろう・区３</t>
  </si>
  <si>
    <t>同援早１．０・日１．０・通訳・２人・区３</t>
  </si>
  <si>
    <t>同援早１．０・日１．０・通訳・区３</t>
  </si>
  <si>
    <t>同援早１．０・日１．０・通訳・２人・盲ろう</t>
  </si>
  <si>
    <t>同援早１．０・日１．０・通訳・盲ろう</t>
  </si>
  <si>
    <t>同援早１．０・日１．０・通訳・２人</t>
  </si>
  <si>
    <t>同援早１．０・日１．０・通訳</t>
  </si>
  <si>
    <t>同援早１．０・日０．５・通訳・２人・盲ろう・区４</t>
  </si>
  <si>
    <t>同援早１．０・日０．５・通訳・盲ろう・区４</t>
  </si>
  <si>
    <t>同援早１．０・日０．５・通訳・２人・区４</t>
  </si>
  <si>
    <t>同援早１．０・日０．５・通訳・区４</t>
  </si>
  <si>
    <t>同援早１．０・日０．５・通訳・２人・盲ろう・区３</t>
  </si>
  <si>
    <t>同援早１．０・日０．５・通訳・盲ろう・区３</t>
  </si>
  <si>
    <t>同援早１．０・日０．５・通訳・２人・区３</t>
  </si>
  <si>
    <t>同援早１．０・日０．５・通訳・区３</t>
  </si>
  <si>
    <t>同援早１．０・日０．５・通訳・２人・盲ろう</t>
  </si>
  <si>
    <t>同援早１．０・日０．５・通訳・盲ろう</t>
  </si>
  <si>
    <t>同援早１．０・日０．５・通訳・２人</t>
  </si>
  <si>
    <t>同援早１．０・日０．５・通訳</t>
  </si>
  <si>
    <t>同援早０．５・日２．５・通訳・２人・盲ろう・区４</t>
  </si>
  <si>
    <t>同援早０．５・日２．５・通訳・盲ろう・区４</t>
  </si>
  <si>
    <t>同援早０．５・日２．５・通訳・２人・区４</t>
  </si>
  <si>
    <t>同援早０．５・日２．５・通訳・区４</t>
  </si>
  <si>
    <t>同援早０．５・日２．５・通訳・２人・盲ろう・区３</t>
  </si>
  <si>
    <t>同援早０．５・日２．５・通訳・盲ろう・区３</t>
  </si>
  <si>
    <t>同援早０．５・日２．５・通訳・２人・区３</t>
  </si>
  <si>
    <t>同援早０．５・日２．５・通訳・区３</t>
  </si>
  <si>
    <t>同援早０．５・日２．５・通訳・２人・盲ろう</t>
  </si>
  <si>
    <t>同援早０．５・日２．５・通訳・盲ろう</t>
  </si>
  <si>
    <t>同援早０．５・日２．５・通訳・２人</t>
  </si>
  <si>
    <t>同援早０．５・日２．５・通訳</t>
  </si>
  <si>
    <t>同援早０．５・日２．０・通訳・２人・盲ろう・区４</t>
  </si>
  <si>
    <t>同援早０．５・日２．０・通訳・盲ろう・区４</t>
  </si>
  <si>
    <t>同援早０．５・日２．０・通訳・２人・区４</t>
  </si>
  <si>
    <t>同援早０．５・日２．０・通訳・区４</t>
  </si>
  <si>
    <t>同援早０．５・日２．０・通訳・２人・盲ろう・区３</t>
  </si>
  <si>
    <t>同援早０．５・日２．０・通訳・盲ろう・区３</t>
  </si>
  <si>
    <t>同援早０．５・日２．０・通訳・２人・区３</t>
  </si>
  <si>
    <t>同援早０．５・日２．０・通訳・区３</t>
  </si>
  <si>
    <t>同援早０．５・日２．０・通訳・２人・盲ろう</t>
  </si>
  <si>
    <t>同援早０．５・日２．０・通訳・盲ろう</t>
  </si>
  <si>
    <t>同援早０．５・日２．０・通訳・２人</t>
  </si>
  <si>
    <t>同援早０．５・日２．０・通訳</t>
  </si>
  <si>
    <t>同援早０．５・日１．５・通訳・２人・盲ろう・区４</t>
  </si>
  <si>
    <t>同援早０．５・日１．５・通訳・盲ろう・区４</t>
  </si>
  <si>
    <t>同援早０．５・日１．５・通訳・２人・区４</t>
  </si>
  <si>
    <t>同援早０．５・日１．５・通訳・区４</t>
  </si>
  <si>
    <t>同援早０．５・日１．５・通訳・２人・盲ろう・区３</t>
  </si>
  <si>
    <t>同援早０．５・日１．５・通訳・盲ろう・区３</t>
  </si>
  <si>
    <t>同援早０．５・日１．５・通訳・２人・区３</t>
  </si>
  <si>
    <t>同援早０．５・日１．５・通訳・区３</t>
  </si>
  <si>
    <t>同援早０．５・日１．５・通訳・２人・盲ろう</t>
  </si>
  <si>
    <t>同援早０．５・日１．５・通訳・盲ろう</t>
  </si>
  <si>
    <t>同援早０．５・日１．５・通訳・２人</t>
  </si>
  <si>
    <t>同援早０．５・日１．５・通訳</t>
  </si>
  <si>
    <t>同援早０．５・日１．０・通訳・２人・盲ろう・区４</t>
  </si>
  <si>
    <t>同援早０．５・日１．０・通訳・盲ろう・区４</t>
  </si>
  <si>
    <t>同援早０．５・日１．０・通訳・２人・区４</t>
  </si>
  <si>
    <t>同援早０．５・日１．０・通訳・区４</t>
  </si>
  <si>
    <t>同援早０．５・日１．０・通訳・２人・盲ろう・区３</t>
  </si>
  <si>
    <t>同援早０．５・日１．０・通訳・盲ろう・区３</t>
  </si>
  <si>
    <t>同援早０．５・日１．０・通訳・２人・区３</t>
  </si>
  <si>
    <t>同援早０．５・日１．０・通訳・区３</t>
  </si>
  <si>
    <t>同援早０．５・日１．０・通訳・２人・盲ろう</t>
  </si>
  <si>
    <t>同援早０．５・日１．０・通訳・盲ろう</t>
  </si>
  <si>
    <t>同援早０．５・日１．０・通訳・２人</t>
  </si>
  <si>
    <t>同援早０．５・日１．０・通訳</t>
  </si>
  <si>
    <t>同援早０．５・日０．５・通訳・２人・盲ろう・区４</t>
  </si>
  <si>
    <t>同援早０．５・日０．５・通訳・盲ろう・区４</t>
  </si>
  <si>
    <t>同援早０．５・日０．５・通訳・２人・区４</t>
  </si>
  <si>
    <t>同援早０．５・日０．５・通訳・区４</t>
  </si>
  <si>
    <t>同援早０．５・日０．５・通訳・２人・盲ろう・区３</t>
  </si>
  <si>
    <t>同援早０．５・日０．５・通訳・盲ろう・区３</t>
  </si>
  <si>
    <t>同援早０．５・日０．５・通訳・２人・区３</t>
  </si>
  <si>
    <t>同援早０．５・日０．５・通訳・区３</t>
  </si>
  <si>
    <t>同援早０．５・日０．５・通訳・２人・盲ろう</t>
  </si>
  <si>
    <t>同援早０．５・日０．５・通訳・盲ろう</t>
  </si>
  <si>
    <t>同援早０．５・日０．５・通訳・２人</t>
  </si>
  <si>
    <t>同援早０．５・日０．５・通訳</t>
  </si>
  <si>
    <t>同援深０．５・早２．０・日０．５・通訳・２人・盲ろう・区４</t>
  </si>
  <si>
    <t>同援深０．５・早２．０・日０．５・通訳・盲ろう・区４</t>
  </si>
  <si>
    <t>同援深０．５・早２．０・日０．５・通訳・２人・区４</t>
  </si>
  <si>
    <t>同援深０．５・早２．０・日０．５・通訳・区４</t>
  </si>
  <si>
    <t>同援深０．５・早２．０・日０．５・通訳・２人・盲ろう・区３</t>
  </si>
  <si>
    <t>同援深０．５・早２．０・日０．５・通訳・盲ろう・区３</t>
  </si>
  <si>
    <t>同援深０．５・早２．０・日０．５・通訳・２人・区３</t>
  </si>
  <si>
    <t>同援深０．５・早２．０・日０．５・通訳・区３</t>
  </si>
  <si>
    <t>同援深０．５・早２．０・日０．５・通訳・２人・盲ろう</t>
  </si>
  <si>
    <t>同援深０．５・早２．０・日０．５・通訳・盲ろう</t>
  </si>
  <si>
    <t>同援深０．５・早２．０・日０．５・通訳・２人</t>
  </si>
  <si>
    <t>同援深０．５・早２．０・日０．５・通訳</t>
  </si>
  <si>
    <t>同援日２．５・夜０．５・通訳・２人・盲ろう・区４</t>
  </si>
  <si>
    <t>同援日２．５・夜０．５・通訳・盲ろう・区４</t>
  </si>
  <si>
    <t>同援日２．５・夜０．５・通訳・２人・区４</t>
  </si>
  <si>
    <t>同援日２．５・夜０．５・通訳・区４</t>
  </si>
  <si>
    <t>同援日２．５・夜０．５・通訳・２人・盲ろう・区３</t>
  </si>
  <si>
    <t>同援日２．５・夜０．５・通訳・盲ろう・区３</t>
  </si>
  <si>
    <t>同援日２．５・夜０．５・通訳・２人・区３</t>
  </si>
  <si>
    <t>同援日２．５・夜０．５・通訳・区３</t>
  </si>
  <si>
    <t>同援日２．５・夜０．５・通訳・２人・盲ろう</t>
  </si>
  <si>
    <t>同援日２．５・夜０．５・通訳・盲ろう</t>
  </si>
  <si>
    <t>同援日２．５・夜０．５・通訳・２人</t>
  </si>
  <si>
    <t>同援日２．５・夜０．５・通訳</t>
  </si>
  <si>
    <t>同援日２．０・夜１．０・通訳・２人・盲ろう・区４</t>
  </si>
  <si>
    <t>同援日２．０・夜１．０・通訳・盲ろう・区４</t>
  </si>
  <si>
    <t>同援日２．０・夜１．０・通訳・２人・区４</t>
  </si>
  <si>
    <t>同援日２．０・夜１．０・通訳・区４</t>
  </si>
  <si>
    <t>同援日２．０・夜１．０・通訳・２人・盲ろう・区３</t>
  </si>
  <si>
    <t>同援日２．０・夜１．０・通訳・盲ろう・区３</t>
  </si>
  <si>
    <t>同援日２．０・夜１．０・通訳・２人・区３</t>
  </si>
  <si>
    <t>同援日２．０・夜１．０・通訳・区３</t>
  </si>
  <si>
    <t>同援日２．０・夜１．０・通訳・２人・盲ろう</t>
  </si>
  <si>
    <t>同援日２．０・夜１．０・通訳・盲ろう</t>
  </si>
  <si>
    <t>同援日２．０・夜１．０・通訳・２人</t>
  </si>
  <si>
    <t>同援日２．０・夜１．０・通訳</t>
  </si>
  <si>
    <t>同援日２．０・夜０．５・通訳・２人・盲ろう・区４</t>
  </si>
  <si>
    <t>同援日２．０・夜０．５・通訳・盲ろう・区４</t>
  </si>
  <si>
    <t>同援日２．０・夜０．５・通訳・２人・区４</t>
  </si>
  <si>
    <t>同援日２．０・夜０．５・通訳・区４</t>
  </si>
  <si>
    <t>同援日２．０・夜０．５・通訳・２人・盲ろう・区３</t>
  </si>
  <si>
    <t>同援日２．０・夜０．５・通訳・盲ろう・区３</t>
  </si>
  <si>
    <t>同援日２．０・夜０．５・通訳・２人・区３</t>
  </si>
  <si>
    <t>同援日２．０・夜０．５・通訳・区３</t>
  </si>
  <si>
    <t>同援日２．０・夜０．５・通訳・２人・盲ろう</t>
  </si>
  <si>
    <t>同援日２．０・夜０．５・通訳・盲ろう</t>
  </si>
  <si>
    <t>同援日２．０・夜０．５・通訳・２人</t>
  </si>
  <si>
    <t>同援日２．０・夜０．５・通訳</t>
  </si>
  <si>
    <t>同援日１．５・夜１．５・通訳・２人・盲ろう・区４</t>
  </si>
  <si>
    <t>同援日１．５・夜１．５・通訳・盲ろう・区４</t>
  </si>
  <si>
    <t>同援日１．５・夜１．５・通訳・２人・区４</t>
  </si>
  <si>
    <t>同援日１．５・夜１．５・通訳・区４</t>
  </si>
  <si>
    <t>同援日１．５・夜１．５・通訳・２人・盲ろう・区３</t>
  </si>
  <si>
    <t>同援日１．５・夜１．５・通訳・盲ろう・区３</t>
  </si>
  <si>
    <t>同援日１．５・夜１．５・通訳・２人・区３</t>
  </si>
  <si>
    <t>同援日１．５・夜１．５・通訳・区３</t>
  </si>
  <si>
    <t>同援日１．５・夜１．５・通訳・２人・盲ろう</t>
  </si>
  <si>
    <t>同援日１．５・夜１．５・通訳・盲ろう</t>
  </si>
  <si>
    <t>同援日１．５・夜１．５・通訳・２人</t>
  </si>
  <si>
    <t>同援日１．５・夜１．５・通訳</t>
  </si>
  <si>
    <t>同援日１．５・夜１．０・通訳・２人・盲ろう・区４</t>
  </si>
  <si>
    <t>同援日１．５・夜１．０・通訳・盲ろう・区４</t>
  </si>
  <si>
    <t>同援日１．５・夜１．０・通訳・２人・区４</t>
  </si>
  <si>
    <t>同援日１．５・夜１．０・通訳・区４</t>
  </si>
  <si>
    <t>同援日１．５・夜１．０・通訳・２人・盲ろう・区３</t>
  </si>
  <si>
    <t>同援日１．５・夜１．０・通訳・盲ろう・区３</t>
  </si>
  <si>
    <t>同援日１．５・夜１．０・通訳・２人・区３</t>
  </si>
  <si>
    <t>同援日１．５・夜１．０・通訳・区３</t>
  </si>
  <si>
    <t>同援日１．５・夜１．０・通訳・２人・盲ろう</t>
  </si>
  <si>
    <t>同援日１．５・夜１．０・通訳・盲ろう</t>
  </si>
  <si>
    <t>同援日１．５・夜１．０・通訳・２人</t>
  </si>
  <si>
    <t>同援日１．５・夜１．０・通訳</t>
  </si>
  <si>
    <t>同援日１．５・夜０．５・通訳・２人・盲ろう・区４</t>
  </si>
  <si>
    <t>同援日１．５・夜０．５・通訳・盲ろう・区４</t>
  </si>
  <si>
    <t>同援日１．５・夜０．５・通訳・２人・区４</t>
  </si>
  <si>
    <t>同援日１．５・夜０．５・通訳・区４</t>
  </si>
  <si>
    <t>同援日１．５・夜０．５・通訳・２人・盲ろう・区３</t>
  </si>
  <si>
    <t>同援日１．５・夜０．５・通訳・盲ろう・区３</t>
  </si>
  <si>
    <t>同援日１．５・夜０．５・通訳・２人・区３</t>
  </si>
  <si>
    <t>同援日１．５・夜０．５・通訳・区３</t>
  </si>
  <si>
    <t>同援日１．５・夜０．５・通訳・２人・盲ろう</t>
  </si>
  <si>
    <t>同援日１．５・夜０．５・通訳・盲ろう</t>
  </si>
  <si>
    <t>同援日１．５・夜０．５・通訳・２人</t>
  </si>
  <si>
    <t>同援日１．５・夜０．５・通訳</t>
  </si>
  <si>
    <t>同援日１．０・夜２．０・通訳・２人・盲ろう・区４</t>
  </si>
  <si>
    <t>同援日１．０・夜２．０・通訳・盲ろう・区４</t>
  </si>
  <si>
    <t>同援日１．０・夜２．０・通訳・２人・区４</t>
  </si>
  <si>
    <t>同援日１．０・夜２．０・通訳・区４</t>
  </si>
  <si>
    <t>同援日１．０・夜２．０・通訳・２人・盲ろう・区３</t>
  </si>
  <si>
    <t>同援日１．０・夜２．０・通訳・盲ろう・区３</t>
  </si>
  <si>
    <t>同援日１．０・夜２．０・通訳・２人・区３</t>
  </si>
  <si>
    <t>同援日１．０・夜２．０・通訳・区３</t>
  </si>
  <si>
    <t>同援日１．０・夜２．０・通訳・２人・盲ろう</t>
  </si>
  <si>
    <t>同援日１．０・夜２．０・通訳・盲ろう</t>
  </si>
  <si>
    <t>同援日１．０・夜２．０・通訳・２人</t>
  </si>
  <si>
    <t>同援日１．０・夜２．０・通訳</t>
  </si>
  <si>
    <t>同援日１．０・夜１．５・通訳・２人・盲ろう・区４</t>
  </si>
  <si>
    <t>同援日１．０・夜１．５・通訳・盲ろう・区４</t>
  </si>
  <si>
    <t>同援日１．０・夜１．５・通訳・２人・区４</t>
  </si>
  <si>
    <t>同援日１．０・夜１．５・通訳・区４</t>
  </si>
  <si>
    <t>同援日１．０・夜１．５・通訳・２人・盲ろう・区３</t>
  </si>
  <si>
    <t>同援日１．０・夜１．５・通訳・盲ろう・区３</t>
  </si>
  <si>
    <t>同援日１．０・夜１．５・通訳・２人・区３</t>
  </si>
  <si>
    <t>同援日１．０・夜１．５・通訳・区３</t>
  </si>
  <si>
    <t>同援日１．０・夜１．５・通訳・２人・盲ろう</t>
  </si>
  <si>
    <t>同援日１．０・夜１．５・通訳・盲ろう</t>
  </si>
  <si>
    <t>同援日１．０・夜１．５・通訳・２人</t>
  </si>
  <si>
    <t>同援日１．０・夜１．５・通訳</t>
  </si>
  <si>
    <t>同援日１．０・夜１．０・通訳・２人・盲ろう・区４</t>
  </si>
  <si>
    <t>同援日１．０・夜１．０・通訳・盲ろう・区４</t>
  </si>
  <si>
    <t>同援日１．０・夜１．０・通訳・２人・区４</t>
  </si>
  <si>
    <t>同援日１．０・夜１．０・通訳・区４</t>
  </si>
  <si>
    <t>同援日１．０・夜１．０・通訳・２人・盲ろう・区３</t>
  </si>
  <si>
    <t>同援日１．０・夜１．０・通訳・盲ろう・区３</t>
  </si>
  <si>
    <t>同援日１．０・夜１．０・通訳・２人・区３</t>
  </si>
  <si>
    <t>同援日１．０・夜１．０・通訳・区３</t>
  </si>
  <si>
    <t>同援日１．０・夜１．０・通訳・２人・盲ろう</t>
  </si>
  <si>
    <t>同援日１．０・夜１．０・通訳・盲ろう</t>
  </si>
  <si>
    <t>同援日１．０・夜１．０・通訳・２人</t>
  </si>
  <si>
    <t>同援日１．０・夜１．０・通訳</t>
  </si>
  <si>
    <t>同援日１．０・夜０．５・通訳・２人・盲ろう・区４</t>
  </si>
  <si>
    <t>同援日１．０・夜０．５・通訳・盲ろう・区４</t>
  </si>
  <si>
    <t>同援日１．０・夜０．５・通訳・２人・区４</t>
  </si>
  <si>
    <t>同援日１．０・夜０．５・通訳・区４</t>
  </si>
  <si>
    <t>同援日１．０・夜０．５・通訳・２人・盲ろう・区３</t>
  </si>
  <si>
    <t>同援日１．０・夜０．５・通訳・盲ろう・区３</t>
  </si>
  <si>
    <t>同援日１．０・夜０．５・通訳・２人・区３</t>
  </si>
  <si>
    <t>同援日１．０・夜０．５・通訳・区３</t>
  </si>
  <si>
    <t>同援日１．０・夜０．５・通訳・２人・盲ろう</t>
  </si>
  <si>
    <t>同援日１．０・夜０．５・通訳・盲ろう</t>
  </si>
  <si>
    <t>同援日１．０・夜０．５・通訳・２人</t>
  </si>
  <si>
    <t>同援日１．０・夜０．５・通訳</t>
  </si>
  <si>
    <t>同援日０．５・夜２．５・通訳・２人・盲ろう・区４</t>
  </si>
  <si>
    <t>同援日０．５・夜２．５・通訳・盲ろう・区４</t>
  </si>
  <si>
    <t>同援日０．５・夜２．５・通訳・２人・区４</t>
  </si>
  <si>
    <t>同援日０．５・夜２．５・通訳・区４</t>
  </si>
  <si>
    <t>同援日０．５・夜２．５・通訳・２人・盲ろう・区３</t>
  </si>
  <si>
    <t>同援日０．５・夜２．５・通訳・盲ろう・区３</t>
  </si>
  <si>
    <t>同援日０．５・夜２．５・通訳・２人・区３</t>
  </si>
  <si>
    <t>同援日０．５・夜２．５・通訳・区３</t>
  </si>
  <si>
    <t>同援日０．５・夜２．５・通訳・２人・盲ろう</t>
  </si>
  <si>
    <t>同援日０．５・夜２．５・通訳・盲ろう</t>
  </si>
  <si>
    <t>同援日０．５・夜２．５・通訳・２人</t>
  </si>
  <si>
    <t>同援日０．５・夜２．５・通訳</t>
  </si>
  <si>
    <t>同援日０．５・夜２．０・通訳・２人・盲ろう・区４</t>
  </si>
  <si>
    <t>同援日０．５・夜２．０・通訳・盲ろう・区４</t>
  </si>
  <si>
    <t>同援日０．５・夜２．０・通訳・２人・区４</t>
  </si>
  <si>
    <t>同援日０．５・夜２．０・通訳・区４</t>
  </si>
  <si>
    <t>同援日０．５・夜２．０・通訳・２人・盲ろう・区３</t>
  </si>
  <si>
    <t>同援日０．５・夜２．０・通訳・盲ろう・区３</t>
  </si>
  <si>
    <t>同援日０．５・夜２．０・通訳・２人・区３</t>
  </si>
  <si>
    <t>同援日０．５・夜２．０・通訳・区３</t>
  </si>
  <si>
    <t>同援日０．５・夜２．０・通訳・２人・盲ろう</t>
  </si>
  <si>
    <t>同援日０．５・夜２．０・通訳・盲ろう</t>
  </si>
  <si>
    <t>同援日０．５・夜２．０・通訳・２人</t>
  </si>
  <si>
    <t>同援日０．５・夜２．０・通訳</t>
  </si>
  <si>
    <t>同援日０．５・夜１．５・通訳・２人・盲ろう・区４</t>
  </si>
  <si>
    <t>同援日０．５・夜１．５・通訳・盲ろう・区４</t>
  </si>
  <si>
    <t>同援日０．５・夜１．５・通訳・２人・区４</t>
  </si>
  <si>
    <t>同援日０．５・夜１．５・通訳・区４</t>
  </si>
  <si>
    <t>同援日０．５・夜１．５・通訳・２人・盲ろう・区３</t>
  </si>
  <si>
    <t>同援日０．５・夜１．５・通訳・盲ろう・区３</t>
  </si>
  <si>
    <t>同援日０．５・夜１．５・通訳・２人・区３</t>
  </si>
  <si>
    <t>同援日０．５・夜１．５・通訳・区３</t>
  </si>
  <si>
    <t>同援日０．５・夜１．５・通訳・２人・盲ろう</t>
  </si>
  <si>
    <t>同援日０．５・夜１．５・通訳・盲ろう</t>
  </si>
  <si>
    <t>同援日０．５・夜１．５・通訳・２人</t>
  </si>
  <si>
    <t>同援日０．５・夜１．５・通訳</t>
  </si>
  <si>
    <t>同援日０．５・夜１．０・通訳・２人・盲ろう・区４</t>
  </si>
  <si>
    <t>同援日０．５・夜１．０・通訳・盲ろう・区４</t>
  </si>
  <si>
    <t>同援日０．５・夜１．０・通訳・２人・区４</t>
  </si>
  <si>
    <t>同援日０．５・夜１．０・通訳・区４</t>
  </si>
  <si>
    <t>同援日０．５・夜１．０・通訳・２人・盲ろう・区３</t>
  </si>
  <si>
    <t>同援日０．５・夜１．０・通訳・盲ろう・区３</t>
  </si>
  <si>
    <t>同援日０．５・夜１．０・通訳・２人・区３</t>
  </si>
  <si>
    <t>同援日０．５・夜１．０・通訳・区３</t>
  </si>
  <si>
    <t>同援日０．５・夜１．０・通訳・２人・盲ろう</t>
  </si>
  <si>
    <t>同援日０．５・夜１．０・通訳・盲ろう</t>
  </si>
  <si>
    <t>同援日０．５・夜１．０・通訳・２人</t>
  </si>
  <si>
    <t>同援日０．５・夜１．０・通訳</t>
  </si>
  <si>
    <t>同援日０．５・夜０．５・通訳・２人・盲ろう・区４</t>
  </si>
  <si>
    <t>同援日０．５・夜０．５・通訳・盲ろう・区４</t>
  </si>
  <si>
    <t>同援日０．５・夜０．５・通訳・２人・区４</t>
  </si>
  <si>
    <t>同援日０．５・夜０．５・通訳・区４</t>
  </si>
  <si>
    <t>同援日０．５・夜０．５・通訳・２人・盲ろう・区３</t>
  </si>
  <si>
    <t>同援日０．５・夜０．５・通訳・盲ろう・区３</t>
  </si>
  <si>
    <t>同援日０．５・夜０．５・通訳・２人・区３</t>
  </si>
  <si>
    <t>同援日０．５・夜０．５・通訳・区３</t>
  </si>
  <si>
    <t>同援日０．５・夜０．５・通訳・２人・盲ろう</t>
  </si>
  <si>
    <t>同援日０．５・夜０．５・通訳・盲ろう</t>
  </si>
  <si>
    <t>同援日０．５・夜０．５・通訳・２人</t>
  </si>
  <si>
    <t>同援日０．５・夜０．５・通訳</t>
  </si>
  <si>
    <t>同援夜２．５・深０．５・通訳・２人・盲ろう・区４</t>
  </si>
  <si>
    <t>同援夜２．５・深０．５・通訳・盲ろう・区４</t>
  </si>
  <si>
    <t>同援夜２．５・深０．５・通訳・２人・区４</t>
  </si>
  <si>
    <t>同援夜２．５・深０．５・通訳・区４</t>
  </si>
  <si>
    <t>同援夜２．５・深０．５・通訳・２人・盲ろう・区３</t>
  </si>
  <si>
    <t>同援夜２．５・深０．５・通訳・盲ろう・区３</t>
  </si>
  <si>
    <t>同援夜２．５・深０．５・通訳・２人・区３</t>
  </si>
  <si>
    <t>同援夜２．５・深０．５・通訳・区３</t>
  </si>
  <si>
    <t>同援夜２．５・深０．５・通訳・２人・盲ろう</t>
  </si>
  <si>
    <t>同援夜２．５・深０．５・通訳・盲ろう</t>
  </si>
  <si>
    <t>同援夜２．５・深０．５・通訳・２人</t>
  </si>
  <si>
    <t>同援夜２．５・深０．５・通訳</t>
  </si>
  <si>
    <t>同援夜２．０・深１．０・通訳・２人・盲ろう・区４</t>
  </si>
  <si>
    <t>同援夜２．０・深１．０・通訳・盲ろう・区４</t>
  </si>
  <si>
    <t>同援夜２．０・深１．０・通訳・２人・区４</t>
  </si>
  <si>
    <t>同援夜２．０・深１．０・通訳・区４</t>
  </si>
  <si>
    <t>同援夜２．０・深１．０・通訳・２人・盲ろう・区３</t>
  </si>
  <si>
    <t>同援夜２．０・深１．０・通訳・盲ろう・区３</t>
  </si>
  <si>
    <t>同援夜２．０・深１．０・通訳・２人・区３</t>
  </si>
  <si>
    <t>同援夜２．０・深１．０・通訳・区３</t>
  </si>
  <si>
    <t>同援夜２．０・深１．０・通訳・２人・盲ろう</t>
  </si>
  <si>
    <t>同援夜２．０・深１．０・通訳・盲ろう</t>
  </si>
  <si>
    <t>同援夜２．０・深１．０・通訳・２人</t>
  </si>
  <si>
    <t>同援夜２．０・深１．０・通訳</t>
  </si>
  <si>
    <t>同援夜２．０・深０．５・通訳・２人・盲ろう・区４</t>
  </si>
  <si>
    <t>同援夜２．０・深０．５・通訳・盲ろう・区４</t>
  </si>
  <si>
    <t>同援夜２．０・深０．５・通訳・２人・区４</t>
  </si>
  <si>
    <t>同援夜２．０・深０．５・通訳・区４</t>
  </si>
  <si>
    <t>同援夜２．０・深０．５・通訳・２人・盲ろう・区３</t>
  </si>
  <si>
    <t>同援夜２．０・深０．５・通訳・盲ろう・区３</t>
  </si>
  <si>
    <t>同援夜２．０・深０．５・通訳・２人・区３</t>
  </si>
  <si>
    <t>同援夜２．０・深０．５・通訳・区３</t>
  </si>
  <si>
    <t>同援夜２．０・深０．５・通訳・２人・盲ろう</t>
  </si>
  <si>
    <t>同援夜２．０・深０．５・通訳・盲ろう</t>
  </si>
  <si>
    <t>同援夜２．０・深０．５・通訳・２人</t>
  </si>
  <si>
    <t>同援夜２．０・深０．５・通訳</t>
  </si>
  <si>
    <t>同援夜１．５・深１．５・通訳・２人・盲ろう・区４</t>
  </si>
  <si>
    <t>同援夜１．５・深１．５・通訳・盲ろう・区４</t>
  </si>
  <si>
    <t>同援夜１．５・深１．５・通訳・２人・区４</t>
  </si>
  <si>
    <t>同援夜１．５・深１．５・通訳・区４</t>
  </si>
  <si>
    <t>同援夜１．５・深１．５・通訳・２人・盲ろう・区３</t>
  </si>
  <si>
    <t>同援夜１．５・深１．５・通訳・盲ろう・区３</t>
  </si>
  <si>
    <t>同援夜１．５・深１．５・通訳・２人・区３</t>
  </si>
  <si>
    <t>同援夜１．５・深１．５・通訳・区３</t>
  </si>
  <si>
    <t>同援夜１．５・深１．５・通訳・２人・盲ろう</t>
  </si>
  <si>
    <t>同援夜１．５・深１．５・通訳・盲ろう</t>
  </si>
  <si>
    <t>同援夜１．５・深１．５・通訳・２人</t>
  </si>
  <si>
    <t>同援夜１．５・深１．５・通訳</t>
  </si>
  <si>
    <t>同援夜１．５・深１．０・通訳・２人・盲ろう・区４</t>
  </si>
  <si>
    <t>同援夜１．５・深１．０・通訳・盲ろう・区４</t>
  </si>
  <si>
    <t>同援夜１．５・深１．０・通訳・２人・区４</t>
  </si>
  <si>
    <t>同援夜１．５・深１．０・通訳・区４</t>
  </si>
  <si>
    <t>同援夜１．５・深１．０・通訳・２人・盲ろう・区３</t>
  </si>
  <si>
    <t>同援夜１．５・深１．０・通訳・盲ろう・区３</t>
  </si>
  <si>
    <t>同援夜１．５・深１．０・通訳・２人・区３</t>
  </si>
  <si>
    <t>同援夜１．５・深１．０・通訳・区３</t>
  </si>
  <si>
    <t>同援夜１．５・深１．０・通訳・２人・盲ろう</t>
  </si>
  <si>
    <t>同援夜１．５・深１．０・通訳・盲ろう</t>
  </si>
  <si>
    <t>同援夜１．５・深１．０・通訳・２人</t>
  </si>
  <si>
    <t>同援夜１．５・深１．０・通訳</t>
  </si>
  <si>
    <t>同援夜１．５・深０．５・通訳・２人・盲ろう・区４</t>
  </si>
  <si>
    <t>同援夜１．５・深０．５・通訳・盲ろう・区４</t>
  </si>
  <si>
    <t>同援夜１．５・深０．５・通訳・２人・区４</t>
  </si>
  <si>
    <t>同援夜１．５・深０．５・通訳・区４</t>
  </si>
  <si>
    <t>同援夜１．５・深０．５・通訳・２人・盲ろう・区３</t>
  </si>
  <si>
    <t>同援夜１．５・深０．５・通訳・盲ろう・区３</t>
  </si>
  <si>
    <t>同援夜１．５・深０．５・通訳・２人・区３</t>
  </si>
  <si>
    <t>同援夜１．５・深０．５・通訳・区３</t>
  </si>
  <si>
    <t>同援夜１．５・深０．５・通訳・２人・盲ろう</t>
  </si>
  <si>
    <t>同援夜１．５・深０．５・通訳・盲ろう</t>
  </si>
  <si>
    <t>同援夜１．５・深０．５・通訳・２人</t>
  </si>
  <si>
    <t>同援夜１．５・深０．５・通訳</t>
  </si>
  <si>
    <t>同援夜１．０・深２．０・通訳・２人・盲ろう・区４</t>
  </si>
  <si>
    <t>同援夜１．０・深２．０・通訳・盲ろう・区４</t>
  </si>
  <si>
    <t>同援夜１．０・深２．０・通訳・２人・区４</t>
  </si>
  <si>
    <t>同援夜１．０・深２．０・通訳・区４</t>
  </si>
  <si>
    <t>同援夜１．０・深２．０・通訳・２人・盲ろう・区３</t>
  </si>
  <si>
    <t>同援夜１．０・深２．０・通訳・盲ろう・区３</t>
  </si>
  <si>
    <t>同援夜１．０・深２．０・通訳・２人・区３</t>
  </si>
  <si>
    <t>同援夜１．０・深２．０・通訳・区３</t>
  </si>
  <si>
    <t>同援夜１．０・深２．０・通訳・２人・盲ろう</t>
  </si>
  <si>
    <t>同援夜１．０・深２．０・通訳・盲ろう</t>
  </si>
  <si>
    <t>同援夜１．０・深２．０・通訳・２人</t>
  </si>
  <si>
    <t>同援夜１．０・深２．０・通訳</t>
  </si>
  <si>
    <t>同援夜１．０・深１．５・通訳・２人・盲ろう・区４</t>
  </si>
  <si>
    <t>同援夜１．０・深１．５・通訳・盲ろう・区４</t>
  </si>
  <si>
    <t>同援夜１．０・深１．５・通訳・２人・区４</t>
  </si>
  <si>
    <t>同援夜１．０・深１．５・通訳・区４</t>
  </si>
  <si>
    <t>同援夜１．０・深１．５・通訳・２人・盲ろう・区３</t>
  </si>
  <si>
    <t>同援夜１．０・深１．５・通訳・盲ろう・区３</t>
  </si>
  <si>
    <t>同援夜１．０・深１．５・通訳・２人・区３</t>
  </si>
  <si>
    <t>同援夜１．０・深１．５・通訳・区３</t>
  </si>
  <si>
    <t>同援夜１．０・深１．５・通訳・２人・盲ろう</t>
  </si>
  <si>
    <t>同援夜１．０・深１．５・通訳・盲ろう</t>
  </si>
  <si>
    <t>同援夜１．０・深１．５・通訳・２人</t>
  </si>
  <si>
    <t>同援夜１．０・深１．５・通訳</t>
  </si>
  <si>
    <t>同援夜１．０・深１．０・通訳・２人・盲ろう・区４</t>
  </si>
  <si>
    <t>同援夜１．０・深１．０・通訳・盲ろう・区４</t>
  </si>
  <si>
    <t>同援夜１．０・深１．０・通訳・２人・区４</t>
  </si>
  <si>
    <t>同援夜１．０・深１．０・通訳・区４</t>
  </si>
  <si>
    <t>同援夜１．０・深１．０・通訳・２人・盲ろう・区３</t>
  </si>
  <si>
    <t>同援夜１．０・深１．０・通訳・盲ろう・区３</t>
  </si>
  <si>
    <t>同援夜１．０・深１．０・通訳・２人・区３</t>
  </si>
  <si>
    <t>同援夜１．０・深１．０・通訳・区３</t>
  </si>
  <si>
    <t>同援夜１．０・深１．０・通訳・２人・盲ろう</t>
  </si>
  <si>
    <t>同援夜１．０・深１．０・通訳・盲ろう</t>
  </si>
  <si>
    <t>同援夜１．０・深１．０・通訳・２人</t>
  </si>
  <si>
    <t>同援夜１．０・深１．０・通訳</t>
  </si>
  <si>
    <t>同援夜１．０・深０．５・通訳・２人・盲ろう・区４</t>
  </si>
  <si>
    <t>同援夜１．０・深０．５・通訳・盲ろう・区４</t>
  </si>
  <si>
    <t>同援夜１．０・深０．５・通訳・２人・区４</t>
  </si>
  <si>
    <t>同援夜１．０・深０．５・通訳・区４</t>
  </si>
  <si>
    <t>同援夜１．０・深０．５・通訳・２人・盲ろう・区３</t>
  </si>
  <si>
    <t>同援夜１．０・深０．５・通訳・盲ろう・区３</t>
  </si>
  <si>
    <t>同援夜１．０・深０．５・通訳・２人・区３</t>
  </si>
  <si>
    <t>同援夜１．０・深０．５・通訳・区３</t>
  </si>
  <si>
    <t>同援夜１．０・深０．５・通訳・２人・盲ろう</t>
  </si>
  <si>
    <t>同援夜１．０・深０．５・通訳・盲ろう</t>
  </si>
  <si>
    <t>同援夜１．０・深０．５・通訳・２人</t>
  </si>
  <si>
    <t>同援夜１．０・深０．５・通訳</t>
  </si>
  <si>
    <t>同援夜０．５・深２．５・通訳・２人・盲ろう・区４</t>
  </si>
  <si>
    <t>同援夜０．５・深２．５・通訳・盲ろう・区４</t>
  </si>
  <si>
    <t>同援夜０．５・深２．５・通訳・２人・区４</t>
  </si>
  <si>
    <t>同援夜０．５・深２．５・通訳・区４</t>
  </si>
  <si>
    <t>同援夜０．５・深２．５・通訳・２人・盲ろう・区３</t>
  </si>
  <si>
    <t>同援夜０．５・深２．５・通訳・盲ろう・区３</t>
  </si>
  <si>
    <t>同援夜０．５・深２．５・通訳・２人・区３</t>
  </si>
  <si>
    <t>同援夜０．５・深２．５・通訳・区３</t>
  </si>
  <si>
    <t>同援夜０．５・深２．５・通訳・２人・盲ろう</t>
  </si>
  <si>
    <t>同援夜０．５・深２．５・通訳・盲ろう</t>
  </si>
  <si>
    <t>同援夜０．５・深２．５・通訳・２人</t>
  </si>
  <si>
    <t>同援夜０．５・深２．５・通訳</t>
  </si>
  <si>
    <t>同援夜０．５・深２．０・通訳・２人・盲ろう・区４</t>
  </si>
  <si>
    <t>同援夜０．５・深２．０・通訳・盲ろう・区４</t>
  </si>
  <si>
    <t>同援夜０．５・深２．０・通訳・２人・区４</t>
  </si>
  <si>
    <t>同援夜０．５・深２．０・通訳・区４</t>
  </si>
  <si>
    <t>同援夜０．５・深２．０・通訳・２人・盲ろう・区３</t>
  </si>
  <si>
    <t>同援夜０．５・深２．０・通訳・盲ろう・区３</t>
  </si>
  <si>
    <t>同援夜０．５・深２．０・通訳・２人・区３</t>
  </si>
  <si>
    <t>同援夜０．５・深２．０・通訳・区３</t>
  </si>
  <si>
    <t>同援夜０．５・深２．０・通訳・２人・盲ろう</t>
  </si>
  <si>
    <t>同援夜０．５・深２．０・通訳・盲ろう</t>
  </si>
  <si>
    <t>同援夜０．５・深２．０・通訳・２人</t>
  </si>
  <si>
    <t>同援夜０．５・深２．０・通訳</t>
  </si>
  <si>
    <t>同援夜０．５・深１．５・通訳・２人・盲ろう・区４</t>
  </si>
  <si>
    <t>同援夜０．５・深１．５・通訳・盲ろう・区４</t>
  </si>
  <si>
    <t>同援夜０．５・深１．５・通訳・２人・区４</t>
  </si>
  <si>
    <t>同援夜０．５・深１．５・通訳・区４</t>
  </si>
  <si>
    <t>同援夜０．５・深１．５・通訳・２人・盲ろう・区３</t>
  </si>
  <si>
    <t>同援夜０．５・深１．５・通訳・盲ろう・区３</t>
  </si>
  <si>
    <t>同援夜０．５・深１．５・通訳・２人・区３</t>
  </si>
  <si>
    <t>同援夜０．５・深１．５・通訳・区３</t>
  </si>
  <si>
    <t>同援夜０．５・深１．５・通訳・２人・盲ろう</t>
  </si>
  <si>
    <t>同援夜０．５・深１．５・通訳・盲ろう</t>
  </si>
  <si>
    <t>同援夜０．５・深１．５・通訳・２人</t>
  </si>
  <si>
    <t>同援夜０．５・深１．５・通訳</t>
  </si>
  <si>
    <t>同援夜０．５・深１．０・通訳・２人・盲ろう・区４</t>
  </si>
  <si>
    <t>同援夜０．５・深１．０・通訳・盲ろう・区４</t>
  </si>
  <si>
    <t>同援夜０．５・深１．０・通訳・２人・区４</t>
  </si>
  <si>
    <t>同援夜０．５・深１．０・通訳・区４</t>
  </si>
  <si>
    <t>同援夜０．５・深１．０・通訳・２人・盲ろう・区３</t>
  </si>
  <si>
    <t>同援夜０．５・深１．０・通訳・盲ろう・区３</t>
  </si>
  <si>
    <t>同援夜０．５・深１．０・通訳・２人・区３</t>
  </si>
  <si>
    <t>同援夜０．５・深１．０・通訳・区３</t>
  </si>
  <si>
    <t>同援夜０．５・深１．０・通訳・２人・盲ろう</t>
  </si>
  <si>
    <t>同援夜０．５・深１．０・通訳・盲ろう</t>
  </si>
  <si>
    <t>同援夜０．５・深１．０・通訳・２人</t>
  </si>
  <si>
    <t>同援夜０．５・深１．０・通訳</t>
  </si>
  <si>
    <t>同援夜０．５・深０．５・通訳・２人・盲ろう・区４</t>
  </si>
  <si>
    <t>同援夜０．５・深０．５・通訳・盲ろう・区４</t>
  </si>
  <si>
    <t>同援夜０．５・深０．５・通訳・２人・区４</t>
  </si>
  <si>
    <t>同援夜０．５・深０．５・通訳・区４</t>
  </si>
  <si>
    <t>同援夜０．５・深０．５・通訳・２人・盲ろう・区３</t>
  </si>
  <si>
    <t>同援夜０．５・深０．５・通訳・盲ろう・区３</t>
  </si>
  <si>
    <t>同援夜０．５・深０．５・通訳・２人・区３</t>
  </si>
  <si>
    <t>同援夜０．５・深０．５・通訳・区３</t>
  </si>
  <si>
    <t>同援夜０．５・深０．５・通訳・２人・盲ろう</t>
  </si>
  <si>
    <t>同援夜０．５・深０．５・通訳・盲ろう</t>
  </si>
  <si>
    <t>同援夜０．５・深０．５・通訳・２人</t>
  </si>
  <si>
    <t>同援夜０．５・深０．５・通訳</t>
  </si>
  <si>
    <t>同援日跨増深２．５・深０．５・通訳・２人・盲ろう・区４</t>
  </si>
  <si>
    <t>同援日跨増深２．５・深０．５・通訳・盲ろう・区４</t>
  </si>
  <si>
    <t>同援日跨増深２．５・深０．５・通訳・２人・区４</t>
  </si>
  <si>
    <t>同援日跨増深２．５・深０．５・通訳・区４</t>
  </si>
  <si>
    <t>同援日跨増深２．５・深０．５・通訳・２人・盲ろう・区３</t>
  </si>
  <si>
    <t>同援日跨増深２．５・深０．５・通訳・盲ろう・区３</t>
  </si>
  <si>
    <t>同援日跨増深２．５・深０．５・通訳・２人・区３</t>
  </si>
  <si>
    <t>同援日跨増深２．５・深０．５・通訳・区３</t>
  </si>
  <si>
    <t>同援日跨増深２．５・深０．５・通訳・２人・盲ろう</t>
  </si>
  <si>
    <t>同援日跨増深２．５・深０．５・通訳・盲ろう</t>
  </si>
  <si>
    <t>同援日跨増深２．５・深０．５・通訳・２人</t>
  </si>
  <si>
    <t>同援日跨増深２．５・深０．５・通訳</t>
  </si>
  <si>
    <t>同援日跨増深２．０・深１．０・通訳・２人・盲ろう・区４</t>
  </si>
  <si>
    <t>同援日跨増深２．０・深１．０・通訳・盲ろう・区４</t>
  </si>
  <si>
    <t>同援日跨増深２．０・深１．０・通訳・２人・区４</t>
  </si>
  <si>
    <t>同援日跨増深２．０・深１．０・通訳・区４</t>
  </si>
  <si>
    <t>同援日跨増深２．０・深１．０・通訳・２人・盲ろう・区３</t>
  </si>
  <si>
    <t>同援日跨増深２．０・深１．０・通訳・盲ろう・区３</t>
  </si>
  <si>
    <t>同援日跨増深２．０・深１．０・通訳・２人・区３</t>
  </si>
  <si>
    <t>同援日跨増深２．０・深１．０・通訳・区３</t>
  </si>
  <si>
    <t>同援日跨増深２．０・深１．０・通訳・２人・盲ろう</t>
  </si>
  <si>
    <t>同援日跨増深２．０・深１．０・通訳・盲ろう</t>
  </si>
  <si>
    <t>同援日跨増深２．０・深１．０・通訳・２人</t>
  </si>
  <si>
    <t>同援日跨増深２．０・深１．０・通訳</t>
  </si>
  <si>
    <t>同援日跨増深２．０・深０．５・通訳・２人・盲ろう・区４</t>
  </si>
  <si>
    <t>同援日跨増深２．０・深０．５・通訳・盲ろう・区４</t>
  </si>
  <si>
    <t>同援日跨増深２．０・深０．５・通訳・２人・区４</t>
  </si>
  <si>
    <t>同援日跨増深２．０・深０．５・通訳・区４</t>
  </si>
  <si>
    <t>同援日跨増深２．０・深０．５・通訳・２人・盲ろう・区３</t>
  </si>
  <si>
    <t>同援日跨増深２．０・深０．５・通訳・盲ろう・区３</t>
  </si>
  <si>
    <t>同援日跨増深２．０・深０．５・通訳・２人・区３</t>
  </si>
  <si>
    <t>同援日跨増深２．０・深０．５・通訳・区３</t>
  </si>
  <si>
    <t>同援日跨増深２．０・深０．５・通訳・２人・盲ろう</t>
  </si>
  <si>
    <t>同援日跨増深２．０・深０．５・通訳・盲ろう</t>
  </si>
  <si>
    <t>同援日跨増深２．０・深０．５・通訳・２人</t>
  </si>
  <si>
    <t>同援日跨増深２．０・深０．５・通訳</t>
  </si>
  <si>
    <t>同援日跨増深１．５・深１．５・通訳・２人・盲ろう・区４</t>
  </si>
  <si>
    <t>同援日跨増深１．５・深１．５・通訳・盲ろう・区４</t>
  </si>
  <si>
    <t>同援日跨増深１．５・深１．５・通訳・２人・区４</t>
  </si>
  <si>
    <t>同援日跨増深１．５・深１．５・通訳・区４</t>
  </si>
  <si>
    <t>同援日跨増深１．５・深１．５・通訳・２人・盲ろう・区３</t>
  </si>
  <si>
    <t>同援日跨増深１．５・深１．５・通訳・盲ろう・区３</t>
  </si>
  <si>
    <t>同援日跨増深１．５・深１．５・通訳・２人・区３</t>
  </si>
  <si>
    <t>同援日跨増深１．５・深１．５・通訳・区３</t>
  </si>
  <si>
    <t>同援日跨増深１．５・深１．５・通訳・２人・盲ろう</t>
  </si>
  <si>
    <t>同援日跨増深１．５・深１．５・通訳・盲ろう</t>
  </si>
  <si>
    <t>同援日跨増深１．５・深１．５・通訳・２人</t>
  </si>
  <si>
    <t>同援日跨増深１．５・深１．５・通訳</t>
  </si>
  <si>
    <t>同援日跨増深１．５・深１．０・通訳・２人・盲ろう・区４</t>
  </si>
  <si>
    <t>同援日跨増深１．５・深１．０・通訳・盲ろう・区４</t>
  </si>
  <si>
    <t>同援日跨増深１．５・深１．０・通訳・２人・区４</t>
  </si>
  <si>
    <t>同援日跨増深１．５・深１．０・通訳・区４</t>
  </si>
  <si>
    <t>同援日跨増深１．５・深１．０・通訳・２人・盲ろう・区３</t>
  </si>
  <si>
    <t>同援日跨増深１．５・深１．０・通訳・盲ろう・区３</t>
  </si>
  <si>
    <t>同援日跨増深１．５・深１．０・通訳・２人・区３</t>
  </si>
  <si>
    <t>同援日跨増深１．５・深１．０・通訳・区３</t>
  </si>
  <si>
    <t>同援日跨増深１．５・深１．０・通訳・２人・盲ろう</t>
  </si>
  <si>
    <t>同援日跨増深１．５・深１．０・通訳・盲ろう</t>
  </si>
  <si>
    <t>同援日跨増深１．５・深１．０・通訳・２人</t>
  </si>
  <si>
    <t>同援日跨増深１．５・深１．０・通訳</t>
  </si>
  <si>
    <t>同援日跨増深１．５・深０．５・通訳・２人・盲ろう・区４</t>
  </si>
  <si>
    <t>同援日跨増深１．５・深０．５・通訳・盲ろう・区４</t>
  </si>
  <si>
    <t>同援日跨増深１．５・深０．５・通訳・２人・区４</t>
  </si>
  <si>
    <t>同援日跨増深１．５・深０．５・通訳・区４</t>
  </si>
  <si>
    <t>同援日跨増深１．５・深０．５・通訳・２人・盲ろう・区３</t>
  </si>
  <si>
    <t>同援日跨増深１．５・深０．５・通訳・盲ろう・区３</t>
  </si>
  <si>
    <t>同援日跨増深１．５・深０．５・通訳・２人・区３</t>
  </si>
  <si>
    <t>同援日跨増深１．５・深０．５・通訳・区３</t>
  </si>
  <si>
    <t>同援日跨増深１．５・深０．５・通訳・２人・盲ろう</t>
  </si>
  <si>
    <t>同援日跨増深１．５・深０．５・通訳・盲ろう</t>
  </si>
  <si>
    <t>同援日跨増深１．５・深０．５・通訳・２人</t>
  </si>
  <si>
    <t>同援日跨増深１．５・深０．５・通訳</t>
  </si>
  <si>
    <t>同援日跨増深１．０・深２．０・通訳・２人・盲ろう・区４</t>
  </si>
  <si>
    <t>同援日跨増深１．０・深２．０・通訳・盲ろう・区４</t>
  </si>
  <si>
    <t>同援日跨増深１．０・深２．０・通訳・２人・区４</t>
  </si>
  <si>
    <t>同援日跨増深１．０・深２．０・通訳・区４</t>
  </si>
  <si>
    <t>同援日跨増深１．０・深２．０・通訳・２人・盲ろう・区３</t>
  </si>
  <si>
    <t>同援日跨増深１．０・深２．０・通訳・盲ろう・区３</t>
  </si>
  <si>
    <t>同援日跨増深１．０・深２．０・通訳・２人・区３</t>
  </si>
  <si>
    <t>同援日跨増深１．０・深２．０・通訳・区３</t>
  </si>
  <si>
    <t>同援日跨増深１．０・深２．０・通訳・２人・盲ろう</t>
  </si>
  <si>
    <t>同援日跨増深１．０・深２．０・通訳・盲ろう</t>
  </si>
  <si>
    <t>同援日跨増深１．０・深２．０・通訳・２人</t>
  </si>
  <si>
    <t>同援日跨増深１．０・深２．０・通訳</t>
  </si>
  <si>
    <t>同援日跨増深１．０・深１．５・通訳・２人・盲ろう・区４</t>
  </si>
  <si>
    <t>同援日跨増深１．０・深１．５・通訳・盲ろう・区４</t>
  </si>
  <si>
    <t>同援日跨増深１．０・深１．５・通訳・２人・区４</t>
  </si>
  <si>
    <t>同援日跨増深１．０・深１．５・通訳・区４</t>
  </si>
  <si>
    <t>同援日跨増深１．０・深１．５・通訳・２人・盲ろう・区３</t>
  </si>
  <si>
    <t>同援日跨増深１．０・深１．５・通訳・盲ろう・区３</t>
  </si>
  <si>
    <t>同援日跨増深１．０・深１．５・通訳・２人・区３</t>
  </si>
  <si>
    <t>同援日跨増深１．０・深１．５・通訳・区３</t>
  </si>
  <si>
    <t>同援日跨増深１．０・深１．５・通訳・２人・盲ろう</t>
  </si>
  <si>
    <t>同援日跨増深１．０・深１．５・通訳・盲ろう</t>
  </si>
  <si>
    <t>同援日跨増深１．０・深１．５・通訳・２人</t>
  </si>
  <si>
    <t>同援日跨増深１．０・深１．５・通訳</t>
  </si>
  <si>
    <t>同援日跨増深１．０・深１．０・通訳・２人・盲ろう・区４</t>
  </si>
  <si>
    <t>同援日跨増深１．０・深１．０・通訳・盲ろう・区４</t>
  </si>
  <si>
    <t>同援日跨増深１．０・深１．０・通訳・２人・区４</t>
  </si>
  <si>
    <t>同援日跨増深１．０・深１．０・通訳・区４</t>
  </si>
  <si>
    <t>同援日跨増深１．０・深１．０・通訳・２人・盲ろう・区３</t>
  </si>
  <si>
    <t>同援日跨増深１．０・深１．０・通訳・盲ろう・区３</t>
  </si>
  <si>
    <t>同援日跨増深１．０・深１．０・通訳・２人・区３</t>
  </si>
  <si>
    <t>同援日跨増深１．０・深１．０・通訳・区３</t>
  </si>
  <si>
    <t>同援日跨増深１．０・深１．０・通訳・２人・盲ろう</t>
  </si>
  <si>
    <t>同援日跨増深１．０・深１．０・通訳・盲ろう</t>
  </si>
  <si>
    <t>同援日跨増深１．０・深１．０・通訳・２人</t>
  </si>
  <si>
    <t>同援日跨増深１．０・深１．０・通訳</t>
  </si>
  <si>
    <t>同援日跨増深１．０・深０．５・通訳・２人・盲ろう・区４</t>
  </si>
  <si>
    <t>同援日跨増深１．０・深０．５・通訳・盲ろう・区４</t>
  </si>
  <si>
    <t>同援日跨増深１．０・深０．５・通訳・２人・区４</t>
  </si>
  <si>
    <t>同援日跨増深１．０・深０．５・通訳・区４</t>
  </si>
  <si>
    <t>同援日跨増深１．０・深０．５・通訳・２人・盲ろう・区３</t>
  </si>
  <si>
    <t>同援日跨増深１．０・深０．５・通訳・盲ろう・区３</t>
  </si>
  <si>
    <t>同援日跨増深１．０・深０．５・通訳・２人・区３</t>
  </si>
  <si>
    <t>同援日跨増深１．０・深０．５・通訳・区３</t>
  </si>
  <si>
    <t>同援日跨増深１．０・深０．５・通訳・２人・盲ろう</t>
  </si>
  <si>
    <t>同援日跨増深１．０・深０．５・通訳・盲ろう</t>
  </si>
  <si>
    <t>同援日跨増深１．０・深０．５・通訳・２人</t>
  </si>
  <si>
    <t>同援日跨増深１．０・深０．５・通訳</t>
  </si>
  <si>
    <t>同援日跨増深０．５・深２．５・通訳・２人・盲ろう・区４</t>
  </si>
  <si>
    <t>同援日跨増深０．５・深２．５・通訳・盲ろう・区４</t>
  </si>
  <si>
    <t>同援日跨増深０．５・深２．５・通訳・２人・区４</t>
  </si>
  <si>
    <t>同援日跨増深０．５・深２．５・通訳・区４</t>
  </si>
  <si>
    <t>同援日跨増深０．５・深２．５・通訳・２人・盲ろう・区３</t>
  </si>
  <si>
    <t>同援日跨増深０．５・深２．５・通訳・盲ろう・区３</t>
  </si>
  <si>
    <t>同援日跨増深０．５・深２．５・通訳・２人・区３</t>
  </si>
  <si>
    <t>同援日跨増深０．５・深２．５・通訳・区３</t>
  </si>
  <si>
    <t>同援日跨増深０．５・深２．５・通訳・２人・盲ろう</t>
  </si>
  <si>
    <t>同援日跨増深０．５・深２．５・通訳・盲ろう</t>
  </si>
  <si>
    <t>同援日跨増深０．５・深２．５・通訳・２人</t>
  </si>
  <si>
    <t>同援日跨増深０．５・深２．５・通訳</t>
  </si>
  <si>
    <t>同援日跨増深０．５・深２．０・通訳・２人・盲ろう・区４</t>
  </si>
  <si>
    <t>同援日跨増深０．５・深２．０・通訳・盲ろう・区４</t>
  </si>
  <si>
    <t>同援日跨増深０．５・深２．０・通訳・２人・区４</t>
  </si>
  <si>
    <t>同援日跨増深０．５・深２．０・通訳・区４</t>
  </si>
  <si>
    <t>同援日跨増深０．５・深２．０・通訳・２人・盲ろう・区３</t>
  </si>
  <si>
    <t>同援日跨増深０．５・深２．０・通訳・盲ろう・区３</t>
  </si>
  <si>
    <t>同援日跨増深０．５・深２．０・通訳・２人・区３</t>
  </si>
  <si>
    <t>同援日跨増深０．５・深２．０・通訳・区３</t>
  </si>
  <si>
    <t>同援日跨増深０．５・深２．０・通訳・２人・盲ろう</t>
  </si>
  <si>
    <t>同援日跨増深０．５・深２．０・通訳・盲ろう</t>
  </si>
  <si>
    <t>同援日跨増深０．５・深２．０・通訳・２人</t>
  </si>
  <si>
    <t>同援日跨増深０．５・深２．０・通訳</t>
  </si>
  <si>
    <t>同援日跨増深０．５・深１．５・通訳・２人・盲ろう・区４</t>
  </si>
  <si>
    <t>同援日跨増深０．５・深１．５・通訳・盲ろう・区４</t>
  </si>
  <si>
    <t>同援日跨増深０．５・深１．５・通訳・２人・区４</t>
  </si>
  <si>
    <t>同援日跨増深０．５・深１．５・通訳・区４</t>
  </si>
  <si>
    <t>同援日跨増深０．５・深１．５・通訳・２人・盲ろう・区３</t>
  </si>
  <si>
    <t>同援日跨増深０．５・深１．５・通訳・盲ろう・区３</t>
  </si>
  <si>
    <t>同援日跨増深０．５・深１．５・通訳・２人・区３</t>
  </si>
  <si>
    <t>同援日跨増深０．５・深１．５・通訳・区３</t>
  </si>
  <si>
    <t>同援日跨増深０．５・深１．５・通訳・２人・盲ろう</t>
  </si>
  <si>
    <t>同援日跨増深０．５・深１．５・通訳・盲ろう</t>
  </si>
  <si>
    <t>同援日跨増深０．５・深１．５・通訳・２人</t>
  </si>
  <si>
    <t>同援日跨増深０．５・深１．５・通訳</t>
  </si>
  <si>
    <t>同援日跨増深０．５・深１．０・通訳・２人・盲ろう・区４</t>
  </si>
  <si>
    <t>同援日跨増深０．５・深１．０・通訳・盲ろう・区４</t>
  </si>
  <si>
    <t>同援日跨増深０．５・深１．０・通訳・２人・区４</t>
  </si>
  <si>
    <t>同援日跨増深０．５・深１．０・通訳・区４</t>
  </si>
  <si>
    <t>同援日跨増深０．５・深１．０・通訳・２人・盲ろう・区３</t>
  </si>
  <si>
    <t>同援日跨増深０．５・深１．０・通訳・盲ろう・区３</t>
  </si>
  <si>
    <t>同援日跨増深０．５・深１．０・通訳・２人・区３</t>
  </si>
  <si>
    <t>同援日跨増深０．５・深１．０・通訳・区３</t>
  </si>
  <si>
    <t>同援日跨増深０．５・深１．０・通訳・２人・盲ろう</t>
  </si>
  <si>
    <t>同援日跨増深０．５・深１．０・通訳・盲ろう</t>
  </si>
  <si>
    <t>同援日跨増深０．５・深１．０・通訳・２人</t>
  </si>
  <si>
    <t>同援日跨増深０．５・深１．０・通訳</t>
  </si>
  <si>
    <t>同援日跨増深０．５・深０．５・通訳・２人・盲ろう・区４</t>
  </si>
  <si>
    <t>同援日跨増深０．５・深０．５・通訳・盲ろう・区４</t>
  </si>
  <si>
    <t>同援日跨増深０．５・深０．５・通訳・２人・区４</t>
  </si>
  <si>
    <t>同援日跨増深０．５・深０．５・通訳・区４</t>
  </si>
  <si>
    <t>同援日跨増深０．５・深０．５・通訳・２人・盲ろう・区３</t>
  </si>
  <si>
    <t>同援日跨増深０．５・深０．５・通訳・盲ろう・区３</t>
  </si>
  <si>
    <t>同援日跨増深０．５・深０．５・通訳・２人・区３</t>
  </si>
  <si>
    <t>同援日跨増深０．５・深０．５・通訳・区３</t>
  </si>
  <si>
    <t>同援日跨増深０．５・深０．５・通訳・２人・盲ろう</t>
  </si>
  <si>
    <t>同援日跨増深０．５・深０．５・通訳・盲ろう</t>
  </si>
  <si>
    <t>同援日跨増深０．５・深０．５・通訳・２人</t>
  </si>
  <si>
    <t>同援日跨増深０．５・深０．５・通訳</t>
  </si>
  <si>
    <t>同援深２．０・早０．５・日０．５・通訳・２人・盲ろう・区４</t>
  </si>
  <si>
    <t>同援深２．０・早０．５・日０．５・通訳・盲ろう・区４</t>
  </si>
  <si>
    <t>同援深２．０・早０．５・日０．５・通訳・２人・区４</t>
  </si>
  <si>
    <t>同援深２．０・早０．５・日０．５・通訳・区４</t>
  </si>
  <si>
    <t>同援深２．０・早０．５・日０．５・通訳・２人・盲ろう・区３</t>
  </si>
  <si>
    <t>同援深２．０・早０．５・日０．５・通訳・盲ろう・区３</t>
  </si>
  <si>
    <t>同援深２．０・早０．５・日０．５・通訳・２人・区３</t>
  </si>
  <si>
    <t>同援深２．０・早０．５・日０．５・通訳・区３</t>
  </si>
  <si>
    <t>同援深２．０・早０．５・日０．５・通訳・２人・盲ろう</t>
  </si>
  <si>
    <t>同援深２．０・早０．５・日０．５・通訳・盲ろう</t>
  </si>
  <si>
    <t>同援深２．０・早０．５・日０．５・通訳・２人</t>
  </si>
  <si>
    <t>同援深２．０・早０．５・日０．５・通訳</t>
  </si>
  <si>
    <t>同援深１．５・早１．０・日０．５・通訳・２人・盲ろう・区４</t>
  </si>
  <si>
    <t>同援深１．５・早１．０・日０．５・通訳・盲ろう・区４</t>
  </si>
  <si>
    <t>同援深１．５・早１．０・日０．５・通訳・２人・区４</t>
  </si>
  <si>
    <t>同援深１．５・早１．０・日０．５・通訳・区４</t>
  </si>
  <si>
    <t>同援深１．５・早１．０・日０．５・通訳・２人・盲ろう・区３</t>
  </si>
  <si>
    <t>同援深１．５・早１．０・日０．５・通訳・盲ろう・区３</t>
  </si>
  <si>
    <t>同援深１．５・早１．０・日０．５・通訳・２人・区３</t>
  </si>
  <si>
    <t>同援深１．５・早１．０・日０．５・通訳・区３</t>
  </si>
  <si>
    <t>同援深１．５・早１．０・日０．５・通訳・２人・盲ろう</t>
  </si>
  <si>
    <t>同援深１．５・早１．０・日０．５・通訳・盲ろう</t>
  </si>
  <si>
    <t>同援深１．５・早１．０・日０．５・通訳・２人</t>
  </si>
  <si>
    <t>同援深１．５・早１．０・日０．５・通訳</t>
  </si>
  <si>
    <t>同援深１．５・早０．５・日１．０・通訳・２人・盲ろう・区４</t>
  </si>
  <si>
    <t>同援深１．５・早０．５・日１．０・通訳・盲ろう・区４</t>
  </si>
  <si>
    <t>同援深１．５・早０．５・日１．０・通訳・２人・区４</t>
  </si>
  <si>
    <t>同援深１．５・早０．５・日１．０・通訳・区４</t>
  </si>
  <si>
    <t>同援深１．５・早０．５・日１．０・通訳・２人・盲ろう・区３</t>
  </si>
  <si>
    <t>同援深１．５・早０．５・日１．０・通訳・盲ろう・区３</t>
  </si>
  <si>
    <t>同援深１．５・早０．５・日１．０・通訳・２人・区３</t>
  </si>
  <si>
    <t>同援深１．５・早０．５・日１．０・通訳・区３</t>
  </si>
  <si>
    <t>同援深１．５・早０．５・日１．０・通訳・２人・盲ろう</t>
  </si>
  <si>
    <t>同援深１．５・早０．５・日１．０・通訳・盲ろう</t>
  </si>
  <si>
    <t>同援深１．５・早０．５・日１．０・通訳・２人</t>
  </si>
  <si>
    <t>同援深１．５・早０．５・日１．０・通訳</t>
  </si>
  <si>
    <t>同援深１．５・早０．５・日０．５・通訳・２人・盲ろう・区４</t>
  </si>
  <si>
    <t>同援深１．５・早０．５・日０．５・通訳・盲ろう・区４</t>
  </si>
  <si>
    <t>同援深１．５・早０．５・日０．５・通訳・２人・区４</t>
  </si>
  <si>
    <t>同援深１．５・早０．５・日０．５・通訳・区４</t>
  </si>
  <si>
    <t>同援深１．５・早０．５・日０．５・通訳・２人・盲ろう・区３</t>
  </si>
  <si>
    <t>同援深１．５・早０．５・日０．５・通訳・盲ろう・区３</t>
  </si>
  <si>
    <t>同援深１．５・早０．５・日０．５・通訳・２人・区３</t>
  </si>
  <si>
    <t>同援深１．５・早０．５・日０．５・通訳・区３</t>
  </si>
  <si>
    <t>同援深１．５・早０．５・日０．５・通訳・２人・盲ろう</t>
  </si>
  <si>
    <t>同援深１．５・早０．５・日０．５・通訳・盲ろう</t>
  </si>
  <si>
    <t>同援深１．５・早０．５・日０．５・通訳・２人</t>
  </si>
  <si>
    <t>同援深１．５・早０．５・日０．５・通訳</t>
  </si>
  <si>
    <t>同援深１．０・早１．５・日０．５・通訳・２人・盲ろう・区４</t>
  </si>
  <si>
    <t>同援深１．０・早１．５・日０．５・通訳・盲ろう・区４</t>
  </si>
  <si>
    <t>同援深１．０・早１．５・日０．５・通訳・２人・区４</t>
  </si>
  <si>
    <t>同援深１．０・早１．５・日０．５・通訳・区４</t>
  </si>
  <si>
    <t>同援深１．０・早１．５・日０．５・通訳・２人・盲ろう・区３</t>
  </si>
  <si>
    <t>同援深１．０・早１．５・日０．５・通訳・盲ろう・区３</t>
  </si>
  <si>
    <t>同援深１．０・早１．５・日０．５・通訳・２人・区３</t>
  </si>
  <si>
    <t>同援深１．０・早１．５・日０．５・通訳・区３</t>
  </si>
  <si>
    <t>同援深１．０・早１．５・日０．５・通訳・２人・盲ろう</t>
  </si>
  <si>
    <t>同援深１．０・早１．５・日０．５・通訳・盲ろう</t>
  </si>
  <si>
    <t>同援深１．０・早１．５・日０．５・通訳・２人</t>
  </si>
  <si>
    <t>同援深１．０・早１．５・日０．５・通訳</t>
  </si>
  <si>
    <t>同援深１．０・早１．０・日１．０・通訳・２人・盲ろう・区４</t>
  </si>
  <si>
    <t>同援深１．０・早１．０・日１．０・通訳・盲ろう・区４</t>
  </si>
  <si>
    <t>同援深１．０・早１．０・日１．０・通訳・２人・区４</t>
  </si>
  <si>
    <t>同援深１．０・早１．０・日１．０・通訳・区４</t>
  </si>
  <si>
    <t>同援深１．０・早１．０・日１．０・通訳・２人・盲ろう・区３</t>
  </si>
  <si>
    <t>同援深１．０・早１．０・日１．０・通訳・盲ろう・区３</t>
  </si>
  <si>
    <t>同援深１．０・早１．０・日１．０・通訳・２人・区３</t>
  </si>
  <si>
    <t>同援深１．０・早１．０・日１．０・通訳・区３</t>
  </si>
  <si>
    <t>同援深１．０・早１．０・日１．０・通訳・２人・盲ろう</t>
  </si>
  <si>
    <t>同援深１．０・早１．０・日１．０・通訳・盲ろう</t>
  </si>
  <si>
    <t>同援深１．０・早１．０・日１．０・通訳・２人</t>
  </si>
  <si>
    <t>同援深１．０・早１．０・日１．０・通訳</t>
  </si>
  <si>
    <t>同援深１．０・早１．０・日０．５・通訳・２人・盲ろう・区４</t>
  </si>
  <si>
    <t>同援深１．０・早１．０・日０．５・通訳・盲ろう・区４</t>
  </si>
  <si>
    <t>同援深１．０・早１．０・日０．５・通訳・２人・区４</t>
  </si>
  <si>
    <t>同援深１．０・早１．０・日０．５・通訳・区４</t>
  </si>
  <si>
    <t>同援深１．０・早１．０・日０．５・通訳・２人・盲ろう・区３</t>
  </si>
  <si>
    <t>同援深１．０・早１．０・日０．５・通訳・盲ろう・区３</t>
  </si>
  <si>
    <t>同援深１．０・早１．０・日０．５・通訳・２人・区３</t>
  </si>
  <si>
    <t>同援深１．０・早１．０・日０．５・通訳・区３</t>
  </si>
  <si>
    <t>同援深１．０・早１．０・日０．５・通訳・２人・盲ろう</t>
  </si>
  <si>
    <t>同援深１．０・早１．０・日０．５・通訳・盲ろう</t>
  </si>
  <si>
    <t>同援深１．０・早１．０・日０．５・通訳・２人</t>
  </si>
  <si>
    <t>同援深１．０・早１．０・日０．５・通訳</t>
  </si>
  <si>
    <t>同援深１．０・早０．５・日１．５・通訳・２人・盲ろう・区４</t>
  </si>
  <si>
    <t>同援深１．０・早０．５・日１．５・通訳・盲ろう・区４</t>
  </si>
  <si>
    <t>同援深１．０・早０．５・日１．５・通訳・２人・区４</t>
  </si>
  <si>
    <t>同援深１．０・早０．５・日１．５・通訳・区４</t>
  </si>
  <si>
    <t>同援深１．０・早０．５・日１．５・通訳・２人・盲ろう・区３</t>
  </si>
  <si>
    <t>同援深１．０・早０．５・日１．５・通訳・盲ろう・区３</t>
  </si>
  <si>
    <t>同援深１．０・早０．５・日１．５・通訳・２人・区３</t>
  </si>
  <si>
    <t>同援深１．０・早０．５・日１．５・通訳・区３</t>
  </si>
  <si>
    <t>同援深１．０・早０．５・日１．５・通訳・２人・盲ろう</t>
  </si>
  <si>
    <t>同援深１．０・早０．５・日１．５・通訳・盲ろう</t>
  </si>
  <si>
    <t>同援深１．０・早０．５・日１．５・通訳・２人</t>
  </si>
  <si>
    <t>同援深１．０・早０．５・日１．５・通訳</t>
  </si>
  <si>
    <t>同援深１．０・早０．５・日１．０・通訳・２人・盲ろう・区４</t>
  </si>
  <si>
    <t>同援深１．０・早０．５・日１．０・通訳・盲ろう・区４</t>
  </si>
  <si>
    <t>同援深１．０・早０．５・日１．０・通訳・２人・区４</t>
  </si>
  <si>
    <t>同援深１．０・早０．５・日１．０・通訳・区４</t>
  </si>
  <si>
    <t>同援深１．０・早０．５・日１．０・通訳・２人・盲ろう・区３</t>
  </si>
  <si>
    <t>同援深１．０・早０．５・日１．０・通訳・盲ろう・区３</t>
  </si>
  <si>
    <t>同援深１．０・早０．５・日１．０・通訳・２人・区３</t>
  </si>
  <si>
    <t>同援深１．０・早０．５・日１．０・通訳・区３</t>
  </si>
  <si>
    <t>同援深１．０・早０．５・日１．０・通訳・２人・盲ろう</t>
  </si>
  <si>
    <t>同援深１．０・早０．５・日１．０・通訳・盲ろう</t>
  </si>
  <si>
    <t>同援深１．０・早０．５・日１．０・通訳・２人</t>
  </si>
  <si>
    <t>同援深１．０・早０．５・日１．０・通訳</t>
  </si>
  <si>
    <t>同援深１．０・早０．５・日０．５・通訳・２人・盲ろう・区４</t>
  </si>
  <si>
    <t>同援深１．０・早０．５・日０．５・通訳・盲ろう・区４</t>
  </si>
  <si>
    <t>同援深１．０・早０．５・日０．５・通訳・２人・区４</t>
  </si>
  <si>
    <t>同援深１．０・早０．５・日０．５・通訳・区４</t>
  </si>
  <si>
    <t>同援深１．０・早０．５・日０．５・通訳・２人・盲ろう・区３</t>
  </si>
  <si>
    <t>同援深１．０・早０．５・日０．５・通訳・盲ろう・区３</t>
  </si>
  <si>
    <t>同援深１．０・早０．５・日０．５・通訳・２人・区３</t>
  </si>
  <si>
    <t>同援深１．０・早０．５・日０．５・通訳・区３</t>
  </si>
  <si>
    <t>同援深１．０・早０．５・日０．５・通訳・２人・盲ろう</t>
  </si>
  <si>
    <t>同援深１．０・早０．５・日０．５・通訳・盲ろう</t>
  </si>
  <si>
    <t>同援深１．０・早０．５・日０．５・通訳・２人</t>
  </si>
  <si>
    <t>同援深１．０・早０．５・日０．５・通訳</t>
  </si>
  <si>
    <t>同援深０．５・早１．５・日１．０・通訳・２人・盲ろう・区４</t>
  </si>
  <si>
    <t>同援深０．５・早１．５・日１．０・通訳・盲ろう・区４</t>
  </si>
  <si>
    <t>同援深０．５・早１．５・日１．０・通訳・２人・区４</t>
  </si>
  <si>
    <t>同援深０．５・早１．５・日１．０・通訳・区４</t>
  </si>
  <si>
    <t>同援深０．５・早１．５・日１．０・通訳・２人・盲ろう・区３</t>
  </si>
  <si>
    <t>同援深０．５・早１．５・日１．０・通訳・盲ろう・区３</t>
  </si>
  <si>
    <t>同援深０．５・早１．５・日１．０・通訳・２人・区３</t>
  </si>
  <si>
    <t>同援深０．５・早１．５・日１．０・通訳・区３</t>
  </si>
  <si>
    <t>同援深０．５・早１．５・日１．０・通訳・２人・盲ろう</t>
  </si>
  <si>
    <t>同援深０．５・早１．５・日１．０・通訳・盲ろう</t>
  </si>
  <si>
    <t>同援深０．５・早１．５・日１．０・通訳・２人</t>
  </si>
  <si>
    <t>同援深０．５・早１．５・日１．０・通訳</t>
  </si>
  <si>
    <t>同援深０．５・早１．５・日０．５・通訳・２人・盲ろう・区４</t>
  </si>
  <si>
    <t>同援深０．５・早１．５・日０．５・通訳・盲ろう・区４</t>
  </si>
  <si>
    <t>同援深０．５・早１．５・日０．５・通訳・２人・区４</t>
  </si>
  <si>
    <t>同援深０．５・早１．５・日０．５・通訳・区４</t>
  </si>
  <si>
    <t>同援深０．５・早１．５・日０．５・通訳・２人・盲ろう・区３</t>
  </si>
  <si>
    <t>同援深０．５・早１．５・日０．５・通訳・盲ろう・区３</t>
  </si>
  <si>
    <t>同援深０．５・早１．５・日０．５・通訳・２人・区３</t>
  </si>
  <si>
    <t>同援深０．５・早１．５・日０．５・通訳・区３</t>
  </si>
  <si>
    <t>同援深０．５・早１．５・日０．５・通訳・２人・盲ろう</t>
  </si>
  <si>
    <t>同援深０．５・早１．５・日０．５・通訳・盲ろう</t>
  </si>
  <si>
    <t>同援深０．５・早１．５・日０．５・通訳・２人</t>
  </si>
  <si>
    <t>同援深０．５・早１．５・日０．５・通訳</t>
  </si>
  <si>
    <t>同援深０．５・早１．０・日１．５・通訳・２人・盲ろう・区４</t>
  </si>
  <si>
    <t>同援深０．５・早１．０・日１．５・通訳・盲ろう・区４</t>
  </si>
  <si>
    <t>同援深０．５・早１．０・日１．５・通訳・２人・区４</t>
  </si>
  <si>
    <t>同援深０．５・早１．０・日１．５・通訳・区４</t>
  </si>
  <si>
    <t>同援深０．５・早１．０・日１．５・通訳・２人・盲ろう・区３</t>
  </si>
  <si>
    <t>同援深０．５・早１．０・日１．５・通訳・盲ろう・区３</t>
  </si>
  <si>
    <t>同援深０．５・早１．０・日１．５・通訳・２人・区３</t>
  </si>
  <si>
    <t>同援深０．５・早１．０・日１．５・通訳・区３</t>
  </si>
  <si>
    <t>同援深０．５・早１．０・日１．５・通訳・２人・盲ろう</t>
  </si>
  <si>
    <t>同援深０．５・早１．０・日１．５・通訳・盲ろう</t>
  </si>
  <si>
    <t>同援深０．５・早１．０・日１．５・通訳・２人</t>
  </si>
  <si>
    <t>同援深０．５・早１．０・日１．５・通訳</t>
  </si>
  <si>
    <t>同援深０．５・早１．０・日１．０・通訳・２人・盲ろう・区４</t>
  </si>
  <si>
    <t>同援深０．５・早１．０・日１．０・通訳・盲ろう・区４</t>
  </si>
  <si>
    <t>同援深０．５・早１．０・日１．０・通訳・２人・区４</t>
  </si>
  <si>
    <t>同援深０．５・早１．０・日１．０・通訳・区４</t>
  </si>
  <si>
    <t>同援深０．５・早１．０・日１．０・通訳・２人・盲ろう・区３</t>
  </si>
  <si>
    <t>同援深０．５・早１．０・日１．０・通訳・盲ろう・区３</t>
  </si>
  <si>
    <t>同援深０．５・早１．０・日１．０・通訳・２人・区３</t>
  </si>
  <si>
    <t>同援深０．５・早１．０・日１．０・通訳・区３</t>
  </si>
  <si>
    <t>同援深０．５・早１．０・日１．０・通訳・２人・盲ろう</t>
  </si>
  <si>
    <t>同援深０．５・早１．０・日１．０・通訳・盲ろう</t>
  </si>
  <si>
    <t>同援深０．５・早１．０・日１．０・通訳・２人</t>
  </si>
  <si>
    <t>同援深０．５・早１．０・日１．０・通訳</t>
  </si>
  <si>
    <t>同援深０．５・早１．０・日０．５・通訳・２人・盲ろう・区４</t>
  </si>
  <si>
    <t>同援深０．５・早１．０・日０．５・通訳・盲ろう・区４</t>
  </si>
  <si>
    <t>同援深０．５・早１．０・日０．５・通訳・２人・区４</t>
  </si>
  <si>
    <t>同援深０．５・早１．０・日０．５・通訳・区４</t>
  </si>
  <si>
    <t>同援深０．５・早１．０・日０．５・通訳・２人・盲ろう・区３</t>
  </si>
  <si>
    <t>同援深０．５・早１．０・日０．５・通訳・盲ろう・区３</t>
  </si>
  <si>
    <t>同援深０．５・早１．０・日０．５・通訳・２人・区３</t>
  </si>
  <si>
    <t>同援深０．５・早１．０・日０．５・通訳・区３</t>
  </si>
  <si>
    <t>同援深０．５・早１．０・日０．５・通訳・２人・盲ろう</t>
  </si>
  <si>
    <t>同援深０．５・早１．０・日０．５・通訳・盲ろう</t>
  </si>
  <si>
    <t>同援深０．５・早１．０・日０．５・通訳・２人</t>
  </si>
  <si>
    <t>同援深０．５・早１．０・日０．５・通訳</t>
  </si>
  <si>
    <t>同援深０．５・早０．５・日２．０・通訳・２人・盲ろう・区４</t>
  </si>
  <si>
    <t>同援深０．５・早０．５・日２．０・通訳・盲ろう・区４</t>
  </si>
  <si>
    <t>同援深０．５・早０．５・日２．０・通訳・２人・区４</t>
  </si>
  <si>
    <t>同援深０．５・早０．５・日２．０・通訳・区４</t>
  </si>
  <si>
    <t>同援深０．５・早０．５・日２．０・通訳・２人・盲ろう・区３</t>
  </si>
  <si>
    <t>同援深０．５・早０．５・日２．０・通訳・盲ろう・区３</t>
  </si>
  <si>
    <t>同援深０．５・早０．５・日２．０・通訳・２人・区３</t>
  </si>
  <si>
    <t>同援深０．５・早０．５・日２．０・通訳・区３</t>
  </si>
  <si>
    <t>同援深０．５・早０．５・日２．０・通訳・２人・盲ろう</t>
  </si>
  <si>
    <t>同援深０．５・早０．５・日２．０・通訳・盲ろう</t>
  </si>
  <si>
    <t>同援深０．５・早０．５・日２．０・通訳・２人</t>
  </si>
  <si>
    <t>同援深０．５・早０．５・日２．０・通訳</t>
  </si>
  <si>
    <t>同援深０．５・早０．５・日１．５・通訳・２人・盲ろう・区４</t>
  </si>
  <si>
    <t>同援深０．５・早０．５・日１．５・通訳・盲ろう・区４</t>
  </si>
  <si>
    <t>同援深０．５・早０．５・日１．５・通訳・２人・区４</t>
  </si>
  <si>
    <t>同援深０．５・早０．５・日１．５・通訳・区４</t>
  </si>
  <si>
    <t>同援深０．５・早０．５・日１．５・通訳・２人・盲ろう・区３</t>
  </si>
  <si>
    <t>同援深０．５・早０．５・日１．５・通訳・盲ろう・区３</t>
  </si>
  <si>
    <t>同援深０．５・早０．５・日１．５・通訳・２人・区３</t>
  </si>
  <si>
    <t>同援深０．５・早０．５・日１．５・通訳・区３</t>
  </si>
  <si>
    <t>同援深０．５・早０．５・日１．５・通訳・２人・盲ろう</t>
  </si>
  <si>
    <t>同援深０．５・早０．５・日１．５・通訳・盲ろう</t>
  </si>
  <si>
    <t>同援深０．５・早０．５・日１．５・通訳・２人</t>
  </si>
  <si>
    <t>同援深０．５・早０．５・日１．５・通訳</t>
  </si>
  <si>
    <t>同援深０．５・早０．５・日１．０・通訳・２人・盲ろう・区４</t>
  </si>
  <si>
    <t>同援深０．５・早０．５・日１．０・通訳・盲ろう・区４</t>
  </si>
  <si>
    <t>同援深０．５・早０．５・日１．０・通訳・２人・区４</t>
  </si>
  <si>
    <t>同援深０．５・早０．５・日１．０・通訳・区４</t>
  </si>
  <si>
    <t>同援深０．５・早０．５・日１．０・通訳・２人・盲ろう・区３</t>
  </si>
  <si>
    <t>同援深０．５・早０．５・日１．０・通訳・盲ろう・区３</t>
  </si>
  <si>
    <t>同援深０．５・早０．５・日１．０・通訳・２人・区３</t>
  </si>
  <si>
    <t>同援深０．５・早０．５・日１．０・通訳・区３</t>
  </si>
  <si>
    <t>同援深０．５・早０．５・日１．０・通訳・２人・盲ろう</t>
  </si>
  <si>
    <t>同援深０．５・早０．５・日１．０・通訳・盲ろう</t>
  </si>
  <si>
    <t>同援深０．５・早０．５・日１．０・通訳・２人</t>
  </si>
  <si>
    <t>同援深０．５・早０．５・日１．０・通訳</t>
  </si>
  <si>
    <t>同援深０．５・早０．５・日０．５・通訳・２人・盲ろう・区４</t>
  </si>
  <si>
    <t>同援深０．５・早０．５・日０．５・通訳・盲ろう・区４</t>
  </si>
  <si>
    <t>同援深０．５・早０．５・日０．５・通訳・２人・区４</t>
  </si>
  <si>
    <t>同援深０．５・早０．５・日０．５・通訳・区４</t>
  </si>
  <si>
    <t>同援深０．５・早０．５・日０．５・通訳・２人・盲ろう・区３</t>
  </si>
  <si>
    <t>同援深０．５・早０．５・日０．５・通訳・盲ろう・区３</t>
  </si>
  <si>
    <t>同援深０．５・早０．５・日０．５・通訳・２人・区３</t>
  </si>
  <si>
    <t>同援深０．５・早０．５・日０．５・通訳・区３</t>
  </si>
  <si>
    <t>同援深０．５・早０．５・日０．５・通訳・２人・盲ろう</t>
  </si>
  <si>
    <t>同援深０．５・早０．５・日０．５・通訳・盲ろう</t>
  </si>
  <si>
    <t>同援深０．５・早０．５・日０．５・通訳・２人</t>
  </si>
  <si>
    <t>同援深０．５・早０．５・日０．５・通訳</t>
  </si>
  <si>
    <t>同援深２．５・日０．５・通訳・２人・盲ろう・区４</t>
  </si>
  <si>
    <t>同援深２．５・日０．５・通訳・盲ろう・区４</t>
  </si>
  <si>
    <t>同援深２．５・日０．５・通訳・２人・区４</t>
  </si>
  <si>
    <t>同援深２．５・日０．５・通訳・区４</t>
  </si>
  <si>
    <t>同援深２．５・日０．５・通訳・２人・盲ろう・区３</t>
  </si>
  <si>
    <t>同援深２．５・日０．５・通訳・盲ろう・区３</t>
  </si>
  <si>
    <t>同援深２．５・日０．５・通訳・２人・区３</t>
  </si>
  <si>
    <t>同援深２．５・日０．５・通訳・区３</t>
  </si>
  <si>
    <t>同援深２．５・日０．５・通訳・２人・盲ろう</t>
  </si>
  <si>
    <t>同援深２．５・日０．５・通訳・盲ろう</t>
  </si>
  <si>
    <t>同援深２．５・日０．５・通訳・２人</t>
  </si>
  <si>
    <t>同援深２．５・日０．５・通訳</t>
  </si>
  <si>
    <t>同援深２．０・日１．０・通訳・２人・盲ろう・区４</t>
  </si>
  <si>
    <t>同援深２．０・日１．０・通訳・盲ろう・区４</t>
  </si>
  <si>
    <t>同援深２．０・日１．０・通訳・２人・区４</t>
  </si>
  <si>
    <t>同援深２．０・日１．０・通訳・区４</t>
  </si>
  <si>
    <t>同援深２．０・日１．０・通訳・２人・盲ろう・区３</t>
  </si>
  <si>
    <t>同援深２．０・日１．０・通訳・盲ろう・区３</t>
  </si>
  <si>
    <t>同援深２．０・日１．０・通訳・２人・区３</t>
  </si>
  <si>
    <t>同援深２．０・日１．０・通訳・区３</t>
  </si>
  <si>
    <t>同援深２．０・日１．０・通訳・２人・盲ろう</t>
  </si>
  <si>
    <t>同援深２．０・日１．０・通訳・盲ろう</t>
  </si>
  <si>
    <t>同援深２．０・日１．０・通訳・２人</t>
  </si>
  <si>
    <t>同援深２．０・日１．０・通訳</t>
  </si>
  <si>
    <t>同援深２．０・日０．５・通訳・２人・盲ろう・区４</t>
  </si>
  <si>
    <t>同援深２．０・日０．５・通訳・盲ろう・区４</t>
  </si>
  <si>
    <t>同援深２．０・日０．５・通訳・２人・区４</t>
  </si>
  <si>
    <t>同援深２．０・日０．５・通訳・区４</t>
  </si>
  <si>
    <t>同援深２．０・日０．５・通訳・２人・盲ろう・区３</t>
  </si>
  <si>
    <t>同援深２．０・日０．５・通訳・盲ろう・区３</t>
  </si>
  <si>
    <t>同援深２．０・日０．５・通訳・２人・区３</t>
  </si>
  <si>
    <t>同援深２．０・日０．５・通訳・区３</t>
  </si>
  <si>
    <t>同援深２．０・日０．５・通訳・２人・盲ろう</t>
  </si>
  <si>
    <t>同援深２．０・日０．５・通訳・盲ろう</t>
  </si>
  <si>
    <t>同援深２．０・日０．５・通訳・２人</t>
  </si>
  <si>
    <t>同援深２．０・日０．５・通訳</t>
  </si>
  <si>
    <t>同援深１．５・日１．５・通訳・２人・盲ろう・区４</t>
  </si>
  <si>
    <t>同援深１．５・日１．５・通訳・盲ろう・区４</t>
  </si>
  <si>
    <t>同援深１．５・日１．５・通訳・２人・区４</t>
  </si>
  <si>
    <t>同援深１．５・日１．５・通訳・区４</t>
  </si>
  <si>
    <t>同援深１．５・日１．５・通訳・２人・盲ろう・区３</t>
  </si>
  <si>
    <t>同援深１．５・日１．５・通訳・盲ろう・区３</t>
  </si>
  <si>
    <t>同援深１．５・日１．５・通訳・２人・区３</t>
  </si>
  <si>
    <t>同援深１．５・日１．５・通訳・区３</t>
  </si>
  <si>
    <t>同援深１．５・日１．５・通訳・２人・盲ろう</t>
  </si>
  <si>
    <t>同援深１．５・日１．５・通訳・盲ろう</t>
  </si>
  <si>
    <t>同援深１．５・日１．５・通訳・２人</t>
  </si>
  <si>
    <t>同援深１．５・日１．５・通訳</t>
  </si>
  <si>
    <t>同援深１．５・日１．０・通訳・２人・盲ろう・区４</t>
  </si>
  <si>
    <t>同援深１．５・日１．０・通訳・盲ろう・区４</t>
  </si>
  <si>
    <t>同援深１．５・日１．０・通訳・２人・区４</t>
  </si>
  <si>
    <t>同援深１．５・日１．０・通訳・区４</t>
  </si>
  <si>
    <t>同援深１．５・日１．０・通訳・２人・盲ろう・区３</t>
  </si>
  <si>
    <t>同援深１．５・日１．０・通訳・盲ろう・区３</t>
  </si>
  <si>
    <t>同援深１．５・日１．０・通訳・２人・区３</t>
  </si>
  <si>
    <t>同援深１．５・日１．０・通訳・区３</t>
  </si>
  <si>
    <t>同援深１．５・日１．０・通訳・２人・盲ろう</t>
  </si>
  <si>
    <t>同援深１．５・日１．０・通訳・盲ろう</t>
  </si>
  <si>
    <t>同援深１．５・日１．０・通訳・２人</t>
  </si>
  <si>
    <t>同援深１．５・日１．０・通訳</t>
  </si>
  <si>
    <t>同援深１．５・日０．５・通訳・２人・盲ろう・区４</t>
  </si>
  <si>
    <t>同援深１．５・日０．５・通訳・盲ろう・区４</t>
  </si>
  <si>
    <t>同援深１．５・日０．５・通訳・２人・区４</t>
  </si>
  <si>
    <t>同援深１．５・日０．５・通訳・区４</t>
  </si>
  <si>
    <t>同援深１．５・日０．５・通訳・２人・盲ろう・区３</t>
  </si>
  <si>
    <t>同援深１．５・日０．５・通訳・盲ろう・区３</t>
  </si>
  <si>
    <t>同援深１．５・日０．５・通訳・２人・区３</t>
  </si>
  <si>
    <t>同援深１．５・日０．５・通訳・区３</t>
  </si>
  <si>
    <t>同援深１．５・日０．５・通訳・２人・盲ろう</t>
  </si>
  <si>
    <t>同援深１．５・日０．５・通訳・盲ろう</t>
  </si>
  <si>
    <t>同援深１．５・日０．５・通訳・２人</t>
  </si>
  <si>
    <t>同援深１．５・日０．５・通訳</t>
  </si>
  <si>
    <t>同援深１．０・日２．０・通訳・２人・盲ろう・区４</t>
  </si>
  <si>
    <t>同援深１．０・日２．０・通訳・盲ろう・区４</t>
  </si>
  <si>
    <t>同援深１．０・日２．０・通訳・２人・区４</t>
  </si>
  <si>
    <t>同援深１．０・日２．０・通訳・区４</t>
  </si>
  <si>
    <t>同援深１．０・日２．０・通訳・２人・盲ろう・区３</t>
  </si>
  <si>
    <t>同援深１．０・日２．０・通訳・盲ろう・区３</t>
  </si>
  <si>
    <t>同援深１．０・日２．０・通訳・２人・区３</t>
  </si>
  <si>
    <t>同援深１．０・日２．０・通訳・区３</t>
  </si>
  <si>
    <t>同援深１．０・日２．０・通訳・２人・盲ろう</t>
  </si>
  <si>
    <t>同援深１．０・日２．０・通訳・盲ろう</t>
  </si>
  <si>
    <t>同援深１．０・日２．０・通訳・２人</t>
  </si>
  <si>
    <t>同援深１．０・日２．０・通訳</t>
  </si>
  <si>
    <t>同援深１．０・日１．５・通訳・２人・盲ろう・区４</t>
  </si>
  <si>
    <t>同援深１．０・日１．５・通訳・盲ろう・区４</t>
  </si>
  <si>
    <t>同援深１．０・日１．５・通訳・２人・区４</t>
  </si>
  <si>
    <t>同援深１．０・日１．５・通訳・区４</t>
  </si>
  <si>
    <t>同援深１．０・日１．５・通訳・２人・盲ろう・区３</t>
  </si>
  <si>
    <t>同援深１．０・日１．５・通訳・盲ろう・区３</t>
  </si>
  <si>
    <t>同援深１．０・日１．５・通訳・２人・区３</t>
  </si>
  <si>
    <t>同援深１．０・日１．５・通訳・区３</t>
  </si>
  <si>
    <t>同援深１．０・日１．５・通訳・２人・盲ろう</t>
  </si>
  <si>
    <t>同援深１．０・日１．５・通訳・盲ろう</t>
  </si>
  <si>
    <t>同援深１．０・日１．５・通訳・２人</t>
  </si>
  <si>
    <t>同援深１．０・日１．５・通訳</t>
  </si>
  <si>
    <t>同援深１．０・日１．０・通訳・２人・盲ろう・区４</t>
  </si>
  <si>
    <t>同援深１．０・日１．０・通訳・盲ろう・区４</t>
  </si>
  <si>
    <t>同援深１．０・日１．０・通訳・２人・区４</t>
  </si>
  <si>
    <t>同援深１．０・日１．０・通訳・区４</t>
  </si>
  <si>
    <t>同援深１．０・日１．０・通訳・２人・盲ろう・区３</t>
  </si>
  <si>
    <t>同援深１．０・日１．０・通訳・盲ろう・区３</t>
  </si>
  <si>
    <t>同援深１．０・日１．０・通訳・２人・区３</t>
  </si>
  <si>
    <t>同援深１．０・日１．０・通訳・区３</t>
  </si>
  <si>
    <t>同援深１．０・日１．０・通訳・２人・盲ろう</t>
  </si>
  <si>
    <t>同援深１．０・日１．０・通訳・盲ろう</t>
  </si>
  <si>
    <t>同援深１．０・日１．０・通訳・２人</t>
  </si>
  <si>
    <t>同援深１．０・日１．０・通訳</t>
  </si>
  <si>
    <t>同援深１．０・日０．５・通訳・２人・盲ろう・区４</t>
  </si>
  <si>
    <t>同援深１．０・日０．５・通訳・盲ろう・区４</t>
  </si>
  <si>
    <t>同援深１．０・日０．５・通訳・２人・区４</t>
  </si>
  <si>
    <t>同援深１．０・日０．５・通訳・区４</t>
  </si>
  <si>
    <t>同援深１．０・日０．５・通訳・２人・盲ろう・区３</t>
  </si>
  <si>
    <t>同援深１．０・日０．５・通訳・盲ろう・区３</t>
  </si>
  <si>
    <t>同援深１．０・日０．５・通訳・２人・区３</t>
  </si>
  <si>
    <t>同援深１．０・日０．５・通訳・区３</t>
  </si>
  <si>
    <t>同援深１．０・日０．５・通訳・２人・盲ろう</t>
  </si>
  <si>
    <t>同援深１．０・日０．５・通訳・盲ろう</t>
  </si>
  <si>
    <t>同援深１．０・日０．５・通訳・２人</t>
  </si>
  <si>
    <t>同援深１．０・日０．５・通訳</t>
  </si>
  <si>
    <t>同援深０．５・日２．５・通訳・２人・盲ろう・区４</t>
  </si>
  <si>
    <t>同援深０．５・日２．５・通訳・盲ろう・区４</t>
  </si>
  <si>
    <t>同援深０．５・日２．５・通訳・２人・区４</t>
  </si>
  <si>
    <t>同援深０．５・日２．５・通訳・区４</t>
  </si>
  <si>
    <t>同援深０．５・日２．５・通訳・２人・盲ろう・区３</t>
  </si>
  <si>
    <t>同援深０．５・日２．５・通訳・盲ろう・区３</t>
  </si>
  <si>
    <t>同援深０．５・日２．５・通訳・２人・区３</t>
  </si>
  <si>
    <t>同援深０．５・日２．５・通訳・区３</t>
  </si>
  <si>
    <t>同援深０．５・日２．５・通訳・２人・盲ろう</t>
  </si>
  <si>
    <t>同援深０．５・日２．５・通訳・盲ろう</t>
  </si>
  <si>
    <t>同援深０．５・日２．５・通訳・２人</t>
  </si>
  <si>
    <t>同援深０．５・日２．５・通訳</t>
  </si>
  <si>
    <t>同援深０．５・日２．０・通訳・２人・盲ろう・区４</t>
  </si>
  <si>
    <t>同援深０．５・日２．０・通訳・盲ろう・区４</t>
  </si>
  <si>
    <t>同援深０．５・日２．０・通訳・２人・区４</t>
  </si>
  <si>
    <t>同援深０．５・日２．０・通訳・区４</t>
  </si>
  <si>
    <t>同援深０．５・日２．０・通訳・２人・盲ろう・区３</t>
  </si>
  <si>
    <t>同援深０．５・日２．０・通訳・盲ろう・区３</t>
  </si>
  <si>
    <t>同援深０．５・日２．０・通訳・２人・区３</t>
  </si>
  <si>
    <t>同援深０．５・日２．０・通訳・区３</t>
  </si>
  <si>
    <t>同援深０．５・日２．０・通訳・２人・盲ろう</t>
  </si>
  <si>
    <t>同援深０．５・日２．０・通訳・盲ろう</t>
  </si>
  <si>
    <t>同援深０．５・日２．０・通訳・２人</t>
  </si>
  <si>
    <t>同援深０．５・日２．０・通訳</t>
  </si>
  <si>
    <t>同援深０．５・日１．５・通訳・２人・盲ろう・区４</t>
  </si>
  <si>
    <t>同援深０．５・日１．５・通訳・盲ろう・区４</t>
  </si>
  <si>
    <t>同援深０．５・日１．５・通訳・２人・区４</t>
  </si>
  <si>
    <t>同援深０．５・日１．５・通訳・区４</t>
  </si>
  <si>
    <t>同援深０．５・日１．５・通訳・２人・盲ろう・区３</t>
  </si>
  <si>
    <t>同援深０．５・日１．５・通訳・盲ろう・区３</t>
  </si>
  <si>
    <t>同援深０．５・日１．５・通訳・２人・区３</t>
  </si>
  <si>
    <t>同援深０．５・日１．５・通訳・区３</t>
  </si>
  <si>
    <t>同援深０．５・日１．５・通訳・２人・盲ろう</t>
  </si>
  <si>
    <t>同援深０．５・日１．５・通訳・盲ろう</t>
  </si>
  <si>
    <t>同援深０．５・日１．５・通訳・２人</t>
  </si>
  <si>
    <t>同援深０．５・日１．５・通訳</t>
  </si>
  <si>
    <t>同援深０．５・日１．０・通訳・２人・盲ろう・区４</t>
  </si>
  <si>
    <t>同援深０．５・日１．０・通訳・盲ろう・区４</t>
  </si>
  <si>
    <t>同援深０．５・日１．０・通訳・２人・区４</t>
  </si>
  <si>
    <t>同援深０．５・日１．０・通訳・区４</t>
  </si>
  <si>
    <t>同援深０．５・日１．０・通訳・２人・盲ろう・区３</t>
  </si>
  <si>
    <t>同援深０．５・日１．０・通訳・盲ろう・区３</t>
  </si>
  <si>
    <t>同援深０．５・日１．０・通訳・２人・区３</t>
  </si>
  <si>
    <t>同援深０．５・日１．０・通訳・区３</t>
  </si>
  <si>
    <t>同援深０．５・日１．０・通訳・２人・盲ろう</t>
  </si>
  <si>
    <t>同援深０．５・日１．０・通訳・盲ろう</t>
  </si>
  <si>
    <t>同援深０．５・日１．０・通訳・２人</t>
  </si>
  <si>
    <t>同援深０．５・日１．０・通訳</t>
  </si>
  <si>
    <t>同援深０．５・日０．５・通訳・２人・盲ろう・区４</t>
  </si>
  <si>
    <t>同援深０．５・日０．５・通訳・盲ろう・区４</t>
  </si>
  <si>
    <t>同援深０．５・日０．５・通訳・２人・区４</t>
  </si>
  <si>
    <t>同援深０．５・日０．５・通訳・区４</t>
  </si>
  <si>
    <t>同援深０．５・日０．５・通訳・２人・盲ろう・区３</t>
  </si>
  <si>
    <t>同援深０．５・日０．５・通訳・盲ろう・区３</t>
  </si>
  <si>
    <t>同援深０．５・日０．５・通訳・２人・区３</t>
  </si>
  <si>
    <t>同援深０．５・日０．５・通訳・区３</t>
  </si>
  <si>
    <t>同援深０．５・日０．５・通訳・２人・盲ろう</t>
  </si>
  <si>
    <t>同援深０．５・日０．５・通訳・盲ろう</t>
  </si>
  <si>
    <t>同援深０．５・日０．５・通訳・２人</t>
  </si>
  <si>
    <t>同援深０．５・日０．５・通訳</t>
  </si>
  <si>
    <t>同援早０．５・日２．０・夜０．５・通訳・２人・盲ろう・区４</t>
  </si>
  <si>
    <t>同援早０．５・日２．０・夜０．５・通訳・盲ろう・区４</t>
  </si>
  <si>
    <t>同援早０．５・日２．０・夜０．５・通訳・２人・区４</t>
  </si>
  <si>
    <t>同援早０．５・日２．０・夜０．５・通訳・区４</t>
  </si>
  <si>
    <t>同援早０．５・日２．０・夜０．５・通訳・２人・盲ろう・区３</t>
  </si>
  <si>
    <t>同援早０．５・日２．０・夜０．５・通訳・盲ろう・区３</t>
  </si>
  <si>
    <t>同援早０．５・日２．０・夜０．５・通訳・２人・区３</t>
  </si>
  <si>
    <t>同援早０．５・日２．０・夜０．５・通訳・区３</t>
  </si>
  <si>
    <t>同援早０．５・日２．０・夜０．５・通訳・２人・盲ろう</t>
  </si>
  <si>
    <t>同援早０．５・日２．０・夜０．５・通訳・盲ろう</t>
  </si>
  <si>
    <t>同援早０．５・日２．０・夜０．５・通訳・２人</t>
  </si>
  <si>
    <t>同援早０．５・日２．０・夜０．５・通訳</t>
  </si>
  <si>
    <t>同援日２．０・夜０．５・深０．５・通訳・２人・盲ろう・区４</t>
  </si>
  <si>
    <t>同援日２．０・夜０．５・深０．５・通訳・盲ろう・区４</t>
  </si>
  <si>
    <t>同援日２．０・夜０．５・深０．５・通訳・２人・区４</t>
  </si>
  <si>
    <t>同援日２．０・夜０．５・深０．５・通訳・区４</t>
  </si>
  <si>
    <t>同援日２．０・夜０．５・深０．５・通訳・２人・盲ろう・区３</t>
  </si>
  <si>
    <t>同援日２．０・夜０．５・深０．５・通訳・盲ろう・区３</t>
  </si>
  <si>
    <t>同援日２．０・夜０．５・深０．５・通訳・２人・区３</t>
  </si>
  <si>
    <t>同援日２．０・夜０．５・深０．５・通訳・区３</t>
  </si>
  <si>
    <t>同援日２．０・夜０．５・深０．５・通訳・２人・盲ろう</t>
  </si>
  <si>
    <t>同援日２．０・夜０．５・深０．５・通訳・盲ろう</t>
  </si>
  <si>
    <t>同援日２．０・夜０．５・深０．５・通訳・２人</t>
  </si>
  <si>
    <t>同援日２．０・夜０．５・深０．５・通訳</t>
  </si>
  <si>
    <t>同援日１．５・夜１．０・深０．５・通訳・２人・盲ろう・区４</t>
  </si>
  <si>
    <t>同援日１．５・夜１．０・深０．５・通訳・盲ろう・区４</t>
  </si>
  <si>
    <t>同援日１．５・夜１．０・深０．５・通訳・２人・区４</t>
  </si>
  <si>
    <t>同援日１．５・夜１．０・深０．５・通訳・区４</t>
  </si>
  <si>
    <t>同援日１．５・夜１．０・深０．５・通訳・２人・盲ろう・区３</t>
  </si>
  <si>
    <t>同援日１．５・夜１．０・深０．５・通訳・盲ろう・区３</t>
  </si>
  <si>
    <t>同援日１．５・夜１．０・深０．５・通訳・２人・区３</t>
  </si>
  <si>
    <t>同援日１．５・夜１．０・深０．５・通訳・区３</t>
  </si>
  <si>
    <t>同援日１．５・夜１．０・深０．５・通訳・２人・盲ろう</t>
  </si>
  <si>
    <t>同援日１．５・夜１．０・深０．５・通訳・盲ろう</t>
  </si>
  <si>
    <t>同援日１．５・夜１．０・深０．５・通訳・２人</t>
  </si>
  <si>
    <t>同援日１．５・夜１．０・深０．５・通訳</t>
  </si>
  <si>
    <t>同援日１．５・夜０．５・深１．０・通訳・２人・盲ろう・区４</t>
  </si>
  <si>
    <t>同援日１．５・夜０．５・深１．０・通訳・盲ろう・区４</t>
  </si>
  <si>
    <t>同援日１．５・夜０．５・深１．０・通訳・２人・区４</t>
  </si>
  <si>
    <t>同援日１．５・夜０．５・深１．０・通訳・区４</t>
  </si>
  <si>
    <t>同援日１．５・夜０．５・深１．０・通訳・２人・盲ろう・区３</t>
  </si>
  <si>
    <t>同援日１．５・夜０．５・深１．０・通訳・盲ろう・区３</t>
  </si>
  <si>
    <t>同援日１．５・夜０．５・深１．０・通訳・２人・区３</t>
  </si>
  <si>
    <t>同援日１．５・夜０．５・深１．０・通訳・区３</t>
  </si>
  <si>
    <t>同援日１．５・夜０．５・深１．０・通訳・２人・盲ろう</t>
  </si>
  <si>
    <t>同援日１．５・夜０．５・深１．０・通訳・盲ろう</t>
  </si>
  <si>
    <t>同援日１．５・夜０．５・深１．０・通訳・２人</t>
  </si>
  <si>
    <t>同援日１．５・夜０．５・深１．０・通訳</t>
  </si>
  <si>
    <t>同援日１．５・夜０．５・深０．５・通訳・２人・盲ろう・区４</t>
  </si>
  <si>
    <t>同援日１．５・夜０．５・深０．５・通訳・盲ろう・区４</t>
  </si>
  <si>
    <t>同援日１．５・夜０．５・深０．５・通訳・２人・区４</t>
  </si>
  <si>
    <t>同援日１．５・夜０．５・深０．５・通訳・区４</t>
  </si>
  <si>
    <t>同援日１．５・夜０．５・深０．５・通訳・２人・盲ろう・区３</t>
  </si>
  <si>
    <t>同援日１．５・夜０．５・深０．５・通訳・盲ろう・区３</t>
  </si>
  <si>
    <t>同援日１．５・夜０．５・深０．５・通訳・２人・区３</t>
  </si>
  <si>
    <t>同援日１．５・夜０．５・深０．５・通訳・区３</t>
  </si>
  <si>
    <t>同援日１．５・夜０．５・深０．５・通訳・２人・盲ろう</t>
  </si>
  <si>
    <t>同援日１．５・夜０．５・深０．５・通訳・盲ろう</t>
  </si>
  <si>
    <t>同援日１．５・夜０．５・深０．５・通訳・２人</t>
  </si>
  <si>
    <t>同援日１．５・夜０．５・深０．５・通訳</t>
  </si>
  <si>
    <t>同援日１．０・夜１．５・深０．５・通訳・２人・盲ろう・区４</t>
  </si>
  <si>
    <t>同援日１．０・夜１．５・深０．５・通訳・盲ろう・区４</t>
  </si>
  <si>
    <t>同援日１．０・夜１．５・深０．５・通訳・２人・区４</t>
  </si>
  <si>
    <t>同援日１．０・夜１．５・深０．５・通訳・区４</t>
  </si>
  <si>
    <t>同援日１．０・夜１．５・深０．５・通訳・２人・盲ろう・区３</t>
  </si>
  <si>
    <t>同援日１．０・夜１．５・深０．５・通訳・盲ろう・区３</t>
  </si>
  <si>
    <t>同援日１．０・夜１．５・深０．５・通訳・２人・区３</t>
  </si>
  <si>
    <t>同援日１．０・夜１．５・深０．５・通訳・区３</t>
  </si>
  <si>
    <t>同援日１．０・夜１．５・深０．５・通訳・２人・盲ろう</t>
  </si>
  <si>
    <t>同援日１．０・夜１．５・深０．５・通訳・盲ろう</t>
  </si>
  <si>
    <t>同援日１．０・夜１．５・深０．５・通訳・２人</t>
  </si>
  <si>
    <t>同援日１．０・夜１．５・深０．５・通訳</t>
  </si>
  <si>
    <t>同援日１．０・夜１．０・深１．０・通訳・２人・盲ろう・区４</t>
  </si>
  <si>
    <t>同援日１．０・夜１．０・深１．０・通訳・盲ろう・区４</t>
  </si>
  <si>
    <t>同援日１．０・夜１．０・深１．０・通訳・２人・区４</t>
  </si>
  <si>
    <t>同援日１．０・夜１．０・深１．０・通訳・区４</t>
  </si>
  <si>
    <t>同援日１．０・夜１．０・深１．０・通訳・２人・盲ろう・区３</t>
  </si>
  <si>
    <t>同援日１．０・夜１．０・深１．０・通訳・盲ろう・区３</t>
  </si>
  <si>
    <t>同援日１．０・夜１．０・深１．０・通訳・２人・区３</t>
  </si>
  <si>
    <t>同援日１．０・夜１．０・深１．０・通訳・区３</t>
  </si>
  <si>
    <t>同援日１．０・夜１．０・深１．０・通訳・２人・盲ろう</t>
  </si>
  <si>
    <t>同援日１．０・夜１．０・深１．０・通訳・盲ろう</t>
  </si>
  <si>
    <t>同援日１．０・夜１．０・深１．０・通訳・２人</t>
  </si>
  <si>
    <t>同援日１．０・夜１．０・深１．０・通訳</t>
  </si>
  <si>
    <t>同援日１．０・夜１．０・深０．５・通訳・２人・盲ろう・区４</t>
  </si>
  <si>
    <t>同援日１．０・夜１．０・深０．５・通訳・盲ろう・区４</t>
  </si>
  <si>
    <t>同援日１．０・夜１．０・深０．５・通訳・２人・区４</t>
  </si>
  <si>
    <t>同援日１．０・夜１．０・深０．５・通訳・区４</t>
  </si>
  <si>
    <t>同援日１．０・夜１．０・深０．５・通訳・２人・盲ろう・区３</t>
  </si>
  <si>
    <t>同援日１．０・夜１．０・深０．５・通訳・盲ろう・区３</t>
  </si>
  <si>
    <t>同援日１．０・夜１．０・深０．５・通訳・２人・区３</t>
  </si>
  <si>
    <t>同援日１．０・夜１．０・深０．５・通訳・区３</t>
  </si>
  <si>
    <t>同援日１．０・夜１．０・深０．５・通訳・２人・盲ろう</t>
  </si>
  <si>
    <t>同援日１．０・夜１．０・深０．５・通訳・盲ろう</t>
  </si>
  <si>
    <t>同援日１．０・夜１．０・深０．５・通訳・２人</t>
  </si>
  <si>
    <t>同援日１．０・夜１．０・深０．５・通訳</t>
  </si>
  <si>
    <t>同援日１．０・夜０．５・深１．５・通訳・２人・盲ろう・区４</t>
  </si>
  <si>
    <t>同援日１．０・夜０．５・深１．５・通訳・盲ろう・区４</t>
  </si>
  <si>
    <t>同援日１．０・夜０．５・深１．５・通訳・２人・区４</t>
  </si>
  <si>
    <t>同援日１．０・夜０．５・深１．５・通訳・区４</t>
  </si>
  <si>
    <t>同援日１．０・夜０．５・深１．５・通訳・２人・盲ろう・区３</t>
  </si>
  <si>
    <t>同援日１．０・夜０．５・深１．５・通訳・盲ろう・区３</t>
  </si>
  <si>
    <t>同援日１．０・夜０．５・深１．５・通訳・２人・区３</t>
  </si>
  <si>
    <t>同援日１．０・夜０．５・深１．５・通訳・区３</t>
  </si>
  <si>
    <t>同援日１．０・夜０．５・深１．５・通訳・２人・盲ろう</t>
  </si>
  <si>
    <t>同援日１．０・夜０．５・深１．５・通訳・盲ろう</t>
  </si>
  <si>
    <t>同援日１．０・夜０．５・深１．５・通訳・２人</t>
  </si>
  <si>
    <t>同援日１．０・夜０．５・深１．５・通訳</t>
  </si>
  <si>
    <t>同援日１．０・夜０．５・深１．０・通訳・２人・盲ろう・区４</t>
  </si>
  <si>
    <t>同援日１．０・夜０．５・深１．０・通訳・盲ろう・区４</t>
  </si>
  <si>
    <t>同援日１．０・夜０．５・深１．０・通訳・２人・区４</t>
  </si>
  <si>
    <t>同援日１．０・夜０．５・深１．０・通訳・区４</t>
  </si>
  <si>
    <t>同援日１．０・夜０．５・深１．０・通訳・２人・盲ろう・区３</t>
  </si>
  <si>
    <t>同援日１．０・夜０．５・深１．０・通訳・盲ろう・区３</t>
  </si>
  <si>
    <t>同援日１．０・夜０．５・深１．０・通訳・２人・区３</t>
  </si>
  <si>
    <t>同援日１．０・夜０．５・深１．０・通訳・区３</t>
  </si>
  <si>
    <t>同援日１．０・夜０．５・深１．０・通訳・２人・盲ろう</t>
  </si>
  <si>
    <t>同援日１．０・夜０．５・深１．０・通訳・盲ろう</t>
  </si>
  <si>
    <t>同援日１．０・夜０．５・深１．０・通訳・２人</t>
  </si>
  <si>
    <t>同援日１．０・夜０．５・深１．０・通訳</t>
  </si>
  <si>
    <t>同援日１．０・夜０．５・深０．５・通訳・２人・盲ろう・区４</t>
  </si>
  <si>
    <t>同援日１．０・夜０．５・深０．５・通訳・盲ろう・区４</t>
  </si>
  <si>
    <t>同援日１．０・夜０．５・深０．５・通訳・２人・区４</t>
  </si>
  <si>
    <t>同援日１．０・夜０．５・深０．５・通訳・区４</t>
  </si>
  <si>
    <t>同援日１．０・夜０．５・深０．５・通訳・２人・盲ろう・区３</t>
  </si>
  <si>
    <t>同援日１．０・夜０．５・深０．５・通訳・盲ろう・区３</t>
  </si>
  <si>
    <t>同援日１．０・夜０．５・深０．５・通訳・２人・区３</t>
  </si>
  <si>
    <t>同援日１．０・夜０．５・深０．５・通訳・区３</t>
  </si>
  <si>
    <t>同援日１．０・夜０．５・深０．５・通訳・２人・盲ろう</t>
  </si>
  <si>
    <t>同援日１．０・夜０．５・深０．５・通訳・盲ろう</t>
  </si>
  <si>
    <t>同援日１．０・夜０．５・深０．５・通訳・２人</t>
  </si>
  <si>
    <t>同援日１．０・夜０．５・深０．５・通訳</t>
  </si>
  <si>
    <t>同援日０．５・夜２．０・深０．５・通訳・盲ろう・区４</t>
  </si>
  <si>
    <t>同援日０．５・夜２．０・深０．５・通訳・２人・区４</t>
  </si>
  <si>
    <t>同援日０．５・夜２．０・深０．５・通訳・区４</t>
  </si>
  <si>
    <t>同援日０．５・夜２．０・深０．５・通訳・２人・盲ろう・区３</t>
  </si>
  <si>
    <t>同援日０．５・夜２．０・深０．５・通訳・盲ろう・区３</t>
  </si>
  <si>
    <t>同援日０．５・夜２．０・深０．５・通訳・２人・区３</t>
  </si>
  <si>
    <t>同援日０．５・夜２．０・深０．５・通訳・区３</t>
  </si>
  <si>
    <t>同援日０．５・夜２．０・深０．５・通訳・２人・盲ろう</t>
  </si>
  <si>
    <t>同援日０．５・夜２．０・深０．５・通訳・盲ろう</t>
  </si>
  <si>
    <t>同援日０．５・夜２．０・深０．５・通訳・２人</t>
  </si>
  <si>
    <t>同援日０．５・夜２．０・深０．５・通訳</t>
  </si>
  <si>
    <t>同援日０．５・夜１．５・深１．０・通訳・２人・盲ろう・区４</t>
  </si>
  <si>
    <t>同援日０．５・夜１．５・深１．０・通訳・盲ろう・区４</t>
  </si>
  <si>
    <t>同援日０．５・夜１．５・深１．０・通訳・２人・区４</t>
  </si>
  <si>
    <t>同援日０．５・夜１．５・深１．０・通訳・区４</t>
  </si>
  <si>
    <t>同援日０．５・夜１．５・深１．０・通訳・２人・盲ろう・区３</t>
  </si>
  <si>
    <t>同援日０．５・夜１．５・深１．０・通訳・盲ろう・区３</t>
  </si>
  <si>
    <t>同援日０．５・夜１．５・深１．０・通訳・２人・区３</t>
  </si>
  <si>
    <t>同援日０．５・夜１．５・深１．０・通訳・区３</t>
  </si>
  <si>
    <t>同援日０．５・夜１．５・深１．０・通訳・２人・盲ろう</t>
  </si>
  <si>
    <t>同援日０．５・夜１．５・深１．０・通訳・盲ろう</t>
  </si>
  <si>
    <t>同援日０．５・夜１．５・深１．０・通訳・２人</t>
  </si>
  <si>
    <t>同援日０．５・夜１．５・深１．０・通訳</t>
  </si>
  <si>
    <t>同援日０．５・夜１．５・深０．５・通訳・２人・盲ろう・区４</t>
  </si>
  <si>
    <t>同援日０．５・夜１．５・深０．５・通訳・盲ろう・区４</t>
  </si>
  <si>
    <t>同援日０．５・夜１．５・深０．５・通訳・２人・区４</t>
  </si>
  <si>
    <t>同援日０．５・夜１．５・深０．５・通訳・区４</t>
  </si>
  <si>
    <t>同援日０．５・夜１．５・深０．５・通訳・２人・盲ろう・区３</t>
  </si>
  <si>
    <t>同援日０．５・夜１．５・深０．５・通訳・盲ろう・区３</t>
  </si>
  <si>
    <t>同援日０．５・夜１．５・深０．５・通訳・２人・区３</t>
  </si>
  <si>
    <t>同援日０．５・夜１．５・深０．５・通訳・区３</t>
  </si>
  <si>
    <t>同援日０．５・夜１．５・深０．５・通訳・２人・盲ろう</t>
  </si>
  <si>
    <t>同援日０．５・夜１．５・深０．５・通訳・盲ろう</t>
  </si>
  <si>
    <t>同援日０．５・夜１．５・深０．５・通訳・２人</t>
  </si>
  <si>
    <t>同援日０．５・夜１．５・深０．５・通訳</t>
  </si>
  <si>
    <t>同援日０．５・夜１．０・深１．５・通訳・２人・盲ろう・区４</t>
  </si>
  <si>
    <t>同援日０．５・夜１．０・深１．５・通訳・盲ろう・区４</t>
  </si>
  <si>
    <t>同援日０．５・夜１．０・深１．５・通訳・２人・区４</t>
  </si>
  <si>
    <t>同援日０．５・夜１．０・深１．５・通訳・区４</t>
  </si>
  <si>
    <t>同援日０．５・夜１．０・深１．５・通訳・２人・盲ろう・区３</t>
  </si>
  <si>
    <t>同援日０．５・夜１．０・深１．５・通訳・盲ろう・区３</t>
  </si>
  <si>
    <t>同援日０．５・夜１．０・深１．５・通訳・２人・区３</t>
  </si>
  <si>
    <t>同援日０．５・夜１．０・深１．５・通訳・区３</t>
  </si>
  <si>
    <t>同援日０．５・夜１．０・深１．５・通訳・２人・盲ろう</t>
  </si>
  <si>
    <t>同援日０．５・夜１．０・深１．５・通訳・盲ろう</t>
  </si>
  <si>
    <t>同援日０．５・夜１．０・深１．５・通訳・２人</t>
  </si>
  <si>
    <t>同援日０．５・夜１．０・深１．５・通訳</t>
  </si>
  <si>
    <t>同援日０．５・夜１．０・深１．０・通訳・２人・盲ろう・区４</t>
  </si>
  <si>
    <t>同援日０．５・夜１．０・深１．０・通訳・盲ろう・区４</t>
  </si>
  <si>
    <t>同援日０．５・夜１．０・深１．０・通訳・２人・区４</t>
  </si>
  <si>
    <t>同援日０．５・夜１．０・深１．０・通訳・区４</t>
  </si>
  <si>
    <t>同援日０．５・夜１．０・深１．０・通訳・２人・盲ろう・区３</t>
  </si>
  <si>
    <t>同援日０．５・夜１．０・深１．０・通訳・盲ろう・区３</t>
  </si>
  <si>
    <t>同援日０．５・夜１．０・深１．０・通訳・２人・区３</t>
  </si>
  <si>
    <t>同援日０．５・夜１．０・深１．０・通訳・区３</t>
  </si>
  <si>
    <t>同援日０．５・夜１．０・深１．０・通訳・２人・盲ろう</t>
  </si>
  <si>
    <t>同援日０．５・夜１．０・深１．０・通訳・盲ろう</t>
  </si>
  <si>
    <t>同援日０．５・夜１．０・深１．０・通訳・２人</t>
  </si>
  <si>
    <t>同援日０．５・夜１．０・深１．０・通訳</t>
  </si>
  <si>
    <t>同援日０．５・夜１．０・深０．５・通訳・２人・盲ろう・区４</t>
  </si>
  <si>
    <t>同援日０．５・夜１．０・深０．５・通訳・盲ろう・区４</t>
  </si>
  <si>
    <t>同援日０．５・夜１．０・深０．５・通訳・２人・区４</t>
  </si>
  <si>
    <t>同援日０．５・夜１．０・深０．５・通訳・区４</t>
  </si>
  <si>
    <t>同援日０．５・夜１．０・深０．５・通訳・２人・盲ろう・区３</t>
  </si>
  <si>
    <t>同援日０．５・夜１．０・深０．５・通訳・盲ろう・区３</t>
  </si>
  <si>
    <t>同援日０．５・夜１．０・深０．５・通訳・２人・区３</t>
  </si>
  <si>
    <t>同援日０．５・夜１．０・深０．５・通訳・区３</t>
  </si>
  <si>
    <t>同援日０．５・夜１．０・深０．５・通訳・２人・盲ろう</t>
  </si>
  <si>
    <t>同援日０．５・夜１．０・深０．５・通訳・盲ろう</t>
  </si>
  <si>
    <t>同援日０．５・夜１．０・深０．５・通訳・２人</t>
  </si>
  <si>
    <t>同援日０．５・夜１．０・深０．５・通訳</t>
  </si>
  <si>
    <t>同援日０．５・夜０．５・深２．０・通訳・２人・盲ろう・区４</t>
  </si>
  <si>
    <t>同援日０．５・夜０．５・深２．０・通訳・盲ろう・区４</t>
  </si>
  <si>
    <t>同援日０．５・夜０．５・深２．０・通訳・２人・区４</t>
  </si>
  <si>
    <t>同援日０．５・夜０．５・深２．０・通訳・区４</t>
  </si>
  <si>
    <t>同援日０．５・夜０．５・深２．０・通訳・２人・盲ろう・区３</t>
  </si>
  <si>
    <t>同援日０．５・夜０．５・深２．０・通訳・盲ろう・区３</t>
  </si>
  <si>
    <t>同援日０．５・夜０．５・深２．０・通訳・２人・区３</t>
  </si>
  <si>
    <t>同援日０．５・夜０．５・深２．０・通訳・区３</t>
  </si>
  <si>
    <t>同援日０．５・夜０．５・深２．０・通訳・２人・盲ろう</t>
  </si>
  <si>
    <t>同援日０．５・夜０．５・深２．０・通訳・盲ろう</t>
  </si>
  <si>
    <t>同援日０．５・夜０．５・深２．０・通訳・２人</t>
  </si>
  <si>
    <t>同援日０．５・夜０．５・深２．０・通訳</t>
  </si>
  <si>
    <t>同援日０．５・夜０．５・深１．５・通訳・２人・盲ろう・区４</t>
  </si>
  <si>
    <t>同援日０．５・夜０．５・深１．５・通訳・盲ろう・区４</t>
  </si>
  <si>
    <t>同援日０．５・夜０．５・深１．５・通訳・２人・区４</t>
  </si>
  <si>
    <t>同援日０．５・夜０．５・深１．５・通訳・区４</t>
  </si>
  <si>
    <t>同援日０．５・夜０．５・深１．５・通訳・２人・盲ろう・区３</t>
  </si>
  <si>
    <t>同援日０．５・夜０．５・深１．５・通訳・盲ろう・区３</t>
  </si>
  <si>
    <t>同援日０．５・夜０．５・深１．５・通訳・２人・区３</t>
  </si>
  <si>
    <t>同援日０．５・夜０．５・深１．５・通訳・区３</t>
  </si>
  <si>
    <t>同援日０．５・夜０．５・深１．５・通訳・２人・盲ろう</t>
  </si>
  <si>
    <t>同援日０．５・夜０．５・深１．５・通訳・盲ろう</t>
  </si>
  <si>
    <t>同援日０．５・夜０．５・深１．５・通訳・２人</t>
  </si>
  <si>
    <t>同援日０．５・夜０．５・深１．５・通訳</t>
  </si>
  <si>
    <t>同援日０．５・夜０．５・深１．０・通訳・２人・盲ろう・区４</t>
  </si>
  <si>
    <t>同援日０．５・夜０．５・深１．０・通訳・盲ろう・区４</t>
  </si>
  <si>
    <t>同援日０．５・夜０．５・深１．０・通訳・２人・区４</t>
  </si>
  <si>
    <t>同援日０．５・夜０．５・深１．０・通訳・区４</t>
  </si>
  <si>
    <t>同援日０．５・夜０．５・深１．０・通訳・２人・盲ろう・区３</t>
  </si>
  <si>
    <t>同援日０．５・夜０．５・深１．０・通訳・盲ろう・区３</t>
  </si>
  <si>
    <t>同援日０．５・夜０．５・深１．０・通訳・２人・区３</t>
  </si>
  <si>
    <t>同援日０．５・夜０．５・深１．０・通訳・区３</t>
  </si>
  <si>
    <t>同援日０．５・夜０．５・深１．０・通訳・２人・盲ろう</t>
  </si>
  <si>
    <t>同援日０．５・夜０．５・深１．０・通訳・盲ろう</t>
  </si>
  <si>
    <t>同援日０．５・夜０．５・深１．０・通訳・２人</t>
  </si>
  <si>
    <t>同援日０．５・夜０．５・深１．０・通訳</t>
  </si>
  <si>
    <t>同援日０．５・夜０．５・深０．５・通訳・２人・盲ろう・区４</t>
  </si>
  <si>
    <t>同援日０．５・夜０．５・深０．５・通訳・盲ろう・区４</t>
  </si>
  <si>
    <t>同援日０．５・夜０．５・深０．５・通訳・２人・区４</t>
  </si>
  <si>
    <t>同援日０．５・夜０．５・深０．５・通訳・区４</t>
  </si>
  <si>
    <t>同援日０．５・夜０．５・深０．５・通訳・２人・盲ろう・区３</t>
  </si>
  <si>
    <t>同援日０．５・夜０．５・深０．５・通訳・盲ろう・区３</t>
  </si>
  <si>
    <t>同援日０．５・夜０．５・深０．５・通訳・２人・区３</t>
  </si>
  <si>
    <t>同援日０．５・夜０．５・深０．５・通訳・区３</t>
  </si>
  <si>
    <t>同援日０．５・夜０．５・深０．５・通訳・２人・盲ろう</t>
  </si>
  <si>
    <t>同援日０．５・夜０．５・深０．５・通訳・盲ろう</t>
  </si>
  <si>
    <t>同援日０．５・夜０．５・深０．５・通訳・２人</t>
  </si>
  <si>
    <t>同援日０．５・夜０．５・深０．５・通訳</t>
  </si>
  <si>
    <t>同援日増１０．５・通訳・２人・盲ろう・区４</t>
  </si>
  <si>
    <t>同援日増１０．５・通訳・盲ろう・区４</t>
  </si>
  <si>
    <t>同援日増１０．５・通訳・２人・区４</t>
  </si>
  <si>
    <t>同援日増１０．５・通訳・区４</t>
  </si>
  <si>
    <t>同援日増１０．５・通訳・２人・盲ろう・区３</t>
  </si>
  <si>
    <t>同援日増１０．５・通訳・盲ろう・区３</t>
  </si>
  <si>
    <t>同援日増１０．５・通訳・２人・区３</t>
  </si>
  <si>
    <t>同援日増１０．５・通訳・区３</t>
  </si>
  <si>
    <t>同援日増１０．５・通訳・２人・盲ろう</t>
  </si>
  <si>
    <t>同援日増１０．５・通訳・盲ろう</t>
  </si>
  <si>
    <t>同援日増１０．５・通訳・２人</t>
  </si>
  <si>
    <t>同援日増１０．５・通訳</t>
  </si>
  <si>
    <t>同援日増１０．０・通訳・２人・盲ろう・区４</t>
  </si>
  <si>
    <t>同援日増１０．０・通訳・盲ろう・区４</t>
  </si>
  <si>
    <t>同援日増１０．０・通訳・２人・区４</t>
  </si>
  <si>
    <t>同援日増１０．０・通訳・区４</t>
  </si>
  <si>
    <t>同援日増１０．０・通訳・２人・盲ろう・区３</t>
  </si>
  <si>
    <t>同援日増１０．０・通訳・盲ろう・区３</t>
  </si>
  <si>
    <t>同援日増１０．０・通訳・２人・区３</t>
  </si>
  <si>
    <t>同援日増１０．０・通訳・区３</t>
  </si>
  <si>
    <t>同援日増１０．０・通訳・２人・盲ろう</t>
  </si>
  <si>
    <t>同援日増１０．０・通訳・盲ろう</t>
  </si>
  <si>
    <t>同援日増１０．０・通訳・２人</t>
  </si>
  <si>
    <t>同援日増１０．０・通訳</t>
  </si>
  <si>
    <t>同援日増９．５・通訳・２人・盲ろう・区４</t>
  </si>
  <si>
    <t>同援日増９．５・通訳・盲ろう・区４</t>
  </si>
  <si>
    <t>同援日増９．５・通訳・２人・区４</t>
  </si>
  <si>
    <t>同援日増９．５・通訳・区４</t>
  </si>
  <si>
    <t>同援日増９．５・通訳・２人・盲ろう・区３</t>
  </si>
  <si>
    <t>同援日増９．５・通訳・盲ろう・区３</t>
  </si>
  <si>
    <t>同援日増９．５・通訳・２人・区３</t>
  </si>
  <si>
    <t>同援日増９．５・通訳・区３</t>
  </si>
  <si>
    <t>同援日増９．５・通訳・２人・盲ろう</t>
  </si>
  <si>
    <t>同援日増９．５・通訳・盲ろう</t>
  </si>
  <si>
    <t>同援日増９．５・通訳・２人</t>
  </si>
  <si>
    <t>同援日増９．５・通訳</t>
  </si>
  <si>
    <t>同援日増９．０・通訳・２人・盲ろう・区４</t>
  </si>
  <si>
    <t>同援日増９．０・通訳・盲ろう・区４</t>
  </si>
  <si>
    <t>同援日増９．０・通訳・２人・区４</t>
  </si>
  <si>
    <t>同援日増９．０・通訳・区４</t>
  </si>
  <si>
    <t>同援日増９．０・通訳・２人・盲ろう・区３</t>
  </si>
  <si>
    <t>同援日増９．０・通訳・盲ろう・区３</t>
  </si>
  <si>
    <t>同援日増９．０・通訳・２人・区３</t>
  </si>
  <si>
    <t>同援日増９．０・通訳・区３</t>
  </si>
  <si>
    <t>同援日増９．０・通訳・２人・盲ろう</t>
  </si>
  <si>
    <t>同援日増９．０・通訳・盲ろう</t>
  </si>
  <si>
    <t>同援日増９．０・通訳・２人</t>
  </si>
  <si>
    <t>同援日増９．０・通訳</t>
  </si>
  <si>
    <t>同援日増８．５・通訳・２人・盲ろう・区４</t>
  </si>
  <si>
    <t>同援日増８．５・通訳・盲ろう・区４</t>
  </si>
  <si>
    <t>同援日増８．５・通訳・２人・区４</t>
  </si>
  <si>
    <t>同援日増８．５・通訳・区４</t>
  </si>
  <si>
    <t>同援日増８．５・通訳・２人・盲ろう・区３</t>
  </si>
  <si>
    <t>同援日増８．５・通訳・盲ろう・区３</t>
  </si>
  <si>
    <t>同援日増８．５・通訳・２人・区３</t>
  </si>
  <si>
    <t>同援日増８．５・通訳・区３</t>
  </si>
  <si>
    <t>同援日増８．５・通訳・２人・盲ろう</t>
  </si>
  <si>
    <t>同援日増８．５・通訳・盲ろう</t>
  </si>
  <si>
    <t>同援日増８．５・通訳・２人</t>
  </si>
  <si>
    <t>同援日増８．５・通訳</t>
  </si>
  <si>
    <t>同援日増８．０・通訳・２人・盲ろう・区４</t>
  </si>
  <si>
    <t>同援日増８．０・通訳・盲ろう・区４</t>
  </si>
  <si>
    <t>同援日増８．０・通訳・２人・区４</t>
  </si>
  <si>
    <t>同援日増８．０・通訳・区４</t>
  </si>
  <si>
    <t>同援日増８．０・通訳・２人・盲ろう・区３</t>
  </si>
  <si>
    <t>同援日増８．０・通訳・盲ろう・区３</t>
  </si>
  <si>
    <t>同援日増８．０・通訳・２人・区３</t>
  </si>
  <si>
    <t>同援日増８．０・通訳・区３</t>
  </si>
  <si>
    <t>同援日増８．０・通訳・２人・盲ろう</t>
  </si>
  <si>
    <t>同援日増８．０・通訳・盲ろう</t>
  </si>
  <si>
    <t>同援日増８．０・通訳・２人</t>
  </si>
  <si>
    <t>同援日増８．０・通訳</t>
  </si>
  <si>
    <t>同援日増７．５・通訳・２人・盲ろう・区４</t>
  </si>
  <si>
    <t>同援日増７．５・通訳・盲ろう・区４</t>
  </si>
  <si>
    <t>同援日増７．５・通訳・２人・区４</t>
  </si>
  <si>
    <t>同援日増７．５・通訳・区４</t>
  </si>
  <si>
    <t>同援日増７．５・通訳・２人・盲ろう・区３</t>
  </si>
  <si>
    <t>同援日増７．５・通訳・盲ろう・区３</t>
  </si>
  <si>
    <t>同援日増７．５・通訳・２人・区３</t>
  </si>
  <si>
    <t>同援日増７．５・通訳・区３</t>
  </si>
  <si>
    <t>同援日増７．５・通訳・２人・盲ろう</t>
  </si>
  <si>
    <t>同援日増７．５・通訳・盲ろう</t>
  </si>
  <si>
    <t>同援日増７．５・通訳・２人</t>
  </si>
  <si>
    <t>同援日増７．５・通訳</t>
  </si>
  <si>
    <t>同援日増７．０・通訳・２人・盲ろう・区４</t>
  </si>
  <si>
    <t>同援日増７．０・通訳・盲ろう・区４</t>
  </si>
  <si>
    <t>同援日増７．０・通訳・２人・区４</t>
  </si>
  <si>
    <t>同援日増７．０・通訳・区４</t>
  </si>
  <si>
    <t>同援日増７．０・通訳・２人・盲ろう・区３</t>
  </si>
  <si>
    <t>同援日増７．０・通訳・盲ろう・区３</t>
  </si>
  <si>
    <t>同援日増７．０・通訳・２人・区３</t>
  </si>
  <si>
    <t>同援日増７．０・通訳・区３</t>
  </si>
  <si>
    <t>同援日増７．０・通訳・２人・盲ろう</t>
  </si>
  <si>
    <t>同援日増７．０・通訳・盲ろう</t>
  </si>
  <si>
    <t>同援日増７．０・通訳・２人</t>
  </si>
  <si>
    <t>同援日増７．０・通訳</t>
  </si>
  <si>
    <t>同援日増６．５・通訳・２人・盲ろう・区４</t>
  </si>
  <si>
    <t>同援日増６．５・通訳・盲ろう・区４</t>
  </si>
  <si>
    <t>同援日増６．５・通訳・２人・区４</t>
  </si>
  <si>
    <t>同援日増６．５・通訳・区４</t>
  </si>
  <si>
    <t>同援日増６．５・通訳・２人・盲ろう・区３</t>
  </si>
  <si>
    <t>同援日増６．５・通訳・盲ろう・区３</t>
  </si>
  <si>
    <t>同援日増６．５・通訳・２人・区３</t>
  </si>
  <si>
    <t>同援日増６．５・通訳・区３</t>
  </si>
  <si>
    <t>同援日増６．５・通訳・２人・盲ろう</t>
  </si>
  <si>
    <t>同援日増６．５・通訳・盲ろう</t>
  </si>
  <si>
    <t>同援日増６．５・通訳・２人</t>
  </si>
  <si>
    <t>同援日増６．５・通訳</t>
  </si>
  <si>
    <t>同援日増６．０・通訳・２人・盲ろう・区４</t>
  </si>
  <si>
    <t>同援日増６．０・通訳・盲ろう・区４</t>
  </si>
  <si>
    <t>同援日増６．０・通訳・２人・区４</t>
  </si>
  <si>
    <t>同援日増６．０・通訳・区４</t>
  </si>
  <si>
    <t>同援日増６．０・通訳・２人・盲ろう・区３</t>
  </si>
  <si>
    <t>同援日増６．０・通訳・盲ろう・区３</t>
  </si>
  <si>
    <t>同援日増６．０・通訳・２人・区３</t>
  </si>
  <si>
    <t>同援日増６．０・通訳・区３</t>
  </si>
  <si>
    <t>同援日増６．０・通訳・２人・盲ろう</t>
  </si>
  <si>
    <t>同援日増６．０・通訳・盲ろう</t>
  </si>
  <si>
    <t>同援日増６．０・通訳・２人</t>
  </si>
  <si>
    <t>同援日増６．０・通訳</t>
  </si>
  <si>
    <t>同援日増５．５・通訳・２人・盲ろう・区４</t>
  </si>
  <si>
    <t>同援日増５．５・通訳・盲ろう・区４</t>
  </si>
  <si>
    <t>同援日増５．５・通訳・２人・区４</t>
  </si>
  <si>
    <t>同援日増５．５・通訳・区４</t>
  </si>
  <si>
    <t>同援日増５．５・通訳・２人・盲ろう・区３</t>
  </si>
  <si>
    <t>同援日増５．５・通訳・盲ろう・区３</t>
  </si>
  <si>
    <t>同援日増５．５・通訳・２人・区３</t>
  </si>
  <si>
    <t>同援日増５．５・通訳・区３</t>
  </si>
  <si>
    <t>同援日増５．５・通訳・２人・盲ろう</t>
  </si>
  <si>
    <t>同援日増５．５・通訳・盲ろう</t>
  </si>
  <si>
    <t>同援日増５．５・通訳・２人</t>
  </si>
  <si>
    <t>同援日増５．５・通訳</t>
  </si>
  <si>
    <t>同援日増５．０・通訳・２人・盲ろう・区４</t>
  </si>
  <si>
    <t>同援日増５．０・通訳・盲ろう・区４</t>
  </si>
  <si>
    <t>同援日増５．０・通訳・２人・区４</t>
  </si>
  <si>
    <t>同援日増５．０・通訳・区４</t>
  </si>
  <si>
    <t>同援日増５．０・通訳・２人・盲ろう・区３</t>
  </si>
  <si>
    <t>同援日増５．０・通訳・盲ろう・区３</t>
  </si>
  <si>
    <t>同援日増５．０・通訳・２人・区３</t>
  </si>
  <si>
    <t>同援日増５．０・通訳・区３</t>
  </si>
  <si>
    <t>同援日増５．０・通訳・２人・盲ろう</t>
  </si>
  <si>
    <t>同援日増５．０・通訳・盲ろう</t>
  </si>
  <si>
    <t>同援日増５．０・通訳・２人</t>
  </si>
  <si>
    <t>同援日増５．０・通訳</t>
  </si>
  <si>
    <t>同援日増４．５・通訳・２人・盲ろう・区４</t>
  </si>
  <si>
    <t>同援日増４．５・通訳・盲ろう・区４</t>
  </si>
  <si>
    <t>同援日増４．５・通訳・２人・区４</t>
  </si>
  <si>
    <t>同援日増４．５・通訳・区４</t>
  </si>
  <si>
    <t>同援日増４．５・通訳・２人・盲ろう・区３</t>
  </si>
  <si>
    <t>同援日増４．５・通訳・盲ろう・区３</t>
  </si>
  <si>
    <t>同援日増４．５・通訳・２人・区３</t>
  </si>
  <si>
    <t>同援日増４．５・通訳・区３</t>
  </si>
  <si>
    <t>同援日増４．５・通訳・２人・盲ろう</t>
  </si>
  <si>
    <t>同援日増４．５・通訳・盲ろう</t>
  </si>
  <si>
    <t>同援日増４．５・通訳・２人</t>
  </si>
  <si>
    <t>同援日増４．５・通訳</t>
  </si>
  <si>
    <t>同援日増４．０・通訳・２人・盲ろう・区４</t>
  </si>
  <si>
    <t>同援日増４．０・通訳・盲ろう・区４</t>
  </si>
  <si>
    <t>同援日増４．０・通訳・２人・区４</t>
  </si>
  <si>
    <t>同援日増４．０・通訳・区４</t>
  </si>
  <si>
    <t>同援日増４．０・通訳・２人・盲ろう・区３</t>
  </si>
  <si>
    <t>同援日増４．０・通訳・盲ろう・区３</t>
  </si>
  <si>
    <t>同援日増４．０・通訳・２人・区３</t>
  </si>
  <si>
    <t>同援日増４．０・通訳・区３</t>
  </si>
  <si>
    <t>同援日増４．０・通訳・２人・盲ろう</t>
  </si>
  <si>
    <t>同援日増４．０・通訳・盲ろう</t>
  </si>
  <si>
    <t>同援日増４．０・通訳・２人</t>
  </si>
  <si>
    <t>同援日増４．０・通訳</t>
  </si>
  <si>
    <t>同援日増３．５・通訳・２人・盲ろう・区４</t>
  </si>
  <si>
    <t>同援日増３．５・通訳・盲ろう・区４</t>
  </si>
  <si>
    <t>同援日増３．５・通訳・２人・区４</t>
  </si>
  <si>
    <t>同援日増３．５・通訳・区４</t>
  </si>
  <si>
    <t>同援日増３．５・通訳・２人・盲ろう・区３</t>
  </si>
  <si>
    <t>同援日増３．５・通訳・盲ろう・区３</t>
  </si>
  <si>
    <t>同援日増３．５・通訳・２人・区３</t>
  </si>
  <si>
    <t>同援日増３．５・通訳・区３</t>
  </si>
  <si>
    <t>同援日増３．５・通訳・２人・盲ろう</t>
  </si>
  <si>
    <t>同援日増３．５・通訳・盲ろう</t>
  </si>
  <si>
    <t>同援日増３．５・通訳・２人</t>
  </si>
  <si>
    <t>同援日増３．５・通訳</t>
  </si>
  <si>
    <t>同援日増３．０・通訳・２人・盲ろう・区４</t>
  </si>
  <si>
    <t>同援日増３．０・通訳・盲ろう・区４</t>
  </si>
  <si>
    <t>同援日増３．０・通訳・２人・区４</t>
  </si>
  <si>
    <t>同援日増３．０・通訳・区４</t>
  </si>
  <si>
    <t>同援日増３．０・通訳・２人・盲ろう・区３</t>
  </si>
  <si>
    <t>同援日増３．０・通訳・盲ろう・区３</t>
  </si>
  <si>
    <t>同援日増３．０・通訳・２人・区３</t>
  </si>
  <si>
    <t>同援日増３．０・通訳・区３</t>
  </si>
  <si>
    <t>同援日増３．０・通訳・２人・盲ろう</t>
  </si>
  <si>
    <t>同援日増３．０・通訳・盲ろう</t>
  </si>
  <si>
    <t>同援日増３．０・通訳・２人</t>
  </si>
  <si>
    <t>同援日増３．０・通訳</t>
  </si>
  <si>
    <t>同援日増２．５・通訳・２人・盲ろう・区４</t>
  </si>
  <si>
    <t>同援日増２．５・通訳・盲ろう・区４</t>
  </si>
  <si>
    <t>同援日増２．５・通訳・２人・区４</t>
  </si>
  <si>
    <t>同援日増２．５・通訳・区４</t>
  </si>
  <si>
    <t>同援日増２．５・通訳・２人・盲ろう・区３</t>
  </si>
  <si>
    <t>同援日増２．５・通訳・盲ろう・区３</t>
  </si>
  <si>
    <t>同援日増２．５・通訳・２人・区３</t>
  </si>
  <si>
    <t>同援日増２．５・通訳・区３</t>
  </si>
  <si>
    <t>同援日増２．５・通訳・２人・盲ろう</t>
  </si>
  <si>
    <t>同援日増２．５・通訳・盲ろう</t>
  </si>
  <si>
    <t>同援日増２．５・通訳・２人</t>
  </si>
  <si>
    <t>同援日増２．５・通訳</t>
  </si>
  <si>
    <t>同援日増２．０・通訳・２人・盲ろう・区４</t>
  </si>
  <si>
    <t>同援日増２．０・通訳・盲ろう・区４</t>
  </si>
  <si>
    <t>同援日増２．０・通訳・２人・区４</t>
  </si>
  <si>
    <t>同援日増２．０・通訳・区４</t>
  </si>
  <si>
    <t>同援日増２．０・通訳・２人・盲ろう・区３</t>
  </si>
  <si>
    <t>同援日増２．０・通訳・盲ろう・区３</t>
  </si>
  <si>
    <t>同援日増２．０・通訳・２人・区３</t>
  </si>
  <si>
    <t>同援日増２．０・通訳・区３</t>
  </si>
  <si>
    <t>同援日増２．０・通訳・２人・盲ろう</t>
  </si>
  <si>
    <t>同援日増２．０・通訳・盲ろう</t>
  </si>
  <si>
    <t>同援日増２．０・通訳・２人</t>
  </si>
  <si>
    <t>同援日増２．０・通訳</t>
  </si>
  <si>
    <t>同援日増１．５・通訳・２人・盲ろう・区４</t>
  </si>
  <si>
    <t>同援日増１．５・通訳・盲ろう・区４</t>
  </si>
  <si>
    <t>同援日増１．５・通訳・２人・区４</t>
  </si>
  <si>
    <t>同援日増１．５・通訳・区４</t>
  </si>
  <si>
    <t>同援日増１．５・通訳・２人・盲ろう・区３</t>
  </si>
  <si>
    <t>同援日増１．５・通訳・盲ろう・区３</t>
  </si>
  <si>
    <t>同援日増１．５・通訳・２人・区３</t>
  </si>
  <si>
    <t>同援日増１．５・通訳・区３</t>
  </si>
  <si>
    <t>同援日増１．５・通訳・２人・盲ろう</t>
  </si>
  <si>
    <t>同援日増１．５・通訳・盲ろう</t>
  </si>
  <si>
    <t>同援日増１．５・通訳・２人</t>
  </si>
  <si>
    <t>同援日増１．５・通訳</t>
  </si>
  <si>
    <t>同援日増１．０・通訳・２人・盲ろう・区４</t>
  </si>
  <si>
    <t>同援日増１．０・通訳・盲ろう・区４</t>
  </si>
  <si>
    <t>同援日増１．０・通訳・２人・区４</t>
  </si>
  <si>
    <t>同援日増１．０・通訳・区４</t>
  </si>
  <si>
    <t>同援日増１．０・通訳・２人・盲ろう・区３</t>
  </si>
  <si>
    <t>同援日増１．０・通訳・盲ろう・区３</t>
  </si>
  <si>
    <t>同援日増１．０・通訳・２人・区３</t>
  </si>
  <si>
    <t>同援日増１．０・通訳・区３</t>
  </si>
  <si>
    <t>同援日増１．０・通訳・２人・盲ろう</t>
  </si>
  <si>
    <t>同援日増１．０・通訳・盲ろう</t>
  </si>
  <si>
    <t>同援日増１．０・通訳・２人</t>
  </si>
  <si>
    <t>同援日増１．０・通訳</t>
  </si>
  <si>
    <t>同援日増０．５・通訳・２人・盲ろう・区４</t>
  </si>
  <si>
    <t>同援日増０．５・通訳・盲ろう・区４</t>
  </si>
  <si>
    <t>同援日増０．５・通訳・２人・区４</t>
  </si>
  <si>
    <t>同援日増０．５・通訳・区４</t>
  </si>
  <si>
    <t>同援日増０．５・通訳・２人・盲ろう・区３</t>
  </si>
  <si>
    <t>同援日増０．５・通訳・盲ろう・区３</t>
  </si>
  <si>
    <t>同援日増０．５・通訳・２人・区３</t>
  </si>
  <si>
    <t>同援日増０．５・通訳・区３</t>
  </si>
  <si>
    <t>同援日増０．５・通訳・２人・盲ろう</t>
  </si>
  <si>
    <t>同援日増０．５・通訳・盲ろう</t>
  </si>
  <si>
    <t>同援日増０．５・通訳・２人</t>
  </si>
  <si>
    <t>同援日増０．５・通訳</t>
  </si>
  <si>
    <t>同援夜増４．５・通訳・２人・盲ろう・区４</t>
  </si>
  <si>
    <t>同援夜増４．５・通訳・盲ろう・区４</t>
  </si>
  <si>
    <t>同援夜増４．５・通訳・２人・区４</t>
  </si>
  <si>
    <t>同援夜増４．５・通訳・区４</t>
  </si>
  <si>
    <t>同援夜増４．５・通訳・２人・盲ろう・区３</t>
  </si>
  <si>
    <t>同援夜増４．５・通訳・盲ろう・区３</t>
  </si>
  <si>
    <t>同援夜増４．５・通訳・２人・区３</t>
  </si>
  <si>
    <t>同援夜増４．５・通訳・区３</t>
  </si>
  <si>
    <t>同援夜増４．５・通訳・２人・盲ろう</t>
  </si>
  <si>
    <t>同援夜増４．５・通訳・盲ろう</t>
  </si>
  <si>
    <t>同援夜増４．５・通訳・２人</t>
  </si>
  <si>
    <t>同援夜増４．５・通訳</t>
  </si>
  <si>
    <t>同援夜増４．０・通訳・２人・盲ろう・区４</t>
  </si>
  <si>
    <t>同援夜増４．０・通訳・盲ろう・区４</t>
  </si>
  <si>
    <t>同援夜増４．０・通訳・２人・区４</t>
  </si>
  <si>
    <t>同援夜増４．０・通訳・区４</t>
  </si>
  <si>
    <t>同援夜増４．０・通訳・２人・盲ろう・区３</t>
  </si>
  <si>
    <t>同援夜増４．０・通訳・盲ろう・区３</t>
  </si>
  <si>
    <t>同援夜増４．０・通訳・２人・区３</t>
  </si>
  <si>
    <t>同援夜増４．０・通訳・区３</t>
  </si>
  <si>
    <t>同援夜増４．０・通訳・２人・盲ろう</t>
  </si>
  <si>
    <t>同援夜増４．０・通訳・盲ろう</t>
  </si>
  <si>
    <t>同援夜増４．０・通訳・２人</t>
  </si>
  <si>
    <t>同援夜増４．０・通訳</t>
  </si>
  <si>
    <t>同援夜増３．５・通訳・２人・盲ろう・区４</t>
  </si>
  <si>
    <t>同援夜増３．５・通訳・盲ろう・区４</t>
  </si>
  <si>
    <t>同援夜増３．５・通訳・２人・区４</t>
  </si>
  <si>
    <t>同援夜増３．５・通訳・区４</t>
  </si>
  <si>
    <t>同援夜増３．５・通訳・２人・盲ろう・区３</t>
  </si>
  <si>
    <t>同援夜増３．５・通訳・盲ろう・区３</t>
  </si>
  <si>
    <t>同援夜増３．５・通訳・２人・区３</t>
  </si>
  <si>
    <t>同援夜増３．５・通訳・区３</t>
  </si>
  <si>
    <t>同援夜増３．５・通訳・２人・盲ろう</t>
  </si>
  <si>
    <t>同援夜増３．５・通訳・盲ろう</t>
  </si>
  <si>
    <t>同援夜増３．５・通訳・２人</t>
  </si>
  <si>
    <t>同援夜増３．５・通訳</t>
  </si>
  <si>
    <t>同援夜増３．０・通訳・２人・盲ろう・区４</t>
  </si>
  <si>
    <t>同援夜増３．０・通訳・盲ろう・区４</t>
  </si>
  <si>
    <t>同援夜増３．０・通訳・２人・区４</t>
  </si>
  <si>
    <t>同援夜増３．０・通訳・区４</t>
  </si>
  <si>
    <t>同援夜増３．０・通訳・２人・盲ろう・区３</t>
  </si>
  <si>
    <t>同援夜増３．０・通訳・盲ろう・区３</t>
  </si>
  <si>
    <t>同援夜増３．０・通訳・２人・区３</t>
  </si>
  <si>
    <t>同援夜増３．０・通訳・区３</t>
  </si>
  <si>
    <t>同援夜増３．０・通訳・２人・盲ろう</t>
  </si>
  <si>
    <t>同援夜増３．０・通訳・盲ろう</t>
  </si>
  <si>
    <t>同援夜増３．０・通訳・２人</t>
  </si>
  <si>
    <t>同援夜増３．０・通訳</t>
  </si>
  <si>
    <t>同援夜増２．５・通訳・２人・盲ろう・区４</t>
  </si>
  <si>
    <t>同援夜増２．５・通訳・盲ろう・区４</t>
  </si>
  <si>
    <t>同援夜増２．５・通訳・２人・区４</t>
  </si>
  <si>
    <t>同援夜増２．５・通訳・区４</t>
  </si>
  <si>
    <t>同援夜増２．５・通訳・２人・盲ろう・区３</t>
  </si>
  <si>
    <t>同援夜増２．５・通訳・盲ろう・区３</t>
  </si>
  <si>
    <t>同援夜増２．５・通訳・２人・区３</t>
  </si>
  <si>
    <t>同援夜増２．５・通訳・区３</t>
  </si>
  <si>
    <t>同援夜増２．５・通訳・２人・盲ろう</t>
  </si>
  <si>
    <t>同援夜増２．５・通訳・盲ろう</t>
  </si>
  <si>
    <t>同援夜増２．５・通訳・２人</t>
  </si>
  <si>
    <t>同援夜増２．５・通訳</t>
  </si>
  <si>
    <t>同援夜増２．０・通訳・２人・盲ろう・区４</t>
  </si>
  <si>
    <t>同援夜増２．０・通訳・盲ろう・区４</t>
  </si>
  <si>
    <t>同援夜増２．０・通訳・２人・区４</t>
  </si>
  <si>
    <t>同援夜増２．０・通訳・区４</t>
  </si>
  <si>
    <t>同援夜増２．０・通訳・２人・盲ろう・区３</t>
  </si>
  <si>
    <t>同援夜増２．０・通訳・盲ろう・区３</t>
  </si>
  <si>
    <t>同援夜増２．０・通訳・２人・区３</t>
  </si>
  <si>
    <t>同援夜増２．０・通訳・区３</t>
  </si>
  <si>
    <t>同援夜増２．０・通訳・２人・盲ろう</t>
  </si>
  <si>
    <t>同援夜増２．０・通訳・盲ろう</t>
  </si>
  <si>
    <t>同援夜増２．０・通訳・２人</t>
  </si>
  <si>
    <t>同援夜増２．０・通訳</t>
  </si>
  <si>
    <t>同援夜増１．５・通訳・２人・盲ろう・区４</t>
  </si>
  <si>
    <t>同援夜増１．５・通訳・盲ろう・区４</t>
  </si>
  <si>
    <t>同援夜増１．５・通訳・２人・区４</t>
  </si>
  <si>
    <t>同援夜増１．５・通訳・区４</t>
  </si>
  <si>
    <t>同援夜増１．５・通訳・２人・盲ろう・区３</t>
  </si>
  <si>
    <t>同援夜増１．５・通訳・盲ろう・区３</t>
  </si>
  <si>
    <t>同援夜増１．５・通訳・２人・区３</t>
  </si>
  <si>
    <t>同援夜増１．５・通訳・区３</t>
  </si>
  <si>
    <t>同援夜増１．５・通訳・２人・盲ろう</t>
  </si>
  <si>
    <t>同援夜増１．５・通訳・盲ろう</t>
  </si>
  <si>
    <t>同援夜増１．５・通訳・２人</t>
  </si>
  <si>
    <t>同援夜増１．５・通訳</t>
  </si>
  <si>
    <t>同援夜増１．０・通訳・２人・盲ろう・区４</t>
  </si>
  <si>
    <t>同援夜増１．０・通訳・盲ろう・区４</t>
  </si>
  <si>
    <t>同援夜増１．０・通訳・２人・区４</t>
  </si>
  <si>
    <t>同援夜増１．０・通訳・区４</t>
  </si>
  <si>
    <t>同援夜増１．０・通訳・２人・盲ろう・区３</t>
  </si>
  <si>
    <t>同援夜増１．０・通訳・盲ろう・区３</t>
  </si>
  <si>
    <t>同援夜増１．０・通訳・２人・区３</t>
  </si>
  <si>
    <t>同援夜増１．０・通訳・区３</t>
  </si>
  <si>
    <t>同援夜増１．０・通訳・２人・盲ろう</t>
  </si>
  <si>
    <t>同援夜増１．０・通訳・盲ろう</t>
  </si>
  <si>
    <t>同援夜増１．０・通訳・２人</t>
  </si>
  <si>
    <t>同援夜増１．０・通訳</t>
  </si>
  <si>
    <t>同援夜増０．５・通訳・２人・盲ろう・区４</t>
  </si>
  <si>
    <t>同援夜増０．５・通訳・盲ろう・区４</t>
  </si>
  <si>
    <t>同援夜増０．５・通訳・２人・区４</t>
  </si>
  <si>
    <t>同援夜増０．５・通訳・区４</t>
  </si>
  <si>
    <t>同援夜増０．５・通訳・２人・盲ろう・区３</t>
  </si>
  <si>
    <t>同援夜増０．５・通訳・盲ろう・区３</t>
  </si>
  <si>
    <t>同援夜増０．５・通訳・２人・区３</t>
  </si>
  <si>
    <t>同援夜増０．５・通訳・区３</t>
  </si>
  <si>
    <t>同援夜増０．５・通訳・２人・盲ろう</t>
  </si>
  <si>
    <t>同援夜増０．５・通訳・盲ろう</t>
  </si>
  <si>
    <t>同援夜増０．５・通訳・２人</t>
  </si>
  <si>
    <t>同援夜増０．５・通訳</t>
  </si>
  <si>
    <t>同援早増２．５・通訳・２人・盲ろう・区４</t>
  </si>
  <si>
    <t>同援早増２．５・通訳・盲ろう・区４</t>
  </si>
  <si>
    <t>同援早増２．５・通訳・２人・区４</t>
  </si>
  <si>
    <t>同援早増２．５・通訳・区４</t>
  </si>
  <si>
    <t>同援早増２．５・通訳・２人・盲ろう・区３</t>
  </si>
  <si>
    <t>同援早増２．５・通訳・盲ろう・区３</t>
  </si>
  <si>
    <t>同援早増２．５・通訳・２人・区３</t>
  </si>
  <si>
    <t>同援早増２．５・通訳・区３</t>
  </si>
  <si>
    <t>同援早増２．５・通訳・２人・盲ろう</t>
  </si>
  <si>
    <t>同援早増２．５・通訳・盲ろう</t>
  </si>
  <si>
    <t>同援早増２．５・通訳・２人</t>
  </si>
  <si>
    <t>同援早増２．５・通訳</t>
  </si>
  <si>
    <t>同援早増２．０・通訳・２人・盲ろう・区４</t>
  </si>
  <si>
    <t>同援早増２．０・通訳・盲ろう・区４</t>
  </si>
  <si>
    <t>同援早増２．０・通訳・２人・区４</t>
  </si>
  <si>
    <t>同援早増２．０・通訳・区４</t>
  </si>
  <si>
    <t>同援早増２．０・通訳・２人・盲ろう・区３</t>
  </si>
  <si>
    <t>同援早増２．０・通訳・盲ろう・区３</t>
  </si>
  <si>
    <t>同援早増２．０・通訳・２人・区３</t>
  </si>
  <si>
    <t>同援早増２．０・通訳・区３</t>
  </si>
  <si>
    <t>同援早増２．０・通訳・２人・盲ろう</t>
  </si>
  <si>
    <t>同援早増２．０・通訳・盲ろう</t>
  </si>
  <si>
    <t>同援早増２．０・通訳・２人</t>
  </si>
  <si>
    <t>同援早増２．０・通訳</t>
  </si>
  <si>
    <t>同援早増１．５・通訳・２人・盲ろう・区４</t>
  </si>
  <si>
    <t>同援早増１．５・通訳・盲ろう・区４</t>
  </si>
  <si>
    <t>同援早増１．５・通訳・２人・区４</t>
  </si>
  <si>
    <t>同援早増１．５・通訳・区４</t>
  </si>
  <si>
    <t>同援早増１．５・通訳・２人・盲ろう・区３</t>
  </si>
  <si>
    <t>同援早増１．５・通訳・盲ろう・区３</t>
  </si>
  <si>
    <t>同援早増１．５・通訳・２人・区３</t>
  </si>
  <si>
    <t>同援早増１．５・通訳・区３</t>
  </si>
  <si>
    <t>同援早増１．５・通訳・２人・盲ろう</t>
  </si>
  <si>
    <t>同援早増１．５・通訳・盲ろう</t>
  </si>
  <si>
    <t>同援早増１．５・通訳・２人</t>
  </si>
  <si>
    <t>同援早増１．５・通訳</t>
  </si>
  <si>
    <t>同援早増１．０・通訳・２人・盲ろう・区４</t>
  </si>
  <si>
    <t>同援早増１．０・通訳・盲ろう・区４</t>
  </si>
  <si>
    <t>同援早増１．０・通訳・２人・区４</t>
  </si>
  <si>
    <t>同援早増１．０・通訳・区４</t>
  </si>
  <si>
    <t>同援早増１．０・通訳・２人・盲ろう・区３</t>
  </si>
  <si>
    <t>同援早増１．０・通訳・盲ろう・区３</t>
  </si>
  <si>
    <t>同援早増１．０・通訳・２人・区３</t>
  </si>
  <si>
    <t>同援早増１．０・通訳・区３</t>
  </si>
  <si>
    <t>同援早増１．０・通訳・２人・盲ろう</t>
  </si>
  <si>
    <t>同援早増１．０・通訳・盲ろう</t>
  </si>
  <si>
    <t>同援早増１．０・通訳・２人</t>
  </si>
  <si>
    <t>同援早増１．０・通訳</t>
  </si>
  <si>
    <t>同援早増０．５・通訳・２人・盲ろう・区４</t>
  </si>
  <si>
    <t>同援早増０．５・通訳・盲ろう・区４</t>
  </si>
  <si>
    <t>同援早増０．５・通訳・２人・区４</t>
  </si>
  <si>
    <t>同援早増０．５・通訳・区４</t>
  </si>
  <si>
    <t>同援早増０．５・通訳・２人・盲ろう・区３</t>
  </si>
  <si>
    <t>同援早増０．５・通訳・盲ろう・区３</t>
  </si>
  <si>
    <t>同援早増０．５・通訳・２人・区３</t>
  </si>
  <si>
    <t>同援早増０．５・通訳・区３</t>
  </si>
  <si>
    <t>同援早増０．５・通訳・２人・盲ろう</t>
  </si>
  <si>
    <t>同援早増０．５・通訳・盲ろう</t>
  </si>
  <si>
    <t>同援早増０．５・通訳・２人</t>
  </si>
  <si>
    <t>同援早増０．５・通訳</t>
  </si>
  <si>
    <t>同援深増６．５・通訳・２人・盲ろう・区４</t>
  </si>
  <si>
    <t>同援深増６．５・通訳・盲ろう・区４</t>
  </si>
  <si>
    <t>同援深増６．５・通訳・２人・区４</t>
  </si>
  <si>
    <t>同援深増６．５・通訳・区４</t>
  </si>
  <si>
    <t>同援深増６．５・通訳・２人・盲ろう・区３</t>
  </si>
  <si>
    <t>同援深増６．５・通訳・盲ろう・区３</t>
  </si>
  <si>
    <t>同援深増６．５・通訳・２人・区３</t>
  </si>
  <si>
    <t>同援深増６．５・通訳・区３</t>
  </si>
  <si>
    <t>同援深増６．５・通訳・２人・盲ろう</t>
  </si>
  <si>
    <t>同援深増６．５・通訳・盲ろう</t>
  </si>
  <si>
    <t>同援深増６．５・通訳・２人</t>
  </si>
  <si>
    <t>同援深増６．５・通訳</t>
  </si>
  <si>
    <t>同援深増６．０・通訳・２人・盲ろう・区４</t>
  </si>
  <si>
    <t>同援深増６．０・通訳・盲ろう・区４</t>
  </si>
  <si>
    <t>同援深増６．０・通訳・２人・区４</t>
  </si>
  <si>
    <t>同援深増６．０・通訳・区４</t>
  </si>
  <si>
    <t>同援深増６．０・通訳・２人・盲ろう・区３</t>
  </si>
  <si>
    <t>同援深増６．０・通訳・盲ろう・区３</t>
  </si>
  <si>
    <t>同援深増６．０・通訳・２人・区３</t>
  </si>
  <si>
    <t>同援深増６．０・通訳・区３</t>
  </si>
  <si>
    <t>同援深増６．０・通訳・２人・盲ろう</t>
  </si>
  <si>
    <t>同援深増６．０・通訳・盲ろう</t>
  </si>
  <si>
    <t>同援深増６．０・通訳・２人</t>
  </si>
  <si>
    <t>同援深増６．０・通訳</t>
  </si>
  <si>
    <t>同援深増５．５・通訳・２人・盲ろう・区４</t>
  </si>
  <si>
    <t>同援深増５．５・通訳・盲ろう・区４</t>
  </si>
  <si>
    <t>同援深増５．５・通訳・２人・区４</t>
  </si>
  <si>
    <t>同援深増５．５・通訳・区４</t>
  </si>
  <si>
    <t>同援深増５．５・通訳・２人・盲ろう・区３</t>
  </si>
  <si>
    <t>同援深増５．５・通訳・盲ろう・区３</t>
  </si>
  <si>
    <t>同援深増５．５・通訳・２人・区３</t>
  </si>
  <si>
    <t>同援深増５．５・通訳・区３</t>
  </si>
  <si>
    <t>同援深増５．５・通訳・２人・盲ろう</t>
  </si>
  <si>
    <t>同援深増５．５・通訳・盲ろう</t>
  </si>
  <si>
    <t>同援深増５．５・通訳・２人</t>
  </si>
  <si>
    <t>同援深増５．５・通訳</t>
  </si>
  <si>
    <t>同援深増５．０・通訳・２人・盲ろう・区４</t>
  </si>
  <si>
    <t>同援深増５．０・通訳・盲ろう・区４</t>
  </si>
  <si>
    <t>同援深増５．０・通訳・２人・区４</t>
  </si>
  <si>
    <t>同援深増５．０・通訳・区４</t>
  </si>
  <si>
    <t>同援深増５．０・通訳・２人・盲ろう・区３</t>
  </si>
  <si>
    <t>同援深増５．０・通訳・盲ろう・区３</t>
  </si>
  <si>
    <t>同援深増５．０・通訳・２人・区３</t>
  </si>
  <si>
    <t>同援深増５．０・通訳・区３</t>
  </si>
  <si>
    <t>同援深増５．０・通訳・２人・盲ろう</t>
  </si>
  <si>
    <t>同援深増５．０・通訳・盲ろう</t>
  </si>
  <si>
    <t>同援深増５．０・通訳・２人</t>
  </si>
  <si>
    <t>同援深増５．０・通訳</t>
  </si>
  <si>
    <t>同援深増４．５・通訳・２人・盲ろう・区４</t>
  </si>
  <si>
    <t>同援深増４．５・通訳・盲ろう・区４</t>
  </si>
  <si>
    <t>同援深増４．５・通訳・２人・区４</t>
  </si>
  <si>
    <t>同援深増４．５・通訳・区４</t>
  </si>
  <si>
    <t>同援深増４．５・通訳・２人・盲ろう・区３</t>
  </si>
  <si>
    <t>同援深増４．５・通訳・盲ろう・区３</t>
  </si>
  <si>
    <t>同援深増４．５・通訳・２人・区３</t>
  </si>
  <si>
    <t>同援深増４．５・通訳・区３</t>
  </si>
  <si>
    <t>同援深増４．５・通訳・２人・盲ろう</t>
  </si>
  <si>
    <t>同援深増４．５・通訳・盲ろう</t>
  </si>
  <si>
    <t>同援深増４．５・通訳・２人</t>
  </si>
  <si>
    <t>同援深増４．５・通訳</t>
  </si>
  <si>
    <t>同援深増４．０・通訳・２人・盲ろう・区４</t>
  </si>
  <si>
    <t>同援深増４．０・通訳・盲ろう・区４</t>
  </si>
  <si>
    <t>同援深増４．０・通訳・２人・区４</t>
  </si>
  <si>
    <t>同援深増４．０・通訳・区４</t>
  </si>
  <si>
    <t>同援深増４．０・通訳・２人・盲ろう・区３</t>
  </si>
  <si>
    <t>同援深増４．０・通訳・盲ろう・区３</t>
  </si>
  <si>
    <t>同援深増４．０・通訳・２人・区３</t>
  </si>
  <si>
    <t>同援深増４．０・通訳・区３</t>
  </si>
  <si>
    <t>同援深増４．０・通訳・２人・盲ろう</t>
  </si>
  <si>
    <t>同援深増４．０・通訳・盲ろう</t>
  </si>
  <si>
    <t>同援深増４．０・通訳・２人</t>
  </si>
  <si>
    <t>同援深増４．０・通訳</t>
  </si>
  <si>
    <t>同援深増３．５・通訳・２人・盲ろう・区４</t>
  </si>
  <si>
    <t>同援深増３．５・通訳・盲ろう・区４</t>
  </si>
  <si>
    <t>同援深増３．５・通訳・２人・区４</t>
  </si>
  <si>
    <t>同援深増３．５・通訳・区４</t>
  </si>
  <si>
    <t>同援深増３．５・通訳・２人・盲ろう・区３</t>
  </si>
  <si>
    <t>同援深増３．５・通訳・盲ろう・区３</t>
  </si>
  <si>
    <t>同援深増３．５・通訳・２人・区３</t>
  </si>
  <si>
    <t>同援深増３．５・通訳・区３</t>
  </si>
  <si>
    <t>同援深増３．５・通訳・２人・盲ろう</t>
  </si>
  <si>
    <t>同援深増３．５・通訳・盲ろう</t>
  </si>
  <si>
    <t>同援深増３．５・通訳・２人</t>
  </si>
  <si>
    <t>同援深増３．５・通訳</t>
  </si>
  <si>
    <t>同援深増３．０・通訳・２人・盲ろう・区４</t>
  </si>
  <si>
    <t>同援深増３．０・通訳・盲ろう・区４</t>
  </si>
  <si>
    <t>同援深増３．０・通訳・２人・区４</t>
  </si>
  <si>
    <t>同援深増３．０・通訳・区４</t>
  </si>
  <si>
    <t>同援深増３．０・通訳・２人・盲ろう・区３</t>
  </si>
  <si>
    <t>同援深増３．０・通訳・盲ろう・区３</t>
  </si>
  <si>
    <t>同援深増３．０・通訳・２人・区３</t>
  </si>
  <si>
    <t>同援深増３．０・通訳・区３</t>
  </si>
  <si>
    <t>同援深増３．０・通訳・２人・盲ろう</t>
  </si>
  <si>
    <t>同援深増３．０・通訳・盲ろう</t>
  </si>
  <si>
    <t>同援深増３．０・通訳・２人</t>
  </si>
  <si>
    <t>同援深増３．０・通訳</t>
  </si>
  <si>
    <t>同援深増２．５・通訳・２人・盲ろう・区４</t>
  </si>
  <si>
    <t>同援深増２．５・通訳・盲ろう・区４</t>
  </si>
  <si>
    <t>同援深増２．５・通訳・２人・区４</t>
  </si>
  <si>
    <t>同援深増２．５・通訳・区４</t>
  </si>
  <si>
    <t>同援深増２．５・通訳・２人・盲ろう・区３</t>
  </si>
  <si>
    <t>同援深増２．５・通訳・盲ろう・区３</t>
  </si>
  <si>
    <t>同援深増２．５・通訳・２人・区３</t>
  </si>
  <si>
    <t>同援深増２．５・通訳・区３</t>
  </si>
  <si>
    <t>同援深増２．５・通訳・２人・盲ろう</t>
  </si>
  <si>
    <t>同援深増２．５・通訳・盲ろう</t>
  </si>
  <si>
    <t>同援深増２．５・通訳・２人</t>
  </si>
  <si>
    <t>同援深増２．５・通訳</t>
  </si>
  <si>
    <t>同援深増２．０・通訳・２人・盲ろう・区４</t>
  </si>
  <si>
    <t>同援深増２．０・通訳・盲ろう・区４</t>
  </si>
  <si>
    <t>同援深増２．０・通訳・２人・区４</t>
  </si>
  <si>
    <t>同援深増２．０・通訳・区４</t>
  </si>
  <si>
    <t>同援深増２．０・通訳・２人・盲ろう・区３</t>
  </si>
  <si>
    <t>同援深増２．０・通訳・盲ろう・区３</t>
  </si>
  <si>
    <t>同援深増２．０・通訳・２人・区３</t>
  </si>
  <si>
    <t>同援深増２．０・通訳・区３</t>
  </si>
  <si>
    <t>同援深増２．０・通訳・２人・盲ろう</t>
  </si>
  <si>
    <t>同援深増２．０・通訳・盲ろう</t>
  </si>
  <si>
    <t>同援深増２．０・通訳・２人</t>
  </si>
  <si>
    <t>同援深増２．０・通訳</t>
  </si>
  <si>
    <t>同援深増１．５・通訳・２人・盲ろう・区４</t>
  </si>
  <si>
    <t>同援深増１．５・通訳・盲ろう・区４</t>
  </si>
  <si>
    <t>同援深増１．５・通訳・２人・区４</t>
  </si>
  <si>
    <t>同援深増１．５・通訳・区４</t>
  </si>
  <si>
    <t>同援深増１．５・通訳・２人・盲ろう・区３</t>
  </si>
  <si>
    <t>同援深増１．５・通訳・盲ろう・区３</t>
  </si>
  <si>
    <t>同援深増１．５・通訳・２人・区３</t>
  </si>
  <si>
    <t>同援深増１．５・通訳・区３</t>
  </si>
  <si>
    <t>同援深増１．５・通訳・２人・盲ろう</t>
  </si>
  <si>
    <t>同援深増１．５・通訳・盲ろう</t>
  </si>
  <si>
    <t>同援深増１．５・通訳・２人</t>
  </si>
  <si>
    <t>同援深増１．５・通訳</t>
  </si>
  <si>
    <t>同援深増１．０・通訳・２人・盲ろう・区４</t>
  </si>
  <si>
    <t>同援深増１．０・通訳・盲ろう・区４</t>
  </si>
  <si>
    <t>同援深増１．０・通訳・２人・区４</t>
  </si>
  <si>
    <t>同援深増１．０・通訳・区４</t>
  </si>
  <si>
    <t>同援深増１．０・通訳・２人・盲ろう・区３</t>
  </si>
  <si>
    <t>同援深増１．０・通訳・盲ろう・区３</t>
  </si>
  <si>
    <t>同援深増１．０・通訳・２人・区３</t>
  </si>
  <si>
    <t>同援深増１．０・通訳・区３</t>
  </si>
  <si>
    <t>同援深増１．０・通訳・２人・盲ろう</t>
  </si>
  <si>
    <t>同援深増１．０・通訳・盲ろう</t>
  </si>
  <si>
    <t>同援深増１．０・通訳・２人</t>
  </si>
  <si>
    <t>同援深増１．０・通訳</t>
  </si>
  <si>
    <t>同援深増０．５・通訳・２人・盲ろう・区４</t>
  </si>
  <si>
    <t>同援深増０．５・通訳・盲ろう・区４</t>
  </si>
  <si>
    <t>同援深増０．５・通訳・２人・区４</t>
  </si>
  <si>
    <t>同援深増０．５・通訳・区４</t>
  </si>
  <si>
    <t>同援深増０．５・通訳・２人・盲ろう・区３</t>
  </si>
  <si>
    <t>同援深増０．５・通訳・盲ろう・区３</t>
  </si>
  <si>
    <t>同援深増０．５・通訳・２人・区３</t>
  </si>
  <si>
    <t>同援深増０．５・通訳・区３</t>
  </si>
  <si>
    <t>同援深増０．５・通訳・２人・盲ろう</t>
  </si>
  <si>
    <t>同援深増０．５・通訳・盲ろう</t>
  </si>
  <si>
    <t>同援深増０．５・通訳・２人</t>
  </si>
  <si>
    <t>同援深増０．５・通訳</t>
  </si>
  <si>
    <t>同援処遇改善特別加算</t>
  </si>
  <si>
    <t>同援処遇改善加算Ⅴ</t>
    <rPh sb="2" eb="4">
      <t>ショグウ</t>
    </rPh>
    <rPh sb="4" eb="6">
      <t>カイゼン</t>
    </rPh>
    <rPh sb="6" eb="8">
      <t>カサン</t>
    </rPh>
    <phoneticPr fontId="11"/>
  </si>
  <si>
    <t>同援処遇改善加算Ⅳ</t>
    <rPh sb="2" eb="4">
      <t>ショグウ</t>
    </rPh>
    <rPh sb="4" eb="6">
      <t>カイゼン</t>
    </rPh>
    <rPh sb="6" eb="8">
      <t>カサン</t>
    </rPh>
    <phoneticPr fontId="11"/>
  </si>
  <si>
    <t>同援処遇改善加算Ⅲ</t>
    <rPh sb="2" eb="4">
      <t>ショグウ</t>
    </rPh>
    <rPh sb="4" eb="6">
      <t>カイゼン</t>
    </rPh>
    <rPh sb="6" eb="8">
      <t>カサン</t>
    </rPh>
    <phoneticPr fontId="11"/>
  </si>
  <si>
    <t>同援処遇改善加算Ⅱ</t>
    <rPh sb="2" eb="4">
      <t>ショグウ</t>
    </rPh>
    <rPh sb="4" eb="6">
      <t>カイゼン</t>
    </rPh>
    <rPh sb="6" eb="8">
      <t>カサン</t>
    </rPh>
    <phoneticPr fontId="11"/>
  </si>
  <si>
    <t>同援処遇改善加算Ⅰ</t>
    <rPh sb="2" eb="4">
      <t>ショグウ</t>
    </rPh>
    <rPh sb="4" eb="6">
      <t>カイゼン</t>
    </rPh>
    <rPh sb="6" eb="8">
      <t>カサン</t>
    </rPh>
    <phoneticPr fontId="11"/>
  </si>
  <si>
    <t>同援初回加算</t>
    <rPh sb="2" eb="4">
      <t>ショカイ</t>
    </rPh>
    <rPh sb="4" eb="6">
      <t>カサン</t>
    </rPh>
    <phoneticPr fontId="11"/>
  </si>
  <si>
    <t>同援緊急時対応加算</t>
    <rPh sb="2" eb="5">
      <t>キンキュウジ</t>
    </rPh>
    <rPh sb="5" eb="7">
      <t>タイオウ</t>
    </rPh>
    <rPh sb="7" eb="9">
      <t>カサン</t>
    </rPh>
    <phoneticPr fontId="11"/>
  </si>
  <si>
    <t>同援特定事業所加算Ⅳ</t>
    <rPh sb="2" eb="4">
      <t>トクテイ</t>
    </rPh>
    <rPh sb="4" eb="7">
      <t>ジギョウショ</t>
    </rPh>
    <rPh sb="7" eb="9">
      <t>カサン</t>
    </rPh>
    <phoneticPr fontId="11"/>
  </si>
  <si>
    <t>同援特定事業所加算Ⅲ</t>
    <rPh sb="2" eb="4">
      <t>トクテイ</t>
    </rPh>
    <rPh sb="4" eb="7">
      <t>ジギョウショ</t>
    </rPh>
    <rPh sb="7" eb="9">
      <t>カサン</t>
    </rPh>
    <phoneticPr fontId="11"/>
  </si>
  <si>
    <t>同援特定事業所加算Ⅱ</t>
    <rPh sb="2" eb="4">
      <t>トクテイ</t>
    </rPh>
    <rPh sb="4" eb="7">
      <t>ジギョウショ</t>
    </rPh>
    <rPh sb="7" eb="9">
      <t>カサン</t>
    </rPh>
    <phoneticPr fontId="11"/>
  </si>
  <si>
    <t>同援特定事業所加算Ⅰ</t>
    <rPh sb="0" eb="1">
      <t>ドウ</t>
    </rPh>
    <rPh sb="1" eb="2">
      <t>エン</t>
    </rPh>
    <rPh sb="2" eb="4">
      <t>トクテイ</t>
    </rPh>
    <rPh sb="4" eb="7">
      <t>ジギョウショ</t>
    </rPh>
    <rPh sb="7" eb="9">
      <t>カサン</t>
    </rPh>
    <phoneticPr fontId="11"/>
  </si>
  <si>
    <t>同援日０．５・夜２．０・深０．５・通訳・２人・盲ろう・区４</t>
    <phoneticPr fontId="1"/>
  </si>
  <si>
    <t>同援特定処遇改善加算Ⅰ</t>
    <phoneticPr fontId="1"/>
  </si>
  <si>
    <t>（盲ろう者向け通訳・介助員：深夜のみ）</t>
    <phoneticPr fontId="1"/>
  </si>
  <si>
    <t>（盲ろう者向け通訳・介助員：日中＋夜間＋深夜）　　※サービス間隔が２時間未満の場合</t>
    <phoneticPr fontId="1"/>
  </si>
  <si>
    <t>（盲ろう者向け通訳・介助員：早朝増分）</t>
    <phoneticPr fontId="1"/>
  </si>
  <si>
    <t>（盲ろう者向け通訳・介助員：深夜増分）</t>
    <phoneticPr fontId="1"/>
  </si>
  <si>
    <t>イ　日中</t>
    <phoneticPr fontId="1"/>
  </si>
  <si>
    <t>ロ　日中</t>
    <phoneticPr fontId="1"/>
  </si>
  <si>
    <t>タ　日中</t>
    <phoneticPr fontId="1"/>
  </si>
  <si>
    <t>イ　早朝</t>
    <phoneticPr fontId="1"/>
  </si>
  <si>
    <t>ニ　早朝</t>
    <phoneticPr fontId="1"/>
  </si>
  <si>
    <t>ロ　夜間</t>
    <phoneticPr fontId="1"/>
  </si>
  <si>
    <t>ニ　夜間</t>
    <phoneticPr fontId="1"/>
  </si>
  <si>
    <t>ヘ　夜間</t>
    <phoneticPr fontId="1"/>
  </si>
  <si>
    <t>イ　深夜</t>
    <phoneticPr fontId="1"/>
  </si>
  <si>
    <t>ロ　深夜</t>
    <phoneticPr fontId="1"/>
  </si>
  <si>
    <t>ハ　深夜</t>
    <phoneticPr fontId="1"/>
  </si>
  <si>
    <t>ホ　深夜</t>
    <phoneticPr fontId="1"/>
  </si>
  <si>
    <t>ト　深夜</t>
    <phoneticPr fontId="1"/>
  </si>
  <si>
    <t>リ　深夜</t>
    <phoneticPr fontId="1"/>
  </si>
  <si>
    <t>ル　深夜</t>
    <phoneticPr fontId="1"/>
  </si>
  <si>
    <t>イ　日中増分</t>
    <phoneticPr fontId="1"/>
  </si>
  <si>
    <t>ヘ　日中増分</t>
    <phoneticPr fontId="1"/>
  </si>
  <si>
    <t>チ　日中増分</t>
    <phoneticPr fontId="1"/>
  </si>
  <si>
    <t>ヨ　日中増分</t>
    <phoneticPr fontId="1"/>
  </si>
  <si>
    <t>タ　日中増分</t>
    <phoneticPr fontId="1"/>
  </si>
  <si>
    <t>ツ　日中増分</t>
    <phoneticPr fontId="1"/>
  </si>
  <si>
    <t>イ　早朝増分</t>
    <phoneticPr fontId="1"/>
  </si>
  <si>
    <t>ロ　早朝増分</t>
    <phoneticPr fontId="1"/>
  </si>
  <si>
    <t>ハ　早朝増分</t>
    <phoneticPr fontId="1"/>
  </si>
  <si>
    <t>ニ　早朝増分</t>
    <phoneticPr fontId="1"/>
  </si>
  <si>
    <t>ホ　早朝増分</t>
    <phoneticPr fontId="1"/>
  </si>
  <si>
    <t>ロ　夜間増分</t>
    <phoneticPr fontId="1"/>
  </si>
  <si>
    <t>ホ　夜間増分</t>
    <phoneticPr fontId="1"/>
  </si>
  <si>
    <t>ヘ　夜間増分</t>
    <phoneticPr fontId="1"/>
  </si>
  <si>
    <t>ト　夜間増分</t>
    <phoneticPr fontId="1"/>
  </si>
  <si>
    <t>ロ　深夜増分</t>
    <phoneticPr fontId="1"/>
  </si>
  <si>
    <t>ヘ　深夜増分</t>
    <phoneticPr fontId="1"/>
  </si>
  <si>
    <t>ト　深夜増分</t>
    <phoneticPr fontId="1"/>
  </si>
  <si>
    <t>No.</t>
  </si>
  <si>
    <t>単位数</t>
    <rPh sb="0" eb="3">
      <t>タンイスウ</t>
    </rPh>
    <phoneticPr fontId="13"/>
  </si>
  <si>
    <t>_11_A身体１．０</t>
  </si>
  <si>
    <t>_11_A身体１．５</t>
  </si>
  <si>
    <t>_11_A身体２．０</t>
  </si>
  <si>
    <t>_11_A身体２．５</t>
  </si>
  <si>
    <t>_11_A身体３．０</t>
  </si>
  <si>
    <t>_11_A身体３．５</t>
  </si>
  <si>
    <t>_11_A身体４．０</t>
  </si>
  <si>
    <t>_11_A身体４．５</t>
  </si>
  <si>
    <t>_11_A身体５．０</t>
  </si>
  <si>
    <t>_11_A身体５．５</t>
  </si>
  <si>
    <t>_11_A身体６．０</t>
  </si>
  <si>
    <t>_11_A身体６．５</t>
  </si>
  <si>
    <t>_11_A身体７．０</t>
  </si>
  <si>
    <t>_11_A身体７．５</t>
  </si>
  <si>
    <t>_11_A身体８．０</t>
  </si>
  <si>
    <t>_11_A身体８．５</t>
  </si>
  <si>
    <t>_11_A身体９．０</t>
  </si>
  <si>
    <t>_11_A身体９．５</t>
  </si>
  <si>
    <t>_11_A身体１０．０</t>
  </si>
  <si>
    <t>_11_A身体１０．５</t>
  </si>
  <si>
    <t>_11_A身体増１．０</t>
  </si>
  <si>
    <t>_11_A身体増１．５</t>
  </si>
  <si>
    <t>_11_A身体増２．０</t>
  </si>
  <si>
    <t>_11_A身体増２．５</t>
  </si>
  <si>
    <t>_11_A身体増３．０</t>
  </si>
  <si>
    <t>_11_A身体増３．５</t>
  </si>
  <si>
    <t>_11_A身体増４．０</t>
  </si>
  <si>
    <t>_11_A身体増４．５</t>
  </si>
  <si>
    <t>_11_A身体増５．０</t>
  </si>
  <si>
    <t>_11_A身体増５．５</t>
  </si>
  <si>
    <t>_11_A身体増６．０</t>
  </si>
  <si>
    <t>_11_A身体増６．５</t>
  </si>
  <si>
    <t>_11_A身体増７．０</t>
  </si>
  <si>
    <t>_11_A身体増７．５</t>
  </si>
  <si>
    <t>_11_A身体増８．０</t>
  </si>
  <si>
    <t>_11_A身体増８．５</t>
  </si>
  <si>
    <t>_11_A身体増９．０</t>
  </si>
  <si>
    <t>_11_A身体増９．５</t>
  </si>
  <si>
    <t>_11_A身体増１０．０</t>
  </si>
  <si>
    <t>_11_A身体増１０．５</t>
  </si>
  <si>
    <t>_11_A重度研修２．５</t>
    <phoneticPr fontId="13"/>
  </si>
  <si>
    <t>_11_A通院１０．５</t>
  </si>
  <si>
    <t>_11_A通院１１．０</t>
  </si>
  <si>
    <t>_11_A通院１１．５</t>
  </si>
  <si>
    <t>_11_A通院１２．０</t>
  </si>
  <si>
    <t>_11_A通院１２．５</t>
  </si>
  <si>
    <t>_11_A通院１３．０</t>
  </si>
  <si>
    <t>_11_A通院１３．５</t>
  </si>
  <si>
    <t>_11_A通院１４．０</t>
  </si>
  <si>
    <t>_11_A通院１４．５</t>
  </si>
  <si>
    <t>_11_A通院１５．０</t>
  </si>
  <si>
    <t>_11_A通院１５．５</t>
  </si>
  <si>
    <t>_11_A通院１６．０</t>
  </si>
  <si>
    <t>_11_A通院１６．５</t>
  </si>
  <si>
    <t>_11_A通院１７．０</t>
  </si>
  <si>
    <t>_11_A通院１７．５</t>
  </si>
  <si>
    <t>_11_A通院１８．０</t>
  </si>
  <si>
    <t>_11_A通院１８．５</t>
  </si>
  <si>
    <t>_11_A通院１９．０</t>
  </si>
  <si>
    <t>_11_A通院１９．５</t>
  </si>
  <si>
    <t>_11_A通院１１０．０</t>
  </si>
  <si>
    <t>_11_A通院１１０．５</t>
  </si>
  <si>
    <t>_11_A通院１増１．０</t>
  </si>
  <si>
    <t>_11_A通院１増１．５</t>
  </si>
  <si>
    <t>_11_A通院１増２．０</t>
  </si>
  <si>
    <t>_11_A通院１増２．５</t>
  </si>
  <si>
    <t>_11_A通院１増３．０</t>
  </si>
  <si>
    <t>_11_A通院１増３．５</t>
  </si>
  <si>
    <t>_11_A通院１増４．０</t>
  </si>
  <si>
    <t>_11_A通院１増４．５</t>
  </si>
  <si>
    <t>_11_A通院１増５．０</t>
  </si>
  <si>
    <t>_11_A通院１増５．５</t>
  </si>
  <si>
    <t>_11_A通院１増６．０</t>
  </si>
  <si>
    <t>_11_A通院１増６．５</t>
  </si>
  <si>
    <t>_11_A通院１増７．０</t>
  </si>
  <si>
    <t>_11_A通院１増７．５</t>
  </si>
  <si>
    <t>_11_A通院１増８．０</t>
  </si>
  <si>
    <t>_11_A通院１増８．５</t>
  </si>
  <si>
    <t>_11_A通院１増９．０</t>
  </si>
  <si>
    <t>_11_A通院１増９．５</t>
  </si>
  <si>
    <t>_11_A通院１増１０．０</t>
  </si>
  <si>
    <t>_11_A通院１増１０．５</t>
  </si>
  <si>
    <t>_11_A家事０．５</t>
  </si>
  <si>
    <t>_11_A家事０．７５</t>
  </si>
  <si>
    <t>_11_A家事１．０</t>
  </si>
  <si>
    <t>_11_A家事１．２５</t>
  </si>
  <si>
    <t>_11_A家事１．５</t>
  </si>
  <si>
    <t>_11_A家事１．７５</t>
  </si>
  <si>
    <t>_11_A家事２．０</t>
  </si>
  <si>
    <t>_11_A家事２．２５</t>
  </si>
  <si>
    <t>_11_A家事２．５</t>
  </si>
  <si>
    <t>_11_A家事２．７５</t>
  </si>
  <si>
    <t>_11_A家事３．０</t>
  </si>
  <si>
    <t>_11_A家事３．２５</t>
  </si>
  <si>
    <t>_11_A家事３．５</t>
  </si>
  <si>
    <t>_11_A家事３．７５</t>
  </si>
  <si>
    <t>_11_A家事４．０</t>
  </si>
  <si>
    <t>_11_A家事４．２５</t>
  </si>
  <si>
    <t>_11_A家事４．５</t>
  </si>
  <si>
    <t>_11_A家事４．７５</t>
  </si>
  <si>
    <t>_11_A家事５．０</t>
  </si>
  <si>
    <t>_11_A家事５．２５</t>
  </si>
  <si>
    <t>_11_A家事５．５</t>
  </si>
  <si>
    <t>_11_A家事５．７５</t>
  </si>
  <si>
    <t>_11_A家事６．０</t>
  </si>
  <si>
    <t>_11_A家事６．２５</t>
  </si>
  <si>
    <t>_11_A家事６．５</t>
  </si>
  <si>
    <t>_11_A家事６．７５</t>
  </si>
  <si>
    <t>_11_A家事７．０</t>
  </si>
  <si>
    <t>_11_A家事７．２５</t>
  </si>
  <si>
    <t>_11_A家事７．５</t>
  </si>
  <si>
    <t>_11_A家事７．７５</t>
  </si>
  <si>
    <t>_11_A家事８．０</t>
  </si>
  <si>
    <t>_11_A家事８．２５</t>
  </si>
  <si>
    <t>_11_A家事８．５</t>
  </si>
  <si>
    <t>_11_A家事８．７５</t>
  </si>
  <si>
    <t>_11_A家事９．０</t>
  </si>
  <si>
    <t>_11_A家事９．２５</t>
  </si>
  <si>
    <t>_11_A家事９．５</t>
  </si>
  <si>
    <t>_11_A家事９．７５</t>
  </si>
  <si>
    <t>_11_A家事１０．０</t>
  </si>
  <si>
    <t>_11_A家事１０．２５</t>
  </si>
  <si>
    <t>_11_A家事１０．５</t>
  </si>
  <si>
    <t>_11_A家事増０．５</t>
  </si>
  <si>
    <t>_11_A家事増０．７５</t>
  </si>
  <si>
    <t>_11_A家事増１．０</t>
  </si>
  <si>
    <t>_11_A家事増１．２５</t>
  </si>
  <si>
    <t>_11_A家事増１．５</t>
  </si>
  <si>
    <t>_11_A家事増１．７５</t>
  </si>
  <si>
    <t>_11_A家事増２．０</t>
  </si>
  <si>
    <t>_11_A家事増２．２５</t>
  </si>
  <si>
    <t>_11_A家事増２．５</t>
  </si>
  <si>
    <t>_11_A家事増２．７５</t>
  </si>
  <si>
    <t>_11_A家事増３．０</t>
  </si>
  <si>
    <t>_11_A家事増３．２５</t>
  </si>
  <si>
    <t>_11_A家事増３．５</t>
  </si>
  <si>
    <t>_11_A家事増３．７５</t>
  </si>
  <si>
    <t>_11_A家事増４．０</t>
  </si>
  <si>
    <t>_11_A家事増４．２５</t>
  </si>
  <si>
    <t>_11_A家事増４．５</t>
  </si>
  <si>
    <t>_11_A家事増４．７５</t>
  </si>
  <si>
    <t>_11_A家事増５．０</t>
  </si>
  <si>
    <t>_11_A家事増５．２５</t>
  </si>
  <si>
    <t>_11_A家事増５．５</t>
  </si>
  <si>
    <t>_11_A家事増５．７５</t>
  </si>
  <si>
    <t>_11_A家事増６．０</t>
  </si>
  <si>
    <t>_11_A家事増６．２５</t>
  </si>
  <si>
    <t>_11_A家事増６．５</t>
  </si>
  <si>
    <t>_11_A家事増６．７５</t>
  </si>
  <si>
    <t>_11_A家事増７．０</t>
  </si>
  <si>
    <t>_11_A家事増７．２５</t>
  </si>
  <si>
    <t>_11_A家事増７．５</t>
  </si>
  <si>
    <t>_11_A家事増７．７５</t>
  </si>
  <si>
    <t>_11_A家事増８．０</t>
  </si>
  <si>
    <t>_11_A家事増８．２５</t>
  </si>
  <si>
    <t>_11_A家事増８．５</t>
  </si>
  <si>
    <t>_11_A家事増８．７５</t>
  </si>
  <si>
    <t>_11_A家事増９．０</t>
  </si>
  <si>
    <t>_11_A家事増９．２５</t>
  </si>
  <si>
    <t>_11_A家事増９．５</t>
  </si>
  <si>
    <t>_11_A家事増９．７５</t>
  </si>
  <si>
    <t>_11_A家事増１０．０</t>
  </si>
  <si>
    <t>_11_A家事増１０．２５</t>
  </si>
  <si>
    <t>_11_A家事増１０．５</t>
  </si>
  <si>
    <t>_11_A通院２０．５</t>
  </si>
  <si>
    <t>_11_A通院２１．０</t>
  </si>
  <si>
    <t>_11_A通院２１．５</t>
  </si>
  <si>
    <t>_11_A通院２２．０</t>
  </si>
  <si>
    <t>_11_A通院２２．５</t>
  </si>
  <si>
    <t>_11_A通院２３．０</t>
  </si>
  <si>
    <t>_11_A通院２３．５</t>
  </si>
  <si>
    <t>_11_A通院２４．０</t>
  </si>
  <si>
    <t>_11_A通院２４．５</t>
  </si>
  <si>
    <t>_11_A通院２５．０</t>
  </si>
  <si>
    <t>_11_A通院２５．５</t>
  </si>
  <si>
    <t>_11_A通院２６．０</t>
  </si>
  <si>
    <t>_11_A通院２６．５</t>
  </si>
  <si>
    <t>_11_A通院２７．０</t>
  </si>
  <si>
    <t>_11_A通院２７．５</t>
  </si>
  <si>
    <t>_11_A通院２８．０</t>
  </si>
  <si>
    <t>_11_A通院２８．５</t>
  </si>
  <si>
    <t>_11_A通院２９．０</t>
  </si>
  <si>
    <t>_11_A通院２９．５</t>
  </si>
  <si>
    <t>_11_A通院２１０．０</t>
  </si>
  <si>
    <t>_11_A通院２１０．５</t>
  </si>
  <si>
    <t>_11_A通院２増１．０</t>
  </si>
  <si>
    <t>_11_A通院２増１．５</t>
  </si>
  <si>
    <t>_11_A通院２増２．０</t>
  </si>
  <si>
    <t>_11_A通院２増２．５</t>
  </si>
  <si>
    <t>_11_A通院２増３．０</t>
  </si>
  <si>
    <t>_11_A通院２増３．５</t>
  </si>
  <si>
    <t>_11_A通院２増４．０</t>
  </si>
  <si>
    <t>_11_A通院２増４．５</t>
  </si>
  <si>
    <t>_11_A通院２増５．０</t>
  </si>
  <si>
    <t>_11_A通院２増５．５</t>
  </si>
  <si>
    <t>_11_A通院２増６．０</t>
  </si>
  <si>
    <t>_11_A通院２増６．５</t>
  </si>
  <si>
    <t>_11_A通院２増７．０</t>
  </si>
  <si>
    <t>_11_A通院２増７．５</t>
  </si>
  <si>
    <t>_11_A通院２増８．０</t>
  </si>
  <si>
    <t>_11_A通院２増８．５</t>
  </si>
  <si>
    <t>_11_A通院２増９．０</t>
  </si>
  <si>
    <t>_11_A通院２増９．５</t>
  </si>
  <si>
    <t>_11_A通院２増１０．０</t>
  </si>
  <si>
    <t>_11_A通院２増１０．５</t>
  </si>
  <si>
    <t>_11_B身体１．０＿１．０</t>
    <phoneticPr fontId="13"/>
  </si>
  <si>
    <t>_11_B身体２．０＿１．０</t>
    <phoneticPr fontId="13"/>
  </si>
  <si>
    <t>_11_B通院１１．５＿０．５</t>
    <phoneticPr fontId="13"/>
  </si>
  <si>
    <t>_11_B重度研修１．０＿１．５</t>
  </si>
  <si>
    <t>_11_B重度研修１．０＿２．０</t>
  </si>
  <si>
    <t>_11_B重度研修１．５＿０．５</t>
  </si>
  <si>
    <t>_11_B重度研修１．５＿１．０</t>
  </si>
  <si>
    <t>_11_B重度研修１．５＿１．５</t>
  </si>
  <si>
    <t>_11_B重度研修２．０＿０．５</t>
  </si>
  <si>
    <t>_11_B重度研修２．０＿１．０</t>
  </si>
  <si>
    <t>_11_B重度研修２．５＿０．５</t>
  </si>
  <si>
    <t>_11_B家事０．５＿０．２５</t>
  </si>
  <si>
    <t>_11_B家事０．５＿０．５</t>
  </si>
  <si>
    <t>_11_B家事０．５＿０．７５</t>
  </si>
  <si>
    <t>_11_B家事０．５＿１．０</t>
  </si>
  <si>
    <t>_11_B家事０．７５＿０．２５</t>
  </si>
  <si>
    <t>_11_B家事０．７５＿０．５</t>
  </si>
  <si>
    <t>_11_B家事０．７５＿０．７５</t>
  </si>
  <si>
    <t>_11_B家事１．０＿０．２５</t>
  </si>
  <si>
    <t>_11_B家事１．０＿０．５</t>
  </si>
  <si>
    <t>_11_B家事１．２５＿０．２５</t>
  </si>
  <si>
    <t>_11_B通院２０．５＿０．５</t>
  </si>
  <si>
    <t>_11_B通院２０．５＿１．０</t>
  </si>
  <si>
    <t>_11_B通院２１．０＿０．５</t>
  </si>
  <si>
    <t>_11_C身体１．０＿０．５＿０．５</t>
    <phoneticPr fontId="13"/>
  </si>
  <si>
    <t>_11_C身体２．０＿０．５＿０．５</t>
    <phoneticPr fontId="13"/>
  </si>
  <si>
    <t>_11_C通院１０．５＿１．０＿０．５</t>
    <rPh sb="5" eb="7">
      <t>ツウイン</t>
    </rPh>
    <phoneticPr fontId="13"/>
  </si>
  <si>
    <t>_11_C重度研修１．０＿０．５＿１．０</t>
  </si>
  <si>
    <t>_11_C重度研修１．０＿０．５＿１．５</t>
  </si>
  <si>
    <t>_11_C重度研修１．０＿１．０＿０．５</t>
  </si>
  <si>
    <t>_11_C重度研修１．０＿１．０＿１．０</t>
  </si>
  <si>
    <t>_11_C重度研修１．０＿１．５＿０．５</t>
  </si>
  <si>
    <t>_11_C重度研修１．５＿０．５＿０．５</t>
  </si>
  <si>
    <t>_11_C重度研修１．５＿０．５＿１．０</t>
  </si>
  <si>
    <t>_11_C重度研修１．５＿１．０＿０．５</t>
  </si>
  <si>
    <t>_11_C重度研修２．０＿０．５＿０．５</t>
  </si>
  <si>
    <t>_11_C家事０．５＿０．２５＿０．２５</t>
  </si>
  <si>
    <t>_11_C家事０．５＿０．２５＿０．５</t>
  </si>
  <si>
    <t>_11_C家事０．５＿０．２５＿０．７５</t>
  </si>
  <si>
    <t>_11_C家事０．５＿０．５＿０．２５</t>
  </si>
  <si>
    <t>_11_C家事０．５＿０．５＿０．５</t>
  </si>
  <si>
    <t>_11_C家事０．５＿０．７５＿０．２５</t>
  </si>
  <si>
    <t>_11_C家事０．７５＿０．２５＿０．２５</t>
  </si>
  <si>
    <t>_11_C家事０．７５＿０．２５＿０．５</t>
  </si>
  <si>
    <t>_11_C家事０．７５＿０．５＿０．２５</t>
  </si>
  <si>
    <t>_11_C家事１．０＿０．２５＿０．２５</t>
  </si>
  <si>
    <t>_11_C通院２０．５＿０．５＿０．５</t>
  </si>
  <si>
    <t>_11・２人</t>
  </si>
  <si>
    <t>_11・A深夜</t>
  </si>
  <si>
    <t>_11・A早朝</t>
  </si>
  <si>
    <t>_11・A夜間</t>
  </si>
  <si>
    <t>_11・B深夜</t>
  </si>
  <si>
    <t>_11・B早朝</t>
  </si>
  <si>
    <t>_11・B夜間</t>
  </si>
  <si>
    <t>_11・C深夜</t>
  </si>
  <si>
    <t>_11・C夜間</t>
  </si>
  <si>
    <t>_11・初任</t>
  </si>
  <si>
    <t>_11・同建１</t>
  </si>
  <si>
    <t>_11・同建２</t>
  </si>
  <si>
    <t>_11_A通院乗降</t>
  </si>
  <si>
    <t>15_同行援護　名前定義</t>
    <rPh sb="3" eb="5">
      <t>ドウコウ</t>
    </rPh>
    <rPh sb="5" eb="7">
      <t>エンゴ</t>
    </rPh>
    <rPh sb="8" eb="10">
      <t>ナマエ</t>
    </rPh>
    <rPh sb="10" eb="12">
      <t>テイギ</t>
    </rPh>
    <phoneticPr fontId="13"/>
  </si>
  <si>
    <t>名前</t>
    <rPh sb="0" eb="2">
      <t>ナマエ</t>
    </rPh>
    <phoneticPr fontId="13"/>
  </si>
  <si>
    <t>_15_同援日０．５</t>
  </si>
  <si>
    <t>_15_同援日１．０</t>
  </si>
  <si>
    <t>_15_同援日１．５</t>
  </si>
  <si>
    <t>_15_同援日２．０</t>
  </si>
  <si>
    <t>_15_同援日２．５</t>
  </si>
  <si>
    <t>_15_同援日３．０</t>
  </si>
  <si>
    <t>_15_同援日３．５</t>
  </si>
  <si>
    <t>_15_同援日４．０</t>
  </si>
  <si>
    <t>_15_同援日４．５</t>
  </si>
  <si>
    <t>_15_同援日５．０</t>
  </si>
  <si>
    <t>_15_同援日５．５</t>
  </si>
  <si>
    <t>_15_同援日６．０</t>
  </si>
  <si>
    <t>_15_同援日６．５</t>
  </si>
  <si>
    <t>_15_同援日７．０</t>
  </si>
  <si>
    <t>_15_同援日７．５</t>
  </si>
  <si>
    <t>_15_同援日８．０</t>
  </si>
  <si>
    <t>_15_同援日８．５</t>
  </si>
  <si>
    <t>_15_同援日９．０</t>
  </si>
  <si>
    <t>_15_同援日９．５</t>
  </si>
  <si>
    <t>_15_同援日１０．０</t>
  </si>
  <si>
    <t>_15_同援日１０．５</t>
  </si>
  <si>
    <t>_15_同援日増０．５</t>
    <phoneticPr fontId="13"/>
  </si>
  <si>
    <t>_15_同援日増１．０</t>
  </si>
  <si>
    <t>_15_同援日増１．５</t>
  </si>
  <si>
    <t>_15_同援日増２．０</t>
  </si>
  <si>
    <t>_15_同援日増２．５</t>
  </si>
  <si>
    <t>_15_同援日増３．０</t>
  </si>
  <si>
    <t>_15_同援日増３．５</t>
  </si>
  <si>
    <t>_15_同援日増４．０</t>
  </si>
  <si>
    <t>_15_同援日増４．５</t>
  </si>
  <si>
    <t>_15_同援日増５．０</t>
  </si>
  <si>
    <t>_15_同援日増５．５</t>
  </si>
  <si>
    <t>_15_同援日増６．０</t>
  </si>
  <si>
    <t>_15_同援日増６．５</t>
  </si>
  <si>
    <t>_15_同援日増７．０</t>
  </si>
  <si>
    <t>_15_同援日増７．５</t>
  </si>
  <si>
    <t>_15_同援日増８．０</t>
  </si>
  <si>
    <t>_15_同援日増８．５</t>
  </si>
  <si>
    <t>_15_同援日増９．０</t>
  </si>
  <si>
    <t>_15_同援日増９．５</t>
  </si>
  <si>
    <t>_15_同援日増１０．０</t>
  </si>
  <si>
    <t>_15_同援日増１０．５</t>
  </si>
  <si>
    <t>_15_同援日０．５＿０．５</t>
  </si>
  <si>
    <t>_15_同援日０．５＿１．０</t>
  </si>
  <si>
    <t>_15_同援日０．５＿１．５</t>
  </si>
  <si>
    <t>_15_同援日０．５＿２．０</t>
  </si>
  <si>
    <t>_15_同援日０．５＿２．５</t>
  </si>
  <si>
    <t>_15_同援日１．０＿０．５</t>
  </si>
  <si>
    <t>_15_同援日１．０＿１．０</t>
  </si>
  <si>
    <t>_15_同援日１．０＿１．５</t>
  </si>
  <si>
    <t>_15_同援日１．０＿２．０</t>
  </si>
  <si>
    <t>_15_同援日１．５＿０．５</t>
  </si>
  <si>
    <t>_15_同援日１．５＿１．０</t>
  </si>
  <si>
    <t>_15_同援日１．５＿１．５</t>
  </si>
  <si>
    <t>_15_同援日２．０＿０．５</t>
  </si>
  <si>
    <t>_15_同援日２．０＿１．０</t>
  </si>
  <si>
    <t>_15_同援日２．５＿０．５</t>
  </si>
  <si>
    <t>_15_同援日０．５＿０．５＿０．５</t>
  </si>
  <si>
    <t>_15_同援日０．５＿０．５＿１．０</t>
  </si>
  <si>
    <t>_15_同援日０．５＿０．５＿１．５</t>
  </si>
  <si>
    <t>_15_同援日０．５＿０．５＿２．０</t>
  </si>
  <si>
    <t>_15_同援日０．５＿１．０＿０．５</t>
  </si>
  <si>
    <t>_15_同援日０．５＿１．０＿１．０</t>
  </si>
  <si>
    <t>_15_同援日０．５＿１．０＿１．５</t>
  </si>
  <si>
    <t>_15_同援日０．５＿１．５＿０．５</t>
  </si>
  <si>
    <t>_15_同援日０．５＿１．５＿１．０</t>
  </si>
  <si>
    <t>_15_同援日０．５＿２．０＿０．５</t>
  </si>
  <si>
    <t>_15_同援日１．０＿０．５＿０．５</t>
  </si>
  <si>
    <t>_15_同援日１．０＿０．５＿１．０</t>
  </si>
  <si>
    <t>_15_同援日１．０＿０．５＿１．５</t>
  </si>
  <si>
    <t>_15_同援日１．０＿１．０＿０．５</t>
  </si>
  <si>
    <t>_15_同援日１．０＿１．０＿１．０</t>
  </si>
  <si>
    <t>_15_同援日１．０＿１．５＿０．５</t>
  </si>
  <si>
    <t>_15_同援日１．５＿０．５＿０．５</t>
  </si>
  <si>
    <t>_15_同援日１．５＿０．５＿１．０</t>
  </si>
  <si>
    <t>_15_同援日１．５＿１．０＿０．５</t>
  </si>
  <si>
    <t>_15_同援日２．０＿０．５＿０．５</t>
  </si>
  <si>
    <t>_15・基礎２</t>
  </si>
  <si>
    <t>_15・通訳</t>
  </si>
  <si>
    <t>_15・２人</t>
  </si>
  <si>
    <t>_15・A深夜</t>
  </si>
  <si>
    <t>_15・A早朝</t>
  </si>
  <si>
    <t>_15・A夜間</t>
  </si>
  <si>
    <t>_15・B深夜</t>
  </si>
  <si>
    <t>_15・B早朝</t>
  </si>
  <si>
    <t>_15・B夜間</t>
  </si>
  <si>
    <t>_15・C深夜</t>
  </si>
  <si>
    <t>_15・C夜間</t>
  </si>
  <si>
    <t>_15・盲ろう</t>
  </si>
  <si>
    <t>_15・区３</t>
  </si>
  <si>
    <t>_15・区４</t>
  </si>
  <si>
    <t>_11・重度研修</t>
    <phoneticPr fontId="13"/>
  </si>
  <si>
    <t>_11・基礎２</t>
    <phoneticPr fontId="13"/>
  </si>
  <si>
    <t>_11・基礎１</t>
    <phoneticPr fontId="13"/>
  </si>
  <si>
    <t>_11_C重度研修１．０＿０．５＿０．５</t>
    <phoneticPr fontId="13"/>
  </si>
  <si>
    <t>_11_C通院１２．０＿０．５＿０．５</t>
    <phoneticPr fontId="13"/>
  </si>
  <si>
    <t>_11_C通院１１．５＿１．０＿０．５</t>
    <phoneticPr fontId="13"/>
  </si>
  <si>
    <t>_11_C通院１１．５＿０．５＿１．０</t>
    <phoneticPr fontId="13"/>
  </si>
  <si>
    <t>_11_C通院１１．５＿０．５＿０．５</t>
    <phoneticPr fontId="13"/>
  </si>
  <si>
    <t>_11_C通院１１．０＿１．５＿０．５</t>
    <phoneticPr fontId="13"/>
  </si>
  <si>
    <t>_11_C通院１１．０＿１．０＿１．０</t>
    <phoneticPr fontId="13"/>
  </si>
  <si>
    <t>_11_C通院１１．０＿１．０＿０．５</t>
    <phoneticPr fontId="13"/>
  </si>
  <si>
    <t>_11_C通院１１．０＿０．５＿１．５</t>
    <phoneticPr fontId="13"/>
  </si>
  <si>
    <t>_11_C通院１１．０＿０．５＿１．０</t>
    <phoneticPr fontId="13"/>
  </si>
  <si>
    <t>_11_C通院１１．０＿０．５＿０．５</t>
    <phoneticPr fontId="13"/>
  </si>
  <si>
    <t>_11_C通院１０．５＿２．０＿０．５</t>
    <phoneticPr fontId="13"/>
  </si>
  <si>
    <t>_11_C通院１０．５＿１．５＿１．０</t>
    <phoneticPr fontId="13"/>
  </si>
  <si>
    <t>_11_C通院１０．５＿１．５＿０．５</t>
    <phoneticPr fontId="13"/>
  </si>
  <si>
    <t>_11_C通院１０．５＿１．０＿１．５</t>
    <phoneticPr fontId="13"/>
  </si>
  <si>
    <t>_11_C通院１０．５＿１．０＿１．０</t>
    <phoneticPr fontId="13"/>
  </si>
  <si>
    <t>_11_C通院１０．５＿０．５＿２．０</t>
    <phoneticPr fontId="13"/>
  </si>
  <si>
    <t>_11_C通院１０．５＿０．５＿１．５</t>
    <phoneticPr fontId="13"/>
  </si>
  <si>
    <t>_11_C通院１０．５＿０．５＿１．０</t>
    <phoneticPr fontId="13"/>
  </si>
  <si>
    <t>_11_C通院１０．５＿０．５＿０．５</t>
    <phoneticPr fontId="13"/>
  </si>
  <si>
    <t>_11_C身体１．５＿１．０＿０．５</t>
    <phoneticPr fontId="13"/>
  </si>
  <si>
    <t>_11_C身体１．５＿０．５＿１．０</t>
    <phoneticPr fontId="13"/>
  </si>
  <si>
    <t>_11_C身体１．５＿０．５＿０．５</t>
    <phoneticPr fontId="13"/>
  </si>
  <si>
    <t>_11_C身体１．０＿１．５＿０．５</t>
    <phoneticPr fontId="13"/>
  </si>
  <si>
    <t>_11_C身体１．０＿１．０＿１．０</t>
    <phoneticPr fontId="13"/>
  </si>
  <si>
    <t>_11_C身体１．０＿１．０＿０．５</t>
    <phoneticPr fontId="13"/>
  </si>
  <si>
    <t>_11_C身体１．０＿０．５＿１．５</t>
    <phoneticPr fontId="13"/>
  </si>
  <si>
    <t>_11_C身体１．０＿０．５＿１．０</t>
    <phoneticPr fontId="13"/>
  </si>
  <si>
    <t>_11_C身体０．５＿２．０＿０．５</t>
    <phoneticPr fontId="13"/>
  </si>
  <si>
    <t>_11_C身体０．５＿１．５＿１．０</t>
    <phoneticPr fontId="13"/>
  </si>
  <si>
    <t>_11_C身体０．５＿１．５＿０．５</t>
    <phoneticPr fontId="13"/>
  </si>
  <si>
    <t>_11_C身体０．５＿１．０＿１．５</t>
    <phoneticPr fontId="13"/>
  </si>
  <si>
    <t>_11_C身体０．５＿１．０＿１．０</t>
    <phoneticPr fontId="13"/>
  </si>
  <si>
    <t>_11_C身体０．５＿１．０＿０．５</t>
    <phoneticPr fontId="13"/>
  </si>
  <si>
    <t>_11_C身体０．５＿０．５＿２．０</t>
    <phoneticPr fontId="13"/>
  </si>
  <si>
    <t>_11_C身体０．５＿０．５＿１．５</t>
    <phoneticPr fontId="13"/>
  </si>
  <si>
    <t>_11_C身体０．５＿０．５＿１．０</t>
    <phoneticPr fontId="13"/>
  </si>
  <si>
    <t>_11_C身体０．５＿０．５＿０．５</t>
    <phoneticPr fontId="13"/>
  </si>
  <si>
    <t>_11_B重度研修１．０＿１．０</t>
    <phoneticPr fontId="13"/>
  </si>
  <si>
    <t>_11_B重度研修１．０＿０．５</t>
    <phoneticPr fontId="13"/>
  </si>
  <si>
    <t>_11_B通院１２．５＿０．５</t>
    <phoneticPr fontId="13"/>
  </si>
  <si>
    <t>_11_B通院１２．０＿１．０</t>
    <phoneticPr fontId="13"/>
  </si>
  <si>
    <t>_11_B通院１２．０＿０．５</t>
    <phoneticPr fontId="13"/>
  </si>
  <si>
    <t>_11_B通院１１．５＿１．５</t>
    <phoneticPr fontId="13"/>
  </si>
  <si>
    <t>_11_B通院１１．５＿１．０</t>
    <phoneticPr fontId="13"/>
  </si>
  <si>
    <t>_11_B通院１１．０＿２．０</t>
    <phoneticPr fontId="13"/>
  </si>
  <si>
    <t>_11_B通院１１．０＿１．５</t>
    <phoneticPr fontId="13"/>
  </si>
  <si>
    <t>_11_B通院１１．０＿１．０</t>
    <phoneticPr fontId="13"/>
  </si>
  <si>
    <t>_11_B通院１１．０＿０．５</t>
    <phoneticPr fontId="13"/>
  </si>
  <si>
    <t>_11_B通院１０．５＿２．５</t>
    <phoneticPr fontId="13"/>
  </si>
  <si>
    <t>_11_B通院１０．５＿２．０</t>
    <phoneticPr fontId="13"/>
  </si>
  <si>
    <t>_11_B通院１０．５＿１．５</t>
    <phoneticPr fontId="13"/>
  </si>
  <si>
    <t>_11_B通院１０．５＿１．０</t>
    <phoneticPr fontId="13"/>
  </si>
  <si>
    <t>_11_B通院１０．５＿０．５</t>
    <phoneticPr fontId="13"/>
  </si>
  <si>
    <t>_11_B身体２．５＿０．５</t>
    <phoneticPr fontId="13"/>
  </si>
  <si>
    <t>_11_B身体２．０＿０．５</t>
    <phoneticPr fontId="13"/>
  </si>
  <si>
    <t>_11_B身体１．５＿１．５</t>
    <phoneticPr fontId="13"/>
  </si>
  <si>
    <t>_11_B身体１．５＿１．０</t>
    <phoneticPr fontId="13"/>
  </si>
  <si>
    <t>_11_B身体１．５＿０．５</t>
    <phoneticPr fontId="13"/>
  </si>
  <si>
    <t>_11_B身体１．０＿２．０</t>
    <phoneticPr fontId="13"/>
  </si>
  <si>
    <t>_11_B身体１．０＿１．５</t>
    <phoneticPr fontId="13"/>
  </si>
  <si>
    <t>_11_B身体１．０＿０．５</t>
    <phoneticPr fontId="13"/>
  </si>
  <si>
    <t>_11_B身体０．５＿２．５</t>
    <phoneticPr fontId="13"/>
  </si>
  <si>
    <t>_11_B身体０．５＿２．０</t>
    <phoneticPr fontId="13"/>
  </si>
  <si>
    <t>_11_B身体０．５＿１．５</t>
    <phoneticPr fontId="13"/>
  </si>
  <si>
    <t>_11_B身体０．５＿１．０</t>
    <phoneticPr fontId="13"/>
  </si>
  <si>
    <t>_11_B身体０．５＿０．５</t>
    <phoneticPr fontId="13"/>
  </si>
  <si>
    <t>_11_A通院２増０．５</t>
    <phoneticPr fontId="13"/>
  </si>
  <si>
    <t>_11_A家事増０．２５</t>
    <phoneticPr fontId="13"/>
  </si>
  <si>
    <t>_11_A通院１増０．５</t>
    <phoneticPr fontId="13"/>
  </si>
  <si>
    <t>_11_A重度研修増１０．５</t>
    <phoneticPr fontId="13"/>
  </si>
  <si>
    <t>_11_A重度研修増１０．０</t>
    <phoneticPr fontId="1"/>
  </si>
  <si>
    <t>_11_A重度研修増９．５</t>
    <phoneticPr fontId="1"/>
  </si>
  <si>
    <t>_11_A重度研修増９．０</t>
    <phoneticPr fontId="1"/>
  </si>
  <si>
    <t>_11_A重度研修増８．５</t>
    <phoneticPr fontId="1"/>
  </si>
  <si>
    <t>_11_A重度研修増８．０</t>
    <phoneticPr fontId="1"/>
  </si>
  <si>
    <t>_11_A重度研修増７．５</t>
    <phoneticPr fontId="1"/>
  </si>
  <si>
    <t>_11_A重度研修増７．０</t>
    <phoneticPr fontId="1"/>
  </si>
  <si>
    <t>_11_A重度研修増６．５</t>
    <phoneticPr fontId="1"/>
  </si>
  <si>
    <t>_11_A重度研修増６．０</t>
    <phoneticPr fontId="1"/>
  </si>
  <si>
    <t>_11_A重度研修増５．５</t>
    <phoneticPr fontId="1"/>
  </si>
  <si>
    <t>_11_A重度研修増５．０</t>
    <phoneticPr fontId="1"/>
  </si>
  <si>
    <t>_11_A重度研修増４．５</t>
    <phoneticPr fontId="1"/>
  </si>
  <si>
    <t>_11_A重度研修増４．０</t>
    <phoneticPr fontId="1"/>
  </si>
  <si>
    <t>_11_A重度研修増３．５</t>
    <phoneticPr fontId="1"/>
  </si>
  <si>
    <t>_11_A重度研修増３．０</t>
    <phoneticPr fontId="1"/>
  </si>
  <si>
    <t>_11_A重度研修増２．５</t>
    <phoneticPr fontId="1"/>
  </si>
  <si>
    <t>_11_A重度研修増２．０</t>
    <phoneticPr fontId="1"/>
  </si>
  <si>
    <t>_11_A重度研修増１．５</t>
    <phoneticPr fontId="1"/>
  </si>
  <si>
    <t>_11_A重度研修増１．０</t>
    <phoneticPr fontId="1"/>
  </si>
  <si>
    <t>_11_A重度研修増０．５</t>
    <phoneticPr fontId="13"/>
  </si>
  <si>
    <t>_11_A重度研修１０．５</t>
    <phoneticPr fontId="13"/>
  </si>
  <si>
    <t>_11_A重度研修１０．０</t>
    <phoneticPr fontId="13"/>
  </si>
  <si>
    <t>_11_A重度研修９．５</t>
    <phoneticPr fontId="13"/>
  </si>
  <si>
    <t>_11_A重度研修９．０</t>
    <phoneticPr fontId="13"/>
  </si>
  <si>
    <t>_11_A重度研修８．５</t>
    <phoneticPr fontId="13"/>
  </si>
  <si>
    <t>_11_A重度研修８．０</t>
    <phoneticPr fontId="13"/>
  </si>
  <si>
    <t>_11_A重度研修７．５</t>
    <phoneticPr fontId="13"/>
  </si>
  <si>
    <t>_11_A重度研修７．０</t>
    <phoneticPr fontId="13"/>
  </si>
  <si>
    <t>_11_A重度研修６．５</t>
    <phoneticPr fontId="13"/>
  </si>
  <si>
    <t>_11_A重度研修６．０</t>
    <phoneticPr fontId="13"/>
  </si>
  <si>
    <t>_11_A重度研修５．５</t>
    <phoneticPr fontId="13"/>
  </si>
  <si>
    <t>_11_A重度研修５．０</t>
    <phoneticPr fontId="13"/>
  </si>
  <si>
    <t>_11_A重度研修４．５</t>
    <phoneticPr fontId="13"/>
  </si>
  <si>
    <t>_11_A重度研修４．０</t>
    <phoneticPr fontId="13"/>
  </si>
  <si>
    <t>_11_A重度研修３．５</t>
    <phoneticPr fontId="13"/>
  </si>
  <si>
    <t>_11_A重度研修３．０</t>
    <phoneticPr fontId="13"/>
  </si>
  <si>
    <t>_11_A重度研修２．０</t>
    <phoneticPr fontId="13"/>
  </si>
  <si>
    <t>_11_A重度研修１．５</t>
    <phoneticPr fontId="13"/>
  </si>
  <si>
    <t>_11_A重度研修１．０</t>
    <phoneticPr fontId="13"/>
  </si>
  <si>
    <t>_11_A身体増０．５</t>
    <phoneticPr fontId="13"/>
  </si>
  <si>
    <t>_11_A身体０．５</t>
    <phoneticPr fontId="13"/>
  </si>
  <si>
    <t>11_居宅介護　名前定義</t>
    <phoneticPr fontId="13"/>
  </si>
  <si>
    <t>早朝の場合 Ｂ</t>
    <phoneticPr fontId="1"/>
  </si>
  <si>
    <t>深夜の場合 Ａ</t>
    <phoneticPr fontId="1"/>
  </si>
  <si>
    <t>深夜の場合 Ａ</t>
    <phoneticPr fontId="1"/>
  </si>
  <si>
    <t>B</t>
    <phoneticPr fontId="1"/>
  </si>
  <si>
    <t>行われる場合</t>
    <phoneticPr fontId="1"/>
  </si>
  <si>
    <t>基礎研修課程修了者等により</t>
    <phoneticPr fontId="1"/>
  </si>
  <si>
    <t xml:space="preserve"> １０時間３０分未満</t>
    <phoneticPr fontId="1"/>
  </si>
  <si>
    <t xml:space="preserve"> １０時間以上</t>
    <phoneticPr fontId="1"/>
  </si>
  <si>
    <t>(21)日中</t>
    <phoneticPr fontId="1"/>
  </si>
  <si>
    <t xml:space="preserve"> １０時間未満</t>
    <phoneticPr fontId="1"/>
  </si>
  <si>
    <t xml:space="preserve"> ９時間３０分以上</t>
    <phoneticPr fontId="1"/>
  </si>
  <si>
    <t>(20)日中</t>
    <phoneticPr fontId="1"/>
  </si>
  <si>
    <t xml:space="preserve"> ９時間３０分未満</t>
    <phoneticPr fontId="1"/>
  </si>
  <si>
    <t xml:space="preserve"> ９時間以上</t>
    <phoneticPr fontId="1"/>
  </si>
  <si>
    <t>(19)日中</t>
    <phoneticPr fontId="1"/>
  </si>
  <si>
    <t>基礎研修課程修了者等により</t>
    <phoneticPr fontId="1"/>
  </si>
  <si>
    <t xml:space="preserve"> ９時間未満</t>
    <phoneticPr fontId="1"/>
  </si>
  <si>
    <t xml:space="preserve"> ８時間３０分以上</t>
    <phoneticPr fontId="1"/>
  </si>
  <si>
    <t>(18)日中</t>
    <phoneticPr fontId="1"/>
  </si>
  <si>
    <t xml:space="preserve"> ８時間３０分未満</t>
    <phoneticPr fontId="1"/>
  </si>
  <si>
    <t xml:space="preserve"> ８時間以上</t>
    <phoneticPr fontId="1"/>
  </si>
  <si>
    <t>(17)日中</t>
    <phoneticPr fontId="1"/>
  </si>
  <si>
    <t xml:space="preserve"> ８時間未満</t>
    <phoneticPr fontId="1"/>
  </si>
  <si>
    <t xml:space="preserve"> ７時間３０分以上</t>
    <phoneticPr fontId="1"/>
  </si>
  <si>
    <t>(16)日中</t>
    <phoneticPr fontId="1"/>
  </si>
  <si>
    <t xml:space="preserve"> ７時間３０分未満</t>
    <phoneticPr fontId="1"/>
  </si>
  <si>
    <t xml:space="preserve"> ７時間以上</t>
    <phoneticPr fontId="1"/>
  </si>
  <si>
    <t>(15)日中</t>
    <phoneticPr fontId="1"/>
  </si>
  <si>
    <t xml:space="preserve"> ７時間未満</t>
    <phoneticPr fontId="1"/>
  </si>
  <si>
    <t xml:space="preserve"> ６時間３０分以上</t>
    <phoneticPr fontId="1"/>
  </si>
  <si>
    <t>(14)日中</t>
    <phoneticPr fontId="1"/>
  </si>
  <si>
    <t xml:space="preserve"> ６時間３０分未満</t>
    <phoneticPr fontId="1"/>
  </si>
  <si>
    <t xml:space="preserve"> ６時間以上</t>
    <phoneticPr fontId="1"/>
  </si>
  <si>
    <t>(13)日中</t>
    <phoneticPr fontId="1"/>
  </si>
  <si>
    <t>行われる場合</t>
    <phoneticPr fontId="1"/>
  </si>
  <si>
    <t xml:space="preserve"> ６時間未満</t>
    <phoneticPr fontId="1"/>
  </si>
  <si>
    <t xml:space="preserve"> ５時間３０分以上</t>
    <phoneticPr fontId="1"/>
  </si>
  <si>
    <t>(12)日中</t>
    <phoneticPr fontId="1"/>
  </si>
  <si>
    <t xml:space="preserve"> ５時間３０分未満</t>
    <phoneticPr fontId="1"/>
  </si>
  <si>
    <t xml:space="preserve"> ５時間以上</t>
    <phoneticPr fontId="1"/>
  </si>
  <si>
    <t>(11)日中</t>
    <phoneticPr fontId="1"/>
  </si>
  <si>
    <t xml:space="preserve"> ５時間未満</t>
    <phoneticPr fontId="1"/>
  </si>
  <si>
    <t xml:space="preserve"> ４時間３０分以上</t>
    <phoneticPr fontId="1"/>
  </si>
  <si>
    <t>(10)日中</t>
    <phoneticPr fontId="1"/>
  </si>
  <si>
    <t xml:space="preserve"> ４時間３０分未満</t>
    <phoneticPr fontId="1"/>
  </si>
  <si>
    <t xml:space="preserve"> ４時間以上</t>
    <phoneticPr fontId="1"/>
  </si>
  <si>
    <t>(9)日中</t>
    <phoneticPr fontId="1"/>
  </si>
  <si>
    <t xml:space="preserve"> ４時間未満</t>
    <phoneticPr fontId="1"/>
  </si>
  <si>
    <t xml:space="preserve"> ３時間３０分以上</t>
    <phoneticPr fontId="1"/>
  </si>
  <si>
    <t>(8)日中</t>
    <phoneticPr fontId="1"/>
  </si>
  <si>
    <t xml:space="preserve"> ３時間３０分未満</t>
    <phoneticPr fontId="1"/>
  </si>
  <si>
    <t xml:space="preserve"> ３時間以上</t>
    <phoneticPr fontId="1"/>
  </si>
  <si>
    <t>(7)日中</t>
    <phoneticPr fontId="1"/>
  </si>
  <si>
    <t xml:space="preserve"> ３時間未満</t>
    <phoneticPr fontId="1"/>
  </si>
  <si>
    <t xml:space="preserve"> ２時間３０分以上</t>
    <phoneticPr fontId="1"/>
  </si>
  <si>
    <t>(6)日中</t>
    <phoneticPr fontId="1"/>
  </si>
  <si>
    <t xml:space="preserve"> ２時間３０分未満</t>
    <phoneticPr fontId="1"/>
  </si>
  <si>
    <t xml:space="preserve"> ２時間以上</t>
    <phoneticPr fontId="1"/>
  </si>
  <si>
    <t>(5)日中</t>
    <phoneticPr fontId="1"/>
  </si>
  <si>
    <t xml:space="preserve"> ２時間未満</t>
    <phoneticPr fontId="1"/>
  </si>
  <si>
    <t xml:space="preserve"> １時間３０分以上</t>
    <phoneticPr fontId="1"/>
  </si>
  <si>
    <t>(4)日中</t>
    <phoneticPr fontId="1"/>
  </si>
  <si>
    <t xml:space="preserve"> １時間３０分未満</t>
    <phoneticPr fontId="1"/>
  </si>
  <si>
    <t xml:space="preserve"> １時間以上</t>
    <phoneticPr fontId="1"/>
  </si>
  <si>
    <t>(3)日中</t>
    <phoneticPr fontId="1"/>
  </si>
  <si>
    <t xml:space="preserve"> １時間未満</t>
    <phoneticPr fontId="1"/>
  </si>
  <si>
    <t xml:space="preserve"> ３０分以上</t>
    <phoneticPr fontId="1"/>
  </si>
  <si>
    <t>(2)日中</t>
    <phoneticPr fontId="1"/>
  </si>
  <si>
    <t xml:space="preserve"> ３０分未満</t>
    <phoneticPr fontId="1"/>
  </si>
  <si>
    <t>(1)日中</t>
    <phoneticPr fontId="1"/>
  </si>
  <si>
    <t>３  同行援護サービスコード表</t>
    <phoneticPr fontId="1"/>
  </si>
  <si>
    <t xml:space="preserve"> ４時間３０分未満</t>
    <phoneticPr fontId="1"/>
  </si>
  <si>
    <t>(9)夜間</t>
    <phoneticPr fontId="1"/>
  </si>
  <si>
    <t xml:space="preserve"> ４時間未満</t>
    <phoneticPr fontId="1"/>
  </si>
  <si>
    <t xml:space="preserve"> ３時間３０分以上</t>
    <phoneticPr fontId="1"/>
  </si>
  <si>
    <t>(8)夜間</t>
    <phoneticPr fontId="1"/>
  </si>
  <si>
    <t>行われる場合</t>
    <phoneticPr fontId="1"/>
  </si>
  <si>
    <t>(7)夜間</t>
    <phoneticPr fontId="1"/>
  </si>
  <si>
    <t>基礎研修課程修了者等により</t>
    <phoneticPr fontId="1"/>
  </si>
  <si>
    <t xml:space="preserve"> ２時間３０分以上</t>
    <phoneticPr fontId="1"/>
  </si>
  <si>
    <t>(6)夜間</t>
    <phoneticPr fontId="1"/>
  </si>
  <si>
    <t xml:space="preserve"> ２時間３０分未満</t>
    <phoneticPr fontId="1"/>
  </si>
  <si>
    <t>(5)夜間</t>
    <phoneticPr fontId="1"/>
  </si>
  <si>
    <t xml:space="preserve"> ２時間未満</t>
    <phoneticPr fontId="1"/>
  </si>
  <si>
    <t xml:space="preserve"> １時間３０分以上</t>
    <phoneticPr fontId="1"/>
  </si>
  <si>
    <t>(4)夜間</t>
    <phoneticPr fontId="1"/>
  </si>
  <si>
    <t xml:space="preserve"> １時間３０分未満</t>
    <phoneticPr fontId="1"/>
  </si>
  <si>
    <t xml:space="preserve"> １時間以上</t>
    <phoneticPr fontId="1"/>
  </si>
  <si>
    <t>(3)夜間</t>
    <phoneticPr fontId="1"/>
  </si>
  <si>
    <t>場合</t>
    <phoneticPr fontId="1"/>
  </si>
  <si>
    <t xml:space="preserve"> ３０分以上</t>
    <phoneticPr fontId="1"/>
  </si>
  <si>
    <t>(2)夜間</t>
    <phoneticPr fontId="1"/>
  </si>
  <si>
    <t>基礎研修課程修了者等により</t>
    <phoneticPr fontId="1"/>
  </si>
  <si>
    <t xml:space="preserve"> ３０分未満</t>
    <phoneticPr fontId="1"/>
  </si>
  <si>
    <t>(1)夜間</t>
    <phoneticPr fontId="1"/>
  </si>
  <si>
    <t xml:space="preserve"> ２時間３０分未満</t>
    <phoneticPr fontId="1"/>
  </si>
  <si>
    <t>(5)早朝</t>
    <phoneticPr fontId="1"/>
  </si>
  <si>
    <t xml:space="preserve"> １時間３０分以上</t>
    <phoneticPr fontId="1"/>
  </si>
  <si>
    <t>(4)早朝</t>
    <phoneticPr fontId="1"/>
  </si>
  <si>
    <t>(3)早朝</t>
    <phoneticPr fontId="1"/>
  </si>
  <si>
    <t>早朝の</t>
    <phoneticPr fontId="1"/>
  </si>
  <si>
    <t>(2)早朝</t>
    <phoneticPr fontId="1"/>
  </si>
  <si>
    <t xml:space="preserve"> ３０分未満</t>
    <phoneticPr fontId="1"/>
  </si>
  <si>
    <t>(1)早朝</t>
    <phoneticPr fontId="1"/>
  </si>
  <si>
    <t>基礎研修課程修了者等により</t>
    <phoneticPr fontId="1"/>
  </si>
  <si>
    <t xml:space="preserve"> ６時間３０分未満</t>
    <phoneticPr fontId="1"/>
  </si>
  <si>
    <t xml:space="preserve"> ６時間以上</t>
    <phoneticPr fontId="1"/>
  </si>
  <si>
    <t>(13)深夜</t>
    <phoneticPr fontId="1"/>
  </si>
  <si>
    <t>行われる場合</t>
    <phoneticPr fontId="1"/>
  </si>
  <si>
    <t xml:space="preserve"> ６時間未満</t>
    <phoneticPr fontId="1"/>
  </si>
  <si>
    <t xml:space="preserve"> ５時間３０分以上</t>
    <phoneticPr fontId="1"/>
  </si>
  <si>
    <t>(12)深夜</t>
    <phoneticPr fontId="1"/>
  </si>
  <si>
    <t xml:space="preserve"> ５時間３０分未満</t>
    <phoneticPr fontId="1"/>
  </si>
  <si>
    <t xml:space="preserve"> ５時間以上</t>
    <phoneticPr fontId="1"/>
  </si>
  <si>
    <t>(11)深夜</t>
    <phoneticPr fontId="1"/>
  </si>
  <si>
    <t xml:space="preserve"> ５時間未満</t>
    <phoneticPr fontId="1"/>
  </si>
  <si>
    <t>(10)深夜</t>
    <phoneticPr fontId="1"/>
  </si>
  <si>
    <t xml:space="preserve"> ４時間３０分未満</t>
    <phoneticPr fontId="1"/>
  </si>
  <si>
    <t xml:space="preserve"> ４時間以上</t>
    <phoneticPr fontId="1"/>
  </si>
  <si>
    <t>(9)深夜</t>
    <phoneticPr fontId="1"/>
  </si>
  <si>
    <t xml:space="preserve"> ４時間未満</t>
    <phoneticPr fontId="1"/>
  </si>
  <si>
    <t>(8)深夜</t>
    <phoneticPr fontId="1"/>
  </si>
  <si>
    <t xml:space="preserve"> ３時間３０分未満</t>
    <phoneticPr fontId="1"/>
  </si>
  <si>
    <t xml:space="preserve"> ３時間以上</t>
    <phoneticPr fontId="1"/>
  </si>
  <si>
    <t>(7)深夜</t>
    <phoneticPr fontId="1"/>
  </si>
  <si>
    <t xml:space="preserve"> ３時間未満</t>
    <phoneticPr fontId="1"/>
  </si>
  <si>
    <t xml:space="preserve"> ２時間３０分以上</t>
    <phoneticPr fontId="1"/>
  </si>
  <si>
    <t>(6)深夜</t>
    <phoneticPr fontId="1"/>
  </si>
  <si>
    <t xml:space="preserve"> ２時間３０分未満</t>
    <phoneticPr fontId="1"/>
  </si>
  <si>
    <t xml:space="preserve"> ２時間以上</t>
    <phoneticPr fontId="1"/>
  </si>
  <si>
    <t>(5)深夜</t>
    <phoneticPr fontId="1"/>
  </si>
  <si>
    <t xml:space="preserve"> ２時間未満</t>
    <phoneticPr fontId="1"/>
  </si>
  <si>
    <t xml:space="preserve"> １時間３０分以上</t>
    <phoneticPr fontId="1"/>
  </si>
  <si>
    <t>(4)深夜</t>
    <phoneticPr fontId="1"/>
  </si>
  <si>
    <t xml:space="preserve"> １時間３０分未満</t>
    <phoneticPr fontId="1"/>
  </si>
  <si>
    <t>加算</t>
    <phoneticPr fontId="1"/>
  </si>
  <si>
    <t xml:space="preserve"> １時間以上</t>
    <phoneticPr fontId="1"/>
  </si>
  <si>
    <t>(3)深夜</t>
    <phoneticPr fontId="1"/>
  </si>
  <si>
    <t>場合</t>
    <phoneticPr fontId="1"/>
  </si>
  <si>
    <t xml:space="preserve"> １時間未満</t>
    <phoneticPr fontId="1"/>
  </si>
  <si>
    <t>深夜の</t>
    <phoneticPr fontId="1"/>
  </si>
  <si>
    <t xml:space="preserve"> ３０分以上</t>
    <phoneticPr fontId="1"/>
  </si>
  <si>
    <t>(2)深夜</t>
    <phoneticPr fontId="1"/>
  </si>
  <si>
    <t>(1)深夜 ３０分未満</t>
    <phoneticPr fontId="1"/>
  </si>
  <si>
    <t xml:space="preserve"> ３０分未満</t>
    <phoneticPr fontId="1"/>
  </si>
  <si>
    <t>(一)早朝</t>
    <phoneticPr fontId="1"/>
  </si>
  <si>
    <t>(5)深夜</t>
    <phoneticPr fontId="1"/>
  </si>
  <si>
    <t>(二)早朝</t>
    <phoneticPr fontId="1"/>
  </si>
  <si>
    <t>(一)早朝</t>
    <phoneticPr fontId="1"/>
  </si>
  <si>
    <t>(三)早朝</t>
    <phoneticPr fontId="1"/>
  </si>
  <si>
    <t>(3)深夜</t>
    <phoneticPr fontId="1"/>
  </si>
  <si>
    <t>(四)早朝</t>
    <phoneticPr fontId="1"/>
  </si>
  <si>
    <t>(三)早朝</t>
    <phoneticPr fontId="1"/>
  </si>
  <si>
    <t>(2)深夜</t>
    <phoneticPr fontId="1"/>
  </si>
  <si>
    <t>(五)早朝</t>
    <phoneticPr fontId="1"/>
  </si>
  <si>
    <t>場合 B</t>
    <phoneticPr fontId="1"/>
  </si>
  <si>
    <t>場合 Ａ</t>
    <phoneticPr fontId="1"/>
  </si>
  <si>
    <t>早朝の</t>
    <phoneticPr fontId="1"/>
  </si>
  <si>
    <t>深夜の</t>
    <phoneticPr fontId="1"/>
  </si>
  <si>
    <t>(1)深夜</t>
    <phoneticPr fontId="1"/>
  </si>
  <si>
    <t>B</t>
    <phoneticPr fontId="1"/>
  </si>
  <si>
    <t>A</t>
    <phoneticPr fontId="1"/>
  </si>
  <si>
    <t>行われる場合</t>
    <phoneticPr fontId="1"/>
  </si>
  <si>
    <t>基礎研修課程修了者等により</t>
    <phoneticPr fontId="1"/>
  </si>
  <si>
    <t xml:space="preserve"> ２時間３０分未満</t>
    <phoneticPr fontId="1"/>
  </si>
  <si>
    <t xml:space="preserve"> ３０分未満</t>
    <phoneticPr fontId="1"/>
  </si>
  <si>
    <t xml:space="preserve"> ２時間以上</t>
    <phoneticPr fontId="1"/>
  </si>
  <si>
    <t>(一)日中</t>
    <phoneticPr fontId="1"/>
  </si>
  <si>
    <t>(5)早朝</t>
    <phoneticPr fontId="1"/>
  </si>
  <si>
    <t xml:space="preserve"> １時間未満</t>
    <phoneticPr fontId="1"/>
  </si>
  <si>
    <t xml:space="preserve"> ３０分以上</t>
    <phoneticPr fontId="1"/>
  </si>
  <si>
    <t>(二)日中</t>
    <phoneticPr fontId="1"/>
  </si>
  <si>
    <t xml:space="preserve"> ２時間未満</t>
    <phoneticPr fontId="1"/>
  </si>
  <si>
    <t xml:space="preserve"> １時間３０分以上</t>
    <phoneticPr fontId="1"/>
  </si>
  <si>
    <t>(4)早朝</t>
    <phoneticPr fontId="1"/>
  </si>
  <si>
    <t xml:space="preserve"> １時間３０分未満</t>
    <phoneticPr fontId="1"/>
  </si>
  <si>
    <t xml:space="preserve"> １時間以上</t>
    <phoneticPr fontId="1"/>
  </si>
  <si>
    <t>(三)日中</t>
    <phoneticPr fontId="1"/>
  </si>
  <si>
    <t>(3)早朝</t>
    <phoneticPr fontId="1"/>
  </si>
  <si>
    <t>(四)日中</t>
    <phoneticPr fontId="1"/>
  </si>
  <si>
    <t>(2)早朝</t>
    <phoneticPr fontId="1"/>
  </si>
  <si>
    <t>(五)日中</t>
    <phoneticPr fontId="1"/>
  </si>
  <si>
    <t>加算</t>
    <phoneticPr fontId="1"/>
  </si>
  <si>
    <t>場合 A</t>
    <phoneticPr fontId="1"/>
  </si>
  <si>
    <t>早朝の</t>
    <phoneticPr fontId="1"/>
  </si>
  <si>
    <t>(1)早朝</t>
    <phoneticPr fontId="1"/>
  </si>
  <si>
    <t>A</t>
    <phoneticPr fontId="1"/>
  </si>
  <si>
    <t>加算</t>
    <phoneticPr fontId="1"/>
  </si>
  <si>
    <t>行われる場合</t>
    <phoneticPr fontId="1"/>
  </si>
  <si>
    <t xml:space="preserve"> ２時間未満</t>
    <phoneticPr fontId="1"/>
  </si>
  <si>
    <t>場合 B</t>
    <phoneticPr fontId="1"/>
  </si>
  <si>
    <t>場合 Ａ</t>
    <phoneticPr fontId="1"/>
  </si>
  <si>
    <t xml:space="preserve"> ３０分未満</t>
    <phoneticPr fontId="1"/>
  </si>
  <si>
    <t xml:space="preserve"> １時間３０分以上</t>
    <phoneticPr fontId="1"/>
  </si>
  <si>
    <t>深夜の</t>
    <phoneticPr fontId="1"/>
  </si>
  <si>
    <t>(一)日中</t>
    <phoneticPr fontId="1"/>
  </si>
  <si>
    <t>(一)早朝</t>
    <phoneticPr fontId="1"/>
  </si>
  <si>
    <t>(1)深夜</t>
    <phoneticPr fontId="1"/>
  </si>
  <si>
    <t>B</t>
    <phoneticPr fontId="1"/>
  </si>
  <si>
    <t>基礎研修課程修了者等により行われる場合</t>
    <phoneticPr fontId="1"/>
  </si>
  <si>
    <t xml:space="preserve"> ２時間３０分未満</t>
    <phoneticPr fontId="1"/>
  </si>
  <si>
    <t xml:space="preserve"> ２時間以上</t>
    <phoneticPr fontId="1"/>
  </si>
  <si>
    <t>(一)夜間</t>
    <phoneticPr fontId="1"/>
  </si>
  <si>
    <t xml:space="preserve"> １時間未満</t>
    <phoneticPr fontId="1"/>
  </si>
  <si>
    <t xml:space="preserve"> ３０分以上</t>
    <phoneticPr fontId="1"/>
  </si>
  <si>
    <t>(二)夜間</t>
    <phoneticPr fontId="1"/>
  </si>
  <si>
    <t>(4)日中</t>
    <phoneticPr fontId="1"/>
  </si>
  <si>
    <t xml:space="preserve"> １時間３０分未満</t>
    <phoneticPr fontId="1"/>
  </si>
  <si>
    <t xml:space="preserve"> １時間以上</t>
    <phoneticPr fontId="1"/>
  </si>
  <si>
    <t>(三)夜間</t>
    <phoneticPr fontId="1"/>
  </si>
  <si>
    <t xml:space="preserve"> １時間以上</t>
    <phoneticPr fontId="1"/>
  </si>
  <si>
    <t>(四)夜間</t>
    <phoneticPr fontId="1"/>
  </si>
  <si>
    <t>(2)日中</t>
    <phoneticPr fontId="1"/>
  </si>
  <si>
    <t>(五)夜間</t>
    <phoneticPr fontId="1"/>
  </si>
  <si>
    <t>基礎研修課程修了者等により行われる場合</t>
    <phoneticPr fontId="1"/>
  </si>
  <si>
    <t>夜間の場合 Ａ</t>
    <phoneticPr fontId="1"/>
  </si>
  <si>
    <t>(1)日中</t>
    <phoneticPr fontId="1"/>
  </si>
  <si>
    <t>行われる場合</t>
    <phoneticPr fontId="1"/>
  </si>
  <si>
    <t>基礎研修課程修了者等により</t>
    <phoneticPr fontId="1"/>
  </si>
  <si>
    <t xml:space="preserve"> ２時間３０分未満</t>
    <phoneticPr fontId="1"/>
  </si>
  <si>
    <t xml:space="preserve"> ２時間以上</t>
    <phoneticPr fontId="1"/>
  </si>
  <si>
    <t>(5)夜間</t>
    <phoneticPr fontId="1"/>
  </si>
  <si>
    <t xml:space="preserve"> ３０分以上</t>
    <phoneticPr fontId="1"/>
  </si>
  <si>
    <t>(二)深夜</t>
    <phoneticPr fontId="1"/>
  </si>
  <si>
    <t xml:space="preserve"> ２時間未満</t>
    <phoneticPr fontId="1"/>
  </si>
  <si>
    <t xml:space="preserve"> ３０分未満</t>
    <phoneticPr fontId="1"/>
  </si>
  <si>
    <t xml:space="preserve"> １時間３０分以上</t>
    <phoneticPr fontId="1"/>
  </si>
  <si>
    <t>(一)深夜</t>
    <phoneticPr fontId="1"/>
  </si>
  <si>
    <t>(4)夜間</t>
    <phoneticPr fontId="1"/>
  </si>
  <si>
    <t>(三)深夜</t>
    <phoneticPr fontId="1"/>
  </si>
  <si>
    <t>(二)深夜</t>
    <phoneticPr fontId="1"/>
  </si>
  <si>
    <t xml:space="preserve"> １時間３０分未満</t>
    <phoneticPr fontId="1"/>
  </si>
  <si>
    <t xml:space="preserve"> １時間以上</t>
    <phoneticPr fontId="1"/>
  </si>
  <si>
    <t>(3)夜間</t>
    <phoneticPr fontId="1"/>
  </si>
  <si>
    <t>(四)深夜</t>
    <phoneticPr fontId="1"/>
  </si>
  <si>
    <t>(三)深夜</t>
    <phoneticPr fontId="1"/>
  </si>
  <si>
    <t xml:space="preserve"> １時間未満</t>
    <phoneticPr fontId="1"/>
  </si>
  <si>
    <t>(2)夜間</t>
    <phoneticPr fontId="1"/>
  </si>
  <si>
    <t>(五)深夜</t>
    <phoneticPr fontId="1"/>
  </si>
  <si>
    <t>(四)深夜</t>
    <phoneticPr fontId="1"/>
  </si>
  <si>
    <t>加算</t>
    <phoneticPr fontId="1"/>
  </si>
  <si>
    <t>場合 B</t>
    <phoneticPr fontId="1"/>
  </si>
  <si>
    <t>場合 Ａ</t>
    <phoneticPr fontId="1"/>
  </si>
  <si>
    <t>深夜の</t>
    <phoneticPr fontId="1"/>
  </si>
  <si>
    <t>夜間の</t>
    <phoneticPr fontId="1"/>
  </si>
  <si>
    <t>行われる場合</t>
    <phoneticPr fontId="1"/>
  </si>
  <si>
    <t>基礎研修課程修了者等により</t>
    <phoneticPr fontId="1"/>
  </si>
  <si>
    <t xml:space="preserve"> ２時間３０分未満</t>
    <phoneticPr fontId="1"/>
  </si>
  <si>
    <t xml:space="preserve"> ３０分未満</t>
    <phoneticPr fontId="1"/>
  </si>
  <si>
    <t xml:space="preserve"> ２時間以上</t>
    <phoneticPr fontId="1"/>
  </si>
  <si>
    <t>(一)深夜</t>
    <phoneticPr fontId="1"/>
  </si>
  <si>
    <t>(5)深夜</t>
    <phoneticPr fontId="1"/>
  </si>
  <si>
    <t xml:space="preserve"> １時間未満</t>
    <phoneticPr fontId="1"/>
  </si>
  <si>
    <t>(二)深夜</t>
    <phoneticPr fontId="1"/>
  </si>
  <si>
    <t xml:space="preserve"> ２時間未満</t>
    <phoneticPr fontId="1"/>
  </si>
  <si>
    <t xml:space="preserve"> １時間３０分以上</t>
    <phoneticPr fontId="1"/>
  </si>
  <si>
    <t>(4)深夜</t>
    <phoneticPr fontId="1"/>
  </si>
  <si>
    <t xml:space="preserve"> １時間３０分未満</t>
    <phoneticPr fontId="1"/>
  </si>
  <si>
    <t>(三)深夜</t>
    <phoneticPr fontId="1"/>
  </si>
  <si>
    <t xml:space="preserve"> ３０分以上</t>
    <phoneticPr fontId="1"/>
  </si>
  <si>
    <t>(3)深夜</t>
    <phoneticPr fontId="1"/>
  </si>
  <si>
    <t>(四)深夜</t>
    <phoneticPr fontId="1"/>
  </si>
  <si>
    <t xml:space="preserve"> １時間以上</t>
    <phoneticPr fontId="1"/>
  </si>
  <si>
    <t>(一)深夜</t>
    <phoneticPr fontId="1"/>
  </si>
  <si>
    <t>(2)深夜</t>
    <phoneticPr fontId="1"/>
  </si>
  <si>
    <t>(五)深夜</t>
    <phoneticPr fontId="1"/>
  </si>
  <si>
    <t>場合 Ａ</t>
    <phoneticPr fontId="1"/>
  </si>
  <si>
    <t>深夜の</t>
    <phoneticPr fontId="1"/>
  </si>
  <si>
    <t>(1)深夜</t>
    <phoneticPr fontId="1"/>
  </si>
  <si>
    <t>行われる場合</t>
    <phoneticPr fontId="1"/>
  </si>
  <si>
    <t>基礎研修課程修了者等により</t>
    <phoneticPr fontId="1"/>
  </si>
  <si>
    <t xml:space="preserve"> ３０分未満</t>
    <phoneticPr fontId="1"/>
  </si>
  <si>
    <t xml:space="preserve"> １時間３０分以上</t>
    <phoneticPr fontId="1"/>
  </si>
  <si>
    <t>(一)日中</t>
    <phoneticPr fontId="1"/>
  </si>
  <si>
    <t>(一)早朝</t>
    <phoneticPr fontId="1"/>
  </si>
  <si>
    <t>(9)深夜</t>
    <phoneticPr fontId="1"/>
  </si>
  <si>
    <t xml:space="preserve"> １時間未満</t>
    <phoneticPr fontId="1"/>
  </si>
  <si>
    <t xml:space="preserve"> ３０分以上</t>
    <phoneticPr fontId="1"/>
  </si>
  <si>
    <t>(二)日中</t>
    <phoneticPr fontId="1"/>
  </si>
  <si>
    <t xml:space="preserve"> １時間３０分未満</t>
    <phoneticPr fontId="1"/>
  </si>
  <si>
    <t xml:space="preserve"> １時間以上</t>
    <phoneticPr fontId="1"/>
  </si>
  <si>
    <t>(8)深夜</t>
    <phoneticPr fontId="1"/>
  </si>
  <si>
    <t>(三)日中</t>
    <phoneticPr fontId="1"/>
  </si>
  <si>
    <t>(7)深夜</t>
    <phoneticPr fontId="1"/>
  </si>
  <si>
    <t xml:space="preserve"> ２時間未満</t>
    <phoneticPr fontId="1"/>
  </si>
  <si>
    <t>(四)日中</t>
    <phoneticPr fontId="1"/>
  </si>
  <si>
    <t>(6)深夜</t>
    <phoneticPr fontId="1"/>
  </si>
  <si>
    <t>(5)深夜</t>
    <phoneticPr fontId="1"/>
  </si>
  <si>
    <t>(4)深夜</t>
    <phoneticPr fontId="1"/>
  </si>
  <si>
    <t>(3)深夜</t>
    <phoneticPr fontId="1"/>
  </si>
  <si>
    <t>(2)深夜</t>
    <phoneticPr fontId="1"/>
  </si>
  <si>
    <t>場合 B</t>
    <phoneticPr fontId="1"/>
  </si>
  <si>
    <t>場合 Ａ</t>
    <phoneticPr fontId="1"/>
  </si>
  <si>
    <t>早朝の</t>
    <phoneticPr fontId="1"/>
  </si>
  <si>
    <t>深夜の</t>
    <phoneticPr fontId="1"/>
  </si>
  <si>
    <t>(1)深夜</t>
    <phoneticPr fontId="1"/>
  </si>
  <si>
    <t>B</t>
    <phoneticPr fontId="1"/>
  </si>
  <si>
    <t>(一)日中</t>
    <phoneticPr fontId="1"/>
  </si>
  <si>
    <t>(二)日中</t>
    <phoneticPr fontId="1"/>
  </si>
  <si>
    <t>(三)日中</t>
    <phoneticPr fontId="1"/>
  </si>
  <si>
    <t>(四)日中</t>
    <phoneticPr fontId="1"/>
  </si>
  <si>
    <t>(五)日中</t>
    <phoneticPr fontId="1"/>
  </si>
  <si>
    <t>加算</t>
    <phoneticPr fontId="1"/>
  </si>
  <si>
    <t>行われる場合</t>
    <phoneticPr fontId="1"/>
  </si>
  <si>
    <t>基礎研修課程修了者等により</t>
    <phoneticPr fontId="1"/>
  </si>
  <si>
    <t xml:space="preserve"> ２時間未満</t>
    <phoneticPr fontId="1"/>
  </si>
  <si>
    <t>場合 B</t>
    <phoneticPr fontId="1"/>
  </si>
  <si>
    <t>場合 A</t>
    <phoneticPr fontId="1"/>
  </si>
  <si>
    <t xml:space="preserve"> ３０分未満</t>
    <phoneticPr fontId="1"/>
  </si>
  <si>
    <t xml:space="preserve"> １時間３０分以上</t>
    <phoneticPr fontId="1"/>
  </si>
  <si>
    <t>夜間の</t>
    <phoneticPr fontId="1"/>
  </si>
  <si>
    <t>早朝の</t>
    <phoneticPr fontId="1"/>
  </si>
  <si>
    <t>(一)夜間</t>
    <phoneticPr fontId="1"/>
  </si>
  <si>
    <t>(一)日中</t>
    <phoneticPr fontId="1"/>
  </si>
  <si>
    <t>(1)早朝</t>
    <phoneticPr fontId="1"/>
  </si>
  <si>
    <t>B</t>
    <phoneticPr fontId="1"/>
  </si>
  <si>
    <t>(一)深夜</t>
    <phoneticPr fontId="1"/>
  </si>
  <si>
    <t>(9)日中</t>
    <phoneticPr fontId="1"/>
  </si>
  <si>
    <t xml:space="preserve"> １時間未満</t>
    <phoneticPr fontId="1"/>
  </si>
  <si>
    <t xml:space="preserve"> ３０分以上</t>
    <phoneticPr fontId="1"/>
  </si>
  <si>
    <t>(二)深夜</t>
    <phoneticPr fontId="1"/>
  </si>
  <si>
    <t xml:space="preserve"> １時間３０分未満</t>
    <phoneticPr fontId="1"/>
  </si>
  <si>
    <t xml:space="preserve"> １時間以上</t>
    <phoneticPr fontId="1"/>
  </si>
  <si>
    <t>(8)日中</t>
    <phoneticPr fontId="1"/>
  </si>
  <si>
    <t>(三)深夜</t>
    <phoneticPr fontId="1"/>
  </si>
  <si>
    <t>(二)深夜</t>
    <phoneticPr fontId="1"/>
  </si>
  <si>
    <t>(7)日中</t>
    <phoneticPr fontId="1"/>
  </si>
  <si>
    <t>行われる場合</t>
    <phoneticPr fontId="1"/>
  </si>
  <si>
    <t>(四)深夜</t>
    <phoneticPr fontId="1"/>
  </si>
  <si>
    <t>基礎研修課程修了者等により</t>
    <phoneticPr fontId="1"/>
  </si>
  <si>
    <t>(6)日中</t>
    <phoneticPr fontId="1"/>
  </si>
  <si>
    <t xml:space="preserve"> １時間以上</t>
    <phoneticPr fontId="1"/>
  </si>
  <si>
    <t>(5)日中</t>
    <phoneticPr fontId="1"/>
  </si>
  <si>
    <t xml:space="preserve"> １時間未満</t>
    <phoneticPr fontId="1"/>
  </si>
  <si>
    <t>(4)日中</t>
    <phoneticPr fontId="1"/>
  </si>
  <si>
    <t>(二)深夜</t>
    <phoneticPr fontId="1"/>
  </si>
  <si>
    <t xml:space="preserve"> ３０分未満</t>
    <phoneticPr fontId="1"/>
  </si>
  <si>
    <t>(3)日中</t>
    <phoneticPr fontId="1"/>
  </si>
  <si>
    <t>(2)日中</t>
    <phoneticPr fontId="1"/>
  </si>
  <si>
    <t xml:space="preserve"> ３０分以上</t>
    <phoneticPr fontId="1"/>
  </si>
  <si>
    <t>場合 Ｂ</t>
    <phoneticPr fontId="1"/>
  </si>
  <si>
    <t>場合 Ａ</t>
    <phoneticPr fontId="1"/>
  </si>
  <si>
    <t>深夜の</t>
    <phoneticPr fontId="1"/>
  </si>
  <si>
    <t>(二)夜間</t>
    <phoneticPr fontId="1"/>
  </si>
  <si>
    <t>(1)日中</t>
    <phoneticPr fontId="1"/>
  </si>
  <si>
    <t xml:space="preserve"> １０時間以上</t>
    <phoneticPr fontId="1"/>
  </si>
  <si>
    <t>(21)日中増分</t>
    <phoneticPr fontId="1"/>
  </si>
  <si>
    <t xml:space="preserve"> １０時間未満</t>
    <phoneticPr fontId="1"/>
  </si>
  <si>
    <t xml:space="preserve"> ９時間３０分以上</t>
    <phoneticPr fontId="1"/>
  </si>
  <si>
    <t>(20)日中増分</t>
    <phoneticPr fontId="1"/>
  </si>
  <si>
    <t xml:space="preserve"> ９時間３０分未満</t>
    <phoneticPr fontId="1"/>
  </si>
  <si>
    <t xml:space="preserve"> ９時間以上</t>
    <phoneticPr fontId="1"/>
  </si>
  <si>
    <t>(19)日中増分</t>
    <phoneticPr fontId="1"/>
  </si>
  <si>
    <t xml:space="preserve"> ９時間未満</t>
    <phoneticPr fontId="1"/>
  </si>
  <si>
    <t xml:space="preserve"> ８時間３０分以上</t>
    <phoneticPr fontId="1"/>
  </si>
  <si>
    <t>(18)日中増分</t>
    <phoneticPr fontId="1"/>
  </si>
  <si>
    <t xml:space="preserve"> ８時間３０分未満</t>
    <phoneticPr fontId="1"/>
  </si>
  <si>
    <t xml:space="preserve"> ８時間以上</t>
    <phoneticPr fontId="1"/>
  </si>
  <si>
    <t>(17)日中増分</t>
    <phoneticPr fontId="1"/>
  </si>
  <si>
    <t xml:space="preserve"> ８時間未満</t>
    <phoneticPr fontId="1"/>
  </si>
  <si>
    <t xml:space="preserve"> ７時間３０分以上</t>
    <phoneticPr fontId="1"/>
  </si>
  <si>
    <t>(16)日中増分</t>
    <phoneticPr fontId="1"/>
  </si>
  <si>
    <t xml:space="preserve"> ７時間３０分未満</t>
    <phoneticPr fontId="1"/>
  </si>
  <si>
    <t>(15)日中増分</t>
    <phoneticPr fontId="1"/>
  </si>
  <si>
    <t xml:space="preserve"> ７時間未満</t>
    <phoneticPr fontId="1"/>
  </si>
  <si>
    <t xml:space="preserve"> ６時間３０分以上</t>
    <phoneticPr fontId="1"/>
  </si>
  <si>
    <t>(14)日中増分</t>
    <phoneticPr fontId="1"/>
  </si>
  <si>
    <t xml:space="preserve"> ６時間３０分未満</t>
    <phoneticPr fontId="1"/>
  </si>
  <si>
    <t xml:space="preserve"> ６時間以上</t>
    <phoneticPr fontId="1"/>
  </si>
  <si>
    <t>(13)日中増分</t>
    <phoneticPr fontId="1"/>
  </si>
  <si>
    <t xml:space="preserve"> ６時間未満</t>
    <phoneticPr fontId="1"/>
  </si>
  <si>
    <t>(12)日中増分</t>
    <phoneticPr fontId="1"/>
  </si>
  <si>
    <t xml:space="preserve"> ５時間３０分未満</t>
    <phoneticPr fontId="1"/>
  </si>
  <si>
    <t xml:space="preserve"> ５時間以上</t>
    <phoneticPr fontId="1"/>
  </si>
  <si>
    <t>(11)日中増分</t>
    <phoneticPr fontId="1"/>
  </si>
  <si>
    <t xml:space="preserve"> ５時間未満</t>
    <phoneticPr fontId="1"/>
  </si>
  <si>
    <t xml:space="preserve"> ４時間３０分以上</t>
    <phoneticPr fontId="1"/>
  </si>
  <si>
    <t>(10)日中増分</t>
    <phoneticPr fontId="1"/>
  </si>
  <si>
    <t xml:space="preserve"> ４時間３０分未満</t>
    <phoneticPr fontId="1"/>
  </si>
  <si>
    <t xml:space="preserve"> ４時間以上</t>
    <phoneticPr fontId="1"/>
  </si>
  <si>
    <t>(9)日中増分</t>
    <phoneticPr fontId="1"/>
  </si>
  <si>
    <t xml:space="preserve"> ４時間未満</t>
    <phoneticPr fontId="1"/>
  </si>
  <si>
    <t xml:space="preserve"> ３時間３０分以上</t>
    <phoneticPr fontId="1"/>
  </si>
  <si>
    <t>(8)日中増分</t>
    <phoneticPr fontId="1"/>
  </si>
  <si>
    <t xml:space="preserve"> ３時間３０分未満</t>
    <phoneticPr fontId="1"/>
  </si>
  <si>
    <t xml:space="preserve"> ３時間以上</t>
    <phoneticPr fontId="1"/>
  </si>
  <si>
    <t>(7)日中増分</t>
    <phoneticPr fontId="1"/>
  </si>
  <si>
    <t xml:space="preserve"> ３時間未満</t>
    <phoneticPr fontId="1"/>
  </si>
  <si>
    <t xml:space="preserve"> ２時間３０分以上</t>
    <phoneticPr fontId="1"/>
  </si>
  <si>
    <t>(6)日中増分</t>
    <phoneticPr fontId="1"/>
  </si>
  <si>
    <t xml:space="preserve"> ２時間３０分未満</t>
    <phoneticPr fontId="1"/>
  </si>
  <si>
    <t xml:space="preserve"> ２時間以上</t>
    <phoneticPr fontId="1"/>
  </si>
  <si>
    <t>(5)日中増分</t>
    <phoneticPr fontId="1"/>
  </si>
  <si>
    <t>(4)日中増分</t>
    <phoneticPr fontId="1"/>
  </si>
  <si>
    <t>(3)日中増分</t>
    <phoneticPr fontId="1"/>
  </si>
  <si>
    <t>(2)日中増分</t>
    <phoneticPr fontId="1"/>
  </si>
  <si>
    <t>(1)日中増分</t>
    <phoneticPr fontId="1"/>
  </si>
  <si>
    <t xml:space="preserve"> ４時間３０分未満</t>
    <phoneticPr fontId="1"/>
  </si>
  <si>
    <t>(9)夜間増分</t>
    <phoneticPr fontId="1"/>
  </si>
  <si>
    <t xml:space="preserve"> ４時間未満</t>
    <phoneticPr fontId="1"/>
  </si>
  <si>
    <t xml:space="preserve"> ３時間３０分以上</t>
    <phoneticPr fontId="1"/>
  </si>
  <si>
    <t>(8)夜間増分</t>
    <phoneticPr fontId="1"/>
  </si>
  <si>
    <t xml:space="preserve"> ３時間３０分未満</t>
    <phoneticPr fontId="1"/>
  </si>
  <si>
    <t xml:space="preserve"> ３時間以上</t>
    <phoneticPr fontId="1"/>
  </si>
  <si>
    <t>(7)夜間増分</t>
    <phoneticPr fontId="1"/>
  </si>
  <si>
    <t xml:space="preserve"> ３時間未満</t>
    <phoneticPr fontId="1"/>
  </si>
  <si>
    <t xml:space="preserve"> ２時間３０分以上</t>
    <phoneticPr fontId="1"/>
  </si>
  <si>
    <t>(6)夜間増分</t>
    <phoneticPr fontId="1"/>
  </si>
  <si>
    <t>(5)夜間増分</t>
    <phoneticPr fontId="1"/>
  </si>
  <si>
    <t>(4)夜間増分</t>
    <phoneticPr fontId="1"/>
  </si>
  <si>
    <t>(3)夜間増分</t>
    <phoneticPr fontId="1"/>
  </si>
  <si>
    <t>場合</t>
    <phoneticPr fontId="1"/>
  </si>
  <si>
    <t>夜間の</t>
    <phoneticPr fontId="1"/>
  </si>
  <si>
    <t>(2)夜間増分</t>
    <phoneticPr fontId="1"/>
  </si>
  <si>
    <t>(1)夜間増分</t>
    <phoneticPr fontId="1"/>
  </si>
  <si>
    <t>(5)早朝増分</t>
    <phoneticPr fontId="1"/>
  </si>
  <si>
    <t>(4)早朝増分</t>
    <phoneticPr fontId="1"/>
  </si>
  <si>
    <t>加算</t>
    <phoneticPr fontId="1"/>
  </si>
  <si>
    <t>(3)早朝増分</t>
    <phoneticPr fontId="1"/>
  </si>
  <si>
    <t>早朝の</t>
    <phoneticPr fontId="1"/>
  </si>
  <si>
    <t>(2)早朝増分</t>
    <phoneticPr fontId="1"/>
  </si>
  <si>
    <t>(1)早朝増分</t>
    <phoneticPr fontId="1"/>
  </si>
  <si>
    <t xml:space="preserve"> ６時間３０分未満</t>
    <phoneticPr fontId="1"/>
  </si>
  <si>
    <t xml:space="preserve"> ６時間以上</t>
    <phoneticPr fontId="1"/>
  </si>
  <si>
    <t>(13)深夜増分</t>
    <phoneticPr fontId="1"/>
  </si>
  <si>
    <t>(12)深夜増分</t>
    <phoneticPr fontId="1"/>
  </si>
  <si>
    <t xml:space="preserve"> ５時間以上</t>
    <phoneticPr fontId="1"/>
  </si>
  <si>
    <t>(11)深夜増分</t>
    <phoneticPr fontId="1"/>
  </si>
  <si>
    <t xml:space="preserve"> ４時間３０分以上</t>
    <phoneticPr fontId="1"/>
  </si>
  <si>
    <t>(10)深夜増分</t>
    <phoneticPr fontId="1"/>
  </si>
  <si>
    <t xml:space="preserve"> ４時間以上</t>
    <phoneticPr fontId="1"/>
  </si>
  <si>
    <t>(9)深夜増分</t>
    <phoneticPr fontId="1"/>
  </si>
  <si>
    <t xml:space="preserve"> ４時間未満</t>
    <phoneticPr fontId="1"/>
  </si>
  <si>
    <t>(8)深夜増分</t>
    <phoneticPr fontId="1"/>
  </si>
  <si>
    <t xml:space="preserve"> ３時間以上</t>
    <phoneticPr fontId="1"/>
  </si>
  <si>
    <t>(7)深夜増分</t>
    <phoneticPr fontId="1"/>
  </si>
  <si>
    <t xml:space="preserve"> ３時間未満</t>
    <phoneticPr fontId="1"/>
  </si>
  <si>
    <t>(6)深夜増分</t>
    <phoneticPr fontId="1"/>
  </si>
  <si>
    <t>(5)深夜増分</t>
    <phoneticPr fontId="1"/>
  </si>
  <si>
    <t>(4)深夜増分</t>
    <phoneticPr fontId="1"/>
  </si>
  <si>
    <t>加算</t>
    <phoneticPr fontId="1"/>
  </si>
  <si>
    <t>(3)深夜増分</t>
    <phoneticPr fontId="1"/>
  </si>
  <si>
    <t>(2)深夜増分</t>
    <phoneticPr fontId="1"/>
  </si>
  <si>
    <t>(1)深夜増分</t>
    <phoneticPr fontId="1"/>
  </si>
  <si>
    <t xml:space="preserve"> １０時間以上 １０時間３０分未満</t>
    <phoneticPr fontId="1"/>
  </si>
  <si>
    <t>(21)日中</t>
    <phoneticPr fontId="1"/>
  </si>
  <si>
    <t xml:space="preserve"> ９時間３０分以上 １０時間未満</t>
    <phoneticPr fontId="1"/>
  </si>
  <si>
    <t>(20)日中</t>
    <phoneticPr fontId="1"/>
  </si>
  <si>
    <t xml:space="preserve"> ９時間以上 ９時間３０分未満</t>
    <phoneticPr fontId="1"/>
  </si>
  <si>
    <t>(19)日中</t>
    <phoneticPr fontId="1"/>
  </si>
  <si>
    <t xml:space="preserve"> ８時間３０分以上 ９時間未満</t>
    <phoneticPr fontId="1"/>
  </si>
  <si>
    <t>(18)日中</t>
    <phoneticPr fontId="1"/>
  </si>
  <si>
    <t xml:space="preserve"> ８時間以上 ８時間３０分未満</t>
    <phoneticPr fontId="1"/>
  </si>
  <si>
    <t>(17)日中</t>
    <phoneticPr fontId="1"/>
  </si>
  <si>
    <t xml:space="preserve"> ７時間３０分以上 ８時間未満</t>
    <phoneticPr fontId="1"/>
  </si>
  <si>
    <t>(16)日中</t>
    <phoneticPr fontId="1"/>
  </si>
  <si>
    <t xml:space="preserve"> ７時間以上 ７時間３０分未満</t>
    <phoneticPr fontId="1"/>
  </si>
  <si>
    <t>(15)日中</t>
    <phoneticPr fontId="1"/>
  </si>
  <si>
    <t xml:space="preserve"> ６時間３０分以上 ７時間未満</t>
    <phoneticPr fontId="1"/>
  </si>
  <si>
    <t>(14)日中</t>
    <phoneticPr fontId="1"/>
  </si>
  <si>
    <t xml:space="preserve"> ６時間以上 ６時間３０分未満</t>
    <phoneticPr fontId="1"/>
  </si>
  <si>
    <t>(13)日中</t>
    <phoneticPr fontId="1"/>
  </si>
  <si>
    <t xml:space="preserve"> ５時間３０分以上 ６時間未満</t>
    <phoneticPr fontId="1"/>
  </si>
  <si>
    <t>(12)日中</t>
    <phoneticPr fontId="1"/>
  </si>
  <si>
    <t xml:space="preserve"> ５時間以上 ５時間３０分未満</t>
    <phoneticPr fontId="1"/>
  </si>
  <si>
    <t>(11)日中</t>
    <phoneticPr fontId="1"/>
  </si>
  <si>
    <t xml:space="preserve"> ４時間３０分以上 ５時間未満</t>
    <phoneticPr fontId="1"/>
  </si>
  <si>
    <t>(10)日中</t>
    <phoneticPr fontId="1"/>
  </si>
  <si>
    <t xml:space="preserve"> ４時間以上 ４時間３０分未満</t>
    <phoneticPr fontId="1"/>
  </si>
  <si>
    <t>(9)日中</t>
    <phoneticPr fontId="1"/>
  </si>
  <si>
    <t xml:space="preserve"> ３時間３０分以上 ４時間未満</t>
    <phoneticPr fontId="1"/>
  </si>
  <si>
    <t>(8)日中</t>
    <phoneticPr fontId="1"/>
  </si>
  <si>
    <t xml:space="preserve"> ３時間以上 ３時間３０分未満</t>
    <phoneticPr fontId="1"/>
  </si>
  <si>
    <t>(7)日中</t>
    <phoneticPr fontId="1"/>
  </si>
  <si>
    <t xml:space="preserve"> ２時間３０分以上 ３時間未満</t>
    <phoneticPr fontId="1"/>
  </si>
  <si>
    <t>(6)日中</t>
    <phoneticPr fontId="1"/>
  </si>
  <si>
    <t xml:space="preserve"> ２時間以上 ２時間３０分未満</t>
    <phoneticPr fontId="1"/>
  </si>
  <si>
    <t>(5)日中</t>
    <phoneticPr fontId="1"/>
  </si>
  <si>
    <t xml:space="preserve"> １時間３０分以上 ２時間未満</t>
    <phoneticPr fontId="1"/>
  </si>
  <si>
    <t>盲ろう者向け通訳・介助員により</t>
    <phoneticPr fontId="1"/>
  </si>
  <si>
    <t xml:space="preserve"> １時間以上 １時間３０分未満</t>
    <phoneticPr fontId="1"/>
  </si>
  <si>
    <t>(3)日中</t>
    <phoneticPr fontId="1"/>
  </si>
  <si>
    <t xml:space="preserve"> ３０分以上 １時間未満</t>
    <phoneticPr fontId="1"/>
  </si>
  <si>
    <t xml:space="preserve"> ４時間以上 ４時間３０分未満</t>
    <phoneticPr fontId="1"/>
  </si>
  <si>
    <t>(9)夜間</t>
    <phoneticPr fontId="1"/>
  </si>
  <si>
    <t xml:space="preserve"> ３時間３０分以上 ４時間未満</t>
    <phoneticPr fontId="1"/>
  </si>
  <si>
    <t>(8)夜間</t>
    <phoneticPr fontId="1"/>
  </si>
  <si>
    <t xml:space="preserve"> ３時間以上 ３時間３０分未満</t>
    <phoneticPr fontId="1"/>
  </si>
  <si>
    <t>(7)夜間</t>
    <phoneticPr fontId="1"/>
  </si>
  <si>
    <t xml:space="preserve"> ２時間３０分以上 ３時間未満</t>
    <phoneticPr fontId="1"/>
  </si>
  <si>
    <t>(6)夜間</t>
    <phoneticPr fontId="1"/>
  </si>
  <si>
    <t>加算</t>
    <phoneticPr fontId="1"/>
  </si>
  <si>
    <t xml:space="preserve"> ２時間以上 ２時間３０分未満</t>
    <phoneticPr fontId="1"/>
  </si>
  <si>
    <t>(5)夜間</t>
    <phoneticPr fontId="1"/>
  </si>
  <si>
    <t xml:space="preserve"> １時間３０分以上 ２時間未満</t>
    <phoneticPr fontId="1"/>
  </si>
  <si>
    <t>場合</t>
    <phoneticPr fontId="1"/>
  </si>
  <si>
    <t>行われる場合</t>
    <phoneticPr fontId="1"/>
  </si>
  <si>
    <t>(4)夜間</t>
    <phoneticPr fontId="1"/>
  </si>
  <si>
    <t>夜間の</t>
    <phoneticPr fontId="1"/>
  </si>
  <si>
    <t>盲ろう者向け通訳・介助員により</t>
    <phoneticPr fontId="1"/>
  </si>
  <si>
    <t xml:space="preserve"> １時間以上 １時間３０分未満</t>
    <phoneticPr fontId="1"/>
  </si>
  <si>
    <t>(3)夜間</t>
    <phoneticPr fontId="1"/>
  </si>
  <si>
    <t xml:space="preserve"> ３０分以上 １時間未満</t>
    <phoneticPr fontId="1"/>
  </si>
  <si>
    <t>(2)夜間</t>
    <phoneticPr fontId="1"/>
  </si>
  <si>
    <t xml:space="preserve"> ３０分未満</t>
    <phoneticPr fontId="1"/>
  </si>
  <si>
    <t>(1)夜間</t>
    <phoneticPr fontId="1"/>
  </si>
  <si>
    <t>(5)早朝</t>
    <phoneticPr fontId="1"/>
  </si>
  <si>
    <t>(4)早朝</t>
    <phoneticPr fontId="1"/>
  </si>
  <si>
    <t>(3)早朝</t>
    <phoneticPr fontId="1"/>
  </si>
  <si>
    <t>早朝の</t>
    <phoneticPr fontId="1"/>
  </si>
  <si>
    <t>(2)早朝</t>
    <phoneticPr fontId="1"/>
  </si>
  <si>
    <t>(1)早朝</t>
    <phoneticPr fontId="1"/>
  </si>
  <si>
    <t xml:space="preserve"> ６時間以上 ６時間３０分未満</t>
    <phoneticPr fontId="1"/>
  </si>
  <si>
    <t>(13)深夜</t>
    <phoneticPr fontId="1"/>
  </si>
  <si>
    <t xml:space="preserve"> ５時間３０分以上 ６時間未満</t>
    <phoneticPr fontId="1"/>
  </si>
  <si>
    <t>(12)深夜</t>
    <phoneticPr fontId="1"/>
  </si>
  <si>
    <t xml:space="preserve"> ５時間以上 ５時間３０分未満</t>
    <phoneticPr fontId="1"/>
  </si>
  <si>
    <t>(11)深夜</t>
    <phoneticPr fontId="1"/>
  </si>
  <si>
    <t xml:space="preserve"> ４時間３０分以上 ５時間未満</t>
    <phoneticPr fontId="1"/>
  </si>
  <si>
    <t>(10)深夜</t>
    <phoneticPr fontId="1"/>
  </si>
  <si>
    <t xml:space="preserve"> ４時間以上 ４時間３０分未満</t>
    <phoneticPr fontId="1"/>
  </si>
  <si>
    <t xml:space="preserve"> ３時間３０分以上 ４時間未満</t>
    <phoneticPr fontId="1"/>
  </si>
  <si>
    <t xml:space="preserve"> ３時間以上 ３時間３０分未満</t>
    <phoneticPr fontId="1"/>
  </si>
  <si>
    <t xml:space="preserve"> ２時間３０分以上 ３時間未満</t>
    <phoneticPr fontId="1"/>
  </si>
  <si>
    <t xml:space="preserve"> ２時間以上 ２時間３０分未満</t>
    <phoneticPr fontId="1"/>
  </si>
  <si>
    <t xml:space="preserve"> １時間３０分以上 ２時間未満</t>
    <phoneticPr fontId="1"/>
  </si>
  <si>
    <t>場合</t>
    <phoneticPr fontId="1"/>
  </si>
  <si>
    <t>盲ろう者向け通訳・介助員により</t>
    <phoneticPr fontId="1"/>
  </si>
  <si>
    <t xml:space="preserve"> １時間以上 １時間３０分未満</t>
    <phoneticPr fontId="1"/>
  </si>
  <si>
    <t xml:space="preserve"> ３０分以上 １時間未満</t>
    <phoneticPr fontId="1"/>
  </si>
  <si>
    <t>(一)早朝</t>
    <phoneticPr fontId="1"/>
  </si>
  <si>
    <t>(5)深夜</t>
    <phoneticPr fontId="1"/>
  </si>
  <si>
    <t>(二)早朝</t>
    <phoneticPr fontId="1"/>
  </si>
  <si>
    <t xml:space="preserve"> ２時間未満</t>
    <phoneticPr fontId="1"/>
  </si>
  <si>
    <t xml:space="preserve"> １時間３０分以上</t>
    <phoneticPr fontId="1"/>
  </si>
  <si>
    <t>(4)深夜</t>
    <phoneticPr fontId="1"/>
  </si>
  <si>
    <t>(三)早朝</t>
    <phoneticPr fontId="1"/>
  </si>
  <si>
    <t xml:space="preserve"> １時間３０分未満</t>
    <phoneticPr fontId="1"/>
  </si>
  <si>
    <t xml:space="preserve"> １時間以上</t>
    <phoneticPr fontId="1"/>
  </si>
  <si>
    <t>(3)深夜</t>
    <phoneticPr fontId="1"/>
  </si>
  <si>
    <t>(四)早朝</t>
    <phoneticPr fontId="1"/>
  </si>
  <si>
    <t xml:space="preserve"> １時間未満</t>
    <phoneticPr fontId="1"/>
  </si>
  <si>
    <t xml:space="preserve"> ３０分以上</t>
    <phoneticPr fontId="1"/>
  </si>
  <si>
    <t>(2)深夜</t>
    <phoneticPr fontId="1"/>
  </si>
  <si>
    <t>(五)早朝</t>
    <phoneticPr fontId="1"/>
  </si>
  <si>
    <t>場合 Ｂ</t>
    <phoneticPr fontId="1"/>
  </si>
  <si>
    <t>場合 Ａ</t>
    <phoneticPr fontId="1"/>
  </si>
  <si>
    <t>深夜の</t>
    <phoneticPr fontId="1"/>
  </si>
  <si>
    <t>(1)深夜</t>
    <phoneticPr fontId="1"/>
  </si>
  <si>
    <t>Ｂ</t>
    <phoneticPr fontId="1"/>
  </si>
  <si>
    <t>(一)日中</t>
    <phoneticPr fontId="1"/>
  </si>
  <si>
    <t>(5)早朝</t>
    <phoneticPr fontId="1"/>
  </si>
  <si>
    <t>(二)日中</t>
    <phoneticPr fontId="1"/>
  </si>
  <si>
    <t>(三)日中</t>
    <phoneticPr fontId="1"/>
  </si>
  <si>
    <t xml:space="preserve"> ３０分以上 １時間未満</t>
    <phoneticPr fontId="1"/>
  </si>
  <si>
    <t>(二)日中</t>
    <phoneticPr fontId="1"/>
  </si>
  <si>
    <t xml:space="preserve"> １時間３０分以上 ２時間未満</t>
    <phoneticPr fontId="1"/>
  </si>
  <si>
    <t>(四)日中</t>
    <phoneticPr fontId="1"/>
  </si>
  <si>
    <t>(2)早朝</t>
    <phoneticPr fontId="1"/>
  </si>
  <si>
    <t xml:space="preserve"> ２時間以上 ２時間３０分未満</t>
    <phoneticPr fontId="1"/>
  </si>
  <si>
    <t>(五)日中</t>
    <phoneticPr fontId="1"/>
  </si>
  <si>
    <t>早朝の</t>
    <phoneticPr fontId="1"/>
  </si>
  <si>
    <t>(1)早朝</t>
    <phoneticPr fontId="1"/>
  </si>
  <si>
    <t xml:space="preserve"> １時間３０分以上 ２時間未満</t>
    <phoneticPr fontId="1"/>
  </si>
  <si>
    <t>盲ろう者向け通訳・介助員により</t>
    <phoneticPr fontId="1"/>
  </si>
  <si>
    <t>(一)早朝</t>
    <phoneticPr fontId="1"/>
  </si>
  <si>
    <t>Ｂ</t>
    <phoneticPr fontId="1"/>
  </si>
  <si>
    <t xml:space="preserve"> ２時間以上 ２時間３０分未満</t>
    <phoneticPr fontId="1"/>
  </si>
  <si>
    <t>(一)夜間</t>
    <phoneticPr fontId="1"/>
  </si>
  <si>
    <t>(5)日中</t>
    <phoneticPr fontId="1"/>
  </si>
  <si>
    <t>(二)夜間</t>
    <phoneticPr fontId="1"/>
  </si>
  <si>
    <t>(4)日中</t>
    <phoneticPr fontId="1"/>
  </si>
  <si>
    <t xml:space="preserve"> １時間以上 １時間３０分未満</t>
    <phoneticPr fontId="1"/>
  </si>
  <si>
    <t>(三)夜間</t>
    <phoneticPr fontId="1"/>
  </si>
  <si>
    <t xml:space="preserve"> ３０分以上 １時間未満</t>
    <phoneticPr fontId="1"/>
  </si>
  <si>
    <t>(二)夜間</t>
    <phoneticPr fontId="1"/>
  </si>
  <si>
    <t>(一)夜間</t>
    <phoneticPr fontId="1"/>
  </si>
  <si>
    <t>(3)日中</t>
    <phoneticPr fontId="1"/>
  </si>
  <si>
    <t xml:space="preserve"> １時間３０分以上 ２時間未満</t>
    <phoneticPr fontId="1"/>
  </si>
  <si>
    <t>(四)夜間</t>
    <phoneticPr fontId="1"/>
  </si>
  <si>
    <t xml:space="preserve"> １時間以上 １時間３０分未満</t>
    <phoneticPr fontId="1"/>
  </si>
  <si>
    <t xml:space="preserve"> ３０分以上 １時間未満</t>
    <phoneticPr fontId="1"/>
  </si>
  <si>
    <t>(二)夜間</t>
    <phoneticPr fontId="1"/>
  </si>
  <si>
    <t>(2)日中</t>
    <phoneticPr fontId="1"/>
  </si>
  <si>
    <t>(五)夜間</t>
    <phoneticPr fontId="1"/>
  </si>
  <si>
    <t>(四)夜間</t>
    <phoneticPr fontId="1"/>
  </si>
  <si>
    <t>×</t>
    <phoneticPr fontId="1"/>
  </si>
  <si>
    <t>夜間の場合 Ａ</t>
    <phoneticPr fontId="1"/>
  </si>
  <si>
    <t>盲ろう者向け通訳・介助員により行われる場合</t>
    <phoneticPr fontId="1"/>
  </si>
  <si>
    <t xml:space="preserve"> ３０分未満</t>
    <phoneticPr fontId="1"/>
  </si>
  <si>
    <t xml:space="preserve"> ２時間以上 ２時間３０分未満</t>
    <phoneticPr fontId="1"/>
  </si>
  <si>
    <t>(一)深夜</t>
    <phoneticPr fontId="1"/>
  </si>
  <si>
    <t>(5)夜間</t>
    <phoneticPr fontId="1"/>
  </si>
  <si>
    <t xml:space="preserve"> ３０分以上 １時間未満</t>
    <phoneticPr fontId="1"/>
  </si>
  <si>
    <t>(二)深夜</t>
    <phoneticPr fontId="1"/>
  </si>
  <si>
    <t xml:space="preserve"> ２時間未満</t>
    <phoneticPr fontId="1"/>
  </si>
  <si>
    <t xml:space="preserve"> １時間３０分以上</t>
    <phoneticPr fontId="1"/>
  </si>
  <si>
    <t>(4)夜間</t>
    <phoneticPr fontId="1"/>
  </si>
  <si>
    <t xml:space="preserve"> １時間以上 １時間３０分未満</t>
    <phoneticPr fontId="1"/>
  </si>
  <si>
    <t>(三)深夜</t>
    <phoneticPr fontId="1"/>
  </si>
  <si>
    <t xml:space="preserve"> １時間３０分未満</t>
    <phoneticPr fontId="1"/>
  </si>
  <si>
    <t xml:space="preserve"> １時間以上</t>
    <phoneticPr fontId="1"/>
  </si>
  <si>
    <t>(3)夜間</t>
    <phoneticPr fontId="1"/>
  </si>
  <si>
    <t xml:space="preserve"> １時間３０分以上 ２時間未満</t>
    <phoneticPr fontId="1"/>
  </si>
  <si>
    <t>(四)深夜</t>
    <phoneticPr fontId="1"/>
  </si>
  <si>
    <t xml:space="preserve"> １時間未満</t>
    <phoneticPr fontId="1"/>
  </si>
  <si>
    <t xml:space="preserve"> ３０分以上</t>
    <phoneticPr fontId="1"/>
  </si>
  <si>
    <t>(2)夜間</t>
    <phoneticPr fontId="1"/>
  </si>
  <si>
    <t>加算</t>
    <phoneticPr fontId="1"/>
  </si>
  <si>
    <t>(五)深夜</t>
    <phoneticPr fontId="1"/>
  </si>
  <si>
    <t>場合 Ｂ</t>
    <phoneticPr fontId="1"/>
  </si>
  <si>
    <t>場合 Ａ</t>
    <phoneticPr fontId="1"/>
  </si>
  <si>
    <t>行われる場合</t>
    <phoneticPr fontId="1"/>
  </si>
  <si>
    <t>深夜の</t>
    <phoneticPr fontId="1"/>
  </si>
  <si>
    <t>夜間の</t>
    <phoneticPr fontId="1"/>
  </si>
  <si>
    <t>盲ろう者向け通訳・介助員により</t>
    <phoneticPr fontId="1"/>
  </si>
  <si>
    <t>(1)夜間</t>
    <phoneticPr fontId="1"/>
  </si>
  <si>
    <t>Ｂ</t>
    <phoneticPr fontId="1"/>
  </si>
  <si>
    <t xml:space="preserve"> ３０分未満</t>
    <phoneticPr fontId="1"/>
  </si>
  <si>
    <t>(一)深夜</t>
    <phoneticPr fontId="1"/>
  </si>
  <si>
    <t xml:space="preserve"> ３０分以上 １時間未満</t>
    <phoneticPr fontId="1"/>
  </si>
  <si>
    <t>(二)深夜</t>
    <phoneticPr fontId="1"/>
  </si>
  <si>
    <t xml:space="preserve"> ２時間未満</t>
    <phoneticPr fontId="1"/>
  </si>
  <si>
    <t xml:space="preserve"> １時間３０分以上</t>
    <phoneticPr fontId="1"/>
  </si>
  <si>
    <t>(4)深夜</t>
    <phoneticPr fontId="1"/>
  </si>
  <si>
    <t xml:space="preserve"> １時間以上 １時間３０分未満</t>
    <phoneticPr fontId="1"/>
  </si>
  <si>
    <t>(三)深夜</t>
    <phoneticPr fontId="1"/>
  </si>
  <si>
    <t xml:space="preserve"> １時間３０分未満</t>
    <phoneticPr fontId="1"/>
  </si>
  <si>
    <t xml:space="preserve"> １時間以上</t>
    <phoneticPr fontId="1"/>
  </si>
  <si>
    <t>(3)深夜</t>
    <phoneticPr fontId="1"/>
  </si>
  <si>
    <t xml:space="preserve"> １時間３０分以上 ２時間未満</t>
    <phoneticPr fontId="1"/>
  </si>
  <si>
    <t>(四)深夜</t>
    <phoneticPr fontId="1"/>
  </si>
  <si>
    <t xml:space="preserve"> １時間未満</t>
    <phoneticPr fontId="1"/>
  </si>
  <si>
    <t xml:space="preserve"> ３０分以上</t>
    <phoneticPr fontId="1"/>
  </si>
  <si>
    <t>(2)深夜</t>
    <phoneticPr fontId="1"/>
  </si>
  <si>
    <t>加算</t>
    <phoneticPr fontId="1"/>
  </si>
  <si>
    <t>(五)深夜</t>
    <phoneticPr fontId="1"/>
  </si>
  <si>
    <t>場合 Ａ</t>
    <phoneticPr fontId="1"/>
  </si>
  <si>
    <t>行われる場合</t>
    <phoneticPr fontId="1"/>
  </si>
  <si>
    <t>深夜の</t>
    <phoneticPr fontId="1"/>
  </si>
  <si>
    <t>盲ろう者向け通訳・介助員により</t>
    <phoneticPr fontId="1"/>
  </si>
  <si>
    <t>(1)深夜</t>
    <phoneticPr fontId="1"/>
  </si>
  <si>
    <t xml:space="preserve"> ３０分未満</t>
    <phoneticPr fontId="1"/>
  </si>
  <si>
    <t xml:space="preserve"> １時間３０分以上 ２時間未満</t>
    <phoneticPr fontId="1"/>
  </si>
  <si>
    <t>(一)日中</t>
    <phoneticPr fontId="1"/>
  </si>
  <si>
    <t>(一)早朝</t>
    <phoneticPr fontId="1"/>
  </si>
  <si>
    <t>(9)深夜</t>
    <phoneticPr fontId="1"/>
  </si>
  <si>
    <t xml:space="preserve"> ３０分以上 １時間未満</t>
    <phoneticPr fontId="1"/>
  </si>
  <si>
    <t>(二)日中</t>
    <phoneticPr fontId="1"/>
  </si>
  <si>
    <t xml:space="preserve"> １時間３０分未満</t>
    <phoneticPr fontId="1"/>
  </si>
  <si>
    <t xml:space="preserve"> １時間以上</t>
    <phoneticPr fontId="1"/>
  </si>
  <si>
    <t>(8)深夜</t>
    <phoneticPr fontId="1"/>
  </si>
  <si>
    <t xml:space="preserve"> １時間以上 １時間３０分未満</t>
    <phoneticPr fontId="1"/>
  </si>
  <si>
    <t>(三)日中</t>
    <phoneticPr fontId="1"/>
  </si>
  <si>
    <t xml:space="preserve"> １時間未満</t>
    <phoneticPr fontId="1"/>
  </si>
  <si>
    <t xml:space="preserve"> ３０分以上</t>
    <phoneticPr fontId="1"/>
  </si>
  <si>
    <t>(7)深夜</t>
    <phoneticPr fontId="1"/>
  </si>
  <si>
    <t>(四)日中</t>
    <phoneticPr fontId="1"/>
  </si>
  <si>
    <t>(6)深夜</t>
    <phoneticPr fontId="1"/>
  </si>
  <si>
    <t>(5)深夜</t>
    <phoneticPr fontId="1"/>
  </si>
  <si>
    <t>(4)深夜</t>
    <phoneticPr fontId="1"/>
  </si>
  <si>
    <t>加算</t>
    <phoneticPr fontId="1"/>
  </si>
  <si>
    <t>場合 Ｂ</t>
    <phoneticPr fontId="1"/>
  </si>
  <si>
    <t>場合 Ａ</t>
    <phoneticPr fontId="1"/>
  </si>
  <si>
    <t>行われる場合</t>
    <phoneticPr fontId="1"/>
  </si>
  <si>
    <t>(3)深夜</t>
    <phoneticPr fontId="1"/>
  </si>
  <si>
    <t>早朝の</t>
    <phoneticPr fontId="1"/>
  </si>
  <si>
    <t>深夜の</t>
    <phoneticPr fontId="1"/>
  </si>
  <si>
    <t>盲ろう者向け通訳・介助員により</t>
    <phoneticPr fontId="1"/>
  </si>
  <si>
    <t>(2)深夜</t>
    <phoneticPr fontId="1"/>
  </si>
  <si>
    <t>(1)深夜</t>
    <phoneticPr fontId="1"/>
  </si>
  <si>
    <t>Ｂ</t>
    <phoneticPr fontId="1"/>
  </si>
  <si>
    <t>(一)日中</t>
    <phoneticPr fontId="1"/>
  </si>
  <si>
    <t>(二)日中</t>
    <phoneticPr fontId="1"/>
  </si>
  <si>
    <t>(三)日中</t>
    <phoneticPr fontId="1"/>
  </si>
  <si>
    <t>(四)日中</t>
    <phoneticPr fontId="1"/>
  </si>
  <si>
    <t>(五)日中</t>
    <phoneticPr fontId="1"/>
  </si>
  <si>
    <t xml:space="preserve"> １時間３０分以上 ２時間未満</t>
    <phoneticPr fontId="1"/>
  </si>
  <si>
    <t>夜間の場合 B</t>
    <phoneticPr fontId="1"/>
  </si>
  <si>
    <t>早朝の場合 A</t>
    <phoneticPr fontId="1"/>
  </si>
  <si>
    <t>盲ろう者向け通訳・介助員により</t>
    <phoneticPr fontId="1"/>
  </si>
  <si>
    <t>(一)夜間</t>
    <phoneticPr fontId="1"/>
  </si>
  <si>
    <t>B</t>
    <phoneticPr fontId="1"/>
  </si>
  <si>
    <t>(9)日中</t>
    <phoneticPr fontId="1"/>
  </si>
  <si>
    <t xml:space="preserve"> ３０分以上 １時間未満</t>
    <phoneticPr fontId="1"/>
  </si>
  <si>
    <t>(二)深夜</t>
    <phoneticPr fontId="1"/>
  </si>
  <si>
    <t>(一)深夜</t>
    <phoneticPr fontId="1"/>
  </si>
  <si>
    <t>(8)日中</t>
    <phoneticPr fontId="1"/>
  </si>
  <si>
    <t xml:space="preserve"> １時間以上 １時間３０分未満</t>
    <phoneticPr fontId="1"/>
  </si>
  <si>
    <t>(7)日中</t>
    <phoneticPr fontId="1"/>
  </si>
  <si>
    <t>(四)深夜</t>
    <phoneticPr fontId="1"/>
  </si>
  <si>
    <t>(三)深夜</t>
    <phoneticPr fontId="1"/>
  </si>
  <si>
    <t>(6)日中</t>
    <phoneticPr fontId="1"/>
  </si>
  <si>
    <t>(5)日中</t>
    <phoneticPr fontId="1"/>
  </si>
  <si>
    <t>(一)夜間</t>
    <phoneticPr fontId="1"/>
  </si>
  <si>
    <t>(4)日中</t>
    <phoneticPr fontId="1"/>
  </si>
  <si>
    <t>(2)日中</t>
    <phoneticPr fontId="1"/>
  </si>
  <si>
    <t>(二)夜間</t>
    <phoneticPr fontId="1"/>
  </si>
  <si>
    <t>(1)日中</t>
    <phoneticPr fontId="1"/>
  </si>
  <si>
    <t xml:space="preserve"> １０時間以上 １０時間３０分未満</t>
    <phoneticPr fontId="1"/>
  </si>
  <si>
    <t>(21)日中増分</t>
    <phoneticPr fontId="1"/>
  </si>
  <si>
    <t xml:space="preserve"> ９時間３０分以上 １０時間未満</t>
    <phoneticPr fontId="1"/>
  </si>
  <si>
    <t>(20)日中増分</t>
    <phoneticPr fontId="1"/>
  </si>
  <si>
    <t xml:space="preserve"> ９時間以上 ９時間３０分未満</t>
    <phoneticPr fontId="1"/>
  </si>
  <si>
    <t>(19)日中増分</t>
    <phoneticPr fontId="1"/>
  </si>
  <si>
    <t xml:space="preserve"> ８時間３０分以上 ９時間未満</t>
    <phoneticPr fontId="1"/>
  </si>
  <si>
    <t>(18)日中増分</t>
    <phoneticPr fontId="1"/>
  </si>
  <si>
    <t xml:space="preserve"> ８時間以上 ８時間３０分未満</t>
    <phoneticPr fontId="1"/>
  </si>
  <si>
    <t>(17)日中増分</t>
    <phoneticPr fontId="1"/>
  </si>
  <si>
    <t xml:space="preserve"> ７時間３０分以上 ８時間未満</t>
    <phoneticPr fontId="1"/>
  </si>
  <si>
    <t>(16)日中増分</t>
    <phoneticPr fontId="1"/>
  </si>
  <si>
    <t xml:space="preserve"> ７時間以上 ７時間３０分未満</t>
    <phoneticPr fontId="1"/>
  </si>
  <si>
    <t>(15)日中増分</t>
    <phoneticPr fontId="1"/>
  </si>
  <si>
    <t xml:space="preserve"> ６時間３０分以上 ７時間未満</t>
    <phoneticPr fontId="1"/>
  </si>
  <si>
    <t>(14)日中増分</t>
    <phoneticPr fontId="1"/>
  </si>
  <si>
    <t xml:space="preserve"> ６時間以上 ６時間３０分未満</t>
    <phoneticPr fontId="1"/>
  </si>
  <si>
    <t>(13)日中増分</t>
    <phoneticPr fontId="1"/>
  </si>
  <si>
    <t xml:space="preserve"> ５時間３０分以上 ６時間未満</t>
    <phoneticPr fontId="1"/>
  </si>
  <si>
    <t>(12)日中増分</t>
    <phoneticPr fontId="1"/>
  </si>
  <si>
    <t xml:space="preserve"> ５時間以上 ５時間３０分未満</t>
    <phoneticPr fontId="1"/>
  </si>
  <si>
    <t>(11)日中増分</t>
    <phoneticPr fontId="1"/>
  </si>
  <si>
    <t xml:space="preserve"> ４時間３０分以上 ５時間未満</t>
    <phoneticPr fontId="1"/>
  </si>
  <si>
    <t>(10)日中増分</t>
    <phoneticPr fontId="1"/>
  </si>
  <si>
    <t xml:space="preserve"> ４時間以上 ４時間３０分未満</t>
    <phoneticPr fontId="1"/>
  </si>
  <si>
    <t>(9)日中増分</t>
    <phoneticPr fontId="1"/>
  </si>
  <si>
    <t xml:space="preserve"> ３時間３０分以上 ４時間未満</t>
    <phoneticPr fontId="1"/>
  </si>
  <si>
    <t>(8)日中増分</t>
    <phoneticPr fontId="1"/>
  </si>
  <si>
    <t xml:space="preserve"> ３時間以上 ３時間３０分未満</t>
    <phoneticPr fontId="1"/>
  </si>
  <si>
    <t>(7)日中増分</t>
    <phoneticPr fontId="1"/>
  </si>
  <si>
    <t xml:space="preserve"> ２時間３０分以上 ３時間未満</t>
    <phoneticPr fontId="1"/>
  </si>
  <si>
    <t>(6)日中増分</t>
    <phoneticPr fontId="1"/>
  </si>
  <si>
    <t xml:space="preserve"> ２時間以上 ２時間３０分未満</t>
    <phoneticPr fontId="1"/>
  </si>
  <si>
    <t>(5)日中増分</t>
    <phoneticPr fontId="1"/>
  </si>
  <si>
    <t xml:space="preserve"> １時間３０分以上 ２時間未満</t>
    <phoneticPr fontId="1"/>
  </si>
  <si>
    <t>(4)日中増分</t>
    <phoneticPr fontId="1"/>
  </si>
  <si>
    <t>盲ろう者向け通訳・介助員により</t>
    <phoneticPr fontId="1"/>
  </si>
  <si>
    <t xml:space="preserve"> １時間以上 １時間３０分未満</t>
    <phoneticPr fontId="1"/>
  </si>
  <si>
    <t>(3)日中増分</t>
    <phoneticPr fontId="1"/>
  </si>
  <si>
    <t xml:space="preserve"> ３０分以上 １時間未満</t>
    <phoneticPr fontId="1"/>
  </si>
  <si>
    <t>(2)日中増分</t>
    <phoneticPr fontId="1"/>
  </si>
  <si>
    <t>(1)日中増分</t>
    <phoneticPr fontId="1"/>
  </si>
  <si>
    <t xml:space="preserve"> ４時間以上 ４時間３０分未満</t>
    <phoneticPr fontId="1"/>
  </si>
  <si>
    <t>(9)夜間増分</t>
    <phoneticPr fontId="1"/>
  </si>
  <si>
    <t xml:space="preserve"> ３時間３０分以上 ４時間未満</t>
    <phoneticPr fontId="1"/>
  </si>
  <si>
    <t>(8)夜間増分</t>
    <phoneticPr fontId="1"/>
  </si>
  <si>
    <t xml:space="preserve"> ３時間以上 ３時間３０分未満</t>
    <phoneticPr fontId="1"/>
  </si>
  <si>
    <t>(7)夜間増分</t>
    <phoneticPr fontId="1"/>
  </si>
  <si>
    <t xml:space="preserve"> ２時間３０分以上 ３時間未満</t>
    <phoneticPr fontId="1"/>
  </si>
  <si>
    <t>加算</t>
    <phoneticPr fontId="1"/>
  </si>
  <si>
    <t xml:space="preserve"> ２時間以上 ２時間３０分未満</t>
    <phoneticPr fontId="1"/>
  </si>
  <si>
    <t>(5)夜間増分</t>
    <phoneticPr fontId="1"/>
  </si>
  <si>
    <t xml:space="preserve"> １時間３０分以上 ２時間未満</t>
    <phoneticPr fontId="1"/>
  </si>
  <si>
    <t>場合 Ａ</t>
    <phoneticPr fontId="1"/>
  </si>
  <si>
    <t>行われる場合</t>
    <phoneticPr fontId="1"/>
  </si>
  <si>
    <t>(4)夜間増分</t>
    <phoneticPr fontId="1"/>
  </si>
  <si>
    <t>夜間の</t>
    <phoneticPr fontId="1"/>
  </si>
  <si>
    <t>盲ろう者向け通訳・介助員により</t>
    <phoneticPr fontId="1"/>
  </si>
  <si>
    <t xml:space="preserve"> １時間以上 １時間３０分未満</t>
    <phoneticPr fontId="1"/>
  </si>
  <si>
    <t>(3)夜間増分</t>
    <phoneticPr fontId="1"/>
  </si>
  <si>
    <t>(2)夜間増分</t>
    <phoneticPr fontId="1"/>
  </si>
  <si>
    <t xml:space="preserve"> ３０分未満</t>
    <phoneticPr fontId="1"/>
  </si>
  <si>
    <t>(1)夜間増分</t>
    <phoneticPr fontId="1"/>
  </si>
  <si>
    <t>(5)早朝増分</t>
    <phoneticPr fontId="1"/>
  </si>
  <si>
    <t>(4)早朝増分</t>
    <phoneticPr fontId="1"/>
  </si>
  <si>
    <t xml:space="preserve"> １時間以上 １時間３０分未満</t>
    <phoneticPr fontId="1"/>
  </si>
  <si>
    <t>(3)早朝増分</t>
    <phoneticPr fontId="1"/>
  </si>
  <si>
    <t>場合</t>
    <phoneticPr fontId="1"/>
  </si>
  <si>
    <t xml:space="preserve"> ３０分以上 １時間未満</t>
    <phoneticPr fontId="1"/>
  </si>
  <si>
    <t>早朝の</t>
    <phoneticPr fontId="1"/>
  </si>
  <si>
    <t>(2)早朝増分</t>
    <phoneticPr fontId="1"/>
  </si>
  <si>
    <t>(1)早朝増分</t>
    <phoneticPr fontId="1"/>
  </si>
  <si>
    <t xml:space="preserve"> ６時間以上 ６時間３０分未満</t>
    <phoneticPr fontId="1"/>
  </si>
  <si>
    <t>(13)深夜増分</t>
    <phoneticPr fontId="1"/>
  </si>
  <si>
    <t xml:space="preserve"> ５時間３０分以上 ６時間未満</t>
    <phoneticPr fontId="1"/>
  </si>
  <si>
    <t>(12)深夜増分</t>
    <phoneticPr fontId="1"/>
  </si>
  <si>
    <t xml:space="preserve"> ５時間以上 ５時間３０分未満</t>
    <phoneticPr fontId="1"/>
  </si>
  <si>
    <t>(11)深夜増分</t>
    <phoneticPr fontId="1"/>
  </si>
  <si>
    <t xml:space="preserve"> ４時間３０分以上 ５時間未満</t>
    <phoneticPr fontId="1"/>
  </si>
  <si>
    <t>(10)深夜増分</t>
    <phoneticPr fontId="1"/>
  </si>
  <si>
    <t xml:space="preserve"> ４時間以上 ４時間３０分未満</t>
    <phoneticPr fontId="1"/>
  </si>
  <si>
    <t>(9)深夜増分</t>
    <phoneticPr fontId="1"/>
  </si>
  <si>
    <t xml:space="preserve"> ３時間３０分以上 ４時間未満</t>
    <phoneticPr fontId="1"/>
  </si>
  <si>
    <t>(8)深夜増分</t>
    <phoneticPr fontId="1"/>
  </si>
  <si>
    <t xml:space="preserve"> ３時間以上 ３時間３０分未満</t>
    <phoneticPr fontId="1"/>
  </si>
  <si>
    <t>(7)深夜増分</t>
    <phoneticPr fontId="1"/>
  </si>
  <si>
    <t xml:space="preserve"> ２時間３０分以上 ３時間未満</t>
    <phoneticPr fontId="1"/>
  </si>
  <si>
    <t>(6)深夜増分</t>
    <phoneticPr fontId="1"/>
  </si>
  <si>
    <t xml:space="preserve"> ２時間以上 ２時間３０分未満</t>
    <phoneticPr fontId="1"/>
  </si>
  <si>
    <t>(5)深夜増分</t>
    <phoneticPr fontId="1"/>
  </si>
  <si>
    <t>場合</t>
    <phoneticPr fontId="1"/>
  </si>
  <si>
    <t>(4)深夜増分</t>
    <phoneticPr fontId="1"/>
  </si>
  <si>
    <t>(3)深夜増分</t>
    <phoneticPr fontId="1"/>
  </si>
  <si>
    <t>(2)深夜増分</t>
    <phoneticPr fontId="1"/>
  </si>
  <si>
    <t>(1)深夜増分</t>
    <phoneticPr fontId="1"/>
  </si>
  <si>
    <t xml:space="preserve"> １０時間３０分未満</t>
    <phoneticPr fontId="1"/>
  </si>
  <si>
    <t xml:space="preserve"> １０時間以上</t>
    <phoneticPr fontId="1"/>
  </si>
  <si>
    <t>(21)日中</t>
    <phoneticPr fontId="1"/>
  </si>
  <si>
    <t xml:space="preserve"> １０時間未満</t>
    <phoneticPr fontId="1"/>
  </si>
  <si>
    <t xml:space="preserve"> ９時間３０分以上</t>
    <phoneticPr fontId="1"/>
  </si>
  <si>
    <t>(20)日中</t>
    <phoneticPr fontId="1"/>
  </si>
  <si>
    <t xml:space="preserve"> ９時間３０分未満</t>
    <phoneticPr fontId="1"/>
  </si>
  <si>
    <t xml:space="preserve"> ９時間以上</t>
    <phoneticPr fontId="1"/>
  </si>
  <si>
    <t>(19)日中</t>
    <phoneticPr fontId="1"/>
  </si>
  <si>
    <t xml:space="preserve"> ９時間未満</t>
    <phoneticPr fontId="1"/>
  </si>
  <si>
    <t xml:space="preserve"> ８時間３０分以上</t>
    <phoneticPr fontId="1"/>
  </si>
  <si>
    <t>(18)日中</t>
    <phoneticPr fontId="1"/>
  </si>
  <si>
    <t xml:space="preserve"> ８時間３０分未満</t>
    <phoneticPr fontId="1"/>
  </si>
  <si>
    <t xml:space="preserve"> ８時間以上</t>
    <phoneticPr fontId="1"/>
  </si>
  <si>
    <t>(17)日中</t>
    <phoneticPr fontId="1"/>
  </si>
  <si>
    <t xml:space="preserve"> ８時間未満</t>
    <phoneticPr fontId="1"/>
  </si>
  <si>
    <t xml:space="preserve"> ７時間３０分以上</t>
    <phoneticPr fontId="1"/>
  </si>
  <si>
    <t>(16)日中</t>
    <phoneticPr fontId="1"/>
  </si>
  <si>
    <t xml:space="preserve"> ７時間３０分未満</t>
    <phoneticPr fontId="1"/>
  </si>
  <si>
    <t xml:space="preserve"> ７時間以上</t>
    <phoneticPr fontId="1"/>
  </si>
  <si>
    <t>(15)日中</t>
    <phoneticPr fontId="1"/>
  </si>
  <si>
    <t xml:space="preserve"> ７時間未満</t>
    <phoneticPr fontId="1"/>
  </si>
  <si>
    <t xml:space="preserve"> ６時間３０分以上</t>
    <phoneticPr fontId="1"/>
  </si>
  <si>
    <t>(14)日中</t>
    <phoneticPr fontId="1"/>
  </si>
  <si>
    <t xml:space="preserve"> ６時間３０分未満</t>
    <phoneticPr fontId="1"/>
  </si>
  <si>
    <t xml:space="preserve"> ６時間以上</t>
    <phoneticPr fontId="1"/>
  </si>
  <si>
    <t>(13)日中</t>
    <phoneticPr fontId="1"/>
  </si>
  <si>
    <t xml:space="preserve"> ６時間未満</t>
    <phoneticPr fontId="1"/>
  </si>
  <si>
    <t xml:space="preserve"> ５時間３０分以上</t>
    <phoneticPr fontId="1"/>
  </si>
  <si>
    <t>(12)日中</t>
    <phoneticPr fontId="1"/>
  </si>
  <si>
    <t xml:space="preserve"> ５時間３０分未満</t>
    <phoneticPr fontId="1"/>
  </si>
  <si>
    <t xml:space="preserve"> ５時間以上</t>
    <phoneticPr fontId="1"/>
  </si>
  <si>
    <t>(11)日中</t>
    <phoneticPr fontId="1"/>
  </si>
  <si>
    <t xml:space="preserve"> ５時間未満</t>
    <phoneticPr fontId="1"/>
  </si>
  <si>
    <t xml:space="preserve"> ４時間３０分以上</t>
    <phoneticPr fontId="1"/>
  </si>
  <si>
    <t>(10)日中</t>
    <phoneticPr fontId="1"/>
  </si>
  <si>
    <t xml:space="preserve"> ４時間３０分未満</t>
    <phoneticPr fontId="1"/>
  </si>
  <si>
    <t xml:space="preserve"> ４時間以上</t>
    <phoneticPr fontId="1"/>
  </si>
  <si>
    <t>(9)日中</t>
    <phoneticPr fontId="1"/>
  </si>
  <si>
    <t xml:space="preserve"> ４時間未満</t>
    <phoneticPr fontId="1"/>
  </si>
  <si>
    <t xml:space="preserve"> ３時間３０分以上</t>
    <phoneticPr fontId="1"/>
  </si>
  <si>
    <t>(8)日中</t>
    <phoneticPr fontId="1"/>
  </si>
  <si>
    <t xml:space="preserve"> ３時間３０分未満</t>
    <phoneticPr fontId="1"/>
  </si>
  <si>
    <t xml:space="preserve"> ３時間以上</t>
    <phoneticPr fontId="1"/>
  </si>
  <si>
    <t>(7)日中</t>
    <phoneticPr fontId="1"/>
  </si>
  <si>
    <t xml:space="preserve"> ３時間未満</t>
    <phoneticPr fontId="1"/>
  </si>
  <si>
    <t xml:space="preserve"> ２時間３０分以上</t>
    <phoneticPr fontId="1"/>
  </si>
  <si>
    <t>(6)日中</t>
    <phoneticPr fontId="1"/>
  </si>
  <si>
    <t>(5)日中</t>
    <phoneticPr fontId="1"/>
  </si>
  <si>
    <t>(4)日中</t>
    <phoneticPr fontId="1"/>
  </si>
  <si>
    <t>(3)日中</t>
    <phoneticPr fontId="1"/>
  </si>
  <si>
    <t>(2)日中</t>
    <phoneticPr fontId="1"/>
  </si>
  <si>
    <t>(1)日中</t>
    <phoneticPr fontId="1"/>
  </si>
  <si>
    <t>基礎研修課程修了者等により</t>
    <phoneticPr fontId="1"/>
  </si>
  <si>
    <t xml:space="preserve"> ４時間３０分未満</t>
    <phoneticPr fontId="1"/>
  </si>
  <si>
    <t xml:space="preserve"> ４時間以上</t>
    <phoneticPr fontId="1"/>
  </si>
  <si>
    <t>(9)夜間</t>
    <phoneticPr fontId="1"/>
  </si>
  <si>
    <t xml:space="preserve"> ４時間未満</t>
    <phoneticPr fontId="1"/>
  </si>
  <si>
    <t xml:space="preserve"> ３時間３０分以上</t>
    <phoneticPr fontId="1"/>
  </si>
  <si>
    <t>(8)夜間</t>
    <phoneticPr fontId="1"/>
  </si>
  <si>
    <t xml:space="preserve"> ３時間３０分未満</t>
    <phoneticPr fontId="1"/>
  </si>
  <si>
    <t xml:space="preserve"> ３時間以上</t>
    <phoneticPr fontId="1"/>
  </si>
  <si>
    <t>(7)夜間</t>
    <phoneticPr fontId="1"/>
  </si>
  <si>
    <t xml:space="preserve"> ３時間未満</t>
    <phoneticPr fontId="1"/>
  </si>
  <si>
    <t xml:space="preserve"> ２時間３０分以上</t>
    <phoneticPr fontId="1"/>
  </si>
  <si>
    <t>(6)夜間</t>
    <phoneticPr fontId="1"/>
  </si>
  <si>
    <t xml:space="preserve"> ２時間３０分未満</t>
    <phoneticPr fontId="1"/>
  </si>
  <si>
    <t xml:space="preserve"> ２時間以上</t>
    <phoneticPr fontId="1"/>
  </si>
  <si>
    <t>(5)夜間</t>
    <phoneticPr fontId="1"/>
  </si>
  <si>
    <t>(4)夜間</t>
    <phoneticPr fontId="1"/>
  </si>
  <si>
    <t>(3)夜間</t>
    <phoneticPr fontId="1"/>
  </si>
  <si>
    <t>夜間の</t>
    <phoneticPr fontId="1"/>
  </si>
  <si>
    <t>(2)夜間</t>
    <phoneticPr fontId="1"/>
  </si>
  <si>
    <t>(1)夜間</t>
    <phoneticPr fontId="1"/>
  </si>
  <si>
    <t>(5)早朝</t>
    <phoneticPr fontId="1"/>
  </si>
  <si>
    <t>(3)早朝</t>
    <phoneticPr fontId="1"/>
  </si>
  <si>
    <t>早朝の</t>
    <phoneticPr fontId="1"/>
  </si>
  <si>
    <t>(2)早朝</t>
    <phoneticPr fontId="1"/>
  </si>
  <si>
    <t>(1)早朝</t>
    <phoneticPr fontId="1"/>
  </si>
  <si>
    <t>(13)深夜</t>
    <phoneticPr fontId="1"/>
  </si>
  <si>
    <t>(12)深夜</t>
    <phoneticPr fontId="1"/>
  </si>
  <si>
    <t>(11)深夜</t>
    <phoneticPr fontId="1"/>
  </si>
  <si>
    <t>(10)深夜</t>
    <phoneticPr fontId="1"/>
  </si>
  <si>
    <t>(9)深夜</t>
    <phoneticPr fontId="1"/>
  </si>
  <si>
    <t>(8)深夜</t>
    <phoneticPr fontId="1"/>
  </si>
  <si>
    <t>(7)深夜</t>
    <phoneticPr fontId="1"/>
  </si>
  <si>
    <t>(6)深夜</t>
    <phoneticPr fontId="1"/>
  </si>
  <si>
    <t>(5)深夜</t>
    <phoneticPr fontId="1"/>
  </si>
  <si>
    <t>(4)深夜</t>
    <phoneticPr fontId="1"/>
  </si>
  <si>
    <t>場合</t>
    <phoneticPr fontId="1"/>
  </si>
  <si>
    <t>(1)深夜</t>
    <phoneticPr fontId="1"/>
  </si>
  <si>
    <t>基礎研修課程修了者等により</t>
    <phoneticPr fontId="1"/>
  </si>
  <si>
    <t>早朝の場合 Ａ</t>
    <phoneticPr fontId="1"/>
  </si>
  <si>
    <t>(1)早朝</t>
    <phoneticPr fontId="1"/>
  </si>
  <si>
    <t>(2)深夜</t>
    <phoneticPr fontId="1"/>
  </si>
  <si>
    <t>場合 Ｂ</t>
    <phoneticPr fontId="1"/>
  </si>
  <si>
    <t>(二)早朝</t>
    <phoneticPr fontId="1"/>
  </si>
  <si>
    <t>Ｂ</t>
    <phoneticPr fontId="1"/>
  </si>
  <si>
    <t>(一)深夜</t>
    <phoneticPr fontId="1"/>
  </si>
  <si>
    <t>加算</t>
    <phoneticPr fontId="1"/>
  </si>
  <si>
    <t>深夜の場合 Ａ</t>
    <phoneticPr fontId="1"/>
  </si>
  <si>
    <t>(1)深夜</t>
    <phoneticPr fontId="1"/>
  </si>
  <si>
    <t>(2)夜間</t>
    <phoneticPr fontId="1"/>
  </si>
  <si>
    <t>場合 Ｂ</t>
    <phoneticPr fontId="1"/>
  </si>
  <si>
    <t>(二)深夜</t>
    <phoneticPr fontId="1"/>
  </si>
  <si>
    <t>夜間の</t>
    <phoneticPr fontId="1"/>
  </si>
  <si>
    <t>(1)夜間</t>
    <phoneticPr fontId="1"/>
  </si>
  <si>
    <t>場合 Ｂ</t>
    <phoneticPr fontId="1"/>
  </si>
  <si>
    <t>場合 Ａ</t>
    <phoneticPr fontId="1"/>
  </si>
  <si>
    <t>深夜の</t>
    <phoneticPr fontId="1"/>
  </si>
  <si>
    <t>基礎研修課程修了者等により行われる場合</t>
    <phoneticPr fontId="1"/>
  </si>
  <si>
    <t>(2)深夜</t>
    <phoneticPr fontId="1"/>
  </si>
  <si>
    <t>(1)深夜</t>
    <phoneticPr fontId="1"/>
  </si>
  <si>
    <t>場合 Ｂ</t>
    <phoneticPr fontId="1"/>
  </si>
  <si>
    <t>(一)早朝</t>
    <phoneticPr fontId="1"/>
  </si>
  <si>
    <t>Ｂ</t>
    <phoneticPr fontId="1"/>
  </si>
  <si>
    <t xml:space="preserve"> １０時間３０分未満</t>
    <phoneticPr fontId="1"/>
  </si>
  <si>
    <t xml:space="preserve"> １０時間以上</t>
    <phoneticPr fontId="1"/>
  </si>
  <si>
    <t xml:space="preserve"> １０時間未満</t>
    <phoneticPr fontId="1"/>
  </si>
  <si>
    <t xml:space="preserve"> ９時間３０分以上</t>
    <phoneticPr fontId="1"/>
  </si>
  <si>
    <t xml:space="preserve"> ９時間以上</t>
    <phoneticPr fontId="1"/>
  </si>
  <si>
    <t xml:space="preserve"> ９時間未満</t>
    <phoneticPr fontId="1"/>
  </si>
  <si>
    <t xml:space="preserve"> ８時間３０分以上</t>
    <phoneticPr fontId="1"/>
  </si>
  <si>
    <t xml:space="preserve"> ８時間３０分未満</t>
    <phoneticPr fontId="1"/>
  </si>
  <si>
    <t xml:space="preserve"> ８時間以上</t>
    <phoneticPr fontId="1"/>
  </si>
  <si>
    <t xml:space="preserve"> ８時間未満</t>
    <phoneticPr fontId="1"/>
  </si>
  <si>
    <t xml:space="preserve"> ７時間以上</t>
    <phoneticPr fontId="1"/>
  </si>
  <si>
    <t xml:space="preserve"> ７時間未満</t>
    <phoneticPr fontId="1"/>
  </si>
  <si>
    <t xml:space="preserve"> ６時間３０分以上</t>
    <phoneticPr fontId="1"/>
  </si>
  <si>
    <t xml:space="preserve"> ４時間３０分以上</t>
    <phoneticPr fontId="1"/>
  </si>
  <si>
    <t xml:space="preserve"> ３時間３０分以上</t>
    <phoneticPr fontId="1"/>
  </si>
  <si>
    <t>(9)夜間増分</t>
    <phoneticPr fontId="1"/>
  </si>
  <si>
    <t>(8)夜間増分</t>
    <phoneticPr fontId="1"/>
  </si>
  <si>
    <t>(7)夜間増分</t>
    <phoneticPr fontId="1"/>
  </si>
  <si>
    <t>(6)夜間増分</t>
    <phoneticPr fontId="1"/>
  </si>
  <si>
    <t>(5)夜間増分</t>
    <phoneticPr fontId="1"/>
  </si>
  <si>
    <t>(4)夜間増分</t>
    <phoneticPr fontId="1"/>
  </si>
  <si>
    <t>(3)夜間増分</t>
    <phoneticPr fontId="1"/>
  </si>
  <si>
    <t>(2)夜間増分</t>
    <phoneticPr fontId="1"/>
  </si>
  <si>
    <t>(1)夜間増分</t>
    <phoneticPr fontId="1"/>
  </si>
  <si>
    <t>(5)早朝増分</t>
    <phoneticPr fontId="1"/>
  </si>
  <si>
    <t>(4)早朝増分</t>
    <phoneticPr fontId="1"/>
  </si>
  <si>
    <t>(3)早朝増分</t>
    <phoneticPr fontId="1"/>
  </si>
  <si>
    <t>早朝の</t>
    <phoneticPr fontId="1"/>
  </si>
  <si>
    <t>(2)早朝増分</t>
    <phoneticPr fontId="1"/>
  </si>
  <si>
    <t>基礎研修課程修了者等により</t>
    <phoneticPr fontId="1"/>
  </si>
  <si>
    <t xml:space="preserve"> ６時間３０分未満</t>
    <phoneticPr fontId="1"/>
  </si>
  <si>
    <t xml:space="preserve"> ６時間以上</t>
    <phoneticPr fontId="1"/>
  </si>
  <si>
    <t>(13)深夜増分</t>
    <phoneticPr fontId="1"/>
  </si>
  <si>
    <t xml:space="preserve"> ６時間未満</t>
    <phoneticPr fontId="1"/>
  </si>
  <si>
    <t xml:space="preserve"> ５時間３０分以上</t>
    <phoneticPr fontId="1"/>
  </si>
  <si>
    <t>(12)深夜増分</t>
    <phoneticPr fontId="1"/>
  </si>
  <si>
    <t xml:space="preserve"> ５時間３０分未満</t>
    <phoneticPr fontId="1"/>
  </si>
  <si>
    <t xml:space="preserve"> ５時間以上</t>
    <phoneticPr fontId="1"/>
  </si>
  <si>
    <t>(11)深夜増分</t>
    <phoneticPr fontId="1"/>
  </si>
  <si>
    <t xml:space="preserve"> ５時間未満</t>
    <phoneticPr fontId="1"/>
  </si>
  <si>
    <t xml:space="preserve"> ４時間３０分以上</t>
    <phoneticPr fontId="1"/>
  </si>
  <si>
    <t>(10)深夜増分</t>
    <phoneticPr fontId="1"/>
  </si>
  <si>
    <t xml:space="preserve"> ４時間３０分未満</t>
    <phoneticPr fontId="1"/>
  </si>
  <si>
    <t xml:space="preserve"> ４時間以上</t>
    <phoneticPr fontId="1"/>
  </si>
  <si>
    <t>(9)深夜増分</t>
    <phoneticPr fontId="1"/>
  </si>
  <si>
    <t xml:space="preserve"> ４時間未満</t>
    <phoneticPr fontId="1"/>
  </si>
  <si>
    <t xml:space="preserve"> ３時間３０分以上</t>
    <phoneticPr fontId="1"/>
  </si>
  <si>
    <t>(8)深夜増分</t>
    <phoneticPr fontId="1"/>
  </si>
  <si>
    <t xml:space="preserve"> ３時間３０分未満</t>
    <phoneticPr fontId="1"/>
  </si>
  <si>
    <t xml:space="preserve"> ３時間以上</t>
    <phoneticPr fontId="1"/>
  </si>
  <si>
    <t>(7)深夜増分</t>
    <phoneticPr fontId="1"/>
  </si>
  <si>
    <t xml:space="preserve"> ３時間未満</t>
    <phoneticPr fontId="1"/>
  </si>
  <si>
    <t xml:space="preserve"> ２時間３０分以上</t>
    <phoneticPr fontId="1"/>
  </si>
  <si>
    <t>(6)深夜増分</t>
    <phoneticPr fontId="1"/>
  </si>
  <si>
    <t xml:space="preserve"> ２時間３０分未満</t>
    <phoneticPr fontId="1"/>
  </si>
  <si>
    <t xml:space="preserve"> ２時間以上</t>
    <phoneticPr fontId="1"/>
  </si>
  <si>
    <t>(5)深夜増分</t>
    <phoneticPr fontId="1"/>
  </si>
  <si>
    <t>(4)深夜増分</t>
    <phoneticPr fontId="1"/>
  </si>
  <si>
    <t>(3)深夜増分</t>
    <phoneticPr fontId="1"/>
  </si>
  <si>
    <t>場合</t>
    <phoneticPr fontId="1"/>
  </si>
  <si>
    <t>(2)深夜増分</t>
    <phoneticPr fontId="1"/>
  </si>
  <si>
    <t>(1)深夜増分</t>
    <phoneticPr fontId="1"/>
  </si>
  <si>
    <t xml:space="preserve"> １０時間以上 １０時間３０分未満</t>
    <phoneticPr fontId="1"/>
  </si>
  <si>
    <t>(21)日中</t>
    <phoneticPr fontId="1"/>
  </si>
  <si>
    <t xml:space="preserve"> ９時間３０分以上 １０時間未満</t>
    <phoneticPr fontId="1"/>
  </si>
  <si>
    <t>(20)日中</t>
    <phoneticPr fontId="1"/>
  </si>
  <si>
    <t xml:space="preserve"> ９時間以上 ９時間３０分未満</t>
    <phoneticPr fontId="1"/>
  </si>
  <si>
    <t>(19)日中</t>
    <phoneticPr fontId="1"/>
  </si>
  <si>
    <t xml:space="preserve"> ８時間３０分以上 ９時間未満</t>
    <phoneticPr fontId="1"/>
  </si>
  <si>
    <t xml:space="preserve"> ８時間以上 ８時間３０分未満</t>
    <phoneticPr fontId="1"/>
  </si>
  <si>
    <t xml:space="preserve"> ７時間３０分以上 ８時間未満</t>
    <phoneticPr fontId="1"/>
  </si>
  <si>
    <t xml:space="preserve"> ７時間以上 ７時間３０分未満</t>
    <phoneticPr fontId="1"/>
  </si>
  <si>
    <t>(15)日中</t>
    <phoneticPr fontId="1"/>
  </si>
  <si>
    <t xml:space="preserve"> ６時間３０分以上 ７時間未満</t>
    <phoneticPr fontId="1"/>
  </si>
  <si>
    <t xml:space="preserve"> ６時間以上 ６時間３０分未満</t>
    <phoneticPr fontId="1"/>
  </si>
  <si>
    <t>(13)日中</t>
    <phoneticPr fontId="1"/>
  </si>
  <si>
    <t xml:space="preserve"> ５時間３０分以上 ６時間未満</t>
    <phoneticPr fontId="1"/>
  </si>
  <si>
    <t>(12)日中</t>
    <phoneticPr fontId="1"/>
  </si>
  <si>
    <t xml:space="preserve"> ５時間以上 ５時間３０分未満</t>
    <phoneticPr fontId="1"/>
  </si>
  <si>
    <t>(11)日中</t>
    <phoneticPr fontId="1"/>
  </si>
  <si>
    <t xml:space="preserve"> ４時間３０分以上 ５時間未満</t>
    <phoneticPr fontId="1"/>
  </si>
  <si>
    <t xml:space="preserve"> ４時間以上 ４時間３０分未満</t>
    <phoneticPr fontId="1"/>
  </si>
  <si>
    <t xml:space="preserve"> ３時間３０分以上 ４時間未満</t>
    <phoneticPr fontId="1"/>
  </si>
  <si>
    <t>(8)日中</t>
    <phoneticPr fontId="1"/>
  </si>
  <si>
    <t xml:space="preserve"> ３時間以上 ３時間３０分未満</t>
    <phoneticPr fontId="1"/>
  </si>
  <si>
    <t xml:space="preserve"> ２時間３０分以上 ３時間未満</t>
    <phoneticPr fontId="1"/>
  </si>
  <si>
    <t>(3)日中</t>
    <phoneticPr fontId="1"/>
  </si>
  <si>
    <t xml:space="preserve"> ４時間以上 ４時間３０分未満</t>
    <phoneticPr fontId="1"/>
  </si>
  <si>
    <t>(9)夜間</t>
    <phoneticPr fontId="1"/>
  </si>
  <si>
    <t xml:space="preserve"> ３時間３０分以上 ４時間未満</t>
    <phoneticPr fontId="1"/>
  </si>
  <si>
    <t>(8)夜間</t>
    <phoneticPr fontId="1"/>
  </si>
  <si>
    <t xml:space="preserve"> ３時間以上 ３時間３０分未満</t>
    <phoneticPr fontId="1"/>
  </si>
  <si>
    <t>(7)夜間</t>
    <phoneticPr fontId="1"/>
  </si>
  <si>
    <t xml:space="preserve"> ２時間３０分以上 ３時間未満</t>
    <phoneticPr fontId="1"/>
  </si>
  <si>
    <t>(6)夜間</t>
    <phoneticPr fontId="1"/>
  </si>
  <si>
    <t xml:space="preserve"> ２時間以上 ２時間３０分未満</t>
    <phoneticPr fontId="1"/>
  </si>
  <si>
    <t xml:space="preserve"> １時間３０分以上 ２時間未満</t>
    <phoneticPr fontId="1"/>
  </si>
  <si>
    <t>盲ろう者向け通訳・介助員により</t>
    <phoneticPr fontId="1"/>
  </si>
  <si>
    <t xml:space="preserve"> １時間以上 １時間３０分未満</t>
    <phoneticPr fontId="1"/>
  </si>
  <si>
    <t xml:space="preserve"> ３０分以上 １時間未満</t>
    <phoneticPr fontId="1"/>
  </si>
  <si>
    <t>(1)夜間</t>
    <phoneticPr fontId="1"/>
  </si>
  <si>
    <t xml:space="preserve"> ２時間以上 ２時間３０分未満</t>
    <phoneticPr fontId="1"/>
  </si>
  <si>
    <t>(5)早朝</t>
    <phoneticPr fontId="1"/>
  </si>
  <si>
    <t>(4)早朝</t>
    <phoneticPr fontId="1"/>
  </si>
  <si>
    <t>(3)早朝</t>
    <phoneticPr fontId="1"/>
  </si>
  <si>
    <t>(2)早朝</t>
    <phoneticPr fontId="1"/>
  </si>
  <si>
    <t xml:space="preserve"> ３０分未満</t>
    <phoneticPr fontId="1"/>
  </si>
  <si>
    <t>(1)早朝</t>
    <phoneticPr fontId="1"/>
  </si>
  <si>
    <t xml:space="preserve"> ６時間以上 ６時間３０分未満</t>
    <phoneticPr fontId="1"/>
  </si>
  <si>
    <t>(12)深夜</t>
    <phoneticPr fontId="1"/>
  </si>
  <si>
    <t xml:space="preserve"> ５時間以上 ５時間３０分未満</t>
    <phoneticPr fontId="1"/>
  </si>
  <si>
    <t>(11)深夜</t>
    <phoneticPr fontId="1"/>
  </si>
  <si>
    <t xml:space="preserve"> ４時間３０分以上 ５時間未満</t>
    <phoneticPr fontId="1"/>
  </si>
  <si>
    <t>(10)深夜</t>
    <phoneticPr fontId="1"/>
  </si>
  <si>
    <t xml:space="preserve"> ４時間以上 ４時間３０分未満</t>
    <phoneticPr fontId="1"/>
  </si>
  <si>
    <t>(9)深夜</t>
    <phoneticPr fontId="1"/>
  </si>
  <si>
    <t>(8)深夜</t>
    <phoneticPr fontId="1"/>
  </si>
  <si>
    <t xml:space="preserve"> ３時間以上 ３時間３０分未満</t>
    <phoneticPr fontId="1"/>
  </si>
  <si>
    <t>(7)深夜</t>
    <phoneticPr fontId="1"/>
  </si>
  <si>
    <t xml:space="preserve"> １時間３０分以上 ２時間未満</t>
    <phoneticPr fontId="1"/>
  </si>
  <si>
    <t>場合</t>
    <phoneticPr fontId="1"/>
  </si>
  <si>
    <t>(4)深夜</t>
    <phoneticPr fontId="1"/>
  </si>
  <si>
    <t xml:space="preserve"> １時間以上 １時間３０分未満</t>
    <phoneticPr fontId="1"/>
  </si>
  <si>
    <t>(一)夜間</t>
    <phoneticPr fontId="1"/>
  </si>
  <si>
    <t>(2)日中</t>
    <phoneticPr fontId="1"/>
  </si>
  <si>
    <t>盲ろう者向け通訳・介助員により</t>
    <phoneticPr fontId="1"/>
  </si>
  <si>
    <t>(二)夜間</t>
    <phoneticPr fontId="1"/>
  </si>
  <si>
    <t>夜間の場合 Ａ</t>
    <phoneticPr fontId="1"/>
  </si>
  <si>
    <t>(一)夜間</t>
    <phoneticPr fontId="1"/>
  </si>
  <si>
    <t>(1)日中</t>
    <phoneticPr fontId="1"/>
  </si>
  <si>
    <t>(一)日中</t>
    <phoneticPr fontId="1"/>
  </si>
  <si>
    <t>(2)早朝</t>
    <phoneticPr fontId="1"/>
  </si>
  <si>
    <t>行われる場合</t>
    <phoneticPr fontId="1"/>
  </si>
  <si>
    <t>(二)日中</t>
    <phoneticPr fontId="1"/>
  </si>
  <si>
    <t>(1)早朝</t>
    <phoneticPr fontId="1"/>
  </si>
  <si>
    <t xml:space="preserve"> ３０分以上 １時間未満</t>
    <phoneticPr fontId="1"/>
  </si>
  <si>
    <t>加算</t>
    <phoneticPr fontId="1"/>
  </si>
  <si>
    <t>(一)早朝</t>
    <phoneticPr fontId="1"/>
  </si>
  <si>
    <t>(2)深夜</t>
    <phoneticPr fontId="1"/>
  </si>
  <si>
    <t>(二)早朝</t>
    <phoneticPr fontId="1"/>
  </si>
  <si>
    <t xml:space="preserve"> ３０分未満</t>
    <phoneticPr fontId="1"/>
  </si>
  <si>
    <t>(1)深夜</t>
    <phoneticPr fontId="1"/>
  </si>
  <si>
    <t>Ｂ</t>
    <phoneticPr fontId="1"/>
  </si>
  <si>
    <t>加算</t>
    <phoneticPr fontId="1"/>
  </si>
  <si>
    <t>(一)深夜</t>
    <phoneticPr fontId="1"/>
  </si>
  <si>
    <t>(2)深夜</t>
    <phoneticPr fontId="1"/>
  </si>
  <si>
    <t>行われる場合</t>
    <phoneticPr fontId="1"/>
  </si>
  <si>
    <t>盲ろう者向け通訳・介助員により</t>
    <phoneticPr fontId="1"/>
  </si>
  <si>
    <t>(二)深夜</t>
    <phoneticPr fontId="1"/>
  </si>
  <si>
    <t>(一)深夜</t>
    <phoneticPr fontId="1"/>
  </si>
  <si>
    <t>(2)夜間</t>
    <phoneticPr fontId="1"/>
  </si>
  <si>
    <t>(1)夜間</t>
    <phoneticPr fontId="1"/>
  </si>
  <si>
    <t>Ｂ</t>
    <phoneticPr fontId="1"/>
  </si>
  <si>
    <t>深夜の場合 Ｂ</t>
    <phoneticPr fontId="1"/>
  </si>
  <si>
    <t>夜間の場合 Ａ</t>
    <phoneticPr fontId="1"/>
  </si>
  <si>
    <t>(一)夜間</t>
    <phoneticPr fontId="1"/>
  </si>
  <si>
    <t>(1)日中</t>
    <phoneticPr fontId="1"/>
  </si>
  <si>
    <t>(一)日中</t>
    <phoneticPr fontId="1"/>
  </si>
  <si>
    <t>(2)深夜</t>
    <phoneticPr fontId="1"/>
  </si>
  <si>
    <t>深夜の場合 Ａ</t>
    <phoneticPr fontId="1"/>
  </si>
  <si>
    <t>盲ろう者向け通訳・介助員により行われる場合</t>
    <phoneticPr fontId="1"/>
  </si>
  <si>
    <t>(二)日中</t>
    <phoneticPr fontId="1"/>
  </si>
  <si>
    <t>(1)深夜</t>
    <phoneticPr fontId="1"/>
  </si>
  <si>
    <t>早朝の場合 Ｂ</t>
    <phoneticPr fontId="1"/>
  </si>
  <si>
    <t>(一)早朝</t>
    <phoneticPr fontId="1"/>
  </si>
  <si>
    <t>(21)日中増分</t>
    <phoneticPr fontId="1"/>
  </si>
  <si>
    <t>(20)日中増分</t>
    <phoneticPr fontId="1"/>
  </si>
  <si>
    <t>(19)日中増分</t>
    <phoneticPr fontId="1"/>
  </si>
  <si>
    <t>(18)日中増分</t>
    <phoneticPr fontId="1"/>
  </si>
  <si>
    <t xml:space="preserve"> ８時間以上 ８時間３０分未満</t>
    <phoneticPr fontId="1"/>
  </si>
  <si>
    <t>(17)日中増分</t>
    <phoneticPr fontId="1"/>
  </si>
  <si>
    <t>(16)日中増分</t>
    <phoneticPr fontId="1"/>
  </si>
  <si>
    <t xml:space="preserve"> ７時間以上 ７時間３０分未満</t>
    <phoneticPr fontId="1"/>
  </si>
  <si>
    <t>(15)日中増分</t>
    <phoneticPr fontId="1"/>
  </si>
  <si>
    <t>(14)日中増分</t>
    <phoneticPr fontId="1"/>
  </si>
  <si>
    <t>(13)日中増分</t>
    <phoneticPr fontId="1"/>
  </si>
  <si>
    <t>(12)日中増分</t>
    <phoneticPr fontId="1"/>
  </si>
  <si>
    <t xml:space="preserve"> ５時間以上 ５時間３０分未満</t>
    <phoneticPr fontId="1"/>
  </si>
  <si>
    <t>(10)日中増分</t>
    <phoneticPr fontId="1"/>
  </si>
  <si>
    <t>(9)日中増分</t>
    <phoneticPr fontId="1"/>
  </si>
  <si>
    <t>(8)日中増分</t>
    <phoneticPr fontId="1"/>
  </si>
  <si>
    <t>(7)日中増分</t>
    <phoneticPr fontId="1"/>
  </si>
  <si>
    <t>(6)日中増分</t>
    <phoneticPr fontId="1"/>
  </si>
  <si>
    <t xml:space="preserve"> ２時間以上 ２時間３０分未満</t>
    <phoneticPr fontId="1"/>
  </si>
  <si>
    <t>(5)日中増分</t>
    <phoneticPr fontId="1"/>
  </si>
  <si>
    <t>(4)日中増分</t>
    <phoneticPr fontId="1"/>
  </si>
  <si>
    <t>(3)日中増分</t>
    <phoneticPr fontId="1"/>
  </si>
  <si>
    <t>(2)日中増分</t>
    <phoneticPr fontId="1"/>
  </si>
  <si>
    <t>(1)日中増分</t>
    <phoneticPr fontId="1"/>
  </si>
  <si>
    <t xml:space="preserve"> ４時間以上 ４時間３０分未満</t>
    <phoneticPr fontId="1"/>
  </si>
  <si>
    <t>(9)夜間増分</t>
    <phoneticPr fontId="1"/>
  </si>
  <si>
    <t xml:space="preserve"> ３時間３０分以上 ４時間未満</t>
    <phoneticPr fontId="1"/>
  </si>
  <si>
    <t>(8)夜間増分</t>
    <phoneticPr fontId="1"/>
  </si>
  <si>
    <t xml:space="preserve"> ３時間以上 ３時間３０分未満</t>
    <phoneticPr fontId="1"/>
  </si>
  <si>
    <t>(7)夜間増分</t>
    <phoneticPr fontId="1"/>
  </si>
  <si>
    <t xml:space="preserve"> ２時間３０分以上 ３時間未満</t>
    <phoneticPr fontId="1"/>
  </si>
  <si>
    <t>(6)夜間増分</t>
    <phoneticPr fontId="1"/>
  </si>
  <si>
    <t>(5)夜間増分</t>
    <phoneticPr fontId="1"/>
  </si>
  <si>
    <t>(4)夜間増分</t>
    <phoneticPr fontId="1"/>
  </si>
  <si>
    <t>(3)夜間増分</t>
    <phoneticPr fontId="1"/>
  </si>
  <si>
    <t>(2)夜間増分</t>
    <phoneticPr fontId="1"/>
  </si>
  <si>
    <t>(1)夜間増分</t>
    <phoneticPr fontId="1"/>
  </si>
  <si>
    <t>(5)早朝増分</t>
    <phoneticPr fontId="1"/>
  </si>
  <si>
    <t>(4)早朝増分</t>
    <phoneticPr fontId="1"/>
  </si>
  <si>
    <t>(3)早朝増分</t>
    <phoneticPr fontId="1"/>
  </si>
  <si>
    <t>(2)早朝増分</t>
    <phoneticPr fontId="1"/>
  </si>
  <si>
    <t>(1)早朝増分</t>
    <phoneticPr fontId="1"/>
  </si>
  <si>
    <t xml:space="preserve"> ５時間３０分以上 ６時間未満</t>
    <phoneticPr fontId="1"/>
  </si>
  <si>
    <t>(12)深夜</t>
    <phoneticPr fontId="1"/>
  </si>
  <si>
    <t>(9)深夜</t>
    <phoneticPr fontId="1"/>
  </si>
  <si>
    <t xml:space="preserve"> ２時間３０分以上 ３時間未満</t>
    <phoneticPr fontId="1"/>
  </si>
  <si>
    <t>(6)深夜</t>
    <phoneticPr fontId="1"/>
  </si>
  <si>
    <t>(5)深夜</t>
    <phoneticPr fontId="1"/>
  </si>
  <si>
    <t>盲ろう者向け通訳・介助員により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</si>
  <si>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</si>
  <si>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</si>
  <si>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</si>
  <si>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</si>
  <si>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</si>
  <si>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１０時間以上</t>
    <phoneticPr fontId="1"/>
  </si>
  <si>
    <t>ナ　日中</t>
    <phoneticPr fontId="1"/>
  </si>
  <si>
    <t>ネ　日中</t>
    <phoneticPr fontId="1"/>
  </si>
  <si>
    <t xml:space="preserve"> ９時間以上</t>
    <phoneticPr fontId="1"/>
  </si>
  <si>
    <t>ツ　日中</t>
    <phoneticPr fontId="1"/>
  </si>
  <si>
    <t>ソ　日中</t>
    <phoneticPr fontId="1"/>
  </si>
  <si>
    <t xml:space="preserve"> ８時間以上</t>
    <phoneticPr fontId="1"/>
  </si>
  <si>
    <t>レ　日中</t>
    <phoneticPr fontId="1"/>
  </si>
  <si>
    <t xml:space="preserve"> ７時間３０分以上</t>
    <phoneticPr fontId="1"/>
  </si>
  <si>
    <t>タ　日中</t>
    <phoneticPr fontId="1"/>
  </si>
  <si>
    <t xml:space="preserve"> ７時間３０分未満</t>
    <phoneticPr fontId="1"/>
  </si>
  <si>
    <t xml:space="preserve"> ７時間以上</t>
    <phoneticPr fontId="1"/>
  </si>
  <si>
    <t>ヨ　日中</t>
    <phoneticPr fontId="1"/>
  </si>
  <si>
    <t xml:space="preserve"> ７時間未満</t>
    <phoneticPr fontId="1"/>
  </si>
  <si>
    <t xml:space="preserve"> ６時間３０分以上</t>
    <phoneticPr fontId="1"/>
  </si>
  <si>
    <t>カ　日中</t>
    <phoneticPr fontId="1"/>
  </si>
  <si>
    <t>ワ　日中</t>
    <phoneticPr fontId="1"/>
  </si>
  <si>
    <t>ヲ　日中</t>
    <phoneticPr fontId="1"/>
  </si>
  <si>
    <t>ル　日中</t>
    <phoneticPr fontId="1"/>
  </si>
  <si>
    <t>ヌ　日中</t>
    <phoneticPr fontId="1"/>
  </si>
  <si>
    <t>リ　日中</t>
    <phoneticPr fontId="1"/>
  </si>
  <si>
    <t>チ　日中</t>
    <phoneticPr fontId="1"/>
  </si>
  <si>
    <t>ト　日中</t>
    <phoneticPr fontId="1"/>
  </si>
  <si>
    <t>ヘ　日中</t>
    <phoneticPr fontId="1"/>
  </si>
  <si>
    <t>ホ　日中</t>
    <phoneticPr fontId="1"/>
  </si>
  <si>
    <t>ニ　日中</t>
    <phoneticPr fontId="1"/>
  </si>
  <si>
    <t>ハ　日中</t>
    <phoneticPr fontId="1"/>
  </si>
  <si>
    <t>ロ　日中</t>
    <phoneticPr fontId="1"/>
  </si>
  <si>
    <t>イ　日中</t>
    <phoneticPr fontId="1"/>
  </si>
  <si>
    <t>（日中のみ）</t>
    <phoneticPr fontId="1"/>
  </si>
  <si>
    <t>３  同行援護サービスコード表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</si>
  <si>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</si>
  <si>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</si>
  <si>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</si>
  <si>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</si>
  <si>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基礎研修課程修了者等により</t>
    <phoneticPr fontId="1"/>
  </si>
  <si>
    <t>通訳介助員が支援を行う場合</t>
    <phoneticPr fontId="1"/>
  </si>
  <si>
    <t>障害支援区分３に該当</t>
    <phoneticPr fontId="1"/>
  </si>
  <si>
    <t>通訳介助員が支援を行う場合</t>
    <phoneticPr fontId="1"/>
  </si>
  <si>
    <t xml:space="preserve"> ４時間以上</t>
    <phoneticPr fontId="1"/>
  </si>
  <si>
    <t>リ　夜間</t>
    <phoneticPr fontId="1"/>
  </si>
  <si>
    <t xml:space="preserve"> ３時間３０分以上</t>
    <phoneticPr fontId="1"/>
  </si>
  <si>
    <t>チ　夜間</t>
    <phoneticPr fontId="1"/>
  </si>
  <si>
    <t>する者の場合</t>
    <phoneticPr fontId="1"/>
  </si>
  <si>
    <t>ト　夜間</t>
    <phoneticPr fontId="1"/>
  </si>
  <si>
    <t xml:space="preserve"> ２時間３０分以上</t>
    <phoneticPr fontId="1"/>
  </si>
  <si>
    <t>障害支援区分３に該当</t>
    <phoneticPr fontId="1"/>
  </si>
  <si>
    <t>ホ　夜間</t>
    <phoneticPr fontId="1"/>
  </si>
  <si>
    <t xml:space="preserve"> １時間３０分以上</t>
    <phoneticPr fontId="1"/>
  </si>
  <si>
    <t>ニ　夜間</t>
    <phoneticPr fontId="1"/>
  </si>
  <si>
    <t>盲ろう者に対して盲ろう者向け・</t>
    <phoneticPr fontId="1"/>
  </si>
  <si>
    <t>障害支援区分４以上に該当</t>
    <phoneticPr fontId="1"/>
  </si>
  <si>
    <t>ハ　夜間</t>
    <phoneticPr fontId="1"/>
  </si>
  <si>
    <t>ロ　夜間</t>
    <phoneticPr fontId="1"/>
  </si>
  <si>
    <t>イ　夜間</t>
    <phoneticPr fontId="1"/>
  </si>
  <si>
    <t>（夜間のみ）</t>
    <phoneticPr fontId="1"/>
  </si>
  <si>
    <t>基礎研修課程修了者等により</t>
    <phoneticPr fontId="1"/>
  </si>
  <si>
    <t xml:space="preserve"> ２時間以上</t>
    <phoneticPr fontId="1"/>
  </si>
  <si>
    <t>ホ　早朝</t>
    <phoneticPr fontId="1"/>
  </si>
  <si>
    <t>する者の場合</t>
    <phoneticPr fontId="1"/>
  </si>
  <si>
    <t>障害支援区分３に該当</t>
    <phoneticPr fontId="1"/>
  </si>
  <si>
    <t>ニ　早朝</t>
    <phoneticPr fontId="1"/>
  </si>
  <si>
    <t>ハ　早朝</t>
    <phoneticPr fontId="1"/>
  </si>
  <si>
    <t>盲ろう者に対して盲ろう者向け・</t>
    <phoneticPr fontId="1"/>
  </si>
  <si>
    <t>ロ　早朝</t>
    <phoneticPr fontId="1"/>
  </si>
  <si>
    <t>イ　早朝</t>
    <phoneticPr fontId="1"/>
  </si>
  <si>
    <t>（早朝のみ）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</si>
  <si>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</si>
  <si>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</si>
  <si>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</si>
  <si>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 xml:space="preserve"> ６時間以上</t>
    <phoneticPr fontId="1"/>
  </si>
  <si>
    <t>ワ　深夜</t>
    <phoneticPr fontId="1"/>
  </si>
  <si>
    <t>障害支援区分４以上に該当</t>
    <phoneticPr fontId="1"/>
  </si>
  <si>
    <t>障害支援区分３に該当</t>
    <phoneticPr fontId="1"/>
  </si>
  <si>
    <t>ヲ　深夜</t>
    <phoneticPr fontId="1"/>
  </si>
  <si>
    <t>ヌ　深夜</t>
    <phoneticPr fontId="1"/>
  </si>
  <si>
    <t>リ　深夜</t>
    <phoneticPr fontId="1"/>
  </si>
  <si>
    <t xml:space="preserve"> ３時間３０分以上</t>
    <phoneticPr fontId="1"/>
  </si>
  <si>
    <t>チ　深夜</t>
    <phoneticPr fontId="1"/>
  </si>
  <si>
    <t>ト　深夜</t>
    <phoneticPr fontId="1"/>
  </si>
  <si>
    <t>ヘ　深夜</t>
    <phoneticPr fontId="1"/>
  </si>
  <si>
    <t xml:space="preserve"> ２時間以上</t>
    <phoneticPr fontId="1"/>
  </si>
  <si>
    <t>ホ　深夜</t>
    <phoneticPr fontId="1"/>
  </si>
  <si>
    <t>ニ　深夜</t>
    <phoneticPr fontId="1"/>
  </si>
  <si>
    <t>ハ　深夜</t>
    <phoneticPr fontId="1"/>
  </si>
  <si>
    <t>イ　深夜</t>
    <phoneticPr fontId="1"/>
  </si>
  <si>
    <t>（深夜のみ）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</si>
  <si>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</si>
  <si>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</si>
  <si>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</si>
  <si>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</si>
  <si>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</si>
  <si>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>ホ　深夜</t>
    <phoneticPr fontId="1"/>
  </si>
  <si>
    <t>ニ　深夜</t>
    <phoneticPr fontId="1"/>
  </si>
  <si>
    <t>ハ　深夜</t>
    <phoneticPr fontId="1"/>
  </si>
  <si>
    <t>ロ　深夜</t>
    <phoneticPr fontId="1"/>
  </si>
  <si>
    <t>イ　深夜</t>
    <phoneticPr fontId="1"/>
  </si>
  <si>
    <t>（深夜＋早朝）</t>
    <phoneticPr fontId="1"/>
  </si>
  <si>
    <t>行われる場合</t>
    <phoneticPr fontId="1"/>
  </si>
  <si>
    <t>基礎研修課程修了者等により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</si>
  <si>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</si>
  <si>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</si>
  <si>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</si>
  <si>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</si>
  <si>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</si>
  <si>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２時間以上</t>
    <phoneticPr fontId="1"/>
  </si>
  <si>
    <t>(1)日中</t>
    <phoneticPr fontId="1"/>
  </si>
  <si>
    <t>ホ　早朝</t>
    <phoneticPr fontId="1"/>
  </si>
  <si>
    <t xml:space="preserve"> ３０分以上</t>
    <phoneticPr fontId="1"/>
  </si>
  <si>
    <t>(2)日中</t>
    <phoneticPr fontId="1"/>
  </si>
  <si>
    <t xml:space="preserve"> １時間３０分以上</t>
    <phoneticPr fontId="1"/>
  </si>
  <si>
    <t xml:space="preserve"> １時間以上</t>
    <phoneticPr fontId="1"/>
  </si>
  <si>
    <t>(3)日中</t>
    <phoneticPr fontId="1"/>
  </si>
  <si>
    <t xml:space="preserve"> ３０分未満</t>
    <phoneticPr fontId="1"/>
  </si>
  <si>
    <t>ハ　早朝</t>
    <phoneticPr fontId="1"/>
  </si>
  <si>
    <t>(4)日中</t>
    <phoneticPr fontId="1"/>
  </si>
  <si>
    <t>ロ　早朝</t>
    <phoneticPr fontId="1"/>
  </si>
  <si>
    <t>(5)日中</t>
    <phoneticPr fontId="1"/>
  </si>
  <si>
    <t>（早朝＋日中）</t>
    <phoneticPr fontId="1"/>
  </si>
  <si>
    <t>行われる場合</t>
    <phoneticPr fontId="1"/>
  </si>
  <si>
    <t>基礎研修課程修了者等により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</si>
  <si>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</si>
  <si>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</si>
  <si>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</si>
  <si>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</si>
  <si>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</si>
  <si>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１時間３０分以上</t>
    <phoneticPr fontId="1"/>
  </si>
  <si>
    <t>(一)日中</t>
    <phoneticPr fontId="1"/>
  </si>
  <si>
    <t>(1)早朝</t>
    <phoneticPr fontId="1"/>
  </si>
  <si>
    <t>イ　深夜</t>
    <phoneticPr fontId="1"/>
  </si>
  <si>
    <t>Ｂ</t>
    <phoneticPr fontId="1"/>
  </si>
  <si>
    <t>（深夜＋早朝＋日中）</t>
    <phoneticPr fontId="1"/>
  </si>
  <si>
    <t>基礎研修課程修了者等により行われる場合</t>
    <phoneticPr fontId="1"/>
  </si>
  <si>
    <t xml:space="preserve"> ２時間以上</t>
    <phoneticPr fontId="1"/>
  </si>
  <si>
    <t>(1)夜間</t>
    <phoneticPr fontId="1"/>
  </si>
  <si>
    <t>ホ　日中</t>
    <phoneticPr fontId="1"/>
  </si>
  <si>
    <t>(2)夜間</t>
    <phoneticPr fontId="1"/>
  </si>
  <si>
    <t>ニ　日中</t>
    <phoneticPr fontId="1"/>
  </si>
  <si>
    <t xml:space="preserve"> １時間３０分未満</t>
    <phoneticPr fontId="1"/>
  </si>
  <si>
    <t xml:space="preserve"> １時間以上</t>
    <phoneticPr fontId="1"/>
  </si>
  <si>
    <t>(3)夜間</t>
    <phoneticPr fontId="1"/>
  </si>
  <si>
    <t xml:space="preserve"> ３０分以上</t>
    <phoneticPr fontId="1"/>
  </si>
  <si>
    <t>ハ　日中</t>
    <phoneticPr fontId="1"/>
  </si>
  <si>
    <t>(4)夜間</t>
    <phoneticPr fontId="1"/>
  </si>
  <si>
    <t>(5)夜間</t>
    <phoneticPr fontId="1"/>
  </si>
  <si>
    <t>夜間の場合 Ａ</t>
    <phoneticPr fontId="1"/>
  </si>
  <si>
    <t>（日中＋夜間）</t>
    <phoneticPr fontId="1"/>
  </si>
  <si>
    <t>する者の場合</t>
    <phoneticPr fontId="1"/>
  </si>
  <si>
    <t>ホ　夜間</t>
    <phoneticPr fontId="1"/>
  </si>
  <si>
    <t>通訳介助員が支援を行う場合</t>
    <phoneticPr fontId="1"/>
  </si>
  <si>
    <t>盲ろう者に対して盲ろう者向け・</t>
    <phoneticPr fontId="1"/>
  </si>
  <si>
    <t>ニ　夜間</t>
    <phoneticPr fontId="1"/>
  </si>
  <si>
    <t>障害支援区分３に該当</t>
    <phoneticPr fontId="1"/>
  </si>
  <si>
    <t>(3)深夜</t>
    <phoneticPr fontId="1"/>
  </si>
  <si>
    <t>ハ　夜間</t>
    <phoneticPr fontId="1"/>
  </si>
  <si>
    <t>(4)深夜</t>
    <phoneticPr fontId="1"/>
  </si>
  <si>
    <t>ロ　夜間</t>
    <phoneticPr fontId="1"/>
  </si>
  <si>
    <t>障害支援区分４以上に該当</t>
    <phoneticPr fontId="1"/>
  </si>
  <si>
    <t>イ　夜間</t>
    <phoneticPr fontId="1"/>
  </si>
  <si>
    <t>（夜間＋深夜）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</si>
  <si>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</si>
  <si>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</si>
  <si>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</si>
  <si>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</si>
  <si>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</si>
  <si>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>ホ　深夜</t>
    <phoneticPr fontId="1"/>
  </si>
  <si>
    <t>ニ　深夜</t>
    <phoneticPr fontId="1"/>
  </si>
  <si>
    <t>ハ　深夜</t>
    <phoneticPr fontId="1"/>
  </si>
  <si>
    <t>ロ　深夜</t>
    <phoneticPr fontId="1"/>
  </si>
  <si>
    <t>イ　深夜</t>
    <phoneticPr fontId="1"/>
  </si>
  <si>
    <t>（日を跨る場合　２日目深夜増分）</t>
    <phoneticPr fontId="1"/>
  </si>
  <si>
    <t>(3)早朝</t>
    <phoneticPr fontId="1"/>
  </si>
  <si>
    <t>行われる場合</t>
    <phoneticPr fontId="1"/>
  </si>
  <si>
    <t>(二)日中</t>
    <phoneticPr fontId="1"/>
  </si>
  <si>
    <t>基礎研修課程修了者等により</t>
    <phoneticPr fontId="1"/>
  </si>
  <si>
    <t>する者の場合</t>
    <phoneticPr fontId="1"/>
  </si>
  <si>
    <t>(一)日中</t>
    <phoneticPr fontId="1"/>
  </si>
  <si>
    <t>(2)早朝</t>
    <phoneticPr fontId="1"/>
  </si>
  <si>
    <t>通訳介助員が支援を行う場合</t>
    <phoneticPr fontId="1"/>
  </si>
  <si>
    <t>障害支援区分３に該当</t>
    <phoneticPr fontId="1"/>
  </si>
  <si>
    <t>ロ　深夜</t>
    <phoneticPr fontId="1"/>
  </si>
  <si>
    <t>盲ろう者に対して盲ろう者向け・</t>
    <phoneticPr fontId="1"/>
  </si>
  <si>
    <t>障害支援区分４以上に該当</t>
    <phoneticPr fontId="1"/>
  </si>
  <si>
    <t xml:space="preserve"> １時間以上</t>
    <phoneticPr fontId="1"/>
  </si>
  <si>
    <t>(一)日中</t>
    <phoneticPr fontId="1"/>
  </si>
  <si>
    <t>(3)早朝</t>
    <phoneticPr fontId="1"/>
  </si>
  <si>
    <t>(三)日中</t>
    <phoneticPr fontId="1"/>
  </si>
  <si>
    <t>(四)日中</t>
    <phoneticPr fontId="1"/>
  </si>
  <si>
    <t>B</t>
    <phoneticPr fontId="1"/>
  </si>
  <si>
    <t>（深夜＋早朝＋日中）　　※サービス間隔が２時間未満の場合</t>
    <phoneticPr fontId="1"/>
  </si>
  <si>
    <t>行われる場合</t>
    <phoneticPr fontId="1"/>
  </si>
  <si>
    <t>基礎研修課程修了者等により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</si>
  <si>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</si>
  <si>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</si>
  <si>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</si>
  <si>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</si>
  <si>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</si>
  <si>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２時間以上</t>
    <phoneticPr fontId="1"/>
  </si>
  <si>
    <t>(1)日中</t>
    <phoneticPr fontId="1"/>
  </si>
  <si>
    <t>ホ　深夜</t>
    <phoneticPr fontId="1"/>
  </si>
  <si>
    <t xml:space="preserve"> ３０分以上</t>
    <phoneticPr fontId="1"/>
  </si>
  <si>
    <t>(2)日中</t>
    <phoneticPr fontId="1"/>
  </si>
  <si>
    <t xml:space="preserve"> １時間３０分以上</t>
    <phoneticPr fontId="1"/>
  </si>
  <si>
    <t>ニ　深夜</t>
    <phoneticPr fontId="1"/>
  </si>
  <si>
    <t xml:space="preserve"> １時間以上</t>
    <phoneticPr fontId="1"/>
  </si>
  <si>
    <t>(3)日中</t>
    <phoneticPr fontId="1"/>
  </si>
  <si>
    <t>ハ　深夜</t>
    <phoneticPr fontId="1"/>
  </si>
  <si>
    <t>(4)日中</t>
    <phoneticPr fontId="1"/>
  </si>
  <si>
    <t>ロ　深夜</t>
    <phoneticPr fontId="1"/>
  </si>
  <si>
    <t>(5)日中</t>
    <phoneticPr fontId="1"/>
  </si>
  <si>
    <t>イ　深夜</t>
    <phoneticPr fontId="1"/>
  </si>
  <si>
    <t>（深夜＋日中）　　※サービス間隔が２時間未満の場合</t>
    <phoneticPr fontId="1"/>
  </si>
  <si>
    <t>(1)日中</t>
    <phoneticPr fontId="1"/>
  </si>
  <si>
    <t>（早朝＋日中＋夜間）　　※サービス間隔が２時間未満の場合</t>
    <phoneticPr fontId="1"/>
  </si>
  <si>
    <t>障害支援区分４以上に該当</t>
    <phoneticPr fontId="1"/>
  </si>
  <si>
    <t>通訳介助員が支援を行う場合</t>
    <phoneticPr fontId="1"/>
  </si>
  <si>
    <t>障害支援区分３に該当</t>
    <phoneticPr fontId="1"/>
  </si>
  <si>
    <t>ニ　日中</t>
    <phoneticPr fontId="1"/>
  </si>
  <si>
    <t xml:space="preserve"> ３０分以上</t>
    <phoneticPr fontId="1"/>
  </si>
  <si>
    <t xml:space="preserve"> １時間以上</t>
    <phoneticPr fontId="1"/>
  </si>
  <si>
    <t>ハ　日中</t>
    <phoneticPr fontId="1"/>
  </si>
  <si>
    <t>(3)夜間</t>
    <phoneticPr fontId="1"/>
  </si>
  <si>
    <t>(三)深夜</t>
    <phoneticPr fontId="1"/>
  </si>
  <si>
    <t>ロ　日中</t>
    <phoneticPr fontId="1"/>
  </si>
  <si>
    <t>同援日０．５・夜１．０・深０．５・２人・盲ろう・区４</t>
    <phoneticPr fontId="1"/>
  </si>
  <si>
    <t>同援日０．５・夜１．０・深０．５・盲ろう・区４</t>
    <phoneticPr fontId="1"/>
  </si>
  <si>
    <t>(2)夜間</t>
    <phoneticPr fontId="1"/>
  </si>
  <si>
    <t>(四)深夜</t>
    <phoneticPr fontId="1"/>
  </si>
  <si>
    <t>イ　日中</t>
    <phoneticPr fontId="1"/>
  </si>
  <si>
    <t>（日中＋夜間＋深夜）　　※サービス間隔が２時間未満の場合</t>
    <phoneticPr fontId="1"/>
  </si>
  <si>
    <t>ナ　日中増分</t>
    <phoneticPr fontId="1"/>
  </si>
  <si>
    <t>ネ　日中増分</t>
    <phoneticPr fontId="1"/>
  </si>
  <si>
    <t>ツ　日中増分</t>
    <phoneticPr fontId="1"/>
  </si>
  <si>
    <t>ソ　日中増分</t>
    <phoneticPr fontId="1"/>
  </si>
  <si>
    <t>レ　日中増分</t>
    <phoneticPr fontId="1"/>
  </si>
  <si>
    <t>タ　日中増分</t>
    <phoneticPr fontId="1"/>
  </si>
  <si>
    <t>ヨ　日中増分</t>
    <phoneticPr fontId="1"/>
  </si>
  <si>
    <t>カ　日中増分</t>
    <phoneticPr fontId="1"/>
  </si>
  <si>
    <t>ワ　日中増分</t>
    <phoneticPr fontId="1"/>
  </si>
  <si>
    <t>ヲ　日中増分</t>
    <phoneticPr fontId="1"/>
  </si>
  <si>
    <t>ル　日中増分</t>
    <phoneticPr fontId="1"/>
  </si>
  <si>
    <t>ヌ　日中増分</t>
    <phoneticPr fontId="1"/>
  </si>
  <si>
    <t>リ　日中増分</t>
    <phoneticPr fontId="1"/>
  </si>
  <si>
    <t>ト　日中増分</t>
    <phoneticPr fontId="1"/>
  </si>
  <si>
    <t>ホ　日中増分</t>
    <phoneticPr fontId="1"/>
  </si>
  <si>
    <t>ニ　日中増分</t>
    <phoneticPr fontId="1"/>
  </si>
  <si>
    <t>ハ　日中増分</t>
    <phoneticPr fontId="1"/>
  </si>
  <si>
    <t>ロ　日中増分</t>
    <phoneticPr fontId="1"/>
  </si>
  <si>
    <t>（日中増分)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</si>
  <si>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</si>
  <si>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</si>
  <si>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</si>
  <si>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</si>
  <si>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</si>
  <si>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>リ　夜間増分</t>
    <phoneticPr fontId="1"/>
  </si>
  <si>
    <t>チ　夜間増分</t>
    <phoneticPr fontId="1"/>
  </si>
  <si>
    <t>ニ　夜間増分</t>
    <phoneticPr fontId="1"/>
  </si>
  <si>
    <t>ハ　夜間増分</t>
    <phoneticPr fontId="1"/>
  </si>
  <si>
    <t>ロ　夜間増分</t>
    <phoneticPr fontId="1"/>
  </si>
  <si>
    <t>イ　夜間増分</t>
    <phoneticPr fontId="1"/>
  </si>
  <si>
    <t>（夜間増分）</t>
    <phoneticPr fontId="1"/>
  </si>
  <si>
    <t>（早朝増分）</t>
    <phoneticPr fontId="1"/>
  </si>
  <si>
    <t>ワ　深夜増分</t>
    <phoneticPr fontId="1"/>
  </si>
  <si>
    <t>ヲ　深夜増分</t>
    <phoneticPr fontId="1"/>
  </si>
  <si>
    <t>ル　深夜増分</t>
    <phoneticPr fontId="1"/>
  </si>
  <si>
    <t>ヌ　深夜増分</t>
    <phoneticPr fontId="1"/>
  </si>
  <si>
    <t>リ　深夜増分</t>
    <phoneticPr fontId="1"/>
  </si>
  <si>
    <t>チ　深夜増分</t>
    <phoneticPr fontId="1"/>
  </si>
  <si>
    <t>ヘ　深夜増分</t>
    <phoneticPr fontId="1"/>
  </si>
  <si>
    <t>ホ　深夜増分</t>
    <phoneticPr fontId="1"/>
  </si>
  <si>
    <t>ニ　深夜増分</t>
    <phoneticPr fontId="1"/>
  </si>
  <si>
    <t>ハ　深夜増分</t>
    <phoneticPr fontId="1"/>
  </si>
  <si>
    <t>イ　深夜増分</t>
    <phoneticPr fontId="1"/>
  </si>
  <si>
    <t>（深夜増分）</t>
    <phoneticPr fontId="1"/>
  </si>
  <si>
    <t>ナ　日中</t>
    <phoneticPr fontId="1"/>
  </si>
  <si>
    <t>ネ　日中</t>
    <phoneticPr fontId="1"/>
  </si>
  <si>
    <t>ツ　日中</t>
    <phoneticPr fontId="1"/>
  </si>
  <si>
    <t>ソ　日中</t>
    <phoneticPr fontId="1"/>
  </si>
  <si>
    <t>レ　日中</t>
    <phoneticPr fontId="1"/>
  </si>
  <si>
    <t>ヨ　日中</t>
    <phoneticPr fontId="1"/>
  </si>
  <si>
    <t>カ　日中</t>
    <phoneticPr fontId="1"/>
  </si>
  <si>
    <t>ワ　日中</t>
    <phoneticPr fontId="1"/>
  </si>
  <si>
    <t>ヲ　日中</t>
    <phoneticPr fontId="1"/>
  </si>
  <si>
    <t>ル　日中</t>
    <phoneticPr fontId="1"/>
  </si>
  <si>
    <t>ヌ　日中</t>
    <phoneticPr fontId="1"/>
  </si>
  <si>
    <t>リ　日中</t>
    <phoneticPr fontId="1"/>
  </si>
  <si>
    <t>チ　日中</t>
    <phoneticPr fontId="1"/>
  </si>
  <si>
    <t>ト　日中</t>
    <phoneticPr fontId="1"/>
  </si>
  <si>
    <t>ヘ　日中</t>
    <phoneticPr fontId="1"/>
  </si>
  <si>
    <t>ホ　日中</t>
    <phoneticPr fontId="1"/>
  </si>
  <si>
    <t>ニ　日中</t>
    <phoneticPr fontId="1"/>
  </si>
  <si>
    <t>ハ　日中</t>
    <phoneticPr fontId="1"/>
  </si>
  <si>
    <t>ロ　日中</t>
    <phoneticPr fontId="1"/>
  </si>
  <si>
    <t>イ　日中</t>
    <phoneticPr fontId="1"/>
  </si>
  <si>
    <t>（盲ろう者向け通訳・介助員：日中のみ）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</si>
  <si>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</si>
  <si>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</si>
  <si>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</si>
  <si>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</si>
  <si>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</si>
  <si>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>リ　夜間</t>
    <phoneticPr fontId="1"/>
  </si>
  <si>
    <t>チ　夜間</t>
    <phoneticPr fontId="1"/>
  </si>
  <si>
    <t>ト　夜間</t>
    <phoneticPr fontId="1"/>
  </si>
  <si>
    <t>ヘ　夜間</t>
    <phoneticPr fontId="1"/>
  </si>
  <si>
    <t>ホ　夜間</t>
    <phoneticPr fontId="1"/>
  </si>
  <si>
    <t>ハ　夜間</t>
    <phoneticPr fontId="1"/>
  </si>
  <si>
    <t>イ　夜間</t>
    <phoneticPr fontId="1"/>
  </si>
  <si>
    <t>（盲ろう者向け通訳・介助員：夜間のみ）</t>
    <phoneticPr fontId="1"/>
  </si>
  <si>
    <t>ホ　早朝</t>
    <phoneticPr fontId="1"/>
  </si>
  <si>
    <t>盲ろう者に対して盲ろう者向け・</t>
    <phoneticPr fontId="1"/>
  </si>
  <si>
    <t>する者の場合</t>
    <phoneticPr fontId="1"/>
  </si>
  <si>
    <t>ニ　早朝</t>
    <phoneticPr fontId="1"/>
  </si>
  <si>
    <t>障害支援区分３に該当</t>
    <phoneticPr fontId="1"/>
  </si>
  <si>
    <t>ハ　早朝</t>
    <phoneticPr fontId="1"/>
  </si>
  <si>
    <t>ロ　早朝</t>
    <phoneticPr fontId="1"/>
  </si>
  <si>
    <t>通訳介助員が支援を行う場合</t>
    <phoneticPr fontId="1"/>
  </si>
  <si>
    <t>イ　早朝</t>
    <phoneticPr fontId="1"/>
  </si>
  <si>
    <t>（盲ろう者向け通訳・介助員：早朝のみ）</t>
    <phoneticPr fontId="1"/>
  </si>
  <si>
    <t>通訳介助員が支援を行う場合</t>
    <phoneticPr fontId="1"/>
  </si>
  <si>
    <t>盲ろう者に対して盲ろう者向け・</t>
    <phoneticPr fontId="1"/>
  </si>
  <si>
    <t>障害支援区分３に該当</t>
    <phoneticPr fontId="1"/>
  </si>
  <si>
    <t>ワ　深夜</t>
    <phoneticPr fontId="1"/>
  </si>
  <si>
    <t>障害支援区分４以上に該当</t>
    <phoneticPr fontId="1"/>
  </si>
  <si>
    <t>ヲ　深夜</t>
    <phoneticPr fontId="1"/>
  </si>
  <si>
    <t>する者の場合</t>
    <phoneticPr fontId="1"/>
  </si>
  <si>
    <t xml:space="preserve"> ５時間以上</t>
    <phoneticPr fontId="1"/>
  </si>
  <si>
    <t>ヌ　深夜</t>
    <phoneticPr fontId="1"/>
  </si>
  <si>
    <t xml:space="preserve"> ４時間以上</t>
    <phoneticPr fontId="1"/>
  </si>
  <si>
    <t xml:space="preserve"> ３時間３０分以上</t>
    <phoneticPr fontId="1"/>
  </si>
  <si>
    <t>チ　深夜</t>
    <phoneticPr fontId="1"/>
  </si>
  <si>
    <t xml:space="preserve"> ３時間以上</t>
    <phoneticPr fontId="1"/>
  </si>
  <si>
    <t xml:space="preserve"> ２時間３０分以上</t>
    <phoneticPr fontId="1"/>
  </si>
  <si>
    <t>ヘ　深夜</t>
    <phoneticPr fontId="1"/>
  </si>
  <si>
    <t xml:space="preserve"> １時間３０分以上</t>
    <phoneticPr fontId="1"/>
  </si>
  <si>
    <t>ニ　深夜</t>
    <phoneticPr fontId="1"/>
  </si>
  <si>
    <t>ハ　深夜</t>
    <phoneticPr fontId="1"/>
  </si>
  <si>
    <t>ロ　深夜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</si>
  <si>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</si>
  <si>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</si>
  <si>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</si>
  <si>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</si>
  <si>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</si>
  <si>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２時間以上</t>
    <phoneticPr fontId="1"/>
  </si>
  <si>
    <t>(1)早朝</t>
    <phoneticPr fontId="1"/>
  </si>
  <si>
    <t>ホ　深夜</t>
    <phoneticPr fontId="1"/>
  </si>
  <si>
    <t xml:space="preserve"> ３０分以上</t>
    <phoneticPr fontId="1"/>
  </si>
  <si>
    <t>(2)早朝</t>
    <phoneticPr fontId="1"/>
  </si>
  <si>
    <t xml:space="preserve"> １時間３０分以上</t>
    <phoneticPr fontId="1"/>
  </si>
  <si>
    <t>ニ　深夜</t>
    <phoneticPr fontId="1"/>
  </si>
  <si>
    <t xml:space="preserve"> １時間以上</t>
    <phoneticPr fontId="1"/>
  </si>
  <si>
    <t>(3)早朝</t>
    <phoneticPr fontId="1"/>
  </si>
  <si>
    <t>ハ　深夜</t>
    <phoneticPr fontId="1"/>
  </si>
  <si>
    <t>(4)早朝</t>
    <phoneticPr fontId="1"/>
  </si>
  <si>
    <t>ロ　深夜</t>
    <phoneticPr fontId="1"/>
  </si>
  <si>
    <t>(5)早朝</t>
    <phoneticPr fontId="1"/>
  </si>
  <si>
    <t>イ　深夜</t>
    <phoneticPr fontId="1"/>
  </si>
  <si>
    <t>B</t>
    <phoneticPr fontId="1"/>
  </si>
  <si>
    <t>（盲ろう者向け通訳・介助員：深夜＋早朝）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</si>
  <si>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</si>
  <si>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</si>
  <si>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</si>
  <si>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</si>
  <si>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</si>
  <si>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３０分未満</t>
    <phoneticPr fontId="1"/>
  </si>
  <si>
    <t xml:space="preserve"> ２時間以上</t>
    <phoneticPr fontId="1"/>
  </si>
  <si>
    <t>(1)日中</t>
    <phoneticPr fontId="1"/>
  </si>
  <si>
    <t>ホ　早朝</t>
    <phoneticPr fontId="1"/>
  </si>
  <si>
    <t xml:space="preserve"> ３０分以上</t>
    <phoneticPr fontId="1"/>
  </si>
  <si>
    <t>(2)日中</t>
    <phoneticPr fontId="1"/>
  </si>
  <si>
    <t xml:space="preserve"> １時間３０分以上</t>
    <phoneticPr fontId="1"/>
  </si>
  <si>
    <t>ニ　早朝</t>
    <phoneticPr fontId="1"/>
  </si>
  <si>
    <t xml:space="preserve"> １時間以上</t>
    <phoneticPr fontId="1"/>
  </si>
  <si>
    <t>ハ　早朝</t>
    <phoneticPr fontId="1"/>
  </si>
  <si>
    <t>(4)日中</t>
    <phoneticPr fontId="1"/>
  </si>
  <si>
    <t>(3)日中</t>
    <phoneticPr fontId="1"/>
  </si>
  <si>
    <t>ロ　早朝</t>
    <phoneticPr fontId="1"/>
  </si>
  <si>
    <t>(5)日中</t>
    <phoneticPr fontId="1"/>
  </si>
  <si>
    <t>イ　早朝</t>
    <phoneticPr fontId="1"/>
  </si>
  <si>
    <t>（盲ろう者向け通訳・介助員：早朝＋日中）</t>
    <phoneticPr fontId="1"/>
  </si>
  <si>
    <t>(1)早朝</t>
    <phoneticPr fontId="1"/>
  </si>
  <si>
    <t>イ　深夜</t>
    <phoneticPr fontId="1"/>
  </si>
  <si>
    <t>B</t>
    <phoneticPr fontId="1"/>
  </si>
  <si>
    <t>（盲ろう者向け通訳・介助員：深夜＋早朝＋日中）</t>
    <phoneticPr fontId="1"/>
  </si>
  <si>
    <t>ホ　日中</t>
    <phoneticPr fontId="1"/>
  </si>
  <si>
    <t>ニ　日中</t>
    <phoneticPr fontId="1"/>
  </si>
  <si>
    <t>する者の場合</t>
    <phoneticPr fontId="1"/>
  </si>
  <si>
    <t>(2)夜間</t>
    <phoneticPr fontId="1"/>
  </si>
  <si>
    <t>ハ　日中</t>
    <phoneticPr fontId="1"/>
  </si>
  <si>
    <t>(4)夜間</t>
    <phoneticPr fontId="1"/>
  </si>
  <si>
    <t>(3)夜間</t>
    <phoneticPr fontId="1"/>
  </si>
  <si>
    <t>(1)夜間</t>
    <phoneticPr fontId="1"/>
  </si>
  <si>
    <t>ロ　日中</t>
    <phoneticPr fontId="1"/>
  </si>
  <si>
    <t>(5)夜間</t>
    <phoneticPr fontId="1"/>
  </si>
  <si>
    <t>イ　日中</t>
    <phoneticPr fontId="1"/>
  </si>
  <si>
    <t>（盲ろう者向け通訳・介助員：日中＋夜間）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</si>
  <si>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</si>
  <si>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</si>
  <si>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</si>
  <si>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</si>
  <si>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</si>
  <si>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２時間以上</t>
    <phoneticPr fontId="1"/>
  </si>
  <si>
    <t>(1)深夜</t>
    <phoneticPr fontId="1"/>
  </si>
  <si>
    <t>ホ　夜間</t>
    <phoneticPr fontId="1"/>
  </si>
  <si>
    <t xml:space="preserve"> ３０分以上</t>
    <phoneticPr fontId="1"/>
  </si>
  <si>
    <t>(2)深夜</t>
    <phoneticPr fontId="1"/>
  </si>
  <si>
    <t xml:space="preserve"> １時間３０分以上</t>
    <phoneticPr fontId="1"/>
  </si>
  <si>
    <t>ニ　夜間</t>
    <phoneticPr fontId="1"/>
  </si>
  <si>
    <t xml:space="preserve"> １時間以上</t>
    <phoneticPr fontId="1"/>
  </si>
  <si>
    <t>(3)深夜</t>
    <phoneticPr fontId="1"/>
  </si>
  <si>
    <t>ハ　夜間</t>
    <phoneticPr fontId="1"/>
  </si>
  <si>
    <t>(4)深夜</t>
    <phoneticPr fontId="1"/>
  </si>
  <si>
    <t>ロ　夜間</t>
    <phoneticPr fontId="1"/>
  </si>
  <si>
    <t>(5)深夜</t>
    <phoneticPr fontId="1"/>
  </si>
  <si>
    <t>イ　夜間</t>
    <phoneticPr fontId="1"/>
  </si>
  <si>
    <t>B</t>
    <phoneticPr fontId="1"/>
  </si>
  <si>
    <t>（盲ろう者向け通訳・介助員：夜間＋深夜）</t>
    <phoneticPr fontId="1"/>
  </si>
  <si>
    <t>ホ　深夜</t>
    <phoneticPr fontId="1"/>
  </si>
  <si>
    <t>ニ　深夜</t>
    <phoneticPr fontId="1"/>
  </si>
  <si>
    <t>ハ　深夜</t>
    <phoneticPr fontId="1"/>
  </si>
  <si>
    <t>（盲ろう者向け通訳・介助員：日を跨る場合　２日目深夜増分）</t>
    <phoneticPr fontId="1"/>
  </si>
  <si>
    <t>(2)早朝</t>
    <phoneticPr fontId="1"/>
  </si>
  <si>
    <t>ハ　深夜</t>
    <phoneticPr fontId="1"/>
  </si>
  <si>
    <t>(3)早朝</t>
    <phoneticPr fontId="1"/>
  </si>
  <si>
    <t xml:space="preserve"> ３０分以上</t>
    <phoneticPr fontId="1"/>
  </si>
  <si>
    <t>(1)早朝</t>
    <phoneticPr fontId="1"/>
  </si>
  <si>
    <t>ロ　深夜</t>
    <phoneticPr fontId="1"/>
  </si>
  <si>
    <t>(2)早朝</t>
    <phoneticPr fontId="1"/>
  </si>
  <si>
    <t>盲ろう者向け通訳・介助員により</t>
    <phoneticPr fontId="1"/>
  </si>
  <si>
    <t>（盲ろう者向け通訳・介助員：深夜＋早朝＋日中）　　※サービス間隔が２時間未満の場合</t>
    <phoneticPr fontId="1"/>
  </si>
  <si>
    <t>通訳介助員が支援を行う場合</t>
    <phoneticPr fontId="1"/>
  </si>
  <si>
    <t>盲ろう者に対して盲ろう者向け・</t>
    <phoneticPr fontId="1"/>
  </si>
  <si>
    <t>する者の場合</t>
    <phoneticPr fontId="1"/>
  </si>
  <si>
    <t>障害支援区分４以上に該当</t>
    <phoneticPr fontId="1"/>
  </si>
  <si>
    <t>障害支援区分３に該当</t>
    <phoneticPr fontId="1"/>
  </si>
  <si>
    <t xml:space="preserve"> ２時間以上</t>
    <phoneticPr fontId="1"/>
  </si>
  <si>
    <t>(1)日中</t>
    <phoneticPr fontId="1"/>
  </si>
  <si>
    <t>ホ　深夜</t>
    <phoneticPr fontId="1"/>
  </si>
  <si>
    <t>(2)日中</t>
    <phoneticPr fontId="1"/>
  </si>
  <si>
    <t xml:space="preserve"> １時間３０分以上</t>
    <phoneticPr fontId="1"/>
  </si>
  <si>
    <t>ニ　深夜</t>
    <phoneticPr fontId="1"/>
  </si>
  <si>
    <t xml:space="preserve"> １時間以上</t>
    <phoneticPr fontId="1"/>
  </si>
  <si>
    <t>(3)日中</t>
    <phoneticPr fontId="1"/>
  </si>
  <si>
    <t>ハ　深夜</t>
    <phoneticPr fontId="1"/>
  </si>
  <si>
    <t>(4)日中</t>
    <phoneticPr fontId="1"/>
  </si>
  <si>
    <t xml:space="preserve"> ３０分以上</t>
    <phoneticPr fontId="1"/>
  </si>
  <si>
    <t>ロ　深夜</t>
    <phoneticPr fontId="1"/>
  </si>
  <si>
    <t>イ　深夜</t>
    <phoneticPr fontId="1"/>
  </si>
  <si>
    <t>（盲ろう者向け通訳・介助員：深夜＋日中）　　※サービス間隔が２時間未満の場合</t>
    <phoneticPr fontId="1"/>
  </si>
  <si>
    <t>イ　早朝</t>
    <phoneticPr fontId="1"/>
  </si>
  <si>
    <t>（盲ろう者向け通訳・介助員：早朝＋日中＋夜間）　　※サービス間隔が２時間未満の場合</t>
    <phoneticPr fontId="1"/>
  </si>
  <si>
    <t>(1)夜間</t>
    <phoneticPr fontId="1"/>
  </si>
  <si>
    <t>ニ　日中</t>
    <phoneticPr fontId="1"/>
  </si>
  <si>
    <t>(2)夜間</t>
    <phoneticPr fontId="1"/>
  </si>
  <si>
    <t>ハ　日中</t>
    <phoneticPr fontId="1"/>
  </si>
  <si>
    <t>(3)夜間</t>
    <phoneticPr fontId="1"/>
  </si>
  <si>
    <t>ロ　日中</t>
    <phoneticPr fontId="1"/>
  </si>
  <si>
    <t>イ　日中</t>
    <phoneticPr fontId="1"/>
  </si>
  <si>
    <t>盲ろう者に対して盲ろう者向け・</t>
    <phoneticPr fontId="1"/>
  </si>
  <si>
    <t xml:space="preserve"> １０時間以上</t>
    <phoneticPr fontId="1"/>
  </si>
  <si>
    <t>ナ　日中増分</t>
    <phoneticPr fontId="1"/>
  </si>
  <si>
    <t>ネ　日中増分</t>
    <phoneticPr fontId="1"/>
  </si>
  <si>
    <t>障害支援区分４以上に該当</t>
    <phoneticPr fontId="1"/>
  </si>
  <si>
    <t>ソ　日中増分</t>
    <phoneticPr fontId="1"/>
  </si>
  <si>
    <t>レ　日中増分</t>
    <phoneticPr fontId="1"/>
  </si>
  <si>
    <t xml:space="preserve"> ６時間３０分以上</t>
    <phoneticPr fontId="1"/>
  </si>
  <si>
    <t>カ　日中増分</t>
    <phoneticPr fontId="1"/>
  </si>
  <si>
    <t>ワ　日中増分</t>
    <phoneticPr fontId="1"/>
  </si>
  <si>
    <t>ヲ　日中増分</t>
    <phoneticPr fontId="1"/>
  </si>
  <si>
    <t>ル　日中増分</t>
    <phoneticPr fontId="1"/>
  </si>
  <si>
    <t>ヌ　日中増分</t>
    <phoneticPr fontId="1"/>
  </si>
  <si>
    <t>リ　日中増分</t>
    <phoneticPr fontId="1"/>
  </si>
  <si>
    <t>チ　日中増分</t>
    <phoneticPr fontId="1"/>
  </si>
  <si>
    <t>ト　日中増分</t>
    <phoneticPr fontId="1"/>
  </si>
  <si>
    <t>ヘ　日中増分</t>
    <phoneticPr fontId="1"/>
  </si>
  <si>
    <t>ホ　日中増分</t>
    <phoneticPr fontId="1"/>
  </si>
  <si>
    <t>ニ　日中増分</t>
    <phoneticPr fontId="1"/>
  </si>
  <si>
    <t>ハ　日中増分</t>
    <phoneticPr fontId="1"/>
  </si>
  <si>
    <t>ロ　日中増分</t>
    <phoneticPr fontId="1"/>
  </si>
  <si>
    <t>イ　日中増分</t>
    <phoneticPr fontId="1"/>
  </si>
  <si>
    <t>（盲ろう者向け通訳・介助員：日中増分)</t>
    <phoneticPr fontId="1"/>
  </si>
  <si>
    <t>通訳介助員が支援を行う場合</t>
    <phoneticPr fontId="1"/>
  </si>
  <si>
    <t>する者の場合</t>
    <phoneticPr fontId="1"/>
  </si>
  <si>
    <t>障害支援区分３に該当</t>
    <phoneticPr fontId="1"/>
  </si>
  <si>
    <t>リ　夜間増分</t>
    <phoneticPr fontId="1"/>
  </si>
  <si>
    <t>盲ろう者に対して盲ろう者向け・</t>
    <phoneticPr fontId="1"/>
  </si>
  <si>
    <t>チ　夜間増分</t>
    <phoneticPr fontId="1"/>
  </si>
  <si>
    <t>障害支援区分４以上に該当</t>
    <phoneticPr fontId="1"/>
  </si>
  <si>
    <t>ヘ　夜間増分</t>
    <phoneticPr fontId="1"/>
  </si>
  <si>
    <t>ニ　夜間増分</t>
    <phoneticPr fontId="1"/>
  </si>
  <si>
    <t>ハ　夜間増分</t>
    <phoneticPr fontId="1"/>
  </si>
  <si>
    <t>（盲ろう者向け通訳・介助員：夜間増分）</t>
    <phoneticPr fontId="1"/>
  </si>
  <si>
    <t>ホ　早朝増分</t>
    <phoneticPr fontId="1"/>
  </si>
  <si>
    <t>ロ　早朝増分</t>
    <phoneticPr fontId="1"/>
  </si>
  <si>
    <t>イ　早朝増分</t>
    <phoneticPr fontId="1"/>
  </si>
  <si>
    <t>通訳介助員が支援を行う場合</t>
    <phoneticPr fontId="1"/>
  </si>
  <si>
    <t>盲ろう者に対して盲ろう者向け・</t>
    <phoneticPr fontId="1"/>
  </si>
  <si>
    <t>ワ　深夜増分</t>
    <phoneticPr fontId="1"/>
  </si>
  <si>
    <t>する者の場合</t>
    <phoneticPr fontId="1"/>
  </si>
  <si>
    <t>障害支援区分４以上に該当</t>
    <phoneticPr fontId="1"/>
  </si>
  <si>
    <t>ヲ　深夜増分</t>
    <phoneticPr fontId="1"/>
  </si>
  <si>
    <t>ル　深夜増分</t>
    <phoneticPr fontId="1"/>
  </si>
  <si>
    <t>ヌ　深夜増分</t>
    <phoneticPr fontId="1"/>
  </si>
  <si>
    <t>リ　深夜増分</t>
    <phoneticPr fontId="1"/>
  </si>
  <si>
    <t>チ　深夜増分</t>
    <phoneticPr fontId="1"/>
  </si>
  <si>
    <t>ト　深夜増分</t>
    <phoneticPr fontId="1"/>
  </si>
  <si>
    <t>ホ　深夜増分</t>
    <phoneticPr fontId="1"/>
  </si>
  <si>
    <t>ニ　深夜増分</t>
    <phoneticPr fontId="1"/>
  </si>
  <si>
    <t>ハ　深夜増分</t>
    <phoneticPr fontId="1"/>
  </si>
  <si>
    <t>ロ　深夜増分</t>
    <phoneticPr fontId="1"/>
  </si>
  <si>
    <t>イ　深夜増分</t>
    <phoneticPr fontId="1"/>
  </si>
  <si>
    <t>ロ　福祉・介護職員等特定処遇改善加算（Ⅱ）</t>
    <phoneticPr fontId="1"/>
  </si>
  <si>
    <t>同援特定処遇改善加算Ⅱ</t>
    <phoneticPr fontId="1"/>
  </si>
  <si>
    <t>イ　福祉・介護職員等特定処遇改善加算（Ⅰ）</t>
    <phoneticPr fontId="1"/>
  </si>
  <si>
    <t>福祉・介護職員等特定処遇改善加算</t>
    <phoneticPr fontId="1"/>
  </si>
  <si>
    <t>福祉・介護職員処遇改善特別加算</t>
    <phoneticPr fontId="11"/>
  </si>
  <si>
    <t>ホ　福祉・介護職員処遇改善加算（Ⅴ）</t>
    <phoneticPr fontId="11"/>
  </si>
  <si>
    <t>ニ　福祉・介護職員処遇改善加算（Ⅳ）</t>
    <phoneticPr fontId="11"/>
  </si>
  <si>
    <t>ハ　福祉・介護職員処遇改善加算（Ⅲ）</t>
    <phoneticPr fontId="11"/>
  </si>
  <si>
    <t>ロ　福祉・介護職員処遇改善加算（Ⅱ）</t>
    <phoneticPr fontId="11"/>
  </si>
  <si>
    <t>イ　福祉・介護職員処遇改善加算（Ⅰ）</t>
    <phoneticPr fontId="11"/>
  </si>
  <si>
    <t>同援上限額管理加算</t>
    <phoneticPr fontId="11"/>
  </si>
  <si>
    <t>喀痰吸引等支援体制加算</t>
    <phoneticPr fontId="11"/>
  </si>
  <si>
    <t>同援喀痰吸引等支援体制加算</t>
    <phoneticPr fontId="11"/>
  </si>
  <si>
    <t>同援特地加算</t>
    <phoneticPr fontId="11"/>
  </si>
  <si>
    <t>算定項目</t>
    <phoneticPr fontId="11"/>
  </si>
  <si>
    <t>サービスコード</t>
    <phoneticPr fontId="11"/>
  </si>
  <si>
    <t>重訪Ⅰ入院等深夜１．５・同行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</si>
</sst>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7" formatCode="#,##0_ "/>
  </numFmts>
  <fonts count="2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  <charset val="128"/>
      <scheme val="minor"/>
    </font>
    <font>
      <sz val="10"/>
      <name val="ＭＳ Ｐゴシック"/>
      <family val="2"/>
      <charset val="128"/>
      <scheme val="minor"/>
    </font>
    <font>
      <sz val="8"/>
      <name val="ＭＳ Ｐゴシック"/>
      <family val="2"/>
      <charset val="128"/>
      <scheme val="minor"/>
    </font>
    <font>
      <sz val="14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2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>
      <alignment vertical="center"/>
    </xf>
    <xf numFmtId="0" fontId="2" fillId="0" borderId="0">
      <alignment vertical="center"/>
    </xf>
    <xf numFmtId="9" fontId="6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21" fillId="0" borderId="0"/>
    <xf numFmtId="0" fontId="14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96">
    <xf numFmtId="0" fontId="0" fillId="0" borderId="0" xfId="0">
      <alignment vertical="center"/>
    </xf>
    <xf numFmtId="0" fontId="5" fillId="0" borderId="9" xfId="0" applyNumberFormat="1" applyFont="1" applyFill="1" applyBorder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3" fontId="9" fillId="0" borderId="1" xfId="1" applyNumberFormat="1" applyFont="1" applyFill="1" applyBorder="1" applyAlignment="1">
      <alignment vertical="center"/>
    </xf>
    <xf numFmtId="0" fontId="8" fillId="0" borderId="3" xfId="1" applyFont="1" applyFill="1" applyBorder="1" applyAlignment="1">
      <alignment vertical="center"/>
    </xf>
    <xf numFmtId="0" fontId="8" fillId="0" borderId="12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8" fillId="0" borderId="1" xfId="1" applyFont="1" applyFill="1" applyBorder="1" applyAlignment="1">
      <alignment vertical="center"/>
    </xf>
    <xf numFmtId="0" fontId="9" fillId="0" borderId="1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vertical="center"/>
    </xf>
    <xf numFmtId="0" fontId="8" fillId="0" borderId="6" xfId="1" applyFont="1" applyFill="1" applyBorder="1" applyAlignment="1">
      <alignment horizontal="center" vertical="center"/>
    </xf>
    <xf numFmtId="3" fontId="7" fillId="0" borderId="3" xfId="1" applyNumberFormat="1" applyFont="1" applyFill="1" applyBorder="1" applyAlignment="1">
      <alignment vertical="center"/>
    </xf>
    <xf numFmtId="0" fontId="8" fillId="0" borderId="6" xfId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left" vertical="center"/>
    </xf>
    <xf numFmtId="0" fontId="8" fillId="0" borderId="5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vertical="center"/>
    </xf>
    <xf numFmtId="0" fontId="7" fillId="0" borderId="4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8" fillId="0" borderId="7" xfId="1" applyFont="1" applyFill="1" applyBorder="1" applyAlignment="1">
      <alignment horizontal="center" vertical="center" shrinkToFit="1"/>
    </xf>
    <xf numFmtId="0" fontId="7" fillId="0" borderId="3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shrinkToFit="1"/>
    </xf>
    <xf numFmtId="0" fontId="8" fillId="0" borderId="11" xfId="1" applyFont="1" applyFill="1" applyBorder="1" applyAlignment="1">
      <alignment vertical="center"/>
    </xf>
    <xf numFmtId="0" fontId="7" fillId="0" borderId="11" xfId="1" applyFont="1" applyFill="1" applyBorder="1" applyAlignment="1">
      <alignment vertical="center"/>
    </xf>
    <xf numFmtId="0" fontId="12" fillId="0" borderId="0" xfId="1" applyFont="1" applyFill="1" applyAlignment="1">
      <alignment vertical="center"/>
    </xf>
    <xf numFmtId="0" fontId="10" fillId="0" borderId="0" xfId="1" applyFont="1" applyFill="1" applyAlignment="1">
      <alignment vertical="center" shrinkToFit="1"/>
    </xf>
    <xf numFmtId="9" fontId="8" fillId="0" borderId="3" xfId="1" applyNumberFormat="1" applyFont="1" applyFill="1" applyBorder="1" applyAlignment="1">
      <alignment vertical="center"/>
    </xf>
    <xf numFmtId="0" fontId="8" fillId="0" borderId="2" xfId="1" applyFont="1" applyFill="1" applyBorder="1" applyAlignment="1">
      <alignment horizontal="left" vertical="center"/>
    </xf>
    <xf numFmtId="0" fontId="8" fillId="0" borderId="3" xfId="1" applyFont="1" applyFill="1" applyBorder="1" applyAlignment="1">
      <alignment horizontal="right" vertical="center"/>
    </xf>
    <xf numFmtId="0" fontId="10" fillId="0" borderId="11" xfId="1" applyFont="1" applyFill="1" applyBorder="1" applyAlignment="1">
      <alignment vertical="center"/>
    </xf>
    <xf numFmtId="0" fontId="10" fillId="0" borderId="11" xfId="1" applyFont="1" applyFill="1" applyBorder="1" applyAlignment="1">
      <alignment horizontal="right" vertical="center"/>
    </xf>
    <xf numFmtId="0" fontId="10" fillId="0" borderId="12" xfId="1" applyFont="1" applyFill="1" applyBorder="1" applyAlignment="1">
      <alignment vertical="center"/>
    </xf>
    <xf numFmtId="0" fontId="10" fillId="0" borderId="12" xfId="1" applyFont="1" applyFill="1" applyBorder="1" applyAlignment="1">
      <alignment horizontal="right" vertical="center"/>
    </xf>
    <xf numFmtId="0" fontId="10" fillId="0" borderId="10" xfId="1" applyFont="1" applyFill="1" applyBorder="1" applyAlignment="1">
      <alignment vertical="center"/>
    </xf>
    <xf numFmtId="0" fontId="10" fillId="0" borderId="3" xfId="1" applyFont="1" applyFill="1" applyBorder="1" applyAlignment="1">
      <alignment vertical="center"/>
    </xf>
    <xf numFmtId="0" fontId="10" fillId="0" borderId="4" xfId="1" applyFont="1" applyFill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>
      <alignment vertical="center"/>
    </xf>
    <xf numFmtId="0" fontId="16" fillId="0" borderId="0" xfId="0" applyNumberFormat="1" applyFont="1" applyFill="1">
      <alignment vertical="center"/>
    </xf>
    <xf numFmtId="9" fontId="16" fillId="0" borderId="0" xfId="0" applyNumberFormat="1" applyFont="1" applyFill="1">
      <alignment vertical="center"/>
    </xf>
    <xf numFmtId="0" fontId="5" fillId="0" borderId="0" xfId="0" applyNumberFormat="1" applyFont="1" applyFill="1" applyAlignment="1">
      <alignment horizontal="center" vertical="center"/>
    </xf>
    <xf numFmtId="0" fontId="16" fillId="0" borderId="0" xfId="0" applyFont="1" applyFill="1">
      <alignment vertical="center"/>
    </xf>
    <xf numFmtId="0" fontId="16" fillId="0" borderId="2" xfId="0" applyNumberFormat="1" applyFont="1" applyFill="1" applyBorder="1" applyAlignment="1">
      <alignment horizontal="centerContinuous" vertical="center"/>
    </xf>
    <xf numFmtId="0" fontId="3" fillId="0" borderId="4" xfId="0" applyNumberFormat="1" applyFont="1" applyFill="1" applyBorder="1" applyAlignment="1">
      <alignment horizontal="centerContinuous" vertical="center"/>
    </xf>
    <xf numFmtId="0" fontId="5" fillId="0" borderId="5" xfId="0" applyNumberFormat="1" applyFont="1" applyFill="1" applyBorder="1" applyAlignment="1">
      <alignment horizontal="center" vertical="center"/>
    </xf>
    <xf numFmtId="0" fontId="16" fillId="0" borderId="11" xfId="0" applyNumberFormat="1" applyFont="1" applyFill="1" applyBorder="1" applyAlignment="1">
      <alignment horizontal="centerContinuous" vertical="center"/>
    </xf>
    <xf numFmtId="9" fontId="16" fillId="0" borderId="11" xfId="0" applyNumberFormat="1" applyFont="1" applyFill="1" applyBorder="1" applyAlignment="1">
      <alignment horizontal="centerContinuous" vertical="center"/>
    </xf>
    <xf numFmtId="0" fontId="16" fillId="0" borderId="5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>
      <alignment vertical="center"/>
    </xf>
    <xf numFmtId="0" fontId="16" fillId="0" borderId="12" xfId="0" applyNumberFormat="1" applyFont="1" applyFill="1" applyBorder="1">
      <alignment vertical="center"/>
    </xf>
    <xf numFmtId="9" fontId="16" fillId="0" borderId="12" xfId="0" applyNumberFormat="1" applyFont="1" applyFill="1" applyBorder="1">
      <alignment vertical="center"/>
    </xf>
    <xf numFmtId="0" fontId="16" fillId="0" borderId="7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>
      <alignment vertical="center"/>
    </xf>
    <xf numFmtId="0" fontId="16" fillId="0" borderId="8" xfId="0" applyNumberFormat="1" applyFont="1" applyFill="1" applyBorder="1">
      <alignment vertical="center"/>
    </xf>
    <xf numFmtId="0" fontId="16" fillId="0" borderId="11" xfId="0" applyNumberFormat="1" applyFont="1" applyFill="1" applyBorder="1">
      <alignment vertical="center"/>
    </xf>
    <xf numFmtId="9" fontId="16" fillId="0" borderId="11" xfId="0" applyNumberFormat="1" applyFont="1" applyFill="1" applyBorder="1">
      <alignment vertical="center"/>
    </xf>
    <xf numFmtId="0" fontId="16" fillId="0" borderId="3" xfId="0" applyNumberFormat="1" applyFont="1" applyFill="1" applyBorder="1">
      <alignment vertical="center"/>
    </xf>
    <xf numFmtId="9" fontId="16" fillId="0" borderId="3" xfId="0" applyNumberFormat="1" applyFont="1" applyFill="1" applyBorder="1">
      <alignment vertical="center"/>
    </xf>
    <xf numFmtId="0" fontId="16" fillId="0" borderId="10" xfId="0" applyNumberFormat="1" applyFont="1" applyFill="1" applyBorder="1">
      <alignment vertical="center"/>
    </xf>
    <xf numFmtId="0" fontId="16" fillId="0" borderId="9" xfId="0" applyNumberFormat="1" applyFont="1" applyFill="1" applyBorder="1">
      <alignment vertical="center"/>
    </xf>
    <xf numFmtId="0" fontId="16" fillId="0" borderId="0" xfId="0" applyNumberFormat="1" applyFont="1" applyFill="1" applyBorder="1">
      <alignment vertical="center"/>
    </xf>
    <xf numFmtId="0" fontId="5" fillId="0" borderId="6" xfId="0" applyNumberFormat="1" applyFont="1" applyFill="1" applyBorder="1" applyAlignment="1">
      <alignment horizontal="center" vertical="center"/>
    </xf>
    <xf numFmtId="0" fontId="16" fillId="0" borderId="14" xfId="0" applyNumberFormat="1" applyFont="1" applyFill="1" applyBorder="1">
      <alignment vertical="center"/>
    </xf>
    <xf numFmtId="0" fontId="5" fillId="0" borderId="7" xfId="0" applyNumberFormat="1" applyFont="1" applyFill="1" applyBorder="1" applyAlignment="1">
      <alignment horizontal="center" vertical="center"/>
    </xf>
    <xf numFmtId="0" fontId="15" fillId="0" borderId="0" xfId="0" applyNumberFormat="1" applyFont="1" applyFill="1">
      <alignment vertical="center"/>
    </xf>
    <xf numFmtId="0" fontId="5" fillId="0" borderId="12" xfId="0" applyNumberFormat="1" applyFont="1" applyFill="1" applyBorder="1">
      <alignment vertical="center"/>
    </xf>
    <xf numFmtId="0" fontId="5" fillId="0" borderId="8" xfId="0" applyNumberFormat="1" applyFont="1" applyFill="1" applyBorder="1">
      <alignment vertical="center"/>
    </xf>
    <xf numFmtId="0" fontId="16" fillId="0" borderId="13" xfId="0" applyNumberFormat="1" applyFont="1" applyFill="1" applyBorder="1">
      <alignment vertical="center"/>
    </xf>
    <xf numFmtId="9" fontId="16" fillId="0" borderId="0" xfId="0" applyNumberFormat="1" applyFont="1" applyFill="1" applyBorder="1">
      <alignment vertical="center"/>
    </xf>
    <xf numFmtId="0" fontId="16" fillId="0" borderId="15" xfId="0" applyNumberFormat="1" applyFont="1" applyFill="1" applyBorder="1">
      <alignment vertical="center"/>
    </xf>
    <xf numFmtId="0" fontId="4" fillId="0" borderId="8" xfId="0" applyNumberFormat="1" applyFont="1" applyFill="1" applyBorder="1">
      <alignment vertical="center"/>
    </xf>
    <xf numFmtId="0" fontId="5" fillId="0" borderId="11" xfId="0" applyNumberFormat="1" applyFont="1" applyFill="1" applyBorder="1" applyAlignment="1">
      <alignment horizontal="centerContinuous" vertical="center"/>
    </xf>
    <xf numFmtId="0" fontId="5" fillId="0" borderId="2" xfId="0" applyNumberFormat="1" applyFont="1" applyFill="1" applyBorder="1" applyAlignment="1">
      <alignment horizontal="centerContinuous" vertical="center"/>
    </xf>
    <xf numFmtId="0" fontId="5" fillId="0" borderId="10" xfId="0" applyNumberFormat="1" applyFont="1" applyFill="1" applyBorder="1">
      <alignment vertical="center"/>
    </xf>
    <xf numFmtId="0" fontId="5" fillId="0" borderId="0" xfId="0" applyNumberFormat="1" applyFont="1" applyFill="1" applyBorder="1">
      <alignment vertical="center"/>
    </xf>
    <xf numFmtId="0" fontId="5" fillId="0" borderId="2" xfId="0" applyNumberFormat="1" applyFont="1" applyFill="1" applyBorder="1">
      <alignment vertical="center"/>
    </xf>
    <xf numFmtId="0" fontId="3" fillId="0" borderId="0" xfId="0" applyNumberFormat="1" applyFont="1" applyFill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3" xfId="0" applyNumberFormat="1" applyFont="1" applyFill="1" applyBorder="1" applyAlignment="1">
      <alignment horizontal="centerContinuous" vertical="center"/>
    </xf>
    <xf numFmtId="0" fontId="16" fillId="0" borderId="4" xfId="0" applyNumberFormat="1" applyFont="1" applyFill="1" applyBorder="1" applyAlignment="1">
      <alignment horizontal="centerContinuous" vertical="center"/>
    </xf>
    <xf numFmtId="0" fontId="5" fillId="0" borderId="11" xfId="0" applyNumberFormat="1" applyFont="1" applyFill="1" applyBorder="1">
      <alignment vertical="center"/>
    </xf>
    <xf numFmtId="9" fontId="16" fillId="0" borderId="15" xfId="0" applyNumberFormat="1" applyFont="1" applyFill="1" applyBorder="1">
      <alignment vertical="center"/>
    </xf>
    <xf numFmtId="0" fontId="4" fillId="0" borderId="12" xfId="0" applyNumberFormat="1" applyFont="1" applyFill="1" applyBorder="1">
      <alignment vertical="center"/>
    </xf>
    <xf numFmtId="0" fontId="4" fillId="0" borderId="11" xfId="0" applyNumberFormat="1" applyFont="1" applyFill="1" applyBorder="1" applyAlignment="1">
      <alignment horizontal="centerContinuous" vertical="center"/>
    </xf>
    <xf numFmtId="9" fontId="16" fillId="0" borderId="13" xfId="0" applyNumberFormat="1" applyFont="1" applyFill="1" applyBorder="1">
      <alignment vertical="center"/>
    </xf>
    <xf numFmtId="9" fontId="16" fillId="0" borderId="14" xfId="0" applyNumberFormat="1" applyFont="1" applyFill="1" applyBorder="1">
      <alignment vertical="center"/>
    </xf>
    <xf numFmtId="0" fontId="4" fillId="0" borderId="9" xfId="0" applyNumberFormat="1" applyFont="1" applyFill="1" applyBorder="1">
      <alignment vertical="center"/>
    </xf>
    <xf numFmtId="0" fontId="4" fillId="0" borderId="0" xfId="0" applyNumberFormat="1" applyFont="1" applyFill="1" applyBorder="1">
      <alignment vertical="center"/>
    </xf>
    <xf numFmtId="0" fontId="16" fillId="0" borderId="0" xfId="0" applyNumberFormat="1" applyFont="1" applyFill="1" applyBorder="1" applyAlignment="1">
      <alignment horizontal="centerContinuous" vertical="center"/>
    </xf>
    <xf numFmtId="0" fontId="10" fillId="0" borderId="8" xfId="1" applyFont="1" applyFill="1" applyBorder="1" applyAlignment="1">
      <alignment vertical="center"/>
    </xf>
    <xf numFmtId="9" fontId="16" fillId="0" borderId="8" xfId="0" applyNumberFormat="1" applyFont="1" applyFill="1" applyBorder="1">
      <alignment vertical="center"/>
    </xf>
    <xf numFmtId="9" fontId="16" fillId="0" borderId="9" xfId="0" applyNumberFormat="1" applyFont="1" applyFill="1" applyBorder="1">
      <alignment vertical="center"/>
    </xf>
    <xf numFmtId="0" fontId="16" fillId="0" borderId="14" xfId="0" applyNumberFormat="1" applyFont="1" applyFill="1" applyBorder="1" applyAlignment="1">
      <alignment horizontal="right" vertical="center"/>
    </xf>
    <xf numFmtId="9" fontId="16" fillId="0" borderId="10" xfId="0" applyNumberFormat="1" applyFont="1" applyFill="1" applyBorder="1">
      <alignment vertical="center"/>
    </xf>
    <xf numFmtId="0" fontId="16" fillId="0" borderId="13" xfId="0" applyNumberFormat="1" applyFont="1" applyFill="1" applyBorder="1" applyAlignment="1">
      <alignment horizontal="centerContinuous" vertical="center"/>
    </xf>
    <xf numFmtId="0" fontId="16" fillId="0" borderId="6" xfId="0" applyNumberFormat="1" applyFont="1" applyFill="1" applyBorder="1">
      <alignment vertical="center"/>
    </xf>
    <xf numFmtId="0" fontId="16" fillId="0" borderId="7" xfId="0" applyNumberFormat="1" applyFont="1" applyFill="1" applyBorder="1">
      <alignment vertical="center"/>
    </xf>
    <xf numFmtId="0" fontId="4" fillId="0" borderId="2" xfId="0" applyNumberFormat="1" applyFont="1" applyFill="1" applyBorder="1">
      <alignment vertical="center"/>
    </xf>
    <xf numFmtId="0" fontId="4" fillId="0" borderId="10" xfId="0" applyNumberFormat="1" applyFont="1" applyFill="1" applyBorder="1">
      <alignment vertical="center"/>
    </xf>
    <xf numFmtId="0" fontId="5" fillId="0" borderId="3" xfId="0" applyNumberFormat="1" applyFont="1" applyFill="1" applyBorder="1">
      <alignment vertical="center"/>
    </xf>
    <xf numFmtId="9" fontId="5" fillId="0" borderId="9" xfId="0" applyNumberFormat="1" applyFont="1" applyFill="1" applyBorder="1">
      <alignment vertical="center"/>
    </xf>
    <xf numFmtId="0" fontId="5" fillId="0" borderId="14" xfId="0" applyNumberFormat="1" applyFont="1" applyFill="1" applyBorder="1" applyAlignment="1">
      <alignment horizontal="right" vertical="center"/>
    </xf>
    <xf numFmtId="0" fontId="4" fillId="0" borderId="14" xfId="0" applyNumberFormat="1" applyFont="1" applyFill="1" applyBorder="1" applyAlignment="1">
      <alignment horizontal="right" vertical="center"/>
    </xf>
    <xf numFmtId="0" fontId="5" fillId="0" borderId="12" xfId="0" applyNumberFormat="1" applyFont="1" applyFill="1" applyBorder="1" applyAlignment="1">
      <alignment horizontal="centerContinuous" vertical="center"/>
    </xf>
    <xf numFmtId="0" fontId="5" fillId="0" borderId="4" xfId="0" applyNumberFormat="1" applyFont="1" applyFill="1" applyBorder="1" applyAlignment="1">
      <alignment horizontal="centerContinuous" vertical="center"/>
    </xf>
    <xf numFmtId="9" fontId="4" fillId="0" borderId="9" xfId="0" applyNumberFormat="1" applyFont="1" applyFill="1" applyBorder="1">
      <alignment vertical="center"/>
    </xf>
    <xf numFmtId="0" fontId="4" fillId="0" borderId="0" xfId="0" applyNumberFormat="1" applyFont="1" applyFill="1">
      <alignment vertical="center"/>
    </xf>
    <xf numFmtId="0" fontId="4" fillId="0" borderId="2" xfId="0" applyNumberFormat="1" applyFont="1" applyFill="1" applyBorder="1" applyAlignment="1">
      <alignment horizontal="centerContinuous" vertical="center"/>
    </xf>
    <xf numFmtId="9" fontId="16" fillId="0" borderId="8" xfId="0" applyNumberFormat="1" applyFont="1" applyFill="1" applyBorder="1" applyAlignment="1">
      <alignment horizontal="centerContinuous" vertical="center"/>
    </xf>
    <xf numFmtId="9" fontId="17" fillId="0" borderId="9" xfId="0" applyNumberFormat="1" applyFont="1" applyFill="1" applyBorder="1">
      <alignment vertical="center"/>
    </xf>
    <xf numFmtId="0" fontId="20" fillId="0" borderId="14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>
      <alignment vertical="center"/>
    </xf>
    <xf numFmtId="3" fontId="3" fillId="0" borderId="1" xfId="0" applyNumberFormat="1" applyFont="1" applyFill="1" applyBorder="1">
      <alignment vertical="center"/>
    </xf>
    <xf numFmtId="0" fontId="9" fillId="3" borderId="1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vertical="center"/>
    </xf>
    <xf numFmtId="0" fontId="10" fillId="3" borderId="3" xfId="1" applyFont="1" applyFill="1" applyBorder="1" applyAlignment="1">
      <alignment vertical="center"/>
    </xf>
    <xf numFmtId="9" fontId="8" fillId="3" borderId="3" xfId="1" applyNumberFormat="1" applyFont="1" applyFill="1" applyBorder="1" applyAlignment="1">
      <alignment vertical="center"/>
    </xf>
    <xf numFmtId="0" fontId="7" fillId="3" borderId="3" xfId="1" applyFont="1" applyFill="1" applyBorder="1" applyAlignment="1">
      <alignment horizontal="left" vertical="center"/>
    </xf>
    <xf numFmtId="3" fontId="9" fillId="3" borderId="1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0" fontId="8" fillId="3" borderId="12" xfId="1" applyFont="1" applyFill="1" applyBorder="1" applyAlignment="1">
      <alignment vertical="center"/>
    </xf>
    <xf numFmtId="0" fontId="18" fillId="2" borderId="0" xfId="0" applyNumberFormat="1" applyFont="1" applyFill="1" applyAlignment="1">
      <alignment horizontal="left" vertical="center"/>
    </xf>
    <xf numFmtId="0" fontId="3" fillId="2" borderId="0" xfId="0" applyNumberFormat="1" applyFont="1" applyFill="1" applyAlignment="1">
      <alignment horizontal="center" vertical="center"/>
    </xf>
    <xf numFmtId="0" fontId="5" fillId="2" borderId="0" xfId="0" applyNumberFormat="1" applyFont="1" applyFill="1">
      <alignment vertical="center"/>
    </xf>
    <xf numFmtId="0" fontId="3" fillId="4" borderId="0" xfId="0" applyNumberFormat="1" applyFont="1" applyFill="1" applyAlignment="1">
      <alignment horizontal="center" vertical="center"/>
    </xf>
    <xf numFmtId="0" fontId="5" fillId="4" borderId="0" xfId="0" applyNumberFormat="1" applyFont="1" applyFill="1">
      <alignment vertical="center"/>
    </xf>
    <xf numFmtId="0" fontId="16" fillId="4" borderId="0" xfId="0" applyNumberFormat="1" applyFont="1" applyFill="1">
      <alignment vertical="center"/>
    </xf>
    <xf numFmtId="9" fontId="16" fillId="4" borderId="0" xfId="0" applyNumberFormat="1" applyFont="1" applyFill="1">
      <alignment vertical="center"/>
    </xf>
    <xf numFmtId="0" fontId="3" fillId="4" borderId="0" xfId="0" applyNumberFormat="1" applyFont="1" applyFill="1">
      <alignment vertical="center"/>
    </xf>
    <xf numFmtId="0" fontId="5" fillId="4" borderId="0" xfId="0" applyNumberFormat="1" applyFont="1" applyFill="1" applyAlignment="1">
      <alignment horizontal="center" vertical="center"/>
    </xf>
    <xf numFmtId="0" fontId="18" fillId="4" borderId="0" xfId="0" applyNumberFormat="1" applyFont="1" applyFill="1" applyAlignment="1">
      <alignment vertical="center"/>
    </xf>
    <xf numFmtId="0" fontId="15" fillId="4" borderId="0" xfId="0" applyNumberFormat="1" applyFont="1" applyFill="1">
      <alignment vertical="center"/>
    </xf>
    <xf numFmtId="0" fontId="16" fillId="4" borderId="2" xfId="0" applyNumberFormat="1" applyFont="1" applyFill="1" applyBorder="1" applyAlignment="1">
      <alignment horizontal="centerContinuous" vertical="center"/>
    </xf>
    <xf numFmtId="0" fontId="3" fillId="4" borderId="4" xfId="0" applyNumberFormat="1" applyFont="1" applyFill="1" applyBorder="1" applyAlignment="1">
      <alignment horizontal="centerContinuous" vertical="center"/>
    </xf>
    <xf numFmtId="0" fontId="5" fillId="4" borderId="5" xfId="0" applyNumberFormat="1" applyFont="1" applyFill="1" applyBorder="1" applyAlignment="1">
      <alignment horizontal="center" vertical="center"/>
    </xf>
    <xf numFmtId="0" fontId="5" fillId="4" borderId="11" xfId="0" applyNumberFormat="1" applyFont="1" applyFill="1" applyBorder="1" applyAlignment="1">
      <alignment horizontal="centerContinuous" vertical="center"/>
    </xf>
    <xf numFmtId="0" fontId="16" fillId="4" borderId="11" xfId="0" applyNumberFormat="1" applyFont="1" applyFill="1" applyBorder="1" applyAlignment="1">
      <alignment horizontal="centerContinuous" vertical="center"/>
    </xf>
    <xf numFmtId="9" fontId="16" fillId="4" borderId="11" xfId="0" applyNumberFormat="1" applyFont="1" applyFill="1" applyBorder="1" applyAlignment="1">
      <alignment horizontal="centerContinuous" vertical="center"/>
    </xf>
    <xf numFmtId="0" fontId="16" fillId="4" borderId="5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5" fillId="4" borderId="7" xfId="0" applyNumberFormat="1" applyFont="1" applyFill="1" applyBorder="1">
      <alignment vertical="center"/>
    </xf>
    <xf numFmtId="0" fontId="5" fillId="4" borderId="12" xfId="0" applyNumberFormat="1" applyFont="1" applyFill="1" applyBorder="1">
      <alignment vertical="center"/>
    </xf>
    <xf numFmtId="0" fontId="16" fillId="4" borderId="12" xfId="0" applyNumberFormat="1" applyFont="1" applyFill="1" applyBorder="1">
      <alignment vertical="center"/>
    </xf>
    <xf numFmtId="9" fontId="16" fillId="4" borderId="12" xfId="0" applyNumberFormat="1" applyFont="1" applyFill="1" applyBorder="1">
      <alignment vertical="center"/>
    </xf>
    <xf numFmtId="9" fontId="16" fillId="4" borderId="0" xfId="0" applyNumberFormat="1" applyFont="1" applyFill="1" applyBorder="1">
      <alignment vertical="center"/>
    </xf>
    <xf numFmtId="0" fontId="16" fillId="4" borderId="0" xfId="0" applyNumberFormat="1" applyFont="1" applyFill="1" applyBorder="1">
      <alignment vertical="center"/>
    </xf>
    <xf numFmtId="0" fontId="16" fillId="4" borderId="7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>
      <alignment vertical="center"/>
    </xf>
    <xf numFmtId="0" fontId="5" fillId="4" borderId="8" xfId="0" applyNumberFormat="1" applyFont="1" applyFill="1" applyBorder="1">
      <alignment vertical="center"/>
    </xf>
    <xf numFmtId="3" fontId="16" fillId="4" borderId="11" xfId="0" applyNumberFormat="1" applyFont="1" applyFill="1" applyBorder="1">
      <alignment vertical="center"/>
    </xf>
    <xf numFmtId="0" fontId="16" fillId="4" borderId="13" xfId="0" applyNumberFormat="1" applyFont="1" applyFill="1" applyBorder="1">
      <alignment vertical="center"/>
    </xf>
    <xf numFmtId="0" fontId="16" fillId="4" borderId="8" xfId="0" applyNumberFormat="1" applyFont="1" applyFill="1" applyBorder="1">
      <alignment vertical="center"/>
    </xf>
    <xf numFmtId="0" fontId="16" fillId="4" borderId="11" xfId="0" applyNumberFormat="1" applyFont="1" applyFill="1" applyBorder="1">
      <alignment vertical="center"/>
    </xf>
    <xf numFmtId="9" fontId="16" fillId="4" borderId="11" xfId="0" applyNumberFormat="1" applyFont="1" applyFill="1" applyBorder="1">
      <alignment vertical="center"/>
    </xf>
    <xf numFmtId="0" fontId="16" fillId="4" borderId="2" xfId="0" applyNumberFormat="1" applyFont="1" applyFill="1" applyBorder="1">
      <alignment vertical="center"/>
    </xf>
    <xf numFmtId="0" fontId="16" fillId="4" borderId="3" xfId="0" applyNumberFormat="1" applyFont="1" applyFill="1" applyBorder="1">
      <alignment vertical="center"/>
    </xf>
    <xf numFmtId="9" fontId="16" fillId="4" borderId="3" xfId="0" applyNumberFormat="1" applyFont="1" applyFill="1" applyBorder="1">
      <alignment vertical="center"/>
    </xf>
    <xf numFmtId="9" fontId="16" fillId="4" borderId="8" xfId="0" applyNumberFormat="1" applyFont="1" applyFill="1" applyBorder="1">
      <alignment vertical="center"/>
    </xf>
    <xf numFmtId="0" fontId="3" fillId="4" borderId="4" xfId="0" applyNumberFormat="1" applyFont="1" applyFill="1" applyBorder="1">
      <alignment vertical="center"/>
    </xf>
    <xf numFmtId="0" fontId="5" fillId="4" borderId="10" xfId="0" applyNumberFormat="1" applyFont="1" applyFill="1" applyBorder="1">
      <alignment vertical="center"/>
    </xf>
    <xf numFmtId="0" fontId="16" fillId="4" borderId="15" xfId="0" applyNumberFormat="1" applyFont="1" applyFill="1" applyBorder="1">
      <alignment vertical="center"/>
    </xf>
    <xf numFmtId="0" fontId="16" fillId="4" borderId="9" xfId="0" applyNumberFormat="1" applyFont="1" applyFill="1" applyBorder="1">
      <alignment vertical="center"/>
    </xf>
    <xf numFmtId="9" fontId="16" fillId="4" borderId="9" xfId="0" applyNumberFormat="1" applyFont="1" applyFill="1" applyBorder="1">
      <alignment vertical="center"/>
    </xf>
    <xf numFmtId="0" fontId="16" fillId="4" borderId="14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horizontal="center" vertical="center"/>
    </xf>
    <xf numFmtId="9" fontId="16" fillId="4" borderId="14" xfId="0" applyNumberFormat="1" applyFont="1" applyFill="1" applyBorder="1">
      <alignment vertical="center"/>
    </xf>
    <xf numFmtId="0" fontId="16" fillId="4" borderId="14" xfId="0" applyNumberFormat="1" applyFont="1" applyFill="1" applyBorder="1" applyAlignment="1">
      <alignment horizontal="right" vertical="center"/>
    </xf>
    <xf numFmtId="0" fontId="16" fillId="4" borderId="10" xfId="0" applyNumberFormat="1" applyFont="1" applyFill="1" applyBorder="1">
      <alignment vertical="center"/>
    </xf>
    <xf numFmtId="9" fontId="16" fillId="4" borderId="10" xfId="0" applyNumberFormat="1" applyFont="1" applyFill="1" applyBorder="1">
      <alignment vertical="center"/>
    </xf>
    <xf numFmtId="0" fontId="5" fillId="4" borderId="7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>
      <alignment vertical="center"/>
    </xf>
    <xf numFmtId="0" fontId="5" fillId="4" borderId="2" xfId="0" applyNumberFormat="1" applyFont="1" applyFill="1" applyBorder="1" applyAlignment="1">
      <alignment horizontal="centerContinuous" vertical="center"/>
    </xf>
    <xf numFmtId="0" fontId="16" fillId="4" borderId="3" xfId="0" applyNumberFormat="1" applyFont="1" applyFill="1" applyBorder="1" applyAlignment="1">
      <alignment horizontal="centerContinuous" vertical="center"/>
    </xf>
    <xf numFmtId="0" fontId="16" fillId="4" borderId="4" xfId="0" applyNumberFormat="1" applyFont="1" applyFill="1" applyBorder="1" applyAlignment="1">
      <alignment horizontal="centerContinuous" vertical="center"/>
    </xf>
    <xf numFmtId="9" fontId="16" fillId="4" borderId="13" xfId="0" applyNumberFormat="1" applyFont="1" applyFill="1" applyBorder="1">
      <alignment vertical="center"/>
    </xf>
    <xf numFmtId="0" fontId="4" fillId="4" borderId="8" xfId="0" applyNumberFormat="1" applyFont="1" applyFill="1" applyBorder="1">
      <alignment vertical="center"/>
    </xf>
    <xf numFmtId="0" fontId="4" fillId="4" borderId="10" xfId="0" applyNumberFormat="1" applyFont="1" applyFill="1" applyBorder="1">
      <alignment vertical="center"/>
    </xf>
    <xf numFmtId="9" fontId="16" fillId="4" borderId="15" xfId="0" applyNumberFormat="1" applyFont="1" applyFill="1" applyBorder="1">
      <alignment vertical="center"/>
    </xf>
    <xf numFmtId="0" fontId="4" fillId="4" borderId="2" xfId="0" applyNumberFormat="1" applyFont="1" applyFill="1" applyBorder="1">
      <alignment vertical="center"/>
    </xf>
    <xf numFmtId="0" fontId="5" fillId="4" borderId="0" xfId="0" applyNumberFormat="1" applyFont="1" applyFill="1" applyBorder="1">
      <alignment vertical="center"/>
    </xf>
    <xf numFmtId="0" fontId="5" fillId="4" borderId="9" xfId="0" applyNumberFormat="1" applyFont="1" applyFill="1" applyBorder="1">
      <alignment vertical="center"/>
    </xf>
    <xf numFmtId="0" fontId="5" fillId="4" borderId="3" xfId="0" applyNumberFormat="1" applyFont="1" applyFill="1" applyBorder="1">
      <alignment vertical="center"/>
    </xf>
    <xf numFmtId="0" fontId="4" fillId="4" borderId="3" xfId="0" applyNumberFormat="1" applyFont="1" applyFill="1" applyBorder="1">
      <alignment vertical="center"/>
    </xf>
    <xf numFmtId="0" fontId="5" fillId="4" borderId="11" xfId="0" applyNumberFormat="1" applyFont="1" applyFill="1" applyBorder="1">
      <alignment vertical="center"/>
    </xf>
    <xf numFmtId="9" fontId="16" fillId="4" borderId="14" xfId="2" applyFont="1" applyFill="1" applyBorder="1">
      <alignment vertical="center"/>
    </xf>
    <xf numFmtId="9" fontId="16" fillId="4" borderId="2" xfId="0" applyNumberFormat="1" applyFont="1" applyFill="1" applyBorder="1">
      <alignment vertical="center"/>
    </xf>
    <xf numFmtId="0" fontId="16" fillId="4" borderId="4" xfId="0" applyNumberFormat="1" applyFont="1" applyFill="1" applyBorder="1">
      <alignment vertical="center"/>
    </xf>
    <xf numFmtId="0" fontId="16" fillId="4" borderId="0" xfId="0" applyNumberFormat="1" applyFont="1" applyFill="1" applyBorder="1" applyAlignment="1">
      <alignment horizontal="right" vertical="center"/>
    </xf>
    <xf numFmtId="9" fontId="16" fillId="4" borderId="0" xfId="2" applyFont="1" applyFill="1" applyBorder="1">
      <alignment vertical="center"/>
    </xf>
    <xf numFmtId="0" fontId="5" fillId="4" borderId="2" xfId="0" applyNumberFormat="1" applyFont="1" applyFill="1" applyBorder="1">
      <alignment vertical="center"/>
    </xf>
    <xf numFmtId="0" fontId="16" fillId="4" borderId="11" xfId="0" applyNumberFormat="1" applyFont="1" applyFill="1" applyBorder="1" applyAlignment="1">
      <alignment vertical="center"/>
    </xf>
    <xf numFmtId="0" fontId="16" fillId="4" borderId="13" xfId="0" applyNumberFormat="1" applyFont="1" applyFill="1" applyBorder="1" applyAlignment="1">
      <alignment vertical="center"/>
    </xf>
    <xf numFmtId="0" fontId="16" fillId="4" borderId="0" xfId="0" applyNumberFormat="1" applyFont="1" applyFill="1" applyBorder="1" applyAlignment="1">
      <alignment vertical="center"/>
    </xf>
    <xf numFmtId="0" fontId="16" fillId="4" borderId="14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0" fontId="16" fillId="4" borderId="12" xfId="0" applyNumberFormat="1" applyFont="1" applyFill="1" applyBorder="1" applyAlignment="1">
      <alignment vertical="center"/>
    </xf>
    <xf numFmtId="0" fontId="16" fillId="4" borderId="15" xfId="0" applyNumberFormat="1" applyFont="1" applyFill="1" applyBorder="1" applyAlignment="1">
      <alignment vertical="center"/>
    </xf>
    <xf numFmtId="3" fontId="16" fillId="4" borderId="0" xfId="0" applyNumberFormat="1" applyFont="1" applyFill="1" applyBorder="1">
      <alignment vertical="center"/>
    </xf>
    <xf numFmtId="0" fontId="16" fillId="4" borderId="13" xfId="0" applyNumberFormat="1" applyFont="1" applyFill="1" applyBorder="1" applyAlignment="1">
      <alignment horizontal="centerContinuous" vertical="center"/>
    </xf>
    <xf numFmtId="0" fontId="4" fillId="4" borderId="12" xfId="0" applyNumberFormat="1" applyFont="1" applyFill="1" applyBorder="1">
      <alignment vertical="center"/>
    </xf>
    <xf numFmtId="0" fontId="5" fillId="4" borderId="8" xfId="0" applyNumberFormat="1" applyFont="1" applyFill="1" applyBorder="1" applyAlignment="1">
      <alignment horizontal="centerContinuous" vertical="center"/>
    </xf>
    <xf numFmtId="0" fontId="16" fillId="4" borderId="15" xfId="0" applyNumberFormat="1" applyFont="1" applyFill="1" applyBorder="1" applyAlignment="1">
      <alignment horizontal="right" vertical="center"/>
    </xf>
    <xf numFmtId="0" fontId="16" fillId="4" borderId="0" xfId="0" applyNumberFormat="1" applyFont="1" applyFill="1" applyBorder="1" applyAlignment="1">
      <alignment horizontal="centerContinuous" vertical="center"/>
    </xf>
    <xf numFmtId="0" fontId="16" fillId="4" borderId="14" xfId="0" applyNumberFormat="1" applyFont="1" applyFill="1" applyBorder="1" applyAlignment="1">
      <alignment horizontal="centerContinuous" vertical="center"/>
    </xf>
    <xf numFmtId="0" fontId="16" fillId="4" borderId="6" xfId="0" applyNumberFormat="1" applyFont="1" applyFill="1" applyBorder="1">
      <alignment vertical="center"/>
    </xf>
    <xf numFmtId="0" fontId="16" fillId="4" borderId="7" xfId="0" applyNumberFormat="1" applyFont="1" applyFill="1" applyBorder="1">
      <alignment vertical="center"/>
    </xf>
    <xf numFmtId="9" fontId="16" fillId="4" borderId="4" xfId="0" applyNumberFormat="1" applyFont="1" applyFill="1" applyBorder="1">
      <alignment vertical="center"/>
    </xf>
    <xf numFmtId="0" fontId="16" fillId="4" borderId="13" xfId="0" applyNumberFormat="1" applyFont="1" applyFill="1" applyBorder="1" applyAlignment="1">
      <alignment horizontal="right" vertical="center"/>
    </xf>
    <xf numFmtId="3" fontId="3" fillId="4" borderId="4" xfId="0" applyNumberFormat="1" applyFont="1" applyFill="1" applyBorder="1">
      <alignment vertical="center"/>
    </xf>
    <xf numFmtId="0" fontId="5" fillId="4" borderId="14" xfId="0" applyNumberFormat="1" applyFont="1" applyFill="1" applyBorder="1">
      <alignment vertical="center"/>
    </xf>
    <xf numFmtId="0" fontId="4" fillId="4" borderId="14" xfId="0" applyNumberFormat="1" applyFont="1" applyFill="1" applyBorder="1">
      <alignment vertical="center"/>
    </xf>
    <xf numFmtId="0" fontId="5" fillId="4" borderId="15" xfId="0" applyNumberFormat="1" applyFont="1" applyFill="1" applyBorder="1">
      <alignment vertical="center"/>
    </xf>
    <xf numFmtId="0" fontId="5" fillId="4" borderId="15" xfId="0" applyNumberFormat="1" applyFont="1" applyFill="1" applyBorder="1" applyAlignment="1">
      <alignment horizontal="centerContinuous" vertical="center"/>
    </xf>
    <xf numFmtId="0" fontId="5" fillId="4" borderId="3" xfId="0" applyNumberFormat="1" applyFont="1" applyFill="1" applyBorder="1" applyAlignment="1">
      <alignment horizontal="centerContinuous" vertical="center"/>
    </xf>
    <xf numFmtId="0" fontId="19" fillId="4" borderId="7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>
      <alignment vertical="center"/>
    </xf>
    <xf numFmtId="0" fontId="5" fillId="4" borderId="12" xfId="0" applyNumberFormat="1" applyFont="1" applyFill="1" applyBorder="1" applyAlignment="1">
      <alignment vertical="center"/>
    </xf>
    <xf numFmtId="3" fontId="3" fillId="4" borderId="1" xfId="0" applyNumberFormat="1" applyFont="1" applyFill="1" applyBorder="1">
      <alignment vertical="center"/>
    </xf>
    <xf numFmtId="9" fontId="16" fillId="4" borderId="14" xfId="0" applyNumberFormat="1" applyFont="1" applyFill="1" applyBorder="1" applyAlignment="1">
      <alignment horizontal="right" vertical="center"/>
    </xf>
    <xf numFmtId="3" fontId="16" fillId="2" borderId="0" xfId="0" applyNumberFormat="1" applyFont="1" applyFill="1" applyBorder="1">
      <alignment vertical="center"/>
    </xf>
    <xf numFmtId="3" fontId="3" fillId="2" borderId="1" xfId="0" applyNumberFormat="1" applyFont="1" applyFill="1" applyBorder="1">
      <alignment vertical="center"/>
    </xf>
    <xf numFmtId="0" fontId="18" fillId="2" borderId="0" xfId="0" applyNumberFormat="1" applyFont="1" applyFill="1" applyAlignment="1">
      <alignment vertical="center"/>
    </xf>
    <xf numFmtId="0" fontId="15" fillId="2" borderId="0" xfId="0" applyNumberFormat="1" applyFont="1" applyFill="1">
      <alignment vertical="center"/>
    </xf>
    <xf numFmtId="0" fontId="16" fillId="2" borderId="0" xfId="0" applyNumberFormat="1" applyFont="1" applyFill="1">
      <alignment vertical="center"/>
    </xf>
    <xf numFmtId="0" fontId="5" fillId="2" borderId="9" xfId="0" applyNumberFormat="1" applyFont="1" applyFill="1" applyBorder="1">
      <alignment vertical="center"/>
    </xf>
    <xf numFmtId="0" fontId="5" fillId="2" borderId="8" xfId="0" applyNumberFormat="1" applyFont="1" applyFill="1" applyBorder="1">
      <alignment vertical="center"/>
    </xf>
    <xf numFmtId="0" fontId="5" fillId="5" borderId="9" xfId="0" applyNumberFormat="1" applyFont="1" applyFill="1" applyBorder="1">
      <alignment vertical="center"/>
    </xf>
    <xf numFmtId="0" fontId="16" fillId="2" borderId="11" xfId="0" applyNumberFormat="1" applyFont="1" applyFill="1" applyBorder="1">
      <alignment vertical="center"/>
    </xf>
    <xf numFmtId="0" fontId="5" fillId="2" borderId="11" xfId="0" applyNumberFormat="1" applyFont="1" applyFill="1" applyBorder="1">
      <alignment vertical="center"/>
    </xf>
    <xf numFmtId="0" fontId="16" fillId="5" borderId="0" xfId="0" applyNumberFormat="1" applyFont="1" applyFill="1" applyBorder="1">
      <alignment vertical="center"/>
    </xf>
    <xf numFmtId="0" fontId="16" fillId="5" borderId="14" xfId="0" applyNumberFormat="1" applyFont="1" applyFill="1" applyBorder="1">
      <alignment vertical="center"/>
    </xf>
    <xf numFmtId="0" fontId="6" fillId="0" borderId="0" xfId="12">
      <alignment vertical="center"/>
    </xf>
    <xf numFmtId="0" fontId="6" fillId="0" borderId="0" xfId="12" applyFont="1">
      <alignment vertical="center"/>
    </xf>
    <xf numFmtId="0" fontId="6" fillId="0" borderId="1" xfId="12" applyBorder="1">
      <alignment vertical="center"/>
    </xf>
    <xf numFmtId="0" fontId="6" fillId="0" borderId="1" xfId="12" applyFont="1" applyBorder="1">
      <alignment vertical="center"/>
    </xf>
    <xf numFmtId="0" fontId="6" fillId="0" borderId="1" xfId="12" applyFont="1" applyBorder="1" applyAlignment="1">
      <alignment horizontal="left" vertical="top"/>
    </xf>
    <xf numFmtId="177" fontId="6" fillId="0" borderId="1" xfId="12" applyNumberFormat="1" applyBorder="1" applyAlignment="1">
      <alignment horizontal="right" vertical="top"/>
    </xf>
    <xf numFmtId="0" fontId="6" fillId="5" borderId="1" xfId="12" applyFont="1" applyFill="1" applyBorder="1">
      <alignment vertical="center"/>
    </xf>
    <xf numFmtId="0" fontId="6" fillId="0" borderId="1" xfId="12" applyBorder="1" applyAlignment="1">
      <alignment horizontal="right" vertical="top"/>
    </xf>
    <xf numFmtId="177" fontId="6" fillId="0" borderId="1" xfId="12" applyNumberFormat="1" applyBorder="1">
      <alignment vertical="center"/>
    </xf>
    <xf numFmtId="9" fontId="6" fillId="0" borderId="1" xfId="12" applyNumberFormat="1" applyBorder="1">
      <alignment vertical="center"/>
    </xf>
    <xf numFmtId="9" fontId="6" fillId="0" borderId="1" xfId="12" applyNumberFormat="1" applyBorder="1" applyAlignment="1">
      <alignment horizontal="right" vertical="top"/>
    </xf>
    <xf numFmtId="0" fontId="0" fillId="0" borderId="1" xfId="12" applyFont="1" applyBorder="1">
      <alignment vertical="center"/>
    </xf>
    <xf numFmtId="0" fontId="0" fillId="0" borderId="0" xfId="12" applyFont="1">
      <alignment vertical="center"/>
    </xf>
    <xf numFmtId="0" fontId="0" fillId="5" borderId="1" xfId="12" applyFont="1" applyFill="1" applyBorder="1">
      <alignment vertical="center"/>
    </xf>
    <xf numFmtId="3" fontId="7" fillId="0" borderId="3" xfId="1" applyNumberFormat="1" applyFont="1" applyFill="1" applyBorder="1" applyAlignment="1">
      <alignment horizontal="right" vertical="center"/>
    </xf>
    <xf numFmtId="0" fontId="8" fillId="0" borderId="12" xfId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vertical="center"/>
    </xf>
    <xf numFmtId="9" fontId="7" fillId="0" borderId="3" xfId="1" applyNumberFormat="1" applyFont="1" applyFill="1" applyBorder="1" applyAlignment="1">
      <alignment horizontal="right" vertical="center"/>
    </xf>
    <xf numFmtId="0" fontId="7" fillId="0" borderId="13" xfId="1" applyFont="1" applyFill="1" applyBorder="1" applyAlignment="1">
      <alignment horizontal="center" vertical="center"/>
    </xf>
    <xf numFmtId="176" fontId="7" fillId="0" borderId="3" xfId="1" applyNumberFormat="1" applyFont="1" applyFill="1" applyBorder="1" applyAlignment="1">
      <alignment horizontal="right" vertical="center"/>
    </xf>
    <xf numFmtId="0" fontId="8" fillId="3" borderId="12" xfId="1" applyFont="1" applyFill="1" applyBorder="1" applyAlignment="1">
      <alignment horizontal="right" vertical="center"/>
    </xf>
    <xf numFmtId="0" fontId="10" fillId="0" borderId="11" xfId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right" vertical="center"/>
    </xf>
    <xf numFmtId="0" fontId="10" fillId="0" borderId="0" xfId="1" applyFont="1" applyFill="1" applyAlignment="1">
      <alignment vertical="center"/>
    </xf>
    <xf numFmtId="0" fontId="10" fillId="0" borderId="0" xfId="1" applyFont="1" applyFill="1" applyAlignment="1">
      <alignment horizontal="right" vertical="center"/>
    </xf>
    <xf numFmtId="3" fontId="7" fillId="3" borderId="3" xfId="1" applyNumberFormat="1" applyFont="1" applyFill="1" applyBorder="1" applyAlignment="1">
      <alignment horizontal="right" vertical="center"/>
    </xf>
    <xf numFmtId="0" fontId="8" fillId="3" borderId="8" xfId="1" applyFont="1" applyFill="1" applyBorder="1" applyAlignment="1">
      <alignment horizontal="left" vertical="top" wrapText="1"/>
    </xf>
    <xf numFmtId="0" fontId="8" fillId="3" borderId="10" xfId="1" applyFont="1" applyFill="1" applyBorder="1" applyAlignment="1">
      <alignment horizontal="left" vertical="top" wrapText="1"/>
    </xf>
    <xf numFmtId="3" fontId="7" fillId="0" borderId="3" xfId="1" applyNumberFormat="1" applyFont="1" applyFill="1" applyBorder="1" applyAlignment="1">
      <alignment horizontal="right" vertical="center"/>
    </xf>
    <xf numFmtId="0" fontId="8" fillId="0" borderId="8" xfId="1" applyFont="1" applyFill="1" applyBorder="1" applyAlignment="1">
      <alignment horizontal="left" vertical="top" wrapText="1"/>
    </xf>
    <xf numFmtId="0" fontId="8" fillId="0" borderId="11" xfId="1" applyFont="1" applyFill="1" applyBorder="1" applyAlignment="1">
      <alignment horizontal="left" vertical="top" wrapText="1"/>
    </xf>
    <xf numFmtId="0" fontId="8" fillId="0" borderId="13" xfId="1" applyFont="1" applyFill="1" applyBorder="1" applyAlignment="1">
      <alignment horizontal="left" vertical="top" wrapText="1"/>
    </xf>
    <xf numFmtId="0" fontId="8" fillId="0" borderId="9" xfId="1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left" vertical="top" wrapText="1"/>
    </xf>
    <xf numFmtId="0" fontId="8" fillId="0" borderId="14" xfId="1" applyFont="1" applyFill="1" applyBorder="1" applyAlignment="1">
      <alignment horizontal="left" vertical="top" wrapText="1"/>
    </xf>
    <xf numFmtId="0" fontId="8" fillId="0" borderId="10" xfId="1" applyFont="1" applyFill="1" applyBorder="1" applyAlignment="1">
      <alignment horizontal="left" vertical="top" wrapText="1"/>
    </xf>
    <xf numFmtId="0" fontId="8" fillId="0" borderId="12" xfId="1" applyFont="1" applyFill="1" applyBorder="1" applyAlignment="1">
      <alignment horizontal="left" vertical="top" wrapText="1"/>
    </xf>
    <xf numFmtId="0" fontId="8" fillId="0" borderId="15" xfId="1" applyFont="1" applyFill="1" applyBorder="1" applyAlignment="1">
      <alignment horizontal="left" vertical="top" wrapText="1"/>
    </xf>
    <xf numFmtId="0" fontId="8" fillId="0" borderId="9" xfId="1" applyFont="1" applyFill="1" applyBorder="1" applyAlignment="1">
      <alignment horizontal="left" vertical="top"/>
    </xf>
    <xf numFmtId="0" fontId="8" fillId="0" borderId="0" xfId="1" applyFont="1" applyFill="1" applyBorder="1" applyAlignment="1">
      <alignment horizontal="left" vertical="top"/>
    </xf>
    <xf numFmtId="0" fontId="8" fillId="0" borderId="14" xfId="1" applyFont="1" applyFill="1" applyBorder="1" applyAlignment="1">
      <alignment horizontal="left" vertical="top"/>
    </xf>
    <xf numFmtId="0" fontId="8" fillId="0" borderId="10" xfId="1" applyFont="1" applyFill="1" applyBorder="1" applyAlignment="1">
      <alignment horizontal="left" vertical="top"/>
    </xf>
    <xf numFmtId="0" fontId="8" fillId="0" borderId="12" xfId="1" applyFont="1" applyFill="1" applyBorder="1" applyAlignment="1">
      <alignment horizontal="left" vertical="top"/>
    </xf>
    <xf numFmtId="0" fontId="8" fillId="0" borderId="15" xfId="1" applyFont="1" applyFill="1" applyBorder="1" applyAlignment="1">
      <alignment horizontal="left" vertical="top"/>
    </xf>
    <xf numFmtId="0" fontId="8" fillId="3" borderId="11" xfId="1" applyFont="1" applyFill="1" applyBorder="1" applyAlignment="1">
      <alignment horizontal="left" vertical="top" wrapText="1"/>
    </xf>
    <xf numFmtId="0" fontId="8" fillId="3" borderId="13" xfId="1" applyFont="1" applyFill="1" applyBorder="1" applyAlignment="1">
      <alignment horizontal="left" vertical="top" wrapText="1"/>
    </xf>
    <xf numFmtId="0" fontId="8" fillId="3" borderId="12" xfId="1" applyFont="1" applyFill="1" applyBorder="1" applyAlignment="1">
      <alignment horizontal="left" vertical="top" wrapText="1"/>
    </xf>
    <xf numFmtId="0" fontId="8" fillId="3" borderId="15" xfId="1" applyFont="1" applyFill="1" applyBorder="1" applyAlignment="1">
      <alignment horizontal="left" vertical="top" wrapText="1"/>
    </xf>
    <xf numFmtId="0" fontId="16" fillId="4" borderId="5" xfId="0" applyNumberFormat="1" applyFont="1" applyFill="1" applyBorder="1" applyAlignment="1">
      <alignment vertical="top" textRotation="255"/>
    </xf>
    <xf numFmtId="0" fontId="16" fillId="4" borderId="6" xfId="0" applyNumberFormat="1" applyFont="1" applyFill="1" applyBorder="1" applyAlignment="1">
      <alignment vertical="top" textRotation="255"/>
    </xf>
    <xf numFmtId="0" fontId="16" fillId="4" borderId="8" xfId="0" applyNumberFormat="1" applyFont="1" applyFill="1" applyBorder="1" applyAlignment="1">
      <alignment vertical="top" textRotation="255"/>
    </xf>
    <xf numFmtId="0" fontId="16" fillId="4" borderId="9" xfId="0" applyNumberFormat="1" applyFont="1" applyFill="1" applyBorder="1" applyAlignment="1">
      <alignment vertical="top" textRotation="255"/>
    </xf>
    <xf numFmtId="0" fontId="16" fillId="0" borderId="5" xfId="0" applyNumberFormat="1" applyFont="1" applyFill="1" applyBorder="1" applyAlignment="1">
      <alignment vertical="top" textRotation="255"/>
    </xf>
    <xf numFmtId="0" fontId="16" fillId="0" borderId="6" xfId="0" applyNumberFormat="1" applyFont="1" applyFill="1" applyBorder="1" applyAlignment="1">
      <alignment vertical="top" textRotation="255"/>
    </xf>
    <xf numFmtId="0" fontId="8" fillId="0" borderId="8" xfId="1" applyFont="1" applyFill="1" applyBorder="1" applyAlignment="1">
      <alignment horizontal="left" vertical="top"/>
    </xf>
    <xf numFmtId="0" fontId="8" fillId="0" borderId="11" xfId="1" applyFont="1" applyFill="1" applyBorder="1" applyAlignment="1">
      <alignment horizontal="left" vertical="top"/>
    </xf>
    <xf numFmtId="0" fontId="8" fillId="0" borderId="13" xfId="1" applyFont="1" applyFill="1" applyBorder="1" applyAlignment="1">
      <alignment horizontal="left" vertical="top"/>
    </xf>
  </cellXfs>
  <cellStyles count="19">
    <cellStyle name="パーセント" xfId="2" builtinId="5"/>
    <cellStyle name="桁区切り 2" xfId="3" xr:uid="{00000000-0005-0000-0000-000002000000}"/>
    <cellStyle name="標準" xfId="0" builtinId="0"/>
    <cellStyle name="標準 10" xfId="7" xr:uid="{00000000-0005-0000-0000-000004000000}"/>
    <cellStyle name="標準 11" xfId="13" xr:uid="{00000000-0005-0000-0000-000005000000}"/>
    <cellStyle name="標準 13" xfId="14" xr:uid="{00000000-0005-0000-0000-000006000000}"/>
    <cellStyle name="標準 14" xfId="6" xr:uid="{00000000-0005-0000-0000-000007000000}"/>
    <cellStyle name="標準 14 2" xfId="8" xr:uid="{00000000-0005-0000-0000-000008000000}"/>
    <cellStyle name="標準 2" xfId="1" xr:uid="{00000000-0005-0000-0000-000009000000}"/>
    <cellStyle name="標準 2 2" xfId="9" xr:uid="{00000000-0005-0000-0000-00000A000000}"/>
    <cellStyle name="標準 2 2 2" xfId="11" xr:uid="{00000000-0005-0000-0000-00000B000000}"/>
    <cellStyle name="標準 2 2 3" xfId="18" xr:uid="{00000000-0005-0000-0000-00000C000000}"/>
    <cellStyle name="標準 2 3" xfId="12" xr:uid="{00000000-0005-0000-0000-00000D000000}"/>
    <cellStyle name="標準 3" xfId="4" xr:uid="{00000000-0005-0000-0000-00000E000000}"/>
    <cellStyle name="標準 3 2" xfId="17" xr:uid="{00000000-0005-0000-0000-00000F000000}"/>
    <cellStyle name="標準 4" xfId="15" xr:uid="{00000000-0005-0000-0000-000010000000}"/>
    <cellStyle name="標準 5" xfId="10" xr:uid="{00000000-0005-0000-0000-000011000000}"/>
    <cellStyle name="標準 76" xfId="5" xr:uid="{00000000-0005-0000-0000-000012000000}"/>
    <cellStyle name="標準 9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383"/>
  <sheetViews>
    <sheetView workbookViewId="0">
      <selection activeCell="C4" sqref="C4"/>
    </sheetView>
  </sheetViews>
  <sheetFormatPr defaultColWidth="9" defaultRowHeight="12.9" x14ac:dyDescent="0.3"/>
  <cols>
    <col min="1" max="1" width="9" style="239"/>
    <col min="2" max="2" width="52.3671875" style="239" customWidth="1"/>
    <col min="3" max="3" width="8.47265625" style="239" customWidth="1"/>
    <col min="4" max="16384" width="9" style="239"/>
  </cols>
  <sheetData>
    <row r="1" spans="1:3" x14ac:dyDescent="0.3">
      <c r="B1" s="240" t="s">
        <v>16807</v>
      </c>
    </row>
    <row r="3" spans="1:3" x14ac:dyDescent="0.3">
      <c r="A3" s="241" t="s">
        <v>16332</v>
      </c>
      <c r="B3" s="250" t="s">
        <v>16600</v>
      </c>
      <c r="C3" s="243" t="s">
        <v>16333</v>
      </c>
    </row>
    <row r="4" spans="1:3" x14ac:dyDescent="0.3">
      <c r="A4" s="241">
        <v>1</v>
      </c>
      <c r="B4" s="242" t="s">
        <v>16806</v>
      </c>
      <c r="C4" s="244">
        <v>249</v>
      </c>
    </row>
    <row r="5" spans="1:3" x14ac:dyDescent="0.3">
      <c r="A5" s="241">
        <v>2</v>
      </c>
      <c r="B5" s="241" t="s">
        <v>16334</v>
      </c>
      <c r="C5" s="244">
        <v>393</v>
      </c>
    </row>
    <row r="6" spans="1:3" x14ac:dyDescent="0.3">
      <c r="A6" s="241">
        <v>3</v>
      </c>
      <c r="B6" s="241" t="s">
        <v>16335</v>
      </c>
      <c r="C6" s="244">
        <v>571</v>
      </c>
    </row>
    <row r="7" spans="1:3" x14ac:dyDescent="0.3">
      <c r="A7" s="241">
        <v>4</v>
      </c>
      <c r="B7" s="241" t="s">
        <v>16336</v>
      </c>
      <c r="C7" s="244">
        <v>652</v>
      </c>
    </row>
    <row r="8" spans="1:3" x14ac:dyDescent="0.3">
      <c r="A8" s="241">
        <v>5</v>
      </c>
      <c r="B8" s="241" t="s">
        <v>16337</v>
      </c>
      <c r="C8" s="244">
        <v>734</v>
      </c>
    </row>
    <row r="9" spans="1:3" x14ac:dyDescent="0.3">
      <c r="A9" s="241">
        <v>6</v>
      </c>
      <c r="B9" s="241" t="s">
        <v>16338</v>
      </c>
      <c r="C9" s="244">
        <v>815</v>
      </c>
    </row>
    <row r="10" spans="1:3" x14ac:dyDescent="0.3">
      <c r="A10" s="241">
        <v>7</v>
      </c>
      <c r="B10" s="241" t="s">
        <v>16339</v>
      </c>
      <c r="C10" s="244">
        <v>896</v>
      </c>
    </row>
    <row r="11" spans="1:3" x14ac:dyDescent="0.3">
      <c r="A11" s="241">
        <v>8</v>
      </c>
      <c r="B11" s="241" t="s">
        <v>16340</v>
      </c>
      <c r="C11" s="244">
        <v>977</v>
      </c>
    </row>
    <row r="12" spans="1:3" x14ac:dyDescent="0.3">
      <c r="A12" s="241">
        <v>9</v>
      </c>
      <c r="B12" s="241" t="s">
        <v>16341</v>
      </c>
      <c r="C12" s="244">
        <v>1058</v>
      </c>
    </row>
    <row r="13" spans="1:3" x14ac:dyDescent="0.3">
      <c r="A13" s="241">
        <v>10</v>
      </c>
      <c r="B13" s="241" t="s">
        <v>16342</v>
      </c>
      <c r="C13" s="244">
        <v>1139</v>
      </c>
    </row>
    <row r="14" spans="1:3" x14ac:dyDescent="0.3">
      <c r="A14" s="241">
        <v>11</v>
      </c>
      <c r="B14" s="241" t="s">
        <v>16343</v>
      </c>
      <c r="C14" s="244">
        <v>1220</v>
      </c>
    </row>
    <row r="15" spans="1:3" x14ac:dyDescent="0.3">
      <c r="A15" s="241">
        <v>12</v>
      </c>
      <c r="B15" s="241" t="s">
        <v>16344</v>
      </c>
      <c r="C15" s="244">
        <v>1301</v>
      </c>
    </row>
    <row r="16" spans="1:3" x14ac:dyDescent="0.3">
      <c r="A16" s="241">
        <v>13</v>
      </c>
      <c r="B16" s="241" t="s">
        <v>16345</v>
      </c>
      <c r="C16" s="244">
        <v>1382</v>
      </c>
    </row>
    <row r="17" spans="1:3" x14ac:dyDescent="0.3">
      <c r="A17" s="241">
        <v>14</v>
      </c>
      <c r="B17" s="241" t="s">
        <v>16346</v>
      </c>
      <c r="C17" s="244">
        <v>1463</v>
      </c>
    </row>
    <row r="18" spans="1:3" x14ac:dyDescent="0.3">
      <c r="A18" s="241">
        <v>15</v>
      </c>
      <c r="B18" s="241" t="s">
        <v>16347</v>
      </c>
      <c r="C18" s="244">
        <v>1544</v>
      </c>
    </row>
    <row r="19" spans="1:3" x14ac:dyDescent="0.3">
      <c r="A19" s="241">
        <v>16</v>
      </c>
      <c r="B19" s="241" t="s">
        <v>16348</v>
      </c>
      <c r="C19" s="244">
        <v>1625</v>
      </c>
    </row>
    <row r="20" spans="1:3" x14ac:dyDescent="0.3">
      <c r="A20" s="241">
        <v>17</v>
      </c>
      <c r="B20" s="241" t="s">
        <v>16349</v>
      </c>
      <c r="C20" s="244">
        <v>1706</v>
      </c>
    </row>
    <row r="21" spans="1:3" x14ac:dyDescent="0.3">
      <c r="A21" s="241">
        <v>18</v>
      </c>
      <c r="B21" s="241" t="s">
        <v>16350</v>
      </c>
      <c r="C21" s="244">
        <v>1787</v>
      </c>
    </row>
    <row r="22" spans="1:3" x14ac:dyDescent="0.3">
      <c r="A22" s="241">
        <v>19</v>
      </c>
      <c r="B22" s="241" t="s">
        <v>16351</v>
      </c>
      <c r="C22" s="244">
        <v>1868</v>
      </c>
    </row>
    <row r="23" spans="1:3" x14ac:dyDescent="0.3">
      <c r="A23" s="241">
        <v>20</v>
      </c>
      <c r="B23" s="241" t="s">
        <v>16352</v>
      </c>
      <c r="C23" s="244">
        <v>1949</v>
      </c>
    </row>
    <row r="24" spans="1:3" x14ac:dyDescent="0.3">
      <c r="A24" s="241">
        <v>21</v>
      </c>
      <c r="B24" s="241" t="s">
        <v>16353</v>
      </c>
      <c r="C24" s="244">
        <v>2030</v>
      </c>
    </row>
    <row r="25" spans="1:3" x14ac:dyDescent="0.3">
      <c r="A25" s="241">
        <v>22</v>
      </c>
      <c r="B25" s="242" t="s">
        <v>16805</v>
      </c>
      <c r="C25" s="244">
        <v>81</v>
      </c>
    </row>
    <row r="26" spans="1:3" x14ac:dyDescent="0.3">
      <c r="A26" s="241">
        <v>23</v>
      </c>
      <c r="B26" s="241" t="s">
        <v>16354</v>
      </c>
      <c r="C26" s="244">
        <v>162</v>
      </c>
    </row>
    <row r="27" spans="1:3" x14ac:dyDescent="0.3">
      <c r="A27" s="241">
        <v>24</v>
      </c>
      <c r="B27" s="241" t="s">
        <v>16355</v>
      </c>
      <c r="C27" s="244">
        <v>243</v>
      </c>
    </row>
    <row r="28" spans="1:3" x14ac:dyDescent="0.3">
      <c r="A28" s="241">
        <v>25</v>
      </c>
      <c r="B28" s="241" t="s">
        <v>16356</v>
      </c>
      <c r="C28" s="244">
        <v>324</v>
      </c>
    </row>
    <row r="29" spans="1:3" x14ac:dyDescent="0.3">
      <c r="A29" s="241">
        <v>26</v>
      </c>
      <c r="B29" s="241" t="s">
        <v>16357</v>
      </c>
      <c r="C29" s="244">
        <v>405</v>
      </c>
    </row>
    <row r="30" spans="1:3" x14ac:dyDescent="0.3">
      <c r="A30" s="241">
        <v>27</v>
      </c>
      <c r="B30" s="241" t="s">
        <v>16358</v>
      </c>
      <c r="C30" s="244">
        <v>486</v>
      </c>
    </row>
    <row r="31" spans="1:3" x14ac:dyDescent="0.3">
      <c r="A31" s="241">
        <v>28</v>
      </c>
      <c r="B31" s="241" t="s">
        <v>16359</v>
      </c>
      <c r="C31" s="244">
        <v>567</v>
      </c>
    </row>
    <row r="32" spans="1:3" x14ac:dyDescent="0.3">
      <c r="A32" s="241">
        <v>29</v>
      </c>
      <c r="B32" s="241" t="s">
        <v>16360</v>
      </c>
      <c r="C32" s="244">
        <v>648</v>
      </c>
    </row>
    <row r="33" spans="1:3" x14ac:dyDescent="0.3">
      <c r="A33" s="241">
        <v>30</v>
      </c>
      <c r="B33" s="241" t="s">
        <v>16361</v>
      </c>
      <c r="C33" s="244">
        <v>729</v>
      </c>
    </row>
    <row r="34" spans="1:3" x14ac:dyDescent="0.3">
      <c r="A34" s="241">
        <v>31</v>
      </c>
      <c r="B34" s="241" t="s">
        <v>16362</v>
      </c>
      <c r="C34" s="244">
        <v>810</v>
      </c>
    </row>
    <row r="35" spans="1:3" x14ac:dyDescent="0.3">
      <c r="A35" s="241">
        <v>32</v>
      </c>
      <c r="B35" s="241" t="s">
        <v>16363</v>
      </c>
      <c r="C35" s="244">
        <v>891</v>
      </c>
    </row>
    <row r="36" spans="1:3" x14ac:dyDescent="0.3">
      <c r="A36" s="241">
        <v>33</v>
      </c>
      <c r="B36" s="241" t="s">
        <v>16364</v>
      </c>
      <c r="C36" s="244">
        <v>972</v>
      </c>
    </row>
    <row r="37" spans="1:3" x14ac:dyDescent="0.3">
      <c r="A37" s="241">
        <v>34</v>
      </c>
      <c r="B37" s="241" t="s">
        <v>16365</v>
      </c>
      <c r="C37" s="244">
        <v>1053</v>
      </c>
    </row>
    <row r="38" spans="1:3" x14ac:dyDescent="0.3">
      <c r="A38" s="241">
        <v>35</v>
      </c>
      <c r="B38" s="241" t="s">
        <v>16366</v>
      </c>
      <c r="C38" s="244">
        <v>1134</v>
      </c>
    </row>
    <row r="39" spans="1:3" x14ac:dyDescent="0.3">
      <c r="A39" s="241">
        <v>36</v>
      </c>
      <c r="B39" s="241" t="s">
        <v>16367</v>
      </c>
      <c r="C39" s="244">
        <v>1215</v>
      </c>
    </row>
    <row r="40" spans="1:3" x14ac:dyDescent="0.3">
      <c r="A40" s="241">
        <v>37</v>
      </c>
      <c r="B40" s="241" t="s">
        <v>16368</v>
      </c>
      <c r="C40" s="244">
        <v>1296</v>
      </c>
    </row>
    <row r="41" spans="1:3" x14ac:dyDescent="0.3">
      <c r="A41" s="241">
        <v>38</v>
      </c>
      <c r="B41" s="241" t="s">
        <v>16369</v>
      </c>
      <c r="C41" s="244">
        <v>1377</v>
      </c>
    </row>
    <row r="42" spans="1:3" x14ac:dyDescent="0.3">
      <c r="A42" s="241">
        <v>39</v>
      </c>
      <c r="B42" s="241" t="s">
        <v>16370</v>
      </c>
      <c r="C42" s="244">
        <v>1458</v>
      </c>
    </row>
    <row r="43" spans="1:3" x14ac:dyDescent="0.3">
      <c r="A43" s="241">
        <v>40</v>
      </c>
      <c r="B43" s="241" t="s">
        <v>16371</v>
      </c>
      <c r="C43" s="244">
        <v>1539</v>
      </c>
    </row>
    <row r="44" spans="1:3" x14ac:dyDescent="0.3">
      <c r="A44" s="241">
        <v>41</v>
      </c>
      <c r="B44" s="241" t="s">
        <v>16372</v>
      </c>
      <c r="C44" s="244">
        <v>1620</v>
      </c>
    </row>
    <row r="45" spans="1:3" x14ac:dyDescent="0.3">
      <c r="A45" s="241">
        <v>42</v>
      </c>
      <c r="B45" s="241" t="s">
        <v>16373</v>
      </c>
      <c r="C45" s="244">
        <v>1701</v>
      </c>
    </row>
    <row r="46" spans="1:3" x14ac:dyDescent="0.3">
      <c r="A46" s="241">
        <v>43</v>
      </c>
      <c r="B46" s="245" t="s">
        <v>16804</v>
      </c>
      <c r="C46" s="244">
        <v>184</v>
      </c>
    </row>
    <row r="47" spans="1:3" x14ac:dyDescent="0.3">
      <c r="A47" s="241">
        <v>44</v>
      </c>
      <c r="B47" s="245" t="s">
        <v>16803</v>
      </c>
      <c r="C47" s="244">
        <v>274</v>
      </c>
    </row>
    <row r="48" spans="1:3" x14ac:dyDescent="0.3">
      <c r="A48" s="241">
        <v>45</v>
      </c>
      <c r="B48" s="245" t="s">
        <v>16802</v>
      </c>
      <c r="C48" s="244">
        <v>366</v>
      </c>
    </row>
    <row r="49" spans="1:3" x14ac:dyDescent="0.3">
      <c r="A49" s="241">
        <v>46</v>
      </c>
      <c r="B49" s="245" t="s">
        <v>16374</v>
      </c>
      <c r="C49" s="244">
        <v>457</v>
      </c>
    </row>
    <row r="50" spans="1:3" x14ac:dyDescent="0.3">
      <c r="A50" s="241">
        <v>47</v>
      </c>
      <c r="B50" s="245" t="s">
        <v>16801</v>
      </c>
      <c r="C50" s="244">
        <v>549</v>
      </c>
    </row>
    <row r="51" spans="1:3" x14ac:dyDescent="0.3">
      <c r="A51" s="241">
        <v>48</v>
      </c>
      <c r="B51" s="245" t="s">
        <v>16800</v>
      </c>
      <c r="C51" s="244">
        <v>633</v>
      </c>
    </row>
    <row r="52" spans="1:3" x14ac:dyDescent="0.3">
      <c r="A52" s="241">
        <v>49</v>
      </c>
      <c r="B52" s="245" t="s">
        <v>16799</v>
      </c>
      <c r="C52" s="244">
        <v>717</v>
      </c>
    </row>
    <row r="53" spans="1:3" x14ac:dyDescent="0.3">
      <c r="A53" s="241">
        <v>50</v>
      </c>
      <c r="B53" s="245" t="s">
        <v>16798</v>
      </c>
      <c r="C53" s="244">
        <v>801</v>
      </c>
    </row>
    <row r="54" spans="1:3" x14ac:dyDescent="0.3">
      <c r="A54" s="241">
        <v>51</v>
      </c>
      <c r="B54" s="245" t="s">
        <v>16797</v>
      </c>
      <c r="C54" s="244">
        <v>885</v>
      </c>
    </row>
    <row r="55" spans="1:3" x14ac:dyDescent="0.3">
      <c r="A55" s="241">
        <v>52</v>
      </c>
      <c r="B55" s="245" t="s">
        <v>16796</v>
      </c>
      <c r="C55" s="244">
        <v>969</v>
      </c>
    </row>
    <row r="56" spans="1:3" x14ac:dyDescent="0.3">
      <c r="A56" s="241">
        <v>53</v>
      </c>
      <c r="B56" s="245" t="s">
        <v>16795</v>
      </c>
      <c r="C56" s="244">
        <v>1053</v>
      </c>
    </row>
    <row r="57" spans="1:3" x14ac:dyDescent="0.3">
      <c r="A57" s="241">
        <v>54</v>
      </c>
      <c r="B57" s="245" t="s">
        <v>16794</v>
      </c>
      <c r="C57" s="244">
        <v>1137</v>
      </c>
    </row>
    <row r="58" spans="1:3" x14ac:dyDescent="0.3">
      <c r="A58" s="241">
        <v>55</v>
      </c>
      <c r="B58" s="245" t="s">
        <v>16793</v>
      </c>
      <c r="C58" s="244">
        <v>1221</v>
      </c>
    </row>
    <row r="59" spans="1:3" x14ac:dyDescent="0.3">
      <c r="A59" s="241">
        <v>56</v>
      </c>
      <c r="B59" s="245" t="s">
        <v>16792</v>
      </c>
      <c r="C59" s="244">
        <v>1305</v>
      </c>
    </row>
    <row r="60" spans="1:3" x14ac:dyDescent="0.3">
      <c r="A60" s="241">
        <v>57</v>
      </c>
      <c r="B60" s="245" t="s">
        <v>16791</v>
      </c>
      <c r="C60" s="244">
        <v>1389</v>
      </c>
    </row>
    <row r="61" spans="1:3" x14ac:dyDescent="0.3">
      <c r="A61" s="241">
        <v>58</v>
      </c>
      <c r="B61" s="245" t="s">
        <v>16790</v>
      </c>
      <c r="C61" s="244">
        <v>1473</v>
      </c>
    </row>
    <row r="62" spans="1:3" x14ac:dyDescent="0.3">
      <c r="A62" s="241">
        <v>59</v>
      </c>
      <c r="B62" s="245" t="s">
        <v>16789</v>
      </c>
      <c r="C62" s="244">
        <v>1557</v>
      </c>
    </row>
    <row r="63" spans="1:3" x14ac:dyDescent="0.3">
      <c r="A63" s="241">
        <v>60</v>
      </c>
      <c r="B63" s="245" t="s">
        <v>16788</v>
      </c>
      <c r="C63" s="244">
        <v>1641</v>
      </c>
    </row>
    <row r="64" spans="1:3" x14ac:dyDescent="0.3">
      <c r="A64" s="241">
        <v>61</v>
      </c>
      <c r="B64" s="245" t="s">
        <v>16787</v>
      </c>
      <c r="C64" s="244">
        <v>1725</v>
      </c>
    </row>
    <row r="65" spans="1:5" x14ac:dyDescent="0.3">
      <c r="A65" s="241">
        <v>62</v>
      </c>
      <c r="B65" s="245" t="s">
        <v>16786</v>
      </c>
      <c r="C65" s="244">
        <v>1809</v>
      </c>
    </row>
    <row r="66" spans="1:5" x14ac:dyDescent="0.3">
      <c r="A66" s="241">
        <v>63</v>
      </c>
      <c r="B66" s="252" t="s">
        <v>16785</v>
      </c>
      <c r="C66" s="244">
        <v>84</v>
      </c>
      <c r="E66" s="251"/>
    </row>
    <row r="67" spans="1:5" x14ac:dyDescent="0.3">
      <c r="A67" s="241">
        <v>64</v>
      </c>
      <c r="B67" s="252" t="s">
        <v>16784</v>
      </c>
      <c r="C67" s="244">
        <v>168</v>
      </c>
    </row>
    <row r="68" spans="1:5" x14ac:dyDescent="0.3">
      <c r="A68" s="241">
        <v>65</v>
      </c>
      <c r="B68" s="252" t="s">
        <v>16783</v>
      </c>
      <c r="C68" s="244">
        <v>252</v>
      </c>
    </row>
    <row r="69" spans="1:5" x14ac:dyDescent="0.3">
      <c r="A69" s="241">
        <v>66</v>
      </c>
      <c r="B69" s="252" t="s">
        <v>16782</v>
      </c>
      <c r="C69" s="244">
        <v>336</v>
      </c>
    </row>
    <row r="70" spans="1:5" x14ac:dyDescent="0.3">
      <c r="A70" s="241">
        <v>67</v>
      </c>
      <c r="B70" s="252" t="s">
        <v>16781</v>
      </c>
      <c r="C70" s="244">
        <v>420</v>
      </c>
    </row>
    <row r="71" spans="1:5" x14ac:dyDescent="0.3">
      <c r="A71" s="241">
        <v>68</v>
      </c>
      <c r="B71" s="252" t="s">
        <v>16780</v>
      </c>
      <c r="C71" s="244">
        <v>504</v>
      </c>
    </row>
    <row r="72" spans="1:5" x14ac:dyDescent="0.3">
      <c r="A72" s="241">
        <v>69</v>
      </c>
      <c r="B72" s="252" t="s">
        <v>16779</v>
      </c>
      <c r="C72" s="244">
        <v>588</v>
      </c>
    </row>
    <row r="73" spans="1:5" x14ac:dyDescent="0.3">
      <c r="A73" s="241">
        <v>70</v>
      </c>
      <c r="B73" s="252" t="s">
        <v>16778</v>
      </c>
      <c r="C73" s="244">
        <v>672</v>
      </c>
    </row>
    <row r="74" spans="1:5" x14ac:dyDescent="0.3">
      <c r="A74" s="241">
        <v>71</v>
      </c>
      <c r="B74" s="252" t="s">
        <v>16777</v>
      </c>
      <c r="C74" s="244">
        <v>756</v>
      </c>
    </row>
    <row r="75" spans="1:5" x14ac:dyDescent="0.3">
      <c r="A75" s="241">
        <v>72</v>
      </c>
      <c r="B75" s="252" t="s">
        <v>16776</v>
      </c>
      <c r="C75" s="244">
        <v>840</v>
      </c>
    </row>
    <row r="76" spans="1:5" x14ac:dyDescent="0.3">
      <c r="A76" s="241">
        <v>73</v>
      </c>
      <c r="B76" s="252" t="s">
        <v>16775</v>
      </c>
      <c r="C76" s="244">
        <v>924</v>
      </c>
    </row>
    <row r="77" spans="1:5" x14ac:dyDescent="0.3">
      <c r="A77" s="241">
        <v>74</v>
      </c>
      <c r="B77" s="252" t="s">
        <v>16774</v>
      </c>
      <c r="C77" s="244">
        <v>1008</v>
      </c>
    </row>
    <row r="78" spans="1:5" x14ac:dyDescent="0.3">
      <c r="A78" s="241">
        <v>75</v>
      </c>
      <c r="B78" s="252" t="s">
        <v>16773</v>
      </c>
      <c r="C78" s="244">
        <v>1092</v>
      </c>
    </row>
    <row r="79" spans="1:5" x14ac:dyDescent="0.3">
      <c r="A79" s="241">
        <v>76</v>
      </c>
      <c r="B79" s="252" t="s">
        <v>16772</v>
      </c>
      <c r="C79" s="244">
        <v>1176</v>
      </c>
    </row>
    <row r="80" spans="1:5" x14ac:dyDescent="0.3">
      <c r="A80" s="241">
        <v>77</v>
      </c>
      <c r="B80" s="252" t="s">
        <v>16771</v>
      </c>
      <c r="C80" s="244">
        <v>1260</v>
      </c>
    </row>
    <row r="81" spans="1:3" x14ac:dyDescent="0.3">
      <c r="A81" s="241">
        <v>78</v>
      </c>
      <c r="B81" s="252" t="s">
        <v>16770</v>
      </c>
      <c r="C81" s="244">
        <v>1344</v>
      </c>
    </row>
    <row r="82" spans="1:3" x14ac:dyDescent="0.3">
      <c r="A82" s="241">
        <v>79</v>
      </c>
      <c r="B82" s="252" t="s">
        <v>16769</v>
      </c>
      <c r="C82" s="244">
        <v>1428</v>
      </c>
    </row>
    <row r="83" spans="1:3" x14ac:dyDescent="0.3">
      <c r="A83" s="241">
        <v>80</v>
      </c>
      <c r="B83" s="252" t="s">
        <v>16768</v>
      </c>
      <c r="C83" s="244">
        <v>1512</v>
      </c>
    </row>
    <row r="84" spans="1:3" x14ac:dyDescent="0.3">
      <c r="A84" s="241">
        <v>81</v>
      </c>
      <c r="B84" s="252" t="s">
        <v>16767</v>
      </c>
      <c r="C84" s="244">
        <v>1596</v>
      </c>
    </row>
    <row r="85" spans="1:3" x14ac:dyDescent="0.3">
      <c r="A85" s="241">
        <v>82</v>
      </c>
      <c r="B85" s="252" t="s">
        <v>16766</v>
      </c>
      <c r="C85" s="244">
        <v>1680</v>
      </c>
    </row>
    <row r="86" spans="1:3" x14ac:dyDescent="0.3">
      <c r="A86" s="241">
        <v>83</v>
      </c>
      <c r="B86" s="252" t="s">
        <v>16765</v>
      </c>
      <c r="C86" s="244">
        <v>1764</v>
      </c>
    </row>
    <row r="87" spans="1:3" x14ac:dyDescent="0.3">
      <c r="A87" s="241">
        <v>84</v>
      </c>
      <c r="B87" s="241" t="s">
        <v>16375</v>
      </c>
      <c r="C87" s="244">
        <v>249</v>
      </c>
    </row>
    <row r="88" spans="1:3" x14ac:dyDescent="0.3">
      <c r="A88" s="241">
        <v>85</v>
      </c>
      <c r="B88" s="241" t="s">
        <v>16376</v>
      </c>
      <c r="C88" s="244">
        <v>393</v>
      </c>
    </row>
    <row r="89" spans="1:3" x14ac:dyDescent="0.3">
      <c r="A89" s="241">
        <v>86</v>
      </c>
      <c r="B89" s="241" t="s">
        <v>16377</v>
      </c>
      <c r="C89" s="244">
        <v>571</v>
      </c>
    </row>
    <row r="90" spans="1:3" x14ac:dyDescent="0.3">
      <c r="A90" s="241">
        <v>87</v>
      </c>
      <c r="B90" s="241" t="s">
        <v>16378</v>
      </c>
      <c r="C90" s="244">
        <v>652</v>
      </c>
    </row>
    <row r="91" spans="1:3" x14ac:dyDescent="0.3">
      <c r="A91" s="241">
        <v>88</v>
      </c>
      <c r="B91" s="241" t="s">
        <v>16379</v>
      </c>
      <c r="C91" s="244">
        <v>734</v>
      </c>
    </row>
    <row r="92" spans="1:3" x14ac:dyDescent="0.3">
      <c r="A92" s="241">
        <v>89</v>
      </c>
      <c r="B92" s="241" t="s">
        <v>16380</v>
      </c>
      <c r="C92" s="244">
        <v>815</v>
      </c>
    </row>
    <row r="93" spans="1:3" x14ac:dyDescent="0.3">
      <c r="A93" s="241">
        <v>90</v>
      </c>
      <c r="B93" s="241" t="s">
        <v>16381</v>
      </c>
      <c r="C93" s="244">
        <v>896</v>
      </c>
    </row>
    <row r="94" spans="1:3" x14ac:dyDescent="0.3">
      <c r="A94" s="241">
        <v>91</v>
      </c>
      <c r="B94" s="241" t="s">
        <v>16382</v>
      </c>
      <c r="C94" s="244">
        <v>977</v>
      </c>
    </row>
    <row r="95" spans="1:3" x14ac:dyDescent="0.3">
      <c r="A95" s="241">
        <v>92</v>
      </c>
      <c r="B95" s="241" t="s">
        <v>16383</v>
      </c>
      <c r="C95" s="244">
        <v>1058</v>
      </c>
    </row>
    <row r="96" spans="1:3" x14ac:dyDescent="0.3">
      <c r="A96" s="241">
        <v>93</v>
      </c>
      <c r="B96" s="241" t="s">
        <v>16384</v>
      </c>
      <c r="C96" s="244">
        <v>1139</v>
      </c>
    </row>
    <row r="97" spans="1:3" x14ac:dyDescent="0.3">
      <c r="A97" s="241">
        <v>94</v>
      </c>
      <c r="B97" s="241" t="s">
        <v>16385</v>
      </c>
      <c r="C97" s="244">
        <v>1220</v>
      </c>
    </row>
    <row r="98" spans="1:3" x14ac:dyDescent="0.3">
      <c r="A98" s="241">
        <v>95</v>
      </c>
      <c r="B98" s="241" t="s">
        <v>16386</v>
      </c>
      <c r="C98" s="244">
        <v>1301</v>
      </c>
    </row>
    <row r="99" spans="1:3" x14ac:dyDescent="0.3">
      <c r="A99" s="241">
        <v>96</v>
      </c>
      <c r="B99" s="241" t="s">
        <v>16387</v>
      </c>
      <c r="C99" s="244">
        <v>1382</v>
      </c>
    </row>
    <row r="100" spans="1:3" x14ac:dyDescent="0.3">
      <c r="A100" s="241">
        <v>97</v>
      </c>
      <c r="B100" s="241" t="s">
        <v>16388</v>
      </c>
      <c r="C100" s="244">
        <v>1463</v>
      </c>
    </row>
    <row r="101" spans="1:3" x14ac:dyDescent="0.3">
      <c r="A101" s="241">
        <v>98</v>
      </c>
      <c r="B101" s="241" t="s">
        <v>16389</v>
      </c>
      <c r="C101" s="244">
        <v>1544</v>
      </c>
    </row>
    <row r="102" spans="1:3" x14ac:dyDescent="0.3">
      <c r="A102" s="241">
        <v>99</v>
      </c>
      <c r="B102" s="241" t="s">
        <v>16390</v>
      </c>
      <c r="C102" s="244">
        <v>1625</v>
      </c>
    </row>
    <row r="103" spans="1:3" x14ac:dyDescent="0.3">
      <c r="A103" s="241">
        <v>100</v>
      </c>
      <c r="B103" s="241" t="s">
        <v>16391</v>
      </c>
      <c r="C103" s="244">
        <v>1706</v>
      </c>
    </row>
    <row r="104" spans="1:3" x14ac:dyDescent="0.3">
      <c r="A104" s="241">
        <v>101</v>
      </c>
      <c r="B104" s="241" t="s">
        <v>16392</v>
      </c>
      <c r="C104" s="244">
        <v>1787</v>
      </c>
    </row>
    <row r="105" spans="1:3" x14ac:dyDescent="0.3">
      <c r="A105" s="241">
        <v>102</v>
      </c>
      <c r="B105" s="241" t="s">
        <v>16393</v>
      </c>
      <c r="C105" s="244">
        <v>1868</v>
      </c>
    </row>
    <row r="106" spans="1:3" x14ac:dyDescent="0.3">
      <c r="A106" s="241">
        <v>103</v>
      </c>
      <c r="B106" s="241" t="s">
        <v>16394</v>
      </c>
      <c r="C106" s="244">
        <v>1949</v>
      </c>
    </row>
    <row r="107" spans="1:3" x14ac:dyDescent="0.3">
      <c r="A107" s="241">
        <v>104</v>
      </c>
      <c r="B107" s="241" t="s">
        <v>16395</v>
      </c>
      <c r="C107" s="244">
        <v>2030</v>
      </c>
    </row>
    <row r="108" spans="1:3" x14ac:dyDescent="0.3">
      <c r="A108" s="241">
        <v>105</v>
      </c>
      <c r="B108" s="242" t="s">
        <v>16764</v>
      </c>
      <c r="C108" s="244">
        <v>81</v>
      </c>
    </row>
    <row r="109" spans="1:3" x14ac:dyDescent="0.3">
      <c r="A109" s="241">
        <v>106</v>
      </c>
      <c r="B109" s="241" t="s">
        <v>16396</v>
      </c>
      <c r="C109" s="244">
        <v>162</v>
      </c>
    </row>
    <row r="110" spans="1:3" x14ac:dyDescent="0.3">
      <c r="A110" s="241">
        <v>107</v>
      </c>
      <c r="B110" s="241" t="s">
        <v>16397</v>
      </c>
      <c r="C110" s="244">
        <v>243</v>
      </c>
    </row>
    <row r="111" spans="1:3" x14ac:dyDescent="0.3">
      <c r="A111" s="241">
        <v>108</v>
      </c>
      <c r="B111" s="241" t="s">
        <v>16398</v>
      </c>
      <c r="C111" s="244">
        <v>324</v>
      </c>
    </row>
    <row r="112" spans="1:3" x14ac:dyDescent="0.3">
      <c r="A112" s="241">
        <v>109</v>
      </c>
      <c r="B112" s="241" t="s">
        <v>16399</v>
      </c>
      <c r="C112" s="244">
        <v>405</v>
      </c>
    </row>
    <row r="113" spans="1:3" x14ac:dyDescent="0.3">
      <c r="A113" s="241">
        <v>110</v>
      </c>
      <c r="B113" s="241" t="s">
        <v>16400</v>
      </c>
      <c r="C113" s="244">
        <v>486</v>
      </c>
    </row>
    <row r="114" spans="1:3" x14ac:dyDescent="0.3">
      <c r="A114" s="241">
        <v>111</v>
      </c>
      <c r="B114" s="241" t="s">
        <v>16401</v>
      </c>
      <c r="C114" s="244">
        <v>567</v>
      </c>
    </row>
    <row r="115" spans="1:3" x14ac:dyDescent="0.3">
      <c r="A115" s="241">
        <v>112</v>
      </c>
      <c r="B115" s="241" t="s">
        <v>16402</v>
      </c>
      <c r="C115" s="244">
        <v>648</v>
      </c>
    </row>
    <row r="116" spans="1:3" x14ac:dyDescent="0.3">
      <c r="A116" s="241">
        <v>113</v>
      </c>
      <c r="B116" s="241" t="s">
        <v>16403</v>
      </c>
      <c r="C116" s="244">
        <v>729</v>
      </c>
    </row>
    <row r="117" spans="1:3" x14ac:dyDescent="0.3">
      <c r="A117" s="241">
        <v>114</v>
      </c>
      <c r="B117" s="241" t="s">
        <v>16404</v>
      </c>
      <c r="C117" s="244">
        <v>810</v>
      </c>
    </row>
    <row r="118" spans="1:3" x14ac:dyDescent="0.3">
      <c r="A118" s="241">
        <v>115</v>
      </c>
      <c r="B118" s="241" t="s">
        <v>16405</v>
      </c>
      <c r="C118" s="244">
        <v>891</v>
      </c>
    </row>
    <row r="119" spans="1:3" x14ac:dyDescent="0.3">
      <c r="A119" s="241">
        <v>116</v>
      </c>
      <c r="B119" s="241" t="s">
        <v>16406</v>
      </c>
      <c r="C119" s="244">
        <v>972</v>
      </c>
    </row>
    <row r="120" spans="1:3" x14ac:dyDescent="0.3">
      <c r="A120" s="241">
        <v>117</v>
      </c>
      <c r="B120" s="241" t="s">
        <v>16407</v>
      </c>
      <c r="C120" s="244">
        <v>1053</v>
      </c>
    </row>
    <row r="121" spans="1:3" x14ac:dyDescent="0.3">
      <c r="A121" s="241">
        <v>118</v>
      </c>
      <c r="B121" s="241" t="s">
        <v>16408</v>
      </c>
      <c r="C121" s="244">
        <v>1134</v>
      </c>
    </row>
    <row r="122" spans="1:3" x14ac:dyDescent="0.3">
      <c r="A122" s="241">
        <v>119</v>
      </c>
      <c r="B122" s="241" t="s">
        <v>16409</v>
      </c>
      <c r="C122" s="244">
        <v>1215</v>
      </c>
    </row>
    <row r="123" spans="1:3" x14ac:dyDescent="0.3">
      <c r="A123" s="241">
        <v>120</v>
      </c>
      <c r="B123" s="241" t="s">
        <v>16410</v>
      </c>
      <c r="C123" s="244">
        <v>1296</v>
      </c>
    </row>
    <row r="124" spans="1:3" x14ac:dyDescent="0.3">
      <c r="A124" s="241">
        <v>121</v>
      </c>
      <c r="B124" s="241" t="s">
        <v>16411</v>
      </c>
      <c r="C124" s="244">
        <v>1377</v>
      </c>
    </row>
    <row r="125" spans="1:3" x14ac:dyDescent="0.3">
      <c r="A125" s="241">
        <v>122</v>
      </c>
      <c r="B125" s="241" t="s">
        <v>16412</v>
      </c>
      <c r="C125" s="244">
        <v>1458</v>
      </c>
    </row>
    <row r="126" spans="1:3" x14ac:dyDescent="0.3">
      <c r="A126" s="241">
        <v>123</v>
      </c>
      <c r="B126" s="241" t="s">
        <v>16413</v>
      </c>
      <c r="C126" s="244">
        <v>1539</v>
      </c>
    </row>
    <row r="127" spans="1:3" x14ac:dyDescent="0.3">
      <c r="A127" s="241">
        <v>124</v>
      </c>
      <c r="B127" s="241" t="s">
        <v>16414</v>
      </c>
      <c r="C127" s="244">
        <v>1620</v>
      </c>
    </row>
    <row r="128" spans="1:3" x14ac:dyDescent="0.3">
      <c r="A128" s="241">
        <v>125</v>
      </c>
      <c r="B128" s="241" t="s">
        <v>16415</v>
      </c>
      <c r="C128" s="244">
        <v>1701</v>
      </c>
    </row>
    <row r="129" spans="1:3" x14ac:dyDescent="0.3">
      <c r="A129" s="241">
        <v>126</v>
      </c>
      <c r="B129" s="241" t="s">
        <v>16416</v>
      </c>
      <c r="C129" s="244">
        <v>102</v>
      </c>
    </row>
    <row r="130" spans="1:3" x14ac:dyDescent="0.3">
      <c r="A130" s="241">
        <v>127</v>
      </c>
      <c r="B130" s="241" t="s">
        <v>16417</v>
      </c>
      <c r="C130" s="244">
        <v>148</v>
      </c>
    </row>
    <row r="131" spans="1:3" x14ac:dyDescent="0.3">
      <c r="A131" s="241">
        <v>128</v>
      </c>
      <c r="B131" s="241" t="s">
        <v>16418</v>
      </c>
      <c r="C131" s="244">
        <v>191</v>
      </c>
    </row>
    <row r="132" spans="1:3" x14ac:dyDescent="0.3">
      <c r="A132" s="241">
        <v>129</v>
      </c>
      <c r="B132" s="241" t="s">
        <v>16419</v>
      </c>
      <c r="C132" s="244">
        <v>232</v>
      </c>
    </row>
    <row r="133" spans="1:3" x14ac:dyDescent="0.3">
      <c r="A133" s="241">
        <v>130</v>
      </c>
      <c r="B133" s="241" t="s">
        <v>16420</v>
      </c>
      <c r="C133" s="244">
        <v>268</v>
      </c>
    </row>
    <row r="134" spans="1:3" x14ac:dyDescent="0.3">
      <c r="A134" s="241">
        <v>131</v>
      </c>
      <c r="B134" s="241" t="s">
        <v>16421</v>
      </c>
      <c r="C134" s="244">
        <v>302</v>
      </c>
    </row>
    <row r="135" spans="1:3" x14ac:dyDescent="0.3">
      <c r="A135" s="241">
        <v>132</v>
      </c>
      <c r="B135" s="241" t="s">
        <v>16422</v>
      </c>
      <c r="C135" s="244">
        <v>336</v>
      </c>
    </row>
    <row r="136" spans="1:3" x14ac:dyDescent="0.3">
      <c r="A136" s="241">
        <v>133</v>
      </c>
      <c r="B136" s="241" t="s">
        <v>16423</v>
      </c>
      <c r="C136" s="244">
        <v>370</v>
      </c>
    </row>
    <row r="137" spans="1:3" x14ac:dyDescent="0.3">
      <c r="A137" s="241">
        <v>134</v>
      </c>
      <c r="B137" s="241" t="s">
        <v>16424</v>
      </c>
      <c r="C137" s="244">
        <v>404</v>
      </c>
    </row>
    <row r="138" spans="1:3" x14ac:dyDescent="0.3">
      <c r="A138" s="241">
        <v>135</v>
      </c>
      <c r="B138" s="241" t="s">
        <v>16425</v>
      </c>
      <c r="C138" s="244">
        <v>438</v>
      </c>
    </row>
    <row r="139" spans="1:3" x14ac:dyDescent="0.3">
      <c r="A139" s="241">
        <v>136</v>
      </c>
      <c r="B139" s="241" t="s">
        <v>16426</v>
      </c>
      <c r="C139" s="244">
        <v>472</v>
      </c>
    </row>
    <row r="140" spans="1:3" x14ac:dyDescent="0.3">
      <c r="A140" s="241">
        <v>137</v>
      </c>
      <c r="B140" s="241" t="s">
        <v>16427</v>
      </c>
      <c r="C140" s="244">
        <v>506</v>
      </c>
    </row>
    <row r="141" spans="1:3" x14ac:dyDescent="0.3">
      <c r="A141" s="241">
        <v>138</v>
      </c>
      <c r="B141" s="241" t="s">
        <v>16428</v>
      </c>
      <c r="C141" s="244">
        <v>540</v>
      </c>
    </row>
    <row r="142" spans="1:3" x14ac:dyDescent="0.3">
      <c r="A142" s="241">
        <v>139</v>
      </c>
      <c r="B142" s="241" t="s">
        <v>16429</v>
      </c>
      <c r="C142" s="244">
        <v>574</v>
      </c>
    </row>
    <row r="143" spans="1:3" x14ac:dyDescent="0.3">
      <c r="A143" s="241">
        <v>140</v>
      </c>
      <c r="B143" s="241" t="s">
        <v>16430</v>
      </c>
      <c r="C143" s="244">
        <v>608</v>
      </c>
    </row>
    <row r="144" spans="1:3" x14ac:dyDescent="0.3">
      <c r="A144" s="241">
        <v>141</v>
      </c>
      <c r="B144" s="241" t="s">
        <v>16431</v>
      </c>
      <c r="C144" s="244">
        <v>642</v>
      </c>
    </row>
    <row r="145" spans="1:3" x14ac:dyDescent="0.3">
      <c r="A145" s="241">
        <v>142</v>
      </c>
      <c r="B145" s="241" t="s">
        <v>16432</v>
      </c>
      <c r="C145" s="244">
        <v>676</v>
      </c>
    </row>
    <row r="146" spans="1:3" x14ac:dyDescent="0.3">
      <c r="A146" s="241">
        <v>143</v>
      </c>
      <c r="B146" s="241" t="s">
        <v>16433</v>
      </c>
      <c r="C146" s="244">
        <v>710</v>
      </c>
    </row>
    <row r="147" spans="1:3" x14ac:dyDescent="0.3">
      <c r="A147" s="241">
        <v>144</v>
      </c>
      <c r="B147" s="241" t="s">
        <v>16434</v>
      </c>
      <c r="C147" s="244">
        <v>744</v>
      </c>
    </row>
    <row r="148" spans="1:3" x14ac:dyDescent="0.3">
      <c r="A148" s="241">
        <v>145</v>
      </c>
      <c r="B148" s="241" t="s">
        <v>16435</v>
      </c>
      <c r="C148" s="244">
        <v>778</v>
      </c>
    </row>
    <row r="149" spans="1:3" x14ac:dyDescent="0.3">
      <c r="A149" s="241">
        <v>146</v>
      </c>
      <c r="B149" s="241" t="s">
        <v>16436</v>
      </c>
      <c r="C149" s="244">
        <v>812</v>
      </c>
    </row>
    <row r="150" spans="1:3" x14ac:dyDescent="0.3">
      <c r="A150" s="241">
        <v>147</v>
      </c>
      <c r="B150" s="241" t="s">
        <v>16437</v>
      </c>
      <c r="C150" s="244">
        <v>846</v>
      </c>
    </row>
    <row r="151" spans="1:3" x14ac:dyDescent="0.3">
      <c r="A151" s="241">
        <v>148</v>
      </c>
      <c r="B151" s="241" t="s">
        <v>16438</v>
      </c>
      <c r="C151" s="244">
        <v>880</v>
      </c>
    </row>
    <row r="152" spans="1:3" x14ac:dyDescent="0.3">
      <c r="A152" s="241">
        <v>149</v>
      </c>
      <c r="B152" s="241" t="s">
        <v>16439</v>
      </c>
      <c r="C152" s="244">
        <v>914</v>
      </c>
    </row>
    <row r="153" spans="1:3" x14ac:dyDescent="0.3">
      <c r="A153" s="241">
        <v>150</v>
      </c>
      <c r="B153" s="241" t="s">
        <v>16440</v>
      </c>
      <c r="C153" s="244">
        <v>948</v>
      </c>
    </row>
    <row r="154" spans="1:3" x14ac:dyDescent="0.3">
      <c r="A154" s="241">
        <v>151</v>
      </c>
      <c r="B154" s="241" t="s">
        <v>16441</v>
      </c>
      <c r="C154" s="244">
        <v>982</v>
      </c>
    </row>
    <row r="155" spans="1:3" x14ac:dyDescent="0.3">
      <c r="A155" s="241">
        <v>152</v>
      </c>
      <c r="B155" s="241" t="s">
        <v>16442</v>
      </c>
      <c r="C155" s="244">
        <v>1016</v>
      </c>
    </row>
    <row r="156" spans="1:3" x14ac:dyDescent="0.3">
      <c r="A156" s="241">
        <v>153</v>
      </c>
      <c r="B156" s="241" t="s">
        <v>16443</v>
      </c>
      <c r="C156" s="244">
        <v>1050</v>
      </c>
    </row>
    <row r="157" spans="1:3" x14ac:dyDescent="0.3">
      <c r="A157" s="241">
        <v>154</v>
      </c>
      <c r="B157" s="241" t="s">
        <v>16444</v>
      </c>
      <c r="C157" s="244">
        <v>1084</v>
      </c>
    </row>
    <row r="158" spans="1:3" x14ac:dyDescent="0.3">
      <c r="A158" s="241">
        <v>155</v>
      </c>
      <c r="B158" s="241" t="s">
        <v>16445</v>
      </c>
      <c r="C158" s="244">
        <v>1118</v>
      </c>
    </row>
    <row r="159" spans="1:3" x14ac:dyDescent="0.3">
      <c r="A159" s="241">
        <v>156</v>
      </c>
      <c r="B159" s="241" t="s">
        <v>16446</v>
      </c>
      <c r="C159" s="244">
        <v>1152</v>
      </c>
    </row>
    <row r="160" spans="1:3" x14ac:dyDescent="0.3">
      <c r="A160" s="241">
        <v>157</v>
      </c>
      <c r="B160" s="241" t="s">
        <v>16447</v>
      </c>
      <c r="C160" s="244">
        <v>1186</v>
      </c>
    </row>
    <row r="161" spans="1:3" x14ac:dyDescent="0.3">
      <c r="A161" s="241">
        <v>158</v>
      </c>
      <c r="B161" s="241" t="s">
        <v>16448</v>
      </c>
      <c r="C161" s="244">
        <v>1220</v>
      </c>
    </row>
    <row r="162" spans="1:3" x14ac:dyDescent="0.3">
      <c r="A162" s="241">
        <v>159</v>
      </c>
      <c r="B162" s="241" t="s">
        <v>16449</v>
      </c>
      <c r="C162" s="244">
        <v>1254</v>
      </c>
    </row>
    <row r="163" spans="1:3" x14ac:dyDescent="0.3">
      <c r="A163" s="241">
        <v>160</v>
      </c>
      <c r="B163" s="241" t="s">
        <v>16450</v>
      </c>
      <c r="C163" s="244">
        <v>1288</v>
      </c>
    </row>
    <row r="164" spans="1:3" x14ac:dyDescent="0.3">
      <c r="A164" s="241">
        <v>161</v>
      </c>
      <c r="B164" s="241" t="s">
        <v>16451</v>
      </c>
      <c r="C164" s="244">
        <v>1322</v>
      </c>
    </row>
    <row r="165" spans="1:3" x14ac:dyDescent="0.3">
      <c r="A165" s="241">
        <v>162</v>
      </c>
      <c r="B165" s="241" t="s">
        <v>16452</v>
      </c>
      <c r="C165" s="244">
        <v>1356</v>
      </c>
    </row>
    <row r="166" spans="1:3" x14ac:dyDescent="0.3">
      <c r="A166" s="241">
        <v>163</v>
      </c>
      <c r="B166" s="241" t="s">
        <v>16453</v>
      </c>
      <c r="C166" s="244">
        <v>1390</v>
      </c>
    </row>
    <row r="167" spans="1:3" x14ac:dyDescent="0.3">
      <c r="A167" s="241">
        <v>164</v>
      </c>
      <c r="B167" s="241" t="s">
        <v>16454</v>
      </c>
      <c r="C167" s="244">
        <v>1424</v>
      </c>
    </row>
    <row r="168" spans="1:3" x14ac:dyDescent="0.3">
      <c r="A168" s="241">
        <v>165</v>
      </c>
      <c r="B168" s="241" t="s">
        <v>16455</v>
      </c>
      <c r="C168" s="244">
        <v>1458</v>
      </c>
    </row>
    <row r="169" spans="1:3" x14ac:dyDescent="0.3">
      <c r="A169" s="241">
        <v>166</v>
      </c>
      <c r="B169" s="241" t="s">
        <v>16456</v>
      </c>
      <c r="C169" s="244">
        <v>1492</v>
      </c>
    </row>
    <row r="170" spans="1:3" x14ac:dyDescent="0.3">
      <c r="A170" s="241">
        <v>167</v>
      </c>
      <c r="B170" s="242" t="s">
        <v>16763</v>
      </c>
      <c r="C170" s="244">
        <v>34</v>
      </c>
    </row>
    <row r="171" spans="1:3" x14ac:dyDescent="0.3">
      <c r="A171" s="241">
        <v>168</v>
      </c>
      <c r="B171" s="241" t="s">
        <v>16457</v>
      </c>
      <c r="C171" s="244">
        <v>68</v>
      </c>
    </row>
    <row r="172" spans="1:3" x14ac:dyDescent="0.3">
      <c r="A172" s="241">
        <v>169</v>
      </c>
      <c r="B172" s="241" t="s">
        <v>16458</v>
      </c>
      <c r="C172" s="244">
        <v>102</v>
      </c>
    </row>
    <row r="173" spans="1:3" x14ac:dyDescent="0.3">
      <c r="A173" s="241">
        <v>170</v>
      </c>
      <c r="B173" s="241" t="s">
        <v>16459</v>
      </c>
      <c r="C173" s="244">
        <v>136</v>
      </c>
    </row>
    <row r="174" spans="1:3" x14ac:dyDescent="0.3">
      <c r="A174" s="241">
        <v>171</v>
      </c>
      <c r="B174" s="241" t="s">
        <v>16460</v>
      </c>
      <c r="C174" s="244">
        <v>170</v>
      </c>
    </row>
    <row r="175" spans="1:3" x14ac:dyDescent="0.3">
      <c r="A175" s="241">
        <v>172</v>
      </c>
      <c r="B175" s="241" t="s">
        <v>16461</v>
      </c>
      <c r="C175" s="244">
        <v>204</v>
      </c>
    </row>
    <row r="176" spans="1:3" x14ac:dyDescent="0.3">
      <c r="A176" s="241">
        <v>173</v>
      </c>
      <c r="B176" s="241" t="s">
        <v>16462</v>
      </c>
      <c r="C176" s="244">
        <v>238</v>
      </c>
    </row>
    <row r="177" spans="1:3" x14ac:dyDescent="0.3">
      <c r="A177" s="241">
        <v>174</v>
      </c>
      <c r="B177" s="241" t="s">
        <v>16463</v>
      </c>
      <c r="C177" s="244">
        <v>272</v>
      </c>
    </row>
    <row r="178" spans="1:3" x14ac:dyDescent="0.3">
      <c r="A178" s="241">
        <v>175</v>
      </c>
      <c r="B178" s="241" t="s">
        <v>16464</v>
      </c>
      <c r="C178" s="244">
        <v>306</v>
      </c>
    </row>
    <row r="179" spans="1:3" x14ac:dyDescent="0.3">
      <c r="A179" s="241">
        <v>176</v>
      </c>
      <c r="B179" s="241" t="s">
        <v>16465</v>
      </c>
      <c r="C179" s="244">
        <v>340</v>
      </c>
    </row>
    <row r="180" spans="1:3" x14ac:dyDescent="0.3">
      <c r="A180" s="241">
        <v>177</v>
      </c>
      <c r="B180" s="241" t="s">
        <v>16466</v>
      </c>
      <c r="C180" s="244">
        <v>374</v>
      </c>
    </row>
    <row r="181" spans="1:3" x14ac:dyDescent="0.3">
      <c r="A181" s="241">
        <v>178</v>
      </c>
      <c r="B181" s="241" t="s">
        <v>16467</v>
      </c>
      <c r="C181" s="244">
        <v>408</v>
      </c>
    </row>
    <row r="182" spans="1:3" x14ac:dyDescent="0.3">
      <c r="A182" s="241">
        <v>179</v>
      </c>
      <c r="B182" s="241" t="s">
        <v>16468</v>
      </c>
      <c r="C182" s="244">
        <v>442</v>
      </c>
    </row>
    <row r="183" spans="1:3" x14ac:dyDescent="0.3">
      <c r="A183" s="241">
        <v>180</v>
      </c>
      <c r="B183" s="241" t="s">
        <v>16469</v>
      </c>
      <c r="C183" s="244">
        <v>476</v>
      </c>
    </row>
    <row r="184" spans="1:3" x14ac:dyDescent="0.3">
      <c r="A184" s="241">
        <v>181</v>
      </c>
      <c r="B184" s="241" t="s">
        <v>16470</v>
      </c>
      <c r="C184" s="244">
        <v>510</v>
      </c>
    </row>
    <row r="185" spans="1:3" x14ac:dyDescent="0.3">
      <c r="A185" s="241">
        <v>182</v>
      </c>
      <c r="B185" s="241" t="s">
        <v>16471</v>
      </c>
      <c r="C185" s="244">
        <v>544</v>
      </c>
    </row>
    <row r="186" spans="1:3" x14ac:dyDescent="0.3">
      <c r="A186" s="241">
        <v>183</v>
      </c>
      <c r="B186" s="241" t="s">
        <v>16472</v>
      </c>
      <c r="C186" s="244">
        <v>578</v>
      </c>
    </row>
    <row r="187" spans="1:3" x14ac:dyDescent="0.3">
      <c r="A187" s="241">
        <v>184</v>
      </c>
      <c r="B187" s="241" t="s">
        <v>16473</v>
      </c>
      <c r="C187" s="244">
        <v>612</v>
      </c>
    </row>
    <row r="188" spans="1:3" x14ac:dyDescent="0.3">
      <c r="A188" s="241">
        <v>185</v>
      </c>
      <c r="B188" s="241" t="s">
        <v>16474</v>
      </c>
      <c r="C188" s="244">
        <v>646</v>
      </c>
    </row>
    <row r="189" spans="1:3" x14ac:dyDescent="0.3">
      <c r="A189" s="241">
        <v>186</v>
      </c>
      <c r="B189" s="241" t="s">
        <v>16475</v>
      </c>
      <c r="C189" s="244">
        <v>680</v>
      </c>
    </row>
    <row r="190" spans="1:3" x14ac:dyDescent="0.3">
      <c r="A190" s="241">
        <v>187</v>
      </c>
      <c r="B190" s="241" t="s">
        <v>16476</v>
      </c>
      <c r="C190" s="244">
        <v>714</v>
      </c>
    </row>
    <row r="191" spans="1:3" x14ac:dyDescent="0.3">
      <c r="A191" s="241">
        <v>188</v>
      </c>
      <c r="B191" s="241" t="s">
        <v>16477</v>
      </c>
      <c r="C191" s="244">
        <v>748</v>
      </c>
    </row>
    <row r="192" spans="1:3" x14ac:dyDescent="0.3">
      <c r="A192" s="241">
        <v>189</v>
      </c>
      <c r="B192" s="241" t="s">
        <v>16478</v>
      </c>
      <c r="C192" s="244">
        <v>782</v>
      </c>
    </row>
    <row r="193" spans="1:3" x14ac:dyDescent="0.3">
      <c r="A193" s="241">
        <v>190</v>
      </c>
      <c r="B193" s="241" t="s">
        <v>16479</v>
      </c>
      <c r="C193" s="244">
        <v>816</v>
      </c>
    </row>
    <row r="194" spans="1:3" x14ac:dyDescent="0.3">
      <c r="A194" s="241">
        <v>191</v>
      </c>
      <c r="B194" s="241" t="s">
        <v>16480</v>
      </c>
      <c r="C194" s="244">
        <v>850</v>
      </c>
    </row>
    <row r="195" spans="1:3" x14ac:dyDescent="0.3">
      <c r="A195" s="241">
        <v>192</v>
      </c>
      <c r="B195" s="241" t="s">
        <v>16481</v>
      </c>
      <c r="C195" s="244">
        <v>884</v>
      </c>
    </row>
    <row r="196" spans="1:3" x14ac:dyDescent="0.3">
      <c r="A196" s="241">
        <v>193</v>
      </c>
      <c r="B196" s="241" t="s">
        <v>16482</v>
      </c>
      <c r="C196" s="244">
        <v>918</v>
      </c>
    </row>
    <row r="197" spans="1:3" x14ac:dyDescent="0.3">
      <c r="A197" s="241">
        <v>194</v>
      </c>
      <c r="B197" s="241" t="s">
        <v>16483</v>
      </c>
      <c r="C197" s="244">
        <v>952</v>
      </c>
    </row>
    <row r="198" spans="1:3" x14ac:dyDescent="0.3">
      <c r="A198" s="241">
        <v>195</v>
      </c>
      <c r="B198" s="241" t="s">
        <v>16484</v>
      </c>
      <c r="C198" s="244">
        <v>986</v>
      </c>
    </row>
    <row r="199" spans="1:3" x14ac:dyDescent="0.3">
      <c r="A199" s="241">
        <v>196</v>
      </c>
      <c r="B199" s="241" t="s">
        <v>16485</v>
      </c>
      <c r="C199" s="244">
        <v>1020</v>
      </c>
    </row>
    <row r="200" spans="1:3" x14ac:dyDescent="0.3">
      <c r="A200" s="241">
        <v>197</v>
      </c>
      <c r="B200" s="241" t="s">
        <v>16486</v>
      </c>
      <c r="C200" s="244">
        <v>1054</v>
      </c>
    </row>
    <row r="201" spans="1:3" x14ac:dyDescent="0.3">
      <c r="A201" s="241">
        <v>198</v>
      </c>
      <c r="B201" s="241" t="s">
        <v>16487</v>
      </c>
      <c r="C201" s="244">
        <v>1088</v>
      </c>
    </row>
    <row r="202" spans="1:3" x14ac:dyDescent="0.3">
      <c r="A202" s="241">
        <v>199</v>
      </c>
      <c r="B202" s="241" t="s">
        <v>16488</v>
      </c>
      <c r="C202" s="244">
        <v>1122</v>
      </c>
    </row>
    <row r="203" spans="1:3" x14ac:dyDescent="0.3">
      <c r="A203" s="241">
        <v>200</v>
      </c>
      <c r="B203" s="241" t="s">
        <v>16489</v>
      </c>
      <c r="C203" s="244">
        <v>1156</v>
      </c>
    </row>
    <row r="204" spans="1:3" x14ac:dyDescent="0.3">
      <c r="A204" s="241">
        <v>201</v>
      </c>
      <c r="B204" s="241" t="s">
        <v>16490</v>
      </c>
      <c r="C204" s="244">
        <v>1190</v>
      </c>
    </row>
    <row r="205" spans="1:3" x14ac:dyDescent="0.3">
      <c r="A205" s="241">
        <v>202</v>
      </c>
      <c r="B205" s="241" t="s">
        <v>16491</v>
      </c>
      <c r="C205" s="244">
        <v>1224</v>
      </c>
    </row>
    <row r="206" spans="1:3" x14ac:dyDescent="0.3">
      <c r="A206" s="241">
        <v>203</v>
      </c>
      <c r="B206" s="241" t="s">
        <v>16492</v>
      </c>
      <c r="C206" s="244">
        <v>1258</v>
      </c>
    </row>
    <row r="207" spans="1:3" x14ac:dyDescent="0.3">
      <c r="A207" s="241">
        <v>204</v>
      </c>
      <c r="B207" s="241" t="s">
        <v>16493</v>
      </c>
      <c r="C207" s="244">
        <v>1292</v>
      </c>
    </row>
    <row r="208" spans="1:3" x14ac:dyDescent="0.3">
      <c r="A208" s="241">
        <v>205</v>
      </c>
      <c r="B208" s="241" t="s">
        <v>16494</v>
      </c>
      <c r="C208" s="244">
        <v>1326</v>
      </c>
    </row>
    <row r="209" spans="1:3" x14ac:dyDescent="0.3">
      <c r="A209" s="241">
        <v>206</v>
      </c>
      <c r="B209" s="241" t="s">
        <v>16495</v>
      </c>
      <c r="C209" s="244">
        <v>1360</v>
      </c>
    </row>
    <row r="210" spans="1:3" x14ac:dyDescent="0.3">
      <c r="A210" s="241">
        <v>207</v>
      </c>
      <c r="B210" s="241" t="s">
        <v>16496</v>
      </c>
      <c r="C210" s="244">
        <v>1394</v>
      </c>
    </row>
    <row r="211" spans="1:3" x14ac:dyDescent="0.3">
      <c r="A211" s="241">
        <v>208</v>
      </c>
      <c r="B211" s="241" t="s">
        <v>16497</v>
      </c>
      <c r="C211" s="244">
        <v>1428</v>
      </c>
    </row>
    <row r="212" spans="1:3" x14ac:dyDescent="0.3">
      <c r="A212" s="241">
        <v>209</v>
      </c>
      <c r="B212" s="241" t="s">
        <v>16498</v>
      </c>
      <c r="C212" s="244">
        <v>102</v>
      </c>
    </row>
    <row r="213" spans="1:3" x14ac:dyDescent="0.3">
      <c r="A213" s="241">
        <v>210</v>
      </c>
      <c r="B213" s="241" t="s">
        <v>16499</v>
      </c>
      <c r="C213" s="244">
        <v>191</v>
      </c>
    </row>
    <row r="214" spans="1:3" x14ac:dyDescent="0.3">
      <c r="A214" s="241">
        <v>211</v>
      </c>
      <c r="B214" s="241" t="s">
        <v>16500</v>
      </c>
      <c r="C214" s="244">
        <v>268</v>
      </c>
    </row>
    <row r="215" spans="1:3" x14ac:dyDescent="0.3">
      <c r="A215" s="241">
        <v>212</v>
      </c>
      <c r="B215" s="241" t="s">
        <v>16501</v>
      </c>
      <c r="C215" s="244">
        <v>336</v>
      </c>
    </row>
    <row r="216" spans="1:3" x14ac:dyDescent="0.3">
      <c r="A216" s="241">
        <v>213</v>
      </c>
      <c r="B216" s="241" t="s">
        <v>16502</v>
      </c>
      <c r="C216" s="244">
        <v>404</v>
      </c>
    </row>
    <row r="217" spans="1:3" x14ac:dyDescent="0.3">
      <c r="A217" s="241">
        <v>214</v>
      </c>
      <c r="B217" s="241" t="s">
        <v>16503</v>
      </c>
      <c r="C217" s="244">
        <v>472</v>
      </c>
    </row>
    <row r="218" spans="1:3" x14ac:dyDescent="0.3">
      <c r="A218" s="241">
        <v>215</v>
      </c>
      <c r="B218" s="241" t="s">
        <v>16504</v>
      </c>
      <c r="C218" s="244">
        <v>540</v>
      </c>
    </row>
    <row r="219" spans="1:3" x14ac:dyDescent="0.3">
      <c r="A219" s="241">
        <v>216</v>
      </c>
      <c r="B219" s="241" t="s">
        <v>16505</v>
      </c>
      <c r="C219" s="244">
        <v>608</v>
      </c>
    </row>
    <row r="220" spans="1:3" x14ac:dyDescent="0.3">
      <c r="A220" s="241">
        <v>217</v>
      </c>
      <c r="B220" s="241" t="s">
        <v>16506</v>
      </c>
      <c r="C220" s="244">
        <v>676</v>
      </c>
    </row>
    <row r="221" spans="1:3" x14ac:dyDescent="0.3">
      <c r="A221" s="241">
        <v>218</v>
      </c>
      <c r="B221" s="241" t="s">
        <v>16507</v>
      </c>
      <c r="C221" s="244">
        <v>744</v>
      </c>
    </row>
    <row r="222" spans="1:3" x14ac:dyDescent="0.3">
      <c r="A222" s="241">
        <v>219</v>
      </c>
      <c r="B222" s="241" t="s">
        <v>16508</v>
      </c>
      <c r="C222" s="244">
        <v>812</v>
      </c>
    </row>
    <row r="223" spans="1:3" x14ac:dyDescent="0.3">
      <c r="A223" s="241">
        <v>220</v>
      </c>
      <c r="B223" s="241" t="s">
        <v>16509</v>
      </c>
      <c r="C223" s="244">
        <v>880</v>
      </c>
    </row>
    <row r="224" spans="1:3" x14ac:dyDescent="0.3">
      <c r="A224" s="241">
        <v>221</v>
      </c>
      <c r="B224" s="241" t="s">
        <v>16510</v>
      </c>
      <c r="C224" s="244">
        <v>948</v>
      </c>
    </row>
    <row r="225" spans="1:3" x14ac:dyDescent="0.3">
      <c r="A225" s="241">
        <v>222</v>
      </c>
      <c r="B225" s="241" t="s">
        <v>16511</v>
      </c>
      <c r="C225" s="244">
        <v>1016</v>
      </c>
    </row>
    <row r="226" spans="1:3" x14ac:dyDescent="0.3">
      <c r="A226" s="241">
        <v>223</v>
      </c>
      <c r="B226" s="241" t="s">
        <v>16512</v>
      </c>
      <c r="C226" s="244">
        <v>1084</v>
      </c>
    </row>
    <row r="227" spans="1:3" x14ac:dyDescent="0.3">
      <c r="A227" s="241">
        <v>224</v>
      </c>
      <c r="B227" s="241" t="s">
        <v>16513</v>
      </c>
      <c r="C227" s="244">
        <v>1152</v>
      </c>
    </row>
    <row r="228" spans="1:3" x14ac:dyDescent="0.3">
      <c r="A228" s="241">
        <v>225</v>
      </c>
      <c r="B228" s="241" t="s">
        <v>16514</v>
      </c>
      <c r="C228" s="244">
        <v>1220</v>
      </c>
    </row>
    <row r="229" spans="1:3" x14ac:dyDescent="0.3">
      <c r="A229" s="241">
        <v>226</v>
      </c>
      <c r="B229" s="241" t="s">
        <v>16515</v>
      </c>
      <c r="C229" s="244">
        <v>1288</v>
      </c>
    </row>
    <row r="230" spans="1:3" x14ac:dyDescent="0.3">
      <c r="A230" s="241">
        <v>227</v>
      </c>
      <c r="B230" s="241" t="s">
        <v>16516</v>
      </c>
      <c r="C230" s="244">
        <v>1356</v>
      </c>
    </row>
    <row r="231" spans="1:3" x14ac:dyDescent="0.3">
      <c r="A231" s="241">
        <v>228</v>
      </c>
      <c r="B231" s="241" t="s">
        <v>16517</v>
      </c>
      <c r="C231" s="244">
        <v>1424</v>
      </c>
    </row>
    <row r="232" spans="1:3" x14ac:dyDescent="0.3">
      <c r="A232" s="241">
        <v>229</v>
      </c>
      <c r="B232" s="241" t="s">
        <v>16518</v>
      </c>
      <c r="C232" s="244">
        <v>1492</v>
      </c>
    </row>
    <row r="233" spans="1:3" x14ac:dyDescent="0.3">
      <c r="A233" s="241">
        <v>230</v>
      </c>
      <c r="B233" s="242" t="s">
        <v>16762</v>
      </c>
      <c r="C233" s="244">
        <v>68</v>
      </c>
    </row>
    <row r="234" spans="1:3" x14ac:dyDescent="0.3">
      <c r="A234" s="241">
        <v>231</v>
      </c>
      <c r="B234" s="241" t="s">
        <v>16519</v>
      </c>
      <c r="C234" s="244">
        <v>136</v>
      </c>
    </row>
    <row r="235" spans="1:3" x14ac:dyDescent="0.3">
      <c r="A235" s="241">
        <v>232</v>
      </c>
      <c r="B235" s="241" t="s">
        <v>16520</v>
      </c>
      <c r="C235" s="244">
        <v>204</v>
      </c>
    </row>
    <row r="236" spans="1:3" x14ac:dyDescent="0.3">
      <c r="A236" s="241">
        <v>233</v>
      </c>
      <c r="B236" s="241" t="s">
        <v>16521</v>
      </c>
      <c r="C236" s="244">
        <v>272</v>
      </c>
    </row>
    <row r="237" spans="1:3" x14ac:dyDescent="0.3">
      <c r="A237" s="241">
        <v>234</v>
      </c>
      <c r="B237" s="241" t="s">
        <v>16522</v>
      </c>
      <c r="C237" s="244">
        <v>340</v>
      </c>
    </row>
    <row r="238" spans="1:3" x14ac:dyDescent="0.3">
      <c r="A238" s="241">
        <v>235</v>
      </c>
      <c r="B238" s="241" t="s">
        <v>16523</v>
      </c>
      <c r="C238" s="244">
        <v>408</v>
      </c>
    </row>
    <row r="239" spans="1:3" x14ac:dyDescent="0.3">
      <c r="A239" s="241">
        <v>236</v>
      </c>
      <c r="B239" s="241" t="s">
        <v>16524</v>
      </c>
      <c r="C239" s="244">
        <v>476</v>
      </c>
    </row>
    <row r="240" spans="1:3" x14ac:dyDescent="0.3">
      <c r="A240" s="241">
        <v>237</v>
      </c>
      <c r="B240" s="241" t="s">
        <v>16525</v>
      </c>
      <c r="C240" s="244">
        <v>544</v>
      </c>
    </row>
    <row r="241" spans="1:3" x14ac:dyDescent="0.3">
      <c r="A241" s="241">
        <v>238</v>
      </c>
      <c r="B241" s="241" t="s">
        <v>16526</v>
      </c>
      <c r="C241" s="244">
        <v>612</v>
      </c>
    </row>
    <row r="242" spans="1:3" x14ac:dyDescent="0.3">
      <c r="A242" s="241">
        <v>239</v>
      </c>
      <c r="B242" s="241" t="s">
        <v>16527</v>
      </c>
      <c r="C242" s="244">
        <v>680</v>
      </c>
    </row>
    <row r="243" spans="1:3" x14ac:dyDescent="0.3">
      <c r="A243" s="241">
        <v>240</v>
      </c>
      <c r="B243" s="241" t="s">
        <v>16528</v>
      </c>
      <c r="C243" s="244">
        <v>748</v>
      </c>
    </row>
    <row r="244" spans="1:3" x14ac:dyDescent="0.3">
      <c r="A244" s="241">
        <v>241</v>
      </c>
      <c r="B244" s="241" t="s">
        <v>16529</v>
      </c>
      <c r="C244" s="244">
        <v>816</v>
      </c>
    </row>
    <row r="245" spans="1:3" x14ac:dyDescent="0.3">
      <c r="A245" s="241">
        <v>242</v>
      </c>
      <c r="B245" s="241" t="s">
        <v>16530</v>
      </c>
      <c r="C245" s="244">
        <v>884</v>
      </c>
    </row>
    <row r="246" spans="1:3" x14ac:dyDescent="0.3">
      <c r="A246" s="241">
        <v>243</v>
      </c>
      <c r="B246" s="241" t="s">
        <v>16531</v>
      </c>
      <c r="C246" s="244">
        <v>952</v>
      </c>
    </row>
    <row r="247" spans="1:3" x14ac:dyDescent="0.3">
      <c r="A247" s="241">
        <v>244</v>
      </c>
      <c r="B247" s="241" t="s">
        <v>16532</v>
      </c>
      <c r="C247" s="244">
        <v>1020</v>
      </c>
    </row>
    <row r="248" spans="1:3" x14ac:dyDescent="0.3">
      <c r="A248" s="241">
        <v>245</v>
      </c>
      <c r="B248" s="241" t="s">
        <v>16533</v>
      </c>
      <c r="C248" s="244">
        <v>1088</v>
      </c>
    </row>
    <row r="249" spans="1:3" x14ac:dyDescent="0.3">
      <c r="A249" s="241">
        <v>246</v>
      </c>
      <c r="B249" s="241" t="s">
        <v>16534</v>
      </c>
      <c r="C249" s="244">
        <v>1156</v>
      </c>
    </row>
    <row r="250" spans="1:3" x14ac:dyDescent="0.3">
      <c r="A250" s="241">
        <v>247</v>
      </c>
      <c r="B250" s="241" t="s">
        <v>16535</v>
      </c>
      <c r="C250" s="244">
        <v>1224</v>
      </c>
    </row>
    <row r="251" spans="1:3" x14ac:dyDescent="0.3">
      <c r="A251" s="241">
        <v>248</v>
      </c>
      <c r="B251" s="241" t="s">
        <v>16536</v>
      </c>
      <c r="C251" s="244">
        <v>1292</v>
      </c>
    </row>
    <row r="252" spans="1:3" x14ac:dyDescent="0.3">
      <c r="A252" s="241">
        <v>249</v>
      </c>
      <c r="B252" s="241" t="s">
        <v>16537</v>
      </c>
      <c r="C252" s="244">
        <v>1360</v>
      </c>
    </row>
    <row r="253" spans="1:3" x14ac:dyDescent="0.3">
      <c r="A253" s="241">
        <v>250</v>
      </c>
      <c r="B253" s="241" t="s">
        <v>16538</v>
      </c>
      <c r="C253" s="244">
        <v>1428</v>
      </c>
    </row>
    <row r="254" spans="1:3" x14ac:dyDescent="0.3">
      <c r="A254" s="241">
        <v>251</v>
      </c>
      <c r="B254" s="245" t="s">
        <v>16761</v>
      </c>
      <c r="C254" s="244">
        <v>144</v>
      </c>
    </row>
    <row r="255" spans="1:3" x14ac:dyDescent="0.3">
      <c r="A255" s="241">
        <v>252</v>
      </c>
      <c r="B255" s="245" t="s">
        <v>16760</v>
      </c>
      <c r="C255" s="244">
        <v>322</v>
      </c>
    </row>
    <row r="256" spans="1:3" x14ac:dyDescent="0.3">
      <c r="A256" s="241">
        <v>253</v>
      </c>
      <c r="B256" s="245" t="s">
        <v>16759</v>
      </c>
      <c r="C256" s="244">
        <v>403</v>
      </c>
    </row>
    <row r="257" spans="1:3" x14ac:dyDescent="0.3">
      <c r="A257" s="241">
        <v>254</v>
      </c>
      <c r="B257" s="245" t="s">
        <v>16758</v>
      </c>
      <c r="C257" s="244">
        <v>485</v>
      </c>
    </row>
    <row r="258" spans="1:3" x14ac:dyDescent="0.3">
      <c r="A258" s="241">
        <v>255</v>
      </c>
      <c r="B258" s="245" t="s">
        <v>16757</v>
      </c>
      <c r="C258" s="244">
        <v>566</v>
      </c>
    </row>
    <row r="259" spans="1:3" x14ac:dyDescent="0.3">
      <c r="A259" s="241">
        <v>256</v>
      </c>
      <c r="B259" s="245" t="s">
        <v>16756</v>
      </c>
      <c r="C259" s="244">
        <v>178</v>
      </c>
    </row>
    <row r="260" spans="1:3" x14ac:dyDescent="0.3">
      <c r="A260" s="241">
        <v>257</v>
      </c>
      <c r="B260" s="245" t="s">
        <v>16539</v>
      </c>
      <c r="C260" s="244">
        <v>259</v>
      </c>
    </row>
    <row r="261" spans="1:3" x14ac:dyDescent="0.3">
      <c r="A261" s="241">
        <v>258</v>
      </c>
      <c r="B261" s="245" t="s">
        <v>16755</v>
      </c>
      <c r="C261" s="244">
        <v>341</v>
      </c>
    </row>
    <row r="262" spans="1:3" x14ac:dyDescent="0.3">
      <c r="A262" s="241">
        <v>259</v>
      </c>
      <c r="B262" s="245" t="s">
        <v>16754</v>
      </c>
      <c r="C262" s="244">
        <v>422</v>
      </c>
    </row>
    <row r="263" spans="1:3" x14ac:dyDescent="0.3">
      <c r="A263" s="241">
        <v>260</v>
      </c>
      <c r="B263" s="245" t="s">
        <v>16753</v>
      </c>
      <c r="C263" s="244">
        <v>81</v>
      </c>
    </row>
    <row r="264" spans="1:3" x14ac:dyDescent="0.3">
      <c r="A264" s="241">
        <v>261</v>
      </c>
      <c r="B264" s="245" t="s">
        <v>16752</v>
      </c>
      <c r="C264" s="244">
        <v>163</v>
      </c>
    </row>
    <row r="265" spans="1:3" x14ac:dyDescent="0.3">
      <c r="A265" s="241">
        <v>262</v>
      </c>
      <c r="B265" s="245" t="s">
        <v>16751</v>
      </c>
      <c r="C265" s="244">
        <v>244</v>
      </c>
    </row>
    <row r="266" spans="1:3" x14ac:dyDescent="0.3">
      <c r="A266" s="241">
        <v>263</v>
      </c>
      <c r="B266" s="245" t="s">
        <v>16750</v>
      </c>
      <c r="C266" s="244">
        <v>82</v>
      </c>
    </row>
    <row r="267" spans="1:3" x14ac:dyDescent="0.3">
      <c r="A267" s="241">
        <v>264</v>
      </c>
      <c r="B267" s="245" t="s">
        <v>16540</v>
      </c>
      <c r="C267" s="244">
        <v>163</v>
      </c>
    </row>
    <row r="268" spans="1:3" x14ac:dyDescent="0.3">
      <c r="A268" s="241">
        <v>265</v>
      </c>
      <c r="B268" s="245" t="s">
        <v>16749</v>
      </c>
      <c r="C268" s="244">
        <v>81</v>
      </c>
    </row>
    <row r="269" spans="1:3" x14ac:dyDescent="0.3">
      <c r="A269" s="241">
        <v>266</v>
      </c>
      <c r="B269" s="245" t="s">
        <v>16748</v>
      </c>
      <c r="C269" s="244">
        <v>144</v>
      </c>
    </row>
    <row r="270" spans="1:3" x14ac:dyDescent="0.3">
      <c r="A270" s="241">
        <v>267</v>
      </c>
      <c r="B270" s="245" t="s">
        <v>16747</v>
      </c>
      <c r="C270" s="244">
        <v>322</v>
      </c>
    </row>
    <row r="271" spans="1:3" x14ac:dyDescent="0.3">
      <c r="A271" s="241">
        <v>268</v>
      </c>
      <c r="B271" s="245" t="s">
        <v>16746</v>
      </c>
      <c r="C271" s="244">
        <v>403</v>
      </c>
    </row>
    <row r="272" spans="1:3" x14ac:dyDescent="0.3">
      <c r="A272" s="241">
        <v>269</v>
      </c>
      <c r="B272" s="245" t="s">
        <v>16745</v>
      </c>
      <c r="C272" s="244">
        <v>485</v>
      </c>
    </row>
    <row r="273" spans="1:3" x14ac:dyDescent="0.3">
      <c r="A273" s="241">
        <v>270</v>
      </c>
      <c r="B273" s="245" t="s">
        <v>16744</v>
      </c>
      <c r="C273" s="244">
        <v>566</v>
      </c>
    </row>
    <row r="274" spans="1:3" x14ac:dyDescent="0.3">
      <c r="A274" s="241">
        <v>271</v>
      </c>
      <c r="B274" s="245" t="s">
        <v>16743</v>
      </c>
      <c r="C274" s="244">
        <v>178</v>
      </c>
    </row>
    <row r="275" spans="1:3" x14ac:dyDescent="0.3">
      <c r="A275" s="241">
        <v>272</v>
      </c>
      <c r="B275" s="245" t="s">
        <v>16742</v>
      </c>
      <c r="C275" s="244">
        <v>259</v>
      </c>
    </row>
    <row r="276" spans="1:3" x14ac:dyDescent="0.3">
      <c r="A276" s="241">
        <v>273</v>
      </c>
      <c r="B276" s="245" t="s">
        <v>16741</v>
      </c>
      <c r="C276" s="244">
        <v>341</v>
      </c>
    </row>
    <row r="277" spans="1:3" x14ac:dyDescent="0.3">
      <c r="A277" s="241">
        <v>274</v>
      </c>
      <c r="B277" s="245" t="s">
        <v>16740</v>
      </c>
      <c r="C277" s="244">
        <v>422</v>
      </c>
    </row>
    <row r="278" spans="1:3" x14ac:dyDescent="0.3">
      <c r="A278" s="241">
        <v>275</v>
      </c>
      <c r="B278" s="245" t="s">
        <v>16541</v>
      </c>
      <c r="C278" s="244">
        <v>81</v>
      </c>
    </row>
    <row r="279" spans="1:3" x14ac:dyDescent="0.3">
      <c r="A279" s="241">
        <v>276</v>
      </c>
      <c r="B279" s="245" t="s">
        <v>16739</v>
      </c>
      <c r="C279" s="244">
        <v>163</v>
      </c>
    </row>
    <row r="280" spans="1:3" x14ac:dyDescent="0.3">
      <c r="A280" s="241">
        <v>277</v>
      </c>
      <c r="B280" s="245" t="s">
        <v>16738</v>
      </c>
      <c r="C280" s="244">
        <v>244</v>
      </c>
    </row>
    <row r="281" spans="1:3" x14ac:dyDescent="0.3">
      <c r="A281" s="241">
        <v>278</v>
      </c>
      <c r="B281" s="245" t="s">
        <v>16737</v>
      </c>
      <c r="C281" s="244">
        <v>82</v>
      </c>
    </row>
    <row r="282" spans="1:3" x14ac:dyDescent="0.3">
      <c r="A282" s="241">
        <v>279</v>
      </c>
      <c r="B282" s="245" t="s">
        <v>16736</v>
      </c>
      <c r="C282" s="244">
        <v>163</v>
      </c>
    </row>
    <row r="283" spans="1:3" x14ac:dyDescent="0.3">
      <c r="A283" s="241">
        <v>280</v>
      </c>
      <c r="B283" s="245" t="s">
        <v>16735</v>
      </c>
      <c r="C283" s="244">
        <v>81</v>
      </c>
    </row>
    <row r="284" spans="1:3" x14ac:dyDescent="0.3">
      <c r="A284" s="241">
        <v>281</v>
      </c>
      <c r="B284" s="242" t="s">
        <v>16734</v>
      </c>
      <c r="C284" s="244">
        <v>90</v>
      </c>
    </row>
    <row r="285" spans="1:3" x14ac:dyDescent="0.3">
      <c r="A285" s="241">
        <v>282</v>
      </c>
      <c r="B285" s="242" t="s">
        <v>16733</v>
      </c>
      <c r="C285" s="244">
        <v>182</v>
      </c>
    </row>
    <row r="286" spans="1:3" x14ac:dyDescent="0.3">
      <c r="A286" s="241">
        <v>283</v>
      </c>
      <c r="B286" s="241" t="s">
        <v>16542</v>
      </c>
      <c r="C286" s="244">
        <v>273</v>
      </c>
    </row>
    <row r="287" spans="1:3" x14ac:dyDescent="0.3">
      <c r="A287" s="241">
        <v>284</v>
      </c>
      <c r="B287" s="241" t="s">
        <v>16543</v>
      </c>
      <c r="C287" s="244">
        <v>365</v>
      </c>
    </row>
    <row r="288" spans="1:3" x14ac:dyDescent="0.3">
      <c r="A288" s="241">
        <v>285</v>
      </c>
      <c r="B288" s="241" t="s">
        <v>16544</v>
      </c>
      <c r="C288" s="244">
        <v>92</v>
      </c>
    </row>
    <row r="289" spans="1:3" x14ac:dyDescent="0.3">
      <c r="A289" s="241">
        <v>286</v>
      </c>
      <c r="B289" s="241" t="s">
        <v>16545</v>
      </c>
      <c r="C289" s="244">
        <v>183</v>
      </c>
    </row>
    <row r="290" spans="1:3" x14ac:dyDescent="0.3">
      <c r="A290" s="241">
        <v>287</v>
      </c>
      <c r="B290" s="241" t="s">
        <v>16546</v>
      </c>
      <c r="C290" s="244">
        <v>275</v>
      </c>
    </row>
    <row r="291" spans="1:3" x14ac:dyDescent="0.3">
      <c r="A291" s="241">
        <v>288</v>
      </c>
      <c r="B291" s="241" t="s">
        <v>16547</v>
      </c>
      <c r="C291" s="244">
        <v>91</v>
      </c>
    </row>
    <row r="292" spans="1:3" x14ac:dyDescent="0.3">
      <c r="A292" s="241">
        <v>289</v>
      </c>
      <c r="B292" s="241" t="s">
        <v>16548</v>
      </c>
      <c r="C292" s="244">
        <v>183</v>
      </c>
    </row>
    <row r="293" spans="1:3" x14ac:dyDescent="0.3">
      <c r="A293" s="241">
        <v>290</v>
      </c>
      <c r="B293" s="241" t="s">
        <v>16549</v>
      </c>
      <c r="C293" s="244">
        <v>92</v>
      </c>
    </row>
    <row r="294" spans="1:3" x14ac:dyDescent="0.3">
      <c r="A294" s="241">
        <v>291</v>
      </c>
      <c r="B294" s="241" t="s">
        <v>16550</v>
      </c>
      <c r="C294" s="244">
        <v>46</v>
      </c>
    </row>
    <row r="295" spans="1:3" x14ac:dyDescent="0.3">
      <c r="A295" s="241">
        <v>292</v>
      </c>
      <c r="B295" s="241" t="s">
        <v>16551</v>
      </c>
      <c r="C295" s="244">
        <v>89</v>
      </c>
    </row>
    <row r="296" spans="1:3" x14ac:dyDescent="0.3">
      <c r="A296" s="241">
        <v>293</v>
      </c>
      <c r="B296" s="241" t="s">
        <v>16552</v>
      </c>
      <c r="C296" s="244">
        <v>130</v>
      </c>
    </row>
    <row r="297" spans="1:3" x14ac:dyDescent="0.3">
      <c r="A297" s="241">
        <v>294</v>
      </c>
      <c r="B297" s="241" t="s">
        <v>16553</v>
      </c>
      <c r="C297" s="244">
        <v>166</v>
      </c>
    </row>
    <row r="298" spans="1:3" x14ac:dyDescent="0.3">
      <c r="A298" s="241">
        <v>295</v>
      </c>
      <c r="B298" s="241" t="s">
        <v>16554</v>
      </c>
      <c r="C298" s="244">
        <v>43</v>
      </c>
    </row>
    <row r="299" spans="1:3" x14ac:dyDescent="0.3">
      <c r="A299" s="241">
        <v>296</v>
      </c>
      <c r="B299" s="241" t="s">
        <v>16555</v>
      </c>
      <c r="C299" s="244">
        <v>84</v>
      </c>
    </row>
    <row r="300" spans="1:3" x14ac:dyDescent="0.3">
      <c r="A300" s="241">
        <v>297</v>
      </c>
      <c r="B300" s="241" t="s">
        <v>16556</v>
      </c>
      <c r="C300" s="244">
        <v>120</v>
      </c>
    </row>
    <row r="301" spans="1:3" x14ac:dyDescent="0.3">
      <c r="A301" s="241">
        <v>298</v>
      </c>
      <c r="B301" s="241" t="s">
        <v>16557</v>
      </c>
      <c r="C301" s="244">
        <v>41</v>
      </c>
    </row>
    <row r="302" spans="1:3" x14ac:dyDescent="0.3">
      <c r="A302" s="241">
        <v>299</v>
      </c>
      <c r="B302" s="241" t="s">
        <v>16558</v>
      </c>
      <c r="C302" s="244">
        <v>77</v>
      </c>
    </row>
    <row r="303" spans="1:3" x14ac:dyDescent="0.3">
      <c r="A303" s="241">
        <v>300</v>
      </c>
      <c r="B303" s="241" t="s">
        <v>16559</v>
      </c>
      <c r="C303" s="244">
        <v>36</v>
      </c>
    </row>
    <row r="304" spans="1:3" x14ac:dyDescent="0.3">
      <c r="A304" s="241">
        <v>301</v>
      </c>
      <c r="B304" s="241" t="s">
        <v>16560</v>
      </c>
      <c r="C304" s="244">
        <v>89</v>
      </c>
    </row>
    <row r="305" spans="1:3" x14ac:dyDescent="0.3">
      <c r="A305" s="241">
        <v>302</v>
      </c>
      <c r="B305" s="241" t="s">
        <v>16561</v>
      </c>
      <c r="C305" s="244">
        <v>166</v>
      </c>
    </row>
    <row r="306" spans="1:3" x14ac:dyDescent="0.3">
      <c r="A306" s="241">
        <v>303</v>
      </c>
      <c r="B306" s="241" t="s">
        <v>16562</v>
      </c>
      <c r="C306" s="244">
        <v>77</v>
      </c>
    </row>
    <row r="307" spans="1:3" x14ac:dyDescent="0.3">
      <c r="A307" s="241">
        <v>304</v>
      </c>
      <c r="B307" s="245" t="s">
        <v>16732</v>
      </c>
      <c r="C307" s="244">
        <v>178</v>
      </c>
    </row>
    <row r="308" spans="1:3" x14ac:dyDescent="0.3">
      <c r="A308" s="241">
        <v>305</v>
      </c>
      <c r="B308" s="245" t="s">
        <v>16731</v>
      </c>
      <c r="C308" s="244">
        <v>259</v>
      </c>
    </row>
    <row r="309" spans="1:3" x14ac:dyDescent="0.3">
      <c r="A309" s="241">
        <v>306</v>
      </c>
      <c r="B309" s="245" t="s">
        <v>16730</v>
      </c>
      <c r="C309" s="244">
        <v>341</v>
      </c>
    </row>
    <row r="310" spans="1:3" x14ac:dyDescent="0.3">
      <c r="A310" s="241">
        <v>307</v>
      </c>
      <c r="B310" s="245" t="s">
        <v>16729</v>
      </c>
      <c r="C310" s="244">
        <v>422</v>
      </c>
    </row>
    <row r="311" spans="1:3" x14ac:dyDescent="0.3">
      <c r="A311" s="241">
        <v>308</v>
      </c>
      <c r="B311" s="245" t="s">
        <v>16728</v>
      </c>
      <c r="C311" s="244">
        <v>81</v>
      </c>
    </row>
    <row r="312" spans="1:3" x14ac:dyDescent="0.3">
      <c r="A312" s="241">
        <v>309</v>
      </c>
      <c r="B312" s="245" t="s">
        <v>16727</v>
      </c>
      <c r="C312" s="244">
        <v>163</v>
      </c>
    </row>
    <row r="313" spans="1:3" x14ac:dyDescent="0.3">
      <c r="A313" s="241">
        <v>310</v>
      </c>
      <c r="B313" s="245" t="s">
        <v>16726</v>
      </c>
      <c r="C313" s="244">
        <v>244</v>
      </c>
    </row>
    <row r="314" spans="1:3" x14ac:dyDescent="0.3">
      <c r="A314" s="241">
        <v>311</v>
      </c>
      <c r="B314" s="245" t="s">
        <v>16725</v>
      </c>
      <c r="C314" s="244">
        <v>82</v>
      </c>
    </row>
    <row r="315" spans="1:3" x14ac:dyDescent="0.3">
      <c r="A315" s="241">
        <v>312</v>
      </c>
      <c r="B315" s="245" t="s">
        <v>16724</v>
      </c>
      <c r="C315" s="244">
        <v>163</v>
      </c>
    </row>
    <row r="316" spans="1:3" x14ac:dyDescent="0.3">
      <c r="A316" s="241">
        <v>313</v>
      </c>
      <c r="B316" s="245" t="s">
        <v>16723</v>
      </c>
      <c r="C316" s="244">
        <v>81</v>
      </c>
    </row>
    <row r="317" spans="1:3" x14ac:dyDescent="0.3">
      <c r="A317" s="241">
        <v>314</v>
      </c>
      <c r="B317" s="245" t="s">
        <v>16563</v>
      </c>
      <c r="C317" s="244">
        <v>81</v>
      </c>
    </row>
    <row r="318" spans="1:3" x14ac:dyDescent="0.3">
      <c r="A318" s="241">
        <v>315</v>
      </c>
      <c r="B318" s="245" t="s">
        <v>16722</v>
      </c>
      <c r="C318" s="244">
        <v>163</v>
      </c>
    </row>
    <row r="319" spans="1:3" x14ac:dyDescent="0.3">
      <c r="A319" s="241">
        <v>316</v>
      </c>
      <c r="B319" s="245" t="s">
        <v>16721</v>
      </c>
      <c r="C319" s="244">
        <v>244</v>
      </c>
    </row>
    <row r="320" spans="1:3" x14ac:dyDescent="0.3">
      <c r="A320" s="241">
        <v>317</v>
      </c>
      <c r="B320" s="245" t="s">
        <v>16720</v>
      </c>
      <c r="C320" s="244">
        <v>82</v>
      </c>
    </row>
    <row r="321" spans="1:3" x14ac:dyDescent="0.3">
      <c r="A321" s="241">
        <v>318</v>
      </c>
      <c r="B321" s="245" t="s">
        <v>16719</v>
      </c>
      <c r="C321" s="244">
        <v>163</v>
      </c>
    </row>
    <row r="322" spans="1:3" x14ac:dyDescent="0.3">
      <c r="A322" s="241">
        <v>319</v>
      </c>
      <c r="B322" s="245" t="s">
        <v>16718</v>
      </c>
      <c r="C322" s="244">
        <v>81</v>
      </c>
    </row>
    <row r="323" spans="1:3" x14ac:dyDescent="0.3">
      <c r="A323" s="241">
        <v>320</v>
      </c>
      <c r="B323" s="245" t="s">
        <v>16717</v>
      </c>
      <c r="C323" s="244">
        <v>82</v>
      </c>
    </row>
    <row r="324" spans="1:3" x14ac:dyDescent="0.3">
      <c r="A324" s="241">
        <v>321</v>
      </c>
      <c r="B324" s="245" t="s">
        <v>16716</v>
      </c>
      <c r="C324" s="244">
        <v>163</v>
      </c>
    </row>
    <row r="325" spans="1:3" x14ac:dyDescent="0.3">
      <c r="A325" s="241">
        <v>322</v>
      </c>
      <c r="B325" s="245" t="s">
        <v>16715</v>
      </c>
      <c r="C325" s="244">
        <v>81</v>
      </c>
    </row>
    <row r="326" spans="1:3" x14ac:dyDescent="0.3">
      <c r="A326" s="241">
        <v>323</v>
      </c>
      <c r="B326" s="245" t="s">
        <v>16564</v>
      </c>
      <c r="C326" s="244">
        <v>81</v>
      </c>
    </row>
    <row r="327" spans="1:3" x14ac:dyDescent="0.3">
      <c r="A327" s="241">
        <v>324</v>
      </c>
      <c r="B327" s="245" t="s">
        <v>16714</v>
      </c>
      <c r="C327" s="244">
        <v>178</v>
      </c>
    </row>
    <row r="328" spans="1:3" x14ac:dyDescent="0.3">
      <c r="A328" s="241">
        <v>325</v>
      </c>
      <c r="B328" s="245" t="s">
        <v>16713</v>
      </c>
      <c r="C328" s="244">
        <v>259</v>
      </c>
    </row>
    <row r="329" spans="1:3" x14ac:dyDescent="0.3">
      <c r="A329" s="241">
        <v>326</v>
      </c>
      <c r="B329" s="245" t="s">
        <v>16712</v>
      </c>
      <c r="C329" s="244">
        <v>341</v>
      </c>
    </row>
    <row r="330" spans="1:3" x14ac:dyDescent="0.3">
      <c r="A330" s="241">
        <v>327</v>
      </c>
      <c r="B330" s="245" t="s">
        <v>16711</v>
      </c>
      <c r="C330" s="244">
        <v>422</v>
      </c>
    </row>
    <row r="331" spans="1:3" x14ac:dyDescent="0.3">
      <c r="A331" s="241">
        <v>328</v>
      </c>
      <c r="B331" s="245" t="s">
        <v>16565</v>
      </c>
      <c r="C331" s="244">
        <v>81</v>
      </c>
    </row>
    <row r="332" spans="1:3" x14ac:dyDescent="0.3">
      <c r="A332" s="241">
        <v>329</v>
      </c>
      <c r="B332" s="245" t="s">
        <v>16710</v>
      </c>
      <c r="C332" s="244">
        <v>163</v>
      </c>
    </row>
    <row r="333" spans="1:3" x14ac:dyDescent="0.3">
      <c r="A333" s="241">
        <v>330</v>
      </c>
      <c r="B333" s="245" t="s">
        <v>16709</v>
      </c>
      <c r="C333" s="244">
        <v>244</v>
      </c>
    </row>
    <row r="334" spans="1:3" x14ac:dyDescent="0.3">
      <c r="A334" s="241">
        <v>331</v>
      </c>
      <c r="B334" s="245" t="s">
        <v>16708</v>
      </c>
      <c r="C334" s="244">
        <v>82</v>
      </c>
    </row>
    <row r="335" spans="1:3" x14ac:dyDescent="0.3">
      <c r="A335" s="241">
        <v>332</v>
      </c>
      <c r="B335" s="245" t="s">
        <v>16707</v>
      </c>
      <c r="C335" s="244">
        <v>163</v>
      </c>
    </row>
    <row r="336" spans="1:3" x14ac:dyDescent="0.3">
      <c r="A336" s="241">
        <v>333</v>
      </c>
      <c r="B336" s="245" t="s">
        <v>16706</v>
      </c>
      <c r="C336" s="244">
        <v>81</v>
      </c>
    </row>
    <row r="337" spans="1:3" x14ac:dyDescent="0.3">
      <c r="A337" s="241">
        <v>334</v>
      </c>
      <c r="B337" s="245" t="s">
        <v>16705</v>
      </c>
      <c r="C337" s="244">
        <v>81</v>
      </c>
    </row>
    <row r="338" spans="1:3" x14ac:dyDescent="0.3">
      <c r="A338" s="241">
        <v>335</v>
      </c>
      <c r="B338" s="245" t="s">
        <v>16704</v>
      </c>
      <c r="C338" s="244">
        <v>163</v>
      </c>
    </row>
    <row r="339" spans="1:3" x14ac:dyDescent="0.3">
      <c r="A339" s="241">
        <v>336</v>
      </c>
      <c r="B339" s="245" t="s">
        <v>16703</v>
      </c>
      <c r="C339" s="244">
        <v>244</v>
      </c>
    </row>
    <row r="340" spans="1:3" x14ac:dyDescent="0.3">
      <c r="A340" s="241">
        <v>337</v>
      </c>
      <c r="B340" s="245" t="s">
        <v>16702</v>
      </c>
      <c r="C340" s="244">
        <v>82</v>
      </c>
    </row>
    <row r="341" spans="1:3" x14ac:dyDescent="0.3">
      <c r="A341" s="241">
        <v>338</v>
      </c>
      <c r="B341" s="245" t="s">
        <v>16701</v>
      </c>
      <c r="C341" s="244">
        <v>163</v>
      </c>
    </row>
    <row r="342" spans="1:3" x14ac:dyDescent="0.3">
      <c r="A342" s="241">
        <v>339</v>
      </c>
      <c r="B342" s="245" t="s">
        <v>16700</v>
      </c>
      <c r="C342" s="244">
        <v>81</v>
      </c>
    </row>
    <row r="343" spans="1:3" x14ac:dyDescent="0.3">
      <c r="A343" s="241">
        <v>340</v>
      </c>
      <c r="B343" s="245" t="s">
        <v>16699</v>
      </c>
      <c r="C343" s="244">
        <v>82</v>
      </c>
    </row>
    <row r="344" spans="1:3" x14ac:dyDescent="0.3">
      <c r="A344" s="241">
        <v>341</v>
      </c>
      <c r="B344" s="245" t="s">
        <v>16698</v>
      </c>
      <c r="C344" s="244">
        <v>163</v>
      </c>
    </row>
    <row r="345" spans="1:3" x14ac:dyDescent="0.3">
      <c r="A345" s="241">
        <v>342</v>
      </c>
      <c r="B345" s="245" t="s">
        <v>16697</v>
      </c>
      <c r="C345" s="244">
        <v>81</v>
      </c>
    </row>
    <row r="346" spans="1:3" x14ac:dyDescent="0.3">
      <c r="A346" s="241">
        <v>343</v>
      </c>
      <c r="B346" s="245" t="s">
        <v>16696</v>
      </c>
      <c r="C346" s="244">
        <v>81</v>
      </c>
    </row>
    <row r="347" spans="1:3" x14ac:dyDescent="0.3">
      <c r="A347" s="241">
        <v>344</v>
      </c>
      <c r="B347" s="242" t="s">
        <v>16695</v>
      </c>
      <c r="C347" s="244">
        <v>92</v>
      </c>
    </row>
    <row r="348" spans="1:3" x14ac:dyDescent="0.3">
      <c r="A348" s="241">
        <v>345</v>
      </c>
      <c r="B348" s="241" t="s">
        <v>16566</v>
      </c>
      <c r="C348" s="244">
        <v>183</v>
      </c>
    </row>
    <row r="349" spans="1:3" x14ac:dyDescent="0.3">
      <c r="A349" s="241">
        <v>346</v>
      </c>
      <c r="B349" s="241" t="s">
        <v>16567</v>
      </c>
      <c r="C349" s="244">
        <v>275</v>
      </c>
    </row>
    <row r="350" spans="1:3" x14ac:dyDescent="0.3">
      <c r="A350" s="241">
        <v>347</v>
      </c>
      <c r="B350" s="241" t="s">
        <v>16568</v>
      </c>
      <c r="C350" s="244">
        <v>91</v>
      </c>
    </row>
    <row r="351" spans="1:3" x14ac:dyDescent="0.3">
      <c r="A351" s="241">
        <v>348</v>
      </c>
      <c r="B351" s="241" t="s">
        <v>16569</v>
      </c>
      <c r="C351" s="244">
        <v>183</v>
      </c>
    </row>
    <row r="352" spans="1:3" x14ac:dyDescent="0.3">
      <c r="A352" s="241">
        <v>349</v>
      </c>
      <c r="B352" s="241" t="s">
        <v>16570</v>
      </c>
      <c r="C352" s="244">
        <v>92</v>
      </c>
    </row>
    <row r="353" spans="1:3" x14ac:dyDescent="0.3">
      <c r="A353" s="241">
        <v>350</v>
      </c>
      <c r="B353" s="241" t="s">
        <v>16571</v>
      </c>
      <c r="C353" s="244">
        <v>91</v>
      </c>
    </row>
    <row r="354" spans="1:3" x14ac:dyDescent="0.3">
      <c r="A354" s="241">
        <v>351</v>
      </c>
      <c r="B354" s="241" t="s">
        <v>16572</v>
      </c>
      <c r="C354" s="244">
        <v>183</v>
      </c>
    </row>
    <row r="355" spans="1:3" x14ac:dyDescent="0.3">
      <c r="A355" s="241">
        <v>352</v>
      </c>
      <c r="B355" s="241" t="s">
        <v>16573</v>
      </c>
      <c r="C355" s="244">
        <v>92</v>
      </c>
    </row>
    <row r="356" spans="1:3" x14ac:dyDescent="0.3">
      <c r="A356" s="241">
        <v>353</v>
      </c>
      <c r="B356" s="241" t="s">
        <v>16574</v>
      </c>
      <c r="C356" s="244">
        <v>92</v>
      </c>
    </row>
    <row r="357" spans="1:3" x14ac:dyDescent="0.3">
      <c r="A357" s="241">
        <v>354</v>
      </c>
      <c r="B357" s="241" t="s">
        <v>16575</v>
      </c>
      <c r="C357" s="244">
        <v>43</v>
      </c>
    </row>
    <row r="358" spans="1:3" x14ac:dyDescent="0.3">
      <c r="A358" s="241">
        <v>355</v>
      </c>
      <c r="B358" s="241" t="s">
        <v>16576</v>
      </c>
      <c r="C358" s="244">
        <v>84</v>
      </c>
    </row>
    <row r="359" spans="1:3" x14ac:dyDescent="0.3">
      <c r="A359" s="241">
        <v>356</v>
      </c>
      <c r="B359" s="241" t="s">
        <v>16577</v>
      </c>
      <c r="C359" s="244">
        <v>120</v>
      </c>
    </row>
    <row r="360" spans="1:3" x14ac:dyDescent="0.3">
      <c r="A360" s="241">
        <v>357</v>
      </c>
      <c r="B360" s="241" t="s">
        <v>16578</v>
      </c>
      <c r="C360" s="244">
        <v>41</v>
      </c>
    </row>
    <row r="361" spans="1:3" x14ac:dyDescent="0.3">
      <c r="A361" s="241">
        <v>358</v>
      </c>
      <c r="B361" s="241" t="s">
        <v>16579</v>
      </c>
      <c r="C361" s="244">
        <v>77</v>
      </c>
    </row>
    <row r="362" spans="1:3" x14ac:dyDescent="0.3">
      <c r="A362" s="241">
        <v>359</v>
      </c>
      <c r="B362" s="241" t="s">
        <v>16580</v>
      </c>
      <c r="C362" s="244">
        <v>36</v>
      </c>
    </row>
    <row r="363" spans="1:3" x14ac:dyDescent="0.3">
      <c r="A363" s="241">
        <v>360</v>
      </c>
      <c r="B363" s="241" t="s">
        <v>16581</v>
      </c>
      <c r="C363" s="244">
        <v>41</v>
      </c>
    </row>
    <row r="364" spans="1:3" x14ac:dyDescent="0.3">
      <c r="A364" s="241">
        <v>361</v>
      </c>
      <c r="B364" s="241" t="s">
        <v>16582</v>
      </c>
      <c r="C364" s="244">
        <v>77</v>
      </c>
    </row>
    <row r="365" spans="1:3" x14ac:dyDescent="0.3">
      <c r="A365" s="241">
        <v>362</v>
      </c>
      <c r="B365" s="241" t="s">
        <v>16583</v>
      </c>
      <c r="C365" s="244">
        <v>36</v>
      </c>
    </row>
    <row r="366" spans="1:3" x14ac:dyDescent="0.3">
      <c r="A366" s="241">
        <v>363</v>
      </c>
      <c r="B366" s="241" t="s">
        <v>16584</v>
      </c>
      <c r="C366" s="244">
        <v>36</v>
      </c>
    </row>
    <row r="367" spans="1:3" x14ac:dyDescent="0.3">
      <c r="A367" s="241">
        <v>364</v>
      </c>
      <c r="B367" s="241" t="s">
        <v>16585</v>
      </c>
      <c r="C367" s="244">
        <v>77</v>
      </c>
    </row>
    <row r="368" spans="1:3" x14ac:dyDescent="0.3">
      <c r="A368" s="241">
        <v>365</v>
      </c>
      <c r="B368" s="241" t="s">
        <v>16586</v>
      </c>
      <c r="C368" s="249">
        <v>1</v>
      </c>
    </row>
    <row r="369" spans="1:3" x14ac:dyDescent="0.3">
      <c r="A369" s="241">
        <v>366</v>
      </c>
      <c r="B369" s="241" t="s">
        <v>16587</v>
      </c>
      <c r="C369" s="249">
        <v>0.5</v>
      </c>
    </row>
    <row r="370" spans="1:3" x14ac:dyDescent="0.3">
      <c r="A370" s="241">
        <v>367</v>
      </c>
      <c r="B370" s="241" t="s">
        <v>16588</v>
      </c>
      <c r="C370" s="249">
        <v>0.25</v>
      </c>
    </row>
    <row r="371" spans="1:3" x14ac:dyDescent="0.3">
      <c r="A371" s="241">
        <v>368</v>
      </c>
      <c r="B371" s="241" t="s">
        <v>16589</v>
      </c>
      <c r="C371" s="249">
        <v>0.25</v>
      </c>
    </row>
    <row r="372" spans="1:3" x14ac:dyDescent="0.3">
      <c r="A372" s="241">
        <v>369</v>
      </c>
      <c r="B372" s="241" t="s">
        <v>16590</v>
      </c>
      <c r="C372" s="249">
        <v>0.5</v>
      </c>
    </row>
    <row r="373" spans="1:3" x14ac:dyDescent="0.3">
      <c r="A373" s="241">
        <v>370</v>
      </c>
      <c r="B373" s="241" t="s">
        <v>16591</v>
      </c>
      <c r="C373" s="249">
        <v>0.25</v>
      </c>
    </row>
    <row r="374" spans="1:3" x14ac:dyDescent="0.3">
      <c r="A374" s="241">
        <v>371</v>
      </c>
      <c r="B374" s="241" t="s">
        <v>16592</v>
      </c>
      <c r="C374" s="249">
        <v>0.25</v>
      </c>
    </row>
    <row r="375" spans="1:3" x14ac:dyDescent="0.3">
      <c r="A375" s="241">
        <v>372</v>
      </c>
      <c r="B375" s="241" t="s">
        <v>16593</v>
      </c>
      <c r="C375" s="249">
        <v>0.5</v>
      </c>
    </row>
    <row r="376" spans="1:3" x14ac:dyDescent="0.3">
      <c r="A376" s="241">
        <v>373</v>
      </c>
      <c r="B376" s="241" t="s">
        <v>16594</v>
      </c>
      <c r="C376" s="249">
        <v>0.25</v>
      </c>
    </row>
    <row r="377" spans="1:3" x14ac:dyDescent="0.3">
      <c r="A377" s="241">
        <v>374</v>
      </c>
      <c r="B377" s="245" t="s">
        <v>16694</v>
      </c>
      <c r="C377" s="249">
        <v>0.7</v>
      </c>
    </row>
    <row r="378" spans="1:3" x14ac:dyDescent="0.3">
      <c r="A378" s="241">
        <v>375</v>
      </c>
      <c r="B378" s="245" t="s">
        <v>16693</v>
      </c>
      <c r="C378" s="249">
        <v>0.9</v>
      </c>
    </row>
    <row r="379" spans="1:3" x14ac:dyDescent="0.3">
      <c r="A379" s="241">
        <v>376</v>
      </c>
      <c r="B379" s="242" t="s">
        <v>16692</v>
      </c>
      <c r="C379" s="249">
        <v>0.9</v>
      </c>
    </row>
    <row r="380" spans="1:3" x14ac:dyDescent="0.3">
      <c r="A380" s="241">
        <v>377</v>
      </c>
      <c r="B380" s="241" t="s">
        <v>16595</v>
      </c>
      <c r="C380" s="249">
        <v>0.9</v>
      </c>
    </row>
    <row r="381" spans="1:3" x14ac:dyDescent="0.3">
      <c r="A381" s="241">
        <v>378</v>
      </c>
      <c r="B381" s="241" t="s">
        <v>16596</v>
      </c>
      <c r="C381" s="249">
        <v>0.9</v>
      </c>
    </row>
    <row r="382" spans="1:3" x14ac:dyDescent="0.3">
      <c r="A382" s="241">
        <v>379</v>
      </c>
      <c r="B382" s="241" t="s">
        <v>16597</v>
      </c>
      <c r="C382" s="249">
        <v>0.85</v>
      </c>
    </row>
    <row r="383" spans="1:3" x14ac:dyDescent="0.3">
      <c r="A383" s="241">
        <v>380</v>
      </c>
      <c r="B383" s="241" t="s">
        <v>16598</v>
      </c>
      <c r="C383" s="246">
        <v>98</v>
      </c>
    </row>
  </sheetData>
  <autoFilter ref="A3:B382" xr:uid="{00000000-0009-0000-0000-000002000000}"/>
  <phoneticPr fontId="1"/>
  <pageMargins left="0.7" right="0.7" top="0.75" bottom="0.75" header="0.3" footer="0.3"/>
  <pageSetup paperSize="9" scale="7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1" tint="0.249977111117893"/>
    <pageSetUpPr fitToPage="1"/>
  </sheetPr>
  <dimension ref="A1:S6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2.3671875" style="46" customWidth="1"/>
    <col min="5" max="5" width="15.62890625" style="45" customWidth="1"/>
    <col min="6" max="6" width="2.3671875" style="46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6.3671875" style="84" bestFit="1" customWidth="1"/>
    <col min="19" max="19" width="7.734375" style="48" bestFit="1" customWidth="1"/>
    <col min="20" max="16384" width="9" style="49"/>
  </cols>
  <sheetData>
    <row r="1" spans="1:19" ht="16.5" customHeight="1" x14ac:dyDescent="0.3">
      <c r="A1" s="132"/>
      <c r="B1" s="132"/>
      <c r="C1" s="133"/>
      <c r="D1" s="134"/>
      <c r="E1" s="133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6"/>
      <c r="S1" s="137"/>
    </row>
    <row r="2" spans="1:19" ht="16.5" customHeight="1" x14ac:dyDescent="0.3">
      <c r="A2" s="132"/>
      <c r="B2" s="132"/>
      <c r="C2" s="133"/>
      <c r="D2" s="134"/>
      <c r="E2" s="133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6"/>
      <c r="S2" s="137"/>
    </row>
    <row r="3" spans="1:19" ht="16.5" customHeight="1" x14ac:dyDescent="0.3">
      <c r="A3" s="132"/>
      <c r="B3" s="132"/>
      <c r="C3" s="133"/>
      <c r="D3" s="134"/>
      <c r="E3" s="133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6"/>
      <c r="S3" s="137"/>
    </row>
    <row r="4" spans="1:19" ht="16.5" customHeight="1" x14ac:dyDescent="0.3">
      <c r="A4" s="132"/>
      <c r="B4" s="138" t="s">
        <v>6446</v>
      </c>
      <c r="C4" s="133"/>
      <c r="D4" s="134"/>
      <c r="E4" s="139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6"/>
      <c r="S4" s="137"/>
    </row>
    <row r="5" spans="1:19" ht="16.5" customHeight="1" x14ac:dyDescent="0.3">
      <c r="A5" s="140" t="s">
        <v>5864</v>
      </c>
      <c r="B5" s="141"/>
      <c r="C5" s="142" t="s">
        <v>5867</v>
      </c>
      <c r="D5" s="144"/>
      <c r="E5" s="143" t="s">
        <v>5868</v>
      </c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6" t="s">
        <v>5869</v>
      </c>
      <c r="S5" s="146" t="s">
        <v>5871</v>
      </c>
    </row>
    <row r="6" spans="1:19" ht="16.5" customHeight="1" x14ac:dyDescent="0.3">
      <c r="A6" s="147" t="s">
        <v>5865</v>
      </c>
      <c r="B6" s="147" t="s">
        <v>5866</v>
      </c>
      <c r="C6" s="148"/>
      <c r="D6" s="203"/>
      <c r="E6" s="224"/>
      <c r="F6" s="179" t="s">
        <v>5872</v>
      </c>
      <c r="G6" s="144"/>
      <c r="H6" s="144"/>
      <c r="I6" s="206"/>
      <c r="J6" s="150"/>
      <c r="K6" s="150"/>
      <c r="L6" s="151"/>
      <c r="M6" s="150"/>
      <c r="N6" s="150"/>
      <c r="O6" s="151"/>
      <c r="P6" s="151"/>
      <c r="Q6" s="150"/>
      <c r="R6" s="154" t="s">
        <v>5870</v>
      </c>
      <c r="S6" s="154" t="s">
        <v>0</v>
      </c>
    </row>
    <row r="7" spans="1:19" ht="16.5" customHeight="1" x14ac:dyDescent="0.3">
      <c r="A7" s="147">
        <v>15</v>
      </c>
      <c r="B7" s="147">
        <v>1547</v>
      </c>
      <c r="C7" s="197" t="s">
        <v>6445</v>
      </c>
      <c r="D7" s="287" t="s">
        <v>5876</v>
      </c>
      <c r="E7" s="188" t="s">
        <v>17076</v>
      </c>
      <c r="F7" s="289" t="s">
        <v>5874</v>
      </c>
      <c r="G7" s="156" t="s">
        <v>17071</v>
      </c>
      <c r="H7" s="144"/>
      <c r="I7" s="206"/>
      <c r="J7" s="160"/>
      <c r="K7" s="160"/>
      <c r="L7" s="161"/>
      <c r="M7" s="162"/>
      <c r="N7" s="163"/>
      <c r="O7" s="164"/>
      <c r="P7" s="165"/>
      <c r="Q7" s="158"/>
      <c r="R7" s="225">
        <v>224</v>
      </c>
      <c r="S7" s="142" t="s">
        <v>5863</v>
      </c>
    </row>
    <row r="8" spans="1:19" ht="16.5" customHeight="1" x14ac:dyDescent="0.3">
      <c r="A8" s="147">
        <v>15</v>
      </c>
      <c r="B8" s="147">
        <v>1548</v>
      </c>
      <c r="C8" s="197" t="s">
        <v>6444</v>
      </c>
      <c r="D8" s="288"/>
      <c r="E8" s="188" t="s">
        <v>17056</v>
      </c>
      <c r="F8" s="290"/>
      <c r="G8" s="188" t="s">
        <v>17056</v>
      </c>
      <c r="H8" s="210"/>
      <c r="I8" s="211"/>
      <c r="J8" s="150"/>
      <c r="K8" s="150"/>
      <c r="L8" s="151"/>
      <c r="M8" s="162" t="s">
        <v>5895</v>
      </c>
      <c r="N8" s="163" t="s">
        <v>1</v>
      </c>
      <c r="O8" s="164">
        <v>1</v>
      </c>
      <c r="P8" s="170"/>
      <c r="Q8" s="171"/>
      <c r="R8" s="225">
        <v>224</v>
      </c>
      <c r="S8" s="172"/>
    </row>
    <row r="9" spans="1:19" ht="16.5" customHeight="1" x14ac:dyDescent="0.3">
      <c r="A9" s="147">
        <v>15</v>
      </c>
      <c r="B9" s="147">
        <v>1549</v>
      </c>
      <c r="C9" s="197" t="s">
        <v>6443</v>
      </c>
      <c r="D9" s="288"/>
      <c r="E9" s="188"/>
      <c r="F9" s="290"/>
      <c r="G9" s="188"/>
      <c r="H9" s="205">
        <v>149</v>
      </c>
      <c r="I9" s="171" t="s">
        <v>0</v>
      </c>
      <c r="J9" s="160" t="s">
        <v>17054</v>
      </c>
      <c r="K9" s="160"/>
      <c r="L9" s="161"/>
      <c r="M9" s="162"/>
      <c r="N9" s="163"/>
      <c r="O9" s="164"/>
      <c r="P9" s="170"/>
      <c r="Q9" s="171"/>
      <c r="R9" s="225">
        <v>156</v>
      </c>
      <c r="S9" s="172"/>
    </row>
    <row r="10" spans="1:19" ht="16.5" customHeight="1" x14ac:dyDescent="0.3">
      <c r="A10" s="147">
        <v>15</v>
      </c>
      <c r="B10" s="147">
        <v>1550</v>
      </c>
      <c r="C10" s="197" t="s">
        <v>6442</v>
      </c>
      <c r="D10" s="288"/>
      <c r="E10" s="188"/>
      <c r="F10" s="290"/>
      <c r="G10" s="167"/>
      <c r="H10" s="150"/>
      <c r="I10" s="168"/>
      <c r="J10" s="150" t="s">
        <v>17053</v>
      </c>
      <c r="K10" s="150" t="s">
        <v>1</v>
      </c>
      <c r="L10" s="151">
        <v>0.7</v>
      </c>
      <c r="M10" s="162" t="s">
        <v>5895</v>
      </c>
      <c r="N10" s="163" t="s">
        <v>1</v>
      </c>
      <c r="O10" s="164">
        <v>1</v>
      </c>
      <c r="P10" s="170"/>
      <c r="Q10" s="171"/>
      <c r="R10" s="225">
        <v>156</v>
      </c>
      <c r="S10" s="172"/>
    </row>
    <row r="11" spans="1:19" ht="16.5" customHeight="1" x14ac:dyDescent="0.3">
      <c r="A11" s="147">
        <v>15</v>
      </c>
      <c r="B11" s="147">
        <v>1551</v>
      </c>
      <c r="C11" s="197" t="s">
        <v>6441</v>
      </c>
      <c r="D11" s="212"/>
      <c r="E11" s="188"/>
      <c r="F11" s="169"/>
      <c r="G11" s="156" t="s">
        <v>17061</v>
      </c>
      <c r="H11" s="160"/>
      <c r="I11" s="158"/>
      <c r="J11" s="160"/>
      <c r="K11" s="160"/>
      <c r="L11" s="161"/>
      <c r="M11" s="162"/>
      <c r="N11" s="163"/>
      <c r="O11" s="164"/>
      <c r="P11" s="170"/>
      <c r="Q11" s="171"/>
      <c r="R11" s="225">
        <v>501</v>
      </c>
      <c r="S11" s="172"/>
    </row>
    <row r="12" spans="1:19" ht="16.5" customHeight="1" x14ac:dyDescent="0.3">
      <c r="A12" s="147">
        <v>15</v>
      </c>
      <c r="B12" s="147">
        <v>1552</v>
      </c>
      <c r="C12" s="197" t="s">
        <v>6440</v>
      </c>
      <c r="D12" s="212"/>
      <c r="E12" s="188"/>
      <c r="F12" s="169"/>
      <c r="G12" s="188" t="s">
        <v>16874</v>
      </c>
      <c r="H12" s="153"/>
      <c r="I12" s="171"/>
      <c r="J12" s="150"/>
      <c r="K12" s="150"/>
      <c r="L12" s="151"/>
      <c r="M12" s="162" t="s">
        <v>5895</v>
      </c>
      <c r="N12" s="163" t="s">
        <v>1</v>
      </c>
      <c r="O12" s="164">
        <v>1</v>
      </c>
      <c r="P12" s="170" t="s">
        <v>17075</v>
      </c>
      <c r="Q12" s="171"/>
      <c r="R12" s="225">
        <v>501</v>
      </c>
      <c r="S12" s="172"/>
    </row>
    <row r="13" spans="1:19" ht="16.5" customHeight="1" x14ac:dyDescent="0.3">
      <c r="A13" s="147">
        <v>15</v>
      </c>
      <c r="B13" s="147">
        <v>1553</v>
      </c>
      <c r="C13" s="197" t="s">
        <v>6439</v>
      </c>
      <c r="D13" s="212"/>
      <c r="E13" s="188"/>
      <c r="F13" s="169"/>
      <c r="G13" s="188" t="s">
        <v>16873</v>
      </c>
      <c r="H13" s="205">
        <v>334</v>
      </c>
      <c r="I13" s="171" t="s">
        <v>0</v>
      </c>
      <c r="J13" s="160" t="s">
        <v>17054</v>
      </c>
      <c r="K13" s="160"/>
      <c r="L13" s="161"/>
      <c r="M13" s="162"/>
      <c r="N13" s="163"/>
      <c r="O13" s="164"/>
      <c r="P13" s="170"/>
      <c r="Q13" s="174" t="s">
        <v>17074</v>
      </c>
      <c r="R13" s="225">
        <v>351</v>
      </c>
      <c r="S13" s="172"/>
    </row>
    <row r="14" spans="1:19" ht="16.5" customHeight="1" x14ac:dyDescent="0.3">
      <c r="A14" s="147">
        <v>15</v>
      </c>
      <c r="B14" s="147">
        <v>1554</v>
      </c>
      <c r="C14" s="197" t="s">
        <v>6438</v>
      </c>
      <c r="D14" s="212"/>
      <c r="E14" s="188"/>
      <c r="F14" s="169"/>
      <c r="G14" s="167"/>
      <c r="H14" s="150"/>
      <c r="I14" s="168"/>
      <c r="J14" s="150" t="s">
        <v>17053</v>
      </c>
      <c r="K14" s="150" t="s">
        <v>1</v>
      </c>
      <c r="L14" s="151">
        <v>0.7</v>
      </c>
      <c r="M14" s="162" t="s">
        <v>5895</v>
      </c>
      <c r="N14" s="163" t="s">
        <v>1</v>
      </c>
      <c r="O14" s="164">
        <v>1</v>
      </c>
      <c r="P14" s="170"/>
      <c r="Q14" s="171"/>
      <c r="R14" s="225">
        <v>351</v>
      </c>
      <c r="S14" s="172"/>
    </row>
    <row r="15" spans="1:19" ht="16.5" customHeight="1" x14ac:dyDescent="0.3">
      <c r="A15" s="147">
        <v>15</v>
      </c>
      <c r="B15" s="147">
        <v>1555</v>
      </c>
      <c r="C15" s="197" t="s">
        <v>6437</v>
      </c>
      <c r="D15" s="212"/>
      <c r="E15" s="188"/>
      <c r="F15" s="169"/>
      <c r="G15" s="156" t="s">
        <v>17066</v>
      </c>
      <c r="H15" s="160"/>
      <c r="I15" s="158"/>
      <c r="J15" s="160"/>
      <c r="K15" s="160"/>
      <c r="L15" s="161"/>
      <c r="M15" s="162"/>
      <c r="N15" s="163"/>
      <c r="O15" s="164"/>
      <c r="P15" s="170" t="s">
        <v>1</v>
      </c>
      <c r="Q15" s="192">
        <v>0.5</v>
      </c>
      <c r="R15" s="225">
        <v>626</v>
      </c>
      <c r="S15" s="172"/>
    </row>
    <row r="16" spans="1:19" ht="16.5" customHeight="1" x14ac:dyDescent="0.3">
      <c r="A16" s="147">
        <v>15</v>
      </c>
      <c r="B16" s="147">
        <v>1556</v>
      </c>
      <c r="C16" s="197" t="s">
        <v>6436</v>
      </c>
      <c r="D16" s="212"/>
      <c r="E16" s="188"/>
      <c r="F16" s="169"/>
      <c r="G16" s="188" t="s">
        <v>17070</v>
      </c>
      <c r="H16" s="153"/>
      <c r="I16" s="171"/>
      <c r="J16" s="150"/>
      <c r="K16" s="150"/>
      <c r="L16" s="151"/>
      <c r="M16" s="162" t="s">
        <v>5895</v>
      </c>
      <c r="N16" s="163" t="s">
        <v>1</v>
      </c>
      <c r="O16" s="164">
        <v>1</v>
      </c>
      <c r="P16" s="170"/>
      <c r="Q16" s="174" t="s">
        <v>422</v>
      </c>
      <c r="R16" s="225">
        <v>626</v>
      </c>
      <c r="S16" s="172"/>
    </row>
    <row r="17" spans="1:19" ht="16.5" customHeight="1" x14ac:dyDescent="0.3">
      <c r="A17" s="147">
        <v>15</v>
      </c>
      <c r="B17" s="147">
        <v>1557</v>
      </c>
      <c r="C17" s="197" t="s">
        <v>6435</v>
      </c>
      <c r="D17" s="212"/>
      <c r="E17" s="188"/>
      <c r="F17" s="169"/>
      <c r="G17" s="188" t="s">
        <v>17065</v>
      </c>
      <c r="H17" s="205">
        <v>417</v>
      </c>
      <c r="I17" s="171" t="s">
        <v>0</v>
      </c>
      <c r="J17" s="160" t="s">
        <v>17054</v>
      </c>
      <c r="K17" s="160"/>
      <c r="L17" s="161"/>
      <c r="M17" s="162"/>
      <c r="N17" s="163"/>
      <c r="O17" s="164"/>
      <c r="P17" s="170"/>
      <c r="Q17" s="171"/>
      <c r="R17" s="225">
        <v>438</v>
      </c>
      <c r="S17" s="172"/>
    </row>
    <row r="18" spans="1:19" ht="16.5" customHeight="1" x14ac:dyDescent="0.3">
      <c r="A18" s="147">
        <v>15</v>
      </c>
      <c r="B18" s="147">
        <v>1558</v>
      </c>
      <c r="C18" s="197" t="s">
        <v>6434</v>
      </c>
      <c r="D18" s="212"/>
      <c r="E18" s="188"/>
      <c r="F18" s="169"/>
      <c r="G18" s="167"/>
      <c r="H18" s="150"/>
      <c r="I18" s="168"/>
      <c r="J18" s="150" t="s">
        <v>17053</v>
      </c>
      <c r="K18" s="150" t="s">
        <v>1</v>
      </c>
      <c r="L18" s="151">
        <v>0.7</v>
      </c>
      <c r="M18" s="162" t="s">
        <v>5895</v>
      </c>
      <c r="N18" s="163" t="s">
        <v>1</v>
      </c>
      <c r="O18" s="164">
        <v>1</v>
      </c>
      <c r="P18" s="170"/>
      <c r="Q18" s="171"/>
      <c r="R18" s="225">
        <v>438</v>
      </c>
      <c r="S18" s="172"/>
    </row>
    <row r="19" spans="1:19" ht="16.5" customHeight="1" x14ac:dyDescent="0.3">
      <c r="A19" s="147">
        <v>15</v>
      </c>
      <c r="B19" s="147">
        <v>1559</v>
      </c>
      <c r="C19" s="197" t="s">
        <v>6433</v>
      </c>
      <c r="D19" s="212"/>
      <c r="E19" s="188"/>
      <c r="F19" s="169"/>
      <c r="G19" s="156" t="s">
        <v>17069</v>
      </c>
      <c r="H19" s="160"/>
      <c r="I19" s="158"/>
      <c r="J19" s="160"/>
      <c r="K19" s="160"/>
      <c r="L19" s="161"/>
      <c r="M19" s="162"/>
      <c r="N19" s="163"/>
      <c r="O19" s="164"/>
      <c r="P19" s="170"/>
      <c r="Q19" s="171"/>
      <c r="R19" s="225">
        <v>752</v>
      </c>
      <c r="S19" s="172"/>
    </row>
    <row r="20" spans="1:19" ht="16.5" customHeight="1" x14ac:dyDescent="0.3">
      <c r="A20" s="147">
        <v>15</v>
      </c>
      <c r="B20" s="147">
        <v>1560</v>
      </c>
      <c r="C20" s="197" t="s">
        <v>6432</v>
      </c>
      <c r="D20" s="212"/>
      <c r="E20" s="188"/>
      <c r="F20" s="169"/>
      <c r="G20" s="188" t="s">
        <v>17063</v>
      </c>
      <c r="H20" s="153"/>
      <c r="I20" s="171"/>
      <c r="J20" s="150"/>
      <c r="K20" s="150"/>
      <c r="L20" s="151"/>
      <c r="M20" s="162" t="s">
        <v>5895</v>
      </c>
      <c r="N20" s="163" t="s">
        <v>1</v>
      </c>
      <c r="O20" s="164">
        <v>1</v>
      </c>
      <c r="P20" s="170"/>
      <c r="Q20" s="171"/>
      <c r="R20" s="225">
        <v>752</v>
      </c>
      <c r="S20" s="172"/>
    </row>
    <row r="21" spans="1:19" ht="16.5" customHeight="1" x14ac:dyDescent="0.3">
      <c r="A21" s="147">
        <v>15</v>
      </c>
      <c r="B21" s="147">
        <v>1561</v>
      </c>
      <c r="C21" s="197" t="s">
        <v>6431</v>
      </c>
      <c r="D21" s="212"/>
      <c r="E21" s="188"/>
      <c r="F21" s="169"/>
      <c r="G21" s="188" t="s">
        <v>17062</v>
      </c>
      <c r="H21" s="205">
        <v>501</v>
      </c>
      <c r="I21" s="171" t="s">
        <v>0</v>
      </c>
      <c r="J21" s="160" t="s">
        <v>17054</v>
      </c>
      <c r="K21" s="160"/>
      <c r="L21" s="161"/>
      <c r="M21" s="162"/>
      <c r="N21" s="163"/>
      <c r="O21" s="164"/>
      <c r="P21" s="170"/>
      <c r="Q21" s="171"/>
      <c r="R21" s="225">
        <v>527</v>
      </c>
      <c r="S21" s="172"/>
    </row>
    <row r="22" spans="1:19" ht="16.5" customHeight="1" x14ac:dyDescent="0.3">
      <c r="A22" s="147">
        <v>15</v>
      </c>
      <c r="B22" s="147">
        <v>1562</v>
      </c>
      <c r="C22" s="197" t="s">
        <v>6430</v>
      </c>
      <c r="D22" s="212"/>
      <c r="E22" s="188"/>
      <c r="F22" s="169"/>
      <c r="G22" s="167"/>
      <c r="H22" s="150"/>
      <c r="I22" s="168"/>
      <c r="J22" s="150" t="s">
        <v>17053</v>
      </c>
      <c r="K22" s="150" t="s">
        <v>1</v>
      </c>
      <c r="L22" s="151">
        <v>0.7</v>
      </c>
      <c r="M22" s="162" t="s">
        <v>5895</v>
      </c>
      <c r="N22" s="163" t="s">
        <v>1</v>
      </c>
      <c r="O22" s="164">
        <v>1</v>
      </c>
      <c r="P22" s="170"/>
      <c r="Q22" s="171"/>
      <c r="R22" s="225">
        <v>527</v>
      </c>
      <c r="S22" s="172"/>
    </row>
    <row r="23" spans="1:19" ht="16.5" customHeight="1" x14ac:dyDescent="0.3">
      <c r="A23" s="147">
        <v>15</v>
      </c>
      <c r="B23" s="147">
        <v>1563</v>
      </c>
      <c r="C23" s="197" t="s">
        <v>6429</v>
      </c>
      <c r="D23" s="212"/>
      <c r="E23" s="188"/>
      <c r="F23" s="169"/>
      <c r="G23" s="156" t="s">
        <v>17073</v>
      </c>
      <c r="H23" s="160"/>
      <c r="I23" s="158"/>
      <c r="J23" s="160"/>
      <c r="K23" s="160"/>
      <c r="L23" s="161"/>
      <c r="M23" s="162"/>
      <c r="N23" s="163"/>
      <c r="O23" s="164"/>
      <c r="P23" s="170"/>
      <c r="Q23" s="171"/>
      <c r="R23" s="225">
        <v>878</v>
      </c>
      <c r="S23" s="172"/>
    </row>
    <row r="24" spans="1:19" ht="16.5" customHeight="1" x14ac:dyDescent="0.3">
      <c r="A24" s="147">
        <v>15</v>
      </c>
      <c r="B24" s="147">
        <v>1564</v>
      </c>
      <c r="C24" s="197" t="s">
        <v>6428</v>
      </c>
      <c r="D24" s="212"/>
      <c r="E24" s="188"/>
      <c r="F24" s="169"/>
      <c r="G24" s="188" t="s">
        <v>16865</v>
      </c>
      <c r="H24" s="153"/>
      <c r="I24" s="171"/>
      <c r="J24" s="150"/>
      <c r="K24" s="150"/>
      <c r="L24" s="151"/>
      <c r="M24" s="162" t="s">
        <v>5895</v>
      </c>
      <c r="N24" s="163" t="s">
        <v>1</v>
      </c>
      <c r="O24" s="164">
        <v>1</v>
      </c>
      <c r="P24" s="170"/>
      <c r="Q24" s="171"/>
      <c r="R24" s="225">
        <v>878</v>
      </c>
      <c r="S24" s="172"/>
    </row>
    <row r="25" spans="1:19" ht="16.5" customHeight="1" x14ac:dyDescent="0.3">
      <c r="A25" s="147">
        <v>15</v>
      </c>
      <c r="B25" s="147">
        <v>1565</v>
      </c>
      <c r="C25" s="197" t="s">
        <v>6427</v>
      </c>
      <c r="D25" s="212"/>
      <c r="E25" s="188"/>
      <c r="F25" s="169"/>
      <c r="G25" s="188" t="s">
        <v>17055</v>
      </c>
      <c r="H25" s="205">
        <v>585</v>
      </c>
      <c r="I25" s="171" t="s">
        <v>0</v>
      </c>
      <c r="J25" s="160" t="s">
        <v>17054</v>
      </c>
      <c r="K25" s="160"/>
      <c r="L25" s="161"/>
      <c r="M25" s="162"/>
      <c r="N25" s="163"/>
      <c r="O25" s="164"/>
      <c r="P25" s="170"/>
      <c r="Q25" s="171"/>
      <c r="R25" s="225">
        <v>615</v>
      </c>
      <c r="S25" s="172"/>
    </row>
    <row r="26" spans="1:19" ht="16.5" customHeight="1" x14ac:dyDescent="0.3">
      <c r="A26" s="147">
        <v>15</v>
      </c>
      <c r="B26" s="147">
        <v>1566</v>
      </c>
      <c r="C26" s="197" t="s">
        <v>6426</v>
      </c>
      <c r="D26" s="212"/>
      <c r="E26" s="167"/>
      <c r="F26" s="169"/>
      <c r="G26" s="167"/>
      <c r="H26" s="150"/>
      <c r="I26" s="168"/>
      <c r="J26" s="150" t="s">
        <v>16812</v>
      </c>
      <c r="K26" s="150" t="s">
        <v>1</v>
      </c>
      <c r="L26" s="151">
        <v>0.7</v>
      </c>
      <c r="M26" s="162" t="s">
        <v>5895</v>
      </c>
      <c r="N26" s="163" t="s">
        <v>1</v>
      </c>
      <c r="O26" s="164">
        <v>1</v>
      </c>
      <c r="P26" s="170"/>
      <c r="Q26" s="171"/>
      <c r="R26" s="225">
        <v>615</v>
      </c>
      <c r="S26" s="172"/>
    </row>
    <row r="27" spans="1:19" ht="16.5" customHeight="1" x14ac:dyDescent="0.3">
      <c r="A27" s="147">
        <v>15</v>
      </c>
      <c r="B27" s="147">
        <v>1567</v>
      </c>
      <c r="C27" s="197" t="s">
        <v>6425</v>
      </c>
      <c r="D27" s="212"/>
      <c r="E27" s="156" t="s">
        <v>17072</v>
      </c>
      <c r="F27" s="169"/>
      <c r="G27" s="156" t="s">
        <v>17071</v>
      </c>
      <c r="H27" s="160"/>
      <c r="I27" s="158"/>
      <c r="J27" s="160"/>
      <c r="K27" s="160"/>
      <c r="L27" s="161"/>
      <c r="M27" s="162"/>
      <c r="N27" s="163"/>
      <c r="O27" s="164"/>
      <c r="P27" s="170"/>
      <c r="Q27" s="171"/>
      <c r="R27" s="225">
        <v>278</v>
      </c>
      <c r="S27" s="172"/>
    </row>
    <row r="28" spans="1:19" ht="16.5" customHeight="1" x14ac:dyDescent="0.3">
      <c r="A28" s="147">
        <v>15</v>
      </c>
      <c r="B28" s="147">
        <v>1568</v>
      </c>
      <c r="C28" s="197" t="s">
        <v>6424</v>
      </c>
      <c r="D28" s="212"/>
      <c r="E28" s="188" t="s">
        <v>17067</v>
      </c>
      <c r="F28" s="169"/>
      <c r="G28" s="188" t="s">
        <v>17056</v>
      </c>
      <c r="H28" s="153"/>
      <c r="I28" s="171"/>
      <c r="J28" s="150"/>
      <c r="K28" s="150"/>
      <c r="L28" s="151"/>
      <c r="M28" s="162" t="s">
        <v>5895</v>
      </c>
      <c r="N28" s="163" t="s">
        <v>1</v>
      </c>
      <c r="O28" s="164">
        <v>1</v>
      </c>
      <c r="P28" s="170"/>
      <c r="Q28" s="171"/>
      <c r="R28" s="225">
        <v>278</v>
      </c>
      <c r="S28" s="172"/>
    </row>
    <row r="29" spans="1:19" ht="16.5" customHeight="1" x14ac:dyDescent="0.3">
      <c r="A29" s="147">
        <v>15</v>
      </c>
      <c r="B29" s="147">
        <v>1569</v>
      </c>
      <c r="C29" s="197" t="s">
        <v>6423</v>
      </c>
      <c r="D29" s="212"/>
      <c r="E29" s="188" t="s">
        <v>16873</v>
      </c>
      <c r="F29" s="169"/>
      <c r="G29" s="188"/>
      <c r="H29" s="205">
        <v>185</v>
      </c>
      <c r="I29" s="171" t="s">
        <v>0</v>
      </c>
      <c r="J29" s="160" t="s">
        <v>17054</v>
      </c>
      <c r="K29" s="160"/>
      <c r="L29" s="161"/>
      <c r="M29" s="162"/>
      <c r="N29" s="163"/>
      <c r="O29" s="164"/>
      <c r="P29" s="170"/>
      <c r="Q29" s="171"/>
      <c r="R29" s="225">
        <v>195</v>
      </c>
      <c r="S29" s="172"/>
    </row>
    <row r="30" spans="1:19" ht="16.5" customHeight="1" x14ac:dyDescent="0.3">
      <c r="A30" s="147">
        <v>15</v>
      </c>
      <c r="B30" s="147">
        <v>1570</v>
      </c>
      <c r="C30" s="197" t="s">
        <v>6422</v>
      </c>
      <c r="D30" s="212"/>
      <c r="E30" s="188"/>
      <c r="F30" s="169"/>
      <c r="G30" s="167"/>
      <c r="H30" s="150"/>
      <c r="I30" s="168"/>
      <c r="J30" s="150" t="s">
        <v>17053</v>
      </c>
      <c r="K30" s="150" t="s">
        <v>1</v>
      </c>
      <c r="L30" s="151">
        <v>0.7</v>
      </c>
      <c r="M30" s="162" t="s">
        <v>5895</v>
      </c>
      <c r="N30" s="163" t="s">
        <v>1</v>
      </c>
      <c r="O30" s="164">
        <v>1</v>
      </c>
      <c r="P30" s="170"/>
      <c r="Q30" s="171"/>
      <c r="R30" s="225">
        <v>195</v>
      </c>
      <c r="S30" s="172"/>
    </row>
    <row r="31" spans="1:19" ht="16.5" customHeight="1" x14ac:dyDescent="0.3">
      <c r="A31" s="147">
        <v>15</v>
      </c>
      <c r="B31" s="147">
        <v>1571</v>
      </c>
      <c r="C31" s="197" t="s">
        <v>6421</v>
      </c>
      <c r="D31" s="212"/>
      <c r="E31" s="188"/>
      <c r="F31" s="169"/>
      <c r="G31" s="156" t="s">
        <v>17061</v>
      </c>
      <c r="H31" s="160"/>
      <c r="I31" s="158"/>
      <c r="J31" s="160"/>
      <c r="K31" s="160"/>
      <c r="L31" s="161"/>
      <c r="M31" s="162"/>
      <c r="N31" s="163"/>
      <c r="O31" s="164"/>
      <c r="P31" s="170"/>
      <c r="Q31" s="171"/>
      <c r="R31" s="225">
        <v>402</v>
      </c>
      <c r="S31" s="172"/>
    </row>
    <row r="32" spans="1:19" ht="16.5" customHeight="1" x14ac:dyDescent="0.3">
      <c r="A32" s="147">
        <v>15</v>
      </c>
      <c r="B32" s="147">
        <v>1572</v>
      </c>
      <c r="C32" s="197" t="s">
        <v>6420</v>
      </c>
      <c r="D32" s="212"/>
      <c r="E32" s="188"/>
      <c r="F32" s="169"/>
      <c r="G32" s="188" t="s">
        <v>17067</v>
      </c>
      <c r="H32" s="153"/>
      <c r="I32" s="171"/>
      <c r="J32" s="150"/>
      <c r="K32" s="150"/>
      <c r="L32" s="151"/>
      <c r="M32" s="162" t="s">
        <v>5895</v>
      </c>
      <c r="N32" s="163" t="s">
        <v>1</v>
      </c>
      <c r="O32" s="164">
        <v>1</v>
      </c>
      <c r="P32" s="170"/>
      <c r="Q32" s="171"/>
      <c r="R32" s="225">
        <v>402</v>
      </c>
      <c r="S32" s="172"/>
    </row>
    <row r="33" spans="1:19" ht="16.5" customHeight="1" x14ac:dyDescent="0.3">
      <c r="A33" s="147">
        <v>15</v>
      </c>
      <c r="B33" s="147">
        <v>1573</v>
      </c>
      <c r="C33" s="197" t="s">
        <v>6419</v>
      </c>
      <c r="D33" s="212"/>
      <c r="E33" s="188"/>
      <c r="F33" s="169"/>
      <c r="G33" s="188" t="s">
        <v>17060</v>
      </c>
      <c r="H33" s="205">
        <v>268</v>
      </c>
      <c r="I33" s="171" t="s">
        <v>0</v>
      </c>
      <c r="J33" s="160" t="s">
        <v>17054</v>
      </c>
      <c r="K33" s="160"/>
      <c r="L33" s="161"/>
      <c r="M33" s="162"/>
      <c r="N33" s="163"/>
      <c r="O33" s="164"/>
      <c r="P33" s="170"/>
      <c r="Q33" s="171"/>
      <c r="R33" s="225">
        <v>282</v>
      </c>
      <c r="S33" s="172"/>
    </row>
    <row r="34" spans="1:19" ht="16.5" customHeight="1" x14ac:dyDescent="0.3">
      <c r="A34" s="147">
        <v>15</v>
      </c>
      <c r="B34" s="147">
        <v>1574</v>
      </c>
      <c r="C34" s="197" t="s">
        <v>6418</v>
      </c>
      <c r="D34" s="212"/>
      <c r="E34" s="188"/>
      <c r="F34" s="169"/>
      <c r="G34" s="167"/>
      <c r="H34" s="150"/>
      <c r="I34" s="168"/>
      <c r="J34" s="150" t="s">
        <v>17053</v>
      </c>
      <c r="K34" s="150" t="s">
        <v>1</v>
      </c>
      <c r="L34" s="151">
        <v>0.7</v>
      </c>
      <c r="M34" s="162" t="s">
        <v>5895</v>
      </c>
      <c r="N34" s="163" t="s">
        <v>1</v>
      </c>
      <c r="O34" s="164">
        <v>1</v>
      </c>
      <c r="P34" s="170"/>
      <c r="Q34" s="171"/>
      <c r="R34" s="225">
        <v>282</v>
      </c>
      <c r="S34" s="172"/>
    </row>
    <row r="35" spans="1:19" ht="16.5" customHeight="1" x14ac:dyDescent="0.3">
      <c r="A35" s="147">
        <v>15</v>
      </c>
      <c r="B35" s="147">
        <v>1575</v>
      </c>
      <c r="C35" s="197" t="s">
        <v>6417</v>
      </c>
      <c r="D35" s="212"/>
      <c r="E35" s="188"/>
      <c r="F35" s="169"/>
      <c r="G35" s="156" t="s">
        <v>17066</v>
      </c>
      <c r="H35" s="160"/>
      <c r="I35" s="158"/>
      <c r="J35" s="160"/>
      <c r="K35" s="160"/>
      <c r="L35" s="161"/>
      <c r="M35" s="162"/>
      <c r="N35" s="163"/>
      <c r="O35" s="164"/>
      <c r="P35" s="170"/>
      <c r="Q35" s="171"/>
      <c r="R35" s="225">
        <v>528</v>
      </c>
      <c r="S35" s="172"/>
    </row>
    <row r="36" spans="1:19" ht="16.5" customHeight="1" x14ac:dyDescent="0.3">
      <c r="A36" s="147">
        <v>15</v>
      </c>
      <c r="B36" s="147">
        <v>1576</v>
      </c>
      <c r="C36" s="197" t="s">
        <v>6416</v>
      </c>
      <c r="D36" s="212"/>
      <c r="E36" s="188"/>
      <c r="F36" s="169"/>
      <c r="G36" s="188" t="s">
        <v>17070</v>
      </c>
      <c r="H36" s="153"/>
      <c r="I36" s="171"/>
      <c r="J36" s="150"/>
      <c r="K36" s="150"/>
      <c r="L36" s="151"/>
      <c r="M36" s="162" t="s">
        <v>5895</v>
      </c>
      <c r="N36" s="163" t="s">
        <v>1</v>
      </c>
      <c r="O36" s="164">
        <v>1</v>
      </c>
      <c r="P36" s="170"/>
      <c r="Q36" s="171"/>
      <c r="R36" s="225">
        <v>528</v>
      </c>
      <c r="S36" s="172"/>
    </row>
    <row r="37" spans="1:19" ht="16.5" customHeight="1" x14ac:dyDescent="0.3">
      <c r="A37" s="147">
        <v>15</v>
      </c>
      <c r="B37" s="147">
        <v>1577</v>
      </c>
      <c r="C37" s="197" t="s">
        <v>6415</v>
      </c>
      <c r="D37" s="212"/>
      <c r="E37" s="188"/>
      <c r="F37" s="169"/>
      <c r="G37" s="188" t="s">
        <v>17065</v>
      </c>
      <c r="H37" s="205">
        <v>352</v>
      </c>
      <c r="I37" s="171" t="s">
        <v>0</v>
      </c>
      <c r="J37" s="160" t="s">
        <v>17054</v>
      </c>
      <c r="K37" s="160"/>
      <c r="L37" s="161"/>
      <c r="M37" s="162"/>
      <c r="N37" s="163"/>
      <c r="O37" s="164"/>
      <c r="P37" s="170"/>
      <c r="Q37" s="171"/>
      <c r="R37" s="225">
        <v>369</v>
      </c>
      <c r="S37" s="172"/>
    </row>
    <row r="38" spans="1:19" ht="16.5" customHeight="1" x14ac:dyDescent="0.3">
      <c r="A38" s="147">
        <v>15</v>
      </c>
      <c r="B38" s="147">
        <v>1578</v>
      </c>
      <c r="C38" s="197" t="s">
        <v>6414</v>
      </c>
      <c r="D38" s="212"/>
      <c r="E38" s="188"/>
      <c r="F38" s="169"/>
      <c r="G38" s="167"/>
      <c r="H38" s="150"/>
      <c r="I38" s="168"/>
      <c r="J38" s="150" t="s">
        <v>16812</v>
      </c>
      <c r="K38" s="150" t="s">
        <v>1</v>
      </c>
      <c r="L38" s="151">
        <v>0.7</v>
      </c>
      <c r="M38" s="162" t="s">
        <v>5895</v>
      </c>
      <c r="N38" s="163" t="s">
        <v>1</v>
      </c>
      <c r="O38" s="164">
        <v>1</v>
      </c>
      <c r="P38" s="170"/>
      <c r="Q38" s="171"/>
      <c r="R38" s="225">
        <v>369</v>
      </c>
      <c r="S38" s="172"/>
    </row>
    <row r="39" spans="1:19" ht="16.5" customHeight="1" x14ac:dyDescent="0.3">
      <c r="A39" s="147">
        <v>15</v>
      </c>
      <c r="B39" s="147">
        <v>1579</v>
      </c>
      <c r="C39" s="197" t="s">
        <v>6413</v>
      </c>
      <c r="D39" s="212"/>
      <c r="E39" s="188"/>
      <c r="F39" s="169"/>
      <c r="G39" s="156" t="s">
        <v>17069</v>
      </c>
      <c r="H39" s="160"/>
      <c r="I39" s="158"/>
      <c r="J39" s="160"/>
      <c r="K39" s="160"/>
      <c r="L39" s="161"/>
      <c r="M39" s="162"/>
      <c r="N39" s="163"/>
      <c r="O39" s="164"/>
      <c r="P39" s="170"/>
      <c r="Q39" s="171"/>
      <c r="R39" s="225">
        <v>654</v>
      </c>
      <c r="S39" s="172"/>
    </row>
    <row r="40" spans="1:19" ht="16.5" customHeight="1" x14ac:dyDescent="0.3">
      <c r="A40" s="147">
        <v>15</v>
      </c>
      <c r="B40" s="147">
        <v>1580</v>
      </c>
      <c r="C40" s="197" t="s">
        <v>6412</v>
      </c>
      <c r="D40" s="212"/>
      <c r="E40" s="188"/>
      <c r="F40" s="169"/>
      <c r="G40" s="188" t="s">
        <v>17063</v>
      </c>
      <c r="H40" s="153"/>
      <c r="I40" s="171"/>
      <c r="J40" s="150"/>
      <c r="K40" s="150"/>
      <c r="L40" s="151"/>
      <c r="M40" s="162" t="s">
        <v>5895</v>
      </c>
      <c r="N40" s="163" t="s">
        <v>1</v>
      </c>
      <c r="O40" s="164">
        <v>1</v>
      </c>
      <c r="P40" s="170"/>
      <c r="Q40" s="171"/>
      <c r="R40" s="225">
        <v>654</v>
      </c>
      <c r="S40" s="172"/>
    </row>
    <row r="41" spans="1:19" ht="16.5" customHeight="1" x14ac:dyDescent="0.3">
      <c r="A41" s="147">
        <v>15</v>
      </c>
      <c r="B41" s="147">
        <v>1581</v>
      </c>
      <c r="C41" s="197" t="s">
        <v>6411</v>
      </c>
      <c r="D41" s="212"/>
      <c r="E41" s="188"/>
      <c r="F41" s="169"/>
      <c r="G41" s="188" t="s">
        <v>17062</v>
      </c>
      <c r="H41" s="205">
        <v>436</v>
      </c>
      <c r="I41" s="171" t="s">
        <v>0</v>
      </c>
      <c r="J41" s="160" t="s">
        <v>17054</v>
      </c>
      <c r="K41" s="160"/>
      <c r="L41" s="161"/>
      <c r="M41" s="162"/>
      <c r="N41" s="163"/>
      <c r="O41" s="164"/>
      <c r="P41" s="170"/>
      <c r="Q41" s="171"/>
      <c r="R41" s="225">
        <v>458</v>
      </c>
      <c r="S41" s="172"/>
    </row>
    <row r="42" spans="1:19" ht="16.5" customHeight="1" x14ac:dyDescent="0.3">
      <c r="A42" s="147">
        <v>15</v>
      </c>
      <c r="B42" s="147">
        <v>1582</v>
      </c>
      <c r="C42" s="197" t="s">
        <v>6410</v>
      </c>
      <c r="D42" s="212"/>
      <c r="E42" s="167"/>
      <c r="F42" s="169"/>
      <c r="G42" s="167"/>
      <c r="H42" s="150"/>
      <c r="I42" s="168"/>
      <c r="J42" s="150" t="s">
        <v>17053</v>
      </c>
      <c r="K42" s="150" t="s">
        <v>1</v>
      </c>
      <c r="L42" s="151">
        <v>0.7</v>
      </c>
      <c r="M42" s="162" t="s">
        <v>5895</v>
      </c>
      <c r="N42" s="163" t="s">
        <v>1</v>
      </c>
      <c r="O42" s="164">
        <v>1</v>
      </c>
      <c r="P42" s="170"/>
      <c r="Q42" s="171"/>
      <c r="R42" s="225">
        <v>458</v>
      </c>
      <c r="S42" s="172"/>
    </row>
    <row r="43" spans="1:19" ht="16.5" customHeight="1" x14ac:dyDescent="0.3">
      <c r="A43" s="147">
        <v>15</v>
      </c>
      <c r="B43" s="147">
        <v>1583</v>
      </c>
      <c r="C43" s="197" t="s">
        <v>6409</v>
      </c>
      <c r="D43" s="212"/>
      <c r="E43" s="156" t="s">
        <v>17068</v>
      </c>
      <c r="F43" s="169"/>
      <c r="G43" s="156" t="s">
        <v>17058</v>
      </c>
      <c r="H43" s="160"/>
      <c r="I43" s="158"/>
      <c r="J43" s="160"/>
      <c r="K43" s="160"/>
      <c r="L43" s="161"/>
      <c r="M43" s="162"/>
      <c r="N43" s="163"/>
      <c r="O43" s="164"/>
      <c r="P43" s="170"/>
      <c r="Q43" s="171"/>
      <c r="R43" s="225">
        <v>125</v>
      </c>
      <c r="S43" s="172"/>
    </row>
    <row r="44" spans="1:19" ht="16.5" customHeight="1" x14ac:dyDescent="0.3">
      <c r="A44" s="147">
        <v>15</v>
      </c>
      <c r="B44" s="147">
        <v>1584</v>
      </c>
      <c r="C44" s="197" t="s">
        <v>6408</v>
      </c>
      <c r="D44" s="212"/>
      <c r="E44" s="188" t="s">
        <v>16871</v>
      </c>
      <c r="F44" s="169"/>
      <c r="G44" s="188" t="s">
        <v>16901</v>
      </c>
      <c r="H44" s="153"/>
      <c r="I44" s="171"/>
      <c r="J44" s="150"/>
      <c r="K44" s="150"/>
      <c r="L44" s="151"/>
      <c r="M44" s="162" t="s">
        <v>5895</v>
      </c>
      <c r="N44" s="163" t="s">
        <v>1</v>
      </c>
      <c r="O44" s="164">
        <v>1</v>
      </c>
      <c r="P44" s="170"/>
      <c r="Q44" s="171"/>
      <c r="R44" s="225">
        <v>125</v>
      </c>
      <c r="S44" s="172"/>
    </row>
    <row r="45" spans="1:19" ht="16.5" customHeight="1" x14ac:dyDescent="0.3">
      <c r="A45" s="147">
        <v>15</v>
      </c>
      <c r="B45" s="147">
        <v>1585</v>
      </c>
      <c r="C45" s="197" t="s">
        <v>6407</v>
      </c>
      <c r="D45" s="212"/>
      <c r="E45" s="188" t="s">
        <v>17065</v>
      </c>
      <c r="F45" s="169"/>
      <c r="G45" s="188"/>
      <c r="H45" s="205">
        <v>83</v>
      </c>
      <c r="I45" s="171" t="s">
        <v>0</v>
      </c>
      <c r="J45" s="160" t="s">
        <v>17054</v>
      </c>
      <c r="K45" s="160"/>
      <c r="L45" s="161"/>
      <c r="M45" s="162"/>
      <c r="N45" s="163"/>
      <c r="O45" s="164"/>
      <c r="P45" s="170"/>
      <c r="Q45" s="171"/>
      <c r="R45" s="225">
        <v>87</v>
      </c>
      <c r="S45" s="172"/>
    </row>
    <row r="46" spans="1:19" ht="16.5" customHeight="1" x14ac:dyDescent="0.3">
      <c r="A46" s="147">
        <v>15</v>
      </c>
      <c r="B46" s="147">
        <v>1586</v>
      </c>
      <c r="C46" s="197" t="s">
        <v>6406</v>
      </c>
      <c r="D46" s="212"/>
      <c r="E46" s="188"/>
      <c r="F46" s="169"/>
      <c r="G46" s="167"/>
      <c r="H46" s="150"/>
      <c r="I46" s="168"/>
      <c r="J46" s="150" t="s">
        <v>16812</v>
      </c>
      <c r="K46" s="150" t="s">
        <v>1</v>
      </c>
      <c r="L46" s="151">
        <v>0.7</v>
      </c>
      <c r="M46" s="162" t="s">
        <v>5895</v>
      </c>
      <c r="N46" s="163" t="s">
        <v>1</v>
      </c>
      <c r="O46" s="164">
        <v>1</v>
      </c>
      <c r="P46" s="170"/>
      <c r="Q46" s="171"/>
      <c r="R46" s="225">
        <v>87</v>
      </c>
      <c r="S46" s="172"/>
    </row>
    <row r="47" spans="1:19" ht="16.5" customHeight="1" x14ac:dyDescent="0.3">
      <c r="A47" s="147">
        <v>15</v>
      </c>
      <c r="B47" s="147">
        <v>1587</v>
      </c>
      <c r="C47" s="197" t="s">
        <v>6405</v>
      </c>
      <c r="D47" s="212"/>
      <c r="E47" s="188"/>
      <c r="F47" s="169"/>
      <c r="G47" s="156" t="s">
        <v>17038</v>
      </c>
      <c r="H47" s="160"/>
      <c r="I47" s="158"/>
      <c r="J47" s="160"/>
      <c r="K47" s="160"/>
      <c r="L47" s="161"/>
      <c r="M47" s="162"/>
      <c r="N47" s="163"/>
      <c r="O47" s="164"/>
      <c r="P47" s="170"/>
      <c r="Q47" s="171"/>
      <c r="R47" s="225">
        <v>251</v>
      </c>
      <c r="S47" s="172"/>
    </row>
    <row r="48" spans="1:19" ht="16.5" customHeight="1" x14ac:dyDescent="0.3">
      <c r="A48" s="147">
        <v>15</v>
      </c>
      <c r="B48" s="147">
        <v>1588</v>
      </c>
      <c r="C48" s="197" t="s">
        <v>6404</v>
      </c>
      <c r="D48" s="212"/>
      <c r="E48" s="188"/>
      <c r="F48" s="169"/>
      <c r="G48" s="188" t="s">
        <v>17067</v>
      </c>
      <c r="H48" s="153"/>
      <c r="I48" s="171"/>
      <c r="J48" s="150"/>
      <c r="K48" s="150"/>
      <c r="L48" s="151"/>
      <c r="M48" s="162" t="s">
        <v>5895</v>
      </c>
      <c r="N48" s="163" t="s">
        <v>1</v>
      </c>
      <c r="O48" s="164">
        <v>1</v>
      </c>
      <c r="P48" s="170"/>
      <c r="Q48" s="171"/>
      <c r="R48" s="225">
        <v>251</v>
      </c>
      <c r="S48" s="172"/>
    </row>
    <row r="49" spans="1:19" ht="16.5" customHeight="1" x14ac:dyDescent="0.3">
      <c r="A49" s="147">
        <v>15</v>
      </c>
      <c r="B49" s="147">
        <v>1589</v>
      </c>
      <c r="C49" s="197" t="s">
        <v>6403</v>
      </c>
      <c r="D49" s="212"/>
      <c r="E49" s="188"/>
      <c r="F49" s="169"/>
      <c r="G49" s="188" t="s">
        <v>17060</v>
      </c>
      <c r="H49" s="205">
        <v>167</v>
      </c>
      <c r="I49" s="171" t="s">
        <v>0</v>
      </c>
      <c r="J49" s="160" t="s">
        <v>17054</v>
      </c>
      <c r="K49" s="160"/>
      <c r="L49" s="161"/>
      <c r="M49" s="162"/>
      <c r="N49" s="163"/>
      <c r="O49" s="164"/>
      <c r="P49" s="170"/>
      <c r="Q49" s="171"/>
      <c r="R49" s="225">
        <v>176</v>
      </c>
      <c r="S49" s="172"/>
    </row>
    <row r="50" spans="1:19" ht="16.5" customHeight="1" x14ac:dyDescent="0.3">
      <c r="A50" s="147">
        <v>15</v>
      </c>
      <c r="B50" s="147">
        <v>1590</v>
      </c>
      <c r="C50" s="197" t="s">
        <v>6402</v>
      </c>
      <c r="D50" s="212"/>
      <c r="E50" s="188"/>
      <c r="F50" s="169"/>
      <c r="G50" s="167"/>
      <c r="H50" s="150"/>
      <c r="I50" s="168"/>
      <c r="J50" s="150" t="s">
        <v>17053</v>
      </c>
      <c r="K50" s="150" t="s">
        <v>1</v>
      </c>
      <c r="L50" s="151">
        <v>0.7</v>
      </c>
      <c r="M50" s="162" t="s">
        <v>5895</v>
      </c>
      <c r="N50" s="163" t="s">
        <v>1</v>
      </c>
      <c r="O50" s="164">
        <v>1</v>
      </c>
      <c r="P50" s="170"/>
      <c r="Q50" s="171"/>
      <c r="R50" s="225">
        <v>176</v>
      </c>
      <c r="S50" s="172"/>
    </row>
    <row r="51" spans="1:19" ht="16.5" customHeight="1" x14ac:dyDescent="0.3">
      <c r="A51" s="147">
        <v>15</v>
      </c>
      <c r="B51" s="147">
        <v>1591</v>
      </c>
      <c r="C51" s="197" t="s">
        <v>6401</v>
      </c>
      <c r="D51" s="212"/>
      <c r="E51" s="188"/>
      <c r="F51" s="169"/>
      <c r="G51" s="156" t="s">
        <v>17066</v>
      </c>
      <c r="H51" s="160"/>
      <c r="I51" s="158"/>
      <c r="J51" s="160"/>
      <c r="K51" s="160"/>
      <c r="L51" s="161"/>
      <c r="M51" s="162"/>
      <c r="N51" s="163"/>
      <c r="O51" s="164"/>
      <c r="P51" s="170"/>
      <c r="Q51" s="171"/>
      <c r="R51" s="225">
        <v>377</v>
      </c>
      <c r="S51" s="172"/>
    </row>
    <row r="52" spans="1:19" ht="16.5" customHeight="1" x14ac:dyDescent="0.3">
      <c r="A52" s="147">
        <v>15</v>
      </c>
      <c r="B52" s="147">
        <v>1592</v>
      </c>
      <c r="C52" s="197" t="s">
        <v>6400</v>
      </c>
      <c r="D52" s="212"/>
      <c r="E52" s="188"/>
      <c r="F52" s="169"/>
      <c r="G52" s="188" t="s">
        <v>16871</v>
      </c>
      <c r="H52" s="153"/>
      <c r="I52" s="171"/>
      <c r="J52" s="150"/>
      <c r="K52" s="150"/>
      <c r="L52" s="151"/>
      <c r="M52" s="162" t="s">
        <v>5895</v>
      </c>
      <c r="N52" s="163" t="s">
        <v>1</v>
      </c>
      <c r="O52" s="164">
        <v>1</v>
      </c>
      <c r="P52" s="170"/>
      <c r="Q52" s="171"/>
      <c r="R52" s="225">
        <v>377</v>
      </c>
      <c r="S52" s="172"/>
    </row>
    <row r="53" spans="1:19" ht="16.5" customHeight="1" x14ac:dyDescent="0.3">
      <c r="A53" s="147">
        <v>15</v>
      </c>
      <c r="B53" s="147">
        <v>1593</v>
      </c>
      <c r="C53" s="197" t="s">
        <v>6399</v>
      </c>
      <c r="D53" s="212"/>
      <c r="E53" s="188"/>
      <c r="F53" s="169"/>
      <c r="G53" s="188" t="s">
        <v>17065</v>
      </c>
      <c r="H53" s="205">
        <v>251</v>
      </c>
      <c r="I53" s="171" t="s">
        <v>0</v>
      </c>
      <c r="J53" s="160" t="s">
        <v>16823</v>
      </c>
      <c r="K53" s="160"/>
      <c r="L53" s="161"/>
      <c r="M53" s="162"/>
      <c r="N53" s="163"/>
      <c r="O53" s="164"/>
      <c r="P53" s="170"/>
      <c r="Q53" s="171"/>
      <c r="R53" s="225">
        <v>264</v>
      </c>
      <c r="S53" s="172"/>
    </row>
    <row r="54" spans="1:19" ht="16.5" customHeight="1" x14ac:dyDescent="0.3">
      <c r="A54" s="147">
        <v>15</v>
      </c>
      <c r="B54" s="147">
        <v>1594</v>
      </c>
      <c r="C54" s="197" t="s">
        <v>6398</v>
      </c>
      <c r="D54" s="212"/>
      <c r="E54" s="167"/>
      <c r="F54" s="169"/>
      <c r="G54" s="167"/>
      <c r="H54" s="150"/>
      <c r="I54" s="168"/>
      <c r="J54" s="150" t="s">
        <v>17053</v>
      </c>
      <c r="K54" s="150" t="s">
        <v>1</v>
      </c>
      <c r="L54" s="151">
        <v>0.7</v>
      </c>
      <c r="M54" s="162" t="s">
        <v>5895</v>
      </c>
      <c r="N54" s="163" t="s">
        <v>1</v>
      </c>
      <c r="O54" s="164">
        <v>1</v>
      </c>
      <c r="P54" s="170"/>
      <c r="Q54" s="171"/>
      <c r="R54" s="225">
        <v>264</v>
      </c>
      <c r="S54" s="172"/>
    </row>
    <row r="55" spans="1:19" ht="16.5" customHeight="1" x14ac:dyDescent="0.3">
      <c r="A55" s="147">
        <v>15</v>
      </c>
      <c r="B55" s="147">
        <v>1595</v>
      </c>
      <c r="C55" s="197" t="s">
        <v>6397</v>
      </c>
      <c r="D55" s="212"/>
      <c r="E55" s="156" t="s">
        <v>17064</v>
      </c>
      <c r="F55" s="169"/>
      <c r="G55" s="156" t="s">
        <v>17058</v>
      </c>
      <c r="H55" s="160"/>
      <c r="I55" s="158"/>
      <c r="J55" s="160"/>
      <c r="K55" s="160"/>
      <c r="L55" s="161"/>
      <c r="M55" s="162"/>
      <c r="N55" s="163"/>
      <c r="O55" s="164"/>
      <c r="P55" s="170"/>
      <c r="Q55" s="171"/>
      <c r="R55" s="225">
        <v>126</v>
      </c>
      <c r="S55" s="172"/>
    </row>
    <row r="56" spans="1:19" ht="16.5" customHeight="1" x14ac:dyDescent="0.3">
      <c r="A56" s="147">
        <v>15</v>
      </c>
      <c r="B56" s="147">
        <v>1596</v>
      </c>
      <c r="C56" s="197" t="s">
        <v>6396</v>
      </c>
      <c r="D56" s="212"/>
      <c r="E56" s="188" t="s">
        <v>17063</v>
      </c>
      <c r="F56" s="169"/>
      <c r="G56" s="188" t="s">
        <v>17056</v>
      </c>
      <c r="H56" s="153"/>
      <c r="I56" s="171"/>
      <c r="J56" s="150"/>
      <c r="K56" s="150"/>
      <c r="L56" s="151"/>
      <c r="M56" s="162" t="s">
        <v>5895</v>
      </c>
      <c r="N56" s="163" t="s">
        <v>1</v>
      </c>
      <c r="O56" s="164">
        <v>1</v>
      </c>
      <c r="P56" s="170"/>
      <c r="Q56" s="171"/>
      <c r="R56" s="225">
        <v>126</v>
      </c>
      <c r="S56" s="172"/>
    </row>
    <row r="57" spans="1:19" ht="16.5" customHeight="1" x14ac:dyDescent="0.3">
      <c r="A57" s="147">
        <v>15</v>
      </c>
      <c r="B57" s="147">
        <v>1597</v>
      </c>
      <c r="C57" s="197" t="s">
        <v>6395</v>
      </c>
      <c r="D57" s="212"/>
      <c r="E57" s="188" t="s">
        <v>17062</v>
      </c>
      <c r="F57" s="169"/>
      <c r="G57" s="188"/>
      <c r="H57" s="205">
        <v>84</v>
      </c>
      <c r="I57" s="171" t="s">
        <v>0</v>
      </c>
      <c r="J57" s="160" t="s">
        <v>17054</v>
      </c>
      <c r="K57" s="160"/>
      <c r="L57" s="161"/>
      <c r="M57" s="162"/>
      <c r="N57" s="163"/>
      <c r="O57" s="164"/>
      <c r="P57" s="170"/>
      <c r="Q57" s="171"/>
      <c r="R57" s="225">
        <v>89</v>
      </c>
      <c r="S57" s="172"/>
    </row>
    <row r="58" spans="1:19" ht="16.5" customHeight="1" x14ac:dyDescent="0.3">
      <c r="A58" s="147">
        <v>15</v>
      </c>
      <c r="B58" s="147">
        <v>1598</v>
      </c>
      <c r="C58" s="197" t="s">
        <v>6394</v>
      </c>
      <c r="D58" s="212"/>
      <c r="E58" s="188"/>
      <c r="F58" s="169"/>
      <c r="G58" s="167"/>
      <c r="H58" s="150"/>
      <c r="I58" s="168"/>
      <c r="J58" s="150" t="s">
        <v>17053</v>
      </c>
      <c r="K58" s="150" t="s">
        <v>1</v>
      </c>
      <c r="L58" s="151">
        <v>0.7</v>
      </c>
      <c r="M58" s="162" t="s">
        <v>5895</v>
      </c>
      <c r="N58" s="163" t="s">
        <v>1</v>
      </c>
      <c r="O58" s="164">
        <v>1</v>
      </c>
      <c r="P58" s="170"/>
      <c r="Q58" s="171"/>
      <c r="R58" s="225">
        <v>89</v>
      </c>
      <c r="S58" s="172"/>
    </row>
    <row r="59" spans="1:19" ht="16.5" customHeight="1" x14ac:dyDescent="0.3">
      <c r="A59" s="147">
        <v>15</v>
      </c>
      <c r="B59" s="147">
        <v>1599</v>
      </c>
      <c r="C59" s="197" t="s">
        <v>6393</v>
      </c>
      <c r="D59" s="212"/>
      <c r="E59" s="188"/>
      <c r="F59" s="169"/>
      <c r="G59" s="156" t="s">
        <v>17061</v>
      </c>
      <c r="H59" s="160"/>
      <c r="I59" s="158"/>
      <c r="J59" s="160"/>
      <c r="K59" s="160"/>
      <c r="L59" s="161"/>
      <c r="M59" s="162"/>
      <c r="N59" s="163"/>
      <c r="O59" s="164"/>
      <c r="P59" s="170"/>
      <c r="Q59" s="171"/>
      <c r="R59" s="225">
        <v>252</v>
      </c>
      <c r="S59" s="172"/>
    </row>
    <row r="60" spans="1:19" ht="16.5" customHeight="1" x14ac:dyDescent="0.3">
      <c r="A60" s="147">
        <v>15</v>
      </c>
      <c r="B60" s="147">
        <v>1600</v>
      </c>
      <c r="C60" s="197" t="s">
        <v>6392</v>
      </c>
      <c r="D60" s="212"/>
      <c r="E60" s="188"/>
      <c r="F60" s="169"/>
      <c r="G60" s="188" t="s">
        <v>16874</v>
      </c>
      <c r="H60" s="153"/>
      <c r="I60" s="171"/>
      <c r="J60" s="150"/>
      <c r="K60" s="150"/>
      <c r="L60" s="151"/>
      <c r="M60" s="162" t="s">
        <v>5895</v>
      </c>
      <c r="N60" s="163" t="s">
        <v>1</v>
      </c>
      <c r="O60" s="164">
        <v>1</v>
      </c>
      <c r="P60" s="170"/>
      <c r="Q60" s="171"/>
      <c r="R60" s="225">
        <v>252</v>
      </c>
      <c r="S60" s="172"/>
    </row>
    <row r="61" spans="1:19" ht="16.5" customHeight="1" x14ac:dyDescent="0.3">
      <c r="A61" s="147">
        <v>15</v>
      </c>
      <c r="B61" s="147">
        <v>1601</v>
      </c>
      <c r="C61" s="197" t="s">
        <v>6391</v>
      </c>
      <c r="D61" s="212"/>
      <c r="E61" s="188"/>
      <c r="F61" s="169"/>
      <c r="G61" s="188" t="s">
        <v>17060</v>
      </c>
      <c r="H61" s="205">
        <v>168</v>
      </c>
      <c r="I61" s="171" t="s">
        <v>0</v>
      </c>
      <c r="J61" s="160" t="s">
        <v>17054</v>
      </c>
      <c r="K61" s="160"/>
      <c r="L61" s="161"/>
      <c r="M61" s="162"/>
      <c r="N61" s="163"/>
      <c r="O61" s="164"/>
      <c r="P61" s="170"/>
      <c r="Q61" s="171"/>
      <c r="R61" s="225">
        <v>177</v>
      </c>
      <c r="S61" s="172"/>
    </row>
    <row r="62" spans="1:19" ht="16.5" customHeight="1" x14ac:dyDescent="0.3">
      <c r="A62" s="147">
        <v>15</v>
      </c>
      <c r="B62" s="147">
        <v>1602</v>
      </c>
      <c r="C62" s="197" t="s">
        <v>6390</v>
      </c>
      <c r="D62" s="212"/>
      <c r="E62" s="167"/>
      <c r="F62" s="169"/>
      <c r="G62" s="167"/>
      <c r="H62" s="150"/>
      <c r="I62" s="168"/>
      <c r="J62" s="150" t="s">
        <v>17053</v>
      </c>
      <c r="K62" s="150" t="s">
        <v>1</v>
      </c>
      <c r="L62" s="151">
        <v>0.7</v>
      </c>
      <c r="M62" s="162" t="s">
        <v>5895</v>
      </c>
      <c r="N62" s="163" t="s">
        <v>1</v>
      </c>
      <c r="O62" s="164">
        <v>1</v>
      </c>
      <c r="P62" s="170"/>
      <c r="Q62" s="171"/>
      <c r="R62" s="225">
        <v>177</v>
      </c>
      <c r="S62" s="172"/>
    </row>
    <row r="63" spans="1:19" ht="16.5" customHeight="1" x14ac:dyDescent="0.3">
      <c r="A63" s="147">
        <v>15</v>
      </c>
      <c r="B63" s="147">
        <v>1603</v>
      </c>
      <c r="C63" s="197" t="s">
        <v>6389</v>
      </c>
      <c r="D63" s="212"/>
      <c r="E63" s="156" t="s">
        <v>17059</v>
      </c>
      <c r="F63" s="169"/>
      <c r="G63" s="156" t="s">
        <v>17058</v>
      </c>
      <c r="H63" s="160"/>
      <c r="I63" s="158"/>
      <c r="J63" s="160"/>
      <c r="K63" s="160"/>
      <c r="L63" s="161"/>
      <c r="M63" s="162"/>
      <c r="N63" s="163"/>
      <c r="O63" s="164"/>
      <c r="P63" s="170"/>
      <c r="Q63" s="171"/>
      <c r="R63" s="225">
        <v>126</v>
      </c>
      <c r="S63" s="172"/>
    </row>
    <row r="64" spans="1:19" ht="16.5" customHeight="1" x14ac:dyDescent="0.3">
      <c r="A64" s="147">
        <v>15</v>
      </c>
      <c r="B64" s="147">
        <v>1604</v>
      </c>
      <c r="C64" s="197" t="s">
        <v>6388</v>
      </c>
      <c r="D64" s="212"/>
      <c r="E64" s="188" t="s">
        <v>17057</v>
      </c>
      <c r="F64" s="169"/>
      <c r="G64" s="188" t="s">
        <v>17056</v>
      </c>
      <c r="H64" s="153"/>
      <c r="I64" s="171"/>
      <c r="J64" s="150"/>
      <c r="K64" s="150"/>
      <c r="L64" s="151"/>
      <c r="M64" s="162" t="s">
        <v>5895</v>
      </c>
      <c r="N64" s="163" t="s">
        <v>1</v>
      </c>
      <c r="O64" s="164">
        <v>1</v>
      </c>
      <c r="P64" s="170"/>
      <c r="Q64" s="171"/>
      <c r="R64" s="225">
        <v>126</v>
      </c>
      <c r="S64" s="172"/>
    </row>
    <row r="65" spans="1:19" ht="16.5" customHeight="1" x14ac:dyDescent="0.3">
      <c r="A65" s="147">
        <v>15</v>
      </c>
      <c r="B65" s="147">
        <v>1605</v>
      </c>
      <c r="C65" s="197" t="s">
        <v>6387</v>
      </c>
      <c r="D65" s="212"/>
      <c r="E65" s="188" t="s">
        <v>17055</v>
      </c>
      <c r="F65" s="169"/>
      <c r="G65" s="188"/>
      <c r="H65" s="205">
        <v>84</v>
      </c>
      <c r="I65" s="171" t="s">
        <v>0</v>
      </c>
      <c r="J65" s="160" t="s">
        <v>17054</v>
      </c>
      <c r="K65" s="160"/>
      <c r="L65" s="161"/>
      <c r="M65" s="162"/>
      <c r="N65" s="163"/>
      <c r="O65" s="164"/>
      <c r="P65" s="170"/>
      <c r="Q65" s="171"/>
      <c r="R65" s="225">
        <v>89</v>
      </c>
      <c r="S65" s="172"/>
    </row>
    <row r="66" spans="1:19" ht="16.5" customHeight="1" x14ac:dyDescent="0.3">
      <c r="A66" s="147">
        <v>15</v>
      </c>
      <c r="B66" s="147">
        <v>1606</v>
      </c>
      <c r="C66" s="197" t="s">
        <v>6386</v>
      </c>
      <c r="D66" s="213"/>
      <c r="E66" s="167"/>
      <c r="F66" s="175"/>
      <c r="G66" s="167"/>
      <c r="H66" s="150"/>
      <c r="I66" s="168"/>
      <c r="J66" s="150" t="s">
        <v>17053</v>
      </c>
      <c r="K66" s="150" t="s">
        <v>1</v>
      </c>
      <c r="L66" s="151">
        <v>0.7</v>
      </c>
      <c r="M66" s="162" t="s">
        <v>5895</v>
      </c>
      <c r="N66" s="163" t="s">
        <v>1</v>
      </c>
      <c r="O66" s="164">
        <v>1</v>
      </c>
      <c r="P66" s="176"/>
      <c r="Q66" s="168"/>
      <c r="R66" s="225">
        <v>89</v>
      </c>
      <c r="S66" s="177"/>
    </row>
    <row r="67" spans="1:19" ht="16.5" customHeight="1" x14ac:dyDescent="0.3"/>
    <row r="68" spans="1:19" ht="16.5" customHeight="1" x14ac:dyDescent="0.3"/>
  </sheetData>
  <mergeCells count="2">
    <mergeCell ref="D7:D10"/>
    <mergeCell ref="F7:F10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0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1" tint="0.249977111117893"/>
    <pageSetUpPr fitToPage="1"/>
  </sheetPr>
  <dimension ref="A1:X84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734375" style="45" bestFit="1" customWidth="1"/>
    <col min="5" max="5" width="4.1015625" style="46" bestFit="1" customWidth="1"/>
    <col min="6" max="6" width="4.734375" style="46" bestFit="1" customWidth="1"/>
    <col min="7" max="7" width="12.734375" style="45" bestFit="1" customWidth="1"/>
    <col min="8" max="8" width="4.1015625" style="46" bestFit="1" customWidth="1"/>
    <col min="9" max="9" width="4.734375" style="46" bestFit="1" customWidth="1"/>
    <col min="10" max="10" width="12.734375" style="45" bestFit="1" customWidth="1"/>
    <col min="11" max="11" width="4.1015625" style="46" bestFit="1" customWidth="1"/>
    <col min="12" max="12" width="4.734375" style="46" bestFit="1" customWidth="1"/>
    <col min="13" max="13" width="18.62890625" style="46" customWidth="1"/>
    <col min="14" max="14" width="3.1015625" style="46" bestFit="1" customWidth="1"/>
    <col min="15" max="15" width="4.1015625" style="47" bestFit="1" customWidth="1"/>
    <col min="16" max="16" width="28.62890625" style="46" customWidth="1"/>
    <col min="17" max="17" width="3.1015625" style="46" bestFit="1" customWidth="1"/>
    <col min="18" max="18" width="5" style="47" bestFit="1" customWidth="1"/>
    <col min="19" max="19" width="2.62890625" style="47" customWidth="1"/>
    <col min="20" max="20" width="4.734375" style="46" bestFit="1" customWidth="1"/>
    <col min="21" max="21" width="2.62890625" style="47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5"/>
      <c r="T1" s="134"/>
      <c r="U1" s="135"/>
      <c r="V1" s="134"/>
      <c r="W1" s="136"/>
      <c r="X1" s="137"/>
    </row>
    <row r="2" spans="1:24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5"/>
      <c r="T2" s="134"/>
      <c r="U2" s="135"/>
      <c r="V2" s="134"/>
      <c r="W2" s="136"/>
      <c r="X2" s="137"/>
    </row>
    <row r="3" spans="1:24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5"/>
      <c r="T3" s="134"/>
      <c r="U3" s="135"/>
      <c r="V3" s="134"/>
      <c r="W3" s="136"/>
      <c r="X3" s="137"/>
    </row>
    <row r="4" spans="1:24" ht="16.5" customHeight="1" x14ac:dyDescent="0.3">
      <c r="A4" s="132"/>
      <c r="B4" s="138" t="s">
        <v>6524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5"/>
      <c r="T4" s="134"/>
      <c r="U4" s="135"/>
      <c r="V4" s="134"/>
      <c r="W4" s="136"/>
      <c r="X4" s="137"/>
    </row>
    <row r="5" spans="1:2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5"/>
      <c r="T5" s="144"/>
      <c r="U5" s="145"/>
      <c r="V5" s="144"/>
      <c r="W5" s="146" t="s">
        <v>5869</v>
      </c>
      <c r="X5" s="146" t="s">
        <v>5871</v>
      </c>
    </row>
    <row r="6" spans="1:24" ht="16.5" customHeight="1" x14ac:dyDescent="0.3">
      <c r="A6" s="147" t="s">
        <v>5865</v>
      </c>
      <c r="B6" s="147" t="s">
        <v>5866</v>
      </c>
      <c r="C6" s="148"/>
      <c r="D6" s="208" t="s">
        <v>5872</v>
      </c>
      <c r="E6" s="144"/>
      <c r="F6" s="206"/>
      <c r="G6" s="208" t="s">
        <v>17104</v>
      </c>
      <c r="H6" s="144"/>
      <c r="I6" s="206"/>
      <c r="J6" s="187"/>
      <c r="K6" s="153"/>
      <c r="L6" s="153"/>
      <c r="M6" s="150"/>
      <c r="N6" s="150"/>
      <c r="O6" s="151"/>
      <c r="P6" s="150"/>
      <c r="Q6" s="150"/>
      <c r="R6" s="151"/>
      <c r="S6" s="151"/>
      <c r="T6" s="150"/>
      <c r="U6" s="151"/>
      <c r="V6" s="150"/>
      <c r="W6" s="154" t="s">
        <v>5870</v>
      </c>
      <c r="X6" s="154" t="s">
        <v>0</v>
      </c>
    </row>
    <row r="7" spans="1:24" ht="16.5" customHeight="1" x14ac:dyDescent="0.3">
      <c r="A7" s="147">
        <v>15</v>
      </c>
      <c r="B7" s="147">
        <v>1607</v>
      </c>
      <c r="C7" s="197" t="s">
        <v>6523</v>
      </c>
      <c r="D7" s="156" t="s">
        <v>17103</v>
      </c>
      <c r="E7" s="144"/>
      <c r="F7" s="206"/>
      <c r="G7" s="156" t="s">
        <v>17082</v>
      </c>
      <c r="H7" s="144"/>
      <c r="I7" s="206"/>
      <c r="J7" s="156" t="s">
        <v>17081</v>
      </c>
      <c r="K7" s="144"/>
      <c r="L7" s="206"/>
      <c r="M7" s="160"/>
      <c r="N7" s="160"/>
      <c r="O7" s="161"/>
      <c r="P7" s="162"/>
      <c r="Q7" s="163"/>
      <c r="R7" s="164"/>
      <c r="S7" s="165"/>
      <c r="T7" s="158"/>
      <c r="U7" s="165"/>
      <c r="V7" s="158"/>
      <c r="W7" s="178">
        <v>991</v>
      </c>
      <c r="X7" s="142" t="s">
        <v>5863</v>
      </c>
    </row>
    <row r="8" spans="1:24" ht="16.5" customHeight="1" x14ac:dyDescent="0.3">
      <c r="A8" s="147">
        <v>15</v>
      </c>
      <c r="B8" s="147">
        <v>1608</v>
      </c>
      <c r="C8" s="197" t="s">
        <v>6522</v>
      </c>
      <c r="D8" s="188" t="s">
        <v>17079</v>
      </c>
      <c r="E8" s="210"/>
      <c r="F8" s="211"/>
      <c r="G8" s="188" t="s">
        <v>17088</v>
      </c>
      <c r="H8" s="210"/>
      <c r="I8" s="211"/>
      <c r="J8" s="188" t="s">
        <v>17079</v>
      </c>
      <c r="K8" s="153"/>
      <c r="L8" s="171"/>
      <c r="M8" s="150"/>
      <c r="N8" s="150"/>
      <c r="O8" s="151"/>
      <c r="P8" s="162" t="s">
        <v>5895</v>
      </c>
      <c r="Q8" s="163" t="s">
        <v>1</v>
      </c>
      <c r="R8" s="164">
        <v>1</v>
      </c>
      <c r="S8" s="170"/>
      <c r="T8" s="171"/>
      <c r="U8" s="170"/>
      <c r="V8" s="171"/>
      <c r="W8" s="178">
        <v>991</v>
      </c>
      <c r="X8" s="172"/>
    </row>
    <row r="9" spans="1:24" ht="16.5" customHeight="1" x14ac:dyDescent="0.3">
      <c r="A9" s="147">
        <v>15</v>
      </c>
      <c r="B9" s="147">
        <v>1609</v>
      </c>
      <c r="C9" s="197" t="s">
        <v>6521</v>
      </c>
      <c r="D9" s="188"/>
      <c r="E9" s="205">
        <v>257</v>
      </c>
      <c r="F9" s="171" t="s">
        <v>0</v>
      </c>
      <c r="G9" s="188" t="s">
        <v>17087</v>
      </c>
      <c r="H9" s="205">
        <v>417</v>
      </c>
      <c r="I9" s="171" t="s">
        <v>0</v>
      </c>
      <c r="J9" s="188"/>
      <c r="K9" s="205">
        <v>84</v>
      </c>
      <c r="L9" s="171" t="s">
        <v>0</v>
      </c>
      <c r="M9" s="160" t="s">
        <v>17078</v>
      </c>
      <c r="N9" s="160"/>
      <c r="O9" s="161"/>
      <c r="P9" s="162"/>
      <c r="Q9" s="163"/>
      <c r="R9" s="164"/>
      <c r="S9" s="170"/>
      <c r="T9" s="171"/>
      <c r="U9" s="170"/>
      <c r="V9" s="171"/>
      <c r="W9" s="178">
        <v>694</v>
      </c>
      <c r="X9" s="172"/>
    </row>
    <row r="10" spans="1:24" ht="16.5" customHeight="1" x14ac:dyDescent="0.3">
      <c r="A10" s="147">
        <v>15</v>
      </c>
      <c r="B10" s="147">
        <v>1610</v>
      </c>
      <c r="C10" s="197" t="s">
        <v>6520</v>
      </c>
      <c r="D10" s="188"/>
      <c r="E10" s="153"/>
      <c r="F10" s="171"/>
      <c r="G10" s="188"/>
      <c r="H10" s="153"/>
      <c r="I10" s="171"/>
      <c r="J10" s="167"/>
      <c r="K10" s="150"/>
      <c r="L10" s="168"/>
      <c r="M10" s="150" t="s">
        <v>17077</v>
      </c>
      <c r="N10" s="150" t="s">
        <v>1</v>
      </c>
      <c r="O10" s="151">
        <v>0.7</v>
      </c>
      <c r="P10" s="162" t="s">
        <v>5895</v>
      </c>
      <c r="Q10" s="163" t="s">
        <v>1</v>
      </c>
      <c r="R10" s="164">
        <v>1</v>
      </c>
      <c r="S10" s="170"/>
      <c r="T10" s="171"/>
      <c r="U10" s="170"/>
      <c r="V10" s="171"/>
      <c r="W10" s="178">
        <v>694</v>
      </c>
      <c r="X10" s="172"/>
    </row>
    <row r="11" spans="1:24" ht="16.5" customHeight="1" x14ac:dyDescent="0.3">
      <c r="A11" s="147">
        <v>15</v>
      </c>
      <c r="B11" s="147">
        <v>1611</v>
      </c>
      <c r="C11" s="197" t="s">
        <v>6519</v>
      </c>
      <c r="D11" s="188"/>
      <c r="E11" s="153"/>
      <c r="F11" s="171"/>
      <c r="G11" s="188"/>
      <c r="H11" s="153"/>
      <c r="I11" s="171"/>
      <c r="J11" s="156" t="s">
        <v>17086</v>
      </c>
      <c r="K11" s="160"/>
      <c r="L11" s="158"/>
      <c r="M11" s="160"/>
      <c r="N11" s="160"/>
      <c r="O11" s="161"/>
      <c r="P11" s="162"/>
      <c r="Q11" s="163"/>
      <c r="R11" s="164"/>
      <c r="S11" s="170"/>
      <c r="T11" s="171"/>
      <c r="U11" s="170"/>
      <c r="V11" s="171"/>
      <c r="W11" s="178">
        <v>1075</v>
      </c>
      <c r="X11" s="172"/>
    </row>
    <row r="12" spans="1:24" ht="16.5" customHeight="1" x14ac:dyDescent="0.3">
      <c r="A12" s="147">
        <v>15</v>
      </c>
      <c r="B12" s="147">
        <v>1612</v>
      </c>
      <c r="C12" s="197" t="s">
        <v>6518</v>
      </c>
      <c r="D12" s="188"/>
      <c r="E12" s="153"/>
      <c r="F12" s="171"/>
      <c r="G12" s="188"/>
      <c r="H12" s="153"/>
      <c r="I12" s="171"/>
      <c r="J12" s="188" t="s">
        <v>17085</v>
      </c>
      <c r="K12" s="153"/>
      <c r="L12" s="171"/>
      <c r="M12" s="150"/>
      <c r="N12" s="150"/>
      <c r="O12" s="151"/>
      <c r="P12" s="162" t="s">
        <v>5895</v>
      </c>
      <c r="Q12" s="163" t="s">
        <v>1</v>
      </c>
      <c r="R12" s="164">
        <v>1</v>
      </c>
      <c r="S12" s="170" t="s">
        <v>17102</v>
      </c>
      <c r="T12" s="171"/>
      <c r="U12" s="170" t="s">
        <v>17101</v>
      </c>
      <c r="V12" s="171"/>
      <c r="W12" s="178">
        <v>1075</v>
      </c>
      <c r="X12" s="172"/>
    </row>
    <row r="13" spans="1:24" ht="16.5" customHeight="1" x14ac:dyDescent="0.3">
      <c r="A13" s="147">
        <v>15</v>
      </c>
      <c r="B13" s="147">
        <v>1613</v>
      </c>
      <c r="C13" s="197" t="s">
        <v>6517</v>
      </c>
      <c r="D13" s="188"/>
      <c r="E13" s="153"/>
      <c r="F13" s="171"/>
      <c r="G13" s="188"/>
      <c r="H13" s="153"/>
      <c r="I13" s="171"/>
      <c r="J13" s="188" t="s">
        <v>17084</v>
      </c>
      <c r="K13" s="205">
        <v>168</v>
      </c>
      <c r="L13" s="171" t="s">
        <v>0</v>
      </c>
      <c r="M13" s="160" t="s">
        <v>17078</v>
      </c>
      <c r="N13" s="160"/>
      <c r="O13" s="161"/>
      <c r="P13" s="162"/>
      <c r="Q13" s="163"/>
      <c r="R13" s="164"/>
      <c r="S13" s="170"/>
      <c r="T13" s="174" t="s">
        <v>17100</v>
      </c>
      <c r="U13" s="170"/>
      <c r="V13" s="174" t="s">
        <v>17099</v>
      </c>
      <c r="W13" s="178">
        <v>753</v>
      </c>
      <c r="X13" s="172"/>
    </row>
    <row r="14" spans="1:24" ht="16.5" customHeight="1" x14ac:dyDescent="0.3">
      <c r="A14" s="147">
        <v>15</v>
      </c>
      <c r="B14" s="147">
        <v>1614</v>
      </c>
      <c r="C14" s="197" t="s">
        <v>6516</v>
      </c>
      <c r="D14" s="167"/>
      <c r="E14" s="150"/>
      <c r="F14" s="168"/>
      <c r="G14" s="167"/>
      <c r="H14" s="150"/>
      <c r="I14" s="168"/>
      <c r="J14" s="167"/>
      <c r="K14" s="150"/>
      <c r="L14" s="168"/>
      <c r="M14" s="150" t="s">
        <v>17077</v>
      </c>
      <c r="N14" s="150" t="s">
        <v>1</v>
      </c>
      <c r="O14" s="151">
        <v>0.7</v>
      </c>
      <c r="P14" s="162" t="s">
        <v>5895</v>
      </c>
      <c r="Q14" s="163" t="s">
        <v>1</v>
      </c>
      <c r="R14" s="164">
        <v>1</v>
      </c>
      <c r="S14" s="170"/>
      <c r="T14" s="171"/>
      <c r="U14" s="170"/>
      <c r="V14" s="171"/>
      <c r="W14" s="178">
        <v>753</v>
      </c>
      <c r="X14" s="172"/>
    </row>
    <row r="15" spans="1:24" ht="16.5" customHeight="1" x14ac:dyDescent="0.3">
      <c r="A15" s="147">
        <v>15</v>
      </c>
      <c r="B15" s="147">
        <v>1615</v>
      </c>
      <c r="C15" s="197" t="s">
        <v>6515</v>
      </c>
      <c r="D15" s="156" t="s">
        <v>17098</v>
      </c>
      <c r="E15" s="160"/>
      <c r="F15" s="158"/>
      <c r="G15" s="156" t="s">
        <v>17082</v>
      </c>
      <c r="H15" s="160"/>
      <c r="I15" s="158"/>
      <c r="J15" s="156" t="s">
        <v>17081</v>
      </c>
      <c r="K15" s="160"/>
      <c r="L15" s="158"/>
      <c r="M15" s="160"/>
      <c r="N15" s="160"/>
      <c r="O15" s="161"/>
      <c r="P15" s="162"/>
      <c r="Q15" s="163"/>
      <c r="R15" s="164"/>
      <c r="S15" s="170" t="s">
        <v>1</v>
      </c>
      <c r="T15" s="192">
        <v>0.5</v>
      </c>
      <c r="U15" s="170" t="s">
        <v>1</v>
      </c>
      <c r="V15" s="192">
        <v>0.25</v>
      </c>
      <c r="W15" s="178">
        <v>1133</v>
      </c>
      <c r="X15" s="172"/>
    </row>
    <row r="16" spans="1:24" ht="16.5" customHeight="1" x14ac:dyDescent="0.3">
      <c r="A16" s="147">
        <v>15</v>
      </c>
      <c r="B16" s="147">
        <v>1616</v>
      </c>
      <c r="C16" s="197" t="s">
        <v>6514</v>
      </c>
      <c r="D16" s="188" t="s">
        <v>17085</v>
      </c>
      <c r="E16" s="153"/>
      <c r="F16" s="171"/>
      <c r="G16" s="188" t="s">
        <v>17088</v>
      </c>
      <c r="H16" s="153"/>
      <c r="I16" s="171"/>
      <c r="J16" s="188" t="s">
        <v>17079</v>
      </c>
      <c r="K16" s="153"/>
      <c r="L16" s="171"/>
      <c r="M16" s="150"/>
      <c r="N16" s="150"/>
      <c r="O16" s="151"/>
      <c r="P16" s="162" t="s">
        <v>5895</v>
      </c>
      <c r="Q16" s="163" t="s">
        <v>1</v>
      </c>
      <c r="R16" s="164">
        <v>1</v>
      </c>
      <c r="S16" s="170"/>
      <c r="T16" s="174" t="s">
        <v>422</v>
      </c>
      <c r="U16" s="170"/>
      <c r="V16" s="174" t="s">
        <v>422</v>
      </c>
      <c r="W16" s="178">
        <v>1133</v>
      </c>
      <c r="X16" s="172"/>
    </row>
    <row r="17" spans="1:24" ht="16.5" customHeight="1" x14ac:dyDescent="0.3">
      <c r="A17" s="147">
        <v>15</v>
      </c>
      <c r="B17" s="147">
        <v>1617</v>
      </c>
      <c r="C17" s="197" t="s">
        <v>6513</v>
      </c>
      <c r="D17" s="188" t="s">
        <v>17084</v>
      </c>
      <c r="E17" s="205">
        <v>406</v>
      </c>
      <c r="F17" s="171" t="s">
        <v>0</v>
      </c>
      <c r="G17" s="188" t="s">
        <v>17087</v>
      </c>
      <c r="H17" s="205">
        <v>352</v>
      </c>
      <c r="I17" s="171" t="s">
        <v>0</v>
      </c>
      <c r="J17" s="188"/>
      <c r="K17" s="205">
        <v>84</v>
      </c>
      <c r="L17" s="171" t="s">
        <v>0</v>
      </c>
      <c r="M17" s="160" t="s">
        <v>17078</v>
      </c>
      <c r="N17" s="160"/>
      <c r="O17" s="161"/>
      <c r="P17" s="162"/>
      <c r="Q17" s="163"/>
      <c r="R17" s="164"/>
      <c r="S17" s="170"/>
      <c r="T17" s="171"/>
      <c r="U17" s="170"/>
      <c r="V17" s="171"/>
      <c r="W17" s="178">
        <v>793</v>
      </c>
      <c r="X17" s="172"/>
    </row>
    <row r="18" spans="1:24" ht="16.5" customHeight="1" x14ac:dyDescent="0.3">
      <c r="A18" s="147">
        <v>15</v>
      </c>
      <c r="B18" s="147">
        <v>1618</v>
      </c>
      <c r="C18" s="197" t="s">
        <v>6512</v>
      </c>
      <c r="D18" s="167"/>
      <c r="E18" s="150"/>
      <c r="F18" s="168"/>
      <c r="G18" s="167"/>
      <c r="H18" s="150"/>
      <c r="I18" s="168"/>
      <c r="J18" s="167"/>
      <c r="K18" s="150"/>
      <c r="L18" s="168"/>
      <c r="M18" s="150" t="s">
        <v>17077</v>
      </c>
      <c r="N18" s="150" t="s">
        <v>1</v>
      </c>
      <c r="O18" s="151">
        <v>0.7</v>
      </c>
      <c r="P18" s="162" t="s">
        <v>5895</v>
      </c>
      <c r="Q18" s="163" t="s">
        <v>1</v>
      </c>
      <c r="R18" s="164">
        <v>1</v>
      </c>
      <c r="S18" s="170"/>
      <c r="T18" s="171"/>
      <c r="U18" s="170"/>
      <c r="V18" s="171"/>
      <c r="W18" s="178">
        <v>793</v>
      </c>
      <c r="X18" s="172"/>
    </row>
    <row r="19" spans="1:24" ht="16.5" customHeight="1" x14ac:dyDescent="0.3">
      <c r="A19" s="147">
        <v>15</v>
      </c>
      <c r="B19" s="147">
        <v>1619</v>
      </c>
      <c r="C19" s="197" t="s">
        <v>6511</v>
      </c>
      <c r="D19" s="156" t="s">
        <v>17097</v>
      </c>
      <c r="E19" s="160"/>
      <c r="F19" s="158"/>
      <c r="G19" s="156" t="s">
        <v>17082</v>
      </c>
      <c r="H19" s="160"/>
      <c r="I19" s="158"/>
      <c r="J19" s="156" t="s">
        <v>17081</v>
      </c>
      <c r="K19" s="160"/>
      <c r="L19" s="158"/>
      <c r="M19" s="160"/>
      <c r="N19" s="160"/>
      <c r="O19" s="161"/>
      <c r="P19" s="162"/>
      <c r="Q19" s="163"/>
      <c r="R19" s="164"/>
      <c r="S19" s="170"/>
      <c r="T19" s="171"/>
      <c r="U19" s="170"/>
      <c r="V19" s="171"/>
      <c r="W19" s="178">
        <v>887</v>
      </c>
      <c r="X19" s="172"/>
    </row>
    <row r="20" spans="1:24" ht="16.5" customHeight="1" x14ac:dyDescent="0.3">
      <c r="A20" s="147">
        <v>15</v>
      </c>
      <c r="B20" s="147">
        <v>1620</v>
      </c>
      <c r="C20" s="197" t="s">
        <v>6510</v>
      </c>
      <c r="D20" s="188" t="s">
        <v>17079</v>
      </c>
      <c r="E20" s="153"/>
      <c r="F20" s="171"/>
      <c r="G20" s="188" t="s">
        <v>17085</v>
      </c>
      <c r="H20" s="153"/>
      <c r="I20" s="171"/>
      <c r="J20" s="188" t="s">
        <v>17079</v>
      </c>
      <c r="K20" s="153"/>
      <c r="L20" s="171"/>
      <c r="M20" s="150"/>
      <c r="N20" s="150"/>
      <c r="O20" s="151"/>
      <c r="P20" s="162" t="s">
        <v>5895</v>
      </c>
      <c r="Q20" s="163" t="s">
        <v>1</v>
      </c>
      <c r="R20" s="164">
        <v>1</v>
      </c>
      <c r="S20" s="170"/>
      <c r="T20" s="171"/>
      <c r="U20" s="170"/>
      <c r="V20" s="171"/>
      <c r="W20" s="178">
        <v>887</v>
      </c>
      <c r="X20" s="172"/>
    </row>
    <row r="21" spans="1:24" ht="16.5" customHeight="1" x14ac:dyDescent="0.3">
      <c r="A21" s="147">
        <v>15</v>
      </c>
      <c r="B21" s="147">
        <v>1621</v>
      </c>
      <c r="C21" s="197" t="s">
        <v>6509</v>
      </c>
      <c r="D21" s="188"/>
      <c r="E21" s="205">
        <v>257</v>
      </c>
      <c r="F21" s="171" t="s">
        <v>0</v>
      </c>
      <c r="G21" s="188" t="s">
        <v>17084</v>
      </c>
      <c r="H21" s="205">
        <v>334</v>
      </c>
      <c r="I21" s="171" t="s">
        <v>0</v>
      </c>
      <c r="J21" s="188"/>
      <c r="K21" s="205">
        <v>83</v>
      </c>
      <c r="L21" s="171" t="s">
        <v>0</v>
      </c>
      <c r="M21" s="160" t="s">
        <v>17078</v>
      </c>
      <c r="N21" s="160"/>
      <c r="O21" s="161"/>
      <c r="P21" s="162"/>
      <c r="Q21" s="163"/>
      <c r="R21" s="164"/>
      <c r="S21" s="170"/>
      <c r="T21" s="171"/>
      <c r="U21" s="170"/>
      <c r="V21" s="171"/>
      <c r="W21" s="178">
        <v>621</v>
      </c>
      <c r="X21" s="172"/>
    </row>
    <row r="22" spans="1:24" ht="16.5" customHeight="1" x14ac:dyDescent="0.3">
      <c r="A22" s="147">
        <v>15</v>
      </c>
      <c r="B22" s="147">
        <v>1622</v>
      </c>
      <c r="C22" s="197" t="s">
        <v>6508</v>
      </c>
      <c r="D22" s="188"/>
      <c r="E22" s="153"/>
      <c r="F22" s="171"/>
      <c r="G22" s="188"/>
      <c r="H22" s="153"/>
      <c r="I22" s="171"/>
      <c r="J22" s="167"/>
      <c r="K22" s="150"/>
      <c r="L22" s="168"/>
      <c r="M22" s="150" t="s">
        <v>17077</v>
      </c>
      <c r="N22" s="150" t="s">
        <v>1</v>
      </c>
      <c r="O22" s="151">
        <v>0.7</v>
      </c>
      <c r="P22" s="162" t="s">
        <v>5895</v>
      </c>
      <c r="Q22" s="163" t="s">
        <v>1</v>
      </c>
      <c r="R22" s="164">
        <v>1</v>
      </c>
      <c r="S22" s="170"/>
      <c r="T22" s="171"/>
      <c r="U22" s="170"/>
      <c r="V22" s="171"/>
      <c r="W22" s="178">
        <v>621</v>
      </c>
      <c r="X22" s="172"/>
    </row>
    <row r="23" spans="1:24" ht="16.5" customHeight="1" x14ac:dyDescent="0.3">
      <c r="A23" s="147">
        <v>15</v>
      </c>
      <c r="B23" s="147">
        <v>1623</v>
      </c>
      <c r="C23" s="197" t="s">
        <v>6507</v>
      </c>
      <c r="D23" s="188"/>
      <c r="E23" s="153"/>
      <c r="F23" s="171"/>
      <c r="G23" s="188"/>
      <c r="H23" s="153"/>
      <c r="I23" s="171"/>
      <c r="J23" s="156" t="s">
        <v>17086</v>
      </c>
      <c r="K23" s="160"/>
      <c r="L23" s="158"/>
      <c r="M23" s="160"/>
      <c r="N23" s="160"/>
      <c r="O23" s="161"/>
      <c r="P23" s="162"/>
      <c r="Q23" s="163"/>
      <c r="R23" s="164"/>
      <c r="S23" s="170"/>
      <c r="T23" s="171"/>
      <c r="U23" s="170"/>
      <c r="V23" s="171"/>
      <c r="W23" s="178">
        <v>971</v>
      </c>
      <c r="X23" s="172"/>
    </row>
    <row r="24" spans="1:24" ht="16.5" customHeight="1" x14ac:dyDescent="0.3">
      <c r="A24" s="147">
        <v>15</v>
      </c>
      <c r="B24" s="147">
        <v>1624</v>
      </c>
      <c r="C24" s="197" t="s">
        <v>6506</v>
      </c>
      <c r="D24" s="188"/>
      <c r="E24" s="153"/>
      <c r="F24" s="171"/>
      <c r="G24" s="188"/>
      <c r="H24" s="153"/>
      <c r="I24" s="171"/>
      <c r="J24" s="188" t="s">
        <v>17085</v>
      </c>
      <c r="K24" s="153"/>
      <c r="L24" s="171"/>
      <c r="M24" s="150"/>
      <c r="N24" s="150"/>
      <c r="O24" s="151"/>
      <c r="P24" s="162" t="s">
        <v>5895</v>
      </c>
      <c r="Q24" s="163" t="s">
        <v>1</v>
      </c>
      <c r="R24" s="164">
        <v>1</v>
      </c>
      <c r="S24" s="170"/>
      <c r="T24" s="171"/>
      <c r="U24" s="170"/>
      <c r="V24" s="171"/>
      <c r="W24" s="178">
        <v>971</v>
      </c>
      <c r="X24" s="172"/>
    </row>
    <row r="25" spans="1:24" ht="16.5" customHeight="1" x14ac:dyDescent="0.3">
      <c r="A25" s="147">
        <v>15</v>
      </c>
      <c r="B25" s="147">
        <v>1625</v>
      </c>
      <c r="C25" s="197" t="s">
        <v>6505</v>
      </c>
      <c r="D25" s="188"/>
      <c r="E25" s="153"/>
      <c r="F25" s="171"/>
      <c r="G25" s="188"/>
      <c r="H25" s="153"/>
      <c r="I25" s="171"/>
      <c r="J25" s="188" t="s">
        <v>17084</v>
      </c>
      <c r="K25" s="205">
        <v>167</v>
      </c>
      <c r="L25" s="171" t="s">
        <v>0</v>
      </c>
      <c r="M25" s="160" t="s">
        <v>17078</v>
      </c>
      <c r="N25" s="160"/>
      <c r="O25" s="161"/>
      <c r="P25" s="162"/>
      <c r="Q25" s="163"/>
      <c r="R25" s="164"/>
      <c r="S25" s="170"/>
      <c r="T25" s="171"/>
      <c r="U25" s="170"/>
      <c r="V25" s="171"/>
      <c r="W25" s="178">
        <v>680</v>
      </c>
      <c r="X25" s="172"/>
    </row>
    <row r="26" spans="1:24" ht="16.5" customHeight="1" x14ac:dyDescent="0.3">
      <c r="A26" s="147">
        <v>15</v>
      </c>
      <c r="B26" s="147">
        <v>1626</v>
      </c>
      <c r="C26" s="197" t="s">
        <v>6504</v>
      </c>
      <c r="D26" s="188"/>
      <c r="E26" s="153"/>
      <c r="F26" s="171"/>
      <c r="G26" s="188"/>
      <c r="H26" s="153"/>
      <c r="I26" s="171"/>
      <c r="J26" s="167"/>
      <c r="K26" s="150"/>
      <c r="L26" s="168"/>
      <c r="M26" s="150" t="s">
        <v>17077</v>
      </c>
      <c r="N26" s="150" t="s">
        <v>1</v>
      </c>
      <c r="O26" s="151">
        <v>0.7</v>
      </c>
      <c r="P26" s="162" t="s">
        <v>5895</v>
      </c>
      <c r="Q26" s="163" t="s">
        <v>1</v>
      </c>
      <c r="R26" s="164">
        <v>1</v>
      </c>
      <c r="S26" s="170"/>
      <c r="T26" s="171"/>
      <c r="U26" s="170"/>
      <c r="V26" s="171"/>
      <c r="W26" s="178">
        <v>680</v>
      </c>
      <c r="X26" s="172"/>
    </row>
    <row r="27" spans="1:24" ht="16.5" customHeight="1" x14ac:dyDescent="0.3">
      <c r="A27" s="147">
        <v>15</v>
      </c>
      <c r="B27" s="147">
        <v>1627</v>
      </c>
      <c r="C27" s="197" t="s">
        <v>6503</v>
      </c>
      <c r="D27" s="188"/>
      <c r="E27" s="153"/>
      <c r="F27" s="171"/>
      <c r="G27" s="188"/>
      <c r="H27" s="153"/>
      <c r="I27" s="171"/>
      <c r="J27" s="156" t="s">
        <v>17090</v>
      </c>
      <c r="K27" s="160"/>
      <c r="L27" s="158"/>
      <c r="M27" s="160"/>
      <c r="N27" s="160"/>
      <c r="O27" s="161"/>
      <c r="P27" s="162"/>
      <c r="Q27" s="163"/>
      <c r="R27" s="164"/>
      <c r="S27" s="170"/>
      <c r="T27" s="171"/>
      <c r="U27" s="170"/>
      <c r="V27" s="171"/>
      <c r="W27" s="178">
        <v>1055</v>
      </c>
      <c r="X27" s="172"/>
    </row>
    <row r="28" spans="1:24" ht="16.5" customHeight="1" x14ac:dyDescent="0.3">
      <c r="A28" s="147">
        <v>15</v>
      </c>
      <c r="B28" s="147">
        <v>1628</v>
      </c>
      <c r="C28" s="197" t="s">
        <v>6502</v>
      </c>
      <c r="D28" s="188"/>
      <c r="E28" s="153"/>
      <c r="F28" s="171"/>
      <c r="G28" s="188"/>
      <c r="H28" s="153"/>
      <c r="I28" s="171"/>
      <c r="J28" s="188" t="s">
        <v>17088</v>
      </c>
      <c r="K28" s="153"/>
      <c r="L28" s="171"/>
      <c r="M28" s="150"/>
      <c r="N28" s="150"/>
      <c r="O28" s="151"/>
      <c r="P28" s="162" t="s">
        <v>5895</v>
      </c>
      <c r="Q28" s="163" t="s">
        <v>1</v>
      </c>
      <c r="R28" s="164">
        <v>1</v>
      </c>
      <c r="S28" s="170"/>
      <c r="T28" s="171"/>
      <c r="U28" s="170"/>
      <c r="V28" s="171"/>
      <c r="W28" s="178">
        <v>1055</v>
      </c>
      <c r="X28" s="172"/>
    </row>
    <row r="29" spans="1:24" ht="16.5" customHeight="1" x14ac:dyDescent="0.3">
      <c r="A29" s="147">
        <v>15</v>
      </c>
      <c r="B29" s="147">
        <v>1629</v>
      </c>
      <c r="C29" s="197" t="s">
        <v>6501</v>
      </c>
      <c r="D29" s="188"/>
      <c r="E29" s="153"/>
      <c r="F29" s="171"/>
      <c r="G29" s="188"/>
      <c r="H29" s="153"/>
      <c r="I29" s="171"/>
      <c r="J29" s="188" t="s">
        <v>17087</v>
      </c>
      <c r="K29" s="205">
        <v>251</v>
      </c>
      <c r="L29" s="171" t="s">
        <v>0</v>
      </c>
      <c r="M29" s="160" t="s">
        <v>17078</v>
      </c>
      <c r="N29" s="160"/>
      <c r="O29" s="161"/>
      <c r="P29" s="162"/>
      <c r="Q29" s="163"/>
      <c r="R29" s="164"/>
      <c r="S29" s="170"/>
      <c r="T29" s="171"/>
      <c r="U29" s="170"/>
      <c r="V29" s="171"/>
      <c r="W29" s="178">
        <v>739</v>
      </c>
      <c r="X29" s="172"/>
    </row>
    <row r="30" spans="1:24" ht="16.5" customHeight="1" x14ac:dyDescent="0.3">
      <c r="A30" s="147">
        <v>15</v>
      </c>
      <c r="B30" s="147">
        <v>1630</v>
      </c>
      <c r="C30" s="197" t="s">
        <v>6500</v>
      </c>
      <c r="D30" s="167"/>
      <c r="E30" s="150"/>
      <c r="F30" s="168"/>
      <c r="G30" s="167"/>
      <c r="H30" s="150"/>
      <c r="I30" s="168"/>
      <c r="J30" s="167"/>
      <c r="K30" s="150"/>
      <c r="L30" s="168"/>
      <c r="M30" s="150" t="s">
        <v>17077</v>
      </c>
      <c r="N30" s="150" t="s">
        <v>1</v>
      </c>
      <c r="O30" s="151">
        <v>0.7</v>
      </c>
      <c r="P30" s="162" t="s">
        <v>5895</v>
      </c>
      <c r="Q30" s="163" t="s">
        <v>1</v>
      </c>
      <c r="R30" s="164">
        <v>1</v>
      </c>
      <c r="S30" s="170"/>
      <c r="T30" s="171"/>
      <c r="U30" s="170"/>
      <c r="V30" s="171"/>
      <c r="W30" s="178">
        <v>739</v>
      </c>
      <c r="X30" s="172"/>
    </row>
    <row r="31" spans="1:24" ht="16.5" customHeight="1" x14ac:dyDescent="0.3">
      <c r="A31" s="147">
        <v>15</v>
      </c>
      <c r="B31" s="147">
        <v>1631</v>
      </c>
      <c r="C31" s="197" t="s">
        <v>6499</v>
      </c>
      <c r="D31" s="156" t="s">
        <v>17096</v>
      </c>
      <c r="E31" s="160"/>
      <c r="F31" s="158"/>
      <c r="G31" s="156" t="s">
        <v>17082</v>
      </c>
      <c r="H31" s="160"/>
      <c r="I31" s="158"/>
      <c r="J31" s="156" t="s">
        <v>17081</v>
      </c>
      <c r="K31" s="160"/>
      <c r="L31" s="158"/>
      <c r="M31" s="160"/>
      <c r="N31" s="160"/>
      <c r="O31" s="161"/>
      <c r="P31" s="162"/>
      <c r="Q31" s="163"/>
      <c r="R31" s="164"/>
      <c r="S31" s="170"/>
      <c r="T31" s="171"/>
      <c r="U31" s="170"/>
      <c r="V31" s="171"/>
      <c r="W31" s="178">
        <v>1028</v>
      </c>
      <c r="X31" s="172"/>
    </row>
    <row r="32" spans="1:24" ht="16.5" customHeight="1" x14ac:dyDescent="0.3">
      <c r="A32" s="147">
        <v>15</v>
      </c>
      <c r="B32" s="147">
        <v>1632</v>
      </c>
      <c r="C32" s="197" t="s">
        <v>6498</v>
      </c>
      <c r="D32" s="188" t="s">
        <v>17085</v>
      </c>
      <c r="E32" s="153"/>
      <c r="F32" s="171"/>
      <c r="G32" s="188" t="s">
        <v>17085</v>
      </c>
      <c r="H32" s="153"/>
      <c r="I32" s="171"/>
      <c r="J32" s="188" t="s">
        <v>17079</v>
      </c>
      <c r="K32" s="153"/>
      <c r="L32" s="171"/>
      <c r="M32" s="150"/>
      <c r="N32" s="150"/>
      <c r="O32" s="151"/>
      <c r="P32" s="162" t="s">
        <v>5895</v>
      </c>
      <c r="Q32" s="163" t="s">
        <v>1</v>
      </c>
      <c r="R32" s="164">
        <v>1</v>
      </c>
      <c r="S32" s="170"/>
      <c r="T32" s="171"/>
      <c r="U32" s="170"/>
      <c r="V32" s="171"/>
      <c r="W32" s="178">
        <v>1028</v>
      </c>
      <c r="X32" s="172"/>
    </row>
    <row r="33" spans="1:24" ht="16.5" customHeight="1" x14ac:dyDescent="0.3">
      <c r="A33" s="147">
        <v>15</v>
      </c>
      <c r="B33" s="147">
        <v>1633</v>
      </c>
      <c r="C33" s="197" t="s">
        <v>6497</v>
      </c>
      <c r="D33" s="188" t="s">
        <v>17084</v>
      </c>
      <c r="E33" s="205">
        <v>406</v>
      </c>
      <c r="F33" s="171" t="s">
        <v>0</v>
      </c>
      <c r="G33" s="188" t="s">
        <v>17084</v>
      </c>
      <c r="H33" s="205">
        <v>268</v>
      </c>
      <c r="I33" s="171" t="s">
        <v>0</v>
      </c>
      <c r="J33" s="188"/>
      <c r="K33" s="205">
        <v>84</v>
      </c>
      <c r="L33" s="171" t="s">
        <v>0</v>
      </c>
      <c r="M33" s="160" t="s">
        <v>17078</v>
      </c>
      <c r="N33" s="160"/>
      <c r="O33" s="161"/>
      <c r="P33" s="162"/>
      <c r="Q33" s="163"/>
      <c r="R33" s="164"/>
      <c r="S33" s="170"/>
      <c r="T33" s="171"/>
      <c r="U33" s="170"/>
      <c r="V33" s="171"/>
      <c r="W33" s="178">
        <v>720</v>
      </c>
      <c r="X33" s="172"/>
    </row>
    <row r="34" spans="1:24" ht="16.5" customHeight="1" x14ac:dyDescent="0.3">
      <c r="A34" s="147">
        <v>15</v>
      </c>
      <c r="B34" s="147">
        <v>1634</v>
      </c>
      <c r="C34" s="197" t="s">
        <v>6496</v>
      </c>
      <c r="D34" s="188"/>
      <c r="E34" s="153"/>
      <c r="F34" s="171"/>
      <c r="G34" s="188"/>
      <c r="H34" s="153"/>
      <c r="I34" s="171"/>
      <c r="J34" s="167"/>
      <c r="K34" s="150"/>
      <c r="L34" s="168"/>
      <c r="M34" s="150" t="s">
        <v>17077</v>
      </c>
      <c r="N34" s="150" t="s">
        <v>1</v>
      </c>
      <c r="O34" s="151">
        <v>0.7</v>
      </c>
      <c r="P34" s="162" t="s">
        <v>5895</v>
      </c>
      <c r="Q34" s="163" t="s">
        <v>1</v>
      </c>
      <c r="R34" s="164">
        <v>1</v>
      </c>
      <c r="S34" s="170"/>
      <c r="T34" s="171"/>
      <c r="U34" s="170"/>
      <c r="V34" s="171"/>
      <c r="W34" s="178">
        <v>720</v>
      </c>
      <c r="X34" s="172"/>
    </row>
    <row r="35" spans="1:24" ht="16.5" customHeight="1" x14ac:dyDescent="0.3">
      <c r="A35" s="147">
        <v>15</v>
      </c>
      <c r="B35" s="147">
        <v>1635</v>
      </c>
      <c r="C35" s="197" t="s">
        <v>6495</v>
      </c>
      <c r="D35" s="188"/>
      <c r="E35" s="153"/>
      <c r="F35" s="171"/>
      <c r="G35" s="188"/>
      <c r="H35" s="153"/>
      <c r="I35" s="171"/>
      <c r="J35" s="156" t="s">
        <v>17086</v>
      </c>
      <c r="K35" s="160"/>
      <c r="L35" s="158"/>
      <c r="M35" s="160"/>
      <c r="N35" s="160"/>
      <c r="O35" s="161"/>
      <c r="P35" s="162"/>
      <c r="Q35" s="163"/>
      <c r="R35" s="164"/>
      <c r="S35" s="170"/>
      <c r="T35" s="171"/>
      <c r="U35" s="170"/>
      <c r="V35" s="171"/>
      <c r="W35" s="178">
        <v>1112</v>
      </c>
      <c r="X35" s="172"/>
    </row>
    <row r="36" spans="1:24" ht="16.5" customHeight="1" x14ac:dyDescent="0.3">
      <c r="A36" s="147">
        <v>15</v>
      </c>
      <c r="B36" s="147">
        <v>1636</v>
      </c>
      <c r="C36" s="197" t="s">
        <v>6494</v>
      </c>
      <c r="D36" s="188"/>
      <c r="E36" s="153"/>
      <c r="F36" s="171"/>
      <c r="G36" s="188"/>
      <c r="H36" s="153"/>
      <c r="I36" s="171"/>
      <c r="J36" s="188" t="s">
        <v>17085</v>
      </c>
      <c r="K36" s="153"/>
      <c r="L36" s="171"/>
      <c r="M36" s="150"/>
      <c r="N36" s="150"/>
      <c r="O36" s="151"/>
      <c r="P36" s="162" t="s">
        <v>5895</v>
      </c>
      <c r="Q36" s="163" t="s">
        <v>1</v>
      </c>
      <c r="R36" s="164">
        <v>1</v>
      </c>
      <c r="S36" s="170"/>
      <c r="T36" s="171"/>
      <c r="U36" s="170"/>
      <c r="V36" s="171"/>
      <c r="W36" s="178">
        <v>1112</v>
      </c>
      <c r="X36" s="172"/>
    </row>
    <row r="37" spans="1:24" ht="16.5" customHeight="1" x14ac:dyDescent="0.3">
      <c r="A37" s="147">
        <v>15</v>
      </c>
      <c r="B37" s="147">
        <v>1637</v>
      </c>
      <c r="C37" s="197" t="s">
        <v>6493</v>
      </c>
      <c r="D37" s="188"/>
      <c r="E37" s="153"/>
      <c r="F37" s="171"/>
      <c r="G37" s="188"/>
      <c r="H37" s="153"/>
      <c r="I37" s="171"/>
      <c r="J37" s="188" t="s">
        <v>17084</v>
      </c>
      <c r="K37" s="205">
        <v>168</v>
      </c>
      <c r="L37" s="171" t="s">
        <v>0</v>
      </c>
      <c r="M37" s="160" t="s">
        <v>17078</v>
      </c>
      <c r="N37" s="160"/>
      <c r="O37" s="161"/>
      <c r="P37" s="162"/>
      <c r="Q37" s="163"/>
      <c r="R37" s="164"/>
      <c r="S37" s="170"/>
      <c r="T37" s="171"/>
      <c r="U37" s="170"/>
      <c r="V37" s="171"/>
      <c r="W37" s="178">
        <v>779</v>
      </c>
      <c r="X37" s="172"/>
    </row>
    <row r="38" spans="1:24" ht="16.5" customHeight="1" x14ac:dyDescent="0.3">
      <c r="A38" s="147">
        <v>15</v>
      </c>
      <c r="B38" s="147">
        <v>1638</v>
      </c>
      <c r="C38" s="197" t="s">
        <v>6492</v>
      </c>
      <c r="D38" s="167"/>
      <c r="E38" s="150"/>
      <c r="F38" s="168"/>
      <c r="G38" s="167"/>
      <c r="H38" s="150"/>
      <c r="I38" s="168"/>
      <c r="J38" s="167"/>
      <c r="K38" s="150"/>
      <c r="L38" s="168"/>
      <c r="M38" s="150" t="s">
        <v>17077</v>
      </c>
      <c r="N38" s="150" t="s">
        <v>1</v>
      </c>
      <c r="O38" s="151">
        <v>0.7</v>
      </c>
      <c r="P38" s="162" t="s">
        <v>5895</v>
      </c>
      <c r="Q38" s="163" t="s">
        <v>1</v>
      </c>
      <c r="R38" s="164">
        <v>1</v>
      </c>
      <c r="S38" s="170"/>
      <c r="T38" s="171"/>
      <c r="U38" s="170"/>
      <c r="V38" s="171"/>
      <c r="W38" s="178">
        <v>779</v>
      </c>
      <c r="X38" s="172"/>
    </row>
    <row r="39" spans="1:24" ht="16.5" customHeight="1" x14ac:dyDescent="0.3">
      <c r="A39" s="147">
        <v>15</v>
      </c>
      <c r="B39" s="147">
        <v>1639</v>
      </c>
      <c r="C39" s="197" t="s">
        <v>6491</v>
      </c>
      <c r="D39" s="156" t="s">
        <v>17095</v>
      </c>
      <c r="E39" s="160"/>
      <c r="F39" s="158"/>
      <c r="G39" s="156" t="s">
        <v>17082</v>
      </c>
      <c r="H39" s="160"/>
      <c r="I39" s="158"/>
      <c r="J39" s="156" t="s">
        <v>17081</v>
      </c>
      <c r="K39" s="160"/>
      <c r="L39" s="158"/>
      <c r="M39" s="160"/>
      <c r="N39" s="160"/>
      <c r="O39" s="161"/>
      <c r="P39" s="162"/>
      <c r="Q39" s="163"/>
      <c r="R39" s="164"/>
      <c r="S39" s="170"/>
      <c r="T39" s="171"/>
      <c r="U39" s="170"/>
      <c r="V39" s="171"/>
      <c r="W39" s="178">
        <v>1180</v>
      </c>
      <c r="X39" s="172"/>
    </row>
    <row r="40" spans="1:24" ht="16.5" customHeight="1" x14ac:dyDescent="0.3">
      <c r="A40" s="147">
        <v>15</v>
      </c>
      <c r="B40" s="147">
        <v>1640</v>
      </c>
      <c r="C40" s="197" t="s">
        <v>6490</v>
      </c>
      <c r="D40" s="188" t="s">
        <v>17088</v>
      </c>
      <c r="E40" s="153"/>
      <c r="F40" s="171"/>
      <c r="G40" s="188" t="s">
        <v>17085</v>
      </c>
      <c r="H40" s="153"/>
      <c r="I40" s="171"/>
      <c r="J40" s="188" t="s">
        <v>17079</v>
      </c>
      <c r="K40" s="153"/>
      <c r="L40" s="171"/>
      <c r="M40" s="150"/>
      <c r="N40" s="150"/>
      <c r="O40" s="151"/>
      <c r="P40" s="162" t="s">
        <v>5895</v>
      </c>
      <c r="Q40" s="163" t="s">
        <v>1</v>
      </c>
      <c r="R40" s="164">
        <v>1</v>
      </c>
      <c r="S40" s="170"/>
      <c r="T40" s="171"/>
      <c r="U40" s="170"/>
      <c r="V40" s="171"/>
      <c r="W40" s="178">
        <v>1180</v>
      </c>
      <c r="X40" s="172"/>
    </row>
    <row r="41" spans="1:24" ht="16.5" customHeight="1" x14ac:dyDescent="0.3">
      <c r="A41" s="147">
        <v>15</v>
      </c>
      <c r="B41" s="147">
        <v>1641</v>
      </c>
      <c r="C41" s="197" t="s">
        <v>6489</v>
      </c>
      <c r="D41" s="188" t="s">
        <v>17087</v>
      </c>
      <c r="E41" s="205">
        <v>591</v>
      </c>
      <c r="F41" s="171" t="s">
        <v>0</v>
      </c>
      <c r="G41" s="188" t="s">
        <v>17084</v>
      </c>
      <c r="H41" s="205">
        <v>167</v>
      </c>
      <c r="I41" s="171" t="s">
        <v>0</v>
      </c>
      <c r="J41" s="188"/>
      <c r="K41" s="205">
        <v>84</v>
      </c>
      <c r="L41" s="171" t="s">
        <v>0</v>
      </c>
      <c r="M41" s="160" t="s">
        <v>17078</v>
      </c>
      <c r="N41" s="160"/>
      <c r="O41" s="161"/>
      <c r="P41" s="162"/>
      <c r="Q41" s="163"/>
      <c r="R41" s="164"/>
      <c r="S41" s="170"/>
      <c r="T41" s="171"/>
      <c r="U41" s="170"/>
      <c r="V41" s="171"/>
      <c r="W41" s="178">
        <v>826</v>
      </c>
      <c r="X41" s="172"/>
    </row>
    <row r="42" spans="1:24" ht="16.5" customHeight="1" x14ac:dyDescent="0.3">
      <c r="A42" s="147">
        <v>15</v>
      </c>
      <c r="B42" s="147">
        <v>1642</v>
      </c>
      <c r="C42" s="197" t="s">
        <v>6488</v>
      </c>
      <c r="D42" s="167"/>
      <c r="E42" s="150"/>
      <c r="F42" s="168"/>
      <c r="G42" s="167"/>
      <c r="H42" s="150"/>
      <c r="I42" s="168"/>
      <c r="J42" s="167"/>
      <c r="K42" s="150"/>
      <c r="L42" s="168"/>
      <c r="M42" s="150" t="s">
        <v>17077</v>
      </c>
      <c r="N42" s="150" t="s">
        <v>1</v>
      </c>
      <c r="O42" s="151">
        <v>0.7</v>
      </c>
      <c r="P42" s="162" t="s">
        <v>5895</v>
      </c>
      <c r="Q42" s="163" t="s">
        <v>1</v>
      </c>
      <c r="R42" s="164">
        <v>1</v>
      </c>
      <c r="S42" s="170"/>
      <c r="T42" s="171"/>
      <c r="U42" s="170"/>
      <c r="V42" s="171"/>
      <c r="W42" s="178">
        <v>826</v>
      </c>
      <c r="X42" s="172"/>
    </row>
    <row r="43" spans="1:24" ht="16.5" customHeight="1" x14ac:dyDescent="0.3">
      <c r="A43" s="147">
        <v>15</v>
      </c>
      <c r="B43" s="147">
        <v>1643</v>
      </c>
      <c r="C43" s="197" t="s">
        <v>6487</v>
      </c>
      <c r="D43" s="156" t="s">
        <v>17094</v>
      </c>
      <c r="E43" s="160"/>
      <c r="F43" s="158"/>
      <c r="G43" s="156" t="s">
        <v>17082</v>
      </c>
      <c r="H43" s="160"/>
      <c r="I43" s="158"/>
      <c r="J43" s="156" t="s">
        <v>17081</v>
      </c>
      <c r="K43" s="160"/>
      <c r="L43" s="158"/>
      <c r="M43" s="160"/>
      <c r="N43" s="160"/>
      <c r="O43" s="161"/>
      <c r="P43" s="162"/>
      <c r="Q43" s="163"/>
      <c r="R43" s="164"/>
      <c r="S43" s="170"/>
      <c r="T43" s="171"/>
      <c r="U43" s="170"/>
      <c r="V43" s="171"/>
      <c r="W43" s="178">
        <v>757</v>
      </c>
      <c r="X43" s="172"/>
    </row>
    <row r="44" spans="1:24" ht="16.5" customHeight="1" x14ac:dyDescent="0.3">
      <c r="A44" s="147">
        <v>15</v>
      </c>
      <c r="B44" s="147">
        <v>1644</v>
      </c>
      <c r="C44" s="197" t="s">
        <v>6486</v>
      </c>
      <c r="D44" s="188" t="s">
        <v>17079</v>
      </c>
      <c r="E44" s="153"/>
      <c r="F44" s="171"/>
      <c r="G44" s="188" t="s">
        <v>17079</v>
      </c>
      <c r="H44" s="153"/>
      <c r="I44" s="171"/>
      <c r="J44" s="188" t="s">
        <v>17079</v>
      </c>
      <c r="K44" s="153"/>
      <c r="L44" s="171"/>
      <c r="M44" s="150"/>
      <c r="N44" s="150"/>
      <c r="O44" s="151"/>
      <c r="P44" s="162" t="s">
        <v>5895</v>
      </c>
      <c r="Q44" s="163" t="s">
        <v>1</v>
      </c>
      <c r="R44" s="164">
        <v>1</v>
      </c>
      <c r="S44" s="170"/>
      <c r="T44" s="171"/>
      <c r="U44" s="170"/>
      <c r="V44" s="171"/>
      <c r="W44" s="178">
        <v>757</v>
      </c>
      <c r="X44" s="172"/>
    </row>
    <row r="45" spans="1:24" ht="16.5" customHeight="1" x14ac:dyDescent="0.3">
      <c r="A45" s="147">
        <v>15</v>
      </c>
      <c r="B45" s="147">
        <v>1645</v>
      </c>
      <c r="C45" s="197" t="s">
        <v>6485</v>
      </c>
      <c r="D45" s="188"/>
      <c r="E45" s="205">
        <v>257</v>
      </c>
      <c r="F45" s="171" t="s">
        <v>0</v>
      </c>
      <c r="G45" s="188"/>
      <c r="H45" s="205">
        <v>149</v>
      </c>
      <c r="I45" s="171" t="s">
        <v>0</v>
      </c>
      <c r="J45" s="188"/>
      <c r="K45" s="205">
        <v>185</v>
      </c>
      <c r="L45" s="171" t="s">
        <v>0</v>
      </c>
      <c r="M45" s="160" t="s">
        <v>17078</v>
      </c>
      <c r="N45" s="160"/>
      <c r="O45" s="161"/>
      <c r="P45" s="162"/>
      <c r="Q45" s="163"/>
      <c r="R45" s="164"/>
      <c r="S45" s="170"/>
      <c r="T45" s="171"/>
      <c r="U45" s="170"/>
      <c r="V45" s="171"/>
      <c r="W45" s="178">
        <v>530</v>
      </c>
      <c r="X45" s="172"/>
    </row>
    <row r="46" spans="1:24" ht="16.5" customHeight="1" x14ac:dyDescent="0.3">
      <c r="A46" s="147">
        <v>15</v>
      </c>
      <c r="B46" s="147">
        <v>1646</v>
      </c>
      <c r="C46" s="197" t="s">
        <v>6484</v>
      </c>
      <c r="D46" s="188"/>
      <c r="E46" s="153"/>
      <c r="F46" s="171"/>
      <c r="G46" s="188"/>
      <c r="H46" s="153"/>
      <c r="I46" s="171"/>
      <c r="J46" s="167"/>
      <c r="K46" s="150"/>
      <c r="L46" s="168"/>
      <c r="M46" s="150" t="s">
        <v>17077</v>
      </c>
      <c r="N46" s="150" t="s">
        <v>1</v>
      </c>
      <c r="O46" s="151">
        <v>0.7</v>
      </c>
      <c r="P46" s="162" t="s">
        <v>5895</v>
      </c>
      <c r="Q46" s="163" t="s">
        <v>1</v>
      </c>
      <c r="R46" s="164">
        <v>1</v>
      </c>
      <c r="S46" s="170"/>
      <c r="T46" s="171"/>
      <c r="U46" s="170"/>
      <c r="V46" s="171"/>
      <c r="W46" s="178">
        <v>530</v>
      </c>
      <c r="X46" s="172"/>
    </row>
    <row r="47" spans="1:24" ht="16.5" customHeight="1" x14ac:dyDescent="0.3">
      <c r="A47" s="147">
        <v>15</v>
      </c>
      <c r="B47" s="147">
        <v>1647</v>
      </c>
      <c r="C47" s="197" t="s">
        <v>6483</v>
      </c>
      <c r="D47" s="188"/>
      <c r="E47" s="153"/>
      <c r="F47" s="171"/>
      <c r="G47" s="188"/>
      <c r="H47" s="153"/>
      <c r="I47" s="171"/>
      <c r="J47" s="156" t="s">
        <v>17086</v>
      </c>
      <c r="K47" s="160"/>
      <c r="L47" s="158"/>
      <c r="M47" s="160"/>
      <c r="N47" s="160"/>
      <c r="O47" s="161"/>
      <c r="P47" s="162"/>
      <c r="Q47" s="163"/>
      <c r="R47" s="164"/>
      <c r="S47" s="170"/>
      <c r="T47" s="171"/>
      <c r="U47" s="170"/>
      <c r="V47" s="171"/>
      <c r="W47" s="178">
        <v>840</v>
      </c>
      <c r="X47" s="172"/>
    </row>
    <row r="48" spans="1:24" ht="16.5" customHeight="1" x14ac:dyDescent="0.3">
      <c r="A48" s="147">
        <v>15</v>
      </c>
      <c r="B48" s="147">
        <v>1648</v>
      </c>
      <c r="C48" s="197" t="s">
        <v>6482</v>
      </c>
      <c r="D48" s="188"/>
      <c r="E48" s="153"/>
      <c r="F48" s="171"/>
      <c r="G48" s="188"/>
      <c r="H48" s="153"/>
      <c r="I48" s="171"/>
      <c r="J48" s="188" t="s">
        <v>17085</v>
      </c>
      <c r="K48" s="153"/>
      <c r="L48" s="171"/>
      <c r="M48" s="150"/>
      <c r="N48" s="150"/>
      <c r="O48" s="151"/>
      <c r="P48" s="162" t="s">
        <v>5895</v>
      </c>
      <c r="Q48" s="163" t="s">
        <v>1</v>
      </c>
      <c r="R48" s="164">
        <v>1</v>
      </c>
      <c r="S48" s="170"/>
      <c r="T48" s="171"/>
      <c r="U48" s="170"/>
      <c r="V48" s="171"/>
      <c r="W48" s="178">
        <v>840</v>
      </c>
      <c r="X48" s="172"/>
    </row>
    <row r="49" spans="1:24" ht="16.5" customHeight="1" x14ac:dyDescent="0.3">
      <c r="A49" s="147">
        <v>15</v>
      </c>
      <c r="B49" s="147">
        <v>1649</v>
      </c>
      <c r="C49" s="197" t="s">
        <v>6481</v>
      </c>
      <c r="D49" s="188"/>
      <c r="E49" s="153"/>
      <c r="F49" s="171"/>
      <c r="G49" s="188"/>
      <c r="H49" s="153"/>
      <c r="I49" s="171"/>
      <c r="J49" s="188" t="s">
        <v>17084</v>
      </c>
      <c r="K49" s="205">
        <v>268</v>
      </c>
      <c r="L49" s="171" t="s">
        <v>0</v>
      </c>
      <c r="M49" s="160" t="s">
        <v>17078</v>
      </c>
      <c r="N49" s="160"/>
      <c r="O49" s="161"/>
      <c r="P49" s="162"/>
      <c r="Q49" s="163"/>
      <c r="R49" s="164"/>
      <c r="S49" s="170"/>
      <c r="T49" s="171"/>
      <c r="U49" s="170"/>
      <c r="V49" s="171"/>
      <c r="W49" s="178">
        <v>588</v>
      </c>
      <c r="X49" s="172"/>
    </row>
    <row r="50" spans="1:24" ht="16.5" customHeight="1" x14ac:dyDescent="0.3">
      <c r="A50" s="147">
        <v>15</v>
      </c>
      <c r="B50" s="147">
        <v>1650</v>
      </c>
      <c r="C50" s="197" t="s">
        <v>6480</v>
      </c>
      <c r="D50" s="188"/>
      <c r="E50" s="153"/>
      <c r="F50" s="171"/>
      <c r="G50" s="188"/>
      <c r="H50" s="153"/>
      <c r="I50" s="171"/>
      <c r="J50" s="167"/>
      <c r="K50" s="150"/>
      <c r="L50" s="168"/>
      <c r="M50" s="150" t="s">
        <v>17077</v>
      </c>
      <c r="N50" s="150" t="s">
        <v>1</v>
      </c>
      <c r="O50" s="151">
        <v>0.7</v>
      </c>
      <c r="P50" s="162" t="s">
        <v>5895</v>
      </c>
      <c r="Q50" s="163" t="s">
        <v>1</v>
      </c>
      <c r="R50" s="164">
        <v>1</v>
      </c>
      <c r="S50" s="170"/>
      <c r="T50" s="171"/>
      <c r="U50" s="170"/>
      <c r="V50" s="171"/>
      <c r="W50" s="178">
        <v>588</v>
      </c>
      <c r="X50" s="172"/>
    </row>
    <row r="51" spans="1:24" ht="16.5" customHeight="1" x14ac:dyDescent="0.3">
      <c r="A51" s="147">
        <v>15</v>
      </c>
      <c r="B51" s="147">
        <v>1651</v>
      </c>
      <c r="C51" s="197" t="s">
        <v>6479</v>
      </c>
      <c r="D51" s="188"/>
      <c r="E51" s="153"/>
      <c r="F51" s="171"/>
      <c r="G51" s="188"/>
      <c r="H51" s="153"/>
      <c r="I51" s="171"/>
      <c r="J51" s="156" t="s">
        <v>17090</v>
      </c>
      <c r="K51" s="160"/>
      <c r="L51" s="158"/>
      <c r="M51" s="160"/>
      <c r="N51" s="160"/>
      <c r="O51" s="161"/>
      <c r="P51" s="162"/>
      <c r="Q51" s="163"/>
      <c r="R51" s="164"/>
      <c r="S51" s="170"/>
      <c r="T51" s="171"/>
      <c r="U51" s="170"/>
      <c r="V51" s="171"/>
      <c r="W51" s="178">
        <v>924</v>
      </c>
      <c r="X51" s="172"/>
    </row>
    <row r="52" spans="1:24" ht="16.5" customHeight="1" x14ac:dyDescent="0.3">
      <c r="A52" s="147">
        <v>15</v>
      </c>
      <c r="B52" s="147">
        <v>1652</v>
      </c>
      <c r="C52" s="197" t="s">
        <v>6478</v>
      </c>
      <c r="D52" s="188"/>
      <c r="E52" s="153"/>
      <c r="F52" s="171"/>
      <c r="G52" s="188"/>
      <c r="H52" s="153"/>
      <c r="I52" s="171"/>
      <c r="J52" s="188" t="s">
        <v>17088</v>
      </c>
      <c r="K52" s="153"/>
      <c r="L52" s="171"/>
      <c r="M52" s="150"/>
      <c r="N52" s="150"/>
      <c r="O52" s="151"/>
      <c r="P52" s="162" t="s">
        <v>5895</v>
      </c>
      <c r="Q52" s="163" t="s">
        <v>1</v>
      </c>
      <c r="R52" s="164">
        <v>1</v>
      </c>
      <c r="S52" s="170"/>
      <c r="T52" s="171"/>
      <c r="U52" s="170"/>
      <c r="V52" s="171"/>
      <c r="W52" s="178">
        <v>924</v>
      </c>
      <c r="X52" s="172"/>
    </row>
    <row r="53" spans="1:24" ht="16.5" customHeight="1" x14ac:dyDescent="0.3">
      <c r="A53" s="147">
        <v>15</v>
      </c>
      <c r="B53" s="147">
        <v>1653</v>
      </c>
      <c r="C53" s="197" t="s">
        <v>6477</v>
      </c>
      <c r="D53" s="188"/>
      <c r="E53" s="153"/>
      <c r="F53" s="171"/>
      <c r="G53" s="188"/>
      <c r="H53" s="153"/>
      <c r="I53" s="171"/>
      <c r="J53" s="188" t="s">
        <v>17087</v>
      </c>
      <c r="K53" s="205">
        <v>352</v>
      </c>
      <c r="L53" s="171" t="s">
        <v>0</v>
      </c>
      <c r="M53" s="160" t="s">
        <v>17078</v>
      </c>
      <c r="N53" s="160"/>
      <c r="O53" s="161"/>
      <c r="P53" s="162"/>
      <c r="Q53" s="163"/>
      <c r="R53" s="164"/>
      <c r="S53" s="170"/>
      <c r="T53" s="171"/>
      <c r="U53" s="170"/>
      <c r="V53" s="171"/>
      <c r="W53" s="178">
        <v>646</v>
      </c>
      <c r="X53" s="172"/>
    </row>
    <row r="54" spans="1:24" ht="16.5" customHeight="1" x14ac:dyDescent="0.3">
      <c r="A54" s="147">
        <v>15</v>
      </c>
      <c r="B54" s="147">
        <v>1654</v>
      </c>
      <c r="C54" s="197" t="s">
        <v>6476</v>
      </c>
      <c r="D54" s="188"/>
      <c r="E54" s="153"/>
      <c r="F54" s="171"/>
      <c r="G54" s="188"/>
      <c r="H54" s="153"/>
      <c r="I54" s="171"/>
      <c r="J54" s="167"/>
      <c r="K54" s="150"/>
      <c r="L54" s="168"/>
      <c r="M54" s="150" t="s">
        <v>17077</v>
      </c>
      <c r="N54" s="150" t="s">
        <v>1</v>
      </c>
      <c r="O54" s="151">
        <v>0.7</v>
      </c>
      <c r="P54" s="162" t="s">
        <v>5895</v>
      </c>
      <c r="Q54" s="163" t="s">
        <v>1</v>
      </c>
      <c r="R54" s="164">
        <v>1</v>
      </c>
      <c r="S54" s="170"/>
      <c r="T54" s="171"/>
      <c r="U54" s="170"/>
      <c r="V54" s="171"/>
      <c r="W54" s="178">
        <v>646</v>
      </c>
      <c r="X54" s="172"/>
    </row>
    <row r="55" spans="1:24" ht="16.5" customHeight="1" x14ac:dyDescent="0.3">
      <c r="A55" s="147">
        <v>15</v>
      </c>
      <c r="B55" s="147">
        <v>1655</v>
      </c>
      <c r="C55" s="197" t="s">
        <v>6475</v>
      </c>
      <c r="D55" s="188"/>
      <c r="E55" s="153"/>
      <c r="F55" s="171"/>
      <c r="G55" s="188"/>
      <c r="H55" s="153"/>
      <c r="I55" s="171"/>
      <c r="J55" s="156" t="s">
        <v>17093</v>
      </c>
      <c r="K55" s="160"/>
      <c r="L55" s="158"/>
      <c r="M55" s="160"/>
      <c r="N55" s="160"/>
      <c r="O55" s="161"/>
      <c r="P55" s="162"/>
      <c r="Q55" s="163"/>
      <c r="R55" s="164"/>
      <c r="S55" s="170"/>
      <c r="T55" s="171"/>
      <c r="U55" s="170"/>
      <c r="V55" s="171"/>
      <c r="W55" s="178">
        <v>1008</v>
      </c>
      <c r="X55" s="172"/>
    </row>
    <row r="56" spans="1:24" ht="16.5" customHeight="1" x14ac:dyDescent="0.3">
      <c r="A56" s="147">
        <v>15</v>
      </c>
      <c r="B56" s="147">
        <v>1656</v>
      </c>
      <c r="C56" s="197" t="s">
        <v>6474</v>
      </c>
      <c r="D56" s="188"/>
      <c r="E56" s="153"/>
      <c r="F56" s="171"/>
      <c r="G56" s="188"/>
      <c r="H56" s="153"/>
      <c r="I56" s="171"/>
      <c r="J56" s="188" t="s">
        <v>17080</v>
      </c>
      <c r="K56" s="153"/>
      <c r="L56" s="171"/>
      <c r="M56" s="150"/>
      <c r="N56" s="150"/>
      <c r="O56" s="151"/>
      <c r="P56" s="162" t="s">
        <v>5895</v>
      </c>
      <c r="Q56" s="163" t="s">
        <v>1</v>
      </c>
      <c r="R56" s="164">
        <v>1</v>
      </c>
      <c r="S56" s="170"/>
      <c r="T56" s="171"/>
      <c r="U56" s="170"/>
      <c r="V56" s="171"/>
      <c r="W56" s="178">
        <v>1008</v>
      </c>
      <c r="X56" s="172"/>
    </row>
    <row r="57" spans="1:24" ht="16.5" customHeight="1" x14ac:dyDescent="0.3">
      <c r="A57" s="147">
        <v>15</v>
      </c>
      <c r="B57" s="147">
        <v>1657</v>
      </c>
      <c r="C57" s="197" t="s">
        <v>6473</v>
      </c>
      <c r="D57" s="188"/>
      <c r="E57" s="153"/>
      <c r="F57" s="171"/>
      <c r="G57" s="188"/>
      <c r="H57" s="153"/>
      <c r="I57" s="171"/>
      <c r="J57" s="188" t="s">
        <v>17092</v>
      </c>
      <c r="K57" s="205">
        <v>436</v>
      </c>
      <c r="L57" s="171" t="s">
        <v>0</v>
      </c>
      <c r="M57" s="160" t="s">
        <v>17078</v>
      </c>
      <c r="N57" s="160"/>
      <c r="O57" s="161"/>
      <c r="P57" s="162"/>
      <c r="Q57" s="163"/>
      <c r="R57" s="164"/>
      <c r="S57" s="170"/>
      <c r="T57" s="171"/>
      <c r="U57" s="170"/>
      <c r="V57" s="171"/>
      <c r="W57" s="178">
        <v>705</v>
      </c>
      <c r="X57" s="172"/>
    </row>
    <row r="58" spans="1:24" ht="16.5" customHeight="1" x14ac:dyDescent="0.3">
      <c r="A58" s="147">
        <v>15</v>
      </c>
      <c r="B58" s="147">
        <v>1658</v>
      </c>
      <c r="C58" s="197" t="s">
        <v>6472</v>
      </c>
      <c r="D58" s="167"/>
      <c r="E58" s="150"/>
      <c r="F58" s="168"/>
      <c r="G58" s="167"/>
      <c r="H58" s="150"/>
      <c r="I58" s="168"/>
      <c r="J58" s="167"/>
      <c r="K58" s="150"/>
      <c r="L58" s="168"/>
      <c r="M58" s="150" t="s">
        <v>17077</v>
      </c>
      <c r="N58" s="150" t="s">
        <v>1</v>
      </c>
      <c r="O58" s="151">
        <v>0.7</v>
      </c>
      <c r="P58" s="162" t="s">
        <v>5895</v>
      </c>
      <c r="Q58" s="163" t="s">
        <v>1</v>
      </c>
      <c r="R58" s="164">
        <v>1</v>
      </c>
      <c r="S58" s="170"/>
      <c r="T58" s="171"/>
      <c r="U58" s="170"/>
      <c r="V58" s="171"/>
      <c r="W58" s="178">
        <v>705</v>
      </c>
      <c r="X58" s="172"/>
    </row>
    <row r="59" spans="1:24" ht="16.5" customHeight="1" x14ac:dyDescent="0.3">
      <c r="A59" s="147">
        <v>15</v>
      </c>
      <c r="B59" s="147">
        <v>1659</v>
      </c>
      <c r="C59" s="197" t="s">
        <v>6471</v>
      </c>
      <c r="D59" s="156" t="s">
        <v>17091</v>
      </c>
      <c r="E59" s="160"/>
      <c r="F59" s="158"/>
      <c r="G59" s="156" t="s">
        <v>17082</v>
      </c>
      <c r="H59" s="160"/>
      <c r="I59" s="158"/>
      <c r="J59" s="156" t="s">
        <v>17081</v>
      </c>
      <c r="K59" s="160"/>
      <c r="L59" s="158"/>
      <c r="M59" s="160"/>
      <c r="N59" s="160"/>
      <c r="O59" s="161"/>
      <c r="P59" s="162"/>
      <c r="Q59" s="163"/>
      <c r="R59" s="164"/>
      <c r="S59" s="170"/>
      <c r="T59" s="171"/>
      <c r="U59" s="170"/>
      <c r="V59" s="171"/>
      <c r="W59" s="178">
        <v>923</v>
      </c>
      <c r="X59" s="172"/>
    </row>
    <row r="60" spans="1:24" ht="16.5" customHeight="1" x14ac:dyDescent="0.3">
      <c r="A60" s="147">
        <v>15</v>
      </c>
      <c r="B60" s="147">
        <v>1660</v>
      </c>
      <c r="C60" s="197" t="s">
        <v>6470</v>
      </c>
      <c r="D60" s="188" t="s">
        <v>17085</v>
      </c>
      <c r="E60" s="153"/>
      <c r="F60" s="171"/>
      <c r="G60" s="188" t="s">
        <v>17079</v>
      </c>
      <c r="H60" s="153"/>
      <c r="I60" s="171"/>
      <c r="J60" s="188" t="s">
        <v>17079</v>
      </c>
      <c r="K60" s="153"/>
      <c r="L60" s="171"/>
      <c r="M60" s="150"/>
      <c r="N60" s="150"/>
      <c r="O60" s="151"/>
      <c r="P60" s="162" t="s">
        <v>5895</v>
      </c>
      <c r="Q60" s="163" t="s">
        <v>1</v>
      </c>
      <c r="R60" s="164">
        <v>1</v>
      </c>
      <c r="S60" s="170"/>
      <c r="T60" s="171"/>
      <c r="U60" s="170"/>
      <c r="V60" s="171"/>
      <c r="W60" s="178">
        <v>923</v>
      </c>
      <c r="X60" s="172"/>
    </row>
    <row r="61" spans="1:24" ht="16.5" customHeight="1" x14ac:dyDescent="0.3">
      <c r="A61" s="147">
        <v>15</v>
      </c>
      <c r="B61" s="147">
        <v>1661</v>
      </c>
      <c r="C61" s="197" t="s">
        <v>6469</v>
      </c>
      <c r="D61" s="188" t="s">
        <v>17084</v>
      </c>
      <c r="E61" s="205">
        <v>406</v>
      </c>
      <c r="F61" s="171" t="s">
        <v>0</v>
      </c>
      <c r="G61" s="188"/>
      <c r="H61" s="205">
        <v>185</v>
      </c>
      <c r="I61" s="171" t="s">
        <v>0</v>
      </c>
      <c r="J61" s="188"/>
      <c r="K61" s="205">
        <v>83</v>
      </c>
      <c r="L61" s="171" t="s">
        <v>0</v>
      </c>
      <c r="M61" s="160" t="s">
        <v>17078</v>
      </c>
      <c r="N61" s="160"/>
      <c r="O61" s="161"/>
      <c r="P61" s="162"/>
      <c r="Q61" s="163"/>
      <c r="R61" s="164"/>
      <c r="S61" s="170"/>
      <c r="T61" s="171"/>
      <c r="U61" s="170"/>
      <c r="V61" s="171"/>
      <c r="W61" s="178">
        <v>647</v>
      </c>
      <c r="X61" s="172"/>
    </row>
    <row r="62" spans="1:24" ht="16.5" customHeight="1" x14ac:dyDescent="0.3">
      <c r="A62" s="147">
        <v>15</v>
      </c>
      <c r="B62" s="147">
        <v>1662</v>
      </c>
      <c r="C62" s="197" t="s">
        <v>6468</v>
      </c>
      <c r="D62" s="188"/>
      <c r="E62" s="153"/>
      <c r="F62" s="171"/>
      <c r="G62" s="188"/>
      <c r="H62" s="153"/>
      <c r="I62" s="171"/>
      <c r="J62" s="167"/>
      <c r="K62" s="150"/>
      <c r="L62" s="168"/>
      <c r="M62" s="150" t="s">
        <v>17077</v>
      </c>
      <c r="N62" s="150" t="s">
        <v>1</v>
      </c>
      <c r="O62" s="151">
        <v>0.7</v>
      </c>
      <c r="P62" s="162" t="s">
        <v>5895</v>
      </c>
      <c r="Q62" s="163" t="s">
        <v>1</v>
      </c>
      <c r="R62" s="164">
        <v>1</v>
      </c>
      <c r="S62" s="170"/>
      <c r="T62" s="171"/>
      <c r="U62" s="170"/>
      <c r="V62" s="171"/>
      <c r="W62" s="178">
        <v>647</v>
      </c>
      <c r="X62" s="172"/>
    </row>
    <row r="63" spans="1:24" ht="16.5" customHeight="1" x14ac:dyDescent="0.3">
      <c r="A63" s="147">
        <v>15</v>
      </c>
      <c r="B63" s="147">
        <v>1663</v>
      </c>
      <c r="C63" s="197" t="s">
        <v>6467</v>
      </c>
      <c r="D63" s="188"/>
      <c r="E63" s="153"/>
      <c r="F63" s="171"/>
      <c r="G63" s="188"/>
      <c r="H63" s="153"/>
      <c r="I63" s="171"/>
      <c r="J63" s="156" t="s">
        <v>17086</v>
      </c>
      <c r="K63" s="160"/>
      <c r="L63" s="158"/>
      <c r="M63" s="160"/>
      <c r="N63" s="160"/>
      <c r="O63" s="161"/>
      <c r="P63" s="162"/>
      <c r="Q63" s="163"/>
      <c r="R63" s="164"/>
      <c r="S63" s="170"/>
      <c r="T63" s="171"/>
      <c r="U63" s="170"/>
      <c r="V63" s="171"/>
      <c r="W63" s="178">
        <v>1007</v>
      </c>
      <c r="X63" s="172"/>
    </row>
    <row r="64" spans="1:24" ht="16.5" customHeight="1" x14ac:dyDescent="0.3">
      <c r="A64" s="147">
        <v>15</v>
      </c>
      <c r="B64" s="147">
        <v>1664</v>
      </c>
      <c r="C64" s="197" t="s">
        <v>6466</v>
      </c>
      <c r="D64" s="188"/>
      <c r="E64" s="153"/>
      <c r="F64" s="171"/>
      <c r="G64" s="188"/>
      <c r="H64" s="153"/>
      <c r="I64" s="171"/>
      <c r="J64" s="188" t="s">
        <v>17085</v>
      </c>
      <c r="K64" s="153"/>
      <c r="L64" s="171"/>
      <c r="M64" s="150"/>
      <c r="N64" s="150"/>
      <c r="O64" s="151"/>
      <c r="P64" s="162" t="s">
        <v>5895</v>
      </c>
      <c r="Q64" s="163" t="s">
        <v>1</v>
      </c>
      <c r="R64" s="164">
        <v>1</v>
      </c>
      <c r="S64" s="170"/>
      <c r="T64" s="171"/>
      <c r="U64" s="170"/>
      <c r="V64" s="171"/>
      <c r="W64" s="178">
        <v>1007</v>
      </c>
      <c r="X64" s="172"/>
    </row>
    <row r="65" spans="1:24" ht="16.5" customHeight="1" x14ac:dyDescent="0.3">
      <c r="A65" s="147">
        <v>15</v>
      </c>
      <c r="B65" s="147">
        <v>1665</v>
      </c>
      <c r="C65" s="197" t="s">
        <v>6465</v>
      </c>
      <c r="D65" s="188"/>
      <c r="E65" s="153"/>
      <c r="F65" s="171"/>
      <c r="G65" s="188"/>
      <c r="H65" s="153"/>
      <c r="I65" s="171"/>
      <c r="J65" s="188" t="s">
        <v>17084</v>
      </c>
      <c r="K65" s="205">
        <v>167</v>
      </c>
      <c r="L65" s="171" t="s">
        <v>0</v>
      </c>
      <c r="M65" s="160" t="s">
        <v>17078</v>
      </c>
      <c r="N65" s="160"/>
      <c r="O65" s="161"/>
      <c r="P65" s="162"/>
      <c r="Q65" s="163"/>
      <c r="R65" s="164"/>
      <c r="S65" s="170"/>
      <c r="T65" s="171"/>
      <c r="U65" s="170"/>
      <c r="V65" s="171"/>
      <c r="W65" s="178">
        <v>706</v>
      </c>
      <c r="X65" s="172"/>
    </row>
    <row r="66" spans="1:24" ht="16.5" customHeight="1" x14ac:dyDescent="0.3">
      <c r="A66" s="147">
        <v>15</v>
      </c>
      <c r="B66" s="147">
        <v>1666</v>
      </c>
      <c r="C66" s="197" t="s">
        <v>6464</v>
      </c>
      <c r="D66" s="188"/>
      <c r="E66" s="153"/>
      <c r="F66" s="171"/>
      <c r="G66" s="188"/>
      <c r="H66" s="153"/>
      <c r="I66" s="171"/>
      <c r="J66" s="167"/>
      <c r="K66" s="150"/>
      <c r="L66" s="168"/>
      <c r="M66" s="150" t="s">
        <v>17077</v>
      </c>
      <c r="N66" s="150" t="s">
        <v>1</v>
      </c>
      <c r="O66" s="151">
        <v>0.7</v>
      </c>
      <c r="P66" s="162" t="s">
        <v>5895</v>
      </c>
      <c r="Q66" s="163" t="s">
        <v>1</v>
      </c>
      <c r="R66" s="164">
        <v>1</v>
      </c>
      <c r="S66" s="170"/>
      <c r="T66" s="171"/>
      <c r="U66" s="170"/>
      <c r="V66" s="171"/>
      <c r="W66" s="178">
        <v>706</v>
      </c>
      <c r="X66" s="172"/>
    </row>
    <row r="67" spans="1:24" ht="16.5" customHeight="1" x14ac:dyDescent="0.3">
      <c r="A67" s="147">
        <v>15</v>
      </c>
      <c r="B67" s="147">
        <v>1667</v>
      </c>
      <c r="C67" s="197" t="s">
        <v>6463</v>
      </c>
      <c r="D67" s="188"/>
      <c r="E67" s="153"/>
      <c r="F67" s="171"/>
      <c r="G67" s="188"/>
      <c r="H67" s="153"/>
      <c r="I67" s="171"/>
      <c r="J67" s="156" t="s">
        <v>17090</v>
      </c>
      <c r="K67" s="160"/>
      <c r="L67" s="158"/>
      <c r="M67" s="160"/>
      <c r="N67" s="160"/>
      <c r="O67" s="161"/>
      <c r="P67" s="162"/>
      <c r="Q67" s="163"/>
      <c r="R67" s="164"/>
      <c r="S67" s="170"/>
      <c r="T67" s="171"/>
      <c r="U67" s="170"/>
      <c r="V67" s="171"/>
      <c r="W67" s="178">
        <v>1091</v>
      </c>
      <c r="X67" s="172"/>
    </row>
    <row r="68" spans="1:24" ht="16.5" customHeight="1" x14ac:dyDescent="0.3">
      <c r="A68" s="147">
        <v>15</v>
      </c>
      <c r="B68" s="147">
        <v>1668</v>
      </c>
      <c r="C68" s="197" t="s">
        <v>6462</v>
      </c>
      <c r="D68" s="188"/>
      <c r="E68" s="153"/>
      <c r="F68" s="171"/>
      <c r="G68" s="188"/>
      <c r="H68" s="153"/>
      <c r="I68" s="171"/>
      <c r="J68" s="188" t="s">
        <v>17088</v>
      </c>
      <c r="K68" s="153"/>
      <c r="L68" s="171"/>
      <c r="M68" s="150"/>
      <c r="N68" s="150"/>
      <c r="O68" s="151"/>
      <c r="P68" s="162" t="s">
        <v>5895</v>
      </c>
      <c r="Q68" s="163" t="s">
        <v>1</v>
      </c>
      <c r="R68" s="164">
        <v>1</v>
      </c>
      <c r="S68" s="170"/>
      <c r="T68" s="171"/>
      <c r="U68" s="170"/>
      <c r="V68" s="171"/>
      <c r="W68" s="178">
        <v>1091</v>
      </c>
      <c r="X68" s="172"/>
    </row>
    <row r="69" spans="1:24" ht="16.5" customHeight="1" x14ac:dyDescent="0.3">
      <c r="A69" s="147">
        <v>15</v>
      </c>
      <c r="B69" s="147">
        <v>1669</v>
      </c>
      <c r="C69" s="197" t="s">
        <v>6461</v>
      </c>
      <c r="D69" s="188"/>
      <c r="E69" s="153"/>
      <c r="F69" s="171"/>
      <c r="G69" s="188"/>
      <c r="H69" s="153"/>
      <c r="I69" s="171"/>
      <c r="J69" s="188" t="s">
        <v>17087</v>
      </c>
      <c r="K69" s="205">
        <v>251</v>
      </c>
      <c r="L69" s="171" t="s">
        <v>0</v>
      </c>
      <c r="M69" s="160" t="s">
        <v>17078</v>
      </c>
      <c r="N69" s="160"/>
      <c r="O69" s="161"/>
      <c r="P69" s="162"/>
      <c r="Q69" s="163"/>
      <c r="R69" s="164"/>
      <c r="S69" s="170"/>
      <c r="T69" s="171"/>
      <c r="U69" s="170"/>
      <c r="V69" s="171"/>
      <c r="W69" s="178">
        <v>765</v>
      </c>
      <c r="X69" s="172"/>
    </row>
    <row r="70" spans="1:24" ht="16.5" customHeight="1" x14ac:dyDescent="0.3">
      <c r="A70" s="147">
        <v>15</v>
      </c>
      <c r="B70" s="147">
        <v>1670</v>
      </c>
      <c r="C70" s="197" t="s">
        <v>6460</v>
      </c>
      <c r="D70" s="167"/>
      <c r="E70" s="150"/>
      <c r="F70" s="168"/>
      <c r="G70" s="167"/>
      <c r="H70" s="150"/>
      <c r="I70" s="168"/>
      <c r="J70" s="167"/>
      <c r="K70" s="150"/>
      <c r="L70" s="168"/>
      <c r="M70" s="150" t="s">
        <v>17077</v>
      </c>
      <c r="N70" s="150" t="s">
        <v>1</v>
      </c>
      <c r="O70" s="151">
        <v>0.7</v>
      </c>
      <c r="P70" s="162" t="s">
        <v>5895</v>
      </c>
      <c r="Q70" s="163" t="s">
        <v>1</v>
      </c>
      <c r="R70" s="164">
        <v>1</v>
      </c>
      <c r="S70" s="170"/>
      <c r="T70" s="171"/>
      <c r="U70" s="170"/>
      <c r="V70" s="171"/>
      <c r="W70" s="178">
        <v>765</v>
      </c>
      <c r="X70" s="172"/>
    </row>
    <row r="71" spans="1:24" ht="16.5" customHeight="1" x14ac:dyDescent="0.3">
      <c r="A71" s="147">
        <v>15</v>
      </c>
      <c r="B71" s="147">
        <v>1671</v>
      </c>
      <c r="C71" s="197" t="s">
        <v>6459</v>
      </c>
      <c r="D71" s="156" t="s">
        <v>17089</v>
      </c>
      <c r="E71" s="160"/>
      <c r="F71" s="158"/>
      <c r="G71" s="156" t="s">
        <v>17082</v>
      </c>
      <c r="H71" s="160"/>
      <c r="I71" s="158"/>
      <c r="J71" s="156" t="s">
        <v>17081</v>
      </c>
      <c r="K71" s="160"/>
      <c r="L71" s="158"/>
      <c r="M71" s="160"/>
      <c r="N71" s="160"/>
      <c r="O71" s="161"/>
      <c r="P71" s="162"/>
      <c r="Q71" s="163"/>
      <c r="R71" s="164"/>
      <c r="S71" s="170"/>
      <c r="T71" s="171"/>
      <c r="U71" s="170"/>
      <c r="V71" s="171"/>
      <c r="W71" s="178">
        <v>1075</v>
      </c>
      <c r="X71" s="172"/>
    </row>
    <row r="72" spans="1:24" ht="16.5" customHeight="1" x14ac:dyDescent="0.3">
      <c r="A72" s="147">
        <v>15</v>
      </c>
      <c r="B72" s="147">
        <v>1672</v>
      </c>
      <c r="C72" s="197" t="s">
        <v>6458</v>
      </c>
      <c r="D72" s="188" t="s">
        <v>17088</v>
      </c>
      <c r="E72" s="153"/>
      <c r="F72" s="171"/>
      <c r="G72" s="188" t="s">
        <v>17079</v>
      </c>
      <c r="H72" s="153"/>
      <c r="I72" s="171"/>
      <c r="J72" s="188" t="s">
        <v>17079</v>
      </c>
      <c r="K72" s="153"/>
      <c r="L72" s="171"/>
      <c r="M72" s="150"/>
      <c r="N72" s="150"/>
      <c r="O72" s="151"/>
      <c r="P72" s="162" t="s">
        <v>5895</v>
      </c>
      <c r="Q72" s="163" t="s">
        <v>1</v>
      </c>
      <c r="R72" s="164">
        <v>1</v>
      </c>
      <c r="S72" s="170"/>
      <c r="T72" s="171"/>
      <c r="U72" s="170"/>
      <c r="V72" s="171"/>
      <c r="W72" s="178">
        <v>1075</v>
      </c>
      <c r="X72" s="172"/>
    </row>
    <row r="73" spans="1:24" ht="16.5" customHeight="1" x14ac:dyDescent="0.3">
      <c r="A73" s="147">
        <v>15</v>
      </c>
      <c r="B73" s="147">
        <v>1673</v>
      </c>
      <c r="C73" s="197" t="s">
        <v>6457</v>
      </c>
      <c r="D73" s="188" t="s">
        <v>17087</v>
      </c>
      <c r="E73" s="205">
        <v>591</v>
      </c>
      <c r="F73" s="171" t="s">
        <v>0</v>
      </c>
      <c r="G73" s="188"/>
      <c r="H73" s="205">
        <v>83</v>
      </c>
      <c r="I73" s="171" t="s">
        <v>0</v>
      </c>
      <c r="J73" s="188"/>
      <c r="K73" s="205">
        <v>84</v>
      </c>
      <c r="L73" s="171" t="s">
        <v>0</v>
      </c>
      <c r="M73" s="160" t="s">
        <v>17078</v>
      </c>
      <c r="N73" s="160"/>
      <c r="O73" s="161"/>
      <c r="P73" s="162"/>
      <c r="Q73" s="163"/>
      <c r="R73" s="164"/>
      <c r="S73" s="170"/>
      <c r="T73" s="171"/>
      <c r="U73" s="170"/>
      <c r="V73" s="171"/>
      <c r="W73" s="178">
        <v>753</v>
      </c>
      <c r="X73" s="172"/>
    </row>
    <row r="74" spans="1:24" ht="16.5" customHeight="1" x14ac:dyDescent="0.3">
      <c r="A74" s="147">
        <v>15</v>
      </c>
      <c r="B74" s="147">
        <v>1674</v>
      </c>
      <c r="C74" s="197" t="s">
        <v>6456</v>
      </c>
      <c r="D74" s="188"/>
      <c r="E74" s="153"/>
      <c r="F74" s="171"/>
      <c r="G74" s="188"/>
      <c r="H74" s="153"/>
      <c r="I74" s="171"/>
      <c r="J74" s="167"/>
      <c r="K74" s="150"/>
      <c r="L74" s="168"/>
      <c r="M74" s="150" t="s">
        <v>17077</v>
      </c>
      <c r="N74" s="150" t="s">
        <v>1</v>
      </c>
      <c r="O74" s="151">
        <v>0.7</v>
      </c>
      <c r="P74" s="162" t="s">
        <v>5895</v>
      </c>
      <c r="Q74" s="163" t="s">
        <v>1</v>
      </c>
      <c r="R74" s="164">
        <v>1</v>
      </c>
      <c r="S74" s="170"/>
      <c r="T74" s="171"/>
      <c r="U74" s="170"/>
      <c r="V74" s="171"/>
      <c r="W74" s="178">
        <v>753</v>
      </c>
      <c r="X74" s="172"/>
    </row>
    <row r="75" spans="1:24" ht="16.5" customHeight="1" x14ac:dyDescent="0.3">
      <c r="A75" s="147">
        <v>15</v>
      </c>
      <c r="B75" s="147">
        <v>1675</v>
      </c>
      <c r="C75" s="197" t="s">
        <v>6455</v>
      </c>
      <c r="D75" s="188"/>
      <c r="E75" s="153"/>
      <c r="F75" s="171"/>
      <c r="G75" s="188"/>
      <c r="H75" s="153"/>
      <c r="I75" s="171"/>
      <c r="J75" s="156" t="s">
        <v>17086</v>
      </c>
      <c r="K75" s="160"/>
      <c r="L75" s="158"/>
      <c r="M75" s="160"/>
      <c r="N75" s="160"/>
      <c r="O75" s="161"/>
      <c r="P75" s="162"/>
      <c r="Q75" s="163"/>
      <c r="R75" s="164"/>
      <c r="S75" s="170"/>
      <c r="T75" s="171"/>
      <c r="U75" s="170"/>
      <c r="V75" s="171"/>
      <c r="W75" s="178">
        <v>1159</v>
      </c>
      <c r="X75" s="172"/>
    </row>
    <row r="76" spans="1:24" ht="16.5" customHeight="1" x14ac:dyDescent="0.3">
      <c r="A76" s="147">
        <v>15</v>
      </c>
      <c r="B76" s="147">
        <v>1676</v>
      </c>
      <c r="C76" s="197" t="s">
        <v>6454</v>
      </c>
      <c r="D76" s="188"/>
      <c r="E76" s="153"/>
      <c r="F76" s="171"/>
      <c r="G76" s="188"/>
      <c r="H76" s="153"/>
      <c r="I76" s="171"/>
      <c r="J76" s="188" t="s">
        <v>17085</v>
      </c>
      <c r="K76" s="153"/>
      <c r="L76" s="171"/>
      <c r="M76" s="150"/>
      <c r="N76" s="150"/>
      <c r="O76" s="151"/>
      <c r="P76" s="162" t="s">
        <v>5895</v>
      </c>
      <c r="Q76" s="163" t="s">
        <v>1</v>
      </c>
      <c r="R76" s="164">
        <v>1</v>
      </c>
      <c r="S76" s="170"/>
      <c r="T76" s="171"/>
      <c r="U76" s="170"/>
      <c r="V76" s="171"/>
      <c r="W76" s="178">
        <v>1159</v>
      </c>
      <c r="X76" s="172"/>
    </row>
    <row r="77" spans="1:24" ht="16.5" customHeight="1" x14ac:dyDescent="0.3">
      <c r="A77" s="147">
        <v>15</v>
      </c>
      <c r="B77" s="147">
        <v>1677</v>
      </c>
      <c r="C77" s="197" t="s">
        <v>6453</v>
      </c>
      <c r="D77" s="188"/>
      <c r="E77" s="153"/>
      <c r="F77" s="171"/>
      <c r="G77" s="188"/>
      <c r="H77" s="153"/>
      <c r="I77" s="171"/>
      <c r="J77" s="188" t="s">
        <v>17084</v>
      </c>
      <c r="K77" s="205">
        <v>168</v>
      </c>
      <c r="L77" s="171" t="s">
        <v>0</v>
      </c>
      <c r="M77" s="160" t="s">
        <v>17078</v>
      </c>
      <c r="N77" s="160"/>
      <c r="O77" s="161"/>
      <c r="P77" s="162"/>
      <c r="Q77" s="163"/>
      <c r="R77" s="164"/>
      <c r="S77" s="170"/>
      <c r="T77" s="171"/>
      <c r="U77" s="170"/>
      <c r="V77" s="171"/>
      <c r="W77" s="178">
        <v>812</v>
      </c>
      <c r="X77" s="172"/>
    </row>
    <row r="78" spans="1:24" ht="16.5" customHeight="1" x14ac:dyDescent="0.3">
      <c r="A78" s="147">
        <v>15</v>
      </c>
      <c r="B78" s="147">
        <v>1678</v>
      </c>
      <c r="C78" s="197" t="s">
        <v>6452</v>
      </c>
      <c r="D78" s="167"/>
      <c r="E78" s="150"/>
      <c r="F78" s="168"/>
      <c r="G78" s="167"/>
      <c r="H78" s="150"/>
      <c r="I78" s="168"/>
      <c r="J78" s="167"/>
      <c r="K78" s="150"/>
      <c r="L78" s="168"/>
      <c r="M78" s="150" t="s">
        <v>17077</v>
      </c>
      <c r="N78" s="150" t="s">
        <v>1</v>
      </c>
      <c r="O78" s="151">
        <v>0.7</v>
      </c>
      <c r="P78" s="162" t="s">
        <v>5895</v>
      </c>
      <c r="Q78" s="163" t="s">
        <v>1</v>
      </c>
      <c r="R78" s="164">
        <v>1</v>
      </c>
      <c r="S78" s="170"/>
      <c r="T78" s="171"/>
      <c r="U78" s="170"/>
      <c r="V78" s="171"/>
      <c r="W78" s="178">
        <v>812</v>
      </c>
      <c r="X78" s="172"/>
    </row>
    <row r="79" spans="1:24" ht="16.5" customHeight="1" x14ac:dyDescent="0.3">
      <c r="A79" s="147">
        <v>15</v>
      </c>
      <c r="B79" s="147">
        <v>1679</v>
      </c>
      <c r="C79" s="197" t="s">
        <v>6451</v>
      </c>
      <c r="D79" s="156" t="s">
        <v>17083</v>
      </c>
      <c r="E79" s="160"/>
      <c r="F79" s="158"/>
      <c r="G79" s="156" t="s">
        <v>17082</v>
      </c>
      <c r="H79" s="160"/>
      <c r="I79" s="158"/>
      <c r="J79" s="156" t="s">
        <v>17081</v>
      </c>
      <c r="K79" s="160"/>
      <c r="L79" s="158"/>
      <c r="M79" s="160"/>
      <c r="N79" s="160"/>
      <c r="O79" s="161"/>
      <c r="P79" s="162"/>
      <c r="Q79" s="163"/>
      <c r="R79" s="164"/>
      <c r="S79" s="170"/>
      <c r="T79" s="171"/>
      <c r="U79" s="170"/>
      <c r="V79" s="171"/>
      <c r="W79" s="178">
        <v>1200</v>
      </c>
      <c r="X79" s="172"/>
    </row>
    <row r="80" spans="1:24" ht="16.5" customHeight="1" x14ac:dyDescent="0.3">
      <c r="A80" s="147">
        <v>15</v>
      </c>
      <c r="B80" s="147">
        <v>1680</v>
      </c>
      <c r="C80" s="197" t="s">
        <v>6450</v>
      </c>
      <c r="D80" s="188" t="s">
        <v>17080</v>
      </c>
      <c r="E80" s="153"/>
      <c r="F80" s="171"/>
      <c r="G80" s="188" t="s">
        <v>17079</v>
      </c>
      <c r="H80" s="153"/>
      <c r="I80" s="171"/>
      <c r="J80" s="188" t="s">
        <v>17079</v>
      </c>
      <c r="K80" s="153"/>
      <c r="L80" s="171"/>
      <c r="M80" s="150"/>
      <c r="N80" s="150"/>
      <c r="O80" s="151"/>
      <c r="P80" s="162" t="s">
        <v>5895</v>
      </c>
      <c r="Q80" s="163" t="s">
        <v>1</v>
      </c>
      <c r="R80" s="164">
        <v>1</v>
      </c>
      <c r="S80" s="170"/>
      <c r="T80" s="171"/>
      <c r="U80" s="170"/>
      <c r="V80" s="171"/>
      <c r="W80" s="178">
        <v>1200</v>
      </c>
      <c r="X80" s="172"/>
    </row>
    <row r="81" spans="1:24" ht="16.5" customHeight="1" x14ac:dyDescent="0.3">
      <c r="A81" s="147">
        <v>15</v>
      </c>
      <c r="B81" s="147">
        <v>1681</v>
      </c>
      <c r="C81" s="197" t="s">
        <v>6449</v>
      </c>
      <c r="D81" s="188" t="s">
        <v>6448</v>
      </c>
      <c r="E81" s="205">
        <v>674</v>
      </c>
      <c r="F81" s="171" t="s">
        <v>0</v>
      </c>
      <c r="G81" s="188"/>
      <c r="H81" s="205">
        <v>84</v>
      </c>
      <c r="I81" s="171" t="s">
        <v>0</v>
      </c>
      <c r="J81" s="188"/>
      <c r="K81" s="205">
        <v>84</v>
      </c>
      <c r="L81" s="171" t="s">
        <v>0</v>
      </c>
      <c r="M81" s="160" t="s">
        <v>17078</v>
      </c>
      <c r="N81" s="160"/>
      <c r="O81" s="161"/>
      <c r="P81" s="162"/>
      <c r="Q81" s="163"/>
      <c r="R81" s="164"/>
      <c r="S81" s="170"/>
      <c r="T81" s="171"/>
      <c r="U81" s="170"/>
      <c r="V81" s="171"/>
      <c r="W81" s="178">
        <v>841</v>
      </c>
      <c r="X81" s="172"/>
    </row>
    <row r="82" spans="1:24" ht="16.5" customHeight="1" x14ac:dyDescent="0.3">
      <c r="A82" s="147">
        <v>15</v>
      </c>
      <c r="B82" s="147">
        <v>1682</v>
      </c>
      <c r="C82" s="197" t="s">
        <v>6447</v>
      </c>
      <c r="D82" s="167"/>
      <c r="E82" s="150"/>
      <c r="F82" s="168"/>
      <c r="G82" s="167"/>
      <c r="H82" s="150"/>
      <c r="I82" s="168"/>
      <c r="J82" s="167"/>
      <c r="K82" s="150"/>
      <c r="L82" s="168"/>
      <c r="M82" s="150" t="s">
        <v>17077</v>
      </c>
      <c r="N82" s="150" t="s">
        <v>1</v>
      </c>
      <c r="O82" s="151">
        <v>0.7</v>
      </c>
      <c r="P82" s="162" t="s">
        <v>5895</v>
      </c>
      <c r="Q82" s="163" t="s">
        <v>1</v>
      </c>
      <c r="R82" s="164">
        <v>1</v>
      </c>
      <c r="S82" s="176"/>
      <c r="T82" s="168"/>
      <c r="U82" s="176"/>
      <c r="V82" s="168"/>
      <c r="W82" s="178">
        <v>841</v>
      </c>
      <c r="X82" s="177"/>
    </row>
    <row r="83" spans="1:24" ht="16.5" customHeight="1" x14ac:dyDescent="0.3"/>
    <row r="84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theme="1" tint="0.249977111117893"/>
    <pageSetUpPr fitToPage="1"/>
  </sheetPr>
  <dimension ref="A1:S66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6.3671875" style="84" bestFit="1" customWidth="1"/>
    <col min="19" max="19" width="7.734375" style="48" bestFit="1" customWidth="1"/>
    <col min="20" max="16384" width="9" style="49"/>
  </cols>
  <sheetData>
    <row r="1" spans="1:19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6"/>
      <c r="S1" s="137"/>
    </row>
    <row r="2" spans="1:19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6"/>
      <c r="S2" s="137"/>
    </row>
    <row r="3" spans="1:19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6"/>
      <c r="S3" s="137"/>
    </row>
    <row r="4" spans="1:19" ht="16.5" customHeight="1" x14ac:dyDescent="0.3">
      <c r="A4" s="132"/>
      <c r="B4" s="138" t="s">
        <v>6585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6"/>
      <c r="S4" s="137"/>
    </row>
    <row r="5" spans="1:19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6" t="s">
        <v>5869</v>
      </c>
      <c r="S5" s="146" t="s">
        <v>5871</v>
      </c>
    </row>
    <row r="6" spans="1:19" ht="16.5" customHeight="1" x14ac:dyDescent="0.3">
      <c r="A6" s="147" t="s">
        <v>5865</v>
      </c>
      <c r="B6" s="147" t="s">
        <v>5866</v>
      </c>
      <c r="C6" s="148"/>
      <c r="D6" s="208" t="s">
        <v>5872</v>
      </c>
      <c r="E6" s="144"/>
      <c r="F6" s="206"/>
      <c r="G6" s="187"/>
      <c r="H6" s="153"/>
      <c r="I6" s="153"/>
      <c r="J6" s="150"/>
      <c r="K6" s="150"/>
      <c r="L6" s="151"/>
      <c r="M6" s="150"/>
      <c r="N6" s="150"/>
      <c r="O6" s="151"/>
      <c r="P6" s="151"/>
      <c r="Q6" s="150"/>
      <c r="R6" s="154" t="s">
        <v>5870</v>
      </c>
      <c r="S6" s="154" t="s">
        <v>0</v>
      </c>
    </row>
    <row r="7" spans="1:19" ht="16.5" customHeight="1" x14ac:dyDescent="0.3">
      <c r="A7" s="147">
        <v>15</v>
      </c>
      <c r="B7" s="147">
        <v>1683</v>
      </c>
      <c r="C7" s="197" t="s">
        <v>6584</v>
      </c>
      <c r="D7" s="156" t="s">
        <v>17076</v>
      </c>
      <c r="E7" s="144"/>
      <c r="F7" s="158"/>
      <c r="G7" s="156" t="s">
        <v>17105</v>
      </c>
      <c r="H7" s="144"/>
      <c r="I7" s="158"/>
      <c r="J7" s="160"/>
      <c r="K7" s="160"/>
      <c r="L7" s="161"/>
      <c r="M7" s="162"/>
      <c r="N7" s="163"/>
      <c r="O7" s="164"/>
      <c r="P7" s="165"/>
      <c r="Q7" s="158"/>
      <c r="R7" s="178">
        <v>535</v>
      </c>
      <c r="S7" s="142" t="s">
        <v>5863</v>
      </c>
    </row>
    <row r="8" spans="1:19" ht="16.5" customHeight="1" x14ac:dyDescent="0.3">
      <c r="A8" s="147">
        <v>15</v>
      </c>
      <c r="B8" s="147">
        <v>1684</v>
      </c>
      <c r="C8" s="197" t="s">
        <v>6583</v>
      </c>
      <c r="D8" s="188" t="s">
        <v>17056</v>
      </c>
      <c r="E8" s="210"/>
      <c r="F8" s="171"/>
      <c r="G8" s="188" t="s">
        <v>17056</v>
      </c>
      <c r="H8" s="153"/>
      <c r="I8" s="171"/>
      <c r="J8" s="150"/>
      <c r="K8" s="150"/>
      <c r="L8" s="151"/>
      <c r="M8" s="162" t="s">
        <v>5895</v>
      </c>
      <c r="N8" s="163" t="s">
        <v>1</v>
      </c>
      <c r="O8" s="164">
        <v>1</v>
      </c>
      <c r="P8" s="170"/>
      <c r="Q8" s="171"/>
      <c r="R8" s="178">
        <v>535</v>
      </c>
      <c r="S8" s="172"/>
    </row>
    <row r="9" spans="1:19" ht="16.5" customHeight="1" x14ac:dyDescent="0.3">
      <c r="A9" s="147">
        <v>15</v>
      </c>
      <c r="B9" s="147">
        <v>1685</v>
      </c>
      <c r="C9" s="197" t="s">
        <v>6582</v>
      </c>
      <c r="D9" s="188"/>
      <c r="E9" s="205">
        <v>257</v>
      </c>
      <c r="F9" s="171" t="s">
        <v>0</v>
      </c>
      <c r="G9" s="188"/>
      <c r="H9" s="205">
        <v>149</v>
      </c>
      <c r="I9" s="171" t="s">
        <v>0</v>
      </c>
      <c r="J9" s="160" t="s">
        <v>17054</v>
      </c>
      <c r="K9" s="160"/>
      <c r="L9" s="161"/>
      <c r="M9" s="162"/>
      <c r="N9" s="163"/>
      <c r="O9" s="164"/>
      <c r="P9" s="170"/>
      <c r="Q9" s="171"/>
      <c r="R9" s="178">
        <v>374</v>
      </c>
      <c r="S9" s="172"/>
    </row>
    <row r="10" spans="1:19" ht="16.5" customHeight="1" x14ac:dyDescent="0.3">
      <c r="A10" s="147">
        <v>15</v>
      </c>
      <c r="B10" s="147">
        <v>1686</v>
      </c>
      <c r="C10" s="197" t="s">
        <v>6581</v>
      </c>
      <c r="D10" s="188"/>
      <c r="E10" s="153"/>
      <c r="F10" s="171"/>
      <c r="G10" s="167"/>
      <c r="H10" s="150"/>
      <c r="I10" s="168"/>
      <c r="J10" s="150" t="s">
        <v>17053</v>
      </c>
      <c r="K10" s="150" t="s">
        <v>1</v>
      </c>
      <c r="L10" s="151">
        <v>0.7</v>
      </c>
      <c r="M10" s="162" t="s">
        <v>5895</v>
      </c>
      <c r="N10" s="163" t="s">
        <v>1</v>
      </c>
      <c r="O10" s="164">
        <v>1</v>
      </c>
      <c r="P10" s="170"/>
      <c r="Q10" s="171"/>
      <c r="R10" s="178">
        <v>374</v>
      </c>
      <c r="S10" s="172"/>
    </row>
    <row r="11" spans="1:19" ht="16.5" customHeight="1" x14ac:dyDescent="0.3">
      <c r="A11" s="147">
        <v>15</v>
      </c>
      <c r="B11" s="147">
        <v>1687</v>
      </c>
      <c r="C11" s="197" t="s">
        <v>6580</v>
      </c>
      <c r="D11" s="188"/>
      <c r="E11" s="153"/>
      <c r="F11" s="171"/>
      <c r="G11" s="156" t="s">
        <v>17106</v>
      </c>
      <c r="H11" s="160"/>
      <c r="I11" s="158"/>
      <c r="J11" s="160"/>
      <c r="K11" s="160"/>
      <c r="L11" s="161"/>
      <c r="M11" s="162"/>
      <c r="N11" s="163"/>
      <c r="O11" s="164"/>
      <c r="P11" s="170"/>
      <c r="Q11" s="171"/>
      <c r="R11" s="178">
        <v>720</v>
      </c>
      <c r="S11" s="172"/>
    </row>
    <row r="12" spans="1:19" ht="16.5" customHeight="1" x14ac:dyDescent="0.3">
      <c r="A12" s="147">
        <v>15</v>
      </c>
      <c r="B12" s="147">
        <v>1688</v>
      </c>
      <c r="C12" s="197" t="s">
        <v>6579</v>
      </c>
      <c r="D12" s="188"/>
      <c r="E12" s="153"/>
      <c r="F12" s="171"/>
      <c r="G12" s="188" t="s">
        <v>17067</v>
      </c>
      <c r="H12" s="153"/>
      <c r="I12" s="171"/>
      <c r="J12" s="150"/>
      <c r="K12" s="150"/>
      <c r="L12" s="151"/>
      <c r="M12" s="162" t="s">
        <v>5895</v>
      </c>
      <c r="N12" s="163" t="s">
        <v>1</v>
      </c>
      <c r="O12" s="164">
        <v>1</v>
      </c>
      <c r="P12" s="170" t="s">
        <v>17075</v>
      </c>
      <c r="Q12" s="171"/>
      <c r="R12" s="178">
        <v>720</v>
      </c>
      <c r="S12" s="172"/>
    </row>
    <row r="13" spans="1:19" ht="16.5" customHeight="1" x14ac:dyDescent="0.3">
      <c r="A13" s="147">
        <v>15</v>
      </c>
      <c r="B13" s="147">
        <v>1689</v>
      </c>
      <c r="C13" s="197" t="s">
        <v>6578</v>
      </c>
      <c r="D13" s="188"/>
      <c r="E13" s="153"/>
      <c r="F13" s="171"/>
      <c r="G13" s="188" t="s">
        <v>17060</v>
      </c>
      <c r="H13" s="205">
        <v>334</v>
      </c>
      <c r="I13" s="171" t="s">
        <v>0</v>
      </c>
      <c r="J13" s="160" t="s">
        <v>17054</v>
      </c>
      <c r="K13" s="160"/>
      <c r="L13" s="161"/>
      <c r="M13" s="162"/>
      <c r="N13" s="163"/>
      <c r="O13" s="164"/>
      <c r="P13" s="170"/>
      <c r="Q13" s="174" t="s">
        <v>17074</v>
      </c>
      <c r="R13" s="178">
        <v>504</v>
      </c>
      <c r="S13" s="172"/>
    </row>
    <row r="14" spans="1:19" ht="16.5" customHeight="1" x14ac:dyDescent="0.3">
      <c r="A14" s="147">
        <v>15</v>
      </c>
      <c r="B14" s="147">
        <v>1690</v>
      </c>
      <c r="C14" s="197" t="s">
        <v>6577</v>
      </c>
      <c r="D14" s="188"/>
      <c r="E14" s="153"/>
      <c r="F14" s="171"/>
      <c r="G14" s="167"/>
      <c r="H14" s="150"/>
      <c r="I14" s="168"/>
      <c r="J14" s="150" t="s">
        <v>17053</v>
      </c>
      <c r="K14" s="150" t="s">
        <v>1</v>
      </c>
      <c r="L14" s="151">
        <v>0.7</v>
      </c>
      <c r="M14" s="162" t="s">
        <v>5895</v>
      </c>
      <c r="N14" s="163" t="s">
        <v>1</v>
      </c>
      <c r="O14" s="164">
        <v>1</v>
      </c>
      <c r="P14" s="170"/>
      <c r="Q14" s="171"/>
      <c r="R14" s="178">
        <v>504</v>
      </c>
      <c r="S14" s="172"/>
    </row>
    <row r="15" spans="1:19" ht="16.5" customHeight="1" x14ac:dyDescent="0.3">
      <c r="A15" s="147">
        <v>15</v>
      </c>
      <c r="B15" s="147">
        <v>1691</v>
      </c>
      <c r="C15" s="197" t="s">
        <v>6576</v>
      </c>
      <c r="D15" s="188"/>
      <c r="E15" s="153"/>
      <c r="F15" s="171"/>
      <c r="G15" s="156" t="s">
        <v>17107</v>
      </c>
      <c r="H15" s="160"/>
      <c r="I15" s="158"/>
      <c r="J15" s="160"/>
      <c r="K15" s="160"/>
      <c r="L15" s="161"/>
      <c r="M15" s="162"/>
      <c r="N15" s="163"/>
      <c r="O15" s="164"/>
      <c r="P15" s="170" t="s">
        <v>1</v>
      </c>
      <c r="Q15" s="192">
        <v>0.5</v>
      </c>
      <c r="R15" s="178">
        <v>803</v>
      </c>
      <c r="S15" s="172"/>
    </row>
    <row r="16" spans="1:19" ht="16.5" customHeight="1" x14ac:dyDescent="0.3">
      <c r="A16" s="147">
        <v>15</v>
      </c>
      <c r="B16" s="147">
        <v>1692</v>
      </c>
      <c r="C16" s="197" t="s">
        <v>6575</v>
      </c>
      <c r="D16" s="188"/>
      <c r="E16" s="153"/>
      <c r="F16" s="171"/>
      <c r="G16" s="188" t="s">
        <v>17070</v>
      </c>
      <c r="H16" s="153"/>
      <c r="I16" s="171"/>
      <c r="J16" s="150"/>
      <c r="K16" s="150"/>
      <c r="L16" s="151"/>
      <c r="M16" s="162" t="s">
        <v>5895</v>
      </c>
      <c r="N16" s="163" t="s">
        <v>1</v>
      </c>
      <c r="O16" s="164">
        <v>1</v>
      </c>
      <c r="P16" s="170"/>
      <c r="Q16" s="174" t="s">
        <v>422</v>
      </c>
      <c r="R16" s="178">
        <v>803</v>
      </c>
      <c r="S16" s="172"/>
    </row>
    <row r="17" spans="1:19" ht="16.5" customHeight="1" x14ac:dyDescent="0.3">
      <c r="A17" s="147">
        <v>15</v>
      </c>
      <c r="B17" s="147">
        <v>1693</v>
      </c>
      <c r="C17" s="197" t="s">
        <v>6574</v>
      </c>
      <c r="D17" s="188"/>
      <c r="E17" s="153"/>
      <c r="F17" s="171"/>
      <c r="G17" s="188" t="s">
        <v>17065</v>
      </c>
      <c r="H17" s="205">
        <v>417</v>
      </c>
      <c r="I17" s="171" t="s">
        <v>0</v>
      </c>
      <c r="J17" s="160" t="s">
        <v>17054</v>
      </c>
      <c r="K17" s="160"/>
      <c r="L17" s="161"/>
      <c r="M17" s="162"/>
      <c r="N17" s="163"/>
      <c r="O17" s="164"/>
      <c r="P17" s="170"/>
      <c r="Q17" s="171"/>
      <c r="R17" s="178">
        <v>562</v>
      </c>
      <c r="S17" s="172"/>
    </row>
    <row r="18" spans="1:19" ht="16.5" customHeight="1" x14ac:dyDescent="0.3">
      <c r="A18" s="147">
        <v>15</v>
      </c>
      <c r="B18" s="147">
        <v>1694</v>
      </c>
      <c r="C18" s="197" t="s">
        <v>6573</v>
      </c>
      <c r="D18" s="188"/>
      <c r="E18" s="153"/>
      <c r="F18" s="171"/>
      <c r="G18" s="167"/>
      <c r="H18" s="150"/>
      <c r="I18" s="168"/>
      <c r="J18" s="150" t="s">
        <v>17053</v>
      </c>
      <c r="K18" s="150" t="s">
        <v>1</v>
      </c>
      <c r="L18" s="151">
        <v>0.7</v>
      </c>
      <c r="M18" s="162" t="s">
        <v>5895</v>
      </c>
      <c r="N18" s="163" t="s">
        <v>1</v>
      </c>
      <c r="O18" s="164">
        <v>1</v>
      </c>
      <c r="P18" s="170"/>
      <c r="Q18" s="171"/>
      <c r="R18" s="178">
        <v>562</v>
      </c>
      <c r="S18" s="172"/>
    </row>
    <row r="19" spans="1:19" ht="16.5" customHeight="1" x14ac:dyDescent="0.3">
      <c r="A19" s="147">
        <v>15</v>
      </c>
      <c r="B19" s="147">
        <v>1695</v>
      </c>
      <c r="C19" s="197" t="s">
        <v>6572</v>
      </c>
      <c r="D19" s="188"/>
      <c r="E19" s="153"/>
      <c r="F19" s="171"/>
      <c r="G19" s="156" t="s">
        <v>17108</v>
      </c>
      <c r="H19" s="160"/>
      <c r="I19" s="158"/>
      <c r="J19" s="160"/>
      <c r="K19" s="160"/>
      <c r="L19" s="161"/>
      <c r="M19" s="162"/>
      <c r="N19" s="163"/>
      <c r="O19" s="164"/>
      <c r="P19" s="170"/>
      <c r="Q19" s="171"/>
      <c r="R19" s="178">
        <v>887</v>
      </c>
      <c r="S19" s="172"/>
    </row>
    <row r="20" spans="1:19" ht="16.5" customHeight="1" x14ac:dyDescent="0.3">
      <c r="A20" s="147">
        <v>15</v>
      </c>
      <c r="B20" s="147">
        <v>1696</v>
      </c>
      <c r="C20" s="197" t="s">
        <v>6571</v>
      </c>
      <c r="D20" s="188"/>
      <c r="E20" s="153"/>
      <c r="F20" s="171"/>
      <c r="G20" s="188" t="s">
        <v>17063</v>
      </c>
      <c r="H20" s="153"/>
      <c r="I20" s="171"/>
      <c r="J20" s="150"/>
      <c r="K20" s="150"/>
      <c r="L20" s="151"/>
      <c r="M20" s="162" t="s">
        <v>5895</v>
      </c>
      <c r="N20" s="163" t="s">
        <v>1</v>
      </c>
      <c r="O20" s="164">
        <v>1</v>
      </c>
      <c r="P20" s="170"/>
      <c r="Q20" s="171"/>
      <c r="R20" s="178">
        <v>887</v>
      </c>
      <c r="S20" s="172"/>
    </row>
    <row r="21" spans="1:19" ht="16.5" customHeight="1" x14ac:dyDescent="0.3">
      <c r="A21" s="147">
        <v>15</v>
      </c>
      <c r="B21" s="147">
        <v>1697</v>
      </c>
      <c r="C21" s="197" t="s">
        <v>6570</v>
      </c>
      <c r="D21" s="188"/>
      <c r="E21" s="153"/>
      <c r="F21" s="171"/>
      <c r="G21" s="188" t="s">
        <v>17062</v>
      </c>
      <c r="H21" s="205">
        <v>501</v>
      </c>
      <c r="I21" s="171" t="s">
        <v>0</v>
      </c>
      <c r="J21" s="160" t="s">
        <v>17054</v>
      </c>
      <c r="K21" s="160"/>
      <c r="L21" s="161"/>
      <c r="M21" s="162"/>
      <c r="N21" s="163"/>
      <c r="O21" s="164"/>
      <c r="P21" s="170"/>
      <c r="Q21" s="171"/>
      <c r="R21" s="178">
        <v>621</v>
      </c>
      <c r="S21" s="172"/>
    </row>
    <row r="22" spans="1:19" ht="16.5" customHeight="1" x14ac:dyDescent="0.3">
      <c r="A22" s="147">
        <v>15</v>
      </c>
      <c r="B22" s="147">
        <v>1698</v>
      </c>
      <c r="C22" s="197" t="s">
        <v>6569</v>
      </c>
      <c r="D22" s="188"/>
      <c r="E22" s="153"/>
      <c r="F22" s="171"/>
      <c r="G22" s="167"/>
      <c r="H22" s="150"/>
      <c r="I22" s="168"/>
      <c r="J22" s="150" t="s">
        <v>17053</v>
      </c>
      <c r="K22" s="150" t="s">
        <v>1</v>
      </c>
      <c r="L22" s="151">
        <v>0.7</v>
      </c>
      <c r="M22" s="162" t="s">
        <v>5895</v>
      </c>
      <c r="N22" s="163" t="s">
        <v>1</v>
      </c>
      <c r="O22" s="164">
        <v>1</v>
      </c>
      <c r="P22" s="170"/>
      <c r="Q22" s="171"/>
      <c r="R22" s="178">
        <v>621</v>
      </c>
      <c r="S22" s="172"/>
    </row>
    <row r="23" spans="1:19" ht="16.5" customHeight="1" x14ac:dyDescent="0.3">
      <c r="A23" s="147">
        <v>15</v>
      </c>
      <c r="B23" s="147">
        <v>1699</v>
      </c>
      <c r="C23" s="197" t="s">
        <v>6568</v>
      </c>
      <c r="D23" s="188"/>
      <c r="E23" s="153"/>
      <c r="F23" s="171"/>
      <c r="G23" s="156" t="s">
        <v>17109</v>
      </c>
      <c r="H23" s="160"/>
      <c r="I23" s="158"/>
      <c r="J23" s="160"/>
      <c r="K23" s="160"/>
      <c r="L23" s="161"/>
      <c r="M23" s="162"/>
      <c r="N23" s="163"/>
      <c r="O23" s="164"/>
      <c r="P23" s="170"/>
      <c r="Q23" s="171"/>
      <c r="R23" s="178">
        <v>971</v>
      </c>
      <c r="S23" s="172"/>
    </row>
    <row r="24" spans="1:19" ht="16.5" customHeight="1" x14ac:dyDescent="0.3">
      <c r="A24" s="147">
        <v>15</v>
      </c>
      <c r="B24" s="147">
        <v>1700</v>
      </c>
      <c r="C24" s="197" t="s">
        <v>6567</v>
      </c>
      <c r="D24" s="188"/>
      <c r="E24" s="153"/>
      <c r="F24" s="171"/>
      <c r="G24" s="188" t="s">
        <v>17057</v>
      </c>
      <c r="H24" s="153"/>
      <c r="I24" s="171"/>
      <c r="J24" s="150"/>
      <c r="K24" s="150"/>
      <c r="L24" s="151"/>
      <c r="M24" s="162" t="s">
        <v>5895</v>
      </c>
      <c r="N24" s="163" t="s">
        <v>1</v>
      </c>
      <c r="O24" s="164">
        <v>1</v>
      </c>
      <c r="P24" s="170"/>
      <c r="Q24" s="171"/>
      <c r="R24" s="178">
        <v>971</v>
      </c>
      <c r="S24" s="172"/>
    </row>
    <row r="25" spans="1:19" ht="16.5" customHeight="1" x14ac:dyDescent="0.3">
      <c r="A25" s="147">
        <v>15</v>
      </c>
      <c r="B25" s="147">
        <v>1701</v>
      </c>
      <c r="C25" s="197" t="s">
        <v>6566</v>
      </c>
      <c r="D25" s="188"/>
      <c r="E25" s="153"/>
      <c r="F25" s="171"/>
      <c r="G25" s="188" t="s">
        <v>17055</v>
      </c>
      <c r="H25" s="205">
        <v>585</v>
      </c>
      <c r="I25" s="171" t="s">
        <v>0</v>
      </c>
      <c r="J25" s="160" t="s">
        <v>17054</v>
      </c>
      <c r="K25" s="160"/>
      <c r="L25" s="161"/>
      <c r="M25" s="162"/>
      <c r="N25" s="163"/>
      <c r="O25" s="164"/>
      <c r="P25" s="170"/>
      <c r="Q25" s="171"/>
      <c r="R25" s="178">
        <v>680</v>
      </c>
      <c r="S25" s="172"/>
    </row>
    <row r="26" spans="1:19" ht="16.5" customHeight="1" x14ac:dyDescent="0.3">
      <c r="A26" s="147">
        <v>15</v>
      </c>
      <c r="B26" s="147">
        <v>1702</v>
      </c>
      <c r="C26" s="197" t="s">
        <v>6565</v>
      </c>
      <c r="D26" s="167"/>
      <c r="E26" s="150"/>
      <c r="F26" s="168"/>
      <c r="G26" s="167"/>
      <c r="H26" s="150"/>
      <c r="I26" s="168"/>
      <c r="J26" s="150" t="s">
        <v>17053</v>
      </c>
      <c r="K26" s="150" t="s">
        <v>1</v>
      </c>
      <c r="L26" s="151">
        <v>0.7</v>
      </c>
      <c r="M26" s="162" t="s">
        <v>5895</v>
      </c>
      <c r="N26" s="163" t="s">
        <v>1</v>
      </c>
      <c r="O26" s="164">
        <v>1</v>
      </c>
      <c r="P26" s="170"/>
      <c r="Q26" s="171"/>
      <c r="R26" s="178">
        <v>680</v>
      </c>
      <c r="S26" s="172"/>
    </row>
    <row r="27" spans="1:19" ht="16.5" customHeight="1" x14ac:dyDescent="0.3">
      <c r="A27" s="147">
        <v>15</v>
      </c>
      <c r="B27" s="147">
        <v>1703</v>
      </c>
      <c r="C27" s="197" t="s">
        <v>6564</v>
      </c>
      <c r="D27" s="156" t="s">
        <v>17072</v>
      </c>
      <c r="E27" s="160"/>
      <c r="F27" s="158"/>
      <c r="G27" s="156" t="s">
        <v>17105</v>
      </c>
      <c r="H27" s="160"/>
      <c r="I27" s="158"/>
      <c r="J27" s="160"/>
      <c r="K27" s="160"/>
      <c r="L27" s="161"/>
      <c r="M27" s="162"/>
      <c r="N27" s="163"/>
      <c r="O27" s="164"/>
      <c r="P27" s="170"/>
      <c r="Q27" s="171"/>
      <c r="R27" s="178">
        <v>794</v>
      </c>
      <c r="S27" s="172"/>
    </row>
    <row r="28" spans="1:19" ht="16.5" customHeight="1" x14ac:dyDescent="0.3">
      <c r="A28" s="147">
        <v>15</v>
      </c>
      <c r="B28" s="147">
        <v>1704</v>
      </c>
      <c r="C28" s="197" t="s">
        <v>6563</v>
      </c>
      <c r="D28" s="188" t="s">
        <v>17067</v>
      </c>
      <c r="E28" s="153"/>
      <c r="F28" s="171"/>
      <c r="G28" s="188" t="s">
        <v>17056</v>
      </c>
      <c r="H28" s="153"/>
      <c r="I28" s="171"/>
      <c r="J28" s="150"/>
      <c r="K28" s="150"/>
      <c r="L28" s="151"/>
      <c r="M28" s="162" t="s">
        <v>5895</v>
      </c>
      <c r="N28" s="163" t="s">
        <v>1</v>
      </c>
      <c r="O28" s="164">
        <v>1</v>
      </c>
      <c r="P28" s="170"/>
      <c r="Q28" s="171"/>
      <c r="R28" s="178">
        <v>794</v>
      </c>
      <c r="S28" s="172"/>
    </row>
    <row r="29" spans="1:19" ht="16.5" customHeight="1" x14ac:dyDescent="0.3">
      <c r="A29" s="147">
        <v>15</v>
      </c>
      <c r="B29" s="147">
        <v>1705</v>
      </c>
      <c r="C29" s="197" t="s">
        <v>6562</v>
      </c>
      <c r="D29" s="188" t="s">
        <v>17060</v>
      </c>
      <c r="E29" s="205">
        <v>406</v>
      </c>
      <c r="F29" s="171" t="s">
        <v>0</v>
      </c>
      <c r="G29" s="188"/>
      <c r="H29" s="205">
        <v>185</v>
      </c>
      <c r="I29" s="171" t="s">
        <v>0</v>
      </c>
      <c r="J29" s="160" t="s">
        <v>17054</v>
      </c>
      <c r="K29" s="160"/>
      <c r="L29" s="161"/>
      <c r="M29" s="162"/>
      <c r="N29" s="163"/>
      <c r="O29" s="164"/>
      <c r="P29" s="170"/>
      <c r="Q29" s="171"/>
      <c r="R29" s="178">
        <v>556</v>
      </c>
      <c r="S29" s="172"/>
    </row>
    <row r="30" spans="1:19" ht="16.5" customHeight="1" x14ac:dyDescent="0.3">
      <c r="A30" s="147">
        <v>15</v>
      </c>
      <c r="B30" s="147">
        <v>1706</v>
      </c>
      <c r="C30" s="197" t="s">
        <v>6561</v>
      </c>
      <c r="D30" s="188"/>
      <c r="E30" s="153"/>
      <c r="F30" s="171"/>
      <c r="G30" s="167"/>
      <c r="H30" s="150"/>
      <c r="I30" s="168"/>
      <c r="J30" s="150" t="s">
        <v>17053</v>
      </c>
      <c r="K30" s="150" t="s">
        <v>1</v>
      </c>
      <c r="L30" s="151">
        <v>0.7</v>
      </c>
      <c r="M30" s="162" t="s">
        <v>5895</v>
      </c>
      <c r="N30" s="163" t="s">
        <v>1</v>
      </c>
      <c r="O30" s="164">
        <v>1</v>
      </c>
      <c r="P30" s="170"/>
      <c r="Q30" s="171"/>
      <c r="R30" s="178">
        <v>556</v>
      </c>
      <c r="S30" s="172"/>
    </row>
    <row r="31" spans="1:19" ht="16.5" customHeight="1" x14ac:dyDescent="0.3">
      <c r="A31" s="147">
        <v>15</v>
      </c>
      <c r="B31" s="147">
        <v>1707</v>
      </c>
      <c r="C31" s="197" t="s">
        <v>6560</v>
      </c>
      <c r="D31" s="188"/>
      <c r="E31" s="153"/>
      <c r="F31" s="171"/>
      <c r="G31" s="156" t="s">
        <v>17106</v>
      </c>
      <c r="H31" s="160"/>
      <c r="I31" s="158"/>
      <c r="J31" s="160"/>
      <c r="K31" s="160"/>
      <c r="L31" s="161"/>
      <c r="M31" s="162"/>
      <c r="N31" s="163"/>
      <c r="O31" s="164"/>
      <c r="P31" s="170"/>
      <c r="Q31" s="171"/>
      <c r="R31" s="178">
        <v>877</v>
      </c>
      <c r="S31" s="172"/>
    </row>
    <row r="32" spans="1:19" ht="16.5" customHeight="1" x14ac:dyDescent="0.3">
      <c r="A32" s="147">
        <v>15</v>
      </c>
      <c r="B32" s="147">
        <v>1708</v>
      </c>
      <c r="C32" s="197" t="s">
        <v>6559</v>
      </c>
      <c r="D32" s="188"/>
      <c r="E32" s="153"/>
      <c r="F32" s="171"/>
      <c r="G32" s="188" t="s">
        <v>17067</v>
      </c>
      <c r="H32" s="153"/>
      <c r="I32" s="171"/>
      <c r="J32" s="150"/>
      <c r="K32" s="150"/>
      <c r="L32" s="151"/>
      <c r="M32" s="162" t="s">
        <v>5895</v>
      </c>
      <c r="N32" s="163" t="s">
        <v>1</v>
      </c>
      <c r="O32" s="164">
        <v>1</v>
      </c>
      <c r="P32" s="170"/>
      <c r="Q32" s="171"/>
      <c r="R32" s="178">
        <v>877</v>
      </c>
      <c r="S32" s="172"/>
    </row>
    <row r="33" spans="1:19" ht="16.5" customHeight="1" x14ac:dyDescent="0.3">
      <c r="A33" s="147">
        <v>15</v>
      </c>
      <c r="B33" s="147">
        <v>1709</v>
      </c>
      <c r="C33" s="197" t="s">
        <v>6558</v>
      </c>
      <c r="D33" s="188"/>
      <c r="E33" s="153"/>
      <c r="F33" s="171"/>
      <c r="G33" s="188" t="s">
        <v>17060</v>
      </c>
      <c r="H33" s="205">
        <v>268</v>
      </c>
      <c r="I33" s="171" t="s">
        <v>0</v>
      </c>
      <c r="J33" s="160" t="s">
        <v>17054</v>
      </c>
      <c r="K33" s="160"/>
      <c r="L33" s="161"/>
      <c r="M33" s="162"/>
      <c r="N33" s="163"/>
      <c r="O33" s="164"/>
      <c r="P33" s="170"/>
      <c r="Q33" s="171"/>
      <c r="R33" s="178">
        <v>614</v>
      </c>
      <c r="S33" s="172"/>
    </row>
    <row r="34" spans="1:19" ht="16.5" customHeight="1" x14ac:dyDescent="0.3">
      <c r="A34" s="147">
        <v>15</v>
      </c>
      <c r="B34" s="147">
        <v>1710</v>
      </c>
      <c r="C34" s="197" t="s">
        <v>6557</v>
      </c>
      <c r="D34" s="188"/>
      <c r="E34" s="153"/>
      <c r="F34" s="171"/>
      <c r="G34" s="167"/>
      <c r="H34" s="150"/>
      <c r="I34" s="168"/>
      <c r="J34" s="150" t="s">
        <v>17053</v>
      </c>
      <c r="K34" s="150" t="s">
        <v>1</v>
      </c>
      <c r="L34" s="151">
        <v>0.7</v>
      </c>
      <c r="M34" s="162" t="s">
        <v>5895</v>
      </c>
      <c r="N34" s="163" t="s">
        <v>1</v>
      </c>
      <c r="O34" s="164">
        <v>1</v>
      </c>
      <c r="P34" s="170"/>
      <c r="Q34" s="171"/>
      <c r="R34" s="178">
        <v>614</v>
      </c>
      <c r="S34" s="172"/>
    </row>
    <row r="35" spans="1:19" ht="16.5" customHeight="1" x14ac:dyDescent="0.3">
      <c r="A35" s="147">
        <v>15</v>
      </c>
      <c r="B35" s="147">
        <v>1711</v>
      </c>
      <c r="C35" s="197" t="s">
        <v>6556</v>
      </c>
      <c r="D35" s="188"/>
      <c r="E35" s="153"/>
      <c r="F35" s="171"/>
      <c r="G35" s="156" t="s">
        <v>17107</v>
      </c>
      <c r="H35" s="160"/>
      <c r="I35" s="158"/>
      <c r="J35" s="160"/>
      <c r="K35" s="160"/>
      <c r="L35" s="161"/>
      <c r="M35" s="162"/>
      <c r="N35" s="163"/>
      <c r="O35" s="164"/>
      <c r="P35" s="170"/>
      <c r="Q35" s="171"/>
      <c r="R35" s="178">
        <v>961</v>
      </c>
      <c r="S35" s="172"/>
    </row>
    <row r="36" spans="1:19" ht="16.5" customHeight="1" x14ac:dyDescent="0.3">
      <c r="A36" s="147">
        <v>15</v>
      </c>
      <c r="B36" s="147">
        <v>1712</v>
      </c>
      <c r="C36" s="197" t="s">
        <v>6555</v>
      </c>
      <c r="D36" s="188"/>
      <c r="E36" s="153"/>
      <c r="F36" s="171"/>
      <c r="G36" s="188" t="s">
        <v>17070</v>
      </c>
      <c r="H36" s="153"/>
      <c r="I36" s="171"/>
      <c r="J36" s="150"/>
      <c r="K36" s="150"/>
      <c r="L36" s="151"/>
      <c r="M36" s="162" t="s">
        <v>5895</v>
      </c>
      <c r="N36" s="163" t="s">
        <v>1</v>
      </c>
      <c r="O36" s="164">
        <v>1</v>
      </c>
      <c r="P36" s="170"/>
      <c r="Q36" s="171"/>
      <c r="R36" s="178">
        <v>961</v>
      </c>
      <c r="S36" s="172"/>
    </row>
    <row r="37" spans="1:19" ht="16.5" customHeight="1" x14ac:dyDescent="0.3">
      <c r="A37" s="147">
        <v>15</v>
      </c>
      <c r="B37" s="147">
        <v>1713</v>
      </c>
      <c r="C37" s="197" t="s">
        <v>6554</v>
      </c>
      <c r="D37" s="188"/>
      <c r="E37" s="153"/>
      <c r="F37" s="171"/>
      <c r="G37" s="188" t="s">
        <v>17065</v>
      </c>
      <c r="H37" s="205">
        <v>352</v>
      </c>
      <c r="I37" s="171" t="s">
        <v>0</v>
      </c>
      <c r="J37" s="160" t="s">
        <v>17054</v>
      </c>
      <c r="K37" s="160"/>
      <c r="L37" s="161"/>
      <c r="M37" s="162"/>
      <c r="N37" s="163"/>
      <c r="O37" s="164"/>
      <c r="P37" s="170"/>
      <c r="Q37" s="171"/>
      <c r="R37" s="178">
        <v>672</v>
      </c>
      <c r="S37" s="172"/>
    </row>
    <row r="38" spans="1:19" ht="16.5" customHeight="1" x14ac:dyDescent="0.3">
      <c r="A38" s="147">
        <v>15</v>
      </c>
      <c r="B38" s="147">
        <v>1714</v>
      </c>
      <c r="C38" s="197" t="s">
        <v>6553</v>
      </c>
      <c r="D38" s="188"/>
      <c r="E38" s="153"/>
      <c r="F38" s="171"/>
      <c r="G38" s="167"/>
      <c r="H38" s="150"/>
      <c r="I38" s="168"/>
      <c r="J38" s="150" t="s">
        <v>17053</v>
      </c>
      <c r="K38" s="150" t="s">
        <v>1</v>
      </c>
      <c r="L38" s="151">
        <v>0.7</v>
      </c>
      <c r="M38" s="162" t="s">
        <v>5895</v>
      </c>
      <c r="N38" s="163" t="s">
        <v>1</v>
      </c>
      <c r="O38" s="164">
        <v>1</v>
      </c>
      <c r="P38" s="170"/>
      <c r="Q38" s="171"/>
      <c r="R38" s="178">
        <v>672</v>
      </c>
      <c r="S38" s="172"/>
    </row>
    <row r="39" spans="1:19" ht="16.5" customHeight="1" x14ac:dyDescent="0.3">
      <c r="A39" s="147">
        <v>15</v>
      </c>
      <c r="B39" s="147">
        <v>1715</v>
      </c>
      <c r="C39" s="197" t="s">
        <v>6552</v>
      </c>
      <c r="D39" s="188"/>
      <c r="E39" s="153"/>
      <c r="F39" s="171"/>
      <c r="G39" s="156" t="s">
        <v>17108</v>
      </c>
      <c r="H39" s="160"/>
      <c r="I39" s="158"/>
      <c r="J39" s="160"/>
      <c r="K39" s="160"/>
      <c r="L39" s="161"/>
      <c r="M39" s="162"/>
      <c r="N39" s="163"/>
      <c r="O39" s="164"/>
      <c r="P39" s="170"/>
      <c r="Q39" s="171"/>
      <c r="R39" s="178">
        <v>1045</v>
      </c>
      <c r="S39" s="172"/>
    </row>
    <row r="40" spans="1:19" ht="16.5" customHeight="1" x14ac:dyDescent="0.3">
      <c r="A40" s="147">
        <v>15</v>
      </c>
      <c r="B40" s="147">
        <v>1716</v>
      </c>
      <c r="C40" s="197" t="s">
        <v>6551</v>
      </c>
      <c r="D40" s="188"/>
      <c r="E40" s="153"/>
      <c r="F40" s="171"/>
      <c r="G40" s="188" t="s">
        <v>17063</v>
      </c>
      <c r="H40" s="153"/>
      <c r="I40" s="171"/>
      <c r="J40" s="150"/>
      <c r="K40" s="150"/>
      <c r="L40" s="151"/>
      <c r="M40" s="162" t="s">
        <v>5895</v>
      </c>
      <c r="N40" s="163" t="s">
        <v>1</v>
      </c>
      <c r="O40" s="164">
        <v>1</v>
      </c>
      <c r="P40" s="170"/>
      <c r="Q40" s="171"/>
      <c r="R40" s="178">
        <v>1045</v>
      </c>
      <c r="S40" s="172"/>
    </row>
    <row r="41" spans="1:19" ht="16.5" customHeight="1" x14ac:dyDescent="0.3">
      <c r="A41" s="147">
        <v>15</v>
      </c>
      <c r="B41" s="147">
        <v>1717</v>
      </c>
      <c r="C41" s="197" t="s">
        <v>6550</v>
      </c>
      <c r="D41" s="188"/>
      <c r="E41" s="153"/>
      <c r="F41" s="171"/>
      <c r="G41" s="188" t="s">
        <v>17062</v>
      </c>
      <c r="H41" s="205">
        <v>436</v>
      </c>
      <c r="I41" s="171" t="s">
        <v>0</v>
      </c>
      <c r="J41" s="160" t="s">
        <v>17054</v>
      </c>
      <c r="K41" s="160"/>
      <c r="L41" s="161"/>
      <c r="M41" s="162"/>
      <c r="N41" s="163"/>
      <c r="O41" s="164"/>
      <c r="P41" s="170"/>
      <c r="Q41" s="171"/>
      <c r="R41" s="178">
        <v>731</v>
      </c>
      <c r="S41" s="172"/>
    </row>
    <row r="42" spans="1:19" ht="16.5" customHeight="1" x14ac:dyDescent="0.3">
      <c r="A42" s="147">
        <v>15</v>
      </c>
      <c r="B42" s="147">
        <v>1718</v>
      </c>
      <c r="C42" s="197" t="s">
        <v>6549</v>
      </c>
      <c r="D42" s="167"/>
      <c r="E42" s="150"/>
      <c r="F42" s="168"/>
      <c r="G42" s="167"/>
      <c r="H42" s="150"/>
      <c r="I42" s="168"/>
      <c r="J42" s="150" t="s">
        <v>17053</v>
      </c>
      <c r="K42" s="150" t="s">
        <v>1</v>
      </c>
      <c r="L42" s="151">
        <v>0.7</v>
      </c>
      <c r="M42" s="162" t="s">
        <v>5895</v>
      </c>
      <c r="N42" s="163" t="s">
        <v>1</v>
      </c>
      <c r="O42" s="164">
        <v>1</v>
      </c>
      <c r="P42" s="170"/>
      <c r="Q42" s="171"/>
      <c r="R42" s="178">
        <v>731</v>
      </c>
      <c r="S42" s="172"/>
    </row>
    <row r="43" spans="1:19" ht="16.5" customHeight="1" x14ac:dyDescent="0.3">
      <c r="A43" s="147">
        <v>15</v>
      </c>
      <c r="B43" s="147">
        <v>1719</v>
      </c>
      <c r="C43" s="197" t="s">
        <v>6548</v>
      </c>
      <c r="D43" s="156" t="s">
        <v>17068</v>
      </c>
      <c r="E43" s="160"/>
      <c r="F43" s="158"/>
      <c r="G43" s="156" t="s">
        <v>17105</v>
      </c>
      <c r="H43" s="160"/>
      <c r="I43" s="158"/>
      <c r="J43" s="160"/>
      <c r="K43" s="160"/>
      <c r="L43" s="161"/>
      <c r="M43" s="162"/>
      <c r="N43" s="163"/>
      <c r="O43" s="164"/>
      <c r="P43" s="170"/>
      <c r="Q43" s="171"/>
      <c r="R43" s="178">
        <v>970</v>
      </c>
      <c r="S43" s="172"/>
    </row>
    <row r="44" spans="1:19" ht="16.5" customHeight="1" x14ac:dyDescent="0.3">
      <c r="A44" s="147">
        <v>15</v>
      </c>
      <c r="B44" s="147">
        <v>1720</v>
      </c>
      <c r="C44" s="197" t="s">
        <v>6547</v>
      </c>
      <c r="D44" s="188" t="s">
        <v>17070</v>
      </c>
      <c r="E44" s="153"/>
      <c r="F44" s="171"/>
      <c r="G44" s="188" t="s">
        <v>17056</v>
      </c>
      <c r="H44" s="153"/>
      <c r="I44" s="171"/>
      <c r="J44" s="150"/>
      <c r="K44" s="150"/>
      <c r="L44" s="151"/>
      <c r="M44" s="162" t="s">
        <v>5895</v>
      </c>
      <c r="N44" s="163" t="s">
        <v>1</v>
      </c>
      <c r="O44" s="164">
        <v>1</v>
      </c>
      <c r="P44" s="170"/>
      <c r="Q44" s="171"/>
      <c r="R44" s="178">
        <v>970</v>
      </c>
      <c r="S44" s="172"/>
    </row>
    <row r="45" spans="1:19" ht="16.5" customHeight="1" x14ac:dyDescent="0.3">
      <c r="A45" s="147">
        <v>15</v>
      </c>
      <c r="B45" s="147">
        <v>1721</v>
      </c>
      <c r="C45" s="197" t="s">
        <v>6546</v>
      </c>
      <c r="D45" s="188" t="s">
        <v>17065</v>
      </c>
      <c r="E45" s="205">
        <v>591</v>
      </c>
      <c r="F45" s="171" t="s">
        <v>0</v>
      </c>
      <c r="G45" s="188"/>
      <c r="H45" s="205">
        <v>83</v>
      </c>
      <c r="I45" s="171" t="s">
        <v>0</v>
      </c>
      <c r="J45" s="160" t="s">
        <v>17054</v>
      </c>
      <c r="K45" s="160"/>
      <c r="L45" s="161"/>
      <c r="M45" s="162"/>
      <c r="N45" s="163"/>
      <c r="O45" s="164"/>
      <c r="P45" s="170"/>
      <c r="Q45" s="171"/>
      <c r="R45" s="178">
        <v>679</v>
      </c>
      <c r="S45" s="172"/>
    </row>
    <row r="46" spans="1:19" ht="16.5" customHeight="1" x14ac:dyDescent="0.3">
      <c r="A46" s="147">
        <v>15</v>
      </c>
      <c r="B46" s="147">
        <v>1722</v>
      </c>
      <c r="C46" s="197" t="s">
        <v>6545</v>
      </c>
      <c r="D46" s="188"/>
      <c r="E46" s="153"/>
      <c r="F46" s="171"/>
      <c r="G46" s="167"/>
      <c r="H46" s="150"/>
      <c r="I46" s="168"/>
      <c r="J46" s="150" t="s">
        <v>17053</v>
      </c>
      <c r="K46" s="150" t="s">
        <v>1</v>
      </c>
      <c r="L46" s="151">
        <v>0.7</v>
      </c>
      <c r="M46" s="162" t="s">
        <v>5895</v>
      </c>
      <c r="N46" s="163" t="s">
        <v>1</v>
      </c>
      <c r="O46" s="164">
        <v>1</v>
      </c>
      <c r="P46" s="170"/>
      <c r="Q46" s="171"/>
      <c r="R46" s="178">
        <v>679</v>
      </c>
      <c r="S46" s="172"/>
    </row>
    <row r="47" spans="1:19" ht="16.5" customHeight="1" x14ac:dyDescent="0.3">
      <c r="A47" s="147">
        <v>15</v>
      </c>
      <c r="B47" s="147">
        <v>1723</v>
      </c>
      <c r="C47" s="197" t="s">
        <v>6544</v>
      </c>
      <c r="D47" s="188"/>
      <c r="E47" s="153"/>
      <c r="F47" s="171"/>
      <c r="G47" s="156" t="s">
        <v>17106</v>
      </c>
      <c r="H47" s="160"/>
      <c r="I47" s="158"/>
      <c r="J47" s="160"/>
      <c r="K47" s="160"/>
      <c r="L47" s="161"/>
      <c r="M47" s="162"/>
      <c r="N47" s="163"/>
      <c r="O47" s="164"/>
      <c r="P47" s="170"/>
      <c r="Q47" s="171"/>
      <c r="R47" s="178">
        <v>1054</v>
      </c>
      <c r="S47" s="172"/>
    </row>
    <row r="48" spans="1:19" ht="16.5" customHeight="1" x14ac:dyDescent="0.3">
      <c r="A48" s="147">
        <v>15</v>
      </c>
      <c r="B48" s="147">
        <v>1724</v>
      </c>
      <c r="C48" s="197" t="s">
        <v>6543</v>
      </c>
      <c r="D48" s="188"/>
      <c r="E48" s="153"/>
      <c r="F48" s="171"/>
      <c r="G48" s="188" t="s">
        <v>17067</v>
      </c>
      <c r="H48" s="153"/>
      <c r="I48" s="171"/>
      <c r="J48" s="150"/>
      <c r="K48" s="150"/>
      <c r="L48" s="151"/>
      <c r="M48" s="162" t="s">
        <v>5895</v>
      </c>
      <c r="N48" s="163" t="s">
        <v>1</v>
      </c>
      <c r="O48" s="164">
        <v>1</v>
      </c>
      <c r="P48" s="170"/>
      <c r="Q48" s="171"/>
      <c r="R48" s="178">
        <v>1054</v>
      </c>
      <c r="S48" s="172"/>
    </row>
    <row r="49" spans="1:19" ht="16.5" customHeight="1" x14ac:dyDescent="0.3">
      <c r="A49" s="147">
        <v>15</v>
      </c>
      <c r="B49" s="147">
        <v>1725</v>
      </c>
      <c r="C49" s="197" t="s">
        <v>6542</v>
      </c>
      <c r="D49" s="188"/>
      <c r="E49" s="153"/>
      <c r="F49" s="171"/>
      <c r="G49" s="188" t="s">
        <v>17060</v>
      </c>
      <c r="H49" s="205">
        <v>167</v>
      </c>
      <c r="I49" s="171" t="s">
        <v>0</v>
      </c>
      <c r="J49" s="160" t="s">
        <v>17054</v>
      </c>
      <c r="K49" s="160"/>
      <c r="L49" s="161"/>
      <c r="M49" s="162"/>
      <c r="N49" s="163"/>
      <c r="O49" s="164"/>
      <c r="P49" s="170"/>
      <c r="Q49" s="171"/>
      <c r="R49" s="178">
        <v>738</v>
      </c>
      <c r="S49" s="172"/>
    </row>
    <row r="50" spans="1:19" ht="16.5" customHeight="1" x14ac:dyDescent="0.3">
      <c r="A50" s="147">
        <v>15</v>
      </c>
      <c r="B50" s="147">
        <v>1726</v>
      </c>
      <c r="C50" s="197" t="s">
        <v>6541</v>
      </c>
      <c r="D50" s="188"/>
      <c r="E50" s="153"/>
      <c r="F50" s="171"/>
      <c r="G50" s="167"/>
      <c r="H50" s="150"/>
      <c r="I50" s="168"/>
      <c r="J50" s="150" t="s">
        <v>17053</v>
      </c>
      <c r="K50" s="150" t="s">
        <v>1</v>
      </c>
      <c r="L50" s="151">
        <v>0.7</v>
      </c>
      <c r="M50" s="162" t="s">
        <v>5895</v>
      </c>
      <c r="N50" s="163" t="s">
        <v>1</v>
      </c>
      <c r="O50" s="164">
        <v>1</v>
      </c>
      <c r="P50" s="170"/>
      <c r="Q50" s="171"/>
      <c r="R50" s="178">
        <v>738</v>
      </c>
      <c r="S50" s="172"/>
    </row>
    <row r="51" spans="1:19" ht="16.5" customHeight="1" x14ac:dyDescent="0.3">
      <c r="A51" s="147">
        <v>15</v>
      </c>
      <c r="B51" s="147">
        <v>1727</v>
      </c>
      <c r="C51" s="197" t="s">
        <v>6540</v>
      </c>
      <c r="D51" s="188"/>
      <c r="E51" s="153"/>
      <c r="F51" s="171"/>
      <c r="G51" s="156" t="s">
        <v>17107</v>
      </c>
      <c r="H51" s="160"/>
      <c r="I51" s="158"/>
      <c r="J51" s="160"/>
      <c r="K51" s="160"/>
      <c r="L51" s="161"/>
      <c r="M51" s="162"/>
      <c r="N51" s="163"/>
      <c r="O51" s="164"/>
      <c r="P51" s="170"/>
      <c r="Q51" s="171"/>
      <c r="R51" s="178">
        <v>1138</v>
      </c>
      <c r="S51" s="172"/>
    </row>
    <row r="52" spans="1:19" ht="16.5" customHeight="1" x14ac:dyDescent="0.3">
      <c r="A52" s="147">
        <v>15</v>
      </c>
      <c r="B52" s="147">
        <v>1728</v>
      </c>
      <c r="C52" s="197" t="s">
        <v>6539</v>
      </c>
      <c r="D52" s="188"/>
      <c r="E52" s="153"/>
      <c r="F52" s="171"/>
      <c r="G52" s="188" t="s">
        <v>17070</v>
      </c>
      <c r="H52" s="153"/>
      <c r="I52" s="171"/>
      <c r="J52" s="150"/>
      <c r="K52" s="150"/>
      <c r="L52" s="151"/>
      <c r="M52" s="162" t="s">
        <v>5895</v>
      </c>
      <c r="N52" s="163" t="s">
        <v>1</v>
      </c>
      <c r="O52" s="164">
        <v>1</v>
      </c>
      <c r="P52" s="170"/>
      <c r="Q52" s="171"/>
      <c r="R52" s="178">
        <v>1138</v>
      </c>
      <c r="S52" s="172"/>
    </row>
    <row r="53" spans="1:19" ht="16.5" customHeight="1" x14ac:dyDescent="0.3">
      <c r="A53" s="147">
        <v>15</v>
      </c>
      <c r="B53" s="147">
        <v>1729</v>
      </c>
      <c r="C53" s="197" t="s">
        <v>6538</v>
      </c>
      <c r="D53" s="188"/>
      <c r="E53" s="153"/>
      <c r="F53" s="171"/>
      <c r="G53" s="188" t="s">
        <v>17065</v>
      </c>
      <c r="H53" s="205">
        <v>251</v>
      </c>
      <c r="I53" s="171" t="s">
        <v>0</v>
      </c>
      <c r="J53" s="160" t="s">
        <v>17054</v>
      </c>
      <c r="K53" s="160"/>
      <c r="L53" s="161"/>
      <c r="M53" s="162"/>
      <c r="N53" s="163"/>
      <c r="O53" s="164"/>
      <c r="P53" s="170"/>
      <c r="Q53" s="171"/>
      <c r="R53" s="178">
        <v>797</v>
      </c>
      <c r="S53" s="172"/>
    </row>
    <row r="54" spans="1:19" ht="16.5" customHeight="1" x14ac:dyDescent="0.3">
      <c r="A54" s="147">
        <v>15</v>
      </c>
      <c r="B54" s="147">
        <v>1730</v>
      </c>
      <c r="C54" s="197" t="s">
        <v>6537</v>
      </c>
      <c r="D54" s="167"/>
      <c r="E54" s="150"/>
      <c r="F54" s="168"/>
      <c r="G54" s="167"/>
      <c r="H54" s="150"/>
      <c r="I54" s="168"/>
      <c r="J54" s="150" t="s">
        <v>17053</v>
      </c>
      <c r="K54" s="150" t="s">
        <v>1</v>
      </c>
      <c r="L54" s="151">
        <v>0.7</v>
      </c>
      <c r="M54" s="162" t="s">
        <v>5895</v>
      </c>
      <c r="N54" s="163" t="s">
        <v>1</v>
      </c>
      <c r="O54" s="164">
        <v>1</v>
      </c>
      <c r="P54" s="170"/>
      <c r="Q54" s="171"/>
      <c r="R54" s="178">
        <v>797</v>
      </c>
      <c r="S54" s="172"/>
    </row>
    <row r="55" spans="1:19" ht="16.5" customHeight="1" x14ac:dyDescent="0.3">
      <c r="A55" s="147">
        <v>15</v>
      </c>
      <c r="B55" s="147">
        <v>1731</v>
      </c>
      <c r="C55" s="197" t="s">
        <v>6536</v>
      </c>
      <c r="D55" s="156" t="s">
        <v>17064</v>
      </c>
      <c r="E55" s="160"/>
      <c r="F55" s="158"/>
      <c r="G55" s="156" t="s">
        <v>17105</v>
      </c>
      <c r="H55" s="160"/>
      <c r="I55" s="158"/>
      <c r="J55" s="160"/>
      <c r="K55" s="160"/>
      <c r="L55" s="161"/>
      <c r="M55" s="162"/>
      <c r="N55" s="163"/>
      <c r="O55" s="164"/>
      <c r="P55" s="170"/>
      <c r="Q55" s="171"/>
      <c r="R55" s="178">
        <v>1095</v>
      </c>
      <c r="S55" s="172"/>
    </row>
    <row r="56" spans="1:19" ht="16.5" customHeight="1" x14ac:dyDescent="0.3">
      <c r="A56" s="147">
        <v>15</v>
      </c>
      <c r="B56" s="147">
        <v>1732</v>
      </c>
      <c r="C56" s="197" t="s">
        <v>6535</v>
      </c>
      <c r="D56" s="188" t="s">
        <v>17063</v>
      </c>
      <c r="E56" s="153"/>
      <c r="F56" s="171"/>
      <c r="G56" s="188" t="s">
        <v>17056</v>
      </c>
      <c r="H56" s="153"/>
      <c r="I56" s="171"/>
      <c r="J56" s="150"/>
      <c r="K56" s="150"/>
      <c r="L56" s="151"/>
      <c r="M56" s="162" t="s">
        <v>5895</v>
      </c>
      <c r="N56" s="163" t="s">
        <v>1</v>
      </c>
      <c r="O56" s="164">
        <v>1</v>
      </c>
      <c r="P56" s="170"/>
      <c r="Q56" s="171"/>
      <c r="R56" s="178">
        <v>1095</v>
      </c>
      <c r="S56" s="172"/>
    </row>
    <row r="57" spans="1:19" ht="16.5" customHeight="1" x14ac:dyDescent="0.3">
      <c r="A57" s="147">
        <v>15</v>
      </c>
      <c r="B57" s="147">
        <v>1733</v>
      </c>
      <c r="C57" s="197" t="s">
        <v>6534</v>
      </c>
      <c r="D57" s="188" t="s">
        <v>17062</v>
      </c>
      <c r="E57" s="205">
        <v>674</v>
      </c>
      <c r="F57" s="171" t="s">
        <v>0</v>
      </c>
      <c r="G57" s="188"/>
      <c r="H57" s="205">
        <v>84</v>
      </c>
      <c r="I57" s="171" t="s">
        <v>0</v>
      </c>
      <c r="J57" s="160" t="s">
        <v>17054</v>
      </c>
      <c r="K57" s="160"/>
      <c r="L57" s="161"/>
      <c r="M57" s="162"/>
      <c r="N57" s="163"/>
      <c r="O57" s="164"/>
      <c r="P57" s="170"/>
      <c r="Q57" s="171"/>
      <c r="R57" s="178">
        <v>767</v>
      </c>
      <c r="S57" s="172"/>
    </row>
    <row r="58" spans="1:19" ht="16.5" customHeight="1" x14ac:dyDescent="0.3">
      <c r="A58" s="147">
        <v>15</v>
      </c>
      <c r="B58" s="147">
        <v>1734</v>
      </c>
      <c r="C58" s="197" t="s">
        <v>6533</v>
      </c>
      <c r="D58" s="188"/>
      <c r="E58" s="153"/>
      <c r="F58" s="171"/>
      <c r="G58" s="167"/>
      <c r="H58" s="150"/>
      <c r="I58" s="168"/>
      <c r="J58" s="150" t="s">
        <v>17053</v>
      </c>
      <c r="K58" s="150" t="s">
        <v>1</v>
      </c>
      <c r="L58" s="151">
        <v>0.7</v>
      </c>
      <c r="M58" s="162" t="s">
        <v>5895</v>
      </c>
      <c r="N58" s="163" t="s">
        <v>1</v>
      </c>
      <c r="O58" s="164">
        <v>1</v>
      </c>
      <c r="P58" s="170"/>
      <c r="Q58" s="171"/>
      <c r="R58" s="178">
        <v>767</v>
      </c>
      <c r="S58" s="172"/>
    </row>
    <row r="59" spans="1:19" ht="16.5" customHeight="1" x14ac:dyDescent="0.3">
      <c r="A59" s="147">
        <v>15</v>
      </c>
      <c r="B59" s="147">
        <v>1735</v>
      </c>
      <c r="C59" s="197" t="s">
        <v>6532</v>
      </c>
      <c r="D59" s="188"/>
      <c r="E59" s="153"/>
      <c r="F59" s="171"/>
      <c r="G59" s="156" t="s">
        <v>17106</v>
      </c>
      <c r="H59" s="160"/>
      <c r="I59" s="158"/>
      <c r="J59" s="160"/>
      <c r="K59" s="160"/>
      <c r="L59" s="161"/>
      <c r="M59" s="162"/>
      <c r="N59" s="163"/>
      <c r="O59" s="164"/>
      <c r="P59" s="170"/>
      <c r="Q59" s="171"/>
      <c r="R59" s="178">
        <v>1179</v>
      </c>
      <c r="S59" s="172"/>
    </row>
    <row r="60" spans="1:19" ht="16.5" customHeight="1" x14ac:dyDescent="0.3">
      <c r="A60" s="147">
        <v>15</v>
      </c>
      <c r="B60" s="147">
        <v>1736</v>
      </c>
      <c r="C60" s="197" t="s">
        <v>6531</v>
      </c>
      <c r="D60" s="188"/>
      <c r="E60" s="153"/>
      <c r="F60" s="171"/>
      <c r="G60" s="188" t="s">
        <v>17067</v>
      </c>
      <c r="H60" s="153"/>
      <c r="I60" s="171"/>
      <c r="J60" s="150"/>
      <c r="K60" s="150"/>
      <c r="L60" s="151"/>
      <c r="M60" s="162" t="s">
        <v>5895</v>
      </c>
      <c r="N60" s="163" t="s">
        <v>1</v>
      </c>
      <c r="O60" s="164">
        <v>1</v>
      </c>
      <c r="P60" s="170"/>
      <c r="Q60" s="171"/>
      <c r="R60" s="178">
        <v>1179</v>
      </c>
      <c r="S60" s="172"/>
    </row>
    <row r="61" spans="1:19" ht="16.5" customHeight="1" x14ac:dyDescent="0.3">
      <c r="A61" s="147">
        <v>15</v>
      </c>
      <c r="B61" s="147">
        <v>1737</v>
      </c>
      <c r="C61" s="197" t="s">
        <v>6530</v>
      </c>
      <c r="D61" s="188"/>
      <c r="E61" s="153"/>
      <c r="F61" s="171"/>
      <c r="G61" s="188" t="s">
        <v>17060</v>
      </c>
      <c r="H61" s="205">
        <v>168</v>
      </c>
      <c r="I61" s="171" t="s">
        <v>0</v>
      </c>
      <c r="J61" s="160" t="s">
        <v>17054</v>
      </c>
      <c r="K61" s="160"/>
      <c r="L61" s="161"/>
      <c r="M61" s="162"/>
      <c r="N61" s="163"/>
      <c r="O61" s="164"/>
      <c r="P61" s="170"/>
      <c r="Q61" s="171"/>
      <c r="R61" s="178">
        <v>826</v>
      </c>
      <c r="S61" s="172"/>
    </row>
    <row r="62" spans="1:19" ht="16.5" customHeight="1" x14ac:dyDescent="0.3">
      <c r="A62" s="147">
        <v>15</v>
      </c>
      <c r="B62" s="147">
        <v>1738</v>
      </c>
      <c r="C62" s="197" t="s">
        <v>6529</v>
      </c>
      <c r="D62" s="167"/>
      <c r="E62" s="150"/>
      <c r="F62" s="168"/>
      <c r="G62" s="167"/>
      <c r="H62" s="150"/>
      <c r="I62" s="168"/>
      <c r="J62" s="150" t="s">
        <v>17053</v>
      </c>
      <c r="K62" s="150" t="s">
        <v>1</v>
      </c>
      <c r="L62" s="151">
        <v>0.7</v>
      </c>
      <c r="M62" s="162" t="s">
        <v>5895</v>
      </c>
      <c r="N62" s="163" t="s">
        <v>1</v>
      </c>
      <c r="O62" s="164">
        <v>1</v>
      </c>
      <c r="P62" s="170"/>
      <c r="Q62" s="171"/>
      <c r="R62" s="178">
        <v>826</v>
      </c>
      <c r="S62" s="172"/>
    </row>
    <row r="63" spans="1:19" ht="16.5" customHeight="1" x14ac:dyDescent="0.3">
      <c r="A63" s="147">
        <v>15</v>
      </c>
      <c r="B63" s="147">
        <v>1739</v>
      </c>
      <c r="C63" s="197" t="s">
        <v>6528</v>
      </c>
      <c r="D63" s="156" t="s">
        <v>17059</v>
      </c>
      <c r="E63" s="160"/>
      <c r="F63" s="158"/>
      <c r="G63" s="156" t="s">
        <v>17105</v>
      </c>
      <c r="H63" s="160"/>
      <c r="I63" s="158"/>
      <c r="J63" s="160"/>
      <c r="K63" s="160"/>
      <c r="L63" s="161"/>
      <c r="M63" s="162"/>
      <c r="N63" s="163"/>
      <c r="O63" s="164"/>
      <c r="P63" s="170"/>
      <c r="Q63" s="171"/>
      <c r="R63" s="178">
        <v>1221</v>
      </c>
      <c r="S63" s="172"/>
    </row>
    <row r="64" spans="1:19" ht="16.5" customHeight="1" x14ac:dyDescent="0.3">
      <c r="A64" s="147">
        <v>15</v>
      </c>
      <c r="B64" s="147">
        <v>1740</v>
      </c>
      <c r="C64" s="197" t="s">
        <v>6527</v>
      </c>
      <c r="D64" s="188" t="s">
        <v>17057</v>
      </c>
      <c r="E64" s="153"/>
      <c r="F64" s="171"/>
      <c r="G64" s="188" t="s">
        <v>17056</v>
      </c>
      <c r="H64" s="153"/>
      <c r="I64" s="171"/>
      <c r="J64" s="150"/>
      <c r="K64" s="150"/>
      <c r="L64" s="151"/>
      <c r="M64" s="162" t="s">
        <v>5895</v>
      </c>
      <c r="N64" s="163" t="s">
        <v>1</v>
      </c>
      <c r="O64" s="164">
        <v>1</v>
      </c>
      <c r="P64" s="170"/>
      <c r="Q64" s="171"/>
      <c r="R64" s="178">
        <v>1221</v>
      </c>
      <c r="S64" s="172"/>
    </row>
    <row r="65" spans="1:19" ht="16.5" customHeight="1" x14ac:dyDescent="0.3">
      <c r="A65" s="147">
        <v>15</v>
      </c>
      <c r="B65" s="147">
        <v>1741</v>
      </c>
      <c r="C65" s="197" t="s">
        <v>6526</v>
      </c>
      <c r="D65" s="188" t="s">
        <v>17055</v>
      </c>
      <c r="E65" s="205">
        <v>758</v>
      </c>
      <c r="F65" s="171" t="s">
        <v>0</v>
      </c>
      <c r="G65" s="188"/>
      <c r="H65" s="205">
        <v>84</v>
      </c>
      <c r="I65" s="171" t="s">
        <v>0</v>
      </c>
      <c r="J65" s="160" t="s">
        <v>17054</v>
      </c>
      <c r="K65" s="160"/>
      <c r="L65" s="161"/>
      <c r="M65" s="162"/>
      <c r="N65" s="163"/>
      <c r="O65" s="164"/>
      <c r="P65" s="170"/>
      <c r="Q65" s="171"/>
      <c r="R65" s="178">
        <v>856</v>
      </c>
      <c r="S65" s="172"/>
    </row>
    <row r="66" spans="1:19" ht="16.5" customHeight="1" x14ac:dyDescent="0.3">
      <c r="A66" s="147">
        <v>15</v>
      </c>
      <c r="B66" s="147">
        <v>1742</v>
      </c>
      <c r="C66" s="197" t="s">
        <v>6525</v>
      </c>
      <c r="D66" s="167"/>
      <c r="E66" s="150"/>
      <c r="F66" s="168"/>
      <c r="G66" s="167"/>
      <c r="H66" s="150"/>
      <c r="I66" s="168"/>
      <c r="J66" s="150" t="s">
        <v>17053</v>
      </c>
      <c r="K66" s="150" t="s">
        <v>1</v>
      </c>
      <c r="L66" s="151">
        <v>0.7</v>
      </c>
      <c r="M66" s="162" t="s">
        <v>5895</v>
      </c>
      <c r="N66" s="163" t="s">
        <v>1</v>
      </c>
      <c r="O66" s="164">
        <v>1</v>
      </c>
      <c r="P66" s="176"/>
      <c r="Q66" s="168"/>
      <c r="R66" s="178">
        <v>856</v>
      </c>
      <c r="S66" s="177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0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theme="1" tint="0.249977111117893"/>
    <pageSetUpPr fitToPage="1"/>
  </sheetPr>
  <dimension ref="A1:X97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734375" style="45" bestFit="1" customWidth="1"/>
    <col min="5" max="5" width="4.1015625" style="46" bestFit="1" customWidth="1"/>
    <col min="6" max="6" width="4.734375" style="46" bestFit="1" customWidth="1"/>
    <col min="7" max="7" width="12.734375" style="45" bestFit="1" customWidth="1"/>
    <col min="8" max="8" width="4.1015625" style="46" bestFit="1" customWidth="1"/>
    <col min="9" max="9" width="4.734375" style="46" bestFit="1" customWidth="1"/>
    <col min="10" max="10" width="12.734375" style="45" bestFit="1" customWidth="1"/>
    <col min="11" max="11" width="4.1015625" style="46" bestFit="1" customWidth="1"/>
    <col min="12" max="12" width="4.734375" style="46" bestFit="1" customWidth="1"/>
    <col min="13" max="13" width="18.62890625" style="46" customWidth="1"/>
    <col min="14" max="14" width="3.1015625" style="46" bestFit="1" customWidth="1"/>
    <col min="15" max="15" width="4.1015625" style="47" bestFit="1" customWidth="1"/>
    <col min="16" max="16" width="28.62890625" style="46" customWidth="1"/>
    <col min="17" max="17" width="3.1015625" style="46" bestFit="1" customWidth="1"/>
    <col min="18" max="18" width="5" style="47" bestFit="1" customWidth="1"/>
    <col min="19" max="19" width="2.62890625" style="47" customWidth="1"/>
    <col min="20" max="20" width="4.734375" style="46" bestFit="1" customWidth="1"/>
    <col min="21" max="21" width="2.62890625" style="47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5"/>
      <c r="T1" s="134"/>
      <c r="U1" s="135"/>
      <c r="V1" s="134"/>
      <c r="W1" s="136"/>
      <c r="X1" s="137"/>
    </row>
    <row r="2" spans="1:24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5"/>
      <c r="T2" s="134"/>
      <c r="U2" s="135"/>
      <c r="V2" s="134"/>
      <c r="W2" s="136"/>
      <c r="X2" s="137"/>
    </row>
    <row r="3" spans="1:24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5"/>
      <c r="T3" s="134"/>
      <c r="U3" s="135"/>
      <c r="V3" s="134"/>
      <c r="W3" s="136"/>
      <c r="X3" s="137"/>
    </row>
    <row r="4" spans="1:24" ht="16.5" customHeight="1" x14ac:dyDescent="0.3">
      <c r="A4" s="132"/>
      <c r="B4" s="138" t="s">
        <v>6671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5"/>
      <c r="T4" s="134"/>
      <c r="U4" s="135"/>
      <c r="V4" s="134"/>
      <c r="W4" s="136"/>
      <c r="X4" s="137"/>
    </row>
    <row r="5" spans="1:2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5"/>
      <c r="T5" s="144"/>
      <c r="U5" s="145"/>
      <c r="V5" s="144"/>
      <c r="W5" s="146" t="s">
        <v>5869</v>
      </c>
      <c r="X5" s="146" t="s">
        <v>5871</v>
      </c>
    </row>
    <row r="6" spans="1:24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208" t="s">
        <v>5872</v>
      </c>
      <c r="H6" s="144"/>
      <c r="I6" s="206"/>
      <c r="J6" s="208" t="s">
        <v>5873</v>
      </c>
      <c r="K6" s="144"/>
      <c r="L6" s="206"/>
      <c r="M6" s="150"/>
      <c r="N6" s="150"/>
      <c r="O6" s="151"/>
      <c r="P6" s="150"/>
      <c r="Q6" s="150"/>
      <c r="R6" s="151"/>
      <c r="S6" s="151"/>
      <c r="T6" s="150"/>
      <c r="U6" s="151"/>
      <c r="V6" s="150"/>
      <c r="W6" s="222" t="s">
        <v>5870</v>
      </c>
      <c r="X6" s="154" t="s">
        <v>0</v>
      </c>
    </row>
    <row r="7" spans="1:24" ht="16.5" customHeight="1" x14ac:dyDescent="0.3">
      <c r="A7" s="147">
        <v>15</v>
      </c>
      <c r="B7" s="147">
        <v>1743</v>
      </c>
      <c r="C7" s="197" t="s">
        <v>6670</v>
      </c>
      <c r="D7" s="156" t="s">
        <v>17152</v>
      </c>
      <c r="E7" s="144"/>
      <c r="F7" s="144"/>
      <c r="G7" s="156" t="s">
        <v>17120</v>
      </c>
      <c r="H7" s="144"/>
      <c r="I7" s="158"/>
      <c r="J7" s="156" t="s">
        <v>17124</v>
      </c>
      <c r="K7" s="144"/>
      <c r="L7" s="206"/>
      <c r="M7" s="160"/>
      <c r="N7" s="160"/>
      <c r="O7" s="161"/>
      <c r="P7" s="162"/>
      <c r="Q7" s="163"/>
      <c r="R7" s="164"/>
      <c r="S7" s="165"/>
      <c r="T7" s="158"/>
      <c r="U7" s="165"/>
      <c r="V7" s="158"/>
      <c r="W7" s="223">
        <v>1009</v>
      </c>
      <c r="X7" s="142" t="s">
        <v>5863</v>
      </c>
    </row>
    <row r="8" spans="1:24" ht="16.5" customHeight="1" x14ac:dyDescent="0.3">
      <c r="A8" s="147">
        <v>15</v>
      </c>
      <c r="B8" s="147">
        <v>1744</v>
      </c>
      <c r="C8" s="197" t="s">
        <v>6669</v>
      </c>
      <c r="D8" s="188" t="s">
        <v>17116</v>
      </c>
      <c r="E8" s="153"/>
      <c r="F8" s="153"/>
      <c r="G8" s="188" t="s">
        <v>17117</v>
      </c>
      <c r="H8" s="210"/>
      <c r="I8" s="171"/>
      <c r="J8" s="188" t="s">
        <v>17116</v>
      </c>
      <c r="K8" s="210"/>
      <c r="L8" s="211"/>
      <c r="M8" s="150"/>
      <c r="N8" s="150"/>
      <c r="O8" s="151"/>
      <c r="P8" s="162" t="s">
        <v>5895</v>
      </c>
      <c r="Q8" s="163" t="s">
        <v>1</v>
      </c>
      <c r="R8" s="164">
        <v>1</v>
      </c>
      <c r="S8" s="170"/>
      <c r="T8" s="171"/>
      <c r="U8" s="170"/>
      <c r="V8" s="171"/>
      <c r="W8" s="223">
        <v>1009</v>
      </c>
      <c r="X8" s="172"/>
    </row>
    <row r="9" spans="1:24" ht="16.5" customHeight="1" x14ac:dyDescent="0.3">
      <c r="A9" s="147">
        <v>15</v>
      </c>
      <c r="B9" s="147">
        <v>1745</v>
      </c>
      <c r="C9" s="197" t="s">
        <v>6668</v>
      </c>
      <c r="D9" s="188"/>
      <c r="E9" s="205">
        <v>257</v>
      </c>
      <c r="F9" s="153" t="s">
        <v>0</v>
      </c>
      <c r="G9" s="188" t="s">
        <v>17113</v>
      </c>
      <c r="H9" s="205">
        <v>501</v>
      </c>
      <c r="I9" s="171" t="s">
        <v>0</v>
      </c>
      <c r="J9" s="188"/>
      <c r="K9" s="205">
        <v>84</v>
      </c>
      <c r="L9" s="171" t="s">
        <v>0</v>
      </c>
      <c r="M9" s="160" t="s">
        <v>17112</v>
      </c>
      <c r="N9" s="160"/>
      <c r="O9" s="161"/>
      <c r="P9" s="162"/>
      <c r="Q9" s="163"/>
      <c r="R9" s="164"/>
      <c r="S9" s="170"/>
      <c r="T9" s="171"/>
      <c r="U9" s="170"/>
      <c r="V9" s="171"/>
      <c r="W9" s="223">
        <v>708</v>
      </c>
      <c r="X9" s="172"/>
    </row>
    <row r="10" spans="1:24" ht="16.5" customHeight="1" x14ac:dyDescent="0.3">
      <c r="A10" s="147">
        <v>15</v>
      </c>
      <c r="B10" s="147">
        <v>1746</v>
      </c>
      <c r="C10" s="197" t="s">
        <v>6667</v>
      </c>
      <c r="D10" s="188"/>
      <c r="E10" s="153"/>
      <c r="F10" s="153"/>
      <c r="G10" s="167"/>
      <c r="H10" s="150"/>
      <c r="I10" s="168"/>
      <c r="J10" s="167"/>
      <c r="K10" s="150"/>
      <c r="L10" s="168"/>
      <c r="M10" s="150" t="s">
        <v>17111</v>
      </c>
      <c r="N10" s="150" t="s">
        <v>1</v>
      </c>
      <c r="O10" s="151">
        <v>0.7</v>
      </c>
      <c r="P10" s="162" t="s">
        <v>5895</v>
      </c>
      <c r="Q10" s="163" t="s">
        <v>1</v>
      </c>
      <c r="R10" s="164">
        <v>1</v>
      </c>
      <c r="S10" s="170"/>
      <c r="T10" s="171"/>
      <c r="U10" s="170"/>
      <c r="V10" s="171"/>
      <c r="W10" s="223">
        <v>708</v>
      </c>
      <c r="X10" s="172"/>
    </row>
    <row r="11" spans="1:24" ht="16.5" customHeight="1" x14ac:dyDescent="0.3">
      <c r="A11" s="147">
        <v>15</v>
      </c>
      <c r="B11" s="147">
        <v>1747</v>
      </c>
      <c r="C11" s="197" t="s">
        <v>6666</v>
      </c>
      <c r="D11" s="188"/>
      <c r="E11" s="153"/>
      <c r="F11" s="153"/>
      <c r="G11" s="156" t="s">
        <v>17151</v>
      </c>
      <c r="H11" s="160"/>
      <c r="I11" s="158"/>
      <c r="J11" s="156" t="s">
        <v>17124</v>
      </c>
      <c r="K11" s="160"/>
      <c r="L11" s="158"/>
      <c r="M11" s="160"/>
      <c r="N11" s="160"/>
      <c r="O11" s="161"/>
      <c r="P11" s="162"/>
      <c r="Q11" s="163"/>
      <c r="R11" s="164"/>
      <c r="S11" s="170"/>
      <c r="T11" s="171"/>
      <c r="U11" s="170"/>
      <c r="V11" s="171"/>
      <c r="W11" s="223">
        <v>903</v>
      </c>
      <c r="X11" s="172"/>
    </row>
    <row r="12" spans="1:24" ht="16.5" customHeight="1" x14ac:dyDescent="0.3">
      <c r="A12" s="147">
        <v>15</v>
      </c>
      <c r="B12" s="147">
        <v>1748</v>
      </c>
      <c r="C12" s="197" t="s">
        <v>6665</v>
      </c>
      <c r="D12" s="188"/>
      <c r="E12" s="153"/>
      <c r="F12" s="153"/>
      <c r="G12" s="188" t="s">
        <v>17130</v>
      </c>
      <c r="H12" s="153"/>
      <c r="I12" s="171"/>
      <c r="J12" s="188" t="s">
        <v>17116</v>
      </c>
      <c r="K12" s="153"/>
      <c r="L12" s="171"/>
      <c r="M12" s="150"/>
      <c r="N12" s="150"/>
      <c r="O12" s="151"/>
      <c r="P12" s="162" t="s">
        <v>5895</v>
      </c>
      <c r="Q12" s="163" t="s">
        <v>1</v>
      </c>
      <c r="R12" s="164">
        <v>1</v>
      </c>
      <c r="S12" s="170" t="s">
        <v>17118</v>
      </c>
      <c r="T12" s="171"/>
      <c r="U12" s="170" t="s">
        <v>17150</v>
      </c>
      <c r="V12" s="171"/>
      <c r="W12" s="223">
        <v>903</v>
      </c>
      <c r="X12" s="172"/>
    </row>
    <row r="13" spans="1:24" ht="16.5" customHeight="1" x14ac:dyDescent="0.3">
      <c r="A13" s="147">
        <v>15</v>
      </c>
      <c r="B13" s="147">
        <v>1749</v>
      </c>
      <c r="C13" s="197" t="s">
        <v>6664</v>
      </c>
      <c r="D13" s="188"/>
      <c r="E13" s="153"/>
      <c r="F13" s="153"/>
      <c r="G13" s="188" t="s">
        <v>17129</v>
      </c>
      <c r="H13" s="205">
        <v>417</v>
      </c>
      <c r="I13" s="171" t="s">
        <v>0</v>
      </c>
      <c r="J13" s="188"/>
      <c r="K13" s="205">
        <v>83</v>
      </c>
      <c r="L13" s="171" t="s">
        <v>0</v>
      </c>
      <c r="M13" s="160" t="s">
        <v>17112</v>
      </c>
      <c r="N13" s="160"/>
      <c r="O13" s="161"/>
      <c r="P13" s="162"/>
      <c r="Q13" s="163"/>
      <c r="R13" s="164"/>
      <c r="S13" s="170"/>
      <c r="T13" s="174" t="s">
        <v>17149</v>
      </c>
      <c r="U13" s="170"/>
      <c r="V13" s="174" t="s">
        <v>17148</v>
      </c>
      <c r="W13" s="223">
        <v>632</v>
      </c>
      <c r="X13" s="172"/>
    </row>
    <row r="14" spans="1:24" ht="16.5" customHeight="1" x14ac:dyDescent="0.3">
      <c r="A14" s="147">
        <v>15</v>
      </c>
      <c r="B14" s="147">
        <v>1750</v>
      </c>
      <c r="C14" s="197" t="s">
        <v>6663</v>
      </c>
      <c r="D14" s="188"/>
      <c r="E14" s="153"/>
      <c r="F14" s="153"/>
      <c r="G14" s="188"/>
      <c r="H14" s="153"/>
      <c r="I14" s="171"/>
      <c r="J14" s="167"/>
      <c r="K14" s="150"/>
      <c r="L14" s="168"/>
      <c r="M14" s="150" t="s">
        <v>17111</v>
      </c>
      <c r="N14" s="150" t="s">
        <v>1</v>
      </c>
      <c r="O14" s="151">
        <v>0.7</v>
      </c>
      <c r="P14" s="162" t="s">
        <v>5895</v>
      </c>
      <c r="Q14" s="163" t="s">
        <v>1</v>
      </c>
      <c r="R14" s="164">
        <v>1</v>
      </c>
      <c r="S14" s="170"/>
      <c r="T14" s="171"/>
      <c r="U14" s="170"/>
      <c r="V14" s="171"/>
      <c r="W14" s="223">
        <v>632</v>
      </c>
      <c r="X14" s="172"/>
    </row>
    <row r="15" spans="1:24" ht="16.5" customHeight="1" x14ac:dyDescent="0.3">
      <c r="A15" s="147">
        <v>15</v>
      </c>
      <c r="B15" s="147">
        <v>1751</v>
      </c>
      <c r="C15" s="197" t="s">
        <v>6662</v>
      </c>
      <c r="D15" s="188"/>
      <c r="E15" s="153"/>
      <c r="F15" s="153"/>
      <c r="G15" s="188"/>
      <c r="H15" s="153"/>
      <c r="I15" s="171"/>
      <c r="J15" s="156" t="s">
        <v>17133</v>
      </c>
      <c r="K15" s="160"/>
      <c r="L15" s="158"/>
      <c r="M15" s="160"/>
      <c r="N15" s="160"/>
      <c r="O15" s="161"/>
      <c r="P15" s="162"/>
      <c r="Q15" s="163"/>
      <c r="R15" s="164"/>
      <c r="S15" s="170" t="s">
        <v>1</v>
      </c>
      <c r="T15" s="192">
        <v>0.25</v>
      </c>
      <c r="U15" s="170" t="s">
        <v>1</v>
      </c>
      <c r="V15" s="192">
        <v>0.5</v>
      </c>
      <c r="W15" s="223">
        <v>1029</v>
      </c>
      <c r="X15" s="172"/>
    </row>
    <row r="16" spans="1:24" ht="16.5" customHeight="1" x14ac:dyDescent="0.3">
      <c r="A16" s="147">
        <v>15</v>
      </c>
      <c r="B16" s="147">
        <v>1752</v>
      </c>
      <c r="C16" s="197" t="s">
        <v>6661</v>
      </c>
      <c r="D16" s="188"/>
      <c r="E16" s="153"/>
      <c r="F16" s="153"/>
      <c r="G16" s="188"/>
      <c r="H16" s="153"/>
      <c r="I16" s="171"/>
      <c r="J16" s="188" t="s">
        <v>17147</v>
      </c>
      <c r="K16" s="153"/>
      <c r="L16" s="171"/>
      <c r="M16" s="150"/>
      <c r="N16" s="150"/>
      <c r="O16" s="151"/>
      <c r="P16" s="162" t="s">
        <v>5895</v>
      </c>
      <c r="Q16" s="163" t="s">
        <v>1</v>
      </c>
      <c r="R16" s="164">
        <v>1</v>
      </c>
      <c r="S16" s="170"/>
      <c r="T16" s="174" t="s">
        <v>17110</v>
      </c>
      <c r="U16" s="170"/>
      <c r="V16" s="174" t="s">
        <v>17110</v>
      </c>
      <c r="W16" s="223">
        <v>1029</v>
      </c>
      <c r="X16" s="172"/>
    </row>
    <row r="17" spans="1:24" ht="16.5" customHeight="1" x14ac:dyDescent="0.3">
      <c r="A17" s="147">
        <v>15</v>
      </c>
      <c r="B17" s="147">
        <v>1753</v>
      </c>
      <c r="C17" s="197" t="s">
        <v>6660</v>
      </c>
      <c r="D17" s="188"/>
      <c r="E17" s="153"/>
      <c r="F17" s="153"/>
      <c r="G17" s="188"/>
      <c r="H17" s="153"/>
      <c r="I17" s="171"/>
      <c r="J17" s="188" t="s">
        <v>17126</v>
      </c>
      <c r="K17" s="205">
        <v>167</v>
      </c>
      <c r="L17" s="171" t="s">
        <v>0</v>
      </c>
      <c r="M17" s="160" t="s">
        <v>17112</v>
      </c>
      <c r="N17" s="160"/>
      <c r="O17" s="161"/>
      <c r="P17" s="162"/>
      <c r="Q17" s="163"/>
      <c r="R17" s="164"/>
      <c r="S17" s="170"/>
      <c r="T17" s="171"/>
      <c r="U17" s="170"/>
      <c r="V17" s="171"/>
      <c r="W17" s="223">
        <v>721</v>
      </c>
      <c r="X17" s="172"/>
    </row>
    <row r="18" spans="1:24" ht="16.5" customHeight="1" x14ac:dyDescent="0.3">
      <c r="A18" s="147">
        <v>15</v>
      </c>
      <c r="B18" s="147">
        <v>1754</v>
      </c>
      <c r="C18" s="197" t="s">
        <v>6659</v>
      </c>
      <c r="D18" s="167"/>
      <c r="E18" s="150"/>
      <c r="F18" s="150"/>
      <c r="G18" s="167"/>
      <c r="H18" s="150"/>
      <c r="I18" s="168"/>
      <c r="J18" s="167"/>
      <c r="K18" s="150"/>
      <c r="L18" s="168"/>
      <c r="M18" s="150" t="s">
        <v>17111</v>
      </c>
      <c r="N18" s="150" t="s">
        <v>1</v>
      </c>
      <c r="O18" s="151">
        <v>0.7</v>
      </c>
      <c r="P18" s="162" t="s">
        <v>5895</v>
      </c>
      <c r="Q18" s="163" t="s">
        <v>1</v>
      </c>
      <c r="R18" s="164">
        <v>1</v>
      </c>
      <c r="S18" s="170"/>
      <c r="T18" s="171"/>
      <c r="U18" s="170"/>
      <c r="V18" s="171"/>
      <c r="W18" s="223">
        <v>721</v>
      </c>
      <c r="X18" s="172"/>
    </row>
    <row r="19" spans="1:24" ht="16.5" customHeight="1" x14ac:dyDescent="0.3">
      <c r="A19" s="147">
        <v>15</v>
      </c>
      <c r="B19" s="147">
        <v>1755</v>
      </c>
      <c r="C19" s="197" t="s">
        <v>6658</v>
      </c>
      <c r="D19" s="156" t="s">
        <v>17146</v>
      </c>
      <c r="E19" s="160"/>
      <c r="F19" s="160"/>
      <c r="G19" s="156" t="s">
        <v>17120</v>
      </c>
      <c r="H19" s="160"/>
      <c r="I19" s="158"/>
      <c r="J19" s="156" t="s">
        <v>17124</v>
      </c>
      <c r="K19" s="160"/>
      <c r="L19" s="158"/>
      <c r="M19" s="160"/>
      <c r="N19" s="160"/>
      <c r="O19" s="161"/>
      <c r="P19" s="162"/>
      <c r="Q19" s="163"/>
      <c r="R19" s="164"/>
      <c r="S19" s="170"/>
      <c r="T19" s="171"/>
      <c r="U19" s="170"/>
      <c r="V19" s="171"/>
      <c r="W19" s="223">
        <v>972</v>
      </c>
      <c r="X19" s="172"/>
    </row>
    <row r="20" spans="1:24" ht="16.5" customHeight="1" x14ac:dyDescent="0.3">
      <c r="A20" s="147">
        <v>15</v>
      </c>
      <c r="B20" s="147">
        <v>1756</v>
      </c>
      <c r="C20" s="197" t="s">
        <v>6657</v>
      </c>
      <c r="D20" s="188" t="s">
        <v>17127</v>
      </c>
      <c r="E20" s="153"/>
      <c r="F20" s="153"/>
      <c r="G20" s="188" t="s">
        <v>17130</v>
      </c>
      <c r="H20" s="153"/>
      <c r="I20" s="171"/>
      <c r="J20" s="188" t="s">
        <v>17116</v>
      </c>
      <c r="K20" s="153"/>
      <c r="L20" s="171"/>
      <c r="M20" s="150"/>
      <c r="N20" s="150"/>
      <c r="O20" s="151"/>
      <c r="P20" s="162" t="s">
        <v>5895</v>
      </c>
      <c r="Q20" s="163" t="s">
        <v>1</v>
      </c>
      <c r="R20" s="164">
        <v>1</v>
      </c>
      <c r="S20" s="170"/>
      <c r="T20" s="171"/>
      <c r="U20" s="170"/>
      <c r="V20" s="171"/>
      <c r="W20" s="223">
        <v>972</v>
      </c>
      <c r="X20" s="172"/>
    </row>
    <row r="21" spans="1:24" ht="16.5" customHeight="1" x14ac:dyDescent="0.3">
      <c r="A21" s="147">
        <v>15</v>
      </c>
      <c r="B21" s="147">
        <v>1757</v>
      </c>
      <c r="C21" s="197" t="s">
        <v>6656</v>
      </c>
      <c r="D21" s="188" t="s">
        <v>17126</v>
      </c>
      <c r="E21" s="205">
        <v>406</v>
      </c>
      <c r="F21" s="153" t="s">
        <v>0</v>
      </c>
      <c r="G21" s="188" t="s">
        <v>17129</v>
      </c>
      <c r="H21" s="205">
        <v>352</v>
      </c>
      <c r="I21" s="171" t="s">
        <v>0</v>
      </c>
      <c r="J21" s="188"/>
      <c r="K21" s="205">
        <v>84</v>
      </c>
      <c r="L21" s="171" t="s">
        <v>0</v>
      </c>
      <c r="M21" s="160" t="s">
        <v>17112</v>
      </c>
      <c r="N21" s="160"/>
      <c r="O21" s="161"/>
      <c r="P21" s="162"/>
      <c r="Q21" s="163"/>
      <c r="R21" s="164"/>
      <c r="S21" s="170"/>
      <c r="T21" s="171"/>
      <c r="U21" s="170"/>
      <c r="V21" s="171"/>
      <c r="W21" s="223">
        <v>681</v>
      </c>
      <c r="X21" s="172"/>
    </row>
    <row r="22" spans="1:24" ht="16.5" customHeight="1" x14ac:dyDescent="0.3">
      <c r="A22" s="147">
        <v>15</v>
      </c>
      <c r="B22" s="147">
        <v>1758</v>
      </c>
      <c r="C22" s="197" t="s">
        <v>6655</v>
      </c>
      <c r="D22" s="167"/>
      <c r="E22" s="150"/>
      <c r="F22" s="150"/>
      <c r="G22" s="167"/>
      <c r="H22" s="150"/>
      <c r="I22" s="168"/>
      <c r="J22" s="167"/>
      <c r="K22" s="150"/>
      <c r="L22" s="168"/>
      <c r="M22" s="150" t="s">
        <v>17111</v>
      </c>
      <c r="N22" s="150" t="s">
        <v>1</v>
      </c>
      <c r="O22" s="151">
        <v>0.7</v>
      </c>
      <c r="P22" s="162" t="s">
        <v>5895</v>
      </c>
      <c r="Q22" s="163" t="s">
        <v>1</v>
      </c>
      <c r="R22" s="164">
        <v>1</v>
      </c>
      <c r="S22" s="170"/>
      <c r="T22" s="171"/>
      <c r="U22" s="170"/>
      <c r="V22" s="171"/>
      <c r="W22" s="223">
        <v>681</v>
      </c>
      <c r="X22" s="172"/>
    </row>
    <row r="23" spans="1:24" ht="16.5" customHeight="1" x14ac:dyDescent="0.3">
      <c r="A23" s="147">
        <v>15</v>
      </c>
      <c r="B23" s="147">
        <v>1759</v>
      </c>
      <c r="C23" s="197" t="s">
        <v>6654</v>
      </c>
      <c r="D23" s="156" t="s">
        <v>17145</v>
      </c>
      <c r="E23" s="160"/>
      <c r="F23" s="160"/>
      <c r="G23" s="156" t="s">
        <v>17120</v>
      </c>
      <c r="H23" s="160"/>
      <c r="I23" s="158"/>
      <c r="J23" s="156" t="s">
        <v>17124</v>
      </c>
      <c r="K23" s="160"/>
      <c r="L23" s="158"/>
      <c r="M23" s="160"/>
      <c r="N23" s="160"/>
      <c r="O23" s="161"/>
      <c r="P23" s="162"/>
      <c r="Q23" s="163"/>
      <c r="R23" s="164"/>
      <c r="S23" s="170"/>
      <c r="T23" s="171"/>
      <c r="U23" s="170"/>
      <c r="V23" s="171"/>
      <c r="W23" s="223">
        <v>800</v>
      </c>
      <c r="X23" s="172"/>
    </row>
    <row r="24" spans="1:24" ht="16.5" customHeight="1" x14ac:dyDescent="0.3">
      <c r="A24" s="147">
        <v>15</v>
      </c>
      <c r="B24" s="147">
        <v>1760</v>
      </c>
      <c r="C24" s="197" t="s">
        <v>6653</v>
      </c>
      <c r="D24" s="188" t="s">
        <v>17144</v>
      </c>
      <c r="E24" s="153"/>
      <c r="F24" s="153"/>
      <c r="G24" s="188" t="s">
        <v>17127</v>
      </c>
      <c r="H24" s="153"/>
      <c r="I24" s="171"/>
      <c r="J24" s="188" t="s">
        <v>17116</v>
      </c>
      <c r="K24" s="153"/>
      <c r="L24" s="171"/>
      <c r="M24" s="150"/>
      <c r="N24" s="150"/>
      <c r="O24" s="151"/>
      <c r="P24" s="162" t="s">
        <v>5895</v>
      </c>
      <c r="Q24" s="163" t="s">
        <v>1</v>
      </c>
      <c r="R24" s="164">
        <v>1</v>
      </c>
      <c r="S24" s="170"/>
      <c r="T24" s="171"/>
      <c r="U24" s="170"/>
      <c r="V24" s="171"/>
      <c r="W24" s="223">
        <v>800</v>
      </c>
      <c r="X24" s="172"/>
    </row>
    <row r="25" spans="1:24" ht="16.5" customHeight="1" x14ac:dyDescent="0.3">
      <c r="A25" s="147">
        <v>15</v>
      </c>
      <c r="B25" s="147">
        <v>1761</v>
      </c>
      <c r="C25" s="197" t="s">
        <v>6652</v>
      </c>
      <c r="D25" s="188"/>
      <c r="E25" s="205">
        <v>257</v>
      </c>
      <c r="F25" s="153" t="s">
        <v>0</v>
      </c>
      <c r="G25" s="188" t="s">
        <v>17126</v>
      </c>
      <c r="H25" s="205">
        <v>334</v>
      </c>
      <c r="I25" s="171" t="s">
        <v>0</v>
      </c>
      <c r="J25" s="188"/>
      <c r="K25" s="205">
        <v>83</v>
      </c>
      <c r="L25" s="171" t="s">
        <v>0</v>
      </c>
      <c r="M25" s="160" t="s">
        <v>17112</v>
      </c>
      <c r="N25" s="160"/>
      <c r="O25" s="161"/>
      <c r="P25" s="162"/>
      <c r="Q25" s="163"/>
      <c r="R25" s="164"/>
      <c r="S25" s="170"/>
      <c r="T25" s="171"/>
      <c r="U25" s="170"/>
      <c r="V25" s="171"/>
      <c r="W25" s="223">
        <v>560</v>
      </c>
      <c r="X25" s="172"/>
    </row>
    <row r="26" spans="1:24" ht="16.5" customHeight="1" x14ac:dyDescent="0.3">
      <c r="A26" s="147">
        <v>15</v>
      </c>
      <c r="B26" s="147">
        <v>1762</v>
      </c>
      <c r="C26" s="197" t="s">
        <v>6651</v>
      </c>
      <c r="D26" s="188"/>
      <c r="E26" s="153"/>
      <c r="F26" s="153"/>
      <c r="G26" s="188"/>
      <c r="H26" s="153"/>
      <c r="I26" s="171"/>
      <c r="J26" s="167"/>
      <c r="K26" s="150"/>
      <c r="L26" s="168"/>
      <c r="M26" s="150" t="s">
        <v>17111</v>
      </c>
      <c r="N26" s="150" t="s">
        <v>1</v>
      </c>
      <c r="O26" s="151">
        <v>0.7</v>
      </c>
      <c r="P26" s="162" t="s">
        <v>5895</v>
      </c>
      <c r="Q26" s="163" t="s">
        <v>1</v>
      </c>
      <c r="R26" s="164">
        <v>1</v>
      </c>
      <c r="S26" s="170"/>
      <c r="T26" s="171"/>
      <c r="U26" s="170"/>
      <c r="V26" s="171"/>
      <c r="W26" s="223">
        <v>560</v>
      </c>
      <c r="X26" s="172"/>
    </row>
    <row r="27" spans="1:24" ht="16.5" customHeight="1" x14ac:dyDescent="0.3">
      <c r="A27" s="147">
        <v>15</v>
      </c>
      <c r="B27" s="147">
        <v>1763</v>
      </c>
      <c r="C27" s="197" t="s">
        <v>6650</v>
      </c>
      <c r="D27" s="188"/>
      <c r="E27" s="153"/>
      <c r="F27" s="153"/>
      <c r="G27" s="188"/>
      <c r="H27" s="153"/>
      <c r="I27" s="171"/>
      <c r="J27" s="156" t="s">
        <v>17143</v>
      </c>
      <c r="K27" s="160"/>
      <c r="L27" s="158"/>
      <c r="M27" s="160"/>
      <c r="N27" s="160"/>
      <c r="O27" s="161"/>
      <c r="P27" s="162"/>
      <c r="Q27" s="163"/>
      <c r="R27" s="164"/>
      <c r="S27" s="170"/>
      <c r="T27" s="171"/>
      <c r="U27" s="170"/>
      <c r="V27" s="171"/>
      <c r="W27" s="223">
        <v>926</v>
      </c>
      <c r="X27" s="172"/>
    </row>
    <row r="28" spans="1:24" ht="16.5" customHeight="1" x14ac:dyDescent="0.3">
      <c r="A28" s="147">
        <v>15</v>
      </c>
      <c r="B28" s="147">
        <v>1764</v>
      </c>
      <c r="C28" s="197" t="s">
        <v>6649</v>
      </c>
      <c r="D28" s="188"/>
      <c r="E28" s="153"/>
      <c r="F28" s="153"/>
      <c r="G28" s="188"/>
      <c r="H28" s="153"/>
      <c r="I28" s="171"/>
      <c r="J28" s="188" t="s">
        <v>17127</v>
      </c>
      <c r="K28" s="153"/>
      <c r="L28" s="171"/>
      <c r="M28" s="150"/>
      <c r="N28" s="150"/>
      <c r="O28" s="151"/>
      <c r="P28" s="162" t="s">
        <v>5895</v>
      </c>
      <c r="Q28" s="163" t="s">
        <v>1</v>
      </c>
      <c r="R28" s="164">
        <v>1</v>
      </c>
      <c r="S28" s="170"/>
      <c r="T28" s="171"/>
      <c r="U28" s="170"/>
      <c r="V28" s="171"/>
      <c r="W28" s="223">
        <v>926</v>
      </c>
      <c r="X28" s="172"/>
    </row>
    <row r="29" spans="1:24" ht="16.5" customHeight="1" x14ac:dyDescent="0.3">
      <c r="A29" s="147">
        <v>15</v>
      </c>
      <c r="B29" s="147">
        <v>1765</v>
      </c>
      <c r="C29" s="197" t="s">
        <v>6648</v>
      </c>
      <c r="D29" s="188"/>
      <c r="E29" s="153"/>
      <c r="F29" s="153"/>
      <c r="G29" s="188"/>
      <c r="H29" s="153"/>
      <c r="I29" s="171"/>
      <c r="J29" s="188" t="s">
        <v>17126</v>
      </c>
      <c r="K29" s="205">
        <v>167</v>
      </c>
      <c r="L29" s="171" t="s">
        <v>0</v>
      </c>
      <c r="M29" s="160" t="s">
        <v>17112</v>
      </c>
      <c r="N29" s="160"/>
      <c r="O29" s="161"/>
      <c r="P29" s="162"/>
      <c r="Q29" s="163"/>
      <c r="R29" s="164"/>
      <c r="S29" s="170"/>
      <c r="T29" s="171"/>
      <c r="U29" s="170"/>
      <c r="V29" s="171"/>
      <c r="W29" s="223">
        <v>649</v>
      </c>
      <c r="X29" s="172"/>
    </row>
    <row r="30" spans="1:24" ht="16.5" customHeight="1" x14ac:dyDescent="0.3">
      <c r="A30" s="147">
        <v>15</v>
      </c>
      <c r="B30" s="147">
        <v>1766</v>
      </c>
      <c r="C30" s="197" t="s">
        <v>6647</v>
      </c>
      <c r="D30" s="188"/>
      <c r="E30" s="153"/>
      <c r="F30" s="153"/>
      <c r="G30" s="188"/>
      <c r="H30" s="153"/>
      <c r="I30" s="171"/>
      <c r="J30" s="167"/>
      <c r="K30" s="150"/>
      <c r="L30" s="168"/>
      <c r="M30" s="150" t="s">
        <v>17111</v>
      </c>
      <c r="N30" s="150" t="s">
        <v>1</v>
      </c>
      <c r="O30" s="151">
        <v>0.7</v>
      </c>
      <c r="P30" s="162" t="s">
        <v>5895</v>
      </c>
      <c r="Q30" s="163" t="s">
        <v>1</v>
      </c>
      <c r="R30" s="164">
        <v>1</v>
      </c>
      <c r="S30" s="170"/>
      <c r="T30" s="171"/>
      <c r="U30" s="170"/>
      <c r="V30" s="171"/>
      <c r="W30" s="223">
        <v>649</v>
      </c>
      <c r="X30" s="172"/>
    </row>
    <row r="31" spans="1:24" ht="16.5" customHeight="1" x14ac:dyDescent="0.3">
      <c r="A31" s="147">
        <v>15</v>
      </c>
      <c r="B31" s="147">
        <v>1767</v>
      </c>
      <c r="C31" s="197" t="s">
        <v>6646</v>
      </c>
      <c r="D31" s="188"/>
      <c r="E31" s="153"/>
      <c r="F31" s="153"/>
      <c r="G31" s="188"/>
      <c r="H31" s="153"/>
      <c r="I31" s="171"/>
      <c r="J31" s="156" t="s">
        <v>17132</v>
      </c>
      <c r="K31" s="160"/>
      <c r="L31" s="158"/>
      <c r="M31" s="160"/>
      <c r="N31" s="160"/>
      <c r="O31" s="161"/>
      <c r="P31" s="162"/>
      <c r="Q31" s="163"/>
      <c r="R31" s="164"/>
      <c r="S31" s="170"/>
      <c r="T31" s="171"/>
      <c r="U31" s="170"/>
      <c r="V31" s="171"/>
      <c r="W31" s="223">
        <v>1052</v>
      </c>
      <c r="X31" s="172"/>
    </row>
    <row r="32" spans="1:24" ht="16.5" customHeight="1" x14ac:dyDescent="0.3">
      <c r="A32" s="147">
        <v>15</v>
      </c>
      <c r="B32" s="147">
        <v>1768</v>
      </c>
      <c r="C32" s="197" t="s">
        <v>6645</v>
      </c>
      <c r="D32" s="188"/>
      <c r="E32" s="153"/>
      <c r="F32" s="153"/>
      <c r="G32" s="188"/>
      <c r="H32" s="153"/>
      <c r="I32" s="171"/>
      <c r="J32" s="188" t="s">
        <v>17130</v>
      </c>
      <c r="K32" s="153"/>
      <c r="L32" s="171"/>
      <c r="M32" s="150"/>
      <c r="N32" s="150"/>
      <c r="O32" s="151"/>
      <c r="P32" s="162" t="s">
        <v>5895</v>
      </c>
      <c r="Q32" s="163" t="s">
        <v>1</v>
      </c>
      <c r="R32" s="164">
        <v>1</v>
      </c>
      <c r="S32" s="170"/>
      <c r="T32" s="171"/>
      <c r="U32" s="170"/>
      <c r="V32" s="171"/>
      <c r="W32" s="223">
        <v>1052</v>
      </c>
      <c r="X32" s="172"/>
    </row>
    <row r="33" spans="1:24" ht="16.5" customHeight="1" x14ac:dyDescent="0.3">
      <c r="A33" s="147">
        <v>15</v>
      </c>
      <c r="B33" s="147">
        <v>1769</v>
      </c>
      <c r="C33" s="197" t="s">
        <v>6644</v>
      </c>
      <c r="D33" s="188"/>
      <c r="E33" s="153"/>
      <c r="F33" s="153"/>
      <c r="G33" s="188"/>
      <c r="H33" s="153"/>
      <c r="I33" s="171"/>
      <c r="J33" s="188" t="s">
        <v>17129</v>
      </c>
      <c r="K33" s="205">
        <v>251</v>
      </c>
      <c r="L33" s="171" t="s">
        <v>0</v>
      </c>
      <c r="M33" s="160" t="s">
        <v>17112</v>
      </c>
      <c r="N33" s="160"/>
      <c r="O33" s="161"/>
      <c r="P33" s="162"/>
      <c r="Q33" s="163"/>
      <c r="R33" s="164"/>
      <c r="S33" s="170"/>
      <c r="T33" s="171"/>
      <c r="U33" s="170"/>
      <c r="V33" s="171"/>
      <c r="W33" s="223">
        <v>737</v>
      </c>
      <c r="X33" s="172"/>
    </row>
    <row r="34" spans="1:24" ht="16.5" customHeight="1" x14ac:dyDescent="0.3">
      <c r="A34" s="147">
        <v>15</v>
      </c>
      <c r="B34" s="147">
        <v>1770</v>
      </c>
      <c r="C34" s="197" t="s">
        <v>6643</v>
      </c>
      <c r="D34" s="167"/>
      <c r="E34" s="150"/>
      <c r="F34" s="150"/>
      <c r="G34" s="167"/>
      <c r="H34" s="150"/>
      <c r="I34" s="168"/>
      <c r="J34" s="167"/>
      <c r="K34" s="150"/>
      <c r="L34" s="168"/>
      <c r="M34" s="150" t="s">
        <v>17111</v>
      </c>
      <c r="N34" s="150" t="s">
        <v>1</v>
      </c>
      <c r="O34" s="151">
        <v>0.7</v>
      </c>
      <c r="P34" s="162" t="s">
        <v>5895</v>
      </c>
      <c r="Q34" s="163" t="s">
        <v>1</v>
      </c>
      <c r="R34" s="164">
        <v>1</v>
      </c>
      <c r="S34" s="170"/>
      <c r="T34" s="171"/>
      <c r="U34" s="170"/>
      <c r="V34" s="171"/>
      <c r="W34" s="223">
        <v>737</v>
      </c>
      <c r="X34" s="172"/>
    </row>
    <row r="35" spans="1:24" ht="16.5" customHeight="1" x14ac:dyDescent="0.3">
      <c r="A35" s="147">
        <v>15</v>
      </c>
      <c r="B35" s="147">
        <v>1771</v>
      </c>
      <c r="C35" s="197" t="s">
        <v>6642</v>
      </c>
      <c r="D35" s="156" t="s">
        <v>17142</v>
      </c>
      <c r="E35" s="160"/>
      <c r="F35" s="160"/>
      <c r="G35" s="156" t="s">
        <v>17120</v>
      </c>
      <c r="H35" s="160"/>
      <c r="I35" s="158"/>
      <c r="J35" s="156" t="s">
        <v>17124</v>
      </c>
      <c r="K35" s="160"/>
      <c r="L35" s="158"/>
      <c r="M35" s="160"/>
      <c r="N35" s="160"/>
      <c r="O35" s="161"/>
      <c r="P35" s="162"/>
      <c r="Q35" s="163"/>
      <c r="R35" s="164"/>
      <c r="S35" s="170"/>
      <c r="T35" s="171"/>
      <c r="U35" s="170"/>
      <c r="V35" s="171"/>
      <c r="W35" s="223">
        <v>867</v>
      </c>
      <c r="X35" s="172"/>
    </row>
    <row r="36" spans="1:24" ht="16.5" customHeight="1" x14ac:dyDescent="0.3">
      <c r="A36" s="147">
        <v>15</v>
      </c>
      <c r="B36" s="147">
        <v>1772</v>
      </c>
      <c r="C36" s="197" t="s">
        <v>6641</v>
      </c>
      <c r="D36" s="188" t="s">
        <v>17127</v>
      </c>
      <c r="E36" s="153"/>
      <c r="F36" s="153"/>
      <c r="G36" s="188" t="s">
        <v>17127</v>
      </c>
      <c r="H36" s="153"/>
      <c r="I36" s="171"/>
      <c r="J36" s="188" t="s">
        <v>17116</v>
      </c>
      <c r="K36" s="153"/>
      <c r="L36" s="171"/>
      <c r="M36" s="150"/>
      <c r="N36" s="150"/>
      <c r="O36" s="151"/>
      <c r="P36" s="162" t="s">
        <v>5895</v>
      </c>
      <c r="Q36" s="163" t="s">
        <v>1</v>
      </c>
      <c r="R36" s="164">
        <v>1</v>
      </c>
      <c r="S36" s="170"/>
      <c r="T36" s="171"/>
      <c r="U36" s="170"/>
      <c r="V36" s="171"/>
      <c r="W36" s="223">
        <v>867</v>
      </c>
      <c r="X36" s="172"/>
    </row>
    <row r="37" spans="1:24" ht="16.5" customHeight="1" x14ac:dyDescent="0.3">
      <c r="A37" s="147">
        <v>15</v>
      </c>
      <c r="B37" s="147">
        <v>1773</v>
      </c>
      <c r="C37" s="197" t="s">
        <v>6640</v>
      </c>
      <c r="D37" s="188" t="s">
        <v>17141</v>
      </c>
      <c r="E37" s="205">
        <v>406</v>
      </c>
      <c r="F37" s="153" t="s">
        <v>0</v>
      </c>
      <c r="G37" s="188" t="s">
        <v>17126</v>
      </c>
      <c r="H37" s="205">
        <v>268</v>
      </c>
      <c r="I37" s="171" t="s">
        <v>0</v>
      </c>
      <c r="J37" s="188"/>
      <c r="K37" s="205">
        <v>84</v>
      </c>
      <c r="L37" s="171" t="s">
        <v>0</v>
      </c>
      <c r="M37" s="160" t="s">
        <v>17112</v>
      </c>
      <c r="N37" s="160"/>
      <c r="O37" s="161"/>
      <c r="P37" s="162"/>
      <c r="Q37" s="163"/>
      <c r="R37" s="164"/>
      <c r="S37" s="170"/>
      <c r="T37" s="171"/>
      <c r="U37" s="170"/>
      <c r="V37" s="171"/>
      <c r="W37" s="223">
        <v>608</v>
      </c>
      <c r="X37" s="172"/>
    </row>
    <row r="38" spans="1:24" ht="16.5" customHeight="1" x14ac:dyDescent="0.3">
      <c r="A38" s="147">
        <v>15</v>
      </c>
      <c r="B38" s="147">
        <v>1774</v>
      </c>
      <c r="C38" s="197" t="s">
        <v>6639</v>
      </c>
      <c r="D38" s="188"/>
      <c r="E38" s="153"/>
      <c r="F38" s="153"/>
      <c r="G38" s="188"/>
      <c r="H38" s="153"/>
      <c r="I38" s="171"/>
      <c r="J38" s="167"/>
      <c r="K38" s="150"/>
      <c r="L38" s="168"/>
      <c r="M38" s="150" t="s">
        <v>17111</v>
      </c>
      <c r="N38" s="150" t="s">
        <v>1</v>
      </c>
      <c r="O38" s="151">
        <v>0.7</v>
      </c>
      <c r="P38" s="162" t="s">
        <v>5895</v>
      </c>
      <c r="Q38" s="163" t="s">
        <v>1</v>
      </c>
      <c r="R38" s="164">
        <v>1</v>
      </c>
      <c r="S38" s="170"/>
      <c r="T38" s="171"/>
      <c r="U38" s="170"/>
      <c r="V38" s="171"/>
      <c r="W38" s="223">
        <v>608</v>
      </c>
      <c r="X38" s="172"/>
    </row>
    <row r="39" spans="1:24" ht="16.5" customHeight="1" x14ac:dyDescent="0.3">
      <c r="A39" s="147">
        <v>15</v>
      </c>
      <c r="B39" s="147">
        <v>1775</v>
      </c>
      <c r="C39" s="197" t="s">
        <v>6638</v>
      </c>
      <c r="D39" s="188"/>
      <c r="E39" s="153"/>
      <c r="F39" s="153"/>
      <c r="G39" s="188"/>
      <c r="H39" s="153"/>
      <c r="I39" s="171"/>
      <c r="J39" s="156" t="s">
        <v>17133</v>
      </c>
      <c r="K39" s="160"/>
      <c r="L39" s="158"/>
      <c r="M39" s="160"/>
      <c r="N39" s="160"/>
      <c r="O39" s="161"/>
      <c r="P39" s="162"/>
      <c r="Q39" s="163"/>
      <c r="R39" s="164"/>
      <c r="S39" s="170"/>
      <c r="T39" s="171"/>
      <c r="U39" s="170"/>
      <c r="V39" s="171"/>
      <c r="W39" s="223">
        <v>993</v>
      </c>
      <c r="X39" s="172"/>
    </row>
    <row r="40" spans="1:24" ht="16.5" customHeight="1" x14ac:dyDescent="0.3">
      <c r="A40" s="147">
        <v>15</v>
      </c>
      <c r="B40" s="147">
        <v>1776</v>
      </c>
      <c r="C40" s="197" t="s">
        <v>6637</v>
      </c>
      <c r="D40" s="188"/>
      <c r="E40" s="153"/>
      <c r="F40" s="153"/>
      <c r="G40" s="188"/>
      <c r="H40" s="153"/>
      <c r="I40" s="171"/>
      <c r="J40" s="188" t="s">
        <v>17127</v>
      </c>
      <c r="K40" s="153"/>
      <c r="L40" s="171"/>
      <c r="M40" s="150"/>
      <c r="N40" s="150"/>
      <c r="O40" s="151"/>
      <c r="P40" s="162" t="s">
        <v>5895</v>
      </c>
      <c r="Q40" s="163" t="s">
        <v>1</v>
      </c>
      <c r="R40" s="164">
        <v>1</v>
      </c>
      <c r="S40" s="170"/>
      <c r="T40" s="171"/>
      <c r="U40" s="170"/>
      <c r="V40" s="171"/>
      <c r="W40" s="223">
        <v>993</v>
      </c>
      <c r="X40" s="172"/>
    </row>
    <row r="41" spans="1:24" ht="16.5" customHeight="1" x14ac:dyDescent="0.3">
      <c r="A41" s="147">
        <v>15</v>
      </c>
      <c r="B41" s="147">
        <v>1777</v>
      </c>
      <c r="C41" s="197" t="s">
        <v>6636</v>
      </c>
      <c r="D41" s="188"/>
      <c r="E41" s="153"/>
      <c r="F41" s="153"/>
      <c r="G41" s="188"/>
      <c r="H41" s="153"/>
      <c r="I41" s="171"/>
      <c r="J41" s="188" t="s">
        <v>17126</v>
      </c>
      <c r="K41" s="205">
        <v>168</v>
      </c>
      <c r="L41" s="171" t="s">
        <v>0</v>
      </c>
      <c r="M41" s="160" t="s">
        <v>17112</v>
      </c>
      <c r="N41" s="160"/>
      <c r="O41" s="161"/>
      <c r="P41" s="162"/>
      <c r="Q41" s="163"/>
      <c r="R41" s="164"/>
      <c r="S41" s="170"/>
      <c r="T41" s="171"/>
      <c r="U41" s="170"/>
      <c r="V41" s="171"/>
      <c r="W41" s="223">
        <v>696</v>
      </c>
      <c r="X41" s="172"/>
    </row>
    <row r="42" spans="1:24" ht="16.5" customHeight="1" x14ac:dyDescent="0.3">
      <c r="A42" s="147">
        <v>15</v>
      </c>
      <c r="B42" s="147">
        <v>1778</v>
      </c>
      <c r="C42" s="197" t="s">
        <v>6635</v>
      </c>
      <c r="D42" s="167"/>
      <c r="E42" s="150"/>
      <c r="F42" s="150"/>
      <c r="G42" s="167"/>
      <c r="H42" s="150"/>
      <c r="I42" s="168"/>
      <c r="J42" s="167"/>
      <c r="K42" s="150"/>
      <c r="L42" s="168"/>
      <c r="M42" s="150" t="s">
        <v>17111</v>
      </c>
      <c r="N42" s="150" t="s">
        <v>1</v>
      </c>
      <c r="O42" s="151">
        <v>0.7</v>
      </c>
      <c r="P42" s="162" t="s">
        <v>5895</v>
      </c>
      <c r="Q42" s="163" t="s">
        <v>1</v>
      </c>
      <c r="R42" s="164">
        <v>1</v>
      </c>
      <c r="S42" s="170"/>
      <c r="T42" s="171"/>
      <c r="U42" s="170"/>
      <c r="V42" s="171"/>
      <c r="W42" s="223">
        <v>696</v>
      </c>
      <c r="X42" s="172"/>
    </row>
    <row r="43" spans="1:24" ht="16.5" customHeight="1" x14ac:dyDescent="0.3">
      <c r="A43" s="147">
        <v>15</v>
      </c>
      <c r="B43" s="147">
        <v>1779</v>
      </c>
      <c r="C43" s="197" t="s">
        <v>6634</v>
      </c>
      <c r="D43" s="156" t="s">
        <v>17140</v>
      </c>
      <c r="E43" s="160"/>
      <c r="F43" s="160"/>
      <c r="G43" s="156" t="s">
        <v>17120</v>
      </c>
      <c r="H43" s="160"/>
      <c r="I43" s="158"/>
      <c r="J43" s="156" t="s">
        <v>17124</v>
      </c>
      <c r="K43" s="160"/>
      <c r="L43" s="158"/>
      <c r="M43" s="160"/>
      <c r="N43" s="160"/>
      <c r="O43" s="161"/>
      <c r="P43" s="162"/>
      <c r="Q43" s="163"/>
      <c r="R43" s="164"/>
      <c r="S43" s="170"/>
      <c r="T43" s="171"/>
      <c r="U43" s="170"/>
      <c r="V43" s="171"/>
      <c r="W43" s="223">
        <v>926</v>
      </c>
      <c r="X43" s="172"/>
    </row>
    <row r="44" spans="1:24" ht="16.5" customHeight="1" x14ac:dyDescent="0.3">
      <c r="A44" s="147">
        <v>15</v>
      </c>
      <c r="B44" s="147">
        <v>1780</v>
      </c>
      <c r="C44" s="197" t="s">
        <v>6633</v>
      </c>
      <c r="D44" s="188" t="s">
        <v>17139</v>
      </c>
      <c r="E44" s="153"/>
      <c r="F44" s="153"/>
      <c r="G44" s="188" t="s">
        <v>17127</v>
      </c>
      <c r="H44" s="153"/>
      <c r="I44" s="171"/>
      <c r="J44" s="188" t="s">
        <v>17116</v>
      </c>
      <c r="K44" s="153"/>
      <c r="L44" s="171"/>
      <c r="M44" s="150"/>
      <c r="N44" s="150"/>
      <c r="O44" s="151"/>
      <c r="P44" s="162" t="s">
        <v>5895</v>
      </c>
      <c r="Q44" s="163" t="s">
        <v>1</v>
      </c>
      <c r="R44" s="164">
        <v>1</v>
      </c>
      <c r="S44" s="170"/>
      <c r="T44" s="171"/>
      <c r="U44" s="170"/>
      <c r="V44" s="171"/>
      <c r="W44" s="223">
        <v>926</v>
      </c>
      <c r="X44" s="172"/>
    </row>
    <row r="45" spans="1:24" ht="16.5" customHeight="1" x14ac:dyDescent="0.3">
      <c r="A45" s="147">
        <v>15</v>
      </c>
      <c r="B45" s="147">
        <v>1781</v>
      </c>
      <c r="C45" s="197" t="s">
        <v>6632</v>
      </c>
      <c r="D45" s="188" t="s">
        <v>17129</v>
      </c>
      <c r="E45" s="205">
        <v>591</v>
      </c>
      <c r="F45" s="153" t="s">
        <v>0</v>
      </c>
      <c r="G45" s="188" t="s">
        <v>17126</v>
      </c>
      <c r="H45" s="205">
        <v>167</v>
      </c>
      <c r="I45" s="171" t="s">
        <v>0</v>
      </c>
      <c r="J45" s="188"/>
      <c r="K45" s="205">
        <v>84</v>
      </c>
      <c r="L45" s="171" t="s">
        <v>0</v>
      </c>
      <c r="M45" s="160" t="s">
        <v>17112</v>
      </c>
      <c r="N45" s="160"/>
      <c r="O45" s="161"/>
      <c r="P45" s="162"/>
      <c r="Q45" s="163"/>
      <c r="R45" s="164"/>
      <c r="S45" s="170"/>
      <c r="T45" s="171"/>
      <c r="U45" s="170"/>
      <c r="V45" s="171"/>
      <c r="W45" s="223">
        <v>649</v>
      </c>
      <c r="X45" s="172"/>
    </row>
    <row r="46" spans="1:24" ht="16.5" customHeight="1" x14ac:dyDescent="0.3">
      <c r="A46" s="147">
        <v>15</v>
      </c>
      <c r="B46" s="147">
        <v>1782</v>
      </c>
      <c r="C46" s="197" t="s">
        <v>6631</v>
      </c>
      <c r="D46" s="167"/>
      <c r="E46" s="150"/>
      <c r="F46" s="150"/>
      <c r="G46" s="167"/>
      <c r="H46" s="150"/>
      <c r="I46" s="168"/>
      <c r="J46" s="167"/>
      <c r="K46" s="150"/>
      <c r="L46" s="168"/>
      <c r="M46" s="150" t="s">
        <v>17111</v>
      </c>
      <c r="N46" s="150" t="s">
        <v>1</v>
      </c>
      <c r="O46" s="151">
        <v>0.7</v>
      </c>
      <c r="P46" s="162" t="s">
        <v>5895</v>
      </c>
      <c r="Q46" s="163" t="s">
        <v>1</v>
      </c>
      <c r="R46" s="164">
        <v>1</v>
      </c>
      <c r="S46" s="170"/>
      <c r="T46" s="171"/>
      <c r="U46" s="170"/>
      <c r="V46" s="171"/>
      <c r="W46" s="223">
        <v>649</v>
      </c>
      <c r="X46" s="172"/>
    </row>
    <row r="47" spans="1:24" ht="16.5" customHeight="1" x14ac:dyDescent="0.3">
      <c r="A47" s="147">
        <v>15</v>
      </c>
      <c r="B47" s="147">
        <v>1783</v>
      </c>
      <c r="C47" s="197" t="s">
        <v>6630</v>
      </c>
      <c r="D47" s="156" t="s">
        <v>17138</v>
      </c>
      <c r="E47" s="160"/>
      <c r="F47" s="160"/>
      <c r="G47" s="156" t="s">
        <v>17120</v>
      </c>
      <c r="H47" s="160"/>
      <c r="I47" s="158"/>
      <c r="J47" s="156" t="s">
        <v>17124</v>
      </c>
      <c r="K47" s="160"/>
      <c r="L47" s="158"/>
      <c r="M47" s="160"/>
      <c r="N47" s="160"/>
      <c r="O47" s="161"/>
      <c r="P47" s="162"/>
      <c r="Q47" s="163"/>
      <c r="R47" s="164"/>
      <c r="S47" s="170"/>
      <c r="T47" s="171"/>
      <c r="U47" s="170"/>
      <c r="V47" s="171"/>
      <c r="W47" s="223">
        <v>721</v>
      </c>
      <c r="X47" s="172"/>
    </row>
    <row r="48" spans="1:24" ht="16.5" customHeight="1" x14ac:dyDescent="0.3">
      <c r="A48" s="147">
        <v>15</v>
      </c>
      <c r="B48" s="147">
        <v>1784</v>
      </c>
      <c r="C48" s="197" t="s">
        <v>6629</v>
      </c>
      <c r="D48" s="188" t="s">
        <v>17116</v>
      </c>
      <c r="E48" s="153"/>
      <c r="F48" s="153"/>
      <c r="G48" s="188" t="s">
        <v>17116</v>
      </c>
      <c r="H48" s="153"/>
      <c r="I48" s="171"/>
      <c r="J48" s="188" t="s">
        <v>17116</v>
      </c>
      <c r="K48" s="153"/>
      <c r="L48" s="171"/>
      <c r="M48" s="150"/>
      <c r="N48" s="150"/>
      <c r="O48" s="151"/>
      <c r="P48" s="162" t="s">
        <v>5895</v>
      </c>
      <c r="Q48" s="163" t="s">
        <v>1</v>
      </c>
      <c r="R48" s="164">
        <v>1</v>
      </c>
      <c r="S48" s="170"/>
      <c r="T48" s="171"/>
      <c r="U48" s="170"/>
      <c r="V48" s="171"/>
      <c r="W48" s="223">
        <v>721</v>
      </c>
      <c r="X48" s="172"/>
    </row>
    <row r="49" spans="1:24" ht="16.5" customHeight="1" x14ac:dyDescent="0.3">
      <c r="A49" s="147">
        <v>15</v>
      </c>
      <c r="B49" s="147">
        <v>1785</v>
      </c>
      <c r="C49" s="197" t="s">
        <v>6628</v>
      </c>
      <c r="D49" s="188"/>
      <c r="E49" s="205">
        <v>257</v>
      </c>
      <c r="F49" s="153" t="s">
        <v>0</v>
      </c>
      <c r="G49" s="188"/>
      <c r="H49" s="205">
        <v>149</v>
      </c>
      <c r="I49" s="171" t="s">
        <v>0</v>
      </c>
      <c r="J49" s="188"/>
      <c r="K49" s="205">
        <v>185</v>
      </c>
      <c r="L49" s="171" t="s">
        <v>0</v>
      </c>
      <c r="M49" s="160" t="s">
        <v>17137</v>
      </c>
      <c r="N49" s="160"/>
      <c r="O49" s="161"/>
      <c r="P49" s="162"/>
      <c r="Q49" s="163"/>
      <c r="R49" s="164"/>
      <c r="S49" s="170"/>
      <c r="T49" s="171"/>
      <c r="U49" s="170"/>
      <c r="V49" s="171"/>
      <c r="W49" s="223">
        <v>505</v>
      </c>
      <c r="X49" s="172"/>
    </row>
    <row r="50" spans="1:24" ht="16.5" customHeight="1" x14ac:dyDescent="0.3">
      <c r="A50" s="147">
        <v>15</v>
      </c>
      <c r="B50" s="147">
        <v>1786</v>
      </c>
      <c r="C50" s="197" t="s">
        <v>6627</v>
      </c>
      <c r="D50" s="188"/>
      <c r="E50" s="153"/>
      <c r="F50" s="153"/>
      <c r="G50" s="188"/>
      <c r="H50" s="153"/>
      <c r="I50" s="171"/>
      <c r="J50" s="167"/>
      <c r="K50" s="150"/>
      <c r="L50" s="168"/>
      <c r="M50" s="150" t="s">
        <v>17111</v>
      </c>
      <c r="N50" s="150" t="s">
        <v>1</v>
      </c>
      <c r="O50" s="151">
        <v>0.7</v>
      </c>
      <c r="P50" s="162" t="s">
        <v>5895</v>
      </c>
      <c r="Q50" s="163" t="s">
        <v>1</v>
      </c>
      <c r="R50" s="164">
        <v>1</v>
      </c>
      <c r="S50" s="170"/>
      <c r="T50" s="171"/>
      <c r="U50" s="170"/>
      <c r="V50" s="171"/>
      <c r="W50" s="223">
        <v>505</v>
      </c>
      <c r="X50" s="172"/>
    </row>
    <row r="51" spans="1:24" ht="16.5" customHeight="1" x14ac:dyDescent="0.3">
      <c r="A51" s="147">
        <v>15</v>
      </c>
      <c r="B51" s="147">
        <v>1787</v>
      </c>
      <c r="C51" s="197" t="s">
        <v>6626</v>
      </c>
      <c r="D51" s="188"/>
      <c r="E51" s="153"/>
      <c r="F51" s="153"/>
      <c r="G51" s="188"/>
      <c r="H51" s="153"/>
      <c r="I51" s="171"/>
      <c r="J51" s="156" t="s">
        <v>17133</v>
      </c>
      <c r="K51" s="160"/>
      <c r="L51" s="158"/>
      <c r="M51" s="160"/>
      <c r="N51" s="160"/>
      <c r="O51" s="161"/>
      <c r="P51" s="162"/>
      <c r="Q51" s="163"/>
      <c r="R51" s="164"/>
      <c r="S51" s="170"/>
      <c r="T51" s="171"/>
      <c r="U51" s="170"/>
      <c r="V51" s="171"/>
      <c r="W51" s="223">
        <v>845</v>
      </c>
      <c r="X51" s="172"/>
    </row>
    <row r="52" spans="1:24" ht="16.5" customHeight="1" x14ac:dyDescent="0.3">
      <c r="A52" s="147">
        <v>15</v>
      </c>
      <c r="B52" s="147">
        <v>1788</v>
      </c>
      <c r="C52" s="197" t="s">
        <v>6625</v>
      </c>
      <c r="D52" s="188"/>
      <c r="E52" s="153"/>
      <c r="F52" s="153"/>
      <c r="G52" s="188"/>
      <c r="H52" s="153"/>
      <c r="I52" s="171"/>
      <c r="J52" s="188" t="s">
        <v>17127</v>
      </c>
      <c r="K52" s="153"/>
      <c r="L52" s="171"/>
      <c r="M52" s="150"/>
      <c r="N52" s="150"/>
      <c r="O52" s="151"/>
      <c r="P52" s="162" t="s">
        <v>5895</v>
      </c>
      <c r="Q52" s="163" t="s">
        <v>1</v>
      </c>
      <c r="R52" s="164">
        <v>1</v>
      </c>
      <c r="S52" s="170"/>
      <c r="T52" s="171"/>
      <c r="U52" s="170"/>
      <c r="V52" s="171"/>
      <c r="W52" s="223">
        <v>845</v>
      </c>
      <c r="X52" s="172"/>
    </row>
    <row r="53" spans="1:24" ht="16.5" customHeight="1" x14ac:dyDescent="0.3">
      <c r="A53" s="147">
        <v>15</v>
      </c>
      <c r="B53" s="147">
        <v>1789</v>
      </c>
      <c r="C53" s="197" t="s">
        <v>6624</v>
      </c>
      <c r="D53" s="188"/>
      <c r="E53" s="153"/>
      <c r="F53" s="153"/>
      <c r="G53" s="188"/>
      <c r="H53" s="153"/>
      <c r="I53" s="171"/>
      <c r="J53" s="188" t="s">
        <v>17126</v>
      </c>
      <c r="K53" s="205">
        <v>268</v>
      </c>
      <c r="L53" s="171" t="s">
        <v>0</v>
      </c>
      <c r="M53" s="160" t="s">
        <v>17112</v>
      </c>
      <c r="N53" s="160"/>
      <c r="O53" s="161"/>
      <c r="P53" s="162"/>
      <c r="Q53" s="163"/>
      <c r="R53" s="164"/>
      <c r="S53" s="170"/>
      <c r="T53" s="171"/>
      <c r="U53" s="170"/>
      <c r="V53" s="171"/>
      <c r="W53" s="223">
        <v>592</v>
      </c>
      <c r="X53" s="172"/>
    </row>
    <row r="54" spans="1:24" ht="16.5" customHeight="1" x14ac:dyDescent="0.3">
      <c r="A54" s="147">
        <v>15</v>
      </c>
      <c r="B54" s="147">
        <v>1790</v>
      </c>
      <c r="C54" s="197" t="s">
        <v>6623</v>
      </c>
      <c r="D54" s="188"/>
      <c r="E54" s="153"/>
      <c r="F54" s="153"/>
      <c r="G54" s="188"/>
      <c r="H54" s="153"/>
      <c r="I54" s="171"/>
      <c r="J54" s="167"/>
      <c r="K54" s="150"/>
      <c r="L54" s="168"/>
      <c r="M54" s="150" t="s">
        <v>17111</v>
      </c>
      <c r="N54" s="150" t="s">
        <v>1</v>
      </c>
      <c r="O54" s="151">
        <v>0.7</v>
      </c>
      <c r="P54" s="162" t="s">
        <v>5895</v>
      </c>
      <c r="Q54" s="163" t="s">
        <v>1</v>
      </c>
      <c r="R54" s="164">
        <v>1</v>
      </c>
      <c r="S54" s="170"/>
      <c r="T54" s="171"/>
      <c r="U54" s="170"/>
      <c r="V54" s="171"/>
      <c r="W54" s="223">
        <v>592</v>
      </c>
      <c r="X54" s="172"/>
    </row>
    <row r="55" spans="1:24" ht="16.5" customHeight="1" x14ac:dyDescent="0.3">
      <c r="A55" s="147">
        <v>15</v>
      </c>
      <c r="B55" s="147">
        <v>1791</v>
      </c>
      <c r="C55" s="197" t="s">
        <v>6622</v>
      </c>
      <c r="D55" s="188"/>
      <c r="E55" s="153"/>
      <c r="F55" s="153"/>
      <c r="G55" s="188"/>
      <c r="H55" s="153"/>
      <c r="I55" s="171"/>
      <c r="J55" s="156" t="s">
        <v>17132</v>
      </c>
      <c r="K55" s="160"/>
      <c r="L55" s="158"/>
      <c r="M55" s="160"/>
      <c r="N55" s="160"/>
      <c r="O55" s="161"/>
      <c r="P55" s="162"/>
      <c r="Q55" s="163"/>
      <c r="R55" s="164"/>
      <c r="S55" s="170"/>
      <c r="T55" s="171"/>
      <c r="U55" s="170"/>
      <c r="V55" s="171"/>
      <c r="W55" s="223">
        <v>971</v>
      </c>
      <c r="X55" s="172"/>
    </row>
    <row r="56" spans="1:24" ht="16.5" customHeight="1" x14ac:dyDescent="0.3">
      <c r="A56" s="147">
        <v>15</v>
      </c>
      <c r="B56" s="147">
        <v>1792</v>
      </c>
      <c r="C56" s="197" t="s">
        <v>6621</v>
      </c>
      <c r="D56" s="188"/>
      <c r="E56" s="153"/>
      <c r="F56" s="153"/>
      <c r="G56" s="188"/>
      <c r="H56" s="153"/>
      <c r="I56" s="171"/>
      <c r="J56" s="188" t="s">
        <v>17130</v>
      </c>
      <c r="K56" s="153"/>
      <c r="L56" s="171"/>
      <c r="M56" s="150"/>
      <c r="N56" s="150"/>
      <c r="O56" s="151"/>
      <c r="P56" s="162" t="s">
        <v>5895</v>
      </c>
      <c r="Q56" s="163" t="s">
        <v>1</v>
      </c>
      <c r="R56" s="164">
        <v>1</v>
      </c>
      <c r="S56" s="170"/>
      <c r="T56" s="171"/>
      <c r="U56" s="170"/>
      <c r="V56" s="171"/>
      <c r="W56" s="223">
        <v>971</v>
      </c>
      <c r="X56" s="172"/>
    </row>
    <row r="57" spans="1:24" ht="16.5" customHeight="1" x14ac:dyDescent="0.3">
      <c r="A57" s="147">
        <v>15</v>
      </c>
      <c r="B57" s="147">
        <v>1793</v>
      </c>
      <c r="C57" s="197" t="s">
        <v>6620</v>
      </c>
      <c r="D57" s="188"/>
      <c r="E57" s="153"/>
      <c r="F57" s="153"/>
      <c r="G57" s="188"/>
      <c r="H57" s="153"/>
      <c r="I57" s="171"/>
      <c r="J57" s="188" t="s">
        <v>17129</v>
      </c>
      <c r="K57" s="205">
        <v>352</v>
      </c>
      <c r="L57" s="171" t="s">
        <v>0</v>
      </c>
      <c r="M57" s="160" t="s">
        <v>17112</v>
      </c>
      <c r="N57" s="160"/>
      <c r="O57" s="161"/>
      <c r="P57" s="162"/>
      <c r="Q57" s="163"/>
      <c r="R57" s="164"/>
      <c r="S57" s="170"/>
      <c r="T57" s="171"/>
      <c r="U57" s="170"/>
      <c r="V57" s="171"/>
      <c r="W57" s="223">
        <v>679</v>
      </c>
      <c r="X57" s="172"/>
    </row>
    <row r="58" spans="1:24" ht="16.5" customHeight="1" x14ac:dyDescent="0.3">
      <c r="A58" s="147">
        <v>15</v>
      </c>
      <c r="B58" s="147">
        <v>1794</v>
      </c>
      <c r="C58" s="197" t="s">
        <v>6619</v>
      </c>
      <c r="D58" s="188"/>
      <c r="E58" s="153"/>
      <c r="F58" s="153"/>
      <c r="G58" s="188"/>
      <c r="H58" s="153"/>
      <c r="I58" s="171"/>
      <c r="J58" s="167"/>
      <c r="K58" s="150"/>
      <c r="L58" s="168"/>
      <c r="M58" s="150" t="s">
        <v>17111</v>
      </c>
      <c r="N58" s="150" t="s">
        <v>1</v>
      </c>
      <c r="O58" s="151">
        <v>0.7</v>
      </c>
      <c r="P58" s="162" t="s">
        <v>5895</v>
      </c>
      <c r="Q58" s="163" t="s">
        <v>1</v>
      </c>
      <c r="R58" s="164">
        <v>1</v>
      </c>
      <c r="S58" s="170"/>
      <c r="T58" s="171"/>
      <c r="U58" s="170"/>
      <c r="V58" s="171"/>
      <c r="W58" s="223">
        <v>679</v>
      </c>
      <c r="X58" s="172"/>
    </row>
    <row r="59" spans="1:24" ht="16.5" customHeight="1" x14ac:dyDescent="0.3">
      <c r="A59" s="147">
        <v>15</v>
      </c>
      <c r="B59" s="147">
        <v>1795</v>
      </c>
      <c r="C59" s="197" t="s">
        <v>6618</v>
      </c>
      <c r="D59" s="188"/>
      <c r="E59" s="153"/>
      <c r="F59" s="153"/>
      <c r="G59" s="188"/>
      <c r="H59" s="153"/>
      <c r="I59" s="171"/>
      <c r="J59" s="156" t="s">
        <v>17136</v>
      </c>
      <c r="K59" s="160"/>
      <c r="L59" s="158"/>
      <c r="M59" s="160"/>
      <c r="N59" s="160"/>
      <c r="O59" s="161"/>
      <c r="P59" s="162"/>
      <c r="Q59" s="163"/>
      <c r="R59" s="164"/>
      <c r="S59" s="170"/>
      <c r="T59" s="171"/>
      <c r="U59" s="170"/>
      <c r="V59" s="171"/>
      <c r="W59" s="223">
        <v>1097</v>
      </c>
      <c r="X59" s="172"/>
    </row>
    <row r="60" spans="1:24" ht="16.5" customHeight="1" x14ac:dyDescent="0.3">
      <c r="A60" s="147">
        <v>15</v>
      </c>
      <c r="B60" s="147">
        <v>1796</v>
      </c>
      <c r="C60" s="197" t="s">
        <v>6617</v>
      </c>
      <c r="D60" s="188"/>
      <c r="E60" s="153"/>
      <c r="F60" s="153"/>
      <c r="G60" s="188"/>
      <c r="H60" s="153"/>
      <c r="I60" s="171"/>
      <c r="J60" s="188" t="s">
        <v>17117</v>
      </c>
      <c r="K60" s="153"/>
      <c r="L60" s="171"/>
      <c r="M60" s="150"/>
      <c r="N60" s="150"/>
      <c r="O60" s="151"/>
      <c r="P60" s="162" t="s">
        <v>5895</v>
      </c>
      <c r="Q60" s="163" t="s">
        <v>1</v>
      </c>
      <c r="R60" s="164">
        <v>1</v>
      </c>
      <c r="S60" s="170"/>
      <c r="T60" s="171"/>
      <c r="U60" s="170"/>
      <c r="V60" s="171"/>
      <c r="W60" s="223">
        <v>1097</v>
      </c>
      <c r="X60" s="172"/>
    </row>
    <row r="61" spans="1:24" ht="16.5" customHeight="1" x14ac:dyDescent="0.3">
      <c r="A61" s="147">
        <v>15</v>
      </c>
      <c r="B61" s="147">
        <v>1797</v>
      </c>
      <c r="C61" s="197" t="s">
        <v>6616</v>
      </c>
      <c r="D61" s="188"/>
      <c r="E61" s="153"/>
      <c r="F61" s="153"/>
      <c r="G61" s="188"/>
      <c r="H61" s="153"/>
      <c r="I61" s="171"/>
      <c r="J61" s="188" t="s">
        <v>17113</v>
      </c>
      <c r="K61" s="205">
        <v>436</v>
      </c>
      <c r="L61" s="171" t="s">
        <v>0</v>
      </c>
      <c r="M61" s="160" t="s">
        <v>17112</v>
      </c>
      <c r="N61" s="160"/>
      <c r="O61" s="161"/>
      <c r="P61" s="162"/>
      <c r="Q61" s="163"/>
      <c r="R61" s="164"/>
      <c r="S61" s="170"/>
      <c r="T61" s="171"/>
      <c r="U61" s="170"/>
      <c r="V61" s="171"/>
      <c r="W61" s="223">
        <v>768</v>
      </c>
      <c r="X61" s="172"/>
    </row>
    <row r="62" spans="1:24" ht="16.5" customHeight="1" x14ac:dyDescent="0.3">
      <c r="A62" s="147">
        <v>15</v>
      </c>
      <c r="B62" s="147">
        <v>1798</v>
      </c>
      <c r="C62" s="197" t="s">
        <v>6615</v>
      </c>
      <c r="D62" s="167"/>
      <c r="E62" s="150"/>
      <c r="F62" s="150"/>
      <c r="G62" s="167"/>
      <c r="H62" s="150"/>
      <c r="I62" s="168"/>
      <c r="J62" s="167"/>
      <c r="K62" s="150"/>
      <c r="L62" s="168"/>
      <c r="M62" s="150" t="s">
        <v>17135</v>
      </c>
      <c r="N62" s="150" t="s">
        <v>1</v>
      </c>
      <c r="O62" s="151">
        <v>0.7</v>
      </c>
      <c r="P62" s="162" t="s">
        <v>5895</v>
      </c>
      <c r="Q62" s="163" t="s">
        <v>1</v>
      </c>
      <c r="R62" s="164">
        <v>1</v>
      </c>
      <c r="S62" s="170"/>
      <c r="T62" s="171"/>
      <c r="U62" s="170"/>
      <c r="V62" s="171"/>
      <c r="W62" s="223">
        <v>768</v>
      </c>
      <c r="X62" s="172"/>
    </row>
    <row r="63" spans="1:24" ht="16.5" customHeight="1" x14ac:dyDescent="0.3">
      <c r="A63" s="147">
        <v>15</v>
      </c>
      <c r="B63" s="147">
        <v>1799</v>
      </c>
      <c r="C63" s="197" t="s">
        <v>6614</v>
      </c>
      <c r="D63" s="156" t="s">
        <v>17134</v>
      </c>
      <c r="E63" s="160"/>
      <c r="F63" s="160"/>
      <c r="G63" s="156" t="s">
        <v>17120</v>
      </c>
      <c r="H63" s="160"/>
      <c r="I63" s="158"/>
      <c r="J63" s="156" t="s">
        <v>17124</v>
      </c>
      <c r="K63" s="160"/>
      <c r="L63" s="158"/>
      <c r="M63" s="160"/>
      <c r="N63" s="160"/>
      <c r="O63" s="161"/>
      <c r="P63" s="162"/>
      <c r="Q63" s="163"/>
      <c r="R63" s="164"/>
      <c r="S63" s="170"/>
      <c r="T63" s="171"/>
      <c r="U63" s="170"/>
      <c r="V63" s="171"/>
      <c r="W63" s="223">
        <v>762</v>
      </c>
      <c r="X63" s="172"/>
    </row>
    <row r="64" spans="1:24" ht="16.5" customHeight="1" x14ac:dyDescent="0.3">
      <c r="A64" s="147">
        <v>15</v>
      </c>
      <c r="B64" s="147">
        <v>1800</v>
      </c>
      <c r="C64" s="197" t="s">
        <v>6613</v>
      </c>
      <c r="D64" s="188" t="s">
        <v>17127</v>
      </c>
      <c r="E64" s="153"/>
      <c r="F64" s="153"/>
      <c r="G64" s="188" t="s">
        <v>17116</v>
      </c>
      <c r="H64" s="153"/>
      <c r="I64" s="171"/>
      <c r="J64" s="188" t="s">
        <v>17116</v>
      </c>
      <c r="K64" s="153"/>
      <c r="L64" s="171"/>
      <c r="M64" s="150"/>
      <c r="N64" s="150"/>
      <c r="O64" s="151"/>
      <c r="P64" s="162" t="s">
        <v>5895</v>
      </c>
      <c r="Q64" s="163" t="s">
        <v>1</v>
      </c>
      <c r="R64" s="164">
        <v>1</v>
      </c>
      <c r="S64" s="170"/>
      <c r="T64" s="171"/>
      <c r="U64" s="170"/>
      <c r="V64" s="171"/>
      <c r="W64" s="223">
        <v>762</v>
      </c>
      <c r="X64" s="172"/>
    </row>
    <row r="65" spans="1:24" ht="16.5" customHeight="1" x14ac:dyDescent="0.3">
      <c r="A65" s="147">
        <v>15</v>
      </c>
      <c r="B65" s="147">
        <v>1801</v>
      </c>
      <c r="C65" s="197" t="s">
        <v>6612</v>
      </c>
      <c r="D65" s="188" t="s">
        <v>17126</v>
      </c>
      <c r="E65" s="205">
        <v>406</v>
      </c>
      <c r="F65" s="153" t="s">
        <v>0</v>
      </c>
      <c r="G65" s="188"/>
      <c r="H65" s="205">
        <v>185</v>
      </c>
      <c r="I65" s="171" t="s">
        <v>0</v>
      </c>
      <c r="J65" s="188"/>
      <c r="K65" s="205">
        <v>83</v>
      </c>
      <c r="L65" s="171" t="s">
        <v>0</v>
      </c>
      <c r="M65" s="160" t="s">
        <v>17112</v>
      </c>
      <c r="N65" s="160"/>
      <c r="O65" s="161"/>
      <c r="P65" s="162"/>
      <c r="Q65" s="163"/>
      <c r="R65" s="164"/>
      <c r="S65" s="170"/>
      <c r="T65" s="171"/>
      <c r="U65" s="170"/>
      <c r="V65" s="171"/>
      <c r="W65" s="223">
        <v>534</v>
      </c>
      <c r="X65" s="172"/>
    </row>
    <row r="66" spans="1:24" ht="16.5" customHeight="1" x14ac:dyDescent="0.3">
      <c r="A66" s="147">
        <v>15</v>
      </c>
      <c r="B66" s="147">
        <v>1802</v>
      </c>
      <c r="C66" s="197" t="s">
        <v>6611</v>
      </c>
      <c r="D66" s="188"/>
      <c r="E66" s="153"/>
      <c r="F66" s="153"/>
      <c r="G66" s="188"/>
      <c r="H66" s="153"/>
      <c r="I66" s="171"/>
      <c r="J66" s="167"/>
      <c r="K66" s="150"/>
      <c r="L66" s="168"/>
      <c r="M66" s="150" t="s">
        <v>17111</v>
      </c>
      <c r="N66" s="150" t="s">
        <v>1</v>
      </c>
      <c r="O66" s="151">
        <v>0.7</v>
      </c>
      <c r="P66" s="162" t="s">
        <v>5895</v>
      </c>
      <c r="Q66" s="163" t="s">
        <v>1</v>
      </c>
      <c r="R66" s="164">
        <v>1</v>
      </c>
      <c r="S66" s="170"/>
      <c r="T66" s="171"/>
      <c r="U66" s="170"/>
      <c r="V66" s="171"/>
      <c r="W66" s="223">
        <v>534</v>
      </c>
      <c r="X66" s="172"/>
    </row>
    <row r="67" spans="1:24" ht="16.5" customHeight="1" x14ac:dyDescent="0.3">
      <c r="A67" s="147">
        <v>15</v>
      </c>
      <c r="B67" s="147">
        <v>1803</v>
      </c>
      <c r="C67" s="197" t="s">
        <v>6610</v>
      </c>
      <c r="D67" s="188"/>
      <c r="E67" s="153"/>
      <c r="F67" s="153"/>
      <c r="G67" s="188"/>
      <c r="H67" s="153"/>
      <c r="I67" s="171"/>
      <c r="J67" s="156" t="s">
        <v>17133</v>
      </c>
      <c r="K67" s="160"/>
      <c r="L67" s="158"/>
      <c r="M67" s="160"/>
      <c r="N67" s="160"/>
      <c r="O67" s="161"/>
      <c r="P67" s="162"/>
      <c r="Q67" s="163"/>
      <c r="R67" s="164"/>
      <c r="S67" s="170"/>
      <c r="T67" s="171"/>
      <c r="U67" s="170"/>
      <c r="V67" s="171"/>
      <c r="W67" s="223">
        <v>888</v>
      </c>
      <c r="X67" s="172"/>
    </row>
    <row r="68" spans="1:24" ht="16.5" customHeight="1" x14ac:dyDescent="0.3">
      <c r="A68" s="147">
        <v>15</v>
      </c>
      <c r="B68" s="147">
        <v>1804</v>
      </c>
      <c r="C68" s="197" t="s">
        <v>6609</v>
      </c>
      <c r="D68" s="188"/>
      <c r="E68" s="153"/>
      <c r="F68" s="153"/>
      <c r="G68" s="188"/>
      <c r="H68" s="153"/>
      <c r="I68" s="171"/>
      <c r="J68" s="188" t="s">
        <v>17127</v>
      </c>
      <c r="K68" s="153"/>
      <c r="L68" s="171"/>
      <c r="M68" s="150"/>
      <c r="N68" s="150"/>
      <c r="O68" s="151"/>
      <c r="P68" s="162" t="s">
        <v>5895</v>
      </c>
      <c r="Q68" s="163" t="s">
        <v>1</v>
      </c>
      <c r="R68" s="164">
        <v>1</v>
      </c>
      <c r="S68" s="170"/>
      <c r="T68" s="171"/>
      <c r="U68" s="170"/>
      <c r="V68" s="171"/>
      <c r="W68" s="223">
        <v>888</v>
      </c>
      <c r="X68" s="172"/>
    </row>
    <row r="69" spans="1:24" ht="16.5" customHeight="1" x14ac:dyDescent="0.3">
      <c r="A69" s="147">
        <v>15</v>
      </c>
      <c r="B69" s="147">
        <v>1805</v>
      </c>
      <c r="C69" s="197" t="s">
        <v>6608</v>
      </c>
      <c r="D69" s="188"/>
      <c r="E69" s="153"/>
      <c r="F69" s="153"/>
      <c r="G69" s="188"/>
      <c r="H69" s="153"/>
      <c r="I69" s="171"/>
      <c r="J69" s="188" t="s">
        <v>17126</v>
      </c>
      <c r="K69" s="205">
        <v>167</v>
      </c>
      <c r="L69" s="171" t="s">
        <v>0</v>
      </c>
      <c r="M69" s="160" t="s">
        <v>17112</v>
      </c>
      <c r="N69" s="160"/>
      <c r="O69" s="161"/>
      <c r="P69" s="162"/>
      <c r="Q69" s="163"/>
      <c r="R69" s="164"/>
      <c r="S69" s="170"/>
      <c r="T69" s="171"/>
      <c r="U69" s="170"/>
      <c r="V69" s="171"/>
      <c r="W69" s="223">
        <v>623</v>
      </c>
      <c r="X69" s="172"/>
    </row>
    <row r="70" spans="1:24" ht="16.5" customHeight="1" x14ac:dyDescent="0.3">
      <c r="A70" s="147">
        <v>15</v>
      </c>
      <c r="B70" s="147">
        <v>1806</v>
      </c>
      <c r="C70" s="197" t="s">
        <v>6607</v>
      </c>
      <c r="D70" s="188"/>
      <c r="E70" s="153"/>
      <c r="F70" s="153"/>
      <c r="G70" s="188"/>
      <c r="H70" s="153"/>
      <c r="I70" s="171"/>
      <c r="J70" s="167"/>
      <c r="K70" s="150"/>
      <c r="L70" s="168"/>
      <c r="M70" s="150" t="s">
        <v>17111</v>
      </c>
      <c r="N70" s="150" t="s">
        <v>1</v>
      </c>
      <c r="O70" s="151">
        <v>0.7</v>
      </c>
      <c r="P70" s="162" t="s">
        <v>5895</v>
      </c>
      <c r="Q70" s="163" t="s">
        <v>1</v>
      </c>
      <c r="R70" s="164">
        <v>1</v>
      </c>
      <c r="S70" s="170"/>
      <c r="T70" s="171"/>
      <c r="U70" s="170"/>
      <c r="V70" s="171"/>
      <c r="W70" s="223">
        <v>623</v>
      </c>
      <c r="X70" s="172"/>
    </row>
    <row r="71" spans="1:24" ht="16.5" customHeight="1" x14ac:dyDescent="0.3">
      <c r="A71" s="147">
        <v>15</v>
      </c>
      <c r="B71" s="147">
        <v>1807</v>
      </c>
      <c r="C71" s="197" t="s">
        <v>6606</v>
      </c>
      <c r="D71" s="188"/>
      <c r="E71" s="153"/>
      <c r="F71" s="153"/>
      <c r="G71" s="188"/>
      <c r="H71" s="153"/>
      <c r="I71" s="171"/>
      <c r="J71" s="156" t="s">
        <v>17132</v>
      </c>
      <c r="K71" s="160"/>
      <c r="L71" s="158"/>
      <c r="M71" s="160"/>
      <c r="N71" s="160"/>
      <c r="O71" s="161"/>
      <c r="P71" s="162"/>
      <c r="Q71" s="163"/>
      <c r="R71" s="164"/>
      <c r="S71" s="170"/>
      <c r="T71" s="171"/>
      <c r="U71" s="170"/>
      <c r="V71" s="171"/>
      <c r="W71" s="223">
        <v>1014</v>
      </c>
      <c r="X71" s="172"/>
    </row>
    <row r="72" spans="1:24" ht="16.5" customHeight="1" x14ac:dyDescent="0.3">
      <c r="A72" s="147">
        <v>15</v>
      </c>
      <c r="B72" s="147">
        <v>1808</v>
      </c>
      <c r="C72" s="197" t="s">
        <v>6605</v>
      </c>
      <c r="D72" s="188"/>
      <c r="E72" s="153"/>
      <c r="F72" s="153"/>
      <c r="G72" s="188"/>
      <c r="H72" s="153"/>
      <c r="I72" s="171"/>
      <c r="J72" s="188" t="s">
        <v>17130</v>
      </c>
      <c r="K72" s="153"/>
      <c r="L72" s="171"/>
      <c r="M72" s="150"/>
      <c r="N72" s="150"/>
      <c r="O72" s="151"/>
      <c r="P72" s="162" t="s">
        <v>5895</v>
      </c>
      <c r="Q72" s="163" t="s">
        <v>1</v>
      </c>
      <c r="R72" s="164">
        <v>1</v>
      </c>
      <c r="S72" s="170"/>
      <c r="T72" s="171"/>
      <c r="U72" s="170"/>
      <c r="V72" s="171"/>
      <c r="W72" s="223">
        <v>1014</v>
      </c>
      <c r="X72" s="172"/>
    </row>
    <row r="73" spans="1:24" ht="16.5" customHeight="1" x14ac:dyDescent="0.3">
      <c r="A73" s="147">
        <v>15</v>
      </c>
      <c r="B73" s="147">
        <v>1809</v>
      </c>
      <c r="C73" s="197" t="s">
        <v>6604</v>
      </c>
      <c r="D73" s="188"/>
      <c r="E73" s="153"/>
      <c r="F73" s="153"/>
      <c r="G73" s="188"/>
      <c r="H73" s="153"/>
      <c r="I73" s="171"/>
      <c r="J73" s="188" t="s">
        <v>17129</v>
      </c>
      <c r="K73" s="205">
        <v>251</v>
      </c>
      <c r="L73" s="171" t="s">
        <v>0</v>
      </c>
      <c r="M73" s="160" t="s">
        <v>17112</v>
      </c>
      <c r="N73" s="160"/>
      <c r="O73" s="161"/>
      <c r="P73" s="162"/>
      <c r="Q73" s="163"/>
      <c r="R73" s="164"/>
      <c r="S73" s="170"/>
      <c r="T73" s="171"/>
      <c r="U73" s="170"/>
      <c r="V73" s="171"/>
      <c r="W73" s="223">
        <v>711</v>
      </c>
      <c r="X73" s="172"/>
    </row>
    <row r="74" spans="1:24" ht="16.5" customHeight="1" x14ac:dyDescent="0.3">
      <c r="A74" s="147">
        <v>15</v>
      </c>
      <c r="B74" s="147">
        <v>1810</v>
      </c>
      <c r="C74" s="197" t="s">
        <v>6603</v>
      </c>
      <c r="D74" s="167"/>
      <c r="E74" s="150"/>
      <c r="F74" s="150"/>
      <c r="G74" s="167"/>
      <c r="H74" s="150"/>
      <c r="I74" s="168"/>
      <c r="J74" s="167"/>
      <c r="K74" s="150"/>
      <c r="L74" s="168"/>
      <c r="M74" s="150" t="s">
        <v>17111</v>
      </c>
      <c r="N74" s="150" t="s">
        <v>1</v>
      </c>
      <c r="O74" s="151">
        <v>0.7</v>
      </c>
      <c r="P74" s="162" t="s">
        <v>5895</v>
      </c>
      <c r="Q74" s="163" t="s">
        <v>1</v>
      </c>
      <c r="R74" s="164">
        <v>1</v>
      </c>
      <c r="S74" s="170"/>
      <c r="T74" s="171"/>
      <c r="U74" s="170"/>
      <c r="V74" s="171"/>
      <c r="W74" s="223">
        <v>711</v>
      </c>
      <c r="X74" s="172"/>
    </row>
    <row r="75" spans="1:24" ht="16.5" customHeight="1" x14ac:dyDescent="0.3">
      <c r="A75" s="147">
        <v>15</v>
      </c>
      <c r="B75" s="147">
        <v>1811</v>
      </c>
      <c r="C75" s="197" t="s">
        <v>6602</v>
      </c>
      <c r="D75" s="156" t="s">
        <v>17131</v>
      </c>
      <c r="E75" s="160"/>
      <c r="F75" s="160"/>
      <c r="G75" s="156" t="s">
        <v>17120</v>
      </c>
      <c r="H75" s="160"/>
      <c r="I75" s="158"/>
      <c r="J75" s="156" t="s">
        <v>17124</v>
      </c>
      <c r="K75" s="160"/>
      <c r="L75" s="158"/>
      <c r="M75" s="160"/>
      <c r="N75" s="160"/>
      <c r="O75" s="161"/>
      <c r="P75" s="162"/>
      <c r="Q75" s="163"/>
      <c r="R75" s="164"/>
      <c r="S75" s="170"/>
      <c r="T75" s="171"/>
      <c r="U75" s="170"/>
      <c r="V75" s="171"/>
      <c r="W75" s="223">
        <v>821</v>
      </c>
      <c r="X75" s="172"/>
    </row>
    <row r="76" spans="1:24" ht="16.5" customHeight="1" x14ac:dyDescent="0.3">
      <c r="A76" s="147">
        <v>15</v>
      </c>
      <c r="B76" s="147">
        <v>1812</v>
      </c>
      <c r="C76" s="197" t="s">
        <v>6601</v>
      </c>
      <c r="D76" s="188" t="s">
        <v>17130</v>
      </c>
      <c r="E76" s="153"/>
      <c r="F76" s="153"/>
      <c r="G76" s="188" t="s">
        <v>17116</v>
      </c>
      <c r="H76" s="153"/>
      <c r="I76" s="171"/>
      <c r="J76" s="188" t="s">
        <v>17116</v>
      </c>
      <c r="K76" s="153"/>
      <c r="L76" s="171"/>
      <c r="M76" s="150"/>
      <c r="N76" s="150"/>
      <c r="O76" s="151"/>
      <c r="P76" s="162" t="s">
        <v>5895</v>
      </c>
      <c r="Q76" s="163" t="s">
        <v>1</v>
      </c>
      <c r="R76" s="164">
        <v>1</v>
      </c>
      <c r="S76" s="170"/>
      <c r="T76" s="171"/>
      <c r="U76" s="170"/>
      <c r="V76" s="171"/>
      <c r="W76" s="223">
        <v>821</v>
      </c>
      <c r="X76" s="172"/>
    </row>
    <row r="77" spans="1:24" ht="16.5" customHeight="1" x14ac:dyDescent="0.3">
      <c r="A77" s="147">
        <v>15</v>
      </c>
      <c r="B77" s="147">
        <v>1813</v>
      </c>
      <c r="C77" s="197" t="s">
        <v>6600</v>
      </c>
      <c r="D77" s="188" t="s">
        <v>17129</v>
      </c>
      <c r="E77" s="205">
        <v>591</v>
      </c>
      <c r="F77" s="153" t="s">
        <v>0</v>
      </c>
      <c r="G77" s="188"/>
      <c r="H77" s="205">
        <v>83</v>
      </c>
      <c r="I77" s="171" t="s">
        <v>0</v>
      </c>
      <c r="J77" s="188"/>
      <c r="K77" s="205">
        <v>84</v>
      </c>
      <c r="L77" s="171" t="s">
        <v>0</v>
      </c>
      <c r="M77" s="160" t="s">
        <v>17112</v>
      </c>
      <c r="N77" s="160"/>
      <c r="O77" s="161"/>
      <c r="P77" s="162"/>
      <c r="Q77" s="163"/>
      <c r="R77" s="164"/>
      <c r="S77" s="170"/>
      <c r="T77" s="171"/>
      <c r="U77" s="170"/>
      <c r="V77" s="171"/>
      <c r="W77" s="223">
        <v>576</v>
      </c>
      <c r="X77" s="172"/>
    </row>
    <row r="78" spans="1:24" ht="16.5" customHeight="1" x14ac:dyDescent="0.3">
      <c r="A78" s="147">
        <v>15</v>
      </c>
      <c r="B78" s="147">
        <v>1814</v>
      </c>
      <c r="C78" s="197" t="s">
        <v>6599</v>
      </c>
      <c r="D78" s="188"/>
      <c r="E78" s="153"/>
      <c r="F78" s="153"/>
      <c r="G78" s="188"/>
      <c r="H78" s="153"/>
      <c r="I78" s="171"/>
      <c r="J78" s="167"/>
      <c r="K78" s="150"/>
      <c r="L78" s="168"/>
      <c r="M78" s="150" t="s">
        <v>17111</v>
      </c>
      <c r="N78" s="150" t="s">
        <v>1</v>
      </c>
      <c r="O78" s="151">
        <v>0.7</v>
      </c>
      <c r="P78" s="162" t="s">
        <v>5895</v>
      </c>
      <c r="Q78" s="163" t="s">
        <v>1</v>
      </c>
      <c r="R78" s="164">
        <v>1</v>
      </c>
      <c r="S78" s="170"/>
      <c r="T78" s="171"/>
      <c r="U78" s="170"/>
      <c r="V78" s="171"/>
      <c r="W78" s="223">
        <v>576</v>
      </c>
      <c r="X78" s="172"/>
    </row>
    <row r="79" spans="1:24" ht="16.5" customHeight="1" x14ac:dyDescent="0.3">
      <c r="A79" s="147">
        <v>15</v>
      </c>
      <c r="B79" s="147">
        <v>1815</v>
      </c>
      <c r="C79" s="197" t="s">
        <v>6598</v>
      </c>
      <c r="D79" s="188"/>
      <c r="E79" s="153"/>
      <c r="F79" s="153"/>
      <c r="G79" s="188"/>
      <c r="H79" s="153"/>
      <c r="I79" s="171"/>
      <c r="J79" s="156" t="s">
        <v>17128</v>
      </c>
      <c r="K79" s="160"/>
      <c r="L79" s="158"/>
      <c r="M79" s="160"/>
      <c r="N79" s="160"/>
      <c r="O79" s="161"/>
      <c r="P79" s="162"/>
      <c r="Q79" s="163"/>
      <c r="R79" s="164"/>
      <c r="S79" s="170"/>
      <c r="T79" s="171"/>
      <c r="U79" s="170"/>
      <c r="V79" s="171"/>
      <c r="W79" s="223">
        <v>947</v>
      </c>
      <c r="X79" s="172"/>
    </row>
    <row r="80" spans="1:24" ht="16.5" customHeight="1" x14ac:dyDescent="0.3">
      <c r="A80" s="147">
        <v>15</v>
      </c>
      <c r="B80" s="147">
        <v>1816</v>
      </c>
      <c r="C80" s="197" t="s">
        <v>6597</v>
      </c>
      <c r="D80" s="188"/>
      <c r="E80" s="153"/>
      <c r="F80" s="153"/>
      <c r="G80" s="188"/>
      <c r="H80" s="153"/>
      <c r="I80" s="171"/>
      <c r="J80" s="188" t="s">
        <v>17127</v>
      </c>
      <c r="K80" s="153"/>
      <c r="L80" s="171"/>
      <c r="M80" s="150"/>
      <c r="N80" s="150"/>
      <c r="O80" s="151"/>
      <c r="P80" s="162" t="s">
        <v>5895</v>
      </c>
      <c r="Q80" s="163" t="s">
        <v>1</v>
      </c>
      <c r="R80" s="164">
        <v>1</v>
      </c>
      <c r="S80" s="170"/>
      <c r="T80" s="171"/>
      <c r="U80" s="170"/>
      <c r="V80" s="171"/>
      <c r="W80" s="223">
        <v>947</v>
      </c>
      <c r="X80" s="172"/>
    </row>
    <row r="81" spans="1:24" ht="16.5" customHeight="1" x14ac:dyDescent="0.3">
      <c r="A81" s="147">
        <v>15</v>
      </c>
      <c r="B81" s="147">
        <v>1817</v>
      </c>
      <c r="C81" s="197" t="s">
        <v>6596</v>
      </c>
      <c r="D81" s="188"/>
      <c r="E81" s="153"/>
      <c r="F81" s="153"/>
      <c r="G81" s="188"/>
      <c r="H81" s="153"/>
      <c r="I81" s="171"/>
      <c r="J81" s="188" t="s">
        <v>17126</v>
      </c>
      <c r="K81" s="205">
        <v>168</v>
      </c>
      <c r="L81" s="171" t="s">
        <v>0</v>
      </c>
      <c r="M81" s="160" t="s">
        <v>17112</v>
      </c>
      <c r="N81" s="160"/>
      <c r="O81" s="161"/>
      <c r="P81" s="162"/>
      <c r="Q81" s="163"/>
      <c r="R81" s="164"/>
      <c r="S81" s="170"/>
      <c r="T81" s="171"/>
      <c r="U81" s="170"/>
      <c r="V81" s="171"/>
      <c r="W81" s="223">
        <v>664</v>
      </c>
      <c r="X81" s="172"/>
    </row>
    <row r="82" spans="1:24" ht="16.5" customHeight="1" x14ac:dyDescent="0.3">
      <c r="A82" s="147">
        <v>15</v>
      </c>
      <c r="B82" s="147">
        <v>1818</v>
      </c>
      <c r="C82" s="197" t="s">
        <v>6595</v>
      </c>
      <c r="D82" s="167"/>
      <c r="E82" s="150"/>
      <c r="F82" s="150"/>
      <c r="G82" s="167"/>
      <c r="H82" s="150"/>
      <c r="I82" s="168"/>
      <c r="J82" s="167"/>
      <c r="K82" s="150"/>
      <c r="L82" s="168"/>
      <c r="M82" s="150" t="s">
        <v>17111</v>
      </c>
      <c r="N82" s="150" t="s">
        <v>1</v>
      </c>
      <c r="O82" s="151">
        <v>0.7</v>
      </c>
      <c r="P82" s="162" t="s">
        <v>5895</v>
      </c>
      <c r="Q82" s="163" t="s">
        <v>1</v>
      </c>
      <c r="R82" s="164">
        <v>1</v>
      </c>
      <c r="S82" s="170"/>
      <c r="T82" s="171"/>
      <c r="U82" s="170"/>
      <c r="V82" s="171"/>
      <c r="W82" s="223">
        <v>664</v>
      </c>
      <c r="X82" s="172"/>
    </row>
    <row r="83" spans="1:24" ht="16.5" customHeight="1" x14ac:dyDescent="0.3">
      <c r="A83" s="147">
        <v>15</v>
      </c>
      <c r="B83" s="147">
        <v>1819</v>
      </c>
      <c r="C83" s="197" t="s">
        <v>6594</v>
      </c>
      <c r="D83" s="156" t="s">
        <v>17125</v>
      </c>
      <c r="E83" s="160"/>
      <c r="F83" s="160"/>
      <c r="G83" s="156" t="s">
        <v>17120</v>
      </c>
      <c r="H83" s="160"/>
      <c r="I83" s="158"/>
      <c r="J83" s="156" t="s">
        <v>17124</v>
      </c>
      <c r="K83" s="160"/>
      <c r="L83" s="158"/>
      <c r="M83" s="160"/>
      <c r="N83" s="160"/>
      <c r="O83" s="161"/>
      <c r="P83" s="162"/>
      <c r="Q83" s="163"/>
      <c r="R83" s="164"/>
      <c r="S83" s="170"/>
      <c r="T83" s="171"/>
      <c r="U83" s="170"/>
      <c r="V83" s="171"/>
      <c r="W83" s="223">
        <v>905</v>
      </c>
      <c r="X83" s="172"/>
    </row>
    <row r="84" spans="1:24" ht="16.5" customHeight="1" x14ac:dyDescent="0.3">
      <c r="A84" s="147">
        <v>15</v>
      </c>
      <c r="B84" s="147">
        <v>1820</v>
      </c>
      <c r="C84" s="197" t="s">
        <v>6593</v>
      </c>
      <c r="D84" s="188" t="s">
        <v>17117</v>
      </c>
      <c r="E84" s="153"/>
      <c r="F84" s="153"/>
      <c r="G84" s="188" t="s">
        <v>17116</v>
      </c>
      <c r="H84" s="153"/>
      <c r="I84" s="171"/>
      <c r="J84" s="188" t="s">
        <v>17116</v>
      </c>
      <c r="K84" s="153"/>
      <c r="L84" s="171"/>
      <c r="M84" s="150"/>
      <c r="N84" s="150"/>
      <c r="O84" s="151"/>
      <c r="P84" s="162" t="s">
        <v>5895</v>
      </c>
      <c r="Q84" s="163" t="s">
        <v>1</v>
      </c>
      <c r="R84" s="164">
        <v>1</v>
      </c>
      <c r="S84" s="170"/>
      <c r="T84" s="171"/>
      <c r="U84" s="170"/>
      <c r="V84" s="171"/>
      <c r="W84" s="223">
        <v>905</v>
      </c>
      <c r="X84" s="172"/>
    </row>
    <row r="85" spans="1:24" ht="16.5" customHeight="1" x14ac:dyDescent="0.3">
      <c r="A85" s="147">
        <v>15</v>
      </c>
      <c r="B85" s="147">
        <v>1821</v>
      </c>
      <c r="C85" s="197" t="s">
        <v>6592</v>
      </c>
      <c r="D85" s="188" t="s">
        <v>17113</v>
      </c>
      <c r="E85" s="205">
        <v>674</v>
      </c>
      <c r="F85" s="153" t="s">
        <v>0</v>
      </c>
      <c r="G85" s="188"/>
      <c r="H85" s="205">
        <v>84</v>
      </c>
      <c r="I85" s="171" t="s">
        <v>0</v>
      </c>
      <c r="J85" s="188"/>
      <c r="K85" s="205">
        <v>84</v>
      </c>
      <c r="L85" s="171" t="s">
        <v>0</v>
      </c>
      <c r="M85" s="160" t="s">
        <v>17112</v>
      </c>
      <c r="N85" s="160"/>
      <c r="O85" s="161"/>
      <c r="P85" s="162"/>
      <c r="Q85" s="163"/>
      <c r="R85" s="164"/>
      <c r="S85" s="170"/>
      <c r="T85" s="171"/>
      <c r="U85" s="170"/>
      <c r="V85" s="171"/>
      <c r="W85" s="223">
        <v>635</v>
      </c>
      <c r="X85" s="172"/>
    </row>
    <row r="86" spans="1:24" ht="16.5" customHeight="1" x14ac:dyDescent="0.3">
      <c r="A86" s="147">
        <v>15</v>
      </c>
      <c r="B86" s="147">
        <v>1822</v>
      </c>
      <c r="C86" s="197" t="s">
        <v>6591</v>
      </c>
      <c r="D86" s="167"/>
      <c r="E86" s="150"/>
      <c r="F86" s="150"/>
      <c r="G86" s="167"/>
      <c r="H86" s="150"/>
      <c r="I86" s="168"/>
      <c r="J86" s="167"/>
      <c r="K86" s="150"/>
      <c r="L86" s="168"/>
      <c r="M86" s="150" t="s">
        <v>17111</v>
      </c>
      <c r="N86" s="150" t="s">
        <v>1</v>
      </c>
      <c r="O86" s="151">
        <v>0.7</v>
      </c>
      <c r="P86" s="162" t="s">
        <v>5895</v>
      </c>
      <c r="Q86" s="163" t="s">
        <v>1</v>
      </c>
      <c r="R86" s="164">
        <v>1</v>
      </c>
      <c r="S86" s="176"/>
      <c r="T86" s="168"/>
      <c r="U86" s="176"/>
      <c r="V86" s="168"/>
      <c r="W86" s="223">
        <v>635</v>
      </c>
      <c r="X86" s="177"/>
    </row>
    <row r="87" spans="1:24" ht="16.5" customHeight="1" x14ac:dyDescent="0.3">
      <c r="A87" s="132"/>
      <c r="B87" s="132"/>
      <c r="C87" s="133"/>
      <c r="D87" s="133"/>
      <c r="E87" s="133"/>
      <c r="F87" s="133"/>
      <c r="G87" s="133"/>
      <c r="H87" s="133"/>
      <c r="I87" s="133"/>
      <c r="J87" s="133"/>
      <c r="K87" s="134"/>
      <c r="L87" s="134"/>
      <c r="M87" s="134"/>
      <c r="N87" s="134"/>
      <c r="O87" s="135"/>
      <c r="P87" s="134"/>
      <c r="Q87" s="134"/>
      <c r="R87" s="135"/>
      <c r="S87" s="135"/>
      <c r="T87" s="134"/>
      <c r="U87" s="135"/>
      <c r="V87" s="134"/>
      <c r="W87" s="136"/>
      <c r="X87" s="137"/>
    </row>
    <row r="88" spans="1:24" ht="16.5" customHeight="1" x14ac:dyDescent="0.3">
      <c r="A88" s="132"/>
      <c r="B88" s="132"/>
      <c r="C88" s="133"/>
      <c r="D88" s="133"/>
      <c r="E88" s="133"/>
      <c r="F88" s="133"/>
      <c r="G88" s="133"/>
      <c r="H88" s="133"/>
      <c r="I88" s="133"/>
      <c r="J88" s="133"/>
      <c r="K88" s="134"/>
      <c r="L88" s="134"/>
      <c r="M88" s="134"/>
      <c r="N88" s="134"/>
      <c r="O88" s="135"/>
      <c r="P88" s="134"/>
      <c r="Q88" s="134"/>
      <c r="R88" s="135"/>
      <c r="S88" s="135"/>
      <c r="T88" s="134"/>
      <c r="U88" s="135"/>
      <c r="V88" s="134"/>
      <c r="W88" s="136"/>
      <c r="X88" s="137"/>
    </row>
    <row r="89" spans="1:24" ht="16.5" customHeight="1" x14ac:dyDescent="0.3">
      <c r="A89" s="132"/>
      <c r="B89" s="138" t="s">
        <v>6590</v>
      </c>
      <c r="C89" s="133"/>
      <c r="D89" s="139"/>
      <c r="E89" s="139"/>
      <c r="F89" s="139"/>
      <c r="G89" s="139"/>
      <c r="H89" s="139"/>
      <c r="I89" s="139"/>
      <c r="J89" s="133"/>
      <c r="K89" s="134"/>
      <c r="L89" s="134"/>
      <c r="M89" s="134"/>
      <c r="N89" s="134"/>
      <c r="O89" s="135"/>
      <c r="P89" s="134"/>
      <c r="Q89" s="134"/>
      <c r="R89" s="135"/>
      <c r="S89" s="135"/>
      <c r="T89" s="134"/>
      <c r="U89" s="135"/>
      <c r="V89" s="134"/>
      <c r="W89" s="136"/>
      <c r="X89" s="137"/>
    </row>
    <row r="90" spans="1:24" ht="16.5" customHeight="1" x14ac:dyDescent="0.3">
      <c r="A90" s="140" t="s">
        <v>5864</v>
      </c>
      <c r="B90" s="141"/>
      <c r="C90" s="142" t="s">
        <v>5867</v>
      </c>
      <c r="D90" s="143" t="s">
        <v>5868</v>
      </c>
      <c r="E90" s="144"/>
      <c r="F90" s="144"/>
      <c r="G90" s="143"/>
      <c r="H90" s="144"/>
      <c r="I90" s="144"/>
      <c r="J90" s="143"/>
      <c r="K90" s="144"/>
      <c r="L90" s="144"/>
      <c r="M90" s="144"/>
      <c r="N90" s="144"/>
      <c r="O90" s="145"/>
      <c r="P90" s="144"/>
      <c r="Q90" s="144"/>
      <c r="R90" s="145"/>
      <c r="S90" s="145"/>
      <c r="T90" s="144"/>
      <c r="U90" s="145"/>
      <c r="V90" s="144"/>
      <c r="W90" s="146" t="s">
        <v>5869</v>
      </c>
      <c r="X90" s="146" t="s">
        <v>5871</v>
      </c>
    </row>
    <row r="91" spans="1:24" ht="16.5" customHeight="1" x14ac:dyDescent="0.3">
      <c r="A91" s="147" t="s">
        <v>5865</v>
      </c>
      <c r="B91" s="147" t="s">
        <v>5866</v>
      </c>
      <c r="C91" s="148"/>
      <c r="D91" s="208" t="s">
        <v>5872</v>
      </c>
      <c r="E91" s="144"/>
      <c r="F91" s="206"/>
      <c r="G91" s="187"/>
      <c r="H91" s="153"/>
      <c r="I91" s="153"/>
      <c r="J91" s="208" t="s">
        <v>17123</v>
      </c>
      <c r="K91" s="144"/>
      <c r="L91" s="206"/>
      <c r="M91" s="150"/>
      <c r="N91" s="150"/>
      <c r="O91" s="151"/>
      <c r="P91" s="150"/>
      <c r="Q91" s="150"/>
      <c r="R91" s="151"/>
      <c r="S91" s="151"/>
      <c r="T91" s="150"/>
      <c r="U91" s="151"/>
      <c r="V91" s="150"/>
      <c r="W91" s="222" t="s">
        <v>5870</v>
      </c>
      <c r="X91" s="154" t="s">
        <v>0</v>
      </c>
    </row>
    <row r="92" spans="1:24" ht="16.5" customHeight="1" x14ac:dyDescent="0.3">
      <c r="A92" s="147">
        <v>15</v>
      </c>
      <c r="B92" s="147">
        <v>1823</v>
      </c>
      <c r="C92" s="197" t="s">
        <v>6589</v>
      </c>
      <c r="D92" s="156" t="s">
        <v>17122</v>
      </c>
      <c r="E92" s="144"/>
      <c r="F92" s="144"/>
      <c r="G92" s="156" t="s">
        <v>17121</v>
      </c>
      <c r="H92" s="144"/>
      <c r="I92" s="158"/>
      <c r="J92" s="156" t="s">
        <v>17120</v>
      </c>
      <c r="K92" s="160"/>
      <c r="L92" s="158"/>
      <c r="M92" s="160"/>
      <c r="N92" s="160"/>
      <c r="O92" s="161"/>
      <c r="P92" s="162"/>
      <c r="Q92" s="163"/>
      <c r="R92" s="164"/>
      <c r="S92" s="165" t="s">
        <v>17119</v>
      </c>
      <c r="T92" s="158"/>
      <c r="U92" s="165" t="s">
        <v>17118</v>
      </c>
      <c r="V92" s="158"/>
      <c r="W92" s="223">
        <v>927</v>
      </c>
      <c r="X92" s="142" t="s">
        <v>5863</v>
      </c>
    </row>
    <row r="93" spans="1:24" ht="16.5" customHeight="1" x14ac:dyDescent="0.3">
      <c r="A93" s="147">
        <v>15</v>
      </c>
      <c r="B93" s="147">
        <v>1824</v>
      </c>
      <c r="C93" s="197" t="s">
        <v>6588</v>
      </c>
      <c r="D93" s="188" t="s">
        <v>17116</v>
      </c>
      <c r="E93" s="210"/>
      <c r="F93" s="210"/>
      <c r="G93" s="188" t="s">
        <v>17117</v>
      </c>
      <c r="H93" s="153"/>
      <c r="I93" s="171"/>
      <c r="J93" s="188" t="s">
        <v>17116</v>
      </c>
      <c r="K93" s="153"/>
      <c r="L93" s="171"/>
      <c r="M93" s="150"/>
      <c r="N93" s="150"/>
      <c r="O93" s="151"/>
      <c r="P93" s="162" t="s">
        <v>5895</v>
      </c>
      <c r="Q93" s="163" t="s">
        <v>1</v>
      </c>
      <c r="R93" s="164">
        <v>1</v>
      </c>
      <c r="S93" s="170"/>
      <c r="T93" s="174" t="s">
        <v>17115</v>
      </c>
      <c r="U93" s="170"/>
      <c r="V93" s="174" t="s">
        <v>17114</v>
      </c>
      <c r="W93" s="223">
        <v>927</v>
      </c>
      <c r="X93" s="172"/>
    </row>
    <row r="94" spans="1:24" ht="16.5" customHeight="1" x14ac:dyDescent="0.3">
      <c r="A94" s="147">
        <v>15</v>
      </c>
      <c r="B94" s="147">
        <v>1825</v>
      </c>
      <c r="C94" s="197" t="s">
        <v>6587</v>
      </c>
      <c r="D94" s="188"/>
      <c r="E94" s="205">
        <v>257</v>
      </c>
      <c r="F94" s="153" t="s">
        <v>0</v>
      </c>
      <c r="G94" s="188" t="s">
        <v>17113</v>
      </c>
      <c r="H94" s="205">
        <v>501</v>
      </c>
      <c r="I94" s="171" t="s">
        <v>0</v>
      </c>
      <c r="J94" s="188"/>
      <c r="K94" s="205">
        <v>84</v>
      </c>
      <c r="L94" s="171" t="s">
        <v>0</v>
      </c>
      <c r="M94" s="160" t="s">
        <v>17112</v>
      </c>
      <c r="N94" s="160"/>
      <c r="O94" s="161"/>
      <c r="P94" s="162"/>
      <c r="Q94" s="163"/>
      <c r="R94" s="164"/>
      <c r="S94" s="170" t="s">
        <v>1</v>
      </c>
      <c r="T94" s="192">
        <v>0.25</v>
      </c>
      <c r="U94" s="170" t="s">
        <v>1</v>
      </c>
      <c r="V94" s="192">
        <v>0.25</v>
      </c>
      <c r="W94" s="223">
        <v>650</v>
      </c>
      <c r="X94" s="172"/>
    </row>
    <row r="95" spans="1:24" ht="16.5" customHeight="1" x14ac:dyDescent="0.3">
      <c r="A95" s="147">
        <v>15</v>
      </c>
      <c r="B95" s="147">
        <v>1826</v>
      </c>
      <c r="C95" s="197" t="s">
        <v>6586</v>
      </c>
      <c r="D95" s="167"/>
      <c r="E95" s="150"/>
      <c r="F95" s="150"/>
      <c r="G95" s="167"/>
      <c r="H95" s="150"/>
      <c r="I95" s="168"/>
      <c r="J95" s="167"/>
      <c r="K95" s="150"/>
      <c r="L95" s="168"/>
      <c r="M95" s="150" t="s">
        <v>17111</v>
      </c>
      <c r="N95" s="150" t="s">
        <v>1</v>
      </c>
      <c r="O95" s="151">
        <v>0.7</v>
      </c>
      <c r="P95" s="162" t="s">
        <v>5895</v>
      </c>
      <c r="Q95" s="163" t="s">
        <v>1</v>
      </c>
      <c r="R95" s="164">
        <v>1</v>
      </c>
      <c r="S95" s="176"/>
      <c r="T95" s="209" t="s">
        <v>17110</v>
      </c>
      <c r="U95" s="176"/>
      <c r="V95" s="209" t="s">
        <v>17110</v>
      </c>
      <c r="W95" s="223">
        <v>650</v>
      </c>
      <c r="X95" s="177"/>
    </row>
    <row r="96" spans="1:24" ht="16.5" customHeight="1" x14ac:dyDescent="0.3"/>
    <row r="97" spans="3:24" s="44" customFormat="1" ht="16.5" customHeight="1" x14ac:dyDescent="0.3">
      <c r="C97" s="45"/>
      <c r="D97" s="45"/>
      <c r="E97" s="46"/>
      <c r="F97" s="46"/>
      <c r="G97" s="45"/>
      <c r="H97" s="46"/>
      <c r="I97" s="46"/>
      <c r="J97" s="45"/>
      <c r="K97" s="46"/>
      <c r="L97" s="46"/>
      <c r="M97" s="46"/>
      <c r="N97" s="46"/>
      <c r="O97" s="47"/>
      <c r="P97" s="46"/>
      <c r="Q97" s="46"/>
      <c r="R97" s="47"/>
      <c r="S97" s="47"/>
      <c r="T97" s="46"/>
      <c r="U97" s="47"/>
      <c r="V97" s="46"/>
      <c r="W97" s="84"/>
      <c r="X97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theme="1" tint="0.249977111117893"/>
    <pageSetUpPr fitToPage="1"/>
  </sheetPr>
  <dimension ref="A1:N92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6758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1827</v>
      </c>
      <c r="C7" s="197" t="s">
        <v>6757</v>
      </c>
      <c r="D7" s="156" t="s">
        <v>17204</v>
      </c>
      <c r="E7" s="144"/>
      <c r="F7" s="206"/>
      <c r="G7" s="160"/>
      <c r="H7" s="160"/>
      <c r="I7" s="161"/>
      <c r="J7" s="162"/>
      <c r="K7" s="163"/>
      <c r="L7" s="164"/>
      <c r="M7" s="178">
        <v>83</v>
      </c>
      <c r="N7" s="142" t="s">
        <v>5863</v>
      </c>
    </row>
    <row r="8" spans="1:14" ht="16.5" customHeight="1" x14ac:dyDescent="0.3">
      <c r="A8" s="147">
        <v>15</v>
      </c>
      <c r="B8" s="147">
        <v>1828</v>
      </c>
      <c r="C8" s="197" t="s">
        <v>6756</v>
      </c>
      <c r="D8" s="188" t="s">
        <v>17116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178">
        <v>83</v>
      </c>
      <c r="N8" s="172"/>
    </row>
    <row r="9" spans="1:14" ht="16.5" customHeight="1" x14ac:dyDescent="0.3">
      <c r="A9" s="147">
        <v>15</v>
      </c>
      <c r="B9" s="147">
        <v>1829</v>
      </c>
      <c r="C9" s="197" t="s">
        <v>6755</v>
      </c>
      <c r="D9" s="188"/>
      <c r="E9" s="205">
        <v>83</v>
      </c>
      <c r="F9" s="171" t="s">
        <v>0</v>
      </c>
      <c r="G9" s="160" t="s">
        <v>16823</v>
      </c>
      <c r="H9" s="160"/>
      <c r="I9" s="161"/>
      <c r="J9" s="162"/>
      <c r="K9" s="163"/>
      <c r="L9" s="164"/>
      <c r="M9" s="178">
        <v>58</v>
      </c>
      <c r="N9" s="172"/>
    </row>
    <row r="10" spans="1:14" ht="16.5" customHeight="1" x14ac:dyDescent="0.3">
      <c r="A10" s="147">
        <v>15</v>
      </c>
      <c r="B10" s="147">
        <v>1830</v>
      </c>
      <c r="C10" s="197" t="s">
        <v>6754</v>
      </c>
      <c r="D10" s="167"/>
      <c r="E10" s="150"/>
      <c r="F10" s="168"/>
      <c r="G10" s="150" t="s">
        <v>17111</v>
      </c>
      <c r="H10" s="150" t="s">
        <v>1</v>
      </c>
      <c r="I10" s="151">
        <v>0.7</v>
      </c>
      <c r="J10" s="162" t="s">
        <v>5895</v>
      </c>
      <c r="K10" s="163" t="s">
        <v>1</v>
      </c>
      <c r="L10" s="164">
        <v>1</v>
      </c>
      <c r="M10" s="178">
        <v>58</v>
      </c>
      <c r="N10" s="172"/>
    </row>
    <row r="11" spans="1:14" ht="16.5" customHeight="1" x14ac:dyDescent="0.3">
      <c r="A11" s="147">
        <v>15</v>
      </c>
      <c r="B11" s="147">
        <v>1831</v>
      </c>
      <c r="C11" s="155" t="s">
        <v>6753</v>
      </c>
      <c r="D11" s="156" t="s">
        <v>17203</v>
      </c>
      <c r="E11" s="144"/>
      <c r="F11" s="206"/>
      <c r="G11" s="160"/>
      <c r="H11" s="160"/>
      <c r="I11" s="161"/>
      <c r="J11" s="162"/>
      <c r="K11" s="163"/>
      <c r="L11" s="164"/>
      <c r="M11" s="178">
        <v>166</v>
      </c>
      <c r="N11" s="172"/>
    </row>
    <row r="12" spans="1:14" ht="16.5" customHeight="1" x14ac:dyDescent="0.3">
      <c r="A12" s="147">
        <v>15</v>
      </c>
      <c r="B12" s="147">
        <v>1832</v>
      </c>
      <c r="C12" s="155" t="s">
        <v>6752</v>
      </c>
      <c r="D12" s="188" t="s">
        <v>17127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8">
        <v>166</v>
      </c>
      <c r="N12" s="172"/>
    </row>
    <row r="13" spans="1:14" ht="16.5" customHeight="1" x14ac:dyDescent="0.3">
      <c r="A13" s="147">
        <v>15</v>
      </c>
      <c r="B13" s="147">
        <v>1833</v>
      </c>
      <c r="C13" s="155" t="s">
        <v>6751</v>
      </c>
      <c r="D13" s="188" t="s">
        <v>17126</v>
      </c>
      <c r="E13" s="205">
        <v>166</v>
      </c>
      <c r="F13" s="171" t="s">
        <v>0</v>
      </c>
      <c r="G13" s="160" t="s">
        <v>17112</v>
      </c>
      <c r="H13" s="160"/>
      <c r="I13" s="161"/>
      <c r="J13" s="162"/>
      <c r="K13" s="163"/>
      <c r="L13" s="164"/>
      <c r="M13" s="178">
        <v>116</v>
      </c>
      <c r="N13" s="172"/>
    </row>
    <row r="14" spans="1:14" ht="16.5" customHeight="1" x14ac:dyDescent="0.3">
      <c r="A14" s="147">
        <v>15</v>
      </c>
      <c r="B14" s="147">
        <v>1834</v>
      </c>
      <c r="C14" s="155" t="s">
        <v>6750</v>
      </c>
      <c r="D14" s="167"/>
      <c r="E14" s="150"/>
      <c r="F14" s="168"/>
      <c r="G14" s="150" t="s">
        <v>16812</v>
      </c>
      <c r="H14" s="150" t="s">
        <v>1</v>
      </c>
      <c r="I14" s="151">
        <v>0.7</v>
      </c>
      <c r="J14" s="162" t="s">
        <v>5895</v>
      </c>
      <c r="K14" s="163" t="s">
        <v>1</v>
      </c>
      <c r="L14" s="164">
        <v>1</v>
      </c>
      <c r="M14" s="178">
        <v>116</v>
      </c>
      <c r="N14" s="172"/>
    </row>
    <row r="15" spans="1:14" ht="16.5" customHeight="1" x14ac:dyDescent="0.3">
      <c r="A15" s="147">
        <v>15</v>
      </c>
      <c r="B15" s="147">
        <v>1835</v>
      </c>
      <c r="C15" s="155" t="s">
        <v>6749</v>
      </c>
      <c r="D15" s="156" t="s">
        <v>17202</v>
      </c>
      <c r="E15" s="144"/>
      <c r="F15" s="206"/>
      <c r="G15" s="160"/>
      <c r="H15" s="160"/>
      <c r="I15" s="161"/>
      <c r="J15" s="162"/>
      <c r="K15" s="163"/>
      <c r="L15" s="164"/>
      <c r="M15" s="178">
        <v>249</v>
      </c>
      <c r="N15" s="172"/>
    </row>
    <row r="16" spans="1:14" ht="16.5" customHeight="1" x14ac:dyDescent="0.3">
      <c r="A16" s="147">
        <v>15</v>
      </c>
      <c r="B16" s="147">
        <v>1836</v>
      </c>
      <c r="C16" s="155" t="s">
        <v>6748</v>
      </c>
      <c r="D16" s="188" t="s">
        <v>17130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8">
        <v>249</v>
      </c>
      <c r="N16" s="172"/>
    </row>
    <row r="17" spans="1:14" ht="16.5" customHeight="1" x14ac:dyDescent="0.3">
      <c r="A17" s="147">
        <v>15</v>
      </c>
      <c r="B17" s="147">
        <v>1837</v>
      </c>
      <c r="C17" s="155" t="s">
        <v>6747</v>
      </c>
      <c r="D17" s="188" t="s">
        <v>17129</v>
      </c>
      <c r="E17" s="205">
        <v>249</v>
      </c>
      <c r="F17" s="171" t="s">
        <v>0</v>
      </c>
      <c r="G17" s="160" t="s">
        <v>17112</v>
      </c>
      <c r="H17" s="160"/>
      <c r="I17" s="161"/>
      <c r="J17" s="162"/>
      <c r="K17" s="163"/>
      <c r="L17" s="164"/>
      <c r="M17" s="178">
        <v>174</v>
      </c>
      <c r="N17" s="172"/>
    </row>
    <row r="18" spans="1:14" ht="16.5" customHeight="1" x14ac:dyDescent="0.3">
      <c r="A18" s="147">
        <v>15</v>
      </c>
      <c r="B18" s="147">
        <v>1838</v>
      </c>
      <c r="C18" s="155" t="s">
        <v>6746</v>
      </c>
      <c r="D18" s="167"/>
      <c r="E18" s="150"/>
      <c r="F18" s="168"/>
      <c r="G18" s="150" t="s">
        <v>17111</v>
      </c>
      <c r="H18" s="150" t="s">
        <v>1</v>
      </c>
      <c r="I18" s="151">
        <v>0.7</v>
      </c>
      <c r="J18" s="162" t="s">
        <v>5895</v>
      </c>
      <c r="K18" s="163" t="s">
        <v>1</v>
      </c>
      <c r="L18" s="164">
        <v>1</v>
      </c>
      <c r="M18" s="178">
        <v>174</v>
      </c>
      <c r="N18" s="172"/>
    </row>
    <row r="19" spans="1:14" ht="16.5" customHeight="1" x14ac:dyDescent="0.3">
      <c r="A19" s="147">
        <v>15</v>
      </c>
      <c r="B19" s="147">
        <v>1839</v>
      </c>
      <c r="C19" s="155" t="s">
        <v>6745</v>
      </c>
      <c r="D19" s="156" t="s">
        <v>17201</v>
      </c>
      <c r="E19" s="144"/>
      <c r="F19" s="206"/>
      <c r="G19" s="160"/>
      <c r="H19" s="160"/>
      <c r="I19" s="161"/>
      <c r="J19" s="162"/>
      <c r="K19" s="163"/>
      <c r="L19" s="164"/>
      <c r="M19" s="178">
        <v>332</v>
      </c>
      <c r="N19" s="172"/>
    </row>
    <row r="20" spans="1:14" ht="16.5" customHeight="1" x14ac:dyDescent="0.3">
      <c r="A20" s="147">
        <v>15</v>
      </c>
      <c r="B20" s="147">
        <v>1840</v>
      </c>
      <c r="C20" s="155" t="s">
        <v>6744</v>
      </c>
      <c r="D20" s="188" t="s">
        <v>17117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8">
        <v>332</v>
      </c>
      <c r="N20" s="172"/>
    </row>
    <row r="21" spans="1:14" ht="16.5" customHeight="1" x14ac:dyDescent="0.3">
      <c r="A21" s="147">
        <v>15</v>
      </c>
      <c r="B21" s="147">
        <v>1841</v>
      </c>
      <c r="C21" s="155" t="s">
        <v>6743</v>
      </c>
      <c r="D21" s="188" t="s">
        <v>17113</v>
      </c>
      <c r="E21" s="205">
        <v>332</v>
      </c>
      <c r="F21" s="171" t="s">
        <v>0</v>
      </c>
      <c r="G21" s="160" t="s">
        <v>17112</v>
      </c>
      <c r="H21" s="160"/>
      <c r="I21" s="161"/>
      <c r="J21" s="162"/>
      <c r="K21" s="163"/>
      <c r="L21" s="164"/>
      <c r="M21" s="178">
        <v>232</v>
      </c>
      <c r="N21" s="172"/>
    </row>
    <row r="22" spans="1:14" ht="16.5" customHeight="1" x14ac:dyDescent="0.3">
      <c r="A22" s="147">
        <v>15</v>
      </c>
      <c r="B22" s="147">
        <v>1842</v>
      </c>
      <c r="C22" s="155" t="s">
        <v>6742</v>
      </c>
      <c r="D22" s="167"/>
      <c r="E22" s="150"/>
      <c r="F22" s="168"/>
      <c r="G22" s="150" t="s">
        <v>17111</v>
      </c>
      <c r="H22" s="150" t="s">
        <v>1</v>
      </c>
      <c r="I22" s="151">
        <v>0.7</v>
      </c>
      <c r="J22" s="162" t="s">
        <v>5895</v>
      </c>
      <c r="K22" s="163" t="s">
        <v>1</v>
      </c>
      <c r="L22" s="164">
        <v>1</v>
      </c>
      <c r="M22" s="178">
        <v>232</v>
      </c>
      <c r="N22" s="172"/>
    </row>
    <row r="23" spans="1:14" ht="16.5" customHeight="1" x14ac:dyDescent="0.3">
      <c r="A23" s="147">
        <v>15</v>
      </c>
      <c r="B23" s="147">
        <v>1843</v>
      </c>
      <c r="C23" s="155" t="s">
        <v>6741</v>
      </c>
      <c r="D23" s="156" t="s">
        <v>17200</v>
      </c>
      <c r="E23" s="144"/>
      <c r="F23" s="206"/>
      <c r="G23" s="160"/>
      <c r="H23" s="160"/>
      <c r="I23" s="161"/>
      <c r="J23" s="162"/>
      <c r="K23" s="163"/>
      <c r="L23" s="164"/>
      <c r="M23" s="178">
        <v>415</v>
      </c>
      <c r="N23" s="172"/>
    </row>
    <row r="24" spans="1:14" ht="16.5" customHeight="1" x14ac:dyDescent="0.3">
      <c r="A24" s="147">
        <v>15</v>
      </c>
      <c r="B24" s="147">
        <v>1844</v>
      </c>
      <c r="C24" s="155" t="s">
        <v>6740</v>
      </c>
      <c r="D24" s="188" t="s">
        <v>17199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8">
        <v>415</v>
      </c>
      <c r="N24" s="172"/>
    </row>
    <row r="25" spans="1:14" ht="16.5" customHeight="1" x14ac:dyDescent="0.3">
      <c r="A25" s="147">
        <v>15</v>
      </c>
      <c r="B25" s="147">
        <v>1845</v>
      </c>
      <c r="C25" s="155" t="s">
        <v>6739</v>
      </c>
      <c r="D25" s="188" t="s">
        <v>17198</v>
      </c>
      <c r="E25" s="205">
        <v>415</v>
      </c>
      <c r="F25" s="171" t="s">
        <v>0</v>
      </c>
      <c r="G25" s="160" t="s">
        <v>17112</v>
      </c>
      <c r="H25" s="160"/>
      <c r="I25" s="161"/>
      <c r="J25" s="162"/>
      <c r="K25" s="163"/>
      <c r="L25" s="164"/>
      <c r="M25" s="178">
        <v>291</v>
      </c>
      <c r="N25" s="172"/>
    </row>
    <row r="26" spans="1:14" ht="16.5" customHeight="1" x14ac:dyDescent="0.3">
      <c r="A26" s="147">
        <v>15</v>
      </c>
      <c r="B26" s="147">
        <v>1846</v>
      </c>
      <c r="C26" s="155" t="s">
        <v>6738</v>
      </c>
      <c r="D26" s="167"/>
      <c r="E26" s="150"/>
      <c r="F26" s="168"/>
      <c r="G26" s="150" t="s">
        <v>17111</v>
      </c>
      <c r="H26" s="150" t="s">
        <v>1</v>
      </c>
      <c r="I26" s="151">
        <v>0.7</v>
      </c>
      <c r="J26" s="162" t="s">
        <v>5895</v>
      </c>
      <c r="K26" s="163" t="s">
        <v>1</v>
      </c>
      <c r="L26" s="164">
        <v>1</v>
      </c>
      <c r="M26" s="178">
        <v>291</v>
      </c>
      <c r="N26" s="172"/>
    </row>
    <row r="27" spans="1:14" ht="16.5" customHeight="1" x14ac:dyDescent="0.3">
      <c r="A27" s="147">
        <v>15</v>
      </c>
      <c r="B27" s="147">
        <v>1847</v>
      </c>
      <c r="C27" s="155" t="s">
        <v>6737</v>
      </c>
      <c r="D27" s="156" t="s">
        <v>17197</v>
      </c>
      <c r="E27" s="144"/>
      <c r="F27" s="206"/>
      <c r="G27" s="160"/>
      <c r="H27" s="160"/>
      <c r="I27" s="161"/>
      <c r="J27" s="162"/>
      <c r="K27" s="163"/>
      <c r="L27" s="164"/>
      <c r="M27" s="178">
        <v>498</v>
      </c>
      <c r="N27" s="172"/>
    </row>
    <row r="28" spans="1:14" ht="16.5" customHeight="1" x14ac:dyDescent="0.3">
      <c r="A28" s="147">
        <v>15</v>
      </c>
      <c r="B28" s="147">
        <v>1848</v>
      </c>
      <c r="C28" s="155" t="s">
        <v>6736</v>
      </c>
      <c r="D28" s="188" t="s">
        <v>17196</v>
      </c>
      <c r="E28" s="153"/>
      <c r="F28" s="171"/>
      <c r="G28" s="150"/>
      <c r="H28" s="150"/>
      <c r="I28" s="151"/>
      <c r="J28" s="162" t="s">
        <v>5895</v>
      </c>
      <c r="K28" s="163" t="s">
        <v>1</v>
      </c>
      <c r="L28" s="164">
        <v>1</v>
      </c>
      <c r="M28" s="178">
        <v>498</v>
      </c>
      <c r="N28" s="172"/>
    </row>
    <row r="29" spans="1:14" ht="16.5" customHeight="1" x14ac:dyDescent="0.3">
      <c r="A29" s="147">
        <v>15</v>
      </c>
      <c r="B29" s="147">
        <v>1849</v>
      </c>
      <c r="C29" s="155" t="s">
        <v>6735</v>
      </c>
      <c r="D29" s="188" t="s">
        <v>17195</v>
      </c>
      <c r="E29" s="205">
        <v>498</v>
      </c>
      <c r="F29" s="171" t="s">
        <v>0</v>
      </c>
      <c r="G29" s="160" t="s">
        <v>17112</v>
      </c>
      <c r="H29" s="160"/>
      <c r="I29" s="161"/>
      <c r="J29" s="162"/>
      <c r="K29" s="163"/>
      <c r="L29" s="164"/>
      <c r="M29" s="178">
        <v>349</v>
      </c>
      <c r="N29" s="172"/>
    </row>
    <row r="30" spans="1:14" ht="16.5" customHeight="1" x14ac:dyDescent="0.3">
      <c r="A30" s="147">
        <v>15</v>
      </c>
      <c r="B30" s="147">
        <v>1850</v>
      </c>
      <c r="C30" s="155" t="s">
        <v>6734</v>
      </c>
      <c r="D30" s="167"/>
      <c r="E30" s="150"/>
      <c r="F30" s="168"/>
      <c r="G30" s="150" t="s">
        <v>17111</v>
      </c>
      <c r="H30" s="150" t="s">
        <v>1</v>
      </c>
      <c r="I30" s="151">
        <v>0.7</v>
      </c>
      <c r="J30" s="162" t="s">
        <v>5895</v>
      </c>
      <c r="K30" s="163" t="s">
        <v>1</v>
      </c>
      <c r="L30" s="164">
        <v>1</v>
      </c>
      <c r="M30" s="178">
        <v>349</v>
      </c>
      <c r="N30" s="172"/>
    </row>
    <row r="31" spans="1:14" ht="16.5" customHeight="1" x14ac:dyDescent="0.3">
      <c r="A31" s="147">
        <v>15</v>
      </c>
      <c r="B31" s="147">
        <v>1851</v>
      </c>
      <c r="C31" s="155" t="s">
        <v>6733</v>
      </c>
      <c r="D31" s="156" t="s">
        <v>17194</v>
      </c>
      <c r="E31" s="144"/>
      <c r="F31" s="206"/>
      <c r="G31" s="160"/>
      <c r="H31" s="160"/>
      <c r="I31" s="161"/>
      <c r="J31" s="162"/>
      <c r="K31" s="163"/>
      <c r="L31" s="164"/>
      <c r="M31" s="178">
        <v>581</v>
      </c>
      <c r="N31" s="172"/>
    </row>
    <row r="32" spans="1:14" ht="16.5" customHeight="1" x14ac:dyDescent="0.3">
      <c r="A32" s="147">
        <v>15</v>
      </c>
      <c r="B32" s="147">
        <v>1852</v>
      </c>
      <c r="C32" s="155" t="s">
        <v>6732</v>
      </c>
      <c r="D32" s="188" t="s">
        <v>17193</v>
      </c>
      <c r="E32" s="153"/>
      <c r="F32" s="171"/>
      <c r="G32" s="150"/>
      <c r="H32" s="150"/>
      <c r="I32" s="151"/>
      <c r="J32" s="162" t="s">
        <v>5895</v>
      </c>
      <c r="K32" s="163" t="s">
        <v>1</v>
      </c>
      <c r="L32" s="164">
        <v>1</v>
      </c>
      <c r="M32" s="178">
        <v>581</v>
      </c>
      <c r="N32" s="172"/>
    </row>
    <row r="33" spans="1:14" ht="16.5" customHeight="1" x14ac:dyDescent="0.3">
      <c r="A33" s="147">
        <v>15</v>
      </c>
      <c r="B33" s="147">
        <v>1853</v>
      </c>
      <c r="C33" s="155" t="s">
        <v>6731</v>
      </c>
      <c r="D33" s="188" t="s">
        <v>17192</v>
      </c>
      <c r="E33" s="205">
        <v>581</v>
      </c>
      <c r="F33" s="171" t="s">
        <v>0</v>
      </c>
      <c r="G33" s="160" t="s">
        <v>17112</v>
      </c>
      <c r="H33" s="160"/>
      <c r="I33" s="161"/>
      <c r="J33" s="162"/>
      <c r="K33" s="163"/>
      <c r="L33" s="164"/>
      <c r="M33" s="178">
        <v>407</v>
      </c>
      <c r="N33" s="172"/>
    </row>
    <row r="34" spans="1:14" ht="16.5" customHeight="1" x14ac:dyDescent="0.3">
      <c r="A34" s="147">
        <v>15</v>
      </c>
      <c r="B34" s="147">
        <v>1854</v>
      </c>
      <c r="C34" s="155" t="s">
        <v>6730</v>
      </c>
      <c r="D34" s="167"/>
      <c r="E34" s="150"/>
      <c r="F34" s="168"/>
      <c r="G34" s="150" t="s">
        <v>17111</v>
      </c>
      <c r="H34" s="150" t="s">
        <v>1</v>
      </c>
      <c r="I34" s="151">
        <v>0.7</v>
      </c>
      <c r="J34" s="162" t="s">
        <v>5895</v>
      </c>
      <c r="K34" s="163" t="s">
        <v>1</v>
      </c>
      <c r="L34" s="164">
        <v>1</v>
      </c>
      <c r="M34" s="178">
        <v>407</v>
      </c>
      <c r="N34" s="172"/>
    </row>
    <row r="35" spans="1:14" ht="16.5" customHeight="1" x14ac:dyDescent="0.3">
      <c r="A35" s="147">
        <v>15</v>
      </c>
      <c r="B35" s="147">
        <v>1855</v>
      </c>
      <c r="C35" s="155" t="s">
        <v>6729</v>
      </c>
      <c r="D35" s="156" t="s">
        <v>17191</v>
      </c>
      <c r="E35" s="144"/>
      <c r="F35" s="206"/>
      <c r="G35" s="160"/>
      <c r="H35" s="160"/>
      <c r="I35" s="161"/>
      <c r="J35" s="162"/>
      <c r="K35" s="163"/>
      <c r="L35" s="164"/>
      <c r="M35" s="178">
        <v>664</v>
      </c>
      <c r="N35" s="172"/>
    </row>
    <row r="36" spans="1:14" ht="16.5" customHeight="1" x14ac:dyDescent="0.3">
      <c r="A36" s="147">
        <v>15</v>
      </c>
      <c r="B36" s="147">
        <v>1856</v>
      </c>
      <c r="C36" s="155" t="s">
        <v>6728</v>
      </c>
      <c r="D36" s="188" t="s">
        <v>17190</v>
      </c>
      <c r="E36" s="153"/>
      <c r="F36" s="171"/>
      <c r="G36" s="150"/>
      <c r="H36" s="150"/>
      <c r="I36" s="151"/>
      <c r="J36" s="162" t="s">
        <v>5895</v>
      </c>
      <c r="K36" s="163" t="s">
        <v>1</v>
      </c>
      <c r="L36" s="164">
        <v>1</v>
      </c>
      <c r="M36" s="178">
        <v>664</v>
      </c>
      <c r="N36" s="172"/>
    </row>
    <row r="37" spans="1:14" ht="16.5" customHeight="1" x14ac:dyDescent="0.3">
      <c r="A37" s="147">
        <v>15</v>
      </c>
      <c r="B37" s="147">
        <v>1857</v>
      </c>
      <c r="C37" s="155" t="s">
        <v>6727</v>
      </c>
      <c r="D37" s="188" t="s">
        <v>17189</v>
      </c>
      <c r="E37" s="205">
        <v>664</v>
      </c>
      <c r="F37" s="171" t="s">
        <v>0</v>
      </c>
      <c r="G37" s="160" t="s">
        <v>17112</v>
      </c>
      <c r="H37" s="160"/>
      <c r="I37" s="161"/>
      <c r="J37" s="162"/>
      <c r="K37" s="163"/>
      <c r="L37" s="164"/>
      <c r="M37" s="178">
        <v>465</v>
      </c>
      <c r="N37" s="172"/>
    </row>
    <row r="38" spans="1:14" ht="16.5" customHeight="1" x14ac:dyDescent="0.3">
      <c r="A38" s="147">
        <v>15</v>
      </c>
      <c r="B38" s="147">
        <v>1858</v>
      </c>
      <c r="C38" s="155" t="s">
        <v>6726</v>
      </c>
      <c r="D38" s="167"/>
      <c r="E38" s="150"/>
      <c r="F38" s="168"/>
      <c r="G38" s="150" t="s">
        <v>17111</v>
      </c>
      <c r="H38" s="150" t="s">
        <v>1</v>
      </c>
      <c r="I38" s="151">
        <v>0.7</v>
      </c>
      <c r="J38" s="162" t="s">
        <v>5895</v>
      </c>
      <c r="K38" s="163" t="s">
        <v>1</v>
      </c>
      <c r="L38" s="164">
        <v>1</v>
      </c>
      <c r="M38" s="178">
        <v>465</v>
      </c>
      <c r="N38" s="172"/>
    </row>
    <row r="39" spans="1:14" ht="16.5" customHeight="1" x14ac:dyDescent="0.3">
      <c r="A39" s="147">
        <v>15</v>
      </c>
      <c r="B39" s="147">
        <v>1859</v>
      </c>
      <c r="C39" s="155" t="s">
        <v>6725</v>
      </c>
      <c r="D39" s="156" t="s">
        <v>17188</v>
      </c>
      <c r="E39" s="144"/>
      <c r="F39" s="206"/>
      <c r="G39" s="160"/>
      <c r="H39" s="160"/>
      <c r="I39" s="161"/>
      <c r="J39" s="162"/>
      <c r="K39" s="163"/>
      <c r="L39" s="164"/>
      <c r="M39" s="178">
        <v>747</v>
      </c>
      <c r="N39" s="172"/>
    </row>
    <row r="40" spans="1:14" ht="16.5" customHeight="1" x14ac:dyDescent="0.3">
      <c r="A40" s="147">
        <v>15</v>
      </c>
      <c r="B40" s="147">
        <v>1860</v>
      </c>
      <c r="C40" s="155" t="s">
        <v>6724</v>
      </c>
      <c r="D40" s="188" t="s">
        <v>17187</v>
      </c>
      <c r="E40" s="153"/>
      <c r="F40" s="171"/>
      <c r="G40" s="150"/>
      <c r="H40" s="150"/>
      <c r="I40" s="151"/>
      <c r="J40" s="162" t="s">
        <v>5895</v>
      </c>
      <c r="K40" s="163" t="s">
        <v>1</v>
      </c>
      <c r="L40" s="164">
        <v>1</v>
      </c>
      <c r="M40" s="178">
        <v>747</v>
      </c>
      <c r="N40" s="172"/>
    </row>
    <row r="41" spans="1:14" ht="16.5" customHeight="1" x14ac:dyDescent="0.3">
      <c r="A41" s="147">
        <v>15</v>
      </c>
      <c r="B41" s="147">
        <v>1861</v>
      </c>
      <c r="C41" s="155" t="s">
        <v>6723</v>
      </c>
      <c r="D41" s="188" t="s">
        <v>17186</v>
      </c>
      <c r="E41" s="205">
        <v>747</v>
      </c>
      <c r="F41" s="171" t="s">
        <v>0</v>
      </c>
      <c r="G41" s="160" t="s">
        <v>17112</v>
      </c>
      <c r="H41" s="160"/>
      <c r="I41" s="161"/>
      <c r="J41" s="162"/>
      <c r="K41" s="163"/>
      <c r="L41" s="164"/>
      <c r="M41" s="178">
        <v>523</v>
      </c>
      <c r="N41" s="172"/>
    </row>
    <row r="42" spans="1:14" ht="16.5" customHeight="1" x14ac:dyDescent="0.3">
      <c r="A42" s="147">
        <v>15</v>
      </c>
      <c r="B42" s="147">
        <v>1862</v>
      </c>
      <c r="C42" s="155" t="s">
        <v>6722</v>
      </c>
      <c r="D42" s="167"/>
      <c r="E42" s="150"/>
      <c r="F42" s="168"/>
      <c r="G42" s="150" t="s">
        <v>17111</v>
      </c>
      <c r="H42" s="150" t="s">
        <v>1</v>
      </c>
      <c r="I42" s="151">
        <v>0.7</v>
      </c>
      <c r="J42" s="162" t="s">
        <v>5895</v>
      </c>
      <c r="K42" s="163" t="s">
        <v>1</v>
      </c>
      <c r="L42" s="164">
        <v>1</v>
      </c>
      <c r="M42" s="178">
        <v>523</v>
      </c>
      <c r="N42" s="172"/>
    </row>
    <row r="43" spans="1:14" ht="16.5" customHeight="1" x14ac:dyDescent="0.3">
      <c r="A43" s="147">
        <v>15</v>
      </c>
      <c r="B43" s="147">
        <v>1863</v>
      </c>
      <c r="C43" s="155" t="s">
        <v>6721</v>
      </c>
      <c r="D43" s="156" t="s">
        <v>17185</v>
      </c>
      <c r="E43" s="144"/>
      <c r="F43" s="206"/>
      <c r="G43" s="160"/>
      <c r="H43" s="160"/>
      <c r="I43" s="161"/>
      <c r="J43" s="162"/>
      <c r="K43" s="163"/>
      <c r="L43" s="164"/>
      <c r="M43" s="178">
        <v>830</v>
      </c>
      <c r="N43" s="172"/>
    </row>
    <row r="44" spans="1:14" ht="16.5" customHeight="1" x14ac:dyDescent="0.3">
      <c r="A44" s="147">
        <v>15</v>
      </c>
      <c r="B44" s="147">
        <v>1864</v>
      </c>
      <c r="C44" s="155" t="s">
        <v>6720</v>
      </c>
      <c r="D44" s="188" t="s">
        <v>17184</v>
      </c>
      <c r="E44" s="153"/>
      <c r="F44" s="171"/>
      <c r="G44" s="150"/>
      <c r="H44" s="150"/>
      <c r="I44" s="151"/>
      <c r="J44" s="162" t="s">
        <v>5895</v>
      </c>
      <c r="K44" s="163" t="s">
        <v>1</v>
      </c>
      <c r="L44" s="164">
        <v>1</v>
      </c>
      <c r="M44" s="178">
        <v>830</v>
      </c>
      <c r="N44" s="172"/>
    </row>
    <row r="45" spans="1:14" ht="16.5" customHeight="1" x14ac:dyDescent="0.3">
      <c r="A45" s="147">
        <v>15</v>
      </c>
      <c r="B45" s="147">
        <v>1865</v>
      </c>
      <c r="C45" s="155" t="s">
        <v>6719</v>
      </c>
      <c r="D45" s="188" t="s">
        <v>17183</v>
      </c>
      <c r="E45" s="205">
        <v>830</v>
      </c>
      <c r="F45" s="171" t="s">
        <v>0</v>
      </c>
      <c r="G45" s="160" t="s">
        <v>17112</v>
      </c>
      <c r="H45" s="160"/>
      <c r="I45" s="161"/>
      <c r="J45" s="162"/>
      <c r="K45" s="163"/>
      <c r="L45" s="164"/>
      <c r="M45" s="178">
        <v>581</v>
      </c>
      <c r="N45" s="172"/>
    </row>
    <row r="46" spans="1:14" ht="16.5" customHeight="1" x14ac:dyDescent="0.3">
      <c r="A46" s="147">
        <v>15</v>
      </c>
      <c r="B46" s="147">
        <v>1866</v>
      </c>
      <c r="C46" s="155" t="s">
        <v>6718</v>
      </c>
      <c r="D46" s="167"/>
      <c r="E46" s="150"/>
      <c r="F46" s="168"/>
      <c r="G46" s="150" t="s">
        <v>17111</v>
      </c>
      <c r="H46" s="150" t="s">
        <v>1</v>
      </c>
      <c r="I46" s="151">
        <v>0.7</v>
      </c>
      <c r="J46" s="162" t="s">
        <v>5895</v>
      </c>
      <c r="K46" s="163" t="s">
        <v>1</v>
      </c>
      <c r="L46" s="164">
        <v>1</v>
      </c>
      <c r="M46" s="178">
        <v>581</v>
      </c>
      <c r="N46" s="172"/>
    </row>
    <row r="47" spans="1:14" ht="16.5" customHeight="1" x14ac:dyDescent="0.3">
      <c r="A47" s="147">
        <v>15</v>
      </c>
      <c r="B47" s="147">
        <v>1867</v>
      </c>
      <c r="C47" s="155" t="s">
        <v>6717</v>
      </c>
      <c r="D47" s="156" t="s">
        <v>17182</v>
      </c>
      <c r="E47" s="144"/>
      <c r="F47" s="206"/>
      <c r="G47" s="160"/>
      <c r="H47" s="160"/>
      <c r="I47" s="161"/>
      <c r="J47" s="162"/>
      <c r="K47" s="163"/>
      <c r="L47" s="164"/>
      <c r="M47" s="178">
        <v>913</v>
      </c>
      <c r="N47" s="172"/>
    </row>
    <row r="48" spans="1:14" ht="16.5" customHeight="1" x14ac:dyDescent="0.3">
      <c r="A48" s="147">
        <v>15</v>
      </c>
      <c r="B48" s="147">
        <v>1868</v>
      </c>
      <c r="C48" s="155" t="s">
        <v>6716</v>
      </c>
      <c r="D48" s="188" t="s">
        <v>17181</v>
      </c>
      <c r="E48" s="153"/>
      <c r="F48" s="171"/>
      <c r="G48" s="150"/>
      <c r="H48" s="150"/>
      <c r="I48" s="151"/>
      <c r="J48" s="162" t="s">
        <v>5895</v>
      </c>
      <c r="K48" s="163" t="s">
        <v>1</v>
      </c>
      <c r="L48" s="164">
        <v>1</v>
      </c>
      <c r="M48" s="178">
        <v>913</v>
      </c>
      <c r="N48" s="172"/>
    </row>
    <row r="49" spans="1:14" ht="16.5" customHeight="1" x14ac:dyDescent="0.3">
      <c r="A49" s="147">
        <v>15</v>
      </c>
      <c r="B49" s="147">
        <v>1869</v>
      </c>
      <c r="C49" s="155" t="s">
        <v>6715</v>
      </c>
      <c r="D49" s="188" t="s">
        <v>17180</v>
      </c>
      <c r="E49" s="205">
        <v>913</v>
      </c>
      <c r="F49" s="171" t="s">
        <v>0</v>
      </c>
      <c r="G49" s="160" t="s">
        <v>17112</v>
      </c>
      <c r="H49" s="160"/>
      <c r="I49" s="161"/>
      <c r="J49" s="162"/>
      <c r="K49" s="163"/>
      <c r="L49" s="164"/>
      <c r="M49" s="178">
        <v>639</v>
      </c>
      <c r="N49" s="172"/>
    </row>
    <row r="50" spans="1:14" ht="16.5" customHeight="1" x14ac:dyDescent="0.3">
      <c r="A50" s="147">
        <v>15</v>
      </c>
      <c r="B50" s="147">
        <v>1870</v>
      </c>
      <c r="C50" s="155" t="s">
        <v>6714</v>
      </c>
      <c r="D50" s="167"/>
      <c r="E50" s="150"/>
      <c r="F50" s="168"/>
      <c r="G50" s="150" t="s">
        <v>17111</v>
      </c>
      <c r="H50" s="150" t="s">
        <v>1</v>
      </c>
      <c r="I50" s="151">
        <v>0.7</v>
      </c>
      <c r="J50" s="162" t="s">
        <v>5895</v>
      </c>
      <c r="K50" s="163" t="s">
        <v>1</v>
      </c>
      <c r="L50" s="164">
        <v>1</v>
      </c>
      <c r="M50" s="178">
        <v>639</v>
      </c>
      <c r="N50" s="172"/>
    </row>
    <row r="51" spans="1:14" ht="16.5" customHeight="1" x14ac:dyDescent="0.3">
      <c r="A51" s="147">
        <v>15</v>
      </c>
      <c r="B51" s="147">
        <v>1871</v>
      </c>
      <c r="C51" s="155" t="s">
        <v>6713</v>
      </c>
      <c r="D51" s="156" t="s">
        <v>17179</v>
      </c>
      <c r="E51" s="144"/>
      <c r="F51" s="206"/>
      <c r="G51" s="160"/>
      <c r="H51" s="160"/>
      <c r="I51" s="161"/>
      <c r="J51" s="162"/>
      <c r="K51" s="163"/>
      <c r="L51" s="164"/>
      <c r="M51" s="178">
        <v>996</v>
      </c>
      <c r="N51" s="172"/>
    </row>
    <row r="52" spans="1:14" ht="16.5" customHeight="1" x14ac:dyDescent="0.3">
      <c r="A52" s="147">
        <v>15</v>
      </c>
      <c r="B52" s="147">
        <v>1872</v>
      </c>
      <c r="C52" s="155" t="s">
        <v>6712</v>
      </c>
      <c r="D52" s="188" t="s">
        <v>16844</v>
      </c>
      <c r="E52" s="153"/>
      <c r="F52" s="171"/>
      <c r="G52" s="150"/>
      <c r="H52" s="150"/>
      <c r="I52" s="151"/>
      <c r="J52" s="162" t="s">
        <v>5895</v>
      </c>
      <c r="K52" s="163" t="s">
        <v>1</v>
      </c>
      <c r="L52" s="164">
        <v>1</v>
      </c>
      <c r="M52" s="178">
        <v>996</v>
      </c>
      <c r="N52" s="172"/>
    </row>
    <row r="53" spans="1:14" ht="16.5" customHeight="1" x14ac:dyDescent="0.3">
      <c r="A53" s="147">
        <v>15</v>
      </c>
      <c r="B53" s="147">
        <v>1873</v>
      </c>
      <c r="C53" s="155" t="s">
        <v>6711</v>
      </c>
      <c r="D53" s="188" t="s">
        <v>17178</v>
      </c>
      <c r="E53" s="205">
        <v>996</v>
      </c>
      <c r="F53" s="171" t="s">
        <v>0</v>
      </c>
      <c r="G53" s="160" t="s">
        <v>17112</v>
      </c>
      <c r="H53" s="160"/>
      <c r="I53" s="161"/>
      <c r="J53" s="162"/>
      <c r="K53" s="163"/>
      <c r="L53" s="164"/>
      <c r="M53" s="178">
        <v>697</v>
      </c>
      <c r="N53" s="172"/>
    </row>
    <row r="54" spans="1:14" ht="16.5" customHeight="1" x14ac:dyDescent="0.3">
      <c r="A54" s="147">
        <v>15</v>
      </c>
      <c r="B54" s="147">
        <v>1874</v>
      </c>
      <c r="C54" s="155" t="s">
        <v>6710</v>
      </c>
      <c r="D54" s="167"/>
      <c r="E54" s="150"/>
      <c r="F54" s="168"/>
      <c r="G54" s="150" t="s">
        <v>17111</v>
      </c>
      <c r="H54" s="150" t="s">
        <v>1</v>
      </c>
      <c r="I54" s="151">
        <v>0.7</v>
      </c>
      <c r="J54" s="162" t="s">
        <v>5895</v>
      </c>
      <c r="K54" s="163" t="s">
        <v>1</v>
      </c>
      <c r="L54" s="164">
        <v>1</v>
      </c>
      <c r="M54" s="178">
        <v>697</v>
      </c>
      <c r="N54" s="172"/>
    </row>
    <row r="55" spans="1:14" ht="16.5" customHeight="1" x14ac:dyDescent="0.3">
      <c r="A55" s="147">
        <v>15</v>
      </c>
      <c r="B55" s="147">
        <v>1875</v>
      </c>
      <c r="C55" s="155" t="s">
        <v>6709</v>
      </c>
      <c r="D55" s="156" t="s">
        <v>17177</v>
      </c>
      <c r="E55" s="144"/>
      <c r="F55" s="206"/>
      <c r="G55" s="160"/>
      <c r="H55" s="160"/>
      <c r="I55" s="161"/>
      <c r="J55" s="162"/>
      <c r="K55" s="163"/>
      <c r="L55" s="164"/>
      <c r="M55" s="178">
        <v>1079</v>
      </c>
      <c r="N55" s="172"/>
    </row>
    <row r="56" spans="1:14" ht="16.5" customHeight="1" x14ac:dyDescent="0.3">
      <c r="A56" s="147">
        <v>15</v>
      </c>
      <c r="B56" s="147">
        <v>1876</v>
      </c>
      <c r="C56" s="155" t="s">
        <v>6708</v>
      </c>
      <c r="D56" s="188" t="s">
        <v>17176</v>
      </c>
      <c r="E56" s="153"/>
      <c r="F56" s="171"/>
      <c r="G56" s="150"/>
      <c r="H56" s="150"/>
      <c r="I56" s="151"/>
      <c r="J56" s="162" t="s">
        <v>5895</v>
      </c>
      <c r="K56" s="163" t="s">
        <v>1</v>
      </c>
      <c r="L56" s="164">
        <v>1</v>
      </c>
      <c r="M56" s="178">
        <v>1079</v>
      </c>
      <c r="N56" s="172"/>
    </row>
    <row r="57" spans="1:14" ht="16.5" customHeight="1" x14ac:dyDescent="0.3">
      <c r="A57" s="147">
        <v>15</v>
      </c>
      <c r="B57" s="147">
        <v>1877</v>
      </c>
      <c r="C57" s="155" t="s">
        <v>6707</v>
      </c>
      <c r="D57" s="188" t="s">
        <v>17175</v>
      </c>
      <c r="E57" s="205">
        <v>1079</v>
      </c>
      <c r="F57" s="171" t="s">
        <v>0</v>
      </c>
      <c r="G57" s="160" t="s">
        <v>17112</v>
      </c>
      <c r="H57" s="160"/>
      <c r="I57" s="161"/>
      <c r="J57" s="162"/>
      <c r="K57" s="163"/>
      <c r="L57" s="164"/>
      <c r="M57" s="178">
        <v>755</v>
      </c>
      <c r="N57" s="172"/>
    </row>
    <row r="58" spans="1:14" ht="16.5" customHeight="1" x14ac:dyDescent="0.3">
      <c r="A58" s="147">
        <v>15</v>
      </c>
      <c r="B58" s="147">
        <v>1878</v>
      </c>
      <c r="C58" s="155" t="s">
        <v>6706</v>
      </c>
      <c r="D58" s="167"/>
      <c r="E58" s="150"/>
      <c r="F58" s="168"/>
      <c r="G58" s="150" t="s">
        <v>17111</v>
      </c>
      <c r="H58" s="150" t="s">
        <v>1</v>
      </c>
      <c r="I58" s="151">
        <v>0.7</v>
      </c>
      <c r="J58" s="162" t="s">
        <v>5895</v>
      </c>
      <c r="K58" s="163" t="s">
        <v>1</v>
      </c>
      <c r="L58" s="164">
        <v>1</v>
      </c>
      <c r="M58" s="178">
        <v>755</v>
      </c>
      <c r="N58" s="172"/>
    </row>
    <row r="59" spans="1:14" ht="16.5" customHeight="1" x14ac:dyDescent="0.3">
      <c r="A59" s="147">
        <v>15</v>
      </c>
      <c r="B59" s="147">
        <v>1879</v>
      </c>
      <c r="C59" s="155" t="s">
        <v>6705</v>
      </c>
      <c r="D59" s="156" t="s">
        <v>17174</v>
      </c>
      <c r="E59" s="144"/>
      <c r="F59" s="206"/>
      <c r="G59" s="160"/>
      <c r="H59" s="160"/>
      <c r="I59" s="161"/>
      <c r="J59" s="162"/>
      <c r="K59" s="163"/>
      <c r="L59" s="164"/>
      <c r="M59" s="178">
        <v>1162</v>
      </c>
      <c r="N59" s="172"/>
    </row>
    <row r="60" spans="1:14" ht="16.5" customHeight="1" x14ac:dyDescent="0.3">
      <c r="A60" s="147">
        <v>15</v>
      </c>
      <c r="B60" s="147">
        <v>1880</v>
      </c>
      <c r="C60" s="155" t="s">
        <v>6704</v>
      </c>
      <c r="D60" s="188" t="s">
        <v>17173</v>
      </c>
      <c r="E60" s="153"/>
      <c r="F60" s="171"/>
      <c r="G60" s="150"/>
      <c r="H60" s="150"/>
      <c r="I60" s="151"/>
      <c r="J60" s="162" t="s">
        <v>5895</v>
      </c>
      <c r="K60" s="163" t="s">
        <v>1</v>
      </c>
      <c r="L60" s="164">
        <v>1</v>
      </c>
      <c r="M60" s="178">
        <v>1162</v>
      </c>
      <c r="N60" s="172"/>
    </row>
    <row r="61" spans="1:14" ht="16.5" customHeight="1" x14ac:dyDescent="0.3">
      <c r="A61" s="147">
        <v>15</v>
      </c>
      <c r="B61" s="147">
        <v>1881</v>
      </c>
      <c r="C61" s="155" t="s">
        <v>6703</v>
      </c>
      <c r="D61" s="188" t="s">
        <v>17172</v>
      </c>
      <c r="E61" s="205">
        <v>1162</v>
      </c>
      <c r="F61" s="171" t="s">
        <v>0</v>
      </c>
      <c r="G61" s="160" t="s">
        <v>16823</v>
      </c>
      <c r="H61" s="160"/>
      <c r="I61" s="161"/>
      <c r="J61" s="162"/>
      <c r="K61" s="163"/>
      <c r="L61" s="164"/>
      <c r="M61" s="178">
        <v>813</v>
      </c>
      <c r="N61" s="172"/>
    </row>
    <row r="62" spans="1:14" ht="16.5" customHeight="1" x14ac:dyDescent="0.3">
      <c r="A62" s="147">
        <v>15</v>
      </c>
      <c r="B62" s="147">
        <v>1882</v>
      </c>
      <c r="C62" s="155" t="s">
        <v>6702</v>
      </c>
      <c r="D62" s="167"/>
      <c r="E62" s="150"/>
      <c r="F62" s="168"/>
      <c r="G62" s="150" t="s">
        <v>17111</v>
      </c>
      <c r="H62" s="150" t="s">
        <v>1</v>
      </c>
      <c r="I62" s="151">
        <v>0.7</v>
      </c>
      <c r="J62" s="162" t="s">
        <v>5895</v>
      </c>
      <c r="K62" s="163" t="s">
        <v>1</v>
      </c>
      <c r="L62" s="164">
        <v>1</v>
      </c>
      <c r="M62" s="178">
        <v>813</v>
      </c>
      <c r="N62" s="172"/>
    </row>
    <row r="63" spans="1:14" ht="16.5" customHeight="1" x14ac:dyDescent="0.3">
      <c r="A63" s="147">
        <v>15</v>
      </c>
      <c r="B63" s="147">
        <v>1883</v>
      </c>
      <c r="C63" s="155" t="s">
        <v>6701</v>
      </c>
      <c r="D63" s="156" t="s">
        <v>17171</v>
      </c>
      <c r="E63" s="144"/>
      <c r="F63" s="206"/>
      <c r="G63" s="160"/>
      <c r="H63" s="160"/>
      <c r="I63" s="161"/>
      <c r="J63" s="162"/>
      <c r="K63" s="163"/>
      <c r="L63" s="164"/>
      <c r="M63" s="178">
        <v>1245</v>
      </c>
      <c r="N63" s="172"/>
    </row>
    <row r="64" spans="1:14" ht="16.5" customHeight="1" x14ac:dyDescent="0.3">
      <c r="A64" s="147">
        <v>15</v>
      </c>
      <c r="B64" s="147">
        <v>1884</v>
      </c>
      <c r="C64" s="155" t="s">
        <v>6699</v>
      </c>
      <c r="D64" s="188" t="s">
        <v>16834</v>
      </c>
      <c r="E64" s="153"/>
      <c r="F64" s="171"/>
      <c r="G64" s="150"/>
      <c r="H64" s="150"/>
      <c r="I64" s="151"/>
      <c r="J64" s="162" t="s">
        <v>5895</v>
      </c>
      <c r="K64" s="163" t="s">
        <v>1</v>
      </c>
      <c r="L64" s="164">
        <v>1</v>
      </c>
      <c r="M64" s="178">
        <v>1245</v>
      </c>
      <c r="N64" s="172"/>
    </row>
    <row r="65" spans="1:14" ht="16.5" customHeight="1" x14ac:dyDescent="0.3">
      <c r="A65" s="147">
        <v>15</v>
      </c>
      <c r="B65" s="147">
        <v>1885</v>
      </c>
      <c r="C65" s="155" t="s">
        <v>6698</v>
      </c>
      <c r="D65" s="188" t="s">
        <v>17170</v>
      </c>
      <c r="E65" s="205">
        <v>1245</v>
      </c>
      <c r="F65" s="171" t="s">
        <v>0</v>
      </c>
      <c r="G65" s="160" t="s">
        <v>17112</v>
      </c>
      <c r="H65" s="160"/>
      <c r="I65" s="161"/>
      <c r="J65" s="162"/>
      <c r="K65" s="163"/>
      <c r="L65" s="164"/>
      <c r="M65" s="178">
        <v>872</v>
      </c>
      <c r="N65" s="172"/>
    </row>
    <row r="66" spans="1:14" ht="16.5" customHeight="1" x14ac:dyDescent="0.3">
      <c r="A66" s="147">
        <v>15</v>
      </c>
      <c r="B66" s="147">
        <v>1886</v>
      </c>
      <c r="C66" s="155" t="s">
        <v>6697</v>
      </c>
      <c r="D66" s="167"/>
      <c r="E66" s="150"/>
      <c r="F66" s="168"/>
      <c r="G66" s="150" t="s">
        <v>17111</v>
      </c>
      <c r="H66" s="150" t="s">
        <v>1</v>
      </c>
      <c r="I66" s="151">
        <v>0.7</v>
      </c>
      <c r="J66" s="162" t="s">
        <v>5895</v>
      </c>
      <c r="K66" s="163" t="s">
        <v>1</v>
      </c>
      <c r="L66" s="164">
        <v>1</v>
      </c>
      <c r="M66" s="178">
        <v>872</v>
      </c>
      <c r="N66" s="172"/>
    </row>
    <row r="67" spans="1:14" ht="16.5" customHeight="1" x14ac:dyDescent="0.3">
      <c r="A67" s="147">
        <v>15</v>
      </c>
      <c r="B67" s="147">
        <v>1887</v>
      </c>
      <c r="C67" s="155" t="s">
        <v>6696</v>
      </c>
      <c r="D67" s="156" t="s">
        <v>17169</v>
      </c>
      <c r="E67" s="144"/>
      <c r="F67" s="206"/>
      <c r="G67" s="160"/>
      <c r="H67" s="160"/>
      <c r="I67" s="161"/>
      <c r="J67" s="162"/>
      <c r="K67" s="163"/>
      <c r="L67" s="164"/>
      <c r="M67" s="178">
        <v>1328</v>
      </c>
      <c r="N67" s="172"/>
    </row>
    <row r="68" spans="1:14" ht="16.5" customHeight="1" x14ac:dyDescent="0.3">
      <c r="A68" s="147">
        <v>15</v>
      </c>
      <c r="B68" s="147">
        <v>1888</v>
      </c>
      <c r="C68" s="155" t="s">
        <v>6695</v>
      </c>
      <c r="D68" s="188" t="s">
        <v>17168</v>
      </c>
      <c r="E68" s="153"/>
      <c r="F68" s="171"/>
      <c r="G68" s="150"/>
      <c r="H68" s="150"/>
      <c r="I68" s="151"/>
      <c r="J68" s="162" t="s">
        <v>5895</v>
      </c>
      <c r="K68" s="163" t="s">
        <v>1</v>
      </c>
      <c r="L68" s="164">
        <v>1</v>
      </c>
      <c r="M68" s="178">
        <v>1328</v>
      </c>
      <c r="N68" s="172"/>
    </row>
    <row r="69" spans="1:14" ht="16.5" customHeight="1" x14ac:dyDescent="0.3">
      <c r="A69" s="147">
        <v>15</v>
      </c>
      <c r="B69" s="147">
        <v>1889</v>
      </c>
      <c r="C69" s="155" t="s">
        <v>6694</v>
      </c>
      <c r="D69" s="188" t="s">
        <v>17167</v>
      </c>
      <c r="E69" s="205">
        <v>1328</v>
      </c>
      <c r="F69" s="171" t="s">
        <v>0</v>
      </c>
      <c r="G69" s="160" t="s">
        <v>17112</v>
      </c>
      <c r="H69" s="160"/>
      <c r="I69" s="161"/>
      <c r="J69" s="162"/>
      <c r="K69" s="163"/>
      <c r="L69" s="164"/>
      <c r="M69" s="178">
        <v>930</v>
      </c>
      <c r="N69" s="172"/>
    </row>
    <row r="70" spans="1:14" ht="16.5" customHeight="1" x14ac:dyDescent="0.3">
      <c r="A70" s="147">
        <v>15</v>
      </c>
      <c r="B70" s="147">
        <v>1890</v>
      </c>
      <c r="C70" s="155" t="s">
        <v>6693</v>
      </c>
      <c r="D70" s="167"/>
      <c r="E70" s="150"/>
      <c r="F70" s="168"/>
      <c r="G70" s="150" t="s">
        <v>17111</v>
      </c>
      <c r="H70" s="150" t="s">
        <v>1</v>
      </c>
      <c r="I70" s="151">
        <v>0.7</v>
      </c>
      <c r="J70" s="162" t="s">
        <v>5895</v>
      </c>
      <c r="K70" s="163" t="s">
        <v>1</v>
      </c>
      <c r="L70" s="164">
        <v>1</v>
      </c>
      <c r="M70" s="178">
        <v>930</v>
      </c>
      <c r="N70" s="172"/>
    </row>
    <row r="71" spans="1:14" ht="16.5" customHeight="1" x14ac:dyDescent="0.3">
      <c r="A71" s="147">
        <v>15</v>
      </c>
      <c r="B71" s="147">
        <v>1891</v>
      </c>
      <c r="C71" s="155" t="s">
        <v>6692</v>
      </c>
      <c r="D71" s="156" t="s">
        <v>17166</v>
      </c>
      <c r="E71" s="144"/>
      <c r="F71" s="206"/>
      <c r="G71" s="160"/>
      <c r="H71" s="160"/>
      <c r="I71" s="161"/>
      <c r="J71" s="162"/>
      <c r="K71" s="163"/>
      <c r="L71" s="164"/>
      <c r="M71" s="178">
        <v>1411</v>
      </c>
      <c r="N71" s="172"/>
    </row>
    <row r="72" spans="1:14" ht="16.5" customHeight="1" x14ac:dyDescent="0.3">
      <c r="A72" s="147">
        <v>15</v>
      </c>
      <c r="B72" s="147">
        <v>1892</v>
      </c>
      <c r="C72" s="155" t="s">
        <v>6691</v>
      </c>
      <c r="D72" s="188" t="s">
        <v>17165</v>
      </c>
      <c r="E72" s="153"/>
      <c r="F72" s="171"/>
      <c r="G72" s="150"/>
      <c r="H72" s="150"/>
      <c r="I72" s="151"/>
      <c r="J72" s="162" t="s">
        <v>5895</v>
      </c>
      <c r="K72" s="163" t="s">
        <v>1</v>
      </c>
      <c r="L72" s="164">
        <v>1</v>
      </c>
      <c r="M72" s="178">
        <v>1411</v>
      </c>
      <c r="N72" s="172"/>
    </row>
    <row r="73" spans="1:14" ht="16.5" customHeight="1" x14ac:dyDescent="0.3">
      <c r="A73" s="147">
        <v>15</v>
      </c>
      <c r="B73" s="147">
        <v>1893</v>
      </c>
      <c r="C73" s="155" t="s">
        <v>6690</v>
      </c>
      <c r="D73" s="188" t="s">
        <v>17164</v>
      </c>
      <c r="E73" s="205">
        <v>1411</v>
      </c>
      <c r="F73" s="171" t="s">
        <v>0</v>
      </c>
      <c r="G73" s="160" t="s">
        <v>17112</v>
      </c>
      <c r="H73" s="160"/>
      <c r="I73" s="161"/>
      <c r="J73" s="162"/>
      <c r="K73" s="163"/>
      <c r="L73" s="164"/>
      <c r="M73" s="178">
        <v>988</v>
      </c>
      <c r="N73" s="172"/>
    </row>
    <row r="74" spans="1:14" ht="16.5" customHeight="1" x14ac:dyDescent="0.3">
      <c r="A74" s="147">
        <v>15</v>
      </c>
      <c r="B74" s="147">
        <v>1894</v>
      </c>
      <c r="C74" s="155" t="s">
        <v>6689</v>
      </c>
      <c r="D74" s="167"/>
      <c r="E74" s="150"/>
      <c r="F74" s="168"/>
      <c r="G74" s="150" t="s">
        <v>17111</v>
      </c>
      <c r="H74" s="150" t="s">
        <v>1</v>
      </c>
      <c r="I74" s="151">
        <v>0.7</v>
      </c>
      <c r="J74" s="162" t="s">
        <v>5895</v>
      </c>
      <c r="K74" s="163" t="s">
        <v>1</v>
      </c>
      <c r="L74" s="164">
        <v>1</v>
      </c>
      <c r="M74" s="178">
        <v>988</v>
      </c>
      <c r="N74" s="172"/>
    </row>
    <row r="75" spans="1:14" ht="16.5" customHeight="1" x14ac:dyDescent="0.3">
      <c r="A75" s="147">
        <v>15</v>
      </c>
      <c r="B75" s="147">
        <v>1895</v>
      </c>
      <c r="C75" s="155" t="s">
        <v>6688</v>
      </c>
      <c r="D75" s="156" t="s">
        <v>17163</v>
      </c>
      <c r="E75" s="144"/>
      <c r="F75" s="206"/>
      <c r="G75" s="160"/>
      <c r="H75" s="160"/>
      <c r="I75" s="161"/>
      <c r="J75" s="162"/>
      <c r="K75" s="163"/>
      <c r="L75" s="164"/>
      <c r="M75" s="178">
        <v>1494</v>
      </c>
      <c r="N75" s="172"/>
    </row>
    <row r="76" spans="1:14" ht="16.5" customHeight="1" x14ac:dyDescent="0.3">
      <c r="A76" s="147">
        <v>15</v>
      </c>
      <c r="B76" s="147">
        <v>1896</v>
      </c>
      <c r="C76" s="155" t="s">
        <v>6687</v>
      </c>
      <c r="D76" s="188" t="s">
        <v>17162</v>
      </c>
      <c r="E76" s="153"/>
      <c r="F76" s="171"/>
      <c r="G76" s="150"/>
      <c r="H76" s="150"/>
      <c r="I76" s="151"/>
      <c r="J76" s="162" t="s">
        <v>5895</v>
      </c>
      <c r="K76" s="163" t="s">
        <v>1</v>
      </c>
      <c r="L76" s="164">
        <v>1</v>
      </c>
      <c r="M76" s="178">
        <v>1494</v>
      </c>
      <c r="N76" s="172"/>
    </row>
    <row r="77" spans="1:14" ht="16.5" customHeight="1" x14ac:dyDescent="0.3">
      <c r="A77" s="147">
        <v>15</v>
      </c>
      <c r="B77" s="147">
        <v>1897</v>
      </c>
      <c r="C77" s="155" t="s">
        <v>6686</v>
      </c>
      <c r="D77" s="188" t="s">
        <v>17161</v>
      </c>
      <c r="E77" s="205">
        <v>1494</v>
      </c>
      <c r="F77" s="171" t="s">
        <v>0</v>
      </c>
      <c r="G77" s="160" t="s">
        <v>17112</v>
      </c>
      <c r="H77" s="160"/>
      <c r="I77" s="161"/>
      <c r="J77" s="162"/>
      <c r="K77" s="163"/>
      <c r="L77" s="164"/>
      <c r="M77" s="178">
        <v>1046</v>
      </c>
      <c r="N77" s="172"/>
    </row>
    <row r="78" spans="1:14" ht="16.5" customHeight="1" x14ac:dyDescent="0.3">
      <c r="A78" s="147">
        <v>15</v>
      </c>
      <c r="B78" s="147">
        <v>1898</v>
      </c>
      <c r="C78" s="155" t="s">
        <v>6685</v>
      </c>
      <c r="D78" s="167"/>
      <c r="E78" s="150"/>
      <c r="F78" s="168"/>
      <c r="G78" s="150" t="s">
        <v>17111</v>
      </c>
      <c r="H78" s="150" t="s">
        <v>1</v>
      </c>
      <c r="I78" s="151">
        <v>0.7</v>
      </c>
      <c r="J78" s="162" t="s">
        <v>5895</v>
      </c>
      <c r="K78" s="163" t="s">
        <v>1</v>
      </c>
      <c r="L78" s="164">
        <v>1</v>
      </c>
      <c r="M78" s="178">
        <v>1046</v>
      </c>
      <c r="N78" s="172"/>
    </row>
    <row r="79" spans="1:14" ht="16.5" customHeight="1" x14ac:dyDescent="0.3">
      <c r="A79" s="147">
        <v>15</v>
      </c>
      <c r="B79" s="147">
        <v>1899</v>
      </c>
      <c r="C79" s="155" t="s">
        <v>6684</v>
      </c>
      <c r="D79" s="156" t="s">
        <v>17160</v>
      </c>
      <c r="E79" s="144"/>
      <c r="F79" s="206"/>
      <c r="G79" s="160"/>
      <c r="H79" s="160"/>
      <c r="I79" s="161"/>
      <c r="J79" s="162"/>
      <c r="K79" s="163"/>
      <c r="L79" s="164"/>
      <c r="M79" s="178">
        <v>1577</v>
      </c>
      <c r="N79" s="172"/>
    </row>
    <row r="80" spans="1:14" ht="16.5" customHeight="1" x14ac:dyDescent="0.3">
      <c r="A80" s="147">
        <v>15</v>
      </c>
      <c r="B80" s="147">
        <v>1900</v>
      </c>
      <c r="C80" s="155" t="s">
        <v>6682</v>
      </c>
      <c r="D80" s="188" t="s">
        <v>17159</v>
      </c>
      <c r="E80" s="153"/>
      <c r="F80" s="171"/>
      <c r="G80" s="150"/>
      <c r="H80" s="150"/>
      <c r="I80" s="151"/>
      <c r="J80" s="162" t="s">
        <v>5895</v>
      </c>
      <c r="K80" s="163" t="s">
        <v>1</v>
      </c>
      <c r="L80" s="164">
        <v>1</v>
      </c>
      <c r="M80" s="178">
        <v>1577</v>
      </c>
      <c r="N80" s="172"/>
    </row>
    <row r="81" spans="1:14" ht="16.5" customHeight="1" x14ac:dyDescent="0.3">
      <c r="A81" s="147">
        <v>15</v>
      </c>
      <c r="B81" s="147">
        <v>1901</v>
      </c>
      <c r="C81" s="155" t="s">
        <v>6681</v>
      </c>
      <c r="D81" s="188" t="s">
        <v>17158</v>
      </c>
      <c r="E81" s="205">
        <v>1577</v>
      </c>
      <c r="F81" s="171" t="s">
        <v>0</v>
      </c>
      <c r="G81" s="160" t="s">
        <v>17112</v>
      </c>
      <c r="H81" s="160"/>
      <c r="I81" s="161"/>
      <c r="J81" s="162"/>
      <c r="K81" s="163"/>
      <c r="L81" s="164"/>
      <c r="M81" s="178">
        <v>1104</v>
      </c>
      <c r="N81" s="172"/>
    </row>
    <row r="82" spans="1:14" ht="16.5" customHeight="1" x14ac:dyDescent="0.3">
      <c r="A82" s="147">
        <v>15</v>
      </c>
      <c r="B82" s="147">
        <v>1902</v>
      </c>
      <c r="C82" s="155" t="s">
        <v>6680</v>
      </c>
      <c r="D82" s="167"/>
      <c r="E82" s="150"/>
      <c r="F82" s="168"/>
      <c r="G82" s="150" t="s">
        <v>17111</v>
      </c>
      <c r="H82" s="150" t="s">
        <v>1</v>
      </c>
      <c r="I82" s="151">
        <v>0.7</v>
      </c>
      <c r="J82" s="162" t="s">
        <v>5895</v>
      </c>
      <c r="K82" s="163" t="s">
        <v>1</v>
      </c>
      <c r="L82" s="164">
        <v>1</v>
      </c>
      <c r="M82" s="178">
        <v>1104</v>
      </c>
      <c r="N82" s="172"/>
    </row>
    <row r="83" spans="1:14" ht="16.5" customHeight="1" x14ac:dyDescent="0.3">
      <c r="A83" s="147">
        <v>15</v>
      </c>
      <c r="B83" s="147">
        <v>1903</v>
      </c>
      <c r="C83" s="155" t="s">
        <v>6679</v>
      </c>
      <c r="D83" s="156" t="s">
        <v>17157</v>
      </c>
      <c r="E83" s="144"/>
      <c r="F83" s="206"/>
      <c r="G83" s="160"/>
      <c r="H83" s="160"/>
      <c r="I83" s="161"/>
      <c r="J83" s="162"/>
      <c r="K83" s="163"/>
      <c r="L83" s="164"/>
      <c r="M83" s="178">
        <v>1660</v>
      </c>
      <c r="N83" s="172"/>
    </row>
    <row r="84" spans="1:14" ht="16.5" customHeight="1" x14ac:dyDescent="0.3">
      <c r="A84" s="147">
        <v>15</v>
      </c>
      <c r="B84" s="147">
        <v>1904</v>
      </c>
      <c r="C84" s="155" t="s">
        <v>6678</v>
      </c>
      <c r="D84" s="188" t="s">
        <v>17156</v>
      </c>
      <c r="E84" s="153"/>
      <c r="F84" s="171"/>
      <c r="G84" s="150"/>
      <c r="H84" s="150"/>
      <c r="I84" s="151"/>
      <c r="J84" s="162" t="s">
        <v>5895</v>
      </c>
      <c r="K84" s="163" t="s">
        <v>1</v>
      </c>
      <c r="L84" s="164">
        <v>1</v>
      </c>
      <c r="M84" s="178">
        <v>1660</v>
      </c>
      <c r="N84" s="172"/>
    </row>
    <row r="85" spans="1:14" ht="16.5" customHeight="1" x14ac:dyDescent="0.3">
      <c r="A85" s="147">
        <v>15</v>
      </c>
      <c r="B85" s="147">
        <v>1905</v>
      </c>
      <c r="C85" s="155" t="s">
        <v>6677</v>
      </c>
      <c r="D85" s="188" t="s">
        <v>17155</v>
      </c>
      <c r="E85" s="205">
        <v>1660</v>
      </c>
      <c r="F85" s="171" t="s">
        <v>0</v>
      </c>
      <c r="G85" s="160" t="s">
        <v>17112</v>
      </c>
      <c r="H85" s="160"/>
      <c r="I85" s="161"/>
      <c r="J85" s="162"/>
      <c r="K85" s="163"/>
      <c r="L85" s="164"/>
      <c r="M85" s="178">
        <v>1162</v>
      </c>
      <c r="N85" s="172"/>
    </row>
    <row r="86" spans="1:14" ht="16.5" customHeight="1" x14ac:dyDescent="0.3">
      <c r="A86" s="147">
        <v>15</v>
      </c>
      <c r="B86" s="147">
        <v>1906</v>
      </c>
      <c r="C86" s="155" t="s">
        <v>6676</v>
      </c>
      <c r="D86" s="167"/>
      <c r="E86" s="150"/>
      <c r="F86" s="168"/>
      <c r="G86" s="150" t="s">
        <v>17111</v>
      </c>
      <c r="H86" s="150" t="s">
        <v>1</v>
      </c>
      <c r="I86" s="151">
        <v>0.7</v>
      </c>
      <c r="J86" s="162" t="s">
        <v>5895</v>
      </c>
      <c r="K86" s="163" t="s">
        <v>1</v>
      </c>
      <c r="L86" s="164">
        <v>1</v>
      </c>
      <c r="M86" s="178">
        <v>1162</v>
      </c>
      <c r="N86" s="172"/>
    </row>
    <row r="87" spans="1:14" ht="16.5" customHeight="1" x14ac:dyDescent="0.3">
      <c r="A87" s="147">
        <v>15</v>
      </c>
      <c r="B87" s="147">
        <v>1907</v>
      </c>
      <c r="C87" s="155" t="s">
        <v>6675</v>
      </c>
      <c r="D87" s="156" t="s">
        <v>17154</v>
      </c>
      <c r="E87" s="144"/>
      <c r="F87" s="206"/>
      <c r="G87" s="160"/>
      <c r="H87" s="160"/>
      <c r="I87" s="161"/>
      <c r="J87" s="162"/>
      <c r="K87" s="163"/>
      <c r="L87" s="164"/>
      <c r="M87" s="178">
        <v>1743</v>
      </c>
      <c r="N87" s="172"/>
    </row>
    <row r="88" spans="1:14" ht="16.5" customHeight="1" x14ac:dyDescent="0.3">
      <c r="A88" s="147">
        <v>15</v>
      </c>
      <c r="B88" s="147">
        <v>1908</v>
      </c>
      <c r="C88" s="155" t="s">
        <v>6674</v>
      </c>
      <c r="D88" s="188" t="s">
        <v>17153</v>
      </c>
      <c r="E88" s="153"/>
      <c r="F88" s="171"/>
      <c r="G88" s="150"/>
      <c r="H88" s="150"/>
      <c r="I88" s="151"/>
      <c r="J88" s="162" t="s">
        <v>5895</v>
      </c>
      <c r="K88" s="163" t="s">
        <v>1</v>
      </c>
      <c r="L88" s="164">
        <v>1</v>
      </c>
      <c r="M88" s="178">
        <v>1743</v>
      </c>
      <c r="N88" s="172"/>
    </row>
    <row r="89" spans="1:14" ht="16.5" customHeight="1" x14ac:dyDescent="0.3">
      <c r="A89" s="147">
        <v>15</v>
      </c>
      <c r="B89" s="147">
        <v>1909</v>
      </c>
      <c r="C89" s="155" t="s">
        <v>6673</v>
      </c>
      <c r="D89" s="188" t="s">
        <v>16814</v>
      </c>
      <c r="E89" s="205">
        <v>1743</v>
      </c>
      <c r="F89" s="171" t="s">
        <v>0</v>
      </c>
      <c r="G89" s="160" t="s">
        <v>17112</v>
      </c>
      <c r="H89" s="160"/>
      <c r="I89" s="161"/>
      <c r="J89" s="162"/>
      <c r="K89" s="163"/>
      <c r="L89" s="164"/>
      <c r="M89" s="178">
        <v>1220</v>
      </c>
      <c r="N89" s="172"/>
    </row>
    <row r="90" spans="1:14" ht="16.5" customHeight="1" x14ac:dyDescent="0.3">
      <c r="A90" s="147">
        <v>15</v>
      </c>
      <c r="B90" s="147">
        <v>1910</v>
      </c>
      <c r="C90" s="155" t="s">
        <v>6672</v>
      </c>
      <c r="D90" s="167"/>
      <c r="E90" s="150"/>
      <c r="F90" s="168"/>
      <c r="G90" s="150" t="s">
        <v>17111</v>
      </c>
      <c r="H90" s="150" t="s">
        <v>1</v>
      </c>
      <c r="I90" s="151">
        <v>0.7</v>
      </c>
      <c r="J90" s="162" t="s">
        <v>5895</v>
      </c>
      <c r="K90" s="163" t="s">
        <v>1</v>
      </c>
      <c r="L90" s="164">
        <v>1</v>
      </c>
      <c r="M90" s="178">
        <v>1220</v>
      </c>
      <c r="N90" s="177"/>
    </row>
    <row r="91" spans="1:14" ht="16.5" customHeight="1" x14ac:dyDescent="0.3"/>
    <row r="92" spans="1:1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8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theme="1" tint="0.249977111117893"/>
    <pageSetUpPr fitToPage="1"/>
  </sheetPr>
  <dimension ref="A1:P69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2.62890625" style="47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6816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1911</v>
      </c>
      <c r="C7" s="197" t="s">
        <v>6815</v>
      </c>
      <c r="D7" s="156" t="s">
        <v>17229</v>
      </c>
      <c r="E7" s="144"/>
      <c r="F7" s="206"/>
      <c r="G7" s="160"/>
      <c r="H7" s="160"/>
      <c r="I7" s="161"/>
      <c r="J7" s="162"/>
      <c r="K7" s="163"/>
      <c r="L7" s="164"/>
      <c r="M7" s="165"/>
      <c r="N7" s="158"/>
      <c r="O7" s="178">
        <v>104</v>
      </c>
      <c r="P7" s="142" t="s">
        <v>5863</v>
      </c>
    </row>
    <row r="8" spans="1:16" ht="16.5" customHeight="1" x14ac:dyDescent="0.3">
      <c r="A8" s="147">
        <v>15</v>
      </c>
      <c r="B8" s="147">
        <v>1912</v>
      </c>
      <c r="C8" s="197" t="s">
        <v>6814</v>
      </c>
      <c r="D8" s="188" t="s">
        <v>17056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178">
        <v>104</v>
      </c>
      <c r="P8" s="172"/>
    </row>
    <row r="9" spans="1:16" ht="16.5" customHeight="1" x14ac:dyDescent="0.3">
      <c r="A9" s="147">
        <v>15</v>
      </c>
      <c r="B9" s="147">
        <v>1913</v>
      </c>
      <c r="C9" s="197" t="s">
        <v>6813</v>
      </c>
      <c r="D9" s="188"/>
      <c r="E9" s="205">
        <v>83</v>
      </c>
      <c r="F9" s="171" t="s">
        <v>0</v>
      </c>
      <c r="G9" s="160" t="s">
        <v>17054</v>
      </c>
      <c r="H9" s="160"/>
      <c r="I9" s="161"/>
      <c r="J9" s="162"/>
      <c r="K9" s="163"/>
      <c r="L9" s="164"/>
      <c r="M9" s="170"/>
      <c r="N9" s="171"/>
      <c r="O9" s="178">
        <v>73</v>
      </c>
      <c r="P9" s="172"/>
    </row>
    <row r="10" spans="1:16" ht="16.5" customHeight="1" x14ac:dyDescent="0.3">
      <c r="A10" s="147">
        <v>15</v>
      </c>
      <c r="B10" s="147">
        <v>1914</v>
      </c>
      <c r="C10" s="197" t="s">
        <v>6812</v>
      </c>
      <c r="D10" s="167"/>
      <c r="E10" s="150"/>
      <c r="F10" s="168"/>
      <c r="G10" s="150" t="s">
        <v>17053</v>
      </c>
      <c r="H10" s="150" t="s">
        <v>1</v>
      </c>
      <c r="I10" s="151">
        <v>0.7</v>
      </c>
      <c r="J10" s="162" t="s">
        <v>5895</v>
      </c>
      <c r="K10" s="163" t="s">
        <v>1</v>
      </c>
      <c r="L10" s="164">
        <v>1</v>
      </c>
      <c r="M10" s="170"/>
      <c r="N10" s="171"/>
      <c r="O10" s="178">
        <v>73</v>
      </c>
      <c r="P10" s="172"/>
    </row>
    <row r="11" spans="1:16" ht="16.5" customHeight="1" x14ac:dyDescent="0.3">
      <c r="A11" s="147">
        <v>15</v>
      </c>
      <c r="B11" s="147">
        <v>1915</v>
      </c>
      <c r="C11" s="197" t="s">
        <v>6811</v>
      </c>
      <c r="D11" s="156" t="s">
        <v>17228</v>
      </c>
      <c r="E11" s="160"/>
      <c r="F11" s="158"/>
      <c r="G11" s="160"/>
      <c r="H11" s="160"/>
      <c r="I11" s="161"/>
      <c r="J11" s="162"/>
      <c r="K11" s="163"/>
      <c r="L11" s="164"/>
      <c r="M11" s="170"/>
      <c r="N11" s="171"/>
      <c r="O11" s="178">
        <v>208</v>
      </c>
      <c r="P11" s="172"/>
    </row>
    <row r="12" spans="1:16" ht="16.5" customHeight="1" x14ac:dyDescent="0.3">
      <c r="A12" s="147">
        <v>15</v>
      </c>
      <c r="B12" s="147">
        <v>1916</v>
      </c>
      <c r="C12" s="197" t="s">
        <v>6810</v>
      </c>
      <c r="D12" s="188" t="s">
        <v>17067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0" t="s">
        <v>17227</v>
      </c>
      <c r="N12" s="171"/>
      <c r="O12" s="178">
        <v>208</v>
      </c>
      <c r="P12" s="172"/>
    </row>
    <row r="13" spans="1:16" ht="16.5" customHeight="1" x14ac:dyDescent="0.3">
      <c r="A13" s="147">
        <v>15</v>
      </c>
      <c r="B13" s="147">
        <v>1917</v>
      </c>
      <c r="C13" s="197" t="s">
        <v>6809</v>
      </c>
      <c r="D13" s="188" t="s">
        <v>17060</v>
      </c>
      <c r="E13" s="205">
        <v>166</v>
      </c>
      <c r="F13" s="171" t="s">
        <v>0</v>
      </c>
      <c r="G13" s="160" t="s">
        <v>17054</v>
      </c>
      <c r="H13" s="160"/>
      <c r="I13" s="161"/>
      <c r="J13" s="162"/>
      <c r="K13" s="163"/>
      <c r="L13" s="164"/>
      <c r="M13" s="170"/>
      <c r="N13" s="174" t="s">
        <v>17219</v>
      </c>
      <c r="O13" s="178">
        <v>145</v>
      </c>
      <c r="P13" s="172"/>
    </row>
    <row r="14" spans="1:16" ht="16.5" customHeight="1" x14ac:dyDescent="0.3">
      <c r="A14" s="147">
        <v>15</v>
      </c>
      <c r="B14" s="147">
        <v>1918</v>
      </c>
      <c r="C14" s="197" t="s">
        <v>6808</v>
      </c>
      <c r="D14" s="167"/>
      <c r="E14" s="150"/>
      <c r="F14" s="168"/>
      <c r="G14" s="150" t="s">
        <v>17053</v>
      </c>
      <c r="H14" s="150" t="s">
        <v>1</v>
      </c>
      <c r="I14" s="151">
        <v>0.7</v>
      </c>
      <c r="J14" s="162" t="s">
        <v>5895</v>
      </c>
      <c r="K14" s="163" t="s">
        <v>1</v>
      </c>
      <c r="L14" s="164">
        <v>1</v>
      </c>
      <c r="M14" s="170"/>
      <c r="N14" s="171"/>
      <c r="O14" s="178">
        <v>145</v>
      </c>
      <c r="P14" s="172"/>
    </row>
    <row r="15" spans="1:16" ht="16.5" customHeight="1" x14ac:dyDescent="0.3">
      <c r="A15" s="147">
        <v>15</v>
      </c>
      <c r="B15" s="147">
        <v>1919</v>
      </c>
      <c r="C15" s="197" t="s">
        <v>6807</v>
      </c>
      <c r="D15" s="156" t="s">
        <v>17226</v>
      </c>
      <c r="E15" s="160"/>
      <c r="F15" s="158"/>
      <c r="G15" s="160"/>
      <c r="H15" s="160"/>
      <c r="I15" s="161"/>
      <c r="J15" s="162"/>
      <c r="K15" s="163"/>
      <c r="L15" s="164"/>
      <c r="M15" s="170" t="s">
        <v>1</v>
      </c>
      <c r="N15" s="192">
        <v>0.25</v>
      </c>
      <c r="O15" s="178">
        <v>311</v>
      </c>
      <c r="P15" s="172"/>
    </row>
    <row r="16" spans="1:16" ht="16.5" customHeight="1" x14ac:dyDescent="0.3">
      <c r="A16" s="147">
        <v>15</v>
      </c>
      <c r="B16" s="147">
        <v>1920</v>
      </c>
      <c r="C16" s="197" t="s">
        <v>6806</v>
      </c>
      <c r="D16" s="188" t="s">
        <v>17070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17225</v>
      </c>
      <c r="O16" s="178">
        <v>311</v>
      </c>
      <c r="P16" s="172"/>
    </row>
    <row r="17" spans="1:16" ht="16.5" customHeight="1" x14ac:dyDescent="0.3">
      <c r="A17" s="147">
        <v>15</v>
      </c>
      <c r="B17" s="147">
        <v>1921</v>
      </c>
      <c r="C17" s="197" t="s">
        <v>6805</v>
      </c>
      <c r="D17" s="188" t="s">
        <v>17065</v>
      </c>
      <c r="E17" s="205">
        <v>249</v>
      </c>
      <c r="F17" s="171" t="s">
        <v>0</v>
      </c>
      <c r="G17" s="160" t="s">
        <v>16823</v>
      </c>
      <c r="H17" s="160"/>
      <c r="I17" s="161"/>
      <c r="J17" s="162"/>
      <c r="K17" s="163"/>
      <c r="L17" s="164"/>
      <c r="M17" s="170"/>
      <c r="N17" s="171"/>
      <c r="O17" s="178">
        <v>218</v>
      </c>
      <c r="P17" s="172"/>
    </row>
    <row r="18" spans="1:16" ht="16.5" customHeight="1" x14ac:dyDescent="0.3">
      <c r="A18" s="147">
        <v>15</v>
      </c>
      <c r="B18" s="147">
        <v>1922</v>
      </c>
      <c r="C18" s="197" t="s">
        <v>6804</v>
      </c>
      <c r="D18" s="167"/>
      <c r="E18" s="150"/>
      <c r="F18" s="168"/>
      <c r="G18" s="150" t="s">
        <v>17053</v>
      </c>
      <c r="H18" s="150" t="s">
        <v>1</v>
      </c>
      <c r="I18" s="151">
        <v>0.7</v>
      </c>
      <c r="J18" s="162" t="s">
        <v>5895</v>
      </c>
      <c r="K18" s="163" t="s">
        <v>1</v>
      </c>
      <c r="L18" s="164">
        <v>1</v>
      </c>
      <c r="M18" s="170"/>
      <c r="N18" s="171"/>
      <c r="O18" s="178">
        <v>218</v>
      </c>
      <c r="P18" s="172"/>
    </row>
    <row r="19" spans="1:16" ht="16.5" customHeight="1" x14ac:dyDescent="0.3">
      <c r="A19" s="147">
        <v>15</v>
      </c>
      <c r="B19" s="147">
        <v>1923</v>
      </c>
      <c r="C19" s="197" t="s">
        <v>6803</v>
      </c>
      <c r="D19" s="156" t="s">
        <v>17224</v>
      </c>
      <c r="E19" s="160"/>
      <c r="F19" s="158"/>
      <c r="G19" s="160"/>
      <c r="H19" s="160"/>
      <c r="I19" s="161"/>
      <c r="J19" s="162"/>
      <c r="K19" s="163"/>
      <c r="L19" s="164"/>
      <c r="M19" s="170"/>
      <c r="N19" s="171"/>
      <c r="O19" s="178">
        <v>415</v>
      </c>
      <c r="P19" s="172"/>
    </row>
    <row r="20" spans="1:16" ht="16.5" customHeight="1" x14ac:dyDescent="0.3">
      <c r="A20" s="147">
        <v>15</v>
      </c>
      <c r="B20" s="147">
        <v>1924</v>
      </c>
      <c r="C20" s="197" t="s">
        <v>6802</v>
      </c>
      <c r="D20" s="188" t="s">
        <v>17063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178">
        <v>415</v>
      </c>
      <c r="P20" s="172"/>
    </row>
    <row r="21" spans="1:16" ht="16.5" customHeight="1" x14ac:dyDescent="0.3">
      <c r="A21" s="147">
        <v>15</v>
      </c>
      <c r="B21" s="147">
        <v>1925</v>
      </c>
      <c r="C21" s="197" t="s">
        <v>6801</v>
      </c>
      <c r="D21" s="188" t="s">
        <v>17062</v>
      </c>
      <c r="E21" s="205">
        <v>332</v>
      </c>
      <c r="F21" s="171" t="s">
        <v>0</v>
      </c>
      <c r="G21" s="160" t="s">
        <v>17054</v>
      </c>
      <c r="H21" s="160"/>
      <c r="I21" s="161"/>
      <c r="J21" s="162"/>
      <c r="K21" s="163"/>
      <c r="L21" s="164"/>
      <c r="M21" s="170"/>
      <c r="N21" s="171"/>
      <c r="O21" s="178">
        <v>290</v>
      </c>
      <c r="P21" s="172"/>
    </row>
    <row r="22" spans="1:16" ht="16.5" customHeight="1" x14ac:dyDescent="0.3">
      <c r="A22" s="147">
        <v>15</v>
      </c>
      <c r="B22" s="147">
        <v>1926</v>
      </c>
      <c r="C22" s="197" t="s">
        <v>6800</v>
      </c>
      <c r="D22" s="167"/>
      <c r="E22" s="150"/>
      <c r="F22" s="168"/>
      <c r="G22" s="150" t="s">
        <v>16812</v>
      </c>
      <c r="H22" s="150" t="s">
        <v>1</v>
      </c>
      <c r="I22" s="151">
        <v>0.7</v>
      </c>
      <c r="J22" s="162" t="s">
        <v>5895</v>
      </c>
      <c r="K22" s="163" t="s">
        <v>1</v>
      </c>
      <c r="L22" s="164">
        <v>1</v>
      </c>
      <c r="M22" s="170"/>
      <c r="N22" s="171"/>
      <c r="O22" s="178">
        <v>290</v>
      </c>
      <c r="P22" s="172"/>
    </row>
    <row r="23" spans="1:16" ht="16.5" customHeight="1" x14ac:dyDescent="0.3">
      <c r="A23" s="147">
        <v>15</v>
      </c>
      <c r="B23" s="147">
        <v>1927</v>
      </c>
      <c r="C23" s="197" t="s">
        <v>6799</v>
      </c>
      <c r="D23" s="156" t="s">
        <v>17223</v>
      </c>
      <c r="E23" s="160"/>
      <c r="F23" s="158"/>
      <c r="G23" s="160"/>
      <c r="H23" s="160"/>
      <c r="I23" s="161"/>
      <c r="J23" s="162"/>
      <c r="K23" s="163"/>
      <c r="L23" s="164"/>
      <c r="M23" s="170"/>
      <c r="N23" s="171"/>
      <c r="O23" s="178">
        <v>519</v>
      </c>
      <c r="P23" s="172"/>
    </row>
    <row r="24" spans="1:16" ht="16.5" customHeight="1" x14ac:dyDescent="0.3">
      <c r="A24" s="147">
        <v>15</v>
      </c>
      <c r="B24" s="147">
        <v>1928</v>
      </c>
      <c r="C24" s="197" t="s">
        <v>6798</v>
      </c>
      <c r="D24" s="188" t="s">
        <v>16865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178">
        <v>519</v>
      </c>
      <c r="P24" s="172"/>
    </row>
    <row r="25" spans="1:16" ht="16.5" customHeight="1" x14ac:dyDescent="0.3">
      <c r="A25" s="147">
        <v>15</v>
      </c>
      <c r="B25" s="147">
        <v>1929</v>
      </c>
      <c r="C25" s="197" t="s">
        <v>6797</v>
      </c>
      <c r="D25" s="188" t="s">
        <v>17055</v>
      </c>
      <c r="E25" s="205">
        <v>415</v>
      </c>
      <c r="F25" s="171" t="s">
        <v>0</v>
      </c>
      <c r="G25" s="160" t="s">
        <v>17054</v>
      </c>
      <c r="H25" s="160"/>
      <c r="I25" s="161"/>
      <c r="J25" s="162"/>
      <c r="K25" s="163"/>
      <c r="L25" s="164"/>
      <c r="M25" s="170"/>
      <c r="N25" s="171"/>
      <c r="O25" s="178">
        <v>364</v>
      </c>
      <c r="P25" s="172"/>
    </row>
    <row r="26" spans="1:16" ht="16.5" customHeight="1" x14ac:dyDescent="0.3">
      <c r="A26" s="147">
        <v>15</v>
      </c>
      <c r="B26" s="147">
        <v>1930</v>
      </c>
      <c r="C26" s="197" t="s">
        <v>6796</v>
      </c>
      <c r="D26" s="167"/>
      <c r="E26" s="150"/>
      <c r="F26" s="168"/>
      <c r="G26" s="150" t="s">
        <v>17053</v>
      </c>
      <c r="H26" s="150" t="s">
        <v>1</v>
      </c>
      <c r="I26" s="151">
        <v>0.7</v>
      </c>
      <c r="J26" s="162" t="s">
        <v>5895</v>
      </c>
      <c r="K26" s="163" t="s">
        <v>1</v>
      </c>
      <c r="L26" s="164">
        <v>1</v>
      </c>
      <c r="M26" s="176"/>
      <c r="N26" s="168"/>
      <c r="O26" s="178">
        <v>364</v>
      </c>
      <c r="P26" s="177"/>
    </row>
    <row r="27" spans="1:16" ht="16.5" customHeight="1" x14ac:dyDescent="0.3">
      <c r="A27" s="132"/>
      <c r="B27" s="132"/>
      <c r="C27" s="133"/>
      <c r="D27" s="133"/>
      <c r="E27" s="134"/>
      <c r="F27" s="134"/>
      <c r="G27" s="134"/>
      <c r="H27" s="134"/>
      <c r="I27" s="135"/>
      <c r="J27" s="134"/>
      <c r="K27" s="134"/>
      <c r="L27" s="135"/>
      <c r="M27" s="135"/>
      <c r="N27" s="134"/>
      <c r="O27" s="136"/>
      <c r="P27" s="137"/>
    </row>
    <row r="28" spans="1:16" ht="16.5" customHeight="1" x14ac:dyDescent="0.3">
      <c r="A28" s="132"/>
      <c r="B28" s="132"/>
      <c r="C28" s="133"/>
      <c r="D28" s="133"/>
      <c r="E28" s="134"/>
      <c r="F28" s="134"/>
      <c r="G28" s="134"/>
      <c r="H28" s="134"/>
      <c r="I28" s="135"/>
      <c r="J28" s="134"/>
      <c r="K28" s="134"/>
      <c r="L28" s="135"/>
      <c r="M28" s="135"/>
      <c r="N28" s="134"/>
      <c r="O28" s="136"/>
      <c r="P28" s="137"/>
    </row>
    <row r="29" spans="1:16" ht="16.5" customHeight="1" x14ac:dyDescent="0.3">
      <c r="A29" s="132"/>
      <c r="B29" s="138" t="s">
        <v>6795</v>
      </c>
      <c r="C29" s="133"/>
      <c r="D29" s="139"/>
      <c r="E29" s="134"/>
      <c r="F29" s="134"/>
      <c r="G29" s="134"/>
      <c r="H29" s="134"/>
      <c r="I29" s="135"/>
      <c r="J29" s="134"/>
      <c r="K29" s="134"/>
      <c r="L29" s="135"/>
      <c r="M29" s="135"/>
      <c r="N29" s="134"/>
      <c r="O29" s="136"/>
      <c r="P29" s="137"/>
    </row>
    <row r="30" spans="1:16" ht="16.5" customHeight="1" x14ac:dyDescent="0.3">
      <c r="A30" s="140" t="s">
        <v>5864</v>
      </c>
      <c r="B30" s="141"/>
      <c r="C30" s="142" t="s">
        <v>5867</v>
      </c>
      <c r="D30" s="143" t="s">
        <v>5868</v>
      </c>
      <c r="E30" s="144"/>
      <c r="F30" s="144"/>
      <c r="G30" s="144"/>
      <c r="H30" s="144"/>
      <c r="I30" s="145"/>
      <c r="J30" s="144"/>
      <c r="K30" s="144"/>
      <c r="L30" s="145"/>
      <c r="M30" s="145"/>
      <c r="N30" s="144"/>
      <c r="O30" s="146" t="s">
        <v>5869</v>
      </c>
      <c r="P30" s="146" t="s">
        <v>5871</v>
      </c>
    </row>
    <row r="31" spans="1:16" ht="16.5" customHeight="1" x14ac:dyDescent="0.3">
      <c r="A31" s="147" t="s">
        <v>5865</v>
      </c>
      <c r="B31" s="147" t="s">
        <v>5866</v>
      </c>
      <c r="C31" s="148"/>
      <c r="D31" s="187"/>
      <c r="E31" s="153"/>
      <c r="F31" s="153"/>
      <c r="G31" s="150"/>
      <c r="H31" s="150"/>
      <c r="I31" s="151"/>
      <c r="J31" s="150"/>
      <c r="K31" s="150"/>
      <c r="L31" s="151"/>
      <c r="M31" s="151"/>
      <c r="N31" s="150"/>
      <c r="O31" s="154" t="s">
        <v>5870</v>
      </c>
      <c r="P31" s="154" t="s">
        <v>0</v>
      </c>
    </row>
    <row r="32" spans="1:16" ht="16.5" customHeight="1" x14ac:dyDescent="0.3">
      <c r="A32" s="147">
        <v>15</v>
      </c>
      <c r="B32" s="147">
        <v>1931</v>
      </c>
      <c r="C32" s="197" t="s">
        <v>6794</v>
      </c>
      <c r="D32" s="156" t="s">
        <v>17222</v>
      </c>
      <c r="E32" s="144"/>
      <c r="F32" s="206"/>
      <c r="G32" s="160"/>
      <c r="H32" s="160"/>
      <c r="I32" s="161"/>
      <c r="J32" s="162"/>
      <c r="K32" s="163"/>
      <c r="L32" s="164"/>
      <c r="M32" s="165"/>
      <c r="N32" s="158"/>
      <c r="O32" s="178">
        <v>104</v>
      </c>
      <c r="P32" s="142" t="s">
        <v>5863</v>
      </c>
    </row>
    <row r="33" spans="1:16" ht="16.5" customHeight="1" x14ac:dyDescent="0.3">
      <c r="A33" s="147">
        <v>15</v>
      </c>
      <c r="B33" s="147">
        <v>1932</v>
      </c>
      <c r="C33" s="197" t="s">
        <v>6793</v>
      </c>
      <c r="D33" s="188" t="s">
        <v>16901</v>
      </c>
      <c r="E33" s="153"/>
      <c r="F33" s="171"/>
      <c r="G33" s="150"/>
      <c r="H33" s="150"/>
      <c r="I33" s="151"/>
      <c r="J33" s="162" t="s">
        <v>5895</v>
      </c>
      <c r="K33" s="163" t="s">
        <v>1</v>
      </c>
      <c r="L33" s="164">
        <v>1</v>
      </c>
      <c r="M33" s="170"/>
      <c r="N33" s="171"/>
      <c r="O33" s="178">
        <v>104</v>
      </c>
      <c r="P33" s="172"/>
    </row>
    <row r="34" spans="1:16" ht="16.5" customHeight="1" x14ac:dyDescent="0.3">
      <c r="A34" s="147">
        <v>15</v>
      </c>
      <c r="B34" s="147">
        <v>1933</v>
      </c>
      <c r="C34" s="197" t="s">
        <v>6792</v>
      </c>
      <c r="D34" s="188"/>
      <c r="E34" s="205">
        <v>83</v>
      </c>
      <c r="F34" s="171" t="s">
        <v>0</v>
      </c>
      <c r="G34" s="160" t="s">
        <v>17054</v>
      </c>
      <c r="H34" s="160"/>
      <c r="I34" s="161"/>
      <c r="J34" s="162"/>
      <c r="K34" s="163"/>
      <c r="L34" s="164"/>
      <c r="M34" s="170"/>
      <c r="N34" s="171"/>
      <c r="O34" s="178">
        <v>73</v>
      </c>
      <c r="P34" s="172"/>
    </row>
    <row r="35" spans="1:16" ht="16.5" customHeight="1" x14ac:dyDescent="0.3">
      <c r="A35" s="147">
        <v>15</v>
      </c>
      <c r="B35" s="147">
        <v>1934</v>
      </c>
      <c r="C35" s="197" t="s">
        <v>6791</v>
      </c>
      <c r="D35" s="167"/>
      <c r="E35" s="150"/>
      <c r="F35" s="168"/>
      <c r="G35" s="150" t="s">
        <v>17053</v>
      </c>
      <c r="H35" s="150" t="s">
        <v>1</v>
      </c>
      <c r="I35" s="151">
        <v>0.7</v>
      </c>
      <c r="J35" s="162" t="s">
        <v>5895</v>
      </c>
      <c r="K35" s="163" t="s">
        <v>1</v>
      </c>
      <c r="L35" s="164">
        <v>1</v>
      </c>
      <c r="M35" s="170"/>
      <c r="N35" s="171"/>
      <c r="O35" s="178">
        <v>73</v>
      </c>
      <c r="P35" s="172"/>
    </row>
    <row r="36" spans="1:16" ht="16.5" customHeight="1" x14ac:dyDescent="0.3">
      <c r="A36" s="147">
        <v>15</v>
      </c>
      <c r="B36" s="147">
        <v>1935</v>
      </c>
      <c r="C36" s="197" t="s">
        <v>6790</v>
      </c>
      <c r="D36" s="156" t="s">
        <v>17221</v>
      </c>
      <c r="E36" s="160"/>
      <c r="F36" s="158"/>
      <c r="G36" s="160"/>
      <c r="H36" s="160"/>
      <c r="I36" s="161"/>
      <c r="J36" s="162"/>
      <c r="K36" s="163"/>
      <c r="L36" s="164"/>
      <c r="M36" s="170"/>
      <c r="N36" s="171"/>
      <c r="O36" s="178">
        <v>208</v>
      </c>
      <c r="P36" s="172"/>
    </row>
    <row r="37" spans="1:16" ht="16.5" customHeight="1" x14ac:dyDescent="0.3">
      <c r="A37" s="147">
        <v>15</v>
      </c>
      <c r="B37" s="147">
        <v>1936</v>
      </c>
      <c r="C37" s="197" t="s">
        <v>6789</v>
      </c>
      <c r="D37" s="188" t="s">
        <v>17067</v>
      </c>
      <c r="E37" s="153"/>
      <c r="F37" s="171"/>
      <c r="G37" s="150"/>
      <c r="H37" s="150"/>
      <c r="I37" s="151"/>
      <c r="J37" s="162" t="s">
        <v>5895</v>
      </c>
      <c r="K37" s="163" t="s">
        <v>1</v>
      </c>
      <c r="L37" s="164">
        <v>1</v>
      </c>
      <c r="M37" s="170" t="s">
        <v>17220</v>
      </c>
      <c r="N37" s="171"/>
      <c r="O37" s="178">
        <v>208</v>
      </c>
      <c r="P37" s="172"/>
    </row>
    <row r="38" spans="1:16" ht="16.5" customHeight="1" x14ac:dyDescent="0.3">
      <c r="A38" s="147">
        <v>15</v>
      </c>
      <c r="B38" s="147">
        <v>1937</v>
      </c>
      <c r="C38" s="197" t="s">
        <v>6788</v>
      </c>
      <c r="D38" s="188" t="s">
        <v>17060</v>
      </c>
      <c r="E38" s="205">
        <v>166</v>
      </c>
      <c r="F38" s="171" t="s">
        <v>0</v>
      </c>
      <c r="G38" s="160" t="s">
        <v>16823</v>
      </c>
      <c r="H38" s="160"/>
      <c r="I38" s="161"/>
      <c r="J38" s="162"/>
      <c r="K38" s="163"/>
      <c r="L38" s="164"/>
      <c r="M38" s="170"/>
      <c r="N38" s="174" t="s">
        <v>17219</v>
      </c>
      <c r="O38" s="178">
        <v>145</v>
      </c>
      <c r="P38" s="172"/>
    </row>
    <row r="39" spans="1:16" ht="16.5" customHeight="1" x14ac:dyDescent="0.3">
      <c r="A39" s="147">
        <v>15</v>
      </c>
      <c r="B39" s="147">
        <v>1938</v>
      </c>
      <c r="C39" s="197" t="s">
        <v>6787</v>
      </c>
      <c r="D39" s="167"/>
      <c r="E39" s="150"/>
      <c r="F39" s="168"/>
      <c r="G39" s="150" t="s">
        <v>17053</v>
      </c>
      <c r="H39" s="150" t="s">
        <v>1</v>
      </c>
      <c r="I39" s="151">
        <v>0.7</v>
      </c>
      <c r="J39" s="162" t="s">
        <v>5895</v>
      </c>
      <c r="K39" s="163" t="s">
        <v>1</v>
      </c>
      <c r="L39" s="164">
        <v>1</v>
      </c>
      <c r="M39" s="170"/>
      <c r="N39" s="171"/>
      <c r="O39" s="178">
        <v>145</v>
      </c>
      <c r="P39" s="172"/>
    </row>
    <row r="40" spans="1:16" ht="16.5" customHeight="1" x14ac:dyDescent="0.3">
      <c r="A40" s="147">
        <v>15</v>
      </c>
      <c r="B40" s="147">
        <v>1939</v>
      </c>
      <c r="C40" s="197" t="s">
        <v>6786</v>
      </c>
      <c r="D40" s="156" t="s">
        <v>17218</v>
      </c>
      <c r="E40" s="160"/>
      <c r="F40" s="158"/>
      <c r="G40" s="160"/>
      <c r="H40" s="160"/>
      <c r="I40" s="161"/>
      <c r="J40" s="162"/>
      <c r="K40" s="163"/>
      <c r="L40" s="164"/>
      <c r="M40" s="170" t="s">
        <v>1</v>
      </c>
      <c r="N40" s="192">
        <v>0.25</v>
      </c>
      <c r="O40" s="178">
        <v>311</v>
      </c>
      <c r="P40" s="172"/>
    </row>
    <row r="41" spans="1:16" ht="16.5" customHeight="1" x14ac:dyDescent="0.3">
      <c r="A41" s="147">
        <v>15</v>
      </c>
      <c r="B41" s="147">
        <v>1940</v>
      </c>
      <c r="C41" s="197" t="s">
        <v>6785</v>
      </c>
      <c r="D41" s="188" t="s">
        <v>17070</v>
      </c>
      <c r="E41" s="153"/>
      <c r="F41" s="171"/>
      <c r="G41" s="150"/>
      <c r="H41" s="150"/>
      <c r="I41" s="151"/>
      <c r="J41" s="162" t="s">
        <v>5895</v>
      </c>
      <c r="K41" s="163" t="s">
        <v>1</v>
      </c>
      <c r="L41" s="164">
        <v>1</v>
      </c>
      <c r="M41" s="170"/>
      <c r="N41" s="174" t="s">
        <v>422</v>
      </c>
      <c r="O41" s="178">
        <v>311</v>
      </c>
      <c r="P41" s="172"/>
    </row>
    <row r="42" spans="1:16" ht="16.5" customHeight="1" x14ac:dyDescent="0.3">
      <c r="A42" s="147">
        <v>15</v>
      </c>
      <c r="B42" s="147">
        <v>1941</v>
      </c>
      <c r="C42" s="197" t="s">
        <v>6784</v>
      </c>
      <c r="D42" s="188" t="s">
        <v>17065</v>
      </c>
      <c r="E42" s="205">
        <v>249</v>
      </c>
      <c r="F42" s="171" t="s">
        <v>0</v>
      </c>
      <c r="G42" s="160" t="s">
        <v>17054</v>
      </c>
      <c r="H42" s="160"/>
      <c r="I42" s="161"/>
      <c r="J42" s="162"/>
      <c r="K42" s="163"/>
      <c r="L42" s="164"/>
      <c r="M42" s="170"/>
      <c r="N42" s="171"/>
      <c r="O42" s="178">
        <v>218</v>
      </c>
      <c r="P42" s="172"/>
    </row>
    <row r="43" spans="1:16" ht="16.5" customHeight="1" x14ac:dyDescent="0.3">
      <c r="A43" s="147">
        <v>15</v>
      </c>
      <c r="B43" s="147">
        <v>1942</v>
      </c>
      <c r="C43" s="197" t="s">
        <v>6783</v>
      </c>
      <c r="D43" s="167"/>
      <c r="E43" s="150"/>
      <c r="F43" s="168"/>
      <c r="G43" s="150" t="s">
        <v>17053</v>
      </c>
      <c r="H43" s="150" t="s">
        <v>1</v>
      </c>
      <c r="I43" s="151">
        <v>0.7</v>
      </c>
      <c r="J43" s="162" t="s">
        <v>5895</v>
      </c>
      <c r="K43" s="163" t="s">
        <v>1</v>
      </c>
      <c r="L43" s="164">
        <v>1</v>
      </c>
      <c r="M43" s="170"/>
      <c r="N43" s="171"/>
      <c r="O43" s="178">
        <v>218</v>
      </c>
      <c r="P43" s="172"/>
    </row>
    <row r="44" spans="1:16" ht="16.5" customHeight="1" x14ac:dyDescent="0.3">
      <c r="A44" s="147">
        <v>15</v>
      </c>
      <c r="B44" s="147">
        <v>1943</v>
      </c>
      <c r="C44" s="197" t="s">
        <v>6782</v>
      </c>
      <c r="D44" s="156" t="s">
        <v>17217</v>
      </c>
      <c r="E44" s="160"/>
      <c r="F44" s="158"/>
      <c r="G44" s="160"/>
      <c r="H44" s="160"/>
      <c r="I44" s="161"/>
      <c r="J44" s="162"/>
      <c r="K44" s="163"/>
      <c r="L44" s="164"/>
      <c r="M44" s="170"/>
      <c r="N44" s="171"/>
      <c r="O44" s="178">
        <v>415</v>
      </c>
      <c r="P44" s="172"/>
    </row>
    <row r="45" spans="1:16" ht="16.5" customHeight="1" x14ac:dyDescent="0.3">
      <c r="A45" s="147">
        <v>15</v>
      </c>
      <c r="B45" s="147">
        <v>1944</v>
      </c>
      <c r="C45" s="197" t="s">
        <v>6781</v>
      </c>
      <c r="D45" s="188" t="s">
        <v>17063</v>
      </c>
      <c r="E45" s="153"/>
      <c r="F45" s="171"/>
      <c r="G45" s="150"/>
      <c r="H45" s="150"/>
      <c r="I45" s="151"/>
      <c r="J45" s="162" t="s">
        <v>5895</v>
      </c>
      <c r="K45" s="163" t="s">
        <v>1</v>
      </c>
      <c r="L45" s="164">
        <v>1</v>
      </c>
      <c r="M45" s="170"/>
      <c r="N45" s="171"/>
      <c r="O45" s="178">
        <v>415</v>
      </c>
      <c r="P45" s="172"/>
    </row>
    <row r="46" spans="1:16" ht="16.5" customHeight="1" x14ac:dyDescent="0.3">
      <c r="A46" s="147">
        <v>15</v>
      </c>
      <c r="B46" s="147">
        <v>1945</v>
      </c>
      <c r="C46" s="197" t="s">
        <v>6780</v>
      </c>
      <c r="D46" s="188" t="s">
        <v>16867</v>
      </c>
      <c r="E46" s="205">
        <v>332</v>
      </c>
      <c r="F46" s="171" t="s">
        <v>0</v>
      </c>
      <c r="G46" s="160" t="s">
        <v>17054</v>
      </c>
      <c r="H46" s="160"/>
      <c r="I46" s="161"/>
      <c r="J46" s="162"/>
      <c r="K46" s="163"/>
      <c r="L46" s="164"/>
      <c r="M46" s="170"/>
      <c r="N46" s="171"/>
      <c r="O46" s="178">
        <v>290</v>
      </c>
      <c r="P46" s="172"/>
    </row>
    <row r="47" spans="1:16" ht="16.5" customHeight="1" x14ac:dyDescent="0.3">
      <c r="A47" s="147">
        <v>15</v>
      </c>
      <c r="B47" s="147">
        <v>1946</v>
      </c>
      <c r="C47" s="197" t="s">
        <v>6779</v>
      </c>
      <c r="D47" s="167"/>
      <c r="E47" s="150"/>
      <c r="F47" s="168"/>
      <c r="G47" s="150" t="s">
        <v>17053</v>
      </c>
      <c r="H47" s="150" t="s">
        <v>1</v>
      </c>
      <c r="I47" s="151">
        <v>0.7</v>
      </c>
      <c r="J47" s="162" t="s">
        <v>5895</v>
      </c>
      <c r="K47" s="163" t="s">
        <v>1</v>
      </c>
      <c r="L47" s="164">
        <v>1</v>
      </c>
      <c r="M47" s="170"/>
      <c r="N47" s="171"/>
      <c r="O47" s="178">
        <v>290</v>
      </c>
      <c r="P47" s="172"/>
    </row>
    <row r="48" spans="1:16" ht="16.5" customHeight="1" x14ac:dyDescent="0.3">
      <c r="A48" s="147">
        <v>15</v>
      </c>
      <c r="B48" s="147">
        <v>1947</v>
      </c>
      <c r="C48" s="197" t="s">
        <v>6778</v>
      </c>
      <c r="D48" s="156" t="s">
        <v>17216</v>
      </c>
      <c r="E48" s="160"/>
      <c r="F48" s="158"/>
      <c r="G48" s="160"/>
      <c r="H48" s="160"/>
      <c r="I48" s="161"/>
      <c r="J48" s="162"/>
      <c r="K48" s="163"/>
      <c r="L48" s="164"/>
      <c r="M48" s="170"/>
      <c r="N48" s="171"/>
      <c r="O48" s="178">
        <v>519</v>
      </c>
      <c r="P48" s="172"/>
    </row>
    <row r="49" spans="1:16" ht="16.5" customHeight="1" x14ac:dyDescent="0.3">
      <c r="A49" s="147">
        <v>15</v>
      </c>
      <c r="B49" s="147">
        <v>1948</v>
      </c>
      <c r="C49" s="197" t="s">
        <v>6777</v>
      </c>
      <c r="D49" s="188" t="s">
        <v>17057</v>
      </c>
      <c r="E49" s="153"/>
      <c r="F49" s="171"/>
      <c r="G49" s="150"/>
      <c r="H49" s="150"/>
      <c r="I49" s="151"/>
      <c r="J49" s="162" t="s">
        <v>5895</v>
      </c>
      <c r="K49" s="163" t="s">
        <v>1</v>
      </c>
      <c r="L49" s="164">
        <v>1</v>
      </c>
      <c r="M49" s="170"/>
      <c r="N49" s="171"/>
      <c r="O49" s="178">
        <v>519</v>
      </c>
      <c r="P49" s="172"/>
    </row>
    <row r="50" spans="1:16" ht="16.5" customHeight="1" x14ac:dyDescent="0.3">
      <c r="A50" s="147">
        <v>15</v>
      </c>
      <c r="B50" s="147">
        <v>1949</v>
      </c>
      <c r="C50" s="197" t="s">
        <v>6776</v>
      </c>
      <c r="D50" s="188" t="s">
        <v>17055</v>
      </c>
      <c r="E50" s="205">
        <v>415</v>
      </c>
      <c r="F50" s="171" t="s">
        <v>0</v>
      </c>
      <c r="G50" s="160" t="s">
        <v>17054</v>
      </c>
      <c r="H50" s="160"/>
      <c r="I50" s="161"/>
      <c r="J50" s="162"/>
      <c r="K50" s="163"/>
      <c r="L50" s="164"/>
      <c r="M50" s="170"/>
      <c r="N50" s="171"/>
      <c r="O50" s="178">
        <v>364</v>
      </c>
      <c r="P50" s="172"/>
    </row>
    <row r="51" spans="1:16" ht="16.5" customHeight="1" x14ac:dyDescent="0.3">
      <c r="A51" s="147">
        <v>15</v>
      </c>
      <c r="B51" s="147">
        <v>1950</v>
      </c>
      <c r="C51" s="197" t="s">
        <v>6775</v>
      </c>
      <c r="D51" s="167"/>
      <c r="E51" s="150"/>
      <c r="F51" s="168"/>
      <c r="G51" s="150" t="s">
        <v>17053</v>
      </c>
      <c r="H51" s="150" t="s">
        <v>1</v>
      </c>
      <c r="I51" s="151">
        <v>0.7</v>
      </c>
      <c r="J51" s="162" t="s">
        <v>5895</v>
      </c>
      <c r="K51" s="163" t="s">
        <v>1</v>
      </c>
      <c r="L51" s="164">
        <v>1</v>
      </c>
      <c r="M51" s="170"/>
      <c r="N51" s="171"/>
      <c r="O51" s="178">
        <v>364</v>
      </c>
      <c r="P51" s="172"/>
    </row>
    <row r="52" spans="1:16" ht="16.5" customHeight="1" x14ac:dyDescent="0.3">
      <c r="A52" s="147">
        <v>15</v>
      </c>
      <c r="B52" s="147">
        <v>1951</v>
      </c>
      <c r="C52" s="197" t="s">
        <v>6774</v>
      </c>
      <c r="D52" s="156" t="s">
        <v>17215</v>
      </c>
      <c r="E52" s="160"/>
      <c r="F52" s="158"/>
      <c r="G52" s="160"/>
      <c r="H52" s="160"/>
      <c r="I52" s="161"/>
      <c r="J52" s="162"/>
      <c r="K52" s="163"/>
      <c r="L52" s="164"/>
      <c r="M52" s="170"/>
      <c r="N52" s="171"/>
      <c r="O52" s="178">
        <v>623</v>
      </c>
      <c r="P52" s="172"/>
    </row>
    <row r="53" spans="1:16" ht="16.5" customHeight="1" x14ac:dyDescent="0.3">
      <c r="A53" s="147">
        <v>15</v>
      </c>
      <c r="B53" s="147">
        <v>1952</v>
      </c>
      <c r="C53" s="197" t="s">
        <v>6773</v>
      </c>
      <c r="D53" s="188" t="s">
        <v>17214</v>
      </c>
      <c r="E53" s="153"/>
      <c r="F53" s="171"/>
      <c r="G53" s="150"/>
      <c r="H53" s="150"/>
      <c r="I53" s="151"/>
      <c r="J53" s="162" t="s">
        <v>5895</v>
      </c>
      <c r="K53" s="163" t="s">
        <v>1</v>
      </c>
      <c r="L53" s="164">
        <v>1</v>
      </c>
      <c r="M53" s="170"/>
      <c r="N53" s="171"/>
      <c r="O53" s="178">
        <v>623</v>
      </c>
      <c r="P53" s="172"/>
    </row>
    <row r="54" spans="1:16" ht="16.5" customHeight="1" x14ac:dyDescent="0.3">
      <c r="A54" s="147">
        <v>15</v>
      </c>
      <c r="B54" s="147">
        <v>1953</v>
      </c>
      <c r="C54" s="197" t="s">
        <v>6772</v>
      </c>
      <c r="D54" s="188" t="s">
        <v>17213</v>
      </c>
      <c r="E54" s="205">
        <v>498</v>
      </c>
      <c r="F54" s="171" t="s">
        <v>0</v>
      </c>
      <c r="G54" s="160" t="s">
        <v>17054</v>
      </c>
      <c r="H54" s="160"/>
      <c r="I54" s="161"/>
      <c r="J54" s="162"/>
      <c r="K54" s="163"/>
      <c r="L54" s="164"/>
      <c r="M54" s="170"/>
      <c r="N54" s="171"/>
      <c r="O54" s="178">
        <v>436</v>
      </c>
      <c r="P54" s="172"/>
    </row>
    <row r="55" spans="1:16" ht="16.5" customHeight="1" x14ac:dyDescent="0.3">
      <c r="A55" s="147">
        <v>15</v>
      </c>
      <c r="B55" s="147">
        <v>1954</v>
      </c>
      <c r="C55" s="197" t="s">
        <v>6771</v>
      </c>
      <c r="D55" s="167"/>
      <c r="E55" s="150"/>
      <c r="F55" s="168"/>
      <c r="G55" s="150" t="s">
        <v>17053</v>
      </c>
      <c r="H55" s="150" t="s">
        <v>1</v>
      </c>
      <c r="I55" s="151">
        <v>0.7</v>
      </c>
      <c r="J55" s="162" t="s">
        <v>5895</v>
      </c>
      <c r="K55" s="163" t="s">
        <v>1</v>
      </c>
      <c r="L55" s="164">
        <v>1</v>
      </c>
      <c r="M55" s="170"/>
      <c r="N55" s="171"/>
      <c r="O55" s="178">
        <v>436</v>
      </c>
      <c r="P55" s="172"/>
    </row>
    <row r="56" spans="1:16" ht="16.5" customHeight="1" x14ac:dyDescent="0.3">
      <c r="A56" s="147">
        <v>15</v>
      </c>
      <c r="B56" s="147">
        <v>1955</v>
      </c>
      <c r="C56" s="197" t="s">
        <v>6770</v>
      </c>
      <c r="D56" s="156" t="s">
        <v>17212</v>
      </c>
      <c r="E56" s="160"/>
      <c r="F56" s="158"/>
      <c r="G56" s="160"/>
      <c r="H56" s="160"/>
      <c r="I56" s="161"/>
      <c r="J56" s="162"/>
      <c r="K56" s="163"/>
      <c r="L56" s="164"/>
      <c r="M56" s="170"/>
      <c r="N56" s="171"/>
      <c r="O56" s="178">
        <v>726</v>
      </c>
      <c r="P56" s="172"/>
    </row>
    <row r="57" spans="1:16" ht="16.5" customHeight="1" x14ac:dyDescent="0.3">
      <c r="A57" s="147">
        <v>15</v>
      </c>
      <c r="B57" s="147">
        <v>1956</v>
      </c>
      <c r="C57" s="197" t="s">
        <v>6769</v>
      </c>
      <c r="D57" s="188" t="s">
        <v>17211</v>
      </c>
      <c r="E57" s="153"/>
      <c r="F57" s="171"/>
      <c r="G57" s="150"/>
      <c r="H57" s="150"/>
      <c r="I57" s="151"/>
      <c r="J57" s="162" t="s">
        <v>5895</v>
      </c>
      <c r="K57" s="163" t="s">
        <v>1</v>
      </c>
      <c r="L57" s="164">
        <v>1</v>
      </c>
      <c r="M57" s="170"/>
      <c r="N57" s="171"/>
      <c r="O57" s="178">
        <v>726</v>
      </c>
      <c r="P57" s="172"/>
    </row>
    <row r="58" spans="1:16" ht="16.5" customHeight="1" x14ac:dyDescent="0.3">
      <c r="A58" s="147">
        <v>15</v>
      </c>
      <c r="B58" s="147">
        <v>1957</v>
      </c>
      <c r="C58" s="197" t="s">
        <v>6768</v>
      </c>
      <c r="D58" s="188" t="s">
        <v>17210</v>
      </c>
      <c r="E58" s="205">
        <v>581</v>
      </c>
      <c r="F58" s="171" t="s">
        <v>0</v>
      </c>
      <c r="G58" s="160" t="s">
        <v>16823</v>
      </c>
      <c r="H58" s="160"/>
      <c r="I58" s="161"/>
      <c r="J58" s="162"/>
      <c r="K58" s="163"/>
      <c r="L58" s="164"/>
      <c r="M58" s="170"/>
      <c r="N58" s="171"/>
      <c r="O58" s="178">
        <v>509</v>
      </c>
      <c r="P58" s="172"/>
    </row>
    <row r="59" spans="1:16" ht="16.5" customHeight="1" x14ac:dyDescent="0.3">
      <c r="A59" s="147">
        <v>15</v>
      </c>
      <c r="B59" s="147">
        <v>1958</v>
      </c>
      <c r="C59" s="197" t="s">
        <v>6767</v>
      </c>
      <c r="D59" s="167"/>
      <c r="E59" s="150"/>
      <c r="F59" s="168"/>
      <c r="G59" s="150" t="s">
        <v>17053</v>
      </c>
      <c r="H59" s="150" t="s">
        <v>1</v>
      </c>
      <c r="I59" s="151">
        <v>0.7</v>
      </c>
      <c r="J59" s="162" t="s">
        <v>5895</v>
      </c>
      <c r="K59" s="163" t="s">
        <v>1</v>
      </c>
      <c r="L59" s="164">
        <v>1</v>
      </c>
      <c r="M59" s="170"/>
      <c r="N59" s="171"/>
      <c r="O59" s="178">
        <v>509</v>
      </c>
      <c r="P59" s="172"/>
    </row>
    <row r="60" spans="1:16" ht="16.5" customHeight="1" x14ac:dyDescent="0.3">
      <c r="A60" s="147">
        <v>15</v>
      </c>
      <c r="B60" s="147">
        <v>1959</v>
      </c>
      <c r="C60" s="197" t="s">
        <v>6766</v>
      </c>
      <c r="D60" s="156" t="s">
        <v>17209</v>
      </c>
      <c r="E60" s="160"/>
      <c r="F60" s="158"/>
      <c r="G60" s="160"/>
      <c r="H60" s="160"/>
      <c r="I60" s="161"/>
      <c r="J60" s="162"/>
      <c r="K60" s="163"/>
      <c r="L60" s="164"/>
      <c r="M60" s="170"/>
      <c r="N60" s="171"/>
      <c r="O60" s="178">
        <v>830</v>
      </c>
      <c r="P60" s="172"/>
    </row>
    <row r="61" spans="1:16" ht="16.5" customHeight="1" x14ac:dyDescent="0.3">
      <c r="A61" s="147">
        <v>15</v>
      </c>
      <c r="B61" s="147">
        <v>1960</v>
      </c>
      <c r="C61" s="197" t="s">
        <v>6765</v>
      </c>
      <c r="D61" s="188" t="s">
        <v>17208</v>
      </c>
      <c r="E61" s="153"/>
      <c r="F61" s="171"/>
      <c r="G61" s="150"/>
      <c r="H61" s="150"/>
      <c r="I61" s="151"/>
      <c r="J61" s="162" t="s">
        <v>5895</v>
      </c>
      <c r="K61" s="163" t="s">
        <v>1</v>
      </c>
      <c r="L61" s="164">
        <v>1</v>
      </c>
      <c r="M61" s="170"/>
      <c r="N61" s="171"/>
      <c r="O61" s="178">
        <v>830</v>
      </c>
      <c r="P61" s="172"/>
    </row>
    <row r="62" spans="1:16" ht="16.5" customHeight="1" x14ac:dyDescent="0.3">
      <c r="A62" s="147">
        <v>15</v>
      </c>
      <c r="B62" s="147">
        <v>1961</v>
      </c>
      <c r="C62" s="197" t="s">
        <v>6764</v>
      </c>
      <c r="D62" s="188" t="s">
        <v>17207</v>
      </c>
      <c r="E62" s="205">
        <v>664</v>
      </c>
      <c r="F62" s="171" t="s">
        <v>0</v>
      </c>
      <c r="G62" s="160" t="s">
        <v>17054</v>
      </c>
      <c r="H62" s="160"/>
      <c r="I62" s="161"/>
      <c r="J62" s="162"/>
      <c r="K62" s="163"/>
      <c r="L62" s="164"/>
      <c r="M62" s="170"/>
      <c r="N62" s="171"/>
      <c r="O62" s="178">
        <v>581</v>
      </c>
      <c r="P62" s="172"/>
    </row>
    <row r="63" spans="1:16" ht="16.5" customHeight="1" x14ac:dyDescent="0.3">
      <c r="A63" s="147">
        <v>15</v>
      </c>
      <c r="B63" s="147">
        <v>1962</v>
      </c>
      <c r="C63" s="197" t="s">
        <v>6763</v>
      </c>
      <c r="D63" s="167"/>
      <c r="E63" s="150"/>
      <c r="F63" s="168"/>
      <c r="G63" s="150" t="s">
        <v>17053</v>
      </c>
      <c r="H63" s="150" t="s">
        <v>1</v>
      </c>
      <c r="I63" s="151">
        <v>0.7</v>
      </c>
      <c r="J63" s="162" t="s">
        <v>5895</v>
      </c>
      <c r="K63" s="163" t="s">
        <v>1</v>
      </c>
      <c r="L63" s="164">
        <v>1</v>
      </c>
      <c r="M63" s="170"/>
      <c r="N63" s="171"/>
      <c r="O63" s="178">
        <v>581</v>
      </c>
      <c r="P63" s="172"/>
    </row>
    <row r="64" spans="1:16" ht="16.5" customHeight="1" x14ac:dyDescent="0.3">
      <c r="A64" s="147">
        <v>15</v>
      </c>
      <c r="B64" s="147">
        <v>1963</v>
      </c>
      <c r="C64" s="197" t="s">
        <v>6762</v>
      </c>
      <c r="D64" s="156" t="s">
        <v>17206</v>
      </c>
      <c r="E64" s="160"/>
      <c r="F64" s="158"/>
      <c r="G64" s="160"/>
      <c r="H64" s="160"/>
      <c r="I64" s="161"/>
      <c r="J64" s="162"/>
      <c r="K64" s="163"/>
      <c r="L64" s="164"/>
      <c r="M64" s="170"/>
      <c r="N64" s="171"/>
      <c r="O64" s="178">
        <v>934</v>
      </c>
      <c r="P64" s="172"/>
    </row>
    <row r="65" spans="1:16" ht="16.5" customHeight="1" x14ac:dyDescent="0.3">
      <c r="A65" s="147">
        <v>15</v>
      </c>
      <c r="B65" s="147">
        <v>1964</v>
      </c>
      <c r="C65" s="197" t="s">
        <v>6761</v>
      </c>
      <c r="D65" s="188" t="s">
        <v>16853</v>
      </c>
      <c r="E65" s="153"/>
      <c r="F65" s="171"/>
      <c r="G65" s="150"/>
      <c r="H65" s="150"/>
      <c r="I65" s="151"/>
      <c r="J65" s="162" t="s">
        <v>5895</v>
      </c>
      <c r="K65" s="163" t="s">
        <v>1</v>
      </c>
      <c r="L65" s="164">
        <v>1</v>
      </c>
      <c r="M65" s="170"/>
      <c r="N65" s="171"/>
      <c r="O65" s="178">
        <v>934</v>
      </c>
      <c r="P65" s="172"/>
    </row>
    <row r="66" spans="1:16" ht="16.5" customHeight="1" x14ac:dyDescent="0.3">
      <c r="A66" s="147">
        <v>15</v>
      </c>
      <c r="B66" s="147">
        <v>1965</v>
      </c>
      <c r="C66" s="197" t="s">
        <v>6760</v>
      </c>
      <c r="D66" s="188" t="s">
        <v>17205</v>
      </c>
      <c r="E66" s="205">
        <v>747</v>
      </c>
      <c r="F66" s="171" t="s">
        <v>0</v>
      </c>
      <c r="G66" s="160" t="s">
        <v>17054</v>
      </c>
      <c r="H66" s="160"/>
      <c r="I66" s="161"/>
      <c r="J66" s="162"/>
      <c r="K66" s="163"/>
      <c r="L66" s="164"/>
      <c r="M66" s="170"/>
      <c r="N66" s="171"/>
      <c r="O66" s="178">
        <v>654</v>
      </c>
      <c r="P66" s="172"/>
    </row>
    <row r="67" spans="1:16" ht="16.5" customHeight="1" x14ac:dyDescent="0.3">
      <c r="A67" s="147">
        <v>15</v>
      </c>
      <c r="B67" s="147">
        <v>1966</v>
      </c>
      <c r="C67" s="197" t="s">
        <v>6759</v>
      </c>
      <c r="D67" s="167"/>
      <c r="E67" s="150"/>
      <c r="F67" s="168"/>
      <c r="G67" s="150" t="s">
        <v>17053</v>
      </c>
      <c r="H67" s="150" t="s">
        <v>1</v>
      </c>
      <c r="I67" s="151">
        <v>0.7</v>
      </c>
      <c r="J67" s="162" t="s">
        <v>5895</v>
      </c>
      <c r="K67" s="163" t="s">
        <v>1</v>
      </c>
      <c r="L67" s="164">
        <v>1</v>
      </c>
      <c r="M67" s="176"/>
      <c r="N67" s="168"/>
      <c r="O67" s="178">
        <v>654</v>
      </c>
      <c r="P67" s="177"/>
    </row>
    <row r="68" spans="1:16" ht="16.5" customHeight="1" x14ac:dyDescent="0.3"/>
    <row r="69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theme="1" tint="0.249977111117893"/>
    <pageSetUpPr fitToPage="1"/>
  </sheetPr>
  <dimension ref="A1:P6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2.62890625" style="47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6869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1967</v>
      </c>
      <c r="C7" s="197" t="s">
        <v>6868</v>
      </c>
      <c r="D7" s="156" t="s">
        <v>17251</v>
      </c>
      <c r="E7" s="144"/>
      <c r="F7" s="206"/>
      <c r="G7" s="160"/>
      <c r="H7" s="160"/>
      <c r="I7" s="161"/>
      <c r="J7" s="162"/>
      <c r="K7" s="163"/>
      <c r="L7" s="164"/>
      <c r="M7" s="165"/>
      <c r="N7" s="158"/>
      <c r="O7" s="178">
        <v>125</v>
      </c>
      <c r="P7" s="142" t="s">
        <v>5863</v>
      </c>
    </row>
    <row r="8" spans="1:16" ht="16.5" customHeight="1" x14ac:dyDescent="0.3">
      <c r="A8" s="147">
        <v>15</v>
      </c>
      <c r="B8" s="147">
        <v>1968</v>
      </c>
      <c r="C8" s="197" t="s">
        <v>6867</v>
      </c>
      <c r="D8" s="188" t="s">
        <v>16901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178">
        <v>125</v>
      </c>
      <c r="P8" s="172"/>
    </row>
    <row r="9" spans="1:16" ht="16.5" customHeight="1" x14ac:dyDescent="0.3">
      <c r="A9" s="147">
        <v>15</v>
      </c>
      <c r="B9" s="147">
        <v>1969</v>
      </c>
      <c r="C9" s="197" t="s">
        <v>6866</v>
      </c>
      <c r="D9" s="188"/>
      <c r="E9" s="205">
        <v>83</v>
      </c>
      <c r="F9" s="171" t="s">
        <v>0</v>
      </c>
      <c r="G9" s="160" t="s">
        <v>16823</v>
      </c>
      <c r="H9" s="160"/>
      <c r="I9" s="161"/>
      <c r="J9" s="162"/>
      <c r="K9" s="163"/>
      <c r="L9" s="164"/>
      <c r="M9" s="170"/>
      <c r="N9" s="171"/>
      <c r="O9" s="178">
        <v>87</v>
      </c>
      <c r="P9" s="172"/>
    </row>
    <row r="10" spans="1:16" ht="16.5" customHeight="1" x14ac:dyDescent="0.3">
      <c r="A10" s="147">
        <v>15</v>
      </c>
      <c r="B10" s="147">
        <v>1970</v>
      </c>
      <c r="C10" s="197" t="s">
        <v>6865</v>
      </c>
      <c r="D10" s="167"/>
      <c r="E10" s="150"/>
      <c r="F10" s="168"/>
      <c r="G10" s="150" t="s">
        <v>16812</v>
      </c>
      <c r="H10" s="150" t="s">
        <v>1</v>
      </c>
      <c r="I10" s="151">
        <v>0.7</v>
      </c>
      <c r="J10" s="162" t="s">
        <v>5895</v>
      </c>
      <c r="K10" s="163" t="s">
        <v>1</v>
      </c>
      <c r="L10" s="164">
        <v>1</v>
      </c>
      <c r="M10" s="170"/>
      <c r="N10" s="171"/>
      <c r="O10" s="178">
        <v>87</v>
      </c>
      <c r="P10" s="172"/>
    </row>
    <row r="11" spans="1:16" ht="16.5" customHeight="1" x14ac:dyDescent="0.3">
      <c r="A11" s="147">
        <v>15</v>
      </c>
      <c r="B11" s="147">
        <v>1971</v>
      </c>
      <c r="C11" s="197" t="s">
        <v>6864</v>
      </c>
      <c r="D11" s="156" t="s">
        <v>17250</v>
      </c>
      <c r="E11" s="160"/>
      <c r="F11" s="158"/>
      <c r="G11" s="160"/>
      <c r="H11" s="160"/>
      <c r="I11" s="161"/>
      <c r="J11" s="162"/>
      <c r="K11" s="163"/>
      <c r="L11" s="164"/>
      <c r="M11" s="170"/>
      <c r="N11" s="171"/>
      <c r="O11" s="178">
        <v>249</v>
      </c>
      <c r="P11" s="172"/>
    </row>
    <row r="12" spans="1:16" ht="16.5" customHeight="1" x14ac:dyDescent="0.3">
      <c r="A12" s="147">
        <v>15</v>
      </c>
      <c r="B12" s="147">
        <v>1972</v>
      </c>
      <c r="C12" s="197" t="s">
        <v>6863</v>
      </c>
      <c r="D12" s="188" t="s">
        <v>17085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0" t="s">
        <v>16966</v>
      </c>
      <c r="N12" s="171"/>
      <c r="O12" s="178">
        <v>249</v>
      </c>
      <c r="P12" s="172"/>
    </row>
    <row r="13" spans="1:16" ht="16.5" customHeight="1" x14ac:dyDescent="0.3">
      <c r="A13" s="147">
        <v>15</v>
      </c>
      <c r="B13" s="147">
        <v>1973</v>
      </c>
      <c r="C13" s="197" t="s">
        <v>6862</v>
      </c>
      <c r="D13" s="188" t="s">
        <v>16873</v>
      </c>
      <c r="E13" s="205">
        <v>166</v>
      </c>
      <c r="F13" s="171" t="s">
        <v>0</v>
      </c>
      <c r="G13" s="160" t="s">
        <v>17078</v>
      </c>
      <c r="H13" s="160"/>
      <c r="I13" s="161"/>
      <c r="J13" s="162"/>
      <c r="K13" s="163"/>
      <c r="L13" s="164"/>
      <c r="M13" s="170"/>
      <c r="N13" s="174" t="s">
        <v>16897</v>
      </c>
      <c r="O13" s="178">
        <v>174</v>
      </c>
      <c r="P13" s="172"/>
    </row>
    <row r="14" spans="1:16" ht="16.5" customHeight="1" x14ac:dyDescent="0.3">
      <c r="A14" s="147">
        <v>15</v>
      </c>
      <c r="B14" s="147">
        <v>1974</v>
      </c>
      <c r="C14" s="197" t="s">
        <v>6861</v>
      </c>
      <c r="D14" s="167"/>
      <c r="E14" s="150"/>
      <c r="F14" s="168"/>
      <c r="G14" s="150" t="s">
        <v>16812</v>
      </c>
      <c r="H14" s="150" t="s">
        <v>1</v>
      </c>
      <c r="I14" s="151">
        <v>0.7</v>
      </c>
      <c r="J14" s="162" t="s">
        <v>5895</v>
      </c>
      <c r="K14" s="163" t="s">
        <v>1</v>
      </c>
      <c r="L14" s="164">
        <v>1</v>
      </c>
      <c r="M14" s="170"/>
      <c r="N14" s="171"/>
      <c r="O14" s="178">
        <v>174</v>
      </c>
      <c r="P14" s="172"/>
    </row>
    <row r="15" spans="1:16" ht="16.5" customHeight="1" x14ac:dyDescent="0.3">
      <c r="A15" s="147">
        <v>15</v>
      </c>
      <c r="B15" s="147">
        <v>1975</v>
      </c>
      <c r="C15" s="197" t="s">
        <v>6860</v>
      </c>
      <c r="D15" s="156" t="s">
        <v>17249</v>
      </c>
      <c r="E15" s="160"/>
      <c r="F15" s="158"/>
      <c r="G15" s="160"/>
      <c r="H15" s="160"/>
      <c r="I15" s="161"/>
      <c r="J15" s="162"/>
      <c r="K15" s="163"/>
      <c r="L15" s="164"/>
      <c r="M15" s="170" t="s">
        <v>1</v>
      </c>
      <c r="N15" s="192">
        <v>0.5</v>
      </c>
      <c r="O15" s="178">
        <v>374</v>
      </c>
      <c r="P15" s="172"/>
    </row>
    <row r="16" spans="1:16" ht="16.5" customHeight="1" x14ac:dyDescent="0.3">
      <c r="A16" s="147">
        <v>15</v>
      </c>
      <c r="B16" s="147">
        <v>1976</v>
      </c>
      <c r="C16" s="197" t="s">
        <v>6859</v>
      </c>
      <c r="D16" s="188" t="s">
        <v>16871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17248</v>
      </c>
      <c r="O16" s="178">
        <v>374</v>
      </c>
      <c r="P16" s="172"/>
    </row>
    <row r="17" spans="1:16" ht="16.5" customHeight="1" x14ac:dyDescent="0.3">
      <c r="A17" s="147">
        <v>15</v>
      </c>
      <c r="B17" s="147">
        <v>1977</v>
      </c>
      <c r="C17" s="197" t="s">
        <v>6858</v>
      </c>
      <c r="D17" s="188" t="s">
        <v>16870</v>
      </c>
      <c r="E17" s="205">
        <v>249</v>
      </c>
      <c r="F17" s="171" t="s">
        <v>0</v>
      </c>
      <c r="G17" s="160" t="s">
        <v>17078</v>
      </c>
      <c r="H17" s="160"/>
      <c r="I17" s="161"/>
      <c r="J17" s="162"/>
      <c r="K17" s="163"/>
      <c r="L17" s="164"/>
      <c r="M17" s="170"/>
      <c r="N17" s="171"/>
      <c r="O17" s="178">
        <v>261</v>
      </c>
      <c r="P17" s="172"/>
    </row>
    <row r="18" spans="1:16" ht="16.5" customHeight="1" x14ac:dyDescent="0.3">
      <c r="A18" s="147">
        <v>15</v>
      </c>
      <c r="B18" s="147">
        <v>1978</v>
      </c>
      <c r="C18" s="197" t="s">
        <v>6857</v>
      </c>
      <c r="D18" s="167"/>
      <c r="E18" s="150"/>
      <c r="F18" s="168"/>
      <c r="G18" s="150" t="s">
        <v>16812</v>
      </c>
      <c r="H18" s="150" t="s">
        <v>1</v>
      </c>
      <c r="I18" s="151">
        <v>0.7</v>
      </c>
      <c r="J18" s="162" t="s">
        <v>5895</v>
      </c>
      <c r="K18" s="163" t="s">
        <v>1</v>
      </c>
      <c r="L18" s="164">
        <v>1</v>
      </c>
      <c r="M18" s="170"/>
      <c r="N18" s="171"/>
      <c r="O18" s="178">
        <v>261</v>
      </c>
      <c r="P18" s="172"/>
    </row>
    <row r="19" spans="1:16" ht="16.5" customHeight="1" x14ac:dyDescent="0.3">
      <c r="A19" s="147">
        <v>15</v>
      </c>
      <c r="B19" s="147">
        <v>1979</v>
      </c>
      <c r="C19" s="197" t="s">
        <v>6856</v>
      </c>
      <c r="D19" s="156" t="s">
        <v>17247</v>
      </c>
      <c r="E19" s="160"/>
      <c r="F19" s="158"/>
      <c r="G19" s="160"/>
      <c r="H19" s="160"/>
      <c r="I19" s="161"/>
      <c r="J19" s="162"/>
      <c r="K19" s="163"/>
      <c r="L19" s="164"/>
      <c r="M19" s="170"/>
      <c r="N19" s="171"/>
      <c r="O19" s="178">
        <v>498</v>
      </c>
      <c r="P19" s="172"/>
    </row>
    <row r="20" spans="1:16" ht="16.5" customHeight="1" x14ac:dyDescent="0.3">
      <c r="A20" s="147">
        <v>15</v>
      </c>
      <c r="B20" s="147">
        <v>1980</v>
      </c>
      <c r="C20" s="197" t="s">
        <v>6855</v>
      </c>
      <c r="D20" s="188" t="s">
        <v>16868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178">
        <v>498</v>
      </c>
      <c r="P20" s="172"/>
    </row>
    <row r="21" spans="1:16" ht="16.5" customHeight="1" x14ac:dyDescent="0.3">
      <c r="A21" s="147">
        <v>15</v>
      </c>
      <c r="B21" s="147">
        <v>1981</v>
      </c>
      <c r="C21" s="197" t="s">
        <v>6854</v>
      </c>
      <c r="D21" s="188" t="s">
        <v>16867</v>
      </c>
      <c r="E21" s="205">
        <v>332</v>
      </c>
      <c r="F21" s="171" t="s">
        <v>0</v>
      </c>
      <c r="G21" s="160" t="s">
        <v>17078</v>
      </c>
      <c r="H21" s="160"/>
      <c r="I21" s="161"/>
      <c r="J21" s="162"/>
      <c r="K21" s="163"/>
      <c r="L21" s="164"/>
      <c r="M21" s="170"/>
      <c r="N21" s="171"/>
      <c r="O21" s="178">
        <v>348</v>
      </c>
      <c r="P21" s="172"/>
    </row>
    <row r="22" spans="1:16" ht="16.5" customHeight="1" x14ac:dyDescent="0.3">
      <c r="A22" s="147">
        <v>15</v>
      </c>
      <c r="B22" s="147">
        <v>1982</v>
      </c>
      <c r="C22" s="197" t="s">
        <v>6853</v>
      </c>
      <c r="D22" s="167"/>
      <c r="E22" s="150"/>
      <c r="F22" s="168"/>
      <c r="G22" s="150" t="s">
        <v>16812</v>
      </c>
      <c r="H22" s="150" t="s">
        <v>1</v>
      </c>
      <c r="I22" s="151">
        <v>0.7</v>
      </c>
      <c r="J22" s="162" t="s">
        <v>5895</v>
      </c>
      <c r="K22" s="163" t="s">
        <v>1</v>
      </c>
      <c r="L22" s="164">
        <v>1</v>
      </c>
      <c r="M22" s="170"/>
      <c r="N22" s="171"/>
      <c r="O22" s="178">
        <v>348</v>
      </c>
      <c r="P22" s="172"/>
    </row>
    <row r="23" spans="1:16" ht="16.5" customHeight="1" x14ac:dyDescent="0.3">
      <c r="A23" s="147">
        <v>15</v>
      </c>
      <c r="B23" s="147">
        <v>1983</v>
      </c>
      <c r="C23" s="197" t="s">
        <v>6852</v>
      </c>
      <c r="D23" s="156" t="s">
        <v>17246</v>
      </c>
      <c r="E23" s="160"/>
      <c r="F23" s="158"/>
      <c r="G23" s="160"/>
      <c r="H23" s="160"/>
      <c r="I23" s="161"/>
      <c r="J23" s="162"/>
      <c r="K23" s="163"/>
      <c r="L23" s="164"/>
      <c r="M23" s="170"/>
      <c r="N23" s="171"/>
      <c r="O23" s="178">
        <v>623</v>
      </c>
      <c r="P23" s="172"/>
    </row>
    <row r="24" spans="1:16" ht="16.5" customHeight="1" x14ac:dyDescent="0.3">
      <c r="A24" s="147">
        <v>15</v>
      </c>
      <c r="B24" s="147">
        <v>1984</v>
      </c>
      <c r="C24" s="197" t="s">
        <v>6851</v>
      </c>
      <c r="D24" s="188" t="s">
        <v>16865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178">
        <v>623</v>
      </c>
      <c r="P24" s="172"/>
    </row>
    <row r="25" spans="1:16" ht="16.5" customHeight="1" x14ac:dyDescent="0.3">
      <c r="A25" s="147">
        <v>15</v>
      </c>
      <c r="B25" s="147">
        <v>1985</v>
      </c>
      <c r="C25" s="197" t="s">
        <v>6850</v>
      </c>
      <c r="D25" s="188" t="s">
        <v>16889</v>
      </c>
      <c r="E25" s="205">
        <v>415</v>
      </c>
      <c r="F25" s="171" t="s">
        <v>0</v>
      </c>
      <c r="G25" s="160" t="s">
        <v>17078</v>
      </c>
      <c r="H25" s="160"/>
      <c r="I25" s="161"/>
      <c r="J25" s="162"/>
      <c r="K25" s="163"/>
      <c r="L25" s="164"/>
      <c r="M25" s="170"/>
      <c r="N25" s="171"/>
      <c r="O25" s="178">
        <v>437</v>
      </c>
      <c r="P25" s="172"/>
    </row>
    <row r="26" spans="1:16" ht="16.5" customHeight="1" x14ac:dyDescent="0.3">
      <c r="A26" s="147">
        <v>15</v>
      </c>
      <c r="B26" s="147">
        <v>1986</v>
      </c>
      <c r="C26" s="197" t="s">
        <v>6849</v>
      </c>
      <c r="D26" s="167"/>
      <c r="E26" s="150"/>
      <c r="F26" s="168"/>
      <c r="G26" s="150" t="s">
        <v>17077</v>
      </c>
      <c r="H26" s="150" t="s">
        <v>1</v>
      </c>
      <c r="I26" s="151">
        <v>0.7</v>
      </c>
      <c r="J26" s="162" t="s">
        <v>5895</v>
      </c>
      <c r="K26" s="163" t="s">
        <v>1</v>
      </c>
      <c r="L26" s="164">
        <v>1</v>
      </c>
      <c r="M26" s="170"/>
      <c r="N26" s="171"/>
      <c r="O26" s="178">
        <v>437</v>
      </c>
      <c r="P26" s="172"/>
    </row>
    <row r="27" spans="1:16" ht="16.5" customHeight="1" x14ac:dyDescent="0.3">
      <c r="A27" s="147">
        <v>15</v>
      </c>
      <c r="B27" s="147">
        <v>1987</v>
      </c>
      <c r="C27" s="197" t="s">
        <v>6848</v>
      </c>
      <c r="D27" s="156" t="s">
        <v>17245</v>
      </c>
      <c r="E27" s="160"/>
      <c r="F27" s="158"/>
      <c r="G27" s="160"/>
      <c r="H27" s="160"/>
      <c r="I27" s="161"/>
      <c r="J27" s="162"/>
      <c r="K27" s="163"/>
      <c r="L27" s="164"/>
      <c r="M27" s="170"/>
      <c r="N27" s="171"/>
      <c r="O27" s="178">
        <v>747</v>
      </c>
      <c r="P27" s="172"/>
    </row>
    <row r="28" spans="1:16" ht="16.5" customHeight="1" x14ac:dyDescent="0.3">
      <c r="A28" s="147">
        <v>15</v>
      </c>
      <c r="B28" s="147">
        <v>1988</v>
      </c>
      <c r="C28" s="197" t="s">
        <v>6847</v>
      </c>
      <c r="D28" s="188" t="s">
        <v>16862</v>
      </c>
      <c r="E28" s="153"/>
      <c r="F28" s="171"/>
      <c r="G28" s="150"/>
      <c r="H28" s="150"/>
      <c r="I28" s="151"/>
      <c r="J28" s="162" t="s">
        <v>5895</v>
      </c>
      <c r="K28" s="163" t="s">
        <v>1</v>
      </c>
      <c r="L28" s="164">
        <v>1</v>
      </c>
      <c r="M28" s="170"/>
      <c r="N28" s="171"/>
      <c r="O28" s="178">
        <v>747</v>
      </c>
      <c r="P28" s="172"/>
    </row>
    <row r="29" spans="1:16" ht="16.5" customHeight="1" x14ac:dyDescent="0.3">
      <c r="A29" s="147">
        <v>15</v>
      </c>
      <c r="B29" s="147">
        <v>1989</v>
      </c>
      <c r="C29" s="197" t="s">
        <v>6846</v>
      </c>
      <c r="D29" s="188" t="s">
        <v>17244</v>
      </c>
      <c r="E29" s="205">
        <v>498</v>
      </c>
      <c r="F29" s="171" t="s">
        <v>0</v>
      </c>
      <c r="G29" s="160" t="s">
        <v>17078</v>
      </c>
      <c r="H29" s="160"/>
      <c r="I29" s="161"/>
      <c r="J29" s="162"/>
      <c r="K29" s="163"/>
      <c r="L29" s="164"/>
      <c r="M29" s="170"/>
      <c r="N29" s="171"/>
      <c r="O29" s="178">
        <v>524</v>
      </c>
      <c r="P29" s="172"/>
    </row>
    <row r="30" spans="1:16" ht="16.5" customHeight="1" x14ac:dyDescent="0.3">
      <c r="A30" s="147">
        <v>15</v>
      </c>
      <c r="B30" s="147">
        <v>1990</v>
      </c>
      <c r="C30" s="197" t="s">
        <v>6845</v>
      </c>
      <c r="D30" s="167"/>
      <c r="E30" s="150"/>
      <c r="F30" s="168"/>
      <c r="G30" s="150" t="s">
        <v>16812</v>
      </c>
      <c r="H30" s="150" t="s">
        <v>1</v>
      </c>
      <c r="I30" s="151">
        <v>0.7</v>
      </c>
      <c r="J30" s="162" t="s">
        <v>5895</v>
      </c>
      <c r="K30" s="163" t="s">
        <v>1</v>
      </c>
      <c r="L30" s="164">
        <v>1</v>
      </c>
      <c r="M30" s="170"/>
      <c r="N30" s="171"/>
      <c r="O30" s="178">
        <v>524</v>
      </c>
      <c r="P30" s="172"/>
    </row>
    <row r="31" spans="1:16" ht="16.5" customHeight="1" x14ac:dyDescent="0.3">
      <c r="A31" s="147">
        <v>15</v>
      </c>
      <c r="B31" s="147">
        <v>1991</v>
      </c>
      <c r="C31" s="197" t="s">
        <v>6844</v>
      </c>
      <c r="D31" s="156" t="s">
        <v>17243</v>
      </c>
      <c r="E31" s="160"/>
      <c r="F31" s="158"/>
      <c r="G31" s="160"/>
      <c r="H31" s="160"/>
      <c r="I31" s="161"/>
      <c r="J31" s="162"/>
      <c r="K31" s="163"/>
      <c r="L31" s="164"/>
      <c r="M31" s="170"/>
      <c r="N31" s="171"/>
      <c r="O31" s="178">
        <v>872</v>
      </c>
      <c r="P31" s="172"/>
    </row>
    <row r="32" spans="1:16" ht="16.5" customHeight="1" x14ac:dyDescent="0.3">
      <c r="A32" s="147">
        <v>15</v>
      </c>
      <c r="B32" s="147">
        <v>1992</v>
      </c>
      <c r="C32" s="197" t="s">
        <v>6843</v>
      </c>
      <c r="D32" s="188" t="s">
        <v>17242</v>
      </c>
      <c r="E32" s="153"/>
      <c r="F32" s="171"/>
      <c r="G32" s="150"/>
      <c r="H32" s="150"/>
      <c r="I32" s="151"/>
      <c r="J32" s="162" t="s">
        <v>5895</v>
      </c>
      <c r="K32" s="163" t="s">
        <v>1</v>
      </c>
      <c r="L32" s="164">
        <v>1</v>
      </c>
      <c r="M32" s="170"/>
      <c r="N32" s="171"/>
      <c r="O32" s="178">
        <v>872</v>
      </c>
      <c r="P32" s="172"/>
    </row>
    <row r="33" spans="1:16" ht="16.5" customHeight="1" x14ac:dyDescent="0.3">
      <c r="A33" s="147">
        <v>15</v>
      </c>
      <c r="B33" s="147">
        <v>1993</v>
      </c>
      <c r="C33" s="197" t="s">
        <v>6842</v>
      </c>
      <c r="D33" s="188" t="s">
        <v>16858</v>
      </c>
      <c r="E33" s="205">
        <v>581</v>
      </c>
      <c r="F33" s="171" t="s">
        <v>0</v>
      </c>
      <c r="G33" s="160" t="s">
        <v>16823</v>
      </c>
      <c r="H33" s="160"/>
      <c r="I33" s="161"/>
      <c r="J33" s="162"/>
      <c r="K33" s="163"/>
      <c r="L33" s="164"/>
      <c r="M33" s="170"/>
      <c r="N33" s="171"/>
      <c r="O33" s="178">
        <v>611</v>
      </c>
      <c r="P33" s="172"/>
    </row>
    <row r="34" spans="1:16" ht="16.5" customHeight="1" x14ac:dyDescent="0.3">
      <c r="A34" s="147">
        <v>15</v>
      </c>
      <c r="B34" s="147">
        <v>1994</v>
      </c>
      <c r="C34" s="197" t="s">
        <v>6841</v>
      </c>
      <c r="D34" s="167"/>
      <c r="E34" s="150"/>
      <c r="F34" s="168"/>
      <c r="G34" s="150" t="s">
        <v>17077</v>
      </c>
      <c r="H34" s="150" t="s">
        <v>1</v>
      </c>
      <c r="I34" s="151">
        <v>0.7</v>
      </c>
      <c r="J34" s="162" t="s">
        <v>5895</v>
      </c>
      <c r="K34" s="163" t="s">
        <v>1</v>
      </c>
      <c r="L34" s="164">
        <v>1</v>
      </c>
      <c r="M34" s="170"/>
      <c r="N34" s="171"/>
      <c r="O34" s="178">
        <v>611</v>
      </c>
      <c r="P34" s="172"/>
    </row>
    <row r="35" spans="1:16" ht="16.5" customHeight="1" x14ac:dyDescent="0.3">
      <c r="A35" s="147">
        <v>15</v>
      </c>
      <c r="B35" s="147">
        <v>1995</v>
      </c>
      <c r="C35" s="197" t="s">
        <v>6840</v>
      </c>
      <c r="D35" s="156" t="s">
        <v>17241</v>
      </c>
      <c r="E35" s="160"/>
      <c r="F35" s="158"/>
      <c r="G35" s="160"/>
      <c r="H35" s="160"/>
      <c r="I35" s="161"/>
      <c r="J35" s="162"/>
      <c r="K35" s="163"/>
      <c r="L35" s="164"/>
      <c r="M35" s="170"/>
      <c r="N35" s="171"/>
      <c r="O35" s="178">
        <v>996</v>
      </c>
      <c r="P35" s="172"/>
    </row>
    <row r="36" spans="1:16" ht="16.5" customHeight="1" x14ac:dyDescent="0.3">
      <c r="A36" s="147">
        <v>15</v>
      </c>
      <c r="B36" s="147">
        <v>1996</v>
      </c>
      <c r="C36" s="197" t="s">
        <v>6839</v>
      </c>
      <c r="D36" s="188" t="s">
        <v>16882</v>
      </c>
      <c r="E36" s="153"/>
      <c r="F36" s="171"/>
      <c r="G36" s="150"/>
      <c r="H36" s="150"/>
      <c r="I36" s="151"/>
      <c r="J36" s="162" t="s">
        <v>5895</v>
      </c>
      <c r="K36" s="163" t="s">
        <v>1</v>
      </c>
      <c r="L36" s="164">
        <v>1</v>
      </c>
      <c r="M36" s="170"/>
      <c r="N36" s="171"/>
      <c r="O36" s="178">
        <v>996</v>
      </c>
      <c r="P36" s="172"/>
    </row>
    <row r="37" spans="1:16" ht="16.5" customHeight="1" x14ac:dyDescent="0.3">
      <c r="A37" s="147">
        <v>15</v>
      </c>
      <c r="B37" s="147">
        <v>1997</v>
      </c>
      <c r="C37" s="197" t="s">
        <v>6838</v>
      </c>
      <c r="D37" s="188" t="s">
        <v>17240</v>
      </c>
      <c r="E37" s="205">
        <v>664</v>
      </c>
      <c r="F37" s="171" t="s">
        <v>0</v>
      </c>
      <c r="G37" s="160" t="s">
        <v>17078</v>
      </c>
      <c r="H37" s="160"/>
      <c r="I37" s="161"/>
      <c r="J37" s="162"/>
      <c r="K37" s="163"/>
      <c r="L37" s="164"/>
      <c r="M37" s="170"/>
      <c r="N37" s="171"/>
      <c r="O37" s="178">
        <v>698</v>
      </c>
      <c r="P37" s="172"/>
    </row>
    <row r="38" spans="1:16" ht="16.5" customHeight="1" x14ac:dyDescent="0.3">
      <c r="A38" s="147">
        <v>15</v>
      </c>
      <c r="B38" s="147">
        <v>1998</v>
      </c>
      <c r="C38" s="197" t="s">
        <v>6837</v>
      </c>
      <c r="D38" s="167"/>
      <c r="E38" s="150"/>
      <c r="F38" s="168"/>
      <c r="G38" s="150" t="s">
        <v>16812</v>
      </c>
      <c r="H38" s="150" t="s">
        <v>1</v>
      </c>
      <c r="I38" s="151">
        <v>0.7</v>
      </c>
      <c r="J38" s="162" t="s">
        <v>5895</v>
      </c>
      <c r="K38" s="163" t="s">
        <v>1</v>
      </c>
      <c r="L38" s="164">
        <v>1</v>
      </c>
      <c r="M38" s="170"/>
      <c r="N38" s="171"/>
      <c r="O38" s="178">
        <v>698</v>
      </c>
      <c r="P38" s="172"/>
    </row>
    <row r="39" spans="1:16" ht="16.5" customHeight="1" x14ac:dyDescent="0.3">
      <c r="A39" s="147">
        <v>15</v>
      </c>
      <c r="B39" s="147">
        <v>1999</v>
      </c>
      <c r="C39" s="197" t="s">
        <v>6836</v>
      </c>
      <c r="D39" s="156" t="s">
        <v>17239</v>
      </c>
      <c r="E39" s="160"/>
      <c r="F39" s="158"/>
      <c r="G39" s="160"/>
      <c r="H39" s="160"/>
      <c r="I39" s="161"/>
      <c r="J39" s="162"/>
      <c r="K39" s="163"/>
      <c r="L39" s="164"/>
      <c r="M39" s="170"/>
      <c r="N39" s="171"/>
      <c r="O39" s="178">
        <v>1121</v>
      </c>
      <c r="P39" s="172"/>
    </row>
    <row r="40" spans="1:16" ht="16.5" customHeight="1" x14ac:dyDescent="0.3">
      <c r="A40" s="147">
        <v>15</v>
      </c>
      <c r="B40" s="147">
        <v>2000</v>
      </c>
      <c r="C40" s="197" t="s">
        <v>6835</v>
      </c>
      <c r="D40" s="188" t="s">
        <v>17238</v>
      </c>
      <c r="E40" s="153"/>
      <c r="F40" s="171"/>
      <c r="G40" s="150"/>
      <c r="H40" s="150"/>
      <c r="I40" s="151"/>
      <c r="J40" s="162" t="s">
        <v>5895</v>
      </c>
      <c r="K40" s="163" t="s">
        <v>1</v>
      </c>
      <c r="L40" s="164">
        <v>1</v>
      </c>
      <c r="M40" s="170"/>
      <c r="N40" s="171"/>
      <c r="O40" s="178">
        <v>1121</v>
      </c>
      <c r="P40" s="172"/>
    </row>
    <row r="41" spans="1:16" ht="16.5" customHeight="1" x14ac:dyDescent="0.3">
      <c r="A41" s="147">
        <v>15</v>
      </c>
      <c r="B41" s="147">
        <v>2001</v>
      </c>
      <c r="C41" s="197" t="s">
        <v>6834</v>
      </c>
      <c r="D41" s="188" t="s">
        <v>16852</v>
      </c>
      <c r="E41" s="205">
        <v>747</v>
      </c>
      <c r="F41" s="171" t="s">
        <v>0</v>
      </c>
      <c r="G41" s="160" t="s">
        <v>17078</v>
      </c>
      <c r="H41" s="160"/>
      <c r="I41" s="161"/>
      <c r="J41" s="162"/>
      <c r="K41" s="163"/>
      <c r="L41" s="164"/>
      <c r="M41" s="170"/>
      <c r="N41" s="171"/>
      <c r="O41" s="178">
        <v>785</v>
      </c>
      <c r="P41" s="172"/>
    </row>
    <row r="42" spans="1:16" ht="16.5" customHeight="1" x14ac:dyDescent="0.3">
      <c r="A42" s="147">
        <v>15</v>
      </c>
      <c r="B42" s="147">
        <v>2002</v>
      </c>
      <c r="C42" s="197" t="s">
        <v>6833</v>
      </c>
      <c r="D42" s="167"/>
      <c r="E42" s="150"/>
      <c r="F42" s="168"/>
      <c r="G42" s="150" t="s">
        <v>16812</v>
      </c>
      <c r="H42" s="150" t="s">
        <v>1</v>
      </c>
      <c r="I42" s="151">
        <v>0.7</v>
      </c>
      <c r="J42" s="162" t="s">
        <v>5895</v>
      </c>
      <c r="K42" s="163" t="s">
        <v>1</v>
      </c>
      <c r="L42" s="164">
        <v>1</v>
      </c>
      <c r="M42" s="170"/>
      <c r="N42" s="171"/>
      <c r="O42" s="178">
        <v>785</v>
      </c>
      <c r="P42" s="172"/>
    </row>
    <row r="43" spans="1:16" ht="16.5" customHeight="1" x14ac:dyDescent="0.3">
      <c r="A43" s="147">
        <v>15</v>
      </c>
      <c r="B43" s="147">
        <v>2003</v>
      </c>
      <c r="C43" s="197" t="s">
        <v>6832</v>
      </c>
      <c r="D43" s="156" t="s">
        <v>17237</v>
      </c>
      <c r="E43" s="160"/>
      <c r="F43" s="158"/>
      <c r="G43" s="160"/>
      <c r="H43" s="160"/>
      <c r="I43" s="161"/>
      <c r="J43" s="162"/>
      <c r="K43" s="163"/>
      <c r="L43" s="164"/>
      <c r="M43" s="170"/>
      <c r="N43" s="171"/>
      <c r="O43" s="178">
        <v>1245</v>
      </c>
      <c r="P43" s="172"/>
    </row>
    <row r="44" spans="1:16" ht="16.5" customHeight="1" x14ac:dyDescent="0.3">
      <c r="A44" s="147">
        <v>15</v>
      </c>
      <c r="B44" s="147">
        <v>2004</v>
      </c>
      <c r="C44" s="197" t="s">
        <v>6831</v>
      </c>
      <c r="D44" s="188" t="s">
        <v>17236</v>
      </c>
      <c r="E44" s="153"/>
      <c r="F44" s="171"/>
      <c r="G44" s="150"/>
      <c r="H44" s="150"/>
      <c r="I44" s="151"/>
      <c r="J44" s="162" t="s">
        <v>5895</v>
      </c>
      <c r="K44" s="163" t="s">
        <v>1</v>
      </c>
      <c r="L44" s="164">
        <v>1</v>
      </c>
      <c r="M44" s="170"/>
      <c r="N44" s="171"/>
      <c r="O44" s="178">
        <v>1245</v>
      </c>
      <c r="P44" s="172"/>
    </row>
    <row r="45" spans="1:16" ht="16.5" customHeight="1" x14ac:dyDescent="0.3">
      <c r="A45" s="147">
        <v>15</v>
      </c>
      <c r="B45" s="147">
        <v>2005</v>
      </c>
      <c r="C45" s="197" t="s">
        <v>6830</v>
      </c>
      <c r="D45" s="188" t="s">
        <v>16849</v>
      </c>
      <c r="E45" s="205">
        <v>830</v>
      </c>
      <c r="F45" s="171" t="s">
        <v>0</v>
      </c>
      <c r="G45" s="160" t="s">
        <v>16823</v>
      </c>
      <c r="H45" s="160"/>
      <c r="I45" s="161"/>
      <c r="J45" s="162"/>
      <c r="K45" s="163"/>
      <c r="L45" s="164"/>
      <c r="M45" s="170"/>
      <c r="N45" s="171"/>
      <c r="O45" s="178">
        <v>872</v>
      </c>
      <c r="P45" s="172"/>
    </row>
    <row r="46" spans="1:16" ht="16.5" customHeight="1" x14ac:dyDescent="0.3">
      <c r="A46" s="147">
        <v>15</v>
      </c>
      <c r="B46" s="147">
        <v>2006</v>
      </c>
      <c r="C46" s="197" t="s">
        <v>6829</v>
      </c>
      <c r="D46" s="167"/>
      <c r="E46" s="150"/>
      <c r="F46" s="168"/>
      <c r="G46" s="150" t="s">
        <v>16812</v>
      </c>
      <c r="H46" s="150" t="s">
        <v>1</v>
      </c>
      <c r="I46" s="151">
        <v>0.7</v>
      </c>
      <c r="J46" s="162" t="s">
        <v>5895</v>
      </c>
      <c r="K46" s="163" t="s">
        <v>1</v>
      </c>
      <c r="L46" s="164">
        <v>1</v>
      </c>
      <c r="M46" s="170"/>
      <c r="N46" s="171"/>
      <c r="O46" s="178">
        <v>872</v>
      </c>
      <c r="P46" s="172"/>
    </row>
    <row r="47" spans="1:16" ht="16.5" customHeight="1" x14ac:dyDescent="0.3">
      <c r="A47" s="147">
        <v>15</v>
      </c>
      <c r="B47" s="147">
        <v>2007</v>
      </c>
      <c r="C47" s="197" t="s">
        <v>6828</v>
      </c>
      <c r="D47" s="156" t="s">
        <v>17235</v>
      </c>
      <c r="E47" s="160"/>
      <c r="F47" s="158"/>
      <c r="G47" s="160"/>
      <c r="H47" s="160"/>
      <c r="I47" s="161"/>
      <c r="J47" s="162"/>
      <c r="K47" s="163"/>
      <c r="L47" s="164"/>
      <c r="M47" s="170"/>
      <c r="N47" s="171"/>
      <c r="O47" s="178">
        <v>1370</v>
      </c>
      <c r="P47" s="172"/>
    </row>
    <row r="48" spans="1:16" ht="16.5" customHeight="1" x14ac:dyDescent="0.3">
      <c r="A48" s="147">
        <v>15</v>
      </c>
      <c r="B48" s="147">
        <v>2008</v>
      </c>
      <c r="C48" s="197" t="s">
        <v>6827</v>
      </c>
      <c r="D48" s="188" t="s">
        <v>17234</v>
      </c>
      <c r="E48" s="153"/>
      <c r="F48" s="171"/>
      <c r="G48" s="150"/>
      <c r="H48" s="150"/>
      <c r="I48" s="151"/>
      <c r="J48" s="162" t="s">
        <v>5895</v>
      </c>
      <c r="K48" s="163" t="s">
        <v>1</v>
      </c>
      <c r="L48" s="164">
        <v>1</v>
      </c>
      <c r="M48" s="170"/>
      <c r="N48" s="171"/>
      <c r="O48" s="178">
        <v>1370</v>
      </c>
      <c r="P48" s="172"/>
    </row>
    <row r="49" spans="1:16" ht="16.5" customHeight="1" x14ac:dyDescent="0.3">
      <c r="A49" s="147">
        <v>15</v>
      </c>
      <c r="B49" s="147">
        <v>2009</v>
      </c>
      <c r="C49" s="197" t="s">
        <v>6826</v>
      </c>
      <c r="D49" s="188" t="s">
        <v>16846</v>
      </c>
      <c r="E49" s="205">
        <v>913</v>
      </c>
      <c r="F49" s="171" t="s">
        <v>0</v>
      </c>
      <c r="G49" s="160" t="s">
        <v>17078</v>
      </c>
      <c r="H49" s="160"/>
      <c r="I49" s="161"/>
      <c r="J49" s="162"/>
      <c r="K49" s="163"/>
      <c r="L49" s="164"/>
      <c r="M49" s="170"/>
      <c r="N49" s="171"/>
      <c r="O49" s="178">
        <v>959</v>
      </c>
      <c r="P49" s="172"/>
    </row>
    <row r="50" spans="1:16" ht="16.5" customHeight="1" x14ac:dyDescent="0.3">
      <c r="A50" s="147">
        <v>15</v>
      </c>
      <c r="B50" s="147">
        <v>2010</v>
      </c>
      <c r="C50" s="197" t="s">
        <v>6825</v>
      </c>
      <c r="D50" s="167"/>
      <c r="E50" s="150"/>
      <c r="F50" s="168"/>
      <c r="G50" s="150" t="s">
        <v>16812</v>
      </c>
      <c r="H50" s="150" t="s">
        <v>1</v>
      </c>
      <c r="I50" s="151">
        <v>0.7</v>
      </c>
      <c r="J50" s="162" t="s">
        <v>5895</v>
      </c>
      <c r="K50" s="163" t="s">
        <v>1</v>
      </c>
      <c r="L50" s="164">
        <v>1</v>
      </c>
      <c r="M50" s="170"/>
      <c r="N50" s="171"/>
      <c r="O50" s="178">
        <v>959</v>
      </c>
      <c r="P50" s="172"/>
    </row>
    <row r="51" spans="1:16" ht="16.5" customHeight="1" x14ac:dyDescent="0.3">
      <c r="A51" s="147">
        <v>15</v>
      </c>
      <c r="B51" s="147">
        <v>2011</v>
      </c>
      <c r="C51" s="197" t="s">
        <v>6824</v>
      </c>
      <c r="D51" s="156" t="s">
        <v>17233</v>
      </c>
      <c r="E51" s="160"/>
      <c r="F51" s="158"/>
      <c r="G51" s="160"/>
      <c r="H51" s="160"/>
      <c r="I51" s="161"/>
      <c r="J51" s="162"/>
      <c r="K51" s="163"/>
      <c r="L51" s="164"/>
      <c r="M51" s="170"/>
      <c r="N51" s="171"/>
      <c r="O51" s="178">
        <v>1494</v>
      </c>
      <c r="P51" s="172"/>
    </row>
    <row r="52" spans="1:16" ht="16.5" customHeight="1" x14ac:dyDescent="0.3">
      <c r="A52" s="147">
        <v>15</v>
      </c>
      <c r="B52" s="147">
        <v>2012</v>
      </c>
      <c r="C52" s="197" t="s">
        <v>6823</v>
      </c>
      <c r="D52" s="188" t="s">
        <v>16844</v>
      </c>
      <c r="E52" s="153"/>
      <c r="F52" s="171"/>
      <c r="G52" s="150"/>
      <c r="H52" s="150"/>
      <c r="I52" s="151"/>
      <c r="J52" s="162" t="s">
        <v>5895</v>
      </c>
      <c r="K52" s="163" t="s">
        <v>1</v>
      </c>
      <c r="L52" s="164">
        <v>1</v>
      </c>
      <c r="M52" s="170"/>
      <c r="N52" s="171"/>
      <c r="O52" s="178">
        <v>1494</v>
      </c>
      <c r="P52" s="172"/>
    </row>
    <row r="53" spans="1:16" ht="16.5" customHeight="1" x14ac:dyDescent="0.3">
      <c r="A53" s="147">
        <v>15</v>
      </c>
      <c r="B53" s="147">
        <v>2013</v>
      </c>
      <c r="C53" s="197" t="s">
        <v>6822</v>
      </c>
      <c r="D53" s="188" t="s">
        <v>16843</v>
      </c>
      <c r="E53" s="205">
        <v>996</v>
      </c>
      <c r="F53" s="171" t="s">
        <v>0</v>
      </c>
      <c r="G53" s="160" t="s">
        <v>17078</v>
      </c>
      <c r="H53" s="160"/>
      <c r="I53" s="161"/>
      <c r="J53" s="162"/>
      <c r="K53" s="163"/>
      <c r="L53" s="164"/>
      <c r="M53" s="170"/>
      <c r="N53" s="171"/>
      <c r="O53" s="178">
        <v>1046</v>
      </c>
      <c r="P53" s="172"/>
    </row>
    <row r="54" spans="1:16" ht="16.5" customHeight="1" x14ac:dyDescent="0.3">
      <c r="A54" s="147">
        <v>15</v>
      </c>
      <c r="B54" s="147">
        <v>2014</v>
      </c>
      <c r="C54" s="197" t="s">
        <v>6821</v>
      </c>
      <c r="D54" s="167"/>
      <c r="E54" s="150"/>
      <c r="F54" s="168"/>
      <c r="G54" s="150" t="s">
        <v>17077</v>
      </c>
      <c r="H54" s="150" t="s">
        <v>1</v>
      </c>
      <c r="I54" s="151">
        <v>0.7</v>
      </c>
      <c r="J54" s="162" t="s">
        <v>5895</v>
      </c>
      <c r="K54" s="163" t="s">
        <v>1</v>
      </c>
      <c r="L54" s="164">
        <v>1</v>
      </c>
      <c r="M54" s="170"/>
      <c r="N54" s="171"/>
      <c r="O54" s="178">
        <v>1046</v>
      </c>
      <c r="P54" s="172"/>
    </row>
    <row r="55" spans="1:16" ht="16.5" customHeight="1" x14ac:dyDescent="0.3">
      <c r="A55" s="147">
        <v>15</v>
      </c>
      <c r="B55" s="147">
        <v>2015</v>
      </c>
      <c r="C55" s="197" t="s">
        <v>6820</v>
      </c>
      <c r="D55" s="156" t="s">
        <v>17232</v>
      </c>
      <c r="E55" s="160"/>
      <c r="F55" s="158"/>
      <c r="G55" s="160"/>
      <c r="H55" s="160"/>
      <c r="I55" s="161"/>
      <c r="J55" s="162"/>
      <c r="K55" s="163"/>
      <c r="L55" s="164"/>
      <c r="M55" s="170"/>
      <c r="N55" s="171"/>
      <c r="O55" s="178">
        <v>1619</v>
      </c>
      <c r="P55" s="172"/>
    </row>
    <row r="56" spans="1:16" ht="16.5" customHeight="1" x14ac:dyDescent="0.3">
      <c r="A56" s="147">
        <v>15</v>
      </c>
      <c r="B56" s="147">
        <v>2016</v>
      </c>
      <c r="C56" s="197" t="s">
        <v>6819</v>
      </c>
      <c r="D56" s="188" t="s">
        <v>17231</v>
      </c>
      <c r="E56" s="153"/>
      <c r="F56" s="171"/>
      <c r="G56" s="150"/>
      <c r="H56" s="150"/>
      <c r="I56" s="151"/>
      <c r="J56" s="162" t="s">
        <v>5895</v>
      </c>
      <c r="K56" s="163" t="s">
        <v>1</v>
      </c>
      <c r="L56" s="164">
        <v>1</v>
      </c>
      <c r="M56" s="170"/>
      <c r="N56" s="171"/>
      <c r="O56" s="178">
        <v>1619</v>
      </c>
      <c r="P56" s="172"/>
    </row>
    <row r="57" spans="1:16" ht="16.5" customHeight="1" x14ac:dyDescent="0.3">
      <c r="A57" s="147">
        <v>15</v>
      </c>
      <c r="B57" s="147">
        <v>2017</v>
      </c>
      <c r="C57" s="197" t="s">
        <v>6818</v>
      </c>
      <c r="D57" s="188" t="s">
        <v>17230</v>
      </c>
      <c r="E57" s="205">
        <v>1079</v>
      </c>
      <c r="F57" s="171" t="s">
        <v>0</v>
      </c>
      <c r="G57" s="160" t="s">
        <v>17078</v>
      </c>
      <c r="H57" s="160"/>
      <c r="I57" s="161"/>
      <c r="J57" s="162"/>
      <c r="K57" s="163"/>
      <c r="L57" s="164"/>
      <c r="M57" s="170"/>
      <c r="N57" s="171"/>
      <c r="O57" s="178">
        <v>1133</v>
      </c>
      <c r="P57" s="172"/>
    </row>
    <row r="58" spans="1:16" ht="16.5" customHeight="1" x14ac:dyDescent="0.3">
      <c r="A58" s="147">
        <v>15</v>
      </c>
      <c r="B58" s="147">
        <v>2018</v>
      </c>
      <c r="C58" s="197" t="s">
        <v>6817</v>
      </c>
      <c r="D58" s="167"/>
      <c r="E58" s="150"/>
      <c r="F58" s="168"/>
      <c r="G58" s="150" t="s">
        <v>17077</v>
      </c>
      <c r="H58" s="150" t="s">
        <v>1</v>
      </c>
      <c r="I58" s="151">
        <v>0.7</v>
      </c>
      <c r="J58" s="162" t="s">
        <v>5895</v>
      </c>
      <c r="K58" s="163" t="s">
        <v>1</v>
      </c>
      <c r="L58" s="164">
        <v>1</v>
      </c>
      <c r="M58" s="176"/>
      <c r="N58" s="168"/>
      <c r="O58" s="178">
        <v>1133</v>
      </c>
      <c r="P58" s="177"/>
    </row>
    <row r="59" spans="1:16" ht="16.5" customHeight="1" x14ac:dyDescent="0.3"/>
    <row r="60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theme="1" tint="0.249977111117893"/>
    <pageSetUpPr fitToPage="1"/>
  </sheetPr>
  <dimension ref="A1:N5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6913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7001</v>
      </c>
      <c r="C7" s="155" t="s">
        <v>6912</v>
      </c>
      <c r="D7" s="156" t="s">
        <v>17024</v>
      </c>
      <c r="E7" s="157">
        <v>257</v>
      </c>
      <c r="F7" s="158" t="s">
        <v>0</v>
      </c>
      <c r="G7" s="159"/>
      <c r="H7" s="160"/>
      <c r="I7" s="161"/>
      <c r="J7" s="162"/>
      <c r="K7" s="163"/>
      <c r="L7" s="164"/>
      <c r="M7" s="178">
        <v>231</v>
      </c>
      <c r="N7" s="142" t="s">
        <v>5863</v>
      </c>
    </row>
    <row r="8" spans="1:14" ht="16.5" customHeight="1" x14ac:dyDescent="0.3">
      <c r="A8" s="147">
        <v>15</v>
      </c>
      <c r="B8" s="147">
        <v>7002</v>
      </c>
      <c r="C8" s="155" t="s">
        <v>6911</v>
      </c>
      <c r="D8" s="167" t="s">
        <v>17000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8">
        <v>231</v>
      </c>
      <c r="N8" s="172"/>
    </row>
    <row r="9" spans="1:14" ht="16.5" customHeight="1" x14ac:dyDescent="0.3">
      <c r="A9" s="147">
        <v>15</v>
      </c>
      <c r="B9" s="147">
        <v>7003</v>
      </c>
      <c r="C9" s="155" t="s">
        <v>6910</v>
      </c>
      <c r="D9" s="156" t="s">
        <v>17020</v>
      </c>
      <c r="E9" s="157">
        <v>406</v>
      </c>
      <c r="F9" s="158" t="s">
        <v>0</v>
      </c>
      <c r="G9" s="169"/>
      <c r="H9" s="153"/>
      <c r="I9" s="152"/>
      <c r="J9" s="162"/>
      <c r="K9" s="163"/>
      <c r="L9" s="164"/>
      <c r="M9" s="178">
        <v>365</v>
      </c>
      <c r="N9" s="172"/>
    </row>
    <row r="10" spans="1:14" ht="16.5" customHeight="1" x14ac:dyDescent="0.3">
      <c r="A10" s="147">
        <v>15</v>
      </c>
      <c r="B10" s="147">
        <v>7004</v>
      </c>
      <c r="C10" s="155" t="s">
        <v>6909</v>
      </c>
      <c r="D10" s="167" t="s">
        <v>17290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8">
        <v>365</v>
      </c>
      <c r="N10" s="172"/>
    </row>
    <row r="11" spans="1:14" ht="16.5" customHeight="1" x14ac:dyDescent="0.3">
      <c r="A11" s="147">
        <v>15</v>
      </c>
      <c r="B11" s="147">
        <v>7005</v>
      </c>
      <c r="C11" s="155" t="s">
        <v>6908</v>
      </c>
      <c r="D11" s="156" t="s">
        <v>17289</v>
      </c>
      <c r="E11" s="157">
        <v>591</v>
      </c>
      <c r="F11" s="158" t="s">
        <v>0</v>
      </c>
      <c r="G11" s="169"/>
      <c r="H11" s="153"/>
      <c r="I11" s="152"/>
      <c r="J11" s="162"/>
      <c r="K11" s="163"/>
      <c r="L11" s="164"/>
      <c r="M11" s="178">
        <v>532</v>
      </c>
      <c r="N11" s="172"/>
    </row>
    <row r="12" spans="1:14" ht="16.5" customHeight="1" x14ac:dyDescent="0.3">
      <c r="A12" s="147">
        <v>15</v>
      </c>
      <c r="B12" s="147">
        <v>7006</v>
      </c>
      <c r="C12" s="155" t="s">
        <v>6907</v>
      </c>
      <c r="D12" s="167" t="s">
        <v>17288</v>
      </c>
      <c r="E12" s="150"/>
      <c r="F12" s="168"/>
      <c r="G12" s="169" t="s">
        <v>17287</v>
      </c>
      <c r="H12" s="153"/>
      <c r="I12" s="152"/>
      <c r="J12" s="162" t="s">
        <v>5895</v>
      </c>
      <c r="K12" s="163" t="s">
        <v>1</v>
      </c>
      <c r="L12" s="164">
        <v>1</v>
      </c>
      <c r="M12" s="178">
        <v>532</v>
      </c>
      <c r="N12" s="172"/>
    </row>
    <row r="13" spans="1:14" ht="16.5" customHeight="1" x14ac:dyDescent="0.3">
      <c r="A13" s="147">
        <v>15</v>
      </c>
      <c r="B13" s="147">
        <v>7007</v>
      </c>
      <c r="C13" s="155" t="s">
        <v>6906</v>
      </c>
      <c r="D13" s="156" t="s">
        <v>17014</v>
      </c>
      <c r="E13" s="157">
        <v>674</v>
      </c>
      <c r="F13" s="158" t="s">
        <v>0</v>
      </c>
      <c r="G13" s="169" t="s">
        <v>16996</v>
      </c>
      <c r="H13" s="153" t="s">
        <v>1</v>
      </c>
      <c r="I13" s="152">
        <v>0.9</v>
      </c>
      <c r="J13" s="162"/>
      <c r="K13" s="163"/>
      <c r="L13" s="164"/>
      <c r="M13" s="178">
        <v>607</v>
      </c>
      <c r="N13" s="172"/>
    </row>
    <row r="14" spans="1:14" ht="16.5" customHeight="1" x14ac:dyDescent="0.3">
      <c r="A14" s="147">
        <v>15</v>
      </c>
      <c r="B14" s="147">
        <v>7008</v>
      </c>
      <c r="C14" s="155" t="s">
        <v>6905</v>
      </c>
      <c r="D14" s="167" t="s">
        <v>17286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8">
        <v>607</v>
      </c>
      <c r="N14" s="172"/>
    </row>
    <row r="15" spans="1:14" ht="16.5" customHeight="1" x14ac:dyDescent="0.3">
      <c r="A15" s="147">
        <v>15</v>
      </c>
      <c r="B15" s="147">
        <v>7009</v>
      </c>
      <c r="C15" s="155" t="s">
        <v>6904</v>
      </c>
      <c r="D15" s="156" t="s">
        <v>17285</v>
      </c>
      <c r="E15" s="157">
        <v>758</v>
      </c>
      <c r="F15" s="158" t="s">
        <v>0</v>
      </c>
      <c r="G15" s="169"/>
      <c r="H15" s="153"/>
      <c r="I15" s="152"/>
      <c r="J15" s="162"/>
      <c r="K15" s="163"/>
      <c r="L15" s="164"/>
      <c r="M15" s="178">
        <v>682</v>
      </c>
      <c r="N15" s="172"/>
    </row>
    <row r="16" spans="1:14" ht="16.5" customHeight="1" x14ac:dyDescent="0.3">
      <c r="A16" s="147">
        <v>15</v>
      </c>
      <c r="B16" s="147">
        <v>7010</v>
      </c>
      <c r="C16" s="155" t="s">
        <v>6903</v>
      </c>
      <c r="D16" s="167" t="s">
        <v>17284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8">
        <v>682</v>
      </c>
      <c r="N16" s="172"/>
    </row>
    <row r="17" spans="1:14" ht="16.5" customHeight="1" x14ac:dyDescent="0.3">
      <c r="A17" s="147">
        <v>15</v>
      </c>
      <c r="B17" s="147">
        <v>7011</v>
      </c>
      <c r="C17" s="155" t="s">
        <v>6901</v>
      </c>
      <c r="D17" s="156" t="s">
        <v>17283</v>
      </c>
      <c r="E17" s="157">
        <v>842</v>
      </c>
      <c r="F17" s="158" t="s">
        <v>0</v>
      </c>
      <c r="G17" s="169"/>
      <c r="H17" s="153"/>
      <c r="I17" s="152"/>
      <c r="J17" s="162"/>
      <c r="K17" s="163"/>
      <c r="L17" s="164"/>
      <c r="M17" s="178">
        <v>758</v>
      </c>
      <c r="N17" s="172"/>
    </row>
    <row r="18" spans="1:14" ht="16.5" customHeight="1" x14ac:dyDescent="0.3">
      <c r="A18" s="147">
        <v>15</v>
      </c>
      <c r="B18" s="147">
        <v>7012</v>
      </c>
      <c r="C18" s="155" t="s">
        <v>6900</v>
      </c>
      <c r="D18" s="167" t="s">
        <v>17282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8">
        <v>758</v>
      </c>
      <c r="N18" s="172"/>
    </row>
    <row r="19" spans="1:14" ht="16.5" customHeight="1" x14ac:dyDescent="0.3">
      <c r="A19" s="147">
        <v>15</v>
      </c>
      <c r="B19" s="147">
        <v>7013</v>
      </c>
      <c r="C19" s="155" t="s">
        <v>6899</v>
      </c>
      <c r="D19" s="156" t="s">
        <v>17281</v>
      </c>
      <c r="E19" s="157">
        <v>925</v>
      </c>
      <c r="F19" s="158" t="s">
        <v>0</v>
      </c>
      <c r="G19" s="169"/>
      <c r="H19" s="153"/>
      <c r="I19" s="152"/>
      <c r="J19" s="162"/>
      <c r="K19" s="163"/>
      <c r="L19" s="164"/>
      <c r="M19" s="178">
        <v>833</v>
      </c>
      <c r="N19" s="172"/>
    </row>
    <row r="20" spans="1:14" ht="16.5" customHeight="1" x14ac:dyDescent="0.3">
      <c r="A20" s="147">
        <v>15</v>
      </c>
      <c r="B20" s="147">
        <v>7014</v>
      </c>
      <c r="C20" s="155" t="s">
        <v>6898</v>
      </c>
      <c r="D20" s="167" t="s">
        <v>17280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8">
        <v>833</v>
      </c>
      <c r="N20" s="172"/>
    </row>
    <row r="21" spans="1:14" ht="16.5" customHeight="1" x14ac:dyDescent="0.3">
      <c r="A21" s="147">
        <v>15</v>
      </c>
      <c r="B21" s="147">
        <v>7015</v>
      </c>
      <c r="C21" s="155" t="s">
        <v>6897</v>
      </c>
      <c r="D21" s="156" t="s">
        <v>17279</v>
      </c>
      <c r="E21" s="157">
        <v>1008</v>
      </c>
      <c r="F21" s="158" t="s">
        <v>0</v>
      </c>
      <c r="G21" s="169"/>
      <c r="H21" s="153"/>
      <c r="I21" s="152"/>
      <c r="J21" s="162"/>
      <c r="K21" s="163"/>
      <c r="L21" s="164"/>
      <c r="M21" s="178">
        <v>907</v>
      </c>
      <c r="N21" s="172"/>
    </row>
    <row r="22" spans="1:14" ht="16.5" customHeight="1" x14ac:dyDescent="0.3">
      <c r="A22" s="147">
        <v>15</v>
      </c>
      <c r="B22" s="147">
        <v>7016</v>
      </c>
      <c r="C22" s="155" t="s">
        <v>6896</v>
      </c>
      <c r="D22" s="167" t="s">
        <v>17278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8">
        <v>907</v>
      </c>
      <c r="N22" s="172"/>
    </row>
    <row r="23" spans="1:14" ht="16.5" customHeight="1" x14ac:dyDescent="0.3">
      <c r="A23" s="147">
        <v>15</v>
      </c>
      <c r="B23" s="147">
        <v>7017</v>
      </c>
      <c r="C23" s="155" t="s">
        <v>6895</v>
      </c>
      <c r="D23" s="156" t="s">
        <v>17277</v>
      </c>
      <c r="E23" s="157">
        <v>1091</v>
      </c>
      <c r="F23" s="158" t="s">
        <v>0</v>
      </c>
      <c r="G23" s="169"/>
      <c r="H23" s="153"/>
      <c r="I23" s="152"/>
      <c r="J23" s="162"/>
      <c r="K23" s="163"/>
      <c r="L23" s="164"/>
      <c r="M23" s="178">
        <v>982</v>
      </c>
      <c r="N23" s="172"/>
    </row>
    <row r="24" spans="1:14" ht="16.5" customHeight="1" x14ac:dyDescent="0.3">
      <c r="A24" s="147">
        <v>15</v>
      </c>
      <c r="B24" s="147">
        <v>7018</v>
      </c>
      <c r="C24" s="155" t="s">
        <v>6894</v>
      </c>
      <c r="D24" s="167" t="s">
        <v>17276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8">
        <v>982</v>
      </c>
      <c r="N24" s="172"/>
    </row>
    <row r="25" spans="1:14" ht="16.5" customHeight="1" x14ac:dyDescent="0.3">
      <c r="A25" s="147">
        <v>15</v>
      </c>
      <c r="B25" s="147">
        <v>7019</v>
      </c>
      <c r="C25" s="155" t="s">
        <v>6893</v>
      </c>
      <c r="D25" s="156" t="s">
        <v>17275</v>
      </c>
      <c r="E25" s="157">
        <v>1174</v>
      </c>
      <c r="F25" s="158" t="s">
        <v>0</v>
      </c>
      <c r="G25" s="169"/>
      <c r="H25" s="153"/>
      <c r="I25" s="152"/>
      <c r="J25" s="162"/>
      <c r="K25" s="163"/>
      <c r="L25" s="164"/>
      <c r="M25" s="178">
        <v>1057</v>
      </c>
      <c r="N25" s="172"/>
    </row>
    <row r="26" spans="1:14" ht="16.5" customHeight="1" x14ac:dyDescent="0.3">
      <c r="A26" s="147">
        <v>15</v>
      </c>
      <c r="B26" s="147">
        <v>7020</v>
      </c>
      <c r="C26" s="155" t="s">
        <v>6892</v>
      </c>
      <c r="D26" s="167" t="s">
        <v>17274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8">
        <v>1057</v>
      </c>
      <c r="N26" s="172"/>
    </row>
    <row r="27" spans="1:14" ht="16.5" customHeight="1" x14ac:dyDescent="0.3">
      <c r="A27" s="147">
        <v>15</v>
      </c>
      <c r="B27" s="147">
        <v>7021</v>
      </c>
      <c r="C27" s="155" t="s">
        <v>6891</v>
      </c>
      <c r="D27" s="156" t="s">
        <v>17273</v>
      </c>
      <c r="E27" s="157">
        <v>1257</v>
      </c>
      <c r="F27" s="158" t="s">
        <v>0</v>
      </c>
      <c r="G27" s="169"/>
      <c r="H27" s="153"/>
      <c r="I27" s="152"/>
      <c r="J27" s="162"/>
      <c r="K27" s="163"/>
      <c r="L27" s="164"/>
      <c r="M27" s="178">
        <v>1131</v>
      </c>
      <c r="N27" s="172"/>
    </row>
    <row r="28" spans="1:14" ht="16.5" customHeight="1" x14ac:dyDescent="0.3">
      <c r="A28" s="147">
        <v>15</v>
      </c>
      <c r="B28" s="147">
        <v>7022</v>
      </c>
      <c r="C28" s="155" t="s">
        <v>6890</v>
      </c>
      <c r="D28" s="167" t="s">
        <v>17272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8">
        <v>1131</v>
      </c>
      <c r="N28" s="172"/>
    </row>
    <row r="29" spans="1:14" ht="16.5" customHeight="1" x14ac:dyDescent="0.3">
      <c r="A29" s="147">
        <v>15</v>
      </c>
      <c r="B29" s="147">
        <v>7023</v>
      </c>
      <c r="C29" s="155" t="s">
        <v>6889</v>
      </c>
      <c r="D29" s="156" t="s">
        <v>17271</v>
      </c>
      <c r="E29" s="157">
        <v>1340</v>
      </c>
      <c r="F29" s="158" t="s">
        <v>0</v>
      </c>
      <c r="G29" s="169"/>
      <c r="H29" s="153"/>
      <c r="I29" s="152"/>
      <c r="J29" s="162"/>
      <c r="K29" s="163"/>
      <c r="L29" s="164"/>
      <c r="M29" s="178">
        <v>1206</v>
      </c>
      <c r="N29" s="172"/>
    </row>
    <row r="30" spans="1:14" ht="16.5" customHeight="1" x14ac:dyDescent="0.3">
      <c r="A30" s="147">
        <v>15</v>
      </c>
      <c r="B30" s="147">
        <v>7024</v>
      </c>
      <c r="C30" s="155" t="s">
        <v>6888</v>
      </c>
      <c r="D30" s="167" t="s">
        <v>17270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8">
        <v>1206</v>
      </c>
      <c r="N30" s="172"/>
    </row>
    <row r="31" spans="1:14" ht="16.5" customHeight="1" x14ac:dyDescent="0.3">
      <c r="A31" s="147">
        <v>15</v>
      </c>
      <c r="B31" s="147">
        <v>7025</v>
      </c>
      <c r="C31" s="155" t="s">
        <v>6887</v>
      </c>
      <c r="D31" s="156" t="s">
        <v>17269</v>
      </c>
      <c r="E31" s="157">
        <v>1423</v>
      </c>
      <c r="F31" s="158" t="s">
        <v>0</v>
      </c>
      <c r="G31" s="169"/>
      <c r="H31" s="153"/>
      <c r="I31" s="152"/>
      <c r="J31" s="162"/>
      <c r="K31" s="163"/>
      <c r="L31" s="164"/>
      <c r="M31" s="178">
        <v>1281</v>
      </c>
      <c r="N31" s="172"/>
    </row>
    <row r="32" spans="1:14" ht="16.5" customHeight="1" x14ac:dyDescent="0.3">
      <c r="A32" s="147">
        <v>15</v>
      </c>
      <c r="B32" s="147">
        <v>7026</v>
      </c>
      <c r="C32" s="155" t="s">
        <v>6886</v>
      </c>
      <c r="D32" s="167" t="s">
        <v>17268</v>
      </c>
      <c r="E32" s="150"/>
      <c r="F32" s="168"/>
      <c r="G32" s="169"/>
      <c r="H32" s="153"/>
      <c r="I32" s="152"/>
      <c r="J32" s="162" t="s">
        <v>5895</v>
      </c>
      <c r="K32" s="163" t="s">
        <v>1</v>
      </c>
      <c r="L32" s="164">
        <v>1</v>
      </c>
      <c r="M32" s="178">
        <v>1281</v>
      </c>
      <c r="N32" s="172"/>
    </row>
    <row r="33" spans="1:14" ht="16.5" customHeight="1" x14ac:dyDescent="0.3">
      <c r="A33" s="147">
        <v>15</v>
      </c>
      <c r="B33" s="147">
        <v>7027</v>
      </c>
      <c r="C33" s="155" t="s">
        <v>6885</v>
      </c>
      <c r="D33" s="156" t="s">
        <v>17267</v>
      </c>
      <c r="E33" s="157">
        <v>1506</v>
      </c>
      <c r="F33" s="158" t="s">
        <v>0</v>
      </c>
      <c r="G33" s="169"/>
      <c r="H33" s="153"/>
      <c r="I33" s="152"/>
      <c r="J33" s="162"/>
      <c r="K33" s="163"/>
      <c r="L33" s="164"/>
      <c r="M33" s="178">
        <v>1355</v>
      </c>
      <c r="N33" s="172"/>
    </row>
    <row r="34" spans="1:14" ht="16.5" customHeight="1" x14ac:dyDescent="0.3">
      <c r="A34" s="147">
        <v>15</v>
      </c>
      <c r="B34" s="147">
        <v>7028</v>
      </c>
      <c r="C34" s="155" t="s">
        <v>6884</v>
      </c>
      <c r="D34" s="167" t="s">
        <v>17266</v>
      </c>
      <c r="E34" s="150"/>
      <c r="F34" s="168"/>
      <c r="G34" s="169"/>
      <c r="H34" s="153"/>
      <c r="I34" s="152"/>
      <c r="J34" s="162" t="s">
        <v>5895</v>
      </c>
      <c r="K34" s="163" t="s">
        <v>1</v>
      </c>
      <c r="L34" s="164">
        <v>1</v>
      </c>
      <c r="M34" s="178">
        <v>1355</v>
      </c>
      <c r="N34" s="172"/>
    </row>
    <row r="35" spans="1:14" ht="16.5" customHeight="1" x14ac:dyDescent="0.3">
      <c r="A35" s="147">
        <v>15</v>
      </c>
      <c r="B35" s="147">
        <v>7029</v>
      </c>
      <c r="C35" s="155" t="s">
        <v>6883</v>
      </c>
      <c r="D35" s="156" t="s">
        <v>17265</v>
      </c>
      <c r="E35" s="157">
        <v>1589</v>
      </c>
      <c r="F35" s="158" t="s">
        <v>0</v>
      </c>
      <c r="G35" s="169"/>
      <c r="H35" s="153"/>
      <c r="I35" s="152"/>
      <c r="J35" s="162"/>
      <c r="K35" s="163"/>
      <c r="L35" s="164"/>
      <c r="M35" s="178">
        <v>1430</v>
      </c>
      <c r="N35" s="172"/>
    </row>
    <row r="36" spans="1:14" ht="16.5" customHeight="1" x14ac:dyDescent="0.3">
      <c r="A36" s="147">
        <v>15</v>
      </c>
      <c r="B36" s="147">
        <v>7030</v>
      </c>
      <c r="C36" s="155" t="s">
        <v>6882</v>
      </c>
      <c r="D36" s="167" t="s">
        <v>17264</v>
      </c>
      <c r="E36" s="150"/>
      <c r="F36" s="168"/>
      <c r="G36" s="169"/>
      <c r="H36" s="153"/>
      <c r="I36" s="152"/>
      <c r="J36" s="162" t="s">
        <v>5895</v>
      </c>
      <c r="K36" s="163" t="s">
        <v>1</v>
      </c>
      <c r="L36" s="164">
        <v>1</v>
      </c>
      <c r="M36" s="178">
        <v>1430</v>
      </c>
      <c r="N36" s="172"/>
    </row>
    <row r="37" spans="1:14" ht="16.5" customHeight="1" x14ac:dyDescent="0.3">
      <c r="A37" s="147">
        <v>15</v>
      </c>
      <c r="B37" s="147">
        <v>7031</v>
      </c>
      <c r="C37" s="155" t="s">
        <v>6881</v>
      </c>
      <c r="D37" s="156" t="s">
        <v>17263</v>
      </c>
      <c r="E37" s="157">
        <v>1672</v>
      </c>
      <c r="F37" s="158" t="s">
        <v>0</v>
      </c>
      <c r="G37" s="169"/>
      <c r="H37" s="153"/>
      <c r="I37" s="152"/>
      <c r="J37" s="162"/>
      <c r="K37" s="163"/>
      <c r="L37" s="164"/>
      <c r="M37" s="178">
        <v>1505</v>
      </c>
      <c r="N37" s="172"/>
    </row>
    <row r="38" spans="1:14" ht="16.5" customHeight="1" x14ac:dyDescent="0.3">
      <c r="A38" s="147">
        <v>15</v>
      </c>
      <c r="B38" s="147">
        <v>7032</v>
      </c>
      <c r="C38" s="155" t="s">
        <v>6880</v>
      </c>
      <c r="D38" s="167" t="s">
        <v>17262</v>
      </c>
      <c r="E38" s="150"/>
      <c r="F38" s="168"/>
      <c r="G38" s="169"/>
      <c r="H38" s="153"/>
      <c r="I38" s="152"/>
      <c r="J38" s="162" t="s">
        <v>5895</v>
      </c>
      <c r="K38" s="163" t="s">
        <v>1</v>
      </c>
      <c r="L38" s="164">
        <v>1</v>
      </c>
      <c r="M38" s="178">
        <v>1505</v>
      </c>
      <c r="N38" s="172"/>
    </row>
    <row r="39" spans="1:14" ht="16.5" customHeight="1" x14ac:dyDescent="0.3">
      <c r="A39" s="147">
        <v>15</v>
      </c>
      <c r="B39" s="147">
        <v>7033</v>
      </c>
      <c r="C39" s="155" t="s">
        <v>6879</v>
      </c>
      <c r="D39" s="156" t="s">
        <v>17261</v>
      </c>
      <c r="E39" s="157">
        <v>1755</v>
      </c>
      <c r="F39" s="158" t="s">
        <v>0</v>
      </c>
      <c r="G39" s="169"/>
      <c r="H39" s="153"/>
      <c r="I39" s="152"/>
      <c r="J39" s="162"/>
      <c r="K39" s="163"/>
      <c r="L39" s="164"/>
      <c r="M39" s="178">
        <v>1580</v>
      </c>
      <c r="N39" s="172"/>
    </row>
    <row r="40" spans="1:14" ht="16.5" customHeight="1" x14ac:dyDescent="0.3">
      <c r="A40" s="147">
        <v>15</v>
      </c>
      <c r="B40" s="147">
        <v>7034</v>
      </c>
      <c r="C40" s="155" t="s">
        <v>6878</v>
      </c>
      <c r="D40" s="167" t="s">
        <v>17260</v>
      </c>
      <c r="E40" s="150"/>
      <c r="F40" s="168"/>
      <c r="G40" s="169"/>
      <c r="H40" s="153"/>
      <c r="I40" s="152"/>
      <c r="J40" s="162" t="s">
        <v>5895</v>
      </c>
      <c r="K40" s="163" t="s">
        <v>1</v>
      </c>
      <c r="L40" s="164">
        <v>1</v>
      </c>
      <c r="M40" s="178">
        <v>1580</v>
      </c>
      <c r="N40" s="172"/>
    </row>
    <row r="41" spans="1:14" ht="16.5" customHeight="1" x14ac:dyDescent="0.3">
      <c r="A41" s="147">
        <v>15</v>
      </c>
      <c r="B41" s="147">
        <v>7035</v>
      </c>
      <c r="C41" s="155" t="s">
        <v>6877</v>
      </c>
      <c r="D41" s="156" t="s">
        <v>17259</v>
      </c>
      <c r="E41" s="157">
        <v>1838</v>
      </c>
      <c r="F41" s="158" t="s">
        <v>0</v>
      </c>
      <c r="G41" s="169"/>
      <c r="H41" s="153"/>
      <c r="I41" s="152"/>
      <c r="J41" s="162"/>
      <c r="K41" s="163"/>
      <c r="L41" s="164"/>
      <c r="M41" s="178">
        <v>1654</v>
      </c>
      <c r="N41" s="172"/>
    </row>
    <row r="42" spans="1:14" ht="16.5" customHeight="1" x14ac:dyDescent="0.3">
      <c r="A42" s="147">
        <v>15</v>
      </c>
      <c r="B42" s="147">
        <v>7036</v>
      </c>
      <c r="C42" s="155" t="s">
        <v>6876</v>
      </c>
      <c r="D42" s="167" t="s">
        <v>17258</v>
      </c>
      <c r="E42" s="150"/>
      <c r="F42" s="168"/>
      <c r="G42" s="169"/>
      <c r="H42" s="153"/>
      <c r="I42" s="152"/>
      <c r="J42" s="162" t="s">
        <v>5895</v>
      </c>
      <c r="K42" s="163" t="s">
        <v>1</v>
      </c>
      <c r="L42" s="164">
        <v>1</v>
      </c>
      <c r="M42" s="178">
        <v>1654</v>
      </c>
      <c r="N42" s="172"/>
    </row>
    <row r="43" spans="1:14" ht="16.5" customHeight="1" x14ac:dyDescent="0.3">
      <c r="A43" s="147">
        <v>15</v>
      </c>
      <c r="B43" s="147">
        <v>7037</v>
      </c>
      <c r="C43" s="155" t="s">
        <v>6875</v>
      </c>
      <c r="D43" s="156" t="s">
        <v>17257</v>
      </c>
      <c r="E43" s="157">
        <v>1921</v>
      </c>
      <c r="F43" s="158" t="s">
        <v>0</v>
      </c>
      <c r="G43" s="169"/>
      <c r="H43" s="153"/>
      <c r="I43" s="152"/>
      <c r="J43" s="162"/>
      <c r="K43" s="163"/>
      <c r="L43" s="164"/>
      <c r="M43" s="178">
        <v>1729</v>
      </c>
      <c r="N43" s="172"/>
    </row>
    <row r="44" spans="1:14" ht="16.5" customHeight="1" x14ac:dyDescent="0.3">
      <c r="A44" s="147">
        <v>15</v>
      </c>
      <c r="B44" s="147">
        <v>7038</v>
      </c>
      <c r="C44" s="155" t="s">
        <v>6874</v>
      </c>
      <c r="D44" s="167" t="s">
        <v>17256</v>
      </c>
      <c r="E44" s="150"/>
      <c r="F44" s="168"/>
      <c r="G44" s="169"/>
      <c r="H44" s="153"/>
      <c r="I44" s="152"/>
      <c r="J44" s="162" t="s">
        <v>5895</v>
      </c>
      <c r="K44" s="163" t="s">
        <v>1</v>
      </c>
      <c r="L44" s="164">
        <v>1</v>
      </c>
      <c r="M44" s="178">
        <v>1729</v>
      </c>
      <c r="N44" s="172"/>
    </row>
    <row r="45" spans="1:14" ht="16.5" customHeight="1" x14ac:dyDescent="0.3">
      <c r="A45" s="147">
        <v>15</v>
      </c>
      <c r="B45" s="147">
        <v>7039</v>
      </c>
      <c r="C45" s="155" t="s">
        <v>6873</v>
      </c>
      <c r="D45" s="156" t="s">
        <v>17255</v>
      </c>
      <c r="E45" s="157">
        <v>2004</v>
      </c>
      <c r="F45" s="158" t="s">
        <v>0</v>
      </c>
      <c r="G45" s="169"/>
      <c r="H45" s="153"/>
      <c r="I45" s="152"/>
      <c r="J45" s="162"/>
      <c r="K45" s="163"/>
      <c r="L45" s="164"/>
      <c r="M45" s="178">
        <v>1804</v>
      </c>
      <c r="N45" s="172"/>
    </row>
    <row r="46" spans="1:14" ht="16.5" customHeight="1" x14ac:dyDescent="0.3">
      <c r="A46" s="147">
        <v>15</v>
      </c>
      <c r="B46" s="147">
        <v>7040</v>
      </c>
      <c r="C46" s="155" t="s">
        <v>6872</v>
      </c>
      <c r="D46" s="167" t="s">
        <v>17254</v>
      </c>
      <c r="E46" s="150"/>
      <c r="F46" s="168"/>
      <c r="G46" s="169"/>
      <c r="H46" s="153"/>
      <c r="I46" s="152"/>
      <c r="J46" s="162" t="s">
        <v>5895</v>
      </c>
      <c r="K46" s="163" t="s">
        <v>1</v>
      </c>
      <c r="L46" s="164">
        <v>1</v>
      </c>
      <c r="M46" s="178">
        <v>1804</v>
      </c>
      <c r="N46" s="172"/>
    </row>
    <row r="47" spans="1:14" ht="16.5" customHeight="1" x14ac:dyDescent="0.3">
      <c r="A47" s="147">
        <v>15</v>
      </c>
      <c r="B47" s="147">
        <v>7041</v>
      </c>
      <c r="C47" s="155" t="s">
        <v>6871</v>
      </c>
      <c r="D47" s="156" t="s">
        <v>17253</v>
      </c>
      <c r="E47" s="157">
        <v>2087</v>
      </c>
      <c r="F47" s="158" t="s">
        <v>0</v>
      </c>
      <c r="G47" s="169"/>
      <c r="H47" s="153"/>
      <c r="I47" s="152"/>
      <c r="J47" s="162"/>
      <c r="K47" s="163"/>
      <c r="L47" s="164"/>
      <c r="M47" s="178">
        <v>1878</v>
      </c>
      <c r="N47" s="172"/>
    </row>
    <row r="48" spans="1:14" ht="16.5" customHeight="1" x14ac:dyDescent="0.3">
      <c r="A48" s="147">
        <v>15</v>
      </c>
      <c r="B48" s="147">
        <v>7042</v>
      </c>
      <c r="C48" s="155" t="s">
        <v>6870</v>
      </c>
      <c r="D48" s="167" t="s">
        <v>17252</v>
      </c>
      <c r="E48" s="150"/>
      <c r="F48" s="168"/>
      <c r="G48" s="175"/>
      <c r="H48" s="150"/>
      <c r="I48" s="151"/>
      <c r="J48" s="162" t="s">
        <v>5895</v>
      </c>
      <c r="K48" s="163" t="s">
        <v>1</v>
      </c>
      <c r="L48" s="164">
        <v>1</v>
      </c>
      <c r="M48" s="178">
        <v>1878</v>
      </c>
      <c r="N48" s="177"/>
    </row>
    <row r="49" spans="3:14" s="44" customFormat="1" ht="16.5" customHeight="1" x14ac:dyDescent="0.3">
      <c r="C49" s="45"/>
      <c r="D49" s="45"/>
      <c r="E49" s="46"/>
      <c r="F49" s="46"/>
      <c r="G49" s="46"/>
      <c r="H49" s="46"/>
      <c r="I49" s="47"/>
      <c r="J49" s="46"/>
      <c r="K49" s="46"/>
      <c r="L49" s="47"/>
      <c r="M49" s="84"/>
      <c r="N49" s="48"/>
    </row>
    <row r="50" spans="3:14" s="44" customFormat="1" ht="16.5" customHeight="1" x14ac:dyDescent="0.3">
      <c r="C50" s="45"/>
      <c r="D50" s="45"/>
      <c r="E50" s="46"/>
      <c r="F50" s="46"/>
      <c r="G50" s="46"/>
      <c r="H50" s="46"/>
      <c r="I50" s="47"/>
      <c r="J50" s="46"/>
      <c r="K50" s="46"/>
      <c r="L50" s="47"/>
      <c r="M50" s="84"/>
      <c r="N50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theme="1" tint="0.249977111117893"/>
    <pageSetUpPr fitToPage="1"/>
  </sheetPr>
  <dimension ref="A1:P41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2.62890625" style="47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6943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7043</v>
      </c>
      <c r="C7" s="155" t="s">
        <v>6942</v>
      </c>
      <c r="D7" s="156" t="s">
        <v>17319</v>
      </c>
      <c r="E7" s="157">
        <v>257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78">
        <v>289</v>
      </c>
      <c r="P7" s="142" t="s">
        <v>5863</v>
      </c>
    </row>
    <row r="8" spans="1:16" ht="16.5" customHeight="1" x14ac:dyDescent="0.3">
      <c r="A8" s="147">
        <v>15</v>
      </c>
      <c r="B8" s="147">
        <v>7044</v>
      </c>
      <c r="C8" s="155" t="s">
        <v>6941</v>
      </c>
      <c r="D8" s="167" t="s">
        <v>17312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78">
        <v>289</v>
      </c>
      <c r="P8" s="172"/>
    </row>
    <row r="9" spans="1:16" ht="16.5" customHeight="1" x14ac:dyDescent="0.3">
      <c r="A9" s="147">
        <v>15</v>
      </c>
      <c r="B9" s="147">
        <v>7045</v>
      </c>
      <c r="C9" s="155" t="s">
        <v>6940</v>
      </c>
      <c r="D9" s="156" t="s">
        <v>17318</v>
      </c>
      <c r="E9" s="157">
        <v>406</v>
      </c>
      <c r="F9" s="158" t="s">
        <v>0</v>
      </c>
      <c r="G9" s="169"/>
      <c r="H9" s="153"/>
      <c r="I9" s="152"/>
      <c r="J9" s="162"/>
      <c r="K9" s="163"/>
      <c r="L9" s="164"/>
      <c r="M9" s="170" t="s">
        <v>17317</v>
      </c>
      <c r="N9" s="171"/>
      <c r="O9" s="178">
        <v>456</v>
      </c>
      <c r="P9" s="172"/>
    </row>
    <row r="10" spans="1:16" ht="16.5" customHeight="1" x14ac:dyDescent="0.3">
      <c r="A10" s="147">
        <v>15</v>
      </c>
      <c r="B10" s="147">
        <v>7046</v>
      </c>
      <c r="C10" s="155" t="s">
        <v>6939</v>
      </c>
      <c r="D10" s="167" t="s">
        <v>17310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4" t="s">
        <v>17303</v>
      </c>
      <c r="O10" s="178">
        <v>456</v>
      </c>
      <c r="P10" s="172"/>
    </row>
    <row r="11" spans="1:16" ht="16.5" customHeight="1" x14ac:dyDescent="0.3">
      <c r="A11" s="147">
        <v>15</v>
      </c>
      <c r="B11" s="147">
        <v>7047</v>
      </c>
      <c r="C11" s="155" t="s">
        <v>6938</v>
      </c>
      <c r="D11" s="156" t="s">
        <v>17316</v>
      </c>
      <c r="E11" s="157">
        <v>591</v>
      </c>
      <c r="F11" s="158" t="s">
        <v>0</v>
      </c>
      <c r="G11" s="169" t="s">
        <v>17307</v>
      </c>
      <c r="H11" s="153"/>
      <c r="I11" s="152"/>
      <c r="J11" s="162"/>
      <c r="K11" s="163"/>
      <c r="L11" s="164"/>
      <c r="M11" s="170"/>
      <c r="N11" s="171"/>
      <c r="O11" s="178">
        <v>665</v>
      </c>
      <c r="P11" s="172"/>
    </row>
    <row r="12" spans="1:16" ht="16.5" customHeight="1" x14ac:dyDescent="0.3">
      <c r="A12" s="147">
        <v>15</v>
      </c>
      <c r="B12" s="147">
        <v>7048</v>
      </c>
      <c r="C12" s="155" t="s">
        <v>6937</v>
      </c>
      <c r="D12" s="167" t="s">
        <v>17308</v>
      </c>
      <c r="E12" s="150"/>
      <c r="F12" s="168"/>
      <c r="G12" s="169" t="s">
        <v>17304</v>
      </c>
      <c r="H12" s="153" t="s">
        <v>1</v>
      </c>
      <c r="I12" s="152">
        <v>0.9</v>
      </c>
      <c r="J12" s="162" t="s">
        <v>5895</v>
      </c>
      <c r="K12" s="163" t="s">
        <v>1</v>
      </c>
      <c r="L12" s="164">
        <v>1</v>
      </c>
      <c r="M12" s="170" t="s">
        <v>1</v>
      </c>
      <c r="N12" s="192">
        <v>0.25</v>
      </c>
      <c r="O12" s="178">
        <v>665</v>
      </c>
      <c r="P12" s="172"/>
    </row>
    <row r="13" spans="1:16" ht="16.5" customHeight="1" x14ac:dyDescent="0.3">
      <c r="A13" s="147">
        <v>15</v>
      </c>
      <c r="B13" s="147">
        <v>7049</v>
      </c>
      <c r="C13" s="155" t="s">
        <v>6936</v>
      </c>
      <c r="D13" s="156" t="s">
        <v>17315</v>
      </c>
      <c r="E13" s="157">
        <v>674</v>
      </c>
      <c r="F13" s="158" t="s">
        <v>0</v>
      </c>
      <c r="G13" s="169"/>
      <c r="H13" s="153"/>
      <c r="I13" s="152"/>
      <c r="J13" s="162"/>
      <c r="K13" s="163"/>
      <c r="L13" s="164"/>
      <c r="M13" s="170"/>
      <c r="N13" s="174" t="s">
        <v>17299</v>
      </c>
      <c r="O13" s="178">
        <v>759</v>
      </c>
      <c r="P13" s="172"/>
    </row>
    <row r="14" spans="1:16" ht="16.5" customHeight="1" x14ac:dyDescent="0.3">
      <c r="A14" s="147">
        <v>15</v>
      </c>
      <c r="B14" s="147">
        <v>7050</v>
      </c>
      <c r="C14" s="155" t="s">
        <v>6935</v>
      </c>
      <c r="D14" s="167" t="s">
        <v>17302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78">
        <v>759</v>
      </c>
      <c r="P14" s="172"/>
    </row>
    <row r="15" spans="1:16" ht="16.5" customHeight="1" x14ac:dyDescent="0.3">
      <c r="A15" s="147">
        <v>15</v>
      </c>
      <c r="B15" s="147">
        <v>7051</v>
      </c>
      <c r="C15" s="155" t="s">
        <v>6934</v>
      </c>
      <c r="D15" s="156" t="s">
        <v>17314</v>
      </c>
      <c r="E15" s="157">
        <v>758</v>
      </c>
      <c r="F15" s="158" t="s">
        <v>0</v>
      </c>
      <c r="G15" s="169"/>
      <c r="H15" s="153"/>
      <c r="I15" s="152"/>
      <c r="J15" s="162"/>
      <c r="K15" s="163"/>
      <c r="L15" s="164"/>
      <c r="M15" s="170"/>
      <c r="N15" s="192"/>
      <c r="O15" s="178">
        <v>853</v>
      </c>
      <c r="P15" s="172"/>
    </row>
    <row r="16" spans="1:16" ht="16.5" customHeight="1" x14ac:dyDescent="0.3">
      <c r="A16" s="147">
        <v>15</v>
      </c>
      <c r="B16" s="147">
        <v>7052</v>
      </c>
      <c r="C16" s="155" t="s">
        <v>6933</v>
      </c>
      <c r="D16" s="167" t="s">
        <v>17300</v>
      </c>
      <c r="E16" s="150"/>
      <c r="F16" s="168"/>
      <c r="G16" s="175"/>
      <c r="H16" s="150"/>
      <c r="I16" s="151"/>
      <c r="J16" s="162" t="s">
        <v>5895</v>
      </c>
      <c r="K16" s="163" t="s">
        <v>1</v>
      </c>
      <c r="L16" s="164">
        <v>1</v>
      </c>
      <c r="M16" s="176"/>
      <c r="N16" s="209"/>
      <c r="O16" s="178">
        <v>853</v>
      </c>
      <c r="P16" s="177"/>
    </row>
    <row r="17" spans="1:16" ht="16.5" customHeight="1" x14ac:dyDescent="0.3">
      <c r="A17" s="132"/>
      <c r="B17" s="132"/>
      <c r="C17" s="133"/>
      <c r="D17" s="133"/>
      <c r="E17" s="134"/>
      <c r="F17" s="134"/>
      <c r="G17" s="134"/>
      <c r="H17" s="134"/>
      <c r="I17" s="135"/>
      <c r="J17" s="134"/>
      <c r="K17" s="134"/>
      <c r="L17" s="135"/>
      <c r="M17" s="135"/>
      <c r="N17" s="134"/>
      <c r="O17" s="136"/>
      <c r="P17" s="137"/>
    </row>
    <row r="18" spans="1:16" ht="16.5" customHeight="1" x14ac:dyDescent="0.3">
      <c r="A18" s="132"/>
      <c r="B18" s="132"/>
      <c r="C18" s="133"/>
      <c r="D18" s="133"/>
      <c r="E18" s="134"/>
      <c r="F18" s="134"/>
      <c r="G18" s="134"/>
      <c r="H18" s="134"/>
      <c r="I18" s="135"/>
      <c r="J18" s="134"/>
      <c r="K18" s="134"/>
      <c r="L18" s="135"/>
      <c r="M18" s="135"/>
      <c r="N18" s="134"/>
      <c r="O18" s="136"/>
      <c r="P18" s="137"/>
    </row>
    <row r="19" spans="1:16" ht="16.5" customHeight="1" x14ac:dyDescent="0.3">
      <c r="A19" s="132"/>
      <c r="B19" s="138" t="s">
        <v>6932</v>
      </c>
      <c r="C19" s="133"/>
      <c r="D19" s="139"/>
      <c r="E19" s="134"/>
      <c r="F19" s="134"/>
      <c r="G19" s="134"/>
      <c r="H19" s="134"/>
      <c r="I19" s="135"/>
      <c r="J19" s="134"/>
      <c r="K19" s="134"/>
      <c r="L19" s="135"/>
      <c r="M19" s="135"/>
      <c r="N19" s="134"/>
      <c r="O19" s="136"/>
      <c r="P19" s="137"/>
    </row>
    <row r="20" spans="1:16" ht="16.5" customHeight="1" x14ac:dyDescent="0.3">
      <c r="A20" s="140" t="s">
        <v>5864</v>
      </c>
      <c r="B20" s="141"/>
      <c r="C20" s="142" t="s">
        <v>5867</v>
      </c>
      <c r="D20" s="143" t="s">
        <v>5868</v>
      </c>
      <c r="E20" s="144"/>
      <c r="F20" s="144"/>
      <c r="G20" s="144"/>
      <c r="H20" s="144"/>
      <c r="I20" s="145"/>
      <c r="J20" s="144"/>
      <c r="K20" s="144"/>
      <c r="L20" s="145"/>
      <c r="M20" s="145"/>
      <c r="N20" s="144"/>
      <c r="O20" s="146" t="s">
        <v>5869</v>
      </c>
      <c r="P20" s="146" t="s">
        <v>5871</v>
      </c>
    </row>
    <row r="21" spans="1:16" ht="16.5" customHeight="1" x14ac:dyDescent="0.3">
      <c r="A21" s="147" t="s">
        <v>5865</v>
      </c>
      <c r="B21" s="147" t="s">
        <v>5866</v>
      </c>
      <c r="C21" s="148"/>
      <c r="D21" s="149"/>
      <c r="E21" s="150"/>
      <c r="F21" s="150"/>
      <c r="G21" s="150"/>
      <c r="H21" s="150"/>
      <c r="I21" s="151"/>
      <c r="J21" s="150"/>
      <c r="K21" s="150"/>
      <c r="L21" s="151"/>
      <c r="M21" s="151"/>
      <c r="N21" s="150"/>
      <c r="O21" s="154" t="s">
        <v>5870</v>
      </c>
      <c r="P21" s="154" t="s">
        <v>0</v>
      </c>
    </row>
    <row r="22" spans="1:16" ht="16.5" customHeight="1" x14ac:dyDescent="0.3">
      <c r="A22" s="147">
        <v>15</v>
      </c>
      <c r="B22" s="147">
        <v>7053</v>
      </c>
      <c r="C22" s="155" t="s">
        <v>6931</v>
      </c>
      <c r="D22" s="156" t="s">
        <v>17313</v>
      </c>
      <c r="E22" s="157">
        <v>257</v>
      </c>
      <c r="F22" s="158" t="s">
        <v>0</v>
      </c>
      <c r="G22" s="159"/>
      <c r="H22" s="160"/>
      <c r="I22" s="161"/>
      <c r="J22" s="162"/>
      <c r="K22" s="163"/>
      <c r="L22" s="164"/>
      <c r="M22" s="165"/>
      <c r="N22" s="158"/>
      <c r="O22" s="178">
        <v>289</v>
      </c>
      <c r="P22" s="142" t="s">
        <v>5863</v>
      </c>
    </row>
    <row r="23" spans="1:16" ht="16.5" customHeight="1" x14ac:dyDescent="0.3">
      <c r="A23" s="147">
        <v>15</v>
      </c>
      <c r="B23" s="147">
        <v>7054</v>
      </c>
      <c r="C23" s="155" t="s">
        <v>6930</v>
      </c>
      <c r="D23" s="167" t="s">
        <v>17312</v>
      </c>
      <c r="E23" s="150"/>
      <c r="F23" s="168"/>
      <c r="G23" s="169"/>
      <c r="H23" s="153"/>
      <c r="I23" s="152"/>
      <c r="J23" s="162" t="s">
        <v>5895</v>
      </c>
      <c r="K23" s="163" t="s">
        <v>1</v>
      </c>
      <c r="L23" s="164">
        <v>1</v>
      </c>
      <c r="M23" s="170"/>
      <c r="N23" s="171"/>
      <c r="O23" s="178">
        <v>289</v>
      </c>
      <c r="P23" s="172"/>
    </row>
    <row r="24" spans="1:16" ht="16.5" customHeight="1" x14ac:dyDescent="0.3">
      <c r="A24" s="147">
        <v>15</v>
      </c>
      <c r="B24" s="147">
        <v>7055</v>
      </c>
      <c r="C24" s="155" t="s">
        <v>6929</v>
      </c>
      <c r="D24" s="156" t="s">
        <v>17311</v>
      </c>
      <c r="E24" s="157">
        <v>406</v>
      </c>
      <c r="F24" s="158" t="s">
        <v>0</v>
      </c>
      <c r="G24" s="169"/>
      <c r="H24" s="153"/>
      <c r="I24" s="152"/>
      <c r="J24" s="162"/>
      <c r="K24" s="163"/>
      <c r="L24" s="164"/>
      <c r="M24" s="170"/>
      <c r="N24" s="171"/>
      <c r="O24" s="178">
        <v>456</v>
      </c>
      <c r="P24" s="172"/>
    </row>
    <row r="25" spans="1:16" ht="16.5" customHeight="1" x14ac:dyDescent="0.3">
      <c r="A25" s="147">
        <v>15</v>
      </c>
      <c r="B25" s="147">
        <v>7056</v>
      </c>
      <c r="C25" s="155" t="s">
        <v>6928</v>
      </c>
      <c r="D25" s="167" t="s">
        <v>17310</v>
      </c>
      <c r="E25" s="150"/>
      <c r="F25" s="168"/>
      <c r="G25" s="169"/>
      <c r="H25" s="153"/>
      <c r="I25" s="152"/>
      <c r="J25" s="162" t="s">
        <v>5895</v>
      </c>
      <c r="K25" s="163" t="s">
        <v>1</v>
      </c>
      <c r="L25" s="164">
        <v>1</v>
      </c>
      <c r="M25" s="170"/>
      <c r="N25" s="174"/>
      <c r="O25" s="178">
        <v>456</v>
      </c>
      <c r="P25" s="172"/>
    </row>
    <row r="26" spans="1:16" ht="16.5" customHeight="1" x14ac:dyDescent="0.3">
      <c r="A26" s="147">
        <v>15</v>
      </c>
      <c r="B26" s="147">
        <v>7057</v>
      </c>
      <c r="C26" s="155" t="s">
        <v>6927</v>
      </c>
      <c r="D26" s="156" t="s">
        <v>17309</v>
      </c>
      <c r="E26" s="157">
        <v>591</v>
      </c>
      <c r="F26" s="158" t="s">
        <v>0</v>
      </c>
      <c r="G26" s="169"/>
      <c r="H26" s="153"/>
      <c r="I26" s="152"/>
      <c r="J26" s="162"/>
      <c r="K26" s="163"/>
      <c r="L26" s="164"/>
      <c r="M26" s="170"/>
      <c r="N26" s="171"/>
      <c r="O26" s="178">
        <v>665</v>
      </c>
      <c r="P26" s="172"/>
    </row>
    <row r="27" spans="1:16" ht="16.5" customHeight="1" x14ac:dyDescent="0.3">
      <c r="A27" s="147">
        <v>15</v>
      </c>
      <c r="B27" s="147">
        <v>7058</v>
      </c>
      <c r="C27" s="155" t="s">
        <v>6926</v>
      </c>
      <c r="D27" s="167" t="s">
        <v>17308</v>
      </c>
      <c r="E27" s="150"/>
      <c r="F27" s="168"/>
      <c r="G27" s="169" t="s">
        <v>17307</v>
      </c>
      <c r="H27" s="153"/>
      <c r="I27" s="152"/>
      <c r="J27" s="162" t="s">
        <v>5895</v>
      </c>
      <c r="K27" s="163" t="s">
        <v>1</v>
      </c>
      <c r="L27" s="164">
        <v>1</v>
      </c>
      <c r="M27" s="170" t="s">
        <v>17306</v>
      </c>
      <c r="N27" s="171"/>
      <c r="O27" s="178">
        <v>665</v>
      </c>
      <c r="P27" s="172"/>
    </row>
    <row r="28" spans="1:16" ht="16.5" customHeight="1" x14ac:dyDescent="0.3">
      <c r="A28" s="147">
        <v>15</v>
      </c>
      <c r="B28" s="147">
        <v>7059</v>
      </c>
      <c r="C28" s="155" t="s">
        <v>6925</v>
      </c>
      <c r="D28" s="156" t="s">
        <v>17305</v>
      </c>
      <c r="E28" s="157">
        <v>674</v>
      </c>
      <c r="F28" s="158" t="s">
        <v>0</v>
      </c>
      <c r="G28" s="169" t="s">
        <v>17304</v>
      </c>
      <c r="H28" s="153" t="s">
        <v>1</v>
      </c>
      <c r="I28" s="152">
        <v>0.9</v>
      </c>
      <c r="J28" s="162"/>
      <c r="K28" s="163"/>
      <c r="L28" s="164"/>
      <c r="M28" s="170"/>
      <c r="N28" s="174" t="s">
        <v>17303</v>
      </c>
      <c r="O28" s="178">
        <v>759</v>
      </c>
      <c r="P28" s="172"/>
    </row>
    <row r="29" spans="1:16" ht="16.5" customHeight="1" x14ac:dyDescent="0.3">
      <c r="A29" s="147">
        <v>15</v>
      </c>
      <c r="B29" s="147">
        <v>7060</v>
      </c>
      <c r="C29" s="155" t="s">
        <v>6924</v>
      </c>
      <c r="D29" s="167" t="s">
        <v>17302</v>
      </c>
      <c r="E29" s="150"/>
      <c r="F29" s="168"/>
      <c r="G29" s="169"/>
      <c r="H29" s="153"/>
      <c r="I29" s="152"/>
      <c r="J29" s="162" t="s">
        <v>5895</v>
      </c>
      <c r="K29" s="163" t="s">
        <v>1</v>
      </c>
      <c r="L29" s="164">
        <v>1</v>
      </c>
      <c r="M29" s="170"/>
      <c r="N29" s="171"/>
      <c r="O29" s="178">
        <v>759</v>
      </c>
      <c r="P29" s="172"/>
    </row>
    <row r="30" spans="1:16" ht="16.5" customHeight="1" x14ac:dyDescent="0.3">
      <c r="A30" s="147">
        <v>15</v>
      </c>
      <c r="B30" s="147">
        <v>7061</v>
      </c>
      <c r="C30" s="155" t="s">
        <v>6923</v>
      </c>
      <c r="D30" s="156" t="s">
        <v>17301</v>
      </c>
      <c r="E30" s="157">
        <v>758</v>
      </c>
      <c r="F30" s="158" t="s">
        <v>0</v>
      </c>
      <c r="G30" s="169"/>
      <c r="H30" s="153"/>
      <c r="I30" s="152"/>
      <c r="J30" s="162"/>
      <c r="K30" s="163"/>
      <c r="L30" s="164"/>
      <c r="M30" s="170" t="s">
        <v>1</v>
      </c>
      <c r="N30" s="192">
        <v>0.25</v>
      </c>
      <c r="O30" s="178">
        <v>853</v>
      </c>
      <c r="P30" s="172"/>
    </row>
    <row r="31" spans="1:16" ht="16.5" customHeight="1" x14ac:dyDescent="0.3">
      <c r="A31" s="147">
        <v>15</v>
      </c>
      <c r="B31" s="147">
        <v>7062</v>
      </c>
      <c r="C31" s="155" t="s">
        <v>6922</v>
      </c>
      <c r="D31" s="167" t="s">
        <v>17300</v>
      </c>
      <c r="E31" s="150"/>
      <c r="F31" s="168"/>
      <c r="G31" s="169"/>
      <c r="H31" s="153"/>
      <c r="I31" s="152"/>
      <c r="J31" s="162" t="s">
        <v>5895</v>
      </c>
      <c r="K31" s="163" t="s">
        <v>1</v>
      </c>
      <c r="L31" s="164">
        <v>1</v>
      </c>
      <c r="M31" s="170"/>
      <c r="N31" s="174" t="s">
        <v>17299</v>
      </c>
      <c r="O31" s="178">
        <v>853</v>
      </c>
      <c r="P31" s="172"/>
    </row>
    <row r="32" spans="1:16" ht="16.5" customHeight="1" x14ac:dyDescent="0.3">
      <c r="A32" s="147">
        <v>15</v>
      </c>
      <c r="B32" s="147">
        <v>7063</v>
      </c>
      <c r="C32" s="155" t="s">
        <v>6921</v>
      </c>
      <c r="D32" s="156" t="s">
        <v>17298</v>
      </c>
      <c r="E32" s="157">
        <v>842</v>
      </c>
      <c r="F32" s="158" t="s">
        <v>0</v>
      </c>
      <c r="G32" s="169"/>
      <c r="H32" s="153"/>
      <c r="I32" s="152"/>
      <c r="J32" s="162"/>
      <c r="K32" s="163"/>
      <c r="L32" s="164"/>
      <c r="M32" s="170"/>
      <c r="N32" s="171"/>
      <c r="O32" s="178">
        <v>948</v>
      </c>
      <c r="P32" s="172"/>
    </row>
    <row r="33" spans="1:16" ht="16.5" customHeight="1" x14ac:dyDescent="0.3">
      <c r="A33" s="147">
        <v>15</v>
      </c>
      <c r="B33" s="147">
        <v>7064</v>
      </c>
      <c r="C33" s="155" t="s">
        <v>6920</v>
      </c>
      <c r="D33" s="167" t="s">
        <v>17297</v>
      </c>
      <c r="E33" s="150"/>
      <c r="F33" s="168"/>
      <c r="G33" s="169"/>
      <c r="H33" s="153"/>
      <c r="I33" s="152"/>
      <c r="J33" s="162" t="s">
        <v>5895</v>
      </c>
      <c r="K33" s="163" t="s">
        <v>1</v>
      </c>
      <c r="L33" s="164">
        <v>1</v>
      </c>
      <c r="M33" s="170"/>
      <c r="N33" s="171"/>
      <c r="O33" s="178">
        <v>948</v>
      </c>
      <c r="P33" s="172"/>
    </row>
    <row r="34" spans="1:16" ht="16.5" customHeight="1" x14ac:dyDescent="0.3">
      <c r="A34" s="147">
        <v>15</v>
      </c>
      <c r="B34" s="147">
        <v>7065</v>
      </c>
      <c r="C34" s="155" t="s">
        <v>6919</v>
      </c>
      <c r="D34" s="156" t="s">
        <v>17296</v>
      </c>
      <c r="E34" s="157">
        <v>925</v>
      </c>
      <c r="F34" s="158" t="s">
        <v>0</v>
      </c>
      <c r="G34" s="169"/>
      <c r="H34" s="153"/>
      <c r="I34" s="152"/>
      <c r="J34" s="162"/>
      <c r="K34" s="163"/>
      <c r="L34" s="164"/>
      <c r="M34" s="170"/>
      <c r="N34" s="171"/>
      <c r="O34" s="178">
        <v>1041</v>
      </c>
      <c r="P34" s="172"/>
    </row>
    <row r="35" spans="1:16" ht="16.5" customHeight="1" x14ac:dyDescent="0.3">
      <c r="A35" s="147">
        <v>15</v>
      </c>
      <c r="B35" s="147">
        <v>7066</v>
      </c>
      <c r="C35" s="155" t="s">
        <v>6918</v>
      </c>
      <c r="D35" s="167" t="s">
        <v>17295</v>
      </c>
      <c r="E35" s="150"/>
      <c r="F35" s="168"/>
      <c r="G35" s="169"/>
      <c r="H35" s="153"/>
      <c r="I35" s="152"/>
      <c r="J35" s="162" t="s">
        <v>5895</v>
      </c>
      <c r="K35" s="163" t="s">
        <v>1</v>
      </c>
      <c r="L35" s="164">
        <v>1</v>
      </c>
      <c r="M35" s="170"/>
      <c r="N35" s="171"/>
      <c r="O35" s="178">
        <v>1041</v>
      </c>
      <c r="P35" s="172"/>
    </row>
    <row r="36" spans="1:16" ht="16.5" customHeight="1" x14ac:dyDescent="0.3">
      <c r="A36" s="147">
        <v>15</v>
      </c>
      <c r="B36" s="147">
        <v>7067</v>
      </c>
      <c r="C36" s="155" t="s">
        <v>6917</v>
      </c>
      <c r="D36" s="156" t="s">
        <v>17294</v>
      </c>
      <c r="E36" s="157">
        <v>1008</v>
      </c>
      <c r="F36" s="158" t="s">
        <v>0</v>
      </c>
      <c r="G36" s="169"/>
      <c r="H36" s="153"/>
      <c r="I36" s="152"/>
      <c r="J36" s="162"/>
      <c r="K36" s="163"/>
      <c r="L36" s="164"/>
      <c r="M36" s="170"/>
      <c r="N36" s="171"/>
      <c r="O36" s="178">
        <v>1134</v>
      </c>
      <c r="P36" s="172"/>
    </row>
    <row r="37" spans="1:16" ht="16.5" customHeight="1" x14ac:dyDescent="0.3">
      <c r="A37" s="147">
        <v>15</v>
      </c>
      <c r="B37" s="147">
        <v>7068</v>
      </c>
      <c r="C37" s="155" t="s">
        <v>6916</v>
      </c>
      <c r="D37" s="167" t="s">
        <v>17293</v>
      </c>
      <c r="E37" s="150"/>
      <c r="F37" s="168"/>
      <c r="G37" s="169"/>
      <c r="H37" s="153"/>
      <c r="I37" s="152"/>
      <c r="J37" s="162" t="s">
        <v>5895</v>
      </c>
      <c r="K37" s="163" t="s">
        <v>1</v>
      </c>
      <c r="L37" s="164">
        <v>1</v>
      </c>
      <c r="M37" s="170"/>
      <c r="N37" s="171"/>
      <c r="O37" s="178">
        <v>1134</v>
      </c>
      <c r="P37" s="172"/>
    </row>
    <row r="38" spans="1:16" ht="16.5" customHeight="1" x14ac:dyDescent="0.3">
      <c r="A38" s="147">
        <v>15</v>
      </c>
      <c r="B38" s="147">
        <v>7069</v>
      </c>
      <c r="C38" s="155" t="s">
        <v>6915</v>
      </c>
      <c r="D38" s="156" t="s">
        <v>17292</v>
      </c>
      <c r="E38" s="157">
        <v>1091</v>
      </c>
      <c r="F38" s="158" t="s">
        <v>0</v>
      </c>
      <c r="G38" s="169"/>
      <c r="H38" s="153"/>
      <c r="I38" s="152"/>
      <c r="J38" s="162"/>
      <c r="K38" s="163"/>
      <c r="L38" s="164"/>
      <c r="M38" s="170"/>
      <c r="N38" s="171"/>
      <c r="O38" s="178">
        <v>1228</v>
      </c>
      <c r="P38" s="172"/>
    </row>
    <row r="39" spans="1:16" ht="16.5" customHeight="1" x14ac:dyDescent="0.3">
      <c r="A39" s="147">
        <v>15</v>
      </c>
      <c r="B39" s="147">
        <v>7070</v>
      </c>
      <c r="C39" s="155" t="s">
        <v>6914</v>
      </c>
      <c r="D39" s="167" t="s">
        <v>17291</v>
      </c>
      <c r="E39" s="150"/>
      <c r="F39" s="168"/>
      <c r="G39" s="175"/>
      <c r="H39" s="150"/>
      <c r="I39" s="151"/>
      <c r="J39" s="162" t="s">
        <v>5895</v>
      </c>
      <c r="K39" s="163" t="s">
        <v>1</v>
      </c>
      <c r="L39" s="164">
        <v>1</v>
      </c>
      <c r="M39" s="176"/>
      <c r="N39" s="168"/>
      <c r="O39" s="178">
        <v>1228</v>
      </c>
      <c r="P39" s="177"/>
    </row>
    <row r="40" spans="1:16" ht="16.5" customHeight="1" x14ac:dyDescent="0.3"/>
    <row r="41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theme="1" tint="0.249977111117893"/>
    <pageSetUpPr fitToPage="1"/>
  </sheetPr>
  <dimension ref="A1:P34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2.62890625" style="47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6970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7071</v>
      </c>
      <c r="C7" s="155" t="s">
        <v>6969</v>
      </c>
      <c r="D7" s="156" t="s">
        <v>17103</v>
      </c>
      <c r="E7" s="157">
        <v>257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78">
        <v>347</v>
      </c>
      <c r="P7" s="142" t="s">
        <v>5863</v>
      </c>
    </row>
    <row r="8" spans="1:16" ht="16.5" customHeight="1" x14ac:dyDescent="0.3">
      <c r="A8" s="147">
        <v>15</v>
      </c>
      <c r="B8" s="147">
        <v>7072</v>
      </c>
      <c r="C8" s="155" t="s">
        <v>6968</v>
      </c>
      <c r="D8" s="167" t="s">
        <v>17079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78">
        <v>347</v>
      </c>
      <c r="P8" s="172"/>
    </row>
    <row r="9" spans="1:16" ht="16.5" customHeight="1" x14ac:dyDescent="0.3">
      <c r="A9" s="147">
        <v>15</v>
      </c>
      <c r="B9" s="147">
        <v>7073</v>
      </c>
      <c r="C9" s="155" t="s">
        <v>6967</v>
      </c>
      <c r="D9" s="156" t="s">
        <v>17098</v>
      </c>
      <c r="E9" s="157">
        <v>406</v>
      </c>
      <c r="F9" s="158" t="s">
        <v>0</v>
      </c>
      <c r="G9" s="169"/>
      <c r="H9" s="153"/>
      <c r="I9" s="152"/>
      <c r="J9" s="162"/>
      <c r="K9" s="163"/>
      <c r="L9" s="164"/>
      <c r="M9" s="170"/>
      <c r="N9" s="171"/>
      <c r="O9" s="178">
        <v>548</v>
      </c>
      <c r="P9" s="172"/>
    </row>
    <row r="10" spans="1:16" ht="16.5" customHeight="1" x14ac:dyDescent="0.3">
      <c r="A10" s="147">
        <v>15</v>
      </c>
      <c r="B10" s="147">
        <v>7074</v>
      </c>
      <c r="C10" s="155" t="s">
        <v>6966</v>
      </c>
      <c r="D10" s="167" t="s">
        <v>17337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4"/>
      <c r="O10" s="178">
        <v>548</v>
      </c>
      <c r="P10" s="172"/>
    </row>
    <row r="11" spans="1:16" ht="16.5" customHeight="1" x14ac:dyDescent="0.3">
      <c r="A11" s="147">
        <v>15</v>
      </c>
      <c r="B11" s="147">
        <v>7075</v>
      </c>
      <c r="C11" s="155" t="s">
        <v>6965</v>
      </c>
      <c r="D11" s="156" t="s">
        <v>17097</v>
      </c>
      <c r="E11" s="157">
        <v>591</v>
      </c>
      <c r="F11" s="158" t="s">
        <v>0</v>
      </c>
      <c r="G11" s="169"/>
      <c r="H11" s="153"/>
      <c r="I11" s="152"/>
      <c r="J11" s="162"/>
      <c r="K11" s="163"/>
      <c r="L11" s="164"/>
      <c r="M11" s="170"/>
      <c r="N11" s="171"/>
      <c r="O11" s="178">
        <v>798</v>
      </c>
      <c r="P11" s="172"/>
    </row>
    <row r="12" spans="1:16" ht="16.5" customHeight="1" x14ac:dyDescent="0.3">
      <c r="A12" s="147">
        <v>15</v>
      </c>
      <c r="B12" s="147">
        <v>7076</v>
      </c>
      <c r="C12" s="155" t="s">
        <v>6964</v>
      </c>
      <c r="D12" s="167" t="s">
        <v>17336</v>
      </c>
      <c r="E12" s="150"/>
      <c r="F12" s="168"/>
      <c r="G12" s="169" t="s">
        <v>17335</v>
      </c>
      <c r="H12" s="153"/>
      <c r="I12" s="152"/>
      <c r="J12" s="162" t="s">
        <v>5895</v>
      </c>
      <c r="K12" s="163" t="s">
        <v>1</v>
      </c>
      <c r="L12" s="164">
        <v>1</v>
      </c>
      <c r="M12" s="170" t="s">
        <v>17102</v>
      </c>
      <c r="N12" s="171"/>
      <c r="O12" s="178">
        <v>798</v>
      </c>
      <c r="P12" s="172"/>
    </row>
    <row r="13" spans="1:16" ht="16.5" customHeight="1" x14ac:dyDescent="0.3">
      <c r="A13" s="147">
        <v>15</v>
      </c>
      <c r="B13" s="147">
        <v>7077</v>
      </c>
      <c r="C13" s="155" t="s">
        <v>6963</v>
      </c>
      <c r="D13" s="156" t="s">
        <v>17096</v>
      </c>
      <c r="E13" s="157">
        <v>674</v>
      </c>
      <c r="F13" s="158" t="s">
        <v>0</v>
      </c>
      <c r="G13" s="169" t="s">
        <v>17077</v>
      </c>
      <c r="H13" s="153" t="s">
        <v>1</v>
      </c>
      <c r="I13" s="152">
        <v>0.9</v>
      </c>
      <c r="J13" s="162"/>
      <c r="K13" s="163"/>
      <c r="L13" s="164"/>
      <c r="M13" s="170"/>
      <c r="N13" s="174" t="s">
        <v>17334</v>
      </c>
      <c r="O13" s="178">
        <v>911</v>
      </c>
      <c r="P13" s="172"/>
    </row>
    <row r="14" spans="1:16" ht="16.5" customHeight="1" x14ac:dyDescent="0.3">
      <c r="A14" s="147">
        <v>15</v>
      </c>
      <c r="B14" s="147">
        <v>7078</v>
      </c>
      <c r="C14" s="155" t="s">
        <v>6962</v>
      </c>
      <c r="D14" s="167" t="s">
        <v>17333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78">
        <v>911</v>
      </c>
      <c r="P14" s="172"/>
    </row>
    <row r="15" spans="1:16" ht="16.5" customHeight="1" x14ac:dyDescent="0.3">
      <c r="A15" s="147">
        <v>15</v>
      </c>
      <c r="B15" s="147">
        <v>7079</v>
      </c>
      <c r="C15" s="155" t="s">
        <v>6961</v>
      </c>
      <c r="D15" s="156" t="s">
        <v>17095</v>
      </c>
      <c r="E15" s="157">
        <v>758</v>
      </c>
      <c r="F15" s="158" t="s">
        <v>0</v>
      </c>
      <c r="G15" s="169"/>
      <c r="H15" s="153"/>
      <c r="I15" s="152"/>
      <c r="J15" s="162"/>
      <c r="K15" s="163"/>
      <c r="L15" s="164"/>
      <c r="M15" s="170" t="s">
        <v>1</v>
      </c>
      <c r="N15" s="192">
        <v>0.5</v>
      </c>
      <c r="O15" s="178">
        <v>1023</v>
      </c>
      <c r="P15" s="172"/>
    </row>
    <row r="16" spans="1:16" ht="16.5" customHeight="1" x14ac:dyDescent="0.3">
      <c r="A16" s="147">
        <v>15</v>
      </c>
      <c r="B16" s="147">
        <v>7080</v>
      </c>
      <c r="C16" s="155" t="s">
        <v>6960</v>
      </c>
      <c r="D16" s="167" t="s">
        <v>17332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0"/>
      <c r="N16" s="174" t="s">
        <v>17248</v>
      </c>
      <c r="O16" s="178">
        <v>1023</v>
      </c>
      <c r="P16" s="172"/>
    </row>
    <row r="17" spans="1:16" ht="16.5" customHeight="1" x14ac:dyDescent="0.3">
      <c r="A17" s="147">
        <v>15</v>
      </c>
      <c r="B17" s="147">
        <v>7081</v>
      </c>
      <c r="C17" s="155" t="s">
        <v>6959</v>
      </c>
      <c r="D17" s="156" t="s">
        <v>17094</v>
      </c>
      <c r="E17" s="157">
        <v>842</v>
      </c>
      <c r="F17" s="158" t="s">
        <v>0</v>
      </c>
      <c r="G17" s="169"/>
      <c r="H17" s="153"/>
      <c r="I17" s="152"/>
      <c r="J17" s="162"/>
      <c r="K17" s="163"/>
      <c r="L17" s="164"/>
      <c r="M17" s="170"/>
      <c r="N17" s="171"/>
      <c r="O17" s="178">
        <v>1137</v>
      </c>
      <c r="P17" s="172"/>
    </row>
    <row r="18" spans="1:16" ht="16.5" customHeight="1" x14ac:dyDescent="0.3">
      <c r="A18" s="147">
        <v>15</v>
      </c>
      <c r="B18" s="147">
        <v>7082</v>
      </c>
      <c r="C18" s="155" t="s">
        <v>6958</v>
      </c>
      <c r="D18" s="167" t="s">
        <v>17331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0"/>
      <c r="N18" s="171"/>
      <c r="O18" s="178">
        <v>1137</v>
      </c>
      <c r="P18" s="172"/>
    </row>
    <row r="19" spans="1:16" ht="16.5" customHeight="1" x14ac:dyDescent="0.3">
      <c r="A19" s="147">
        <v>15</v>
      </c>
      <c r="B19" s="147">
        <v>7083</v>
      </c>
      <c r="C19" s="155" t="s">
        <v>6957</v>
      </c>
      <c r="D19" s="156" t="s">
        <v>17091</v>
      </c>
      <c r="E19" s="157">
        <v>925</v>
      </c>
      <c r="F19" s="158" t="s">
        <v>0</v>
      </c>
      <c r="G19" s="169"/>
      <c r="H19" s="153"/>
      <c r="I19" s="152"/>
      <c r="J19" s="162"/>
      <c r="K19" s="163"/>
      <c r="L19" s="164"/>
      <c r="M19" s="170"/>
      <c r="N19" s="171"/>
      <c r="O19" s="178">
        <v>1250</v>
      </c>
      <c r="P19" s="172"/>
    </row>
    <row r="20" spans="1:16" ht="16.5" customHeight="1" x14ac:dyDescent="0.3">
      <c r="A20" s="147">
        <v>15</v>
      </c>
      <c r="B20" s="147">
        <v>7084</v>
      </c>
      <c r="C20" s="155" t="s">
        <v>6956</v>
      </c>
      <c r="D20" s="167" t="s">
        <v>17330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0"/>
      <c r="N20" s="171"/>
      <c r="O20" s="178">
        <v>1250</v>
      </c>
      <c r="P20" s="172"/>
    </row>
    <row r="21" spans="1:16" ht="16.5" customHeight="1" x14ac:dyDescent="0.3">
      <c r="A21" s="147">
        <v>15</v>
      </c>
      <c r="B21" s="147">
        <v>7085</v>
      </c>
      <c r="C21" s="155" t="s">
        <v>6955</v>
      </c>
      <c r="D21" s="156" t="s">
        <v>17089</v>
      </c>
      <c r="E21" s="157">
        <v>1008</v>
      </c>
      <c r="F21" s="158" t="s">
        <v>0</v>
      </c>
      <c r="G21" s="169"/>
      <c r="H21" s="153"/>
      <c r="I21" s="152"/>
      <c r="J21" s="162"/>
      <c r="K21" s="163"/>
      <c r="L21" s="164"/>
      <c r="M21" s="170"/>
      <c r="N21" s="171"/>
      <c r="O21" s="178">
        <v>1361</v>
      </c>
      <c r="P21" s="172"/>
    </row>
    <row r="22" spans="1:16" ht="16.5" customHeight="1" x14ac:dyDescent="0.3">
      <c r="A22" s="147">
        <v>15</v>
      </c>
      <c r="B22" s="147">
        <v>7086</v>
      </c>
      <c r="C22" s="155" t="s">
        <v>6954</v>
      </c>
      <c r="D22" s="167" t="s">
        <v>17329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0"/>
      <c r="N22" s="171"/>
      <c r="O22" s="178">
        <v>1361</v>
      </c>
      <c r="P22" s="172"/>
    </row>
    <row r="23" spans="1:16" ht="16.5" customHeight="1" x14ac:dyDescent="0.3">
      <c r="A23" s="147">
        <v>15</v>
      </c>
      <c r="B23" s="147">
        <v>7087</v>
      </c>
      <c r="C23" s="155" t="s">
        <v>6953</v>
      </c>
      <c r="D23" s="156" t="s">
        <v>17083</v>
      </c>
      <c r="E23" s="157">
        <v>1091</v>
      </c>
      <c r="F23" s="158" t="s">
        <v>0</v>
      </c>
      <c r="G23" s="169"/>
      <c r="H23" s="153"/>
      <c r="I23" s="152"/>
      <c r="J23" s="162"/>
      <c r="K23" s="163"/>
      <c r="L23" s="164"/>
      <c r="M23" s="170"/>
      <c r="N23" s="171"/>
      <c r="O23" s="178">
        <v>1473</v>
      </c>
      <c r="P23" s="172"/>
    </row>
    <row r="24" spans="1:16" ht="16.5" customHeight="1" x14ac:dyDescent="0.3">
      <c r="A24" s="147">
        <v>15</v>
      </c>
      <c r="B24" s="147">
        <v>7088</v>
      </c>
      <c r="C24" s="155" t="s">
        <v>6952</v>
      </c>
      <c r="D24" s="167" t="s">
        <v>17328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0"/>
      <c r="N24" s="171"/>
      <c r="O24" s="178">
        <v>1473</v>
      </c>
      <c r="P24" s="172"/>
    </row>
    <row r="25" spans="1:16" ht="16.5" customHeight="1" x14ac:dyDescent="0.3">
      <c r="A25" s="147">
        <v>15</v>
      </c>
      <c r="B25" s="147">
        <v>7089</v>
      </c>
      <c r="C25" s="155" t="s">
        <v>6951</v>
      </c>
      <c r="D25" s="156" t="s">
        <v>17327</v>
      </c>
      <c r="E25" s="157">
        <v>1174</v>
      </c>
      <c r="F25" s="158" t="s">
        <v>0</v>
      </c>
      <c r="G25" s="169"/>
      <c r="H25" s="153"/>
      <c r="I25" s="152"/>
      <c r="J25" s="162"/>
      <c r="K25" s="163"/>
      <c r="L25" s="164"/>
      <c r="M25" s="170"/>
      <c r="N25" s="171"/>
      <c r="O25" s="178">
        <v>1586</v>
      </c>
      <c r="P25" s="172"/>
    </row>
    <row r="26" spans="1:16" ht="16.5" customHeight="1" x14ac:dyDescent="0.3">
      <c r="A26" s="147">
        <v>15</v>
      </c>
      <c r="B26" s="147">
        <v>7090</v>
      </c>
      <c r="C26" s="155" t="s">
        <v>6950</v>
      </c>
      <c r="D26" s="167" t="s">
        <v>17326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0"/>
      <c r="N26" s="171"/>
      <c r="O26" s="178">
        <v>1586</v>
      </c>
      <c r="P26" s="172"/>
    </row>
    <row r="27" spans="1:16" ht="16.5" customHeight="1" x14ac:dyDescent="0.3">
      <c r="A27" s="147">
        <v>15</v>
      </c>
      <c r="B27" s="147">
        <v>7091</v>
      </c>
      <c r="C27" s="155" t="s">
        <v>6949</v>
      </c>
      <c r="D27" s="156" t="s">
        <v>17325</v>
      </c>
      <c r="E27" s="157">
        <v>1257</v>
      </c>
      <c r="F27" s="158" t="s">
        <v>0</v>
      </c>
      <c r="G27" s="169"/>
      <c r="H27" s="153"/>
      <c r="I27" s="152"/>
      <c r="J27" s="162"/>
      <c r="K27" s="163"/>
      <c r="L27" s="164"/>
      <c r="M27" s="170"/>
      <c r="N27" s="171"/>
      <c r="O27" s="178">
        <v>1697</v>
      </c>
      <c r="P27" s="172"/>
    </row>
    <row r="28" spans="1:16" ht="16.5" customHeight="1" x14ac:dyDescent="0.3">
      <c r="A28" s="147">
        <v>15</v>
      </c>
      <c r="B28" s="147">
        <v>7092</v>
      </c>
      <c r="C28" s="155" t="s">
        <v>6948</v>
      </c>
      <c r="D28" s="167" t="s">
        <v>17324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0"/>
      <c r="N28" s="171"/>
      <c r="O28" s="178">
        <v>1697</v>
      </c>
      <c r="P28" s="172"/>
    </row>
    <row r="29" spans="1:16" ht="16.5" customHeight="1" x14ac:dyDescent="0.3">
      <c r="A29" s="147">
        <v>15</v>
      </c>
      <c r="B29" s="147">
        <v>7093</v>
      </c>
      <c r="C29" s="155" t="s">
        <v>6947</v>
      </c>
      <c r="D29" s="156" t="s">
        <v>17323</v>
      </c>
      <c r="E29" s="157">
        <v>1340</v>
      </c>
      <c r="F29" s="158" t="s">
        <v>0</v>
      </c>
      <c r="G29" s="169"/>
      <c r="H29" s="153"/>
      <c r="I29" s="152"/>
      <c r="J29" s="162"/>
      <c r="K29" s="163"/>
      <c r="L29" s="164"/>
      <c r="M29" s="170"/>
      <c r="N29" s="171"/>
      <c r="O29" s="178">
        <v>1809</v>
      </c>
      <c r="P29" s="172"/>
    </row>
    <row r="30" spans="1:16" ht="16.5" customHeight="1" x14ac:dyDescent="0.3">
      <c r="A30" s="147">
        <v>15</v>
      </c>
      <c r="B30" s="147">
        <v>7094</v>
      </c>
      <c r="C30" s="155" t="s">
        <v>6946</v>
      </c>
      <c r="D30" s="167" t="s">
        <v>17322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0"/>
      <c r="N30" s="171"/>
      <c r="O30" s="178">
        <v>1809</v>
      </c>
      <c r="P30" s="172"/>
    </row>
    <row r="31" spans="1:16" ht="16.5" customHeight="1" x14ac:dyDescent="0.3">
      <c r="A31" s="147">
        <v>15</v>
      </c>
      <c r="B31" s="147">
        <v>7095</v>
      </c>
      <c r="C31" s="155" t="s">
        <v>6945</v>
      </c>
      <c r="D31" s="156" t="s">
        <v>17321</v>
      </c>
      <c r="E31" s="157">
        <v>1423</v>
      </c>
      <c r="F31" s="158" t="s">
        <v>0</v>
      </c>
      <c r="G31" s="169"/>
      <c r="H31" s="153"/>
      <c r="I31" s="152"/>
      <c r="J31" s="162"/>
      <c r="K31" s="163"/>
      <c r="L31" s="164"/>
      <c r="M31" s="170"/>
      <c r="N31" s="171"/>
      <c r="O31" s="178">
        <v>1922</v>
      </c>
      <c r="P31" s="172"/>
    </row>
    <row r="32" spans="1:16" ht="16.5" customHeight="1" x14ac:dyDescent="0.3">
      <c r="A32" s="147">
        <v>15</v>
      </c>
      <c r="B32" s="147">
        <v>7096</v>
      </c>
      <c r="C32" s="155" t="s">
        <v>6944</v>
      </c>
      <c r="D32" s="167" t="s">
        <v>17320</v>
      </c>
      <c r="E32" s="150"/>
      <c r="F32" s="168"/>
      <c r="G32" s="175"/>
      <c r="H32" s="150"/>
      <c r="I32" s="151"/>
      <c r="J32" s="162" t="s">
        <v>5895</v>
      </c>
      <c r="K32" s="163" t="s">
        <v>1</v>
      </c>
      <c r="L32" s="164">
        <v>1</v>
      </c>
      <c r="M32" s="176"/>
      <c r="N32" s="168"/>
      <c r="O32" s="178">
        <v>1922</v>
      </c>
      <c r="P32" s="177"/>
    </row>
    <row r="33" spans="3:16" s="44" customFormat="1" ht="16.5" customHeight="1" x14ac:dyDescent="0.3">
      <c r="C33" s="45"/>
      <c r="D33" s="45"/>
      <c r="E33" s="46"/>
      <c r="F33" s="46"/>
      <c r="G33" s="46"/>
      <c r="H33" s="46"/>
      <c r="I33" s="47"/>
      <c r="J33" s="46"/>
      <c r="K33" s="46"/>
      <c r="L33" s="47"/>
      <c r="M33" s="47"/>
      <c r="N33" s="46"/>
      <c r="O33" s="84"/>
      <c r="P33" s="48"/>
    </row>
    <row r="34" spans="3:16" s="44" customFormat="1" ht="16.5" customHeight="1" x14ac:dyDescent="0.3">
      <c r="C34" s="45"/>
      <c r="D34" s="45"/>
      <c r="E34" s="46"/>
      <c r="F34" s="46"/>
      <c r="G34" s="46"/>
      <c r="H34" s="46"/>
      <c r="I34" s="47"/>
      <c r="J34" s="46"/>
      <c r="K34" s="46"/>
      <c r="L34" s="47"/>
      <c r="M34" s="47"/>
      <c r="N34" s="46"/>
      <c r="O34" s="84"/>
      <c r="P34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94"/>
  <sheetViews>
    <sheetView workbookViewId="0"/>
  </sheetViews>
  <sheetFormatPr defaultColWidth="9" defaultRowHeight="12.9" x14ac:dyDescent="0.3"/>
  <cols>
    <col min="1" max="1" width="9" style="239"/>
    <col min="2" max="2" width="52.3671875" style="239" customWidth="1"/>
    <col min="3" max="3" width="8.47265625" style="239" customWidth="1"/>
    <col min="4" max="16384" width="9" style="239"/>
  </cols>
  <sheetData>
    <row r="1" spans="1:3" x14ac:dyDescent="0.3">
      <c r="B1" s="240" t="s">
        <v>16599</v>
      </c>
    </row>
    <row r="3" spans="1:3" x14ac:dyDescent="0.3">
      <c r="A3" s="241" t="s">
        <v>16332</v>
      </c>
      <c r="B3" s="242" t="s">
        <v>16600</v>
      </c>
      <c r="C3" s="243" t="s">
        <v>16333</v>
      </c>
    </row>
    <row r="4" spans="1:3" x14ac:dyDescent="0.3">
      <c r="A4" s="241">
        <v>1</v>
      </c>
      <c r="B4" s="241" t="s">
        <v>16601</v>
      </c>
      <c r="C4" s="247">
        <v>184</v>
      </c>
    </row>
    <row r="5" spans="1:3" x14ac:dyDescent="0.3">
      <c r="A5" s="241">
        <v>2</v>
      </c>
      <c r="B5" s="241" t="s">
        <v>16602</v>
      </c>
      <c r="C5" s="247">
        <v>292</v>
      </c>
    </row>
    <row r="6" spans="1:3" x14ac:dyDescent="0.3">
      <c r="A6" s="241">
        <v>3</v>
      </c>
      <c r="B6" s="241" t="s">
        <v>16603</v>
      </c>
      <c r="C6" s="247">
        <v>421</v>
      </c>
    </row>
    <row r="7" spans="1:3" x14ac:dyDescent="0.3">
      <c r="A7" s="241">
        <v>4</v>
      </c>
      <c r="B7" s="241" t="s">
        <v>16604</v>
      </c>
      <c r="C7" s="247">
        <v>485</v>
      </c>
    </row>
    <row r="8" spans="1:3" x14ac:dyDescent="0.3">
      <c r="A8" s="241">
        <v>5</v>
      </c>
      <c r="B8" s="241" t="s">
        <v>16605</v>
      </c>
      <c r="C8" s="247">
        <v>548</v>
      </c>
    </row>
    <row r="9" spans="1:3" x14ac:dyDescent="0.3">
      <c r="A9" s="241">
        <v>6</v>
      </c>
      <c r="B9" s="241" t="s">
        <v>16606</v>
      </c>
      <c r="C9" s="247">
        <v>611</v>
      </c>
    </row>
    <row r="10" spans="1:3" x14ac:dyDescent="0.3">
      <c r="A10" s="241">
        <v>7</v>
      </c>
      <c r="B10" s="241" t="s">
        <v>16607</v>
      </c>
      <c r="C10" s="247">
        <v>674</v>
      </c>
    </row>
    <row r="11" spans="1:3" x14ac:dyDescent="0.3">
      <c r="A11" s="241">
        <v>8</v>
      </c>
      <c r="B11" s="241" t="s">
        <v>16608</v>
      </c>
      <c r="C11" s="247">
        <v>737</v>
      </c>
    </row>
    <row r="12" spans="1:3" x14ac:dyDescent="0.3">
      <c r="A12" s="241">
        <v>9</v>
      </c>
      <c r="B12" s="241" t="s">
        <v>16609</v>
      </c>
      <c r="C12" s="247">
        <v>800</v>
      </c>
    </row>
    <row r="13" spans="1:3" x14ac:dyDescent="0.3">
      <c r="A13" s="241">
        <v>10</v>
      </c>
      <c r="B13" s="241" t="s">
        <v>16610</v>
      </c>
      <c r="C13" s="247">
        <v>863</v>
      </c>
    </row>
    <row r="14" spans="1:3" x14ac:dyDescent="0.3">
      <c r="A14" s="241">
        <v>11</v>
      </c>
      <c r="B14" s="241" t="s">
        <v>16611</v>
      </c>
      <c r="C14" s="247">
        <v>926</v>
      </c>
    </row>
    <row r="15" spans="1:3" x14ac:dyDescent="0.3">
      <c r="A15" s="241">
        <v>12</v>
      </c>
      <c r="B15" s="241" t="s">
        <v>16612</v>
      </c>
      <c r="C15" s="247">
        <v>989</v>
      </c>
    </row>
    <row r="16" spans="1:3" x14ac:dyDescent="0.3">
      <c r="A16" s="241">
        <v>13</v>
      </c>
      <c r="B16" s="241" t="s">
        <v>16613</v>
      </c>
      <c r="C16" s="247">
        <v>1052</v>
      </c>
    </row>
    <row r="17" spans="1:3" x14ac:dyDescent="0.3">
      <c r="A17" s="241">
        <v>14</v>
      </c>
      <c r="B17" s="241" t="s">
        <v>16614</v>
      </c>
      <c r="C17" s="247">
        <v>1115</v>
      </c>
    </row>
    <row r="18" spans="1:3" x14ac:dyDescent="0.3">
      <c r="A18" s="241">
        <v>15</v>
      </c>
      <c r="B18" s="241" t="s">
        <v>16615</v>
      </c>
      <c r="C18" s="247">
        <v>1178</v>
      </c>
    </row>
    <row r="19" spans="1:3" x14ac:dyDescent="0.3">
      <c r="A19" s="241">
        <v>16</v>
      </c>
      <c r="B19" s="241" t="s">
        <v>16616</v>
      </c>
      <c r="C19" s="247">
        <v>1241</v>
      </c>
    </row>
    <row r="20" spans="1:3" x14ac:dyDescent="0.3">
      <c r="A20" s="241">
        <v>17</v>
      </c>
      <c r="B20" s="241" t="s">
        <v>16617</v>
      </c>
      <c r="C20" s="247">
        <v>1304</v>
      </c>
    </row>
    <row r="21" spans="1:3" x14ac:dyDescent="0.3">
      <c r="A21" s="241">
        <v>18</v>
      </c>
      <c r="B21" s="241" t="s">
        <v>16618</v>
      </c>
      <c r="C21" s="247">
        <v>1367</v>
      </c>
    </row>
    <row r="22" spans="1:3" x14ac:dyDescent="0.3">
      <c r="A22" s="241">
        <v>19</v>
      </c>
      <c r="B22" s="241" t="s">
        <v>16619</v>
      </c>
      <c r="C22" s="247">
        <v>1430</v>
      </c>
    </row>
    <row r="23" spans="1:3" x14ac:dyDescent="0.3">
      <c r="A23" s="241">
        <v>20</v>
      </c>
      <c r="B23" s="241" t="s">
        <v>16620</v>
      </c>
      <c r="C23" s="247">
        <v>1493</v>
      </c>
    </row>
    <row r="24" spans="1:3" x14ac:dyDescent="0.3">
      <c r="A24" s="241">
        <v>21</v>
      </c>
      <c r="B24" s="241" t="s">
        <v>16621</v>
      </c>
      <c r="C24" s="247">
        <v>1556</v>
      </c>
    </row>
    <row r="25" spans="1:3" x14ac:dyDescent="0.3">
      <c r="A25" s="241">
        <v>22</v>
      </c>
      <c r="B25" s="242" t="s">
        <v>16622</v>
      </c>
      <c r="C25" s="247">
        <v>63</v>
      </c>
    </row>
    <row r="26" spans="1:3" x14ac:dyDescent="0.3">
      <c r="A26" s="241">
        <v>23</v>
      </c>
      <c r="B26" s="241" t="s">
        <v>16623</v>
      </c>
      <c r="C26" s="247">
        <v>126</v>
      </c>
    </row>
    <row r="27" spans="1:3" x14ac:dyDescent="0.3">
      <c r="A27" s="241">
        <v>24</v>
      </c>
      <c r="B27" s="241" t="s">
        <v>16624</v>
      </c>
      <c r="C27" s="247">
        <v>189</v>
      </c>
    </row>
    <row r="28" spans="1:3" x14ac:dyDescent="0.3">
      <c r="A28" s="241">
        <v>25</v>
      </c>
      <c r="B28" s="241" t="s">
        <v>16625</v>
      </c>
      <c r="C28" s="247">
        <v>252</v>
      </c>
    </row>
    <row r="29" spans="1:3" x14ac:dyDescent="0.3">
      <c r="A29" s="241">
        <v>26</v>
      </c>
      <c r="B29" s="241" t="s">
        <v>16626</v>
      </c>
      <c r="C29" s="247">
        <v>315</v>
      </c>
    </row>
    <row r="30" spans="1:3" x14ac:dyDescent="0.3">
      <c r="A30" s="241">
        <v>27</v>
      </c>
      <c r="B30" s="241" t="s">
        <v>16627</v>
      </c>
      <c r="C30" s="247">
        <v>378</v>
      </c>
    </row>
    <row r="31" spans="1:3" x14ac:dyDescent="0.3">
      <c r="A31" s="241">
        <v>28</v>
      </c>
      <c r="B31" s="241" t="s">
        <v>16628</v>
      </c>
      <c r="C31" s="247">
        <v>441</v>
      </c>
    </row>
    <row r="32" spans="1:3" x14ac:dyDescent="0.3">
      <c r="A32" s="241">
        <v>29</v>
      </c>
      <c r="B32" s="241" t="s">
        <v>16629</v>
      </c>
      <c r="C32" s="247">
        <v>504</v>
      </c>
    </row>
    <row r="33" spans="1:3" x14ac:dyDescent="0.3">
      <c r="A33" s="241">
        <v>30</v>
      </c>
      <c r="B33" s="241" t="s">
        <v>16630</v>
      </c>
      <c r="C33" s="247">
        <v>567</v>
      </c>
    </row>
    <row r="34" spans="1:3" x14ac:dyDescent="0.3">
      <c r="A34" s="241">
        <v>31</v>
      </c>
      <c r="B34" s="241" t="s">
        <v>16631</v>
      </c>
      <c r="C34" s="247">
        <v>630</v>
      </c>
    </row>
    <row r="35" spans="1:3" x14ac:dyDescent="0.3">
      <c r="A35" s="241">
        <v>32</v>
      </c>
      <c r="B35" s="241" t="s">
        <v>16632</v>
      </c>
      <c r="C35" s="247">
        <v>693</v>
      </c>
    </row>
    <row r="36" spans="1:3" x14ac:dyDescent="0.3">
      <c r="A36" s="241">
        <v>33</v>
      </c>
      <c r="B36" s="241" t="s">
        <v>16633</v>
      </c>
      <c r="C36" s="247">
        <v>756</v>
      </c>
    </row>
    <row r="37" spans="1:3" x14ac:dyDescent="0.3">
      <c r="A37" s="241">
        <v>34</v>
      </c>
      <c r="B37" s="241" t="s">
        <v>16634</v>
      </c>
      <c r="C37" s="247">
        <v>819</v>
      </c>
    </row>
    <row r="38" spans="1:3" x14ac:dyDescent="0.3">
      <c r="A38" s="241">
        <v>35</v>
      </c>
      <c r="B38" s="241" t="s">
        <v>16635</v>
      </c>
      <c r="C38" s="247">
        <v>882</v>
      </c>
    </row>
    <row r="39" spans="1:3" x14ac:dyDescent="0.3">
      <c r="A39" s="241">
        <v>36</v>
      </c>
      <c r="B39" s="241" t="s">
        <v>16636</v>
      </c>
      <c r="C39" s="247">
        <v>945</v>
      </c>
    </row>
    <row r="40" spans="1:3" x14ac:dyDescent="0.3">
      <c r="A40" s="241">
        <v>37</v>
      </c>
      <c r="B40" s="241" t="s">
        <v>16637</v>
      </c>
      <c r="C40" s="247">
        <v>1008</v>
      </c>
    </row>
    <row r="41" spans="1:3" x14ac:dyDescent="0.3">
      <c r="A41" s="241">
        <v>38</v>
      </c>
      <c r="B41" s="241" t="s">
        <v>16638</v>
      </c>
      <c r="C41" s="247">
        <v>1071</v>
      </c>
    </row>
    <row r="42" spans="1:3" x14ac:dyDescent="0.3">
      <c r="A42" s="241">
        <v>39</v>
      </c>
      <c r="B42" s="241" t="s">
        <v>16639</v>
      </c>
      <c r="C42" s="247">
        <v>1134</v>
      </c>
    </row>
    <row r="43" spans="1:3" x14ac:dyDescent="0.3">
      <c r="A43" s="241">
        <v>40</v>
      </c>
      <c r="B43" s="241" t="s">
        <v>16640</v>
      </c>
      <c r="C43" s="247">
        <v>1197</v>
      </c>
    </row>
    <row r="44" spans="1:3" x14ac:dyDescent="0.3">
      <c r="A44" s="241">
        <v>41</v>
      </c>
      <c r="B44" s="241" t="s">
        <v>16641</v>
      </c>
      <c r="C44" s="247">
        <v>1260</v>
      </c>
    </row>
    <row r="45" spans="1:3" x14ac:dyDescent="0.3">
      <c r="A45" s="241">
        <v>42</v>
      </c>
      <c r="B45" s="241" t="s">
        <v>16642</v>
      </c>
      <c r="C45" s="247">
        <v>1323</v>
      </c>
    </row>
    <row r="46" spans="1:3" x14ac:dyDescent="0.3">
      <c r="A46" s="241">
        <v>43</v>
      </c>
      <c r="B46" s="241" t="s">
        <v>16643</v>
      </c>
      <c r="C46" s="247">
        <v>108</v>
      </c>
    </row>
    <row r="47" spans="1:3" x14ac:dyDescent="0.3">
      <c r="A47" s="241">
        <v>44</v>
      </c>
      <c r="B47" s="241" t="s">
        <v>16644</v>
      </c>
      <c r="C47" s="247">
        <v>237</v>
      </c>
    </row>
    <row r="48" spans="1:3" x14ac:dyDescent="0.3">
      <c r="A48" s="241">
        <v>45</v>
      </c>
      <c r="B48" s="241" t="s">
        <v>16645</v>
      </c>
      <c r="C48" s="247">
        <v>301</v>
      </c>
    </row>
    <row r="49" spans="1:3" x14ac:dyDescent="0.3">
      <c r="A49" s="241">
        <v>46</v>
      </c>
      <c r="B49" s="241" t="s">
        <v>16646</v>
      </c>
      <c r="C49" s="247">
        <v>364</v>
      </c>
    </row>
    <row r="50" spans="1:3" x14ac:dyDescent="0.3">
      <c r="A50" s="241">
        <v>47</v>
      </c>
      <c r="B50" s="241" t="s">
        <v>16647</v>
      </c>
      <c r="C50" s="247">
        <v>427</v>
      </c>
    </row>
    <row r="51" spans="1:3" x14ac:dyDescent="0.3">
      <c r="A51" s="241">
        <v>48</v>
      </c>
      <c r="B51" s="241" t="s">
        <v>16648</v>
      </c>
      <c r="C51" s="247">
        <v>129</v>
      </c>
    </row>
    <row r="52" spans="1:3" x14ac:dyDescent="0.3">
      <c r="A52" s="241">
        <v>49</v>
      </c>
      <c r="B52" s="241" t="s">
        <v>16649</v>
      </c>
      <c r="C52" s="247">
        <v>193</v>
      </c>
    </row>
    <row r="53" spans="1:3" x14ac:dyDescent="0.3">
      <c r="A53" s="241">
        <v>50</v>
      </c>
      <c r="B53" s="241" t="s">
        <v>16650</v>
      </c>
      <c r="C53" s="247">
        <v>256</v>
      </c>
    </row>
    <row r="54" spans="1:3" x14ac:dyDescent="0.3">
      <c r="A54" s="241">
        <v>51</v>
      </c>
      <c r="B54" s="241" t="s">
        <v>16651</v>
      </c>
      <c r="C54" s="247">
        <v>319</v>
      </c>
    </row>
    <row r="55" spans="1:3" x14ac:dyDescent="0.3">
      <c r="A55" s="241">
        <v>52</v>
      </c>
      <c r="B55" s="241" t="s">
        <v>16652</v>
      </c>
      <c r="C55" s="247">
        <v>64</v>
      </c>
    </row>
    <row r="56" spans="1:3" x14ac:dyDescent="0.3">
      <c r="A56" s="241">
        <v>53</v>
      </c>
      <c r="B56" s="241" t="s">
        <v>16653</v>
      </c>
      <c r="C56" s="247">
        <v>127</v>
      </c>
    </row>
    <row r="57" spans="1:3" x14ac:dyDescent="0.3">
      <c r="A57" s="241">
        <v>54</v>
      </c>
      <c r="B57" s="241" t="s">
        <v>16654</v>
      </c>
      <c r="C57" s="247">
        <v>190</v>
      </c>
    </row>
    <row r="58" spans="1:3" x14ac:dyDescent="0.3">
      <c r="A58" s="241">
        <v>55</v>
      </c>
      <c r="B58" s="241" t="s">
        <v>16655</v>
      </c>
      <c r="C58" s="247">
        <v>63</v>
      </c>
    </row>
    <row r="59" spans="1:3" x14ac:dyDescent="0.3">
      <c r="A59" s="241">
        <v>56</v>
      </c>
      <c r="B59" s="241" t="s">
        <v>16656</v>
      </c>
      <c r="C59" s="247">
        <v>126</v>
      </c>
    </row>
    <row r="60" spans="1:3" x14ac:dyDescent="0.3">
      <c r="A60" s="241">
        <v>57</v>
      </c>
      <c r="B60" s="241" t="s">
        <v>16657</v>
      </c>
      <c r="C60" s="247">
        <v>63</v>
      </c>
    </row>
    <row r="61" spans="1:3" x14ac:dyDescent="0.3">
      <c r="A61" s="241">
        <v>58</v>
      </c>
      <c r="B61" s="241" t="s">
        <v>16658</v>
      </c>
      <c r="C61" s="247">
        <v>129</v>
      </c>
    </row>
    <row r="62" spans="1:3" x14ac:dyDescent="0.3">
      <c r="A62" s="241">
        <v>59</v>
      </c>
      <c r="B62" s="241" t="s">
        <v>16659</v>
      </c>
      <c r="C62" s="247">
        <v>193</v>
      </c>
    </row>
    <row r="63" spans="1:3" x14ac:dyDescent="0.3">
      <c r="A63" s="241">
        <v>60</v>
      </c>
      <c r="B63" s="241" t="s">
        <v>16660</v>
      </c>
      <c r="C63" s="247">
        <v>256</v>
      </c>
    </row>
    <row r="64" spans="1:3" x14ac:dyDescent="0.3">
      <c r="A64" s="241">
        <v>61</v>
      </c>
      <c r="B64" s="241" t="s">
        <v>16661</v>
      </c>
      <c r="C64" s="247">
        <v>319</v>
      </c>
    </row>
    <row r="65" spans="1:3" x14ac:dyDescent="0.3">
      <c r="A65" s="241">
        <v>62</v>
      </c>
      <c r="B65" s="241" t="s">
        <v>16662</v>
      </c>
      <c r="C65" s="247">
        <v>64</v>
      </c>
    </row>
    <row r="66" spans="1:3" x14ac:dyDescent="0.3">
      <c r="A66" s="241">
        <v>63</v>
      </c>
      <c r="B66" s="241" t="s">
        <v>16663</v>
      </c>
      <c r="C66" s="247">
        <v>127</v>
      </c>
    </row>
    <row r="67" spans="1:3" x14ac:dyDescent="0.3">
      <c r="A67" s="241">
        <v>64</v>
      </c>
      <c r="B67" s="241" t="s">
        <v>16664</v>
      </c>
      <c r="C67" s="247">
        <v>190</v>
      </c>
    </row>
    <row r="68" spans="1:3" x14ac:dyDescent="0.3">
      <c r="A68" s="241">
        <v>65</v>
      </c>
      <c r="B68" s="241" t="s">
        <v>16665</v>
      </c>
      <c r="C68" s="247">
        <v>63</v>
      </c>
    </row>
    <row r="69" spans="1:3" x14ac:dyDescent="0.3">
      <c r="A69" s="241">
        <v>66</v>
      </c>
      <c r="B69" s="241" t="s">
        <v>16666</v>
      </c>
      <c r="C69" s="247">
        <v>126</v>
      </c>
    </row>
    <row r="70" spans="1:3" x14ac:dyDescent="0.3">
      <c r="A70" s="241">
        <v>67</v>
      </c>
      <c r="B70" s="241" t="s">
        <v>16667</v>
      </c>
      <c r="C70" s="247">
        <v>63</v>
      </c>
    </row>
    <row r="71" spans="1:3" x14ac:dyDescent="0.3">
      <c r="A71" s="241">
        <v>68</v>
      </c>
      <c r="B71" s="241" t="s">
        <v>16668</v>
      </c>
      <c r="C71" s="247">
        <v>64</v>
      </c>
    </row>
    <row r="72" spans="1:3" x14ac:dyDescent="0.3">
      <c r="A72" s="241">
        <v>69</v>
      </c>
      <c r="B72" s="241" t="s">
        <v>16669</v>
      </c>
      <c r="C72" s="247">
        <v>127</v>
      </c>
    </row>
    <row r="73" spans="1:3" x14ac:dyDescent="0.3">
      <c r="A73" s="241">
        <v>70</v>
      </c>
      <c r="B73" s="241" t="s">
        <v>16670</v>
      </c>
      <c r="C73" s="247">
        <v>190</v>
      </c>
    </row>
    <row r="74" spans="1:3" x14ac:dyDescent="0.3">
      <c r="A74" s="241">
        <v>71</v>
      </c>
      <c r="B74" s="241" t="s">
        <v>16671</v>
      </c>
      <c r="C74" s="247">
        <v>63</v>
      </c>
    </row>
    <row r="75" spans="1:3" x14ac:dyDescent="0.3">
      <c r="A75" s="241">
        <v>72</v>
      </c>
      <c r="B75" s="241" t="s">
        <v>16672</v>
      </c>
      <c r="C75" s="247">
        <v>126</v>
      </c>
    </row>
    <row r="76" spans="1:3" x14ac:dyDescent="0.3">
      <c r="A76" s="241">
        <v>73</v>
      </c>
      <c r="B76" s="241" t="s">
        <v>16673</v>
      </c>
      <c r="C76" s="247">
        <v>63</v>
      </c>
    </row>
    <row r="77" spans="1:3" x14ac:dyDescent="0.3">
      <c r="A77" s="241">
        <v>74</v>
      </c>
      <c r="B77" s="241" t="s">
        <v>16674</v>
      </c>
      <c r="C77" s="247">
        <v>63</v>
      </c>
    </row>
    <row r="78" spans="1:3" x14ac:dyDescent="0.3">
      <c r="A78" s="241">
        <v>75</v>
      </c>
      <c r="B78" s="241" t="s">
        <v>16675</v>
      </c>
      <c r="C78" s="247">
        <v>126</v>
      </c>
    </row>
    <row r="79" spans="1:3" x14ac:dyDescent="0.3">
      <c r="A79" s="241">
        <v>76</v>
      </c>
      <c r="B79" s="241" t="s">
        <v>16676</v>
      </c>
      <c r="C79" s="247">
        <v>63</v>
      </c>
    </row>
    <row r="80" spans="1:3" x14ac:dyDescent="0.3">
      <c r="A80" s="241">
        <v>77</v>
      </c>
      <c r="B80" s="241" t="s">
        <v>16677</v>
      </c>
      <c r="C80" s="247">
        <v>63</v>
      </c>
    </row>
    <row r="81" spans="1:3" x14ac:dyDescent="0.3">
      <c r="A81" s="241">
        <v>78</v>
      </c>
      <c r="B81" s="241" t="s">
        <v>16678</v>
      </c>
      <c r="C81" s="248">
        <v>0.9</v>
      </c>
    </row>
    <row r="82" spans="1:3" x14ac:dyDescent="0.3">
      <c r="A82" s="241">
        <v>79</v>
      </c>
      <c r="B82" s="241" t="s">
        <v>16679</v>
      </c>
      <c r="C82" s="248">
        <v>0.9</v>
      </c>
    </row>
    <row r="83" spans="1:3" x14ac:dyDescent="0.3">
      <c r="A83" s="241">
        <v>80</v>
      </c>
      <c r="B83" s="241" t="s">
        <v>16680</v>
      </c>
      <c r="C83" s="248">
        <v>1</v>
      </c>
    </row>
    <row r="84" spans="1:3" x14ac:dyDescent="0.3">
      <c r="A84" s="241">
        <v>81</v>
      </c>
      <c r="B84" s="241" t="s">
        <v>16681</v>
      </c>
      <c r="C84" s="248">
        <v>0.5</v>
      </c>
    </row>
    <row r="85" spans="1:3" x14ac:dyDescent="0.3">
      <c r="A85" s="241">
        <v>82</v>
      </c>
      <c r="B85" s="241" t="s">
        <v>16682</v>
      </c>
      <c r="C85" s="248">
        <v>0.25</v>
      </c>
    </row>
    <row r="86" spans="1:3" x14ac:dyDescent="0.3">
      <c r="A86" s="241">
        <v>83</v>
      </c>
      <c r="B86" s="241" t="s">
        <v>16683</v>
      </c>
      <c r="C86" s="248">
        <v>0.25</v>
      </c>
    </row>
    <row r="87" spans="1:3" x14ac:dyDescent="0.3">
      <c r="A87" s="241">
        <v>84</v>
      </c>
      <c r="B87" s="241" t="s">
        <v>16684</v>
      </c>
      <c r="C87" s="248">
        <v>0.5</v>
      </c>
    </row>
    <row r="88" spans="1:3" x14ac:dyDescent="0.3">
      <c r="A88" s="241">
        <v>85</v>
      </c>
      <c r="B88" s="241" t="s">
        <v>16685</v>
      </c>
      <c r="C88" s="248">
        <v>0.25</v>
      </c>
    </row>
    <row r="89" spans="1:3" x14ac:dyDescent="0.3">
      <c r="A89" s="241">
        <v>86</v>
      </c>
      <c r="B89" s="241" t="s">
        <v>16686</v>
      </c>
      <c r="C89" s="248">
        <v>0.25</v>
      </c>
    </row>
    <row r="90" spans="1:3" x14ac:dyDescent="0.3">
      <c r="A90" s="241">
        <v>87</v>
      </c>
      <c r="B90" s="241" t="s">
        <v>16687</v>
      </c>
      <c r="C90" s="248">
        <v>0.5</v>
      </c>
    </row>
    <row r="91" spans="1:3" x14ac:dyDescent="0.3">
      <c r="A91" s="241">
        <v>88</v>
      </c>
      <c r="B91" s="241" t="s">
        <v>16688</v>
      </c>
      <c r="C91" s="248">
        <v>0.25</v>
      </c>
    </row>
    <row r="92" spans="1:3" x14ac:dyDescent="0.3">
      <c r="A92" s="241">
        <v>89</v>
      </c>
      <c r="B92" s="241" t="s">
        <v>16689</v>
      </c>
      <c r="C92" s="248">
        <v>0.25</v>
      </c>
    </row>
    <row r="93" spans="1:3" x14ac:dyDescent="0.3">
      <c r="A93" s="241">
        <v>90</v>
      </c>
      <c r="B93" s="241" t="s">
        <v>16690</v>
      </c>
      <c r="C93" s="248">
        <v>0.2</v>
      </c>
    </row>
    <row r="94" spans="1:3" x14ac:dyDescent="0.3">
      <c r="A94" s="241">
        <v>91</v>
      </c>
      <c r="B94" s="241" t="s">
        <v>16691</v>
      </c>
      <c r="C94" s="248">
        <v>0.4</v>
      </c>
    </row>
  </sheetData>
  <autoFilter ref="A3:B94" xr:uid="{00000000-0009-0000-0000-000003000000}"/>
  <phoneticPr fontId="1"/>
  <pageMargins left="0.7" right="0.7" top="0.75" bottom="0.75" header="0.3" footer="0.3"/>
  <pageSetup paperSize="9" scale="74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theme="1" tint="0.249977111117893"/>
    <pageSetUpPr fitToPage="1"/>
  </sheetPr>
  <dimension ref="A1:U3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2.62890625" style="47" customWidth="1"/>
    <col min="19" max="19" width="4.734375" style="46" bestFit="1" customWidth="1"/>
    <col min="20" max="20" width="6.3671875" style="84" bestFit="1" customWidth="1"/>
    <col min="21" max="21" width="7.734375" style="48" bestFit="1" customWidth="1"/>
    <col min="22" max="16384" width="9" style="49"/>
  </cols>
  <sheetData>
    <row r="1" spans="1:21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5"/>
      <c r="S1" s="134"/>
      <c r="T1" s="136"/>
      <c r="U1" s="137"/>
    </row>
    <row r="2" spans="1:21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5"/>
      <c r="S2" s="134"/>
      <c r="T2" s="136"/>
      <c r="U2" s="137"/>
    </row>
    <row r="3" spans="1:21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5"/>
      <c r="S3" s="134"/>
      <c r="T3" s="136"/>
      <c r="U3" s="137"/>
    </row>
    <row r="4" spans="1:21" ht="16.5" customHeight="1" x14ac:dyDescent="0.3">
      <c r="A4" s="132"/>
      <c r="B4" s="138" t="s">
        <v>7001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5"/>
      <c r="S4" s="134"/>
      <c r="T4" s="136"/>
      <c r="U4" s="137"/>
    </row>
    <row r="5" spans="1:21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5"/>
      <c r="S5" s="144"/>
      <c r="T5" s="146" t="s">
        <v>5869</v>
      </c>
      <c r="U5" s="146" t="s">
        <v>5871</v>
      </c>
    </row>
    <row r="6" spans="1:21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79" t="s">
        <v>17357</v>
      </c>
      <c r="H6" s="180"/>
      <c r="I6" s="181"/>
      <c r="J6" s="150"/>
      <c r="K6" s="150"/>
      <c r="L6" s="151"/>
      <c r="M6" s="150"/>
      <c r="N6" s="150"/>
      <c r="O6" s="151"/>
      <c r="P6" s="151"/>
      <c r="Q6" s="150"/>
      <c r="R6" s="151"/>
      <c r="S6" s="150"/>
      <c r="T6" s="154" t="s">
        <v>5870</v>
      </c>
      <c r="U6" s="154" t="s">
        <v>0</v>
      </c>
    </row>
    <row r="7" spans="1:21" ht="16.5" customHeight="1" x14ac:dyDescent="0.3">
      <c r="A7" s="147">
        <v>15</v>
      </c>
      <c r="B7" s="147">
        <v>7097</v>
      </c>
      <c r="C7" s="155" t="s">
        <v>7000</v>
      </c>
      <c r="D7" s="156" t="s">
        <v>17356</v>
      </c>
      <c r="E7" s="157">
        <v>257</v>
      </c>
      <c r="F7" s="158" t="s">
        <v>0</v>
      </c>
      <c r="G7" s="156" t="s">
        <v>17338</v>
      </c>
      <c r="H7" s="157">
        <v>149</v>
      </c>
      <c r="I7" s="158" t="s">
        <v>0</v>
      </c>
      <c r="J7" s="159"/>
      <c r="K7" s="160"/>
      <c r="L7" s="161"/>
      <c r="M7" s="162"/>
      <c r="N7" s="163"/>
      <c r="O7" s="164"/>
      <c r="P7" s="165"/>
      <c r="Q7" s="158"/>
      <c r="R7" s="165"/>
      <c r="S7" s="158"/>
      <c r="T7" s="178">
        <v>515</v>
      </c>
      <c r="U7" s="142" t="s">
        <v>5863</v>
      </c>
    </row>
    <row r="8" spans="1:21" ht="16.5" customHeight="1" x14ac:dyDescent="0.3">
      <c r="A8" s="147">
        <v>15</v>
      </c>
      <c r="B8" s="147">
        <v>7098</v>
      </c>
      <c r="C8" s="155" t="s">
        <v>6999</v>
      </c>
      <c r="D8" s="188" t="s">
        <v>17312</v>
      </c>
      <c r="E8" s="153"/>
      <c r="F8" s="171"/>
      <c r="G8" s="167" t="s">
        <v>17312</v>
      </c>
      <c r="H8" s="150"/>
      <c r="I8" s="168"/>
      <c r="J8" s="169"/>
      <c r="K8" s="153"/>
      <c r="L8" s="152"/>
      <c r="M8" s="162" t="s">
        <v>5895</v>
      </c>
      <c r="N8" s="163" t="s">
        <v>1</v>
      </c>
      <c r="O8" s="164">
        <v>1</v>
      </c>
      <c r="P8" s="170"/>
      <c r="Q8" s="171"/>
      <c r="R8" s="170"/>
      <c r="S8" s="171"/>
      <c r="T8" s="178">
        <v>515</v>
      </c>
      <c r="U8" s="172"/>
    </row>
    <row r="9" spans="1:21" ht="16.5" customHeight="1" x14ac:dyDescent="0.3">
      <c r="A9" s="147">
        <v>15</v>
      </c>
      <c r="B9" s="147">
        <v>7099</v>
      </c>
      <c r="C9" s="155" t="s">
        <v>6998</v>
      </c>
      <c r="D9" s="188"/>
      <c r="E9" s="153"/>
      <c r="F9" s="171"/>
      <c r="G9" s="156" t="s">
        <v>17340</v>
      </c>
      <c r="H9" s="157">
        <v>334</v>
      </c>
      <c r="I9" s="158" t="s">
        <v>0</v>
      </c>
      <c r="J9" s="169"/>
      <c r="K9" s="153"/>
      <c r="L9" s="152"/>
      <c r="M9" s="162"/>
      <c r="N9" s="163"/>
      <c r="O9" s="164"/>
      <c r="P9" s="170"/>
      <c r="Q9" s="171"/>
      <c r="R9" s="170"/>
      <c r="S9" s="171"/>
      <c r="T9" s="178">
        <v>723</v>
      </c>
      <c r="U9" s="172"/>
    </row>
    <row r="10" spans="1:21" ht="16.5" customHeight="1" x14ac:dyDescent="0.3">
      <c r="A10" s="147">
        <v>15</v>
      </c>
      <c r="B10" s="147">
        <v>7100</v>
      </c>
      <c r="C10" s="155" t="s">
        <v>6997</v>
      </c>
      <c r="D10" s="188"/>
      <c r="E10" s="153"/>
      <c r="F10" s="171"/>
      <c r="G10" s="167" t="s">
        <v>17310</v>
      </c>
      <c r="H10" s="150"/>
      <c r="I10" s="168"/>
      <c r="J10" s="169"/>
      <c r="K10" s="153"/>
      <c r="L10" s="152"/>
      <c r="M10" s="162" t="s">
        <v>5895</v>
      </c>
      <c r="N10" s="163" t="s">
        <v>1</v>
      </c>
      <c r="O10" s="164">
        <v>1</v>
      </c>
      <c r="P10" s="170"/>
      <c r="Q10" s="174"/>
      <c r="R10" s="170"/>
      <c r="S10" s="174"/>
      <c r="T10" s="178">
        <v>723</v>
      </c>
      <c r="U10" s="172"/>
    </row>
    <row r="11" spans="1:21" ht="16.5" customHeight="1" x14ac:dyDescent="0.3">
      <c r="A11" s="147">
        <v>15</v>
      </c>
      <c r="B11" s="147">
        <v>7101</v>
      </c>
      <c r="C11" s="155" t="s">
        <v>6996</v>
      </c>
      <c r="D11" s="188"/>
      <c r="E11" s="153"/>
      <c r="F11" s="171"/>
      <c r="G11" s="156" t="s">
        <v>17344</v>
      </c>
      <c r="H11" s="157">
        <v>417</v>
      </c>
      <c r="I11" s="158" t="s">
        <v>0</v>
      </c>
      <c r="J11" s="169"/>
      <c r="K11" s="153"/>
      <c r="L11" s="152"/>
      <c r="M11" s="162"/>
      <c r="N11" s="163"/>
      <c r="O11" s="164"/>
      <c r="P11" s="170"/>
      <c r="Q11" s="171"/>
      <c r="R11" s="170"/>
      <c r="S11" s="171"/>
      <c r="T11" s="178">
        <v>816</v>
      </c>
      <c r="U11" s="172"/>
    </row>
    <row r="12" spans="1:21" ht="16.5" customHeight="1" x14ac:dyDescent="0.3">
      <c r="A12" s="147">
        <v>15</v>
      </c>
      <c r="B12" s="147">
        <v>7102</v>
      </c>
      <c r="C12" s="155" t="s">
        <v>6995</v>
      </c>
      <c r="D12" s="188"/>
      <c r="E12" s="153"/>
      <c r="F12" s="171"/>
      <c r="G12" s="167" t="s">
        <v>17308</v>
      </c>
      <c r="H12" s="150"/>
      <c r="I12" s="168"/>
      <c r="J12" s="169" t="s">
        <v>17307</v>
      </c>
      <c r="K12" s="153"/>
      <c r="L12" s="152"/>
      <c r="M12" s="162" t="s">
        <v>5895</v>
      </c>
      <c r="N12" s="163" t="s">
        <v>1</v>
      </c>
      <c r="O12" s="164">
        <v>1</v>
      </c>
      <c r="P12" s="170" t="s">
        <v>17355</v>
      </c>
      <c r="Q12" s="171"/>
      <c r="R12" s="170" t="s">
        <v>17317</v>
      </c>
      <c r="S12" s="171"/>
      <c r="T12" s="178">
        <v>816</v>
      </c>
      <c r="U12" s="172"/>
    </row>
    <row r="13" spans="1:21" ht="16.5" customHeight="1" x14ac:dyDescent="0.3">
      <c r="A13" s="147">
        <v>15</v>
      </c>
      <c r="B13" s="147">
        <v>7103</v>
      </c>
      <c r="C13" s="155" t="s">
        <v>6994</v>
      </c>
      <c r="D13" s="188"/>
      <c r="E13" s="153"/>
      <c r="F13" s="171"/>
      <c r="G13" s="156" t="s">
        <v>17348</v>
      </c>
      <c r="H13" s="157">
        <v>501</v>
      </c>
      <c r="I13" s="158" t="s">
        <v>0</v>
      </c>
      <c r="J13" s="169" t="s">
        <v>17304</v>
      </c>
      <c r="K13" s="153" t="s">
        <v>1</v>
      </c>
      <c r="L13" s="152">
        <v>0.9</v>
      </c>
      <c r="M13" s="162"/>
      <c r="N13" s="163"/>
      <c r="O13" s="164"/>
      <c r="P13" s="170"/>
      <c r="Q13" s="174" t="s">
        <v>17354</v>
      </c>
      <c r="R13" s="170"/>
      <c r="S13" s="174" t="s">
        <v>17353</v>
      </c>
      <c r="T13" s="178">
        <v>911</v>
      </c>
      <c r="U13" s="172"/>
    </row>
    <row r="14" spans="1:21" ht="16.5" customHeight="1" x14ac:dyDescent="0.3">
      <c r="A14" s="147">
        <v>15</v>
      </c>
      <c r="B14" s="147">
        <v>7104</v>
      </c>
      <c r="C14" s="155" t="s">
        <v>6993</v>
      </c>
      <c r="D14" s="188"/>
      <c r="E14" s="153"/>
      <c r="F14" s="171"/>
      <c r="G14" s="167" t="s">
        <v>17302</v>
      </c>
      <c r="H14" s="150"/>
      <c r="I14" s="168"/>
      <c r="J14" s="169"/>
      <c r="K14" s="153"/>
      <c r="L14" s="152"/>
      <c r="M14" s="162" t="s">
        <v>5895</v>
      </c>
      <c r="N14" s="163" t="s">
        <v>1</v>
      </c>
      <c r="O14" s="164">
        <v>1</v>
      </c>
      <c r="P14" s="170"/>
      <c r="Q14" s="171"/>
      <c r="R14" s="170"/>
      <c r="S14" s="171"/>
      <c r="T14" s="178">
        <v>911</v>
      </c>
      <c r="U14" s="172"/>
    </row>
    <row r="15" spans="1:21" ht="16.5" customHeight="1" x14ac:dyDescent="0.3">
      <c r="A15" s="147">
        <v>15</v>
      </c>
      <c r="B15" s="147">
        <v>7105</v>
      </c>
      <c r="C15" s="155" t="s">
        <v>6992</v>
      </c>
      <c r="D15" s="188"/>
      <c r="E15" s="153"/>
      <c r="F15" s="171"/>
      <c r="G15" s="156" t="s">
        <v>17352</v>
      </c>
      <c r="H15" s="157">
        <v>585</v>
      </c>
      <c r="I15" s="158" t="s">
        <v>0</v>
      </c>
      <c r="J15" s="169"/>
      <c r="K15" s="153"/>
      <c r="L15" s="152"/>
      <c r="M15" s="162"/>
      <c r="N15" s="163"/>
      <c r="O15" s="164"/>
      <c r="P15" s="170" t="s">
        <v>1</v>
      </c>
      <c r="Q15" s="192">
        <v>0.5</v>
      </c>
      <c r="R15" s="170" t="s">
        <v>1</v>
      </c>
      <c r="S15" s="192">
        <v>0.25</v>
      </c>
      <c r="T15" s="178">
        <v>1006</v>
      </c>
      <c r="U15" s="172"/>
    </row>
    <row r="16" spans="1:21" ht="16.5" customHeight="1" x14ac:dyDescent="0.3">
      <c r="A16" s="147">
        <v>15</v>
      </c>
      <c r="B16" s="147">
        <v>7106</v>
      </c>
      <c r="C16" s="155" t="s">
        <v>6991</v>
      </c>
      <c r="D16" s="167"/>
      <c r="E16" s="150"/>
      <c r="F16" s="168"/>
      <c r="G16" s="167" t="s">
        <v>17300</v>
      </c>
      <c r="H16" s="150"/>
      <c r="I16" s="168"/>
      <c r="J16" s="169"/>
      <c r="K16" s="153"/>
      <c r="L16" s="152"/>
      <c r="M16" s="162" t="s">
        <v>5895</v>
      </c>
      <c r="N16" s="163" t="s">
        <v>1</v>
      </c>
      <c r="O16" s="164">
        <v>1</v>
      </c>
      <c r="P16" s="170"/>
      <c r="Q16" s="174" t="s">
        <v>17299</v>
      </c>
      <c r="R16" s="170"/>
      <c r="S16" s="174" t="s">
        <v>17299</v>
      </c>
      <c r="T16" s="178">
        <v>1006</v>
      </c>
      <c r="U16" s="172"/>
    </row>
    <row r="17" spans="1:21" ht="16.5" customHeight="1" x14ac:dyDescent="0.3">
      <c r="A17" s="147">
        <v>15</v>
      </c>
      <c r="B17" s="147">
        <v>7107</v>
      </c>
      <c r="C17" s="155" t="s">
        <v>6990</v>
      </c>
      <c r="D17" s="156" t="s">
        <v>17351</v>
      </c>
      <c r="E17" s="157">
        <v>406</v>
      </c>
      <c r="F17" s="158" t="s">
        <v>0</v>
      </c>
      <c r="G17" s="156" t="s">
        <v>17338</v>
      </c>
      <c r="H17" s="157">
        <v>185</v>
      </c>
      <c r="I17" s="158" t="s">
        <v>0</v>
      </c>
      <c r="J17" s="169"/>
      <c r="K17" s="153"/>
      <c r="L17" s="152"/>
      <c r="M17" s="162"/>
      <c r="N17" s="163"/>
      <c r="O17" s="164"/>
      <c r="P17" s="170"/>
      <c r="Q17" s="171"/>
      <c r="R17" s="170"/>
      <c r="S17" s="171"/>
      <c r="T17" s="178">
        <v>757</v>
      </c>
      <c r="U17" s="172"/>
    </row>
    <row r="18" spans="1:21" ht="16.5" customHeight="1" x14ac:dyDescent="0.3">
      <c r="A18" s="147">
        <v>15</v>
      </c>
      <c r="B18" s="147">
        <v>7108</v>
      </c>
      <c r="C18" s="155" t="s">
        <v>6989</v>
      </c>
      <c r="D18" s="188" t="s">
        <v>17350</v>
      </c>
      <c r="E18" s="153"/>
      <c r="F18" s="171"/>
      <c r="G18" s="167" t="s">
        <v>17312</v>
      </c>
      <c r="H18" s="150"/>
      <c r="I18" s="168"/>
      <c r="J18" s="169"/>
      <c r="K18" s="153"/>
      <c r="L18" s="152"/>
      <c r="M18" s="162" t="s">
        <v>5895</v>
      </c>
      <c r="N18" s="163" t="s">
        <v>1</v>
      </c>
      <c r="O18" s="164">
        <v>1</v>
      </c>
      <c r="P18" s="170"/>
      <c r="Q18" s="171"/>
      <c r="R18" s="170"/>
      <c r="S18" s="171"/>
      <c r="T18" s="178">
        <v>757</v>
      </c>
      <c r="U18" s="172"/>
    </row>
    <row r="19" spans="1:21" ht="16.5" customHeight="1" x14ac:dyDescent="0.3">
      <c r="A19" s="147">
        <v>15</v>
      </c>
      <c r="B19" s="147">
        <v>7109</v>
      </c>
      <c r="C19" s="155" t="s">
        <v>6988</v>
      </c>
      <c r="D19" s="188" t="s">
        <v>17349</v>
      </c>
      <c r="E19" s="153"/>
      <c r="F19" s="171"/>
      <c r="G19" s="156" t="s">
        <v>17340</v>
      </c>
      <c r="H19" s="157">
        <v>268</v>
      </c>
      <c r="I19" s="158" t="s">
        <v>0</v>
      </c>
      <c r="J19" s="169"/>
      <c r="K19" s="153"/>
      <c r="L19" s="152"/>
      <c r="M19" s="162"/>
      <c r="N19" s="163"/>
      <c r="O19" s="164"/>
      <c r="P19" s="170"/>
      <c r="Q19" s="171"/>
      <c r="R19" s="170"/>
      <c r="S19" s="171"/>
      <c r="T19" s="178">
        <v>849</v>
      </c>
      <c r="U19" s="172"/>
    </row>
    <row r="20" spans="1:21" ht="16.5" customHeight="1" x14ac:dyDescent="0.3">
      <c r="A20" s="147">
        <v>15</v>
      </c>
      <c r="B20" s="147">
        <v>7110</v>
      </c>
      <c r="C20" s="155" t="s">
        <v>6987</v>
      </c>
      <c r="D20" s="188"/>
      <c r="E20" s="153"/>
      <c r="F20" s="171"/>
      <c r="G20" s="167" t="s">
        <v>17310</v>
      </c>
      <c r="H20" s="150"/>
      <c r="I20" s="168"/>
      <c r="J20" s="169"/>
      <c r="K20" s="153"/>
      <c r="L20" s="152"/>
      <c r="M20" s="162" t="s">
        <v>5895</v>
      </c>
      <c r="N20" s="163" t="s">
        <v>1</v>
      </c>
      <c r="O20" s="164">
        <v>1</v>
      </c>
      <c r="P20" s="170"/>
      <c r="Q20" s="171"/>
      <c r="R20" s="170"/>
      <c r="S20" s="171"/>
      <c r="T20" s="178">
        <v>849</v>
      </c>
      <c r="U20" s="172"/>
    </row>
    <row r="21" spans="1:21" ht="16.5" customHeight="1" x14ac:dyDescent="0.3">
      <c r="A21" s="147">
        <v>15</v>
      </c>
      <c r="B21" s="147">
        <v>7111</v>
      </c>
      <c r="C21" s="155" t="s">
        <v>6986</v>
      </c>
      <c r="D21" s="188"/>
      <c r="E21" s="153"/>
      <c r="F21" s="171"/>
      <c r="G21" s="156" t="s">
        <v>17344</v>
      </c>
      <c r="H21" s="157">
        <v>352</v>
      </c>
      <c r="I21" s="158" t="s">
        <v>0</v>
      </c>
      <c r="J21" s="169"/>
      <c r="K21" s="153"/>
      <c r="L21" s="152"/>
      <c r="M21" s="162"/>
      <c r="N21" s="163"/>
      <c r="O21" s="164"/>
      <c r="P21" s="170"/>
      <c r="Q21" s="171"/>
      <c r="R21" s="170"/>
      <c r="S21" s="171"/>
      <c r="T21" s="178">
        <v>944</v>
      </c>
      <c r="U21" s="172"/>
    </row>
    <row r="22" spans="1:21" ht="16.5" customHeight="1" x14ac:dyDescent="0.3">
      <c r="A22" s="147">
        <v>15</v>
      </c>
      <c r="B22" s="147">
        <v>7112</v>
      </c>
      <c r="C22" s="155" t="s">
        <v>6985</v>
      </c>
      <c r="D22" s="188"/>
      <c r="E22" s="153"/>
      <c r="F22" s="171"/>
      <c r="G22" s="167" t="s">
        <v>17308</v>
      </c>
      <c r="H22" s="150"/>
      <c r="I22" s="168"/>
      <c r="J22" s="169"/>
      <c r="K22" s="153"/>
      <c r="L22" s="152"/>
      <c r="M22" s="162" t="s">
        <v>5895</v>
      </c>
      <c r="N22" s="163" t="s">
        <v>1</v>
      </c>
      <c r="O22" s="164">
        <v>1</v>
      </c>
      <c r="P22" s="170"/>
      <c r="Q22" s="171"/>
      <c r="R22" s="170"/>
      <c r="S22" s="171"/>
      <c r="T22" s="178">
        <v>944</v>
      </c>
      <c r="U22" s="172"/>
    </row>
    <row r="23" spans="1:21" ht="16.5" customHeight="1" x14ac:dyDescent="0.3">
      <c r="A23" s="147">
        <v>15</v>
      </c>
      <c r="B23" s="147">
        <v>7113</v>
      </c>
      <c r="C23" s="155" t="s">
        <v>6984</v>
      </c>
      <c r="D23" s="188"/>
      <c r="E23" s="153"/>
      <c r="F23" s="171"/>
      <c r="G23" s="156" t="s">
        <v>17348</v>
      </c>
      <c r="H23" s="157">
        <v>436</v>
      </c>
      <c r="I23" s="158" t="s">
        <v>0</v>
      </c>
      <c r="J23" s="169"/>
      <c r="K23" s="153"/>
      <c r="L23" s="152"/>
      <c r="M23" s="162"/>
      <c r="N23" s="163"/>
      <c r="O23" s="164"/>
      <c r="P23" s="170"/>
      <c r="Q23" s="171"/>
      <c r="R23" s="170"/>
      <c r="S23" s="171"/>
      <c r="T23" s="178">
        <v>1038</v>
      </c>
      <c r="U23" s="172"/>
    </row>
    <row r="24" spans="1:21" ht="16.5" customHeight="1" x14ac:dyDescent="0.3">
      <c r="A24" s="147">
        <v>15</v>
      </c>
      <c r="B24" s="147">
        <v>7114</v>
      </c>
      <c r="C24" s="155" t="s">
        <v>6983</v>
      </c>
      <c r="D24" s="167"/>
      <c r="E24" s="150"/>
      <c r="F24" s="168"/>
      <c r="G24" s="167" t="s">
        <v>17302</v>
      </c>
      <c r="H24" s="150"/>
      <c r="I24" s="168"/>
      <c r="J24" s="169"/>
      <c r="K24" s="153"/>
      <c r="L24" s="152"/>
      <c r="M24" s="162" t="s">
        <v>5895</v>
      </c>
      <c r="N24" s="163" t="s">
        <v>1</v>
      </c>
      <c r="O24" s="164">
        <v>1</v>
      </c>
      <c r="P24" s="170"/>
      <c r="Q24" s="171"/>
      <c r="R24" s="170"/>
      <c r="S24" s="171"/>
      <c r="T24" s="178">
        <v>1038</v>
      </c>
      <c r="U24" s="172"/>
    </row>
    <row r="25" spans="1:21" ht="16.5" customHeight="1" x14ac:dyDescent="0.3">
      <c r="A25" s="147">
        <v>15</v>
      </c>
      <c r="B25" s="147">
        <v>7115</v>
      </c>
      <c r="C25" s="155" t="s">
        <v>6982</v>
      </c>
      <c r="D25" s="156" t="s">
        <v>17347</v>
      </c>
      <c r="E25" s="157">
        <v>591</v>
      </c>
      <c r="F25" s="158" t="s">
        <v>0</v>
      </c>
      <c r="G25" s="156" t="s">
        <v>17338</v>
      </c>
      <c r="H25" s="157">
        <v>83</v>
      </c>
      <c r="I25" s="158" t="s">
        <v>0</v>
      </c>
      <c r="J25" s="169"/>
      <c r="K25" s="153"/>
      <c r="L25" s="152"/>
      <c r="M25" s="162"/>
      <c r="N25" s="163"/>
      <c r="O25" s="164"/>
      <c r="P25" s="170"/>
      <c r="Q25" s="171"/>
      <c r="R25" s="170"/>
      <c r="S25" s="171"/>
      <c r="T25" s="178">
        <v>892</v>
      </c>
      <c r="U25" s="172"/>
    </row>
    <row r="26" spans="1:21" ht="16.5" customHeight="1" x14ac:dyDescent="0.3">
      <c r="A26" s="147">
        <v>15</v>
      </c>
      <c r="B26" s="147">
        <v>7116</v>
      </c>
      <c r="C26" s="155" t="s">
        <v>6981</v>
      </c>
      <c r="D26" s="188" t="s">
        <v>17346</v>
      </c>
      <c r="E26" s="153"/>
      <c r="F26" s="171"/>
      <c r="G26" s="167" t="s">
        <v>17312</v>
      </c>
      <c r="H26" s="150"/>
      <c r="I26" s="168"/>
      <c r="J26" s="169"/>
      <c r="K26" s="153"/>
      <c r="L26" s="152"/>
      <c r="M26" s="162" t="s">
        <v>5895</v>
      </c>
      <c r="N26" s="163" t="s">
        <v>1</v>
      </c>
      <c r="O26" s="164">
        <v>1</v>
      </c>
      <c r="P26" s="170"/>
      <c r="Q26" s="171"/>
      <c r="R26" s="170"/>
      <c r="S26" s="171"/>
      <c r="T26" s="178">
        <v>892</v>
      </c>
      <c r="U26" s="172"/>
    </row>
    <row r="27" spans="1:21" ht="16.5" customHeight="1" x14ac:dyDescent="0.3">
      <c r="A27" s="147">
        <v>15</v>
      </c>
      <c r="B27" s="147">
        <v>7117</v>
      </c>
      <c r="C27" s="155" t="s">
        <v>6980</v>
      </c>
      <c r="D27" s="188" t="s">
        <v>17345</v>
      </c>
      <c r="E27" s="153"/>
      <c r="F27" s="171"/>
      <c r="G27" s="156" t="s">
        <v>17340</v>
      </c>
      <c r="H27" s="157">
        <v>167</v>
      </c>
      <c r="I27" s="158" t="s">
        <v>0</v>
      </c>
      <c r="J27" s="169"/>
      <c r="K27" s="153"/>
      <c r="L27" s="152"/>
      <c r="M27" s="162"/>
      <c r="N27" s="163"/>
      <c r="O27" s="164"/>
      <c r="P27" s="170"/>
      <c r="Q27" s="171"/>
      <c r="R27" s="170"/>
      <c r="S27" s="171"/>
      <c r="T27" s="178">
        <v>986</v>
      </c>
      <c r="U27" s="172"/>
    </row>
    <row r="28" spans="1:21" ht="16.5" customHeight="1" x14ac:dyDescent="0.3">
      <c r="A28" s="147">
        <v>15</v>
      </c>
      <c r="B28" s="147">
        <v>7118</v>
      </c>
      <c r="C28" s="155" t="s">
        <v>6979</v>
      </c>
      <c r="D28" s="188"/>
      <c r="E28" s="153"/>
      <c r="F28" s="171"/>
      <c r="G28" s="167" t="s">
        <v>17310</v>
      </c>
      <c r="H28" s="150"/>
      <c r="I28" s="168"/>
      <c r="J28" s="169"/>
      <c r="K28" s="153"/>
      <c r="L28" s="152"/>
      <c r="M28" s="162" t="s">
        <v>5895</v>
      </c>
      <c r="N28" s="163" t="s">
        <v>1</v>
      </c>
      <c r="O28" s="164">
        <v>1</v>
      </c>
      <c r="P28" s="170"/>
      <c r="Q28" s="171"/>
      <c r="R28" s="170"/>
      <c r="S28" s="171"/>
      <c r="T28" s="178">
        <v>986</v>
      </c>
      <c r="U28" s="172"/>
    </row>
    <row r="29" spans="1:21" ht="16.5" customHeight="1" x14ac:dyDescent="0.3">
      <c r="A29" s="147">
        <v>15</v>
      </c>
      <c r="B29" s="147">
        <v>7119</v>
      </c>
      <c r="C29" s="155" t="s">
        <v>6978</v>
      </c>
      <c r="D29" s="188"/>
      <c r="E29" s="153"/>
      <c r="F29" s="171"/>
      <c r="G29" s="156" t="s">
        <v>17344</v>
      </c>
      <c r="H29" s="157">
        <v>251</v>
      </c>
      <c r="I29" s="158" t="s">
        <v>0</v>
      </c>
      <c r="J29" s="169"/>
      <c r="K29" s="153"/>
      <c r="L29" s="152"/>
      <c r="M29" s="162"/>
      <c r="N29" s="163"/>
      <c r="O29" s="164"/>
      <c r="P29" s="170"/>
      <c r="Q29" s="171"/>
      <c r="R29" s="170"/>
      <c r="S29" s="171"/>
      <c r="T29" s="178">
        <v>1081</v>
      </c>
      <c r="U29" s="172"/>
    </row>
    <row r="30" spans="1:21" ht="16.5" customHeight="1" x14ac:dyDescent="0.3">
      <c r="A30" s="147">
        <v>15</v>
      </c>
      <c r="B30" s="147">
        <v>7120</v>
      </c>
      <c r="C30" s="155" t="s">
        <v>6977</v>
      </c>
      <c r="D30" s="167"/>
      <c r="E30" s="150"/>
      <c r="F30" s="168"/>
      <c r="G30" s="167" t="s">
        <v>17308</v>
      </c>
      <c r="H30" s="150"/>
      <c r="I30" s="168"/>
      <c r="J30" s="169"/>
      <c r="K30" s="153"/>
      <c r="L30" s="152"/>
      <c r="M30" s="162" t="s">
        <v>5895</v>
      </c>
      <c r="N30" s="163" t="s">
        <v>1</v>
      </c>
      <c r="O30" s="164">
        <v>1</v>
      </c>
      <c r="P30" s="170"/>
      <c r="Q30" s="171"/>
      <c r="R30" s="170"/>
      <c r="S30" s="171"/>
      <c r="T30" s="178">
        <v>1081</v>
      </c>
      <c r="U30" s="172"/>
    </row>
    <row r="31" spans="1:21" ht="16.5" customHeight="1" x14ac:dyDescent="0.3">
      <c r="A31" s="147">
        <v>15</v>
      </c>
      <c r="B31" s="147">
        <v>7121</v>
      </c>
      <c r="C31" s="155" t="s">
        <v>6976</v>
      </c>
      <c r="D31" s="156" t="s">
        <v>17343</v>
      </c>
      <c r="E31" s="157">
        <v>674</v>
      </c>
      <c r="F31" s="158" t="s">
        <v>0</v>
      </c>
      <c r="G31" s="156" t="s">
        <v>17338</v>
      </c>
      <c r="H31" s="157">
        <v>84</v>
      </c>
      <c r="I31" s="158" t="s">
        <v>0</v>
      </c>
      <c r="J31" s="169"/>
      <c r="K31" s="153"/>
      <c r="L31" s="152"/>
      <c r="M31" s="162"/>
      <c r="N31" s="163"/>
      <c r="O31" s="164"/>
      <c r="P31" s="170"/>
      <c r="Q31" s="171"/>
      <c r="R31" s="170"/>
      <c r="S31" s="171"/>
      <c r="T31" s="178">
        <v>1006</v>
      </c>
      <c r="U31" s="172"/>
    </row>
    <row r="32" spans="1:21" ht="16.5" customHeight="1" x14ac:dyDescent="0.3">
      <c r="A32" s="147">
        <v>15</v>
      </c>
      <c r="B32" s="147">
        <v>7122</v>
      </c>
      <c r="C32" s="155" t="s">
        <v>6975</v>
      </c>
      <c r="D32" s="188" t="s">
        <v>17342</v>
      </c>
      <c r="E32" s="153"/>
      <c r="F32" s="171"/>
      <c r="G32" s="167" t="s">
        <v>17312</v>
      </c>
      <c r="H32" s="150"/>
      <c r="I32" s="168"/>
      <c r="J32" s="169"/>
      <c r="K32" s="153"/>
      <c r="L32" s="152"/>
      <c r="M32" s="162" t="s">
        <v>5895</v>
      </c>
      <c r="N32" s="163" t="s">
        <v>1</v>
      </c>
      <c r="O32" s="164">
        <v>1</v>
      </c>
      <c r="P32" s="170"/>
      <c r="Q32" s="171"/>
      <c r="R32" s="170"/>
      <c r="S32" s="171"/>
      <c r="T32" s="178">
        <v>1006</v>
      </c>
      <c r="U32" s="172"/>
    </row>
    <row r="33" spans="1:21" ht="16.5" customHeight="1" x14ac:dyDescent="0.3">
      <c r="A33" s="147">
        <v>15</v>
      </c>
      <c r="B33" s="147">
        <v>7123</v>
      </c>
      <c r="C33" s="155" t="s">
        <v>6974</v>
      </c>
      <c r="D33" s="188" t="s">
        <v>17341</v>
      </c>
      <c r="E33" s="153"/>
      <c r="F33" s="171"/>
      <c r="G33" s="156" t="s">
        <v>17340</v>
      </c>
      <c r="H33" s="157">
        <v>168</v>
      </c>
      <c r="I33" s="158" t="s">
        <v>0</v>
      </c>
      <c r="J33" s="169"/>
      <c r="K33" s="153"/>
      <c r="L33" s="152"/>
      <c r="M33" s="162"/>
      <c r="N33" s="163"/>
      <c r="O33" s="164"/>
      <c r="P33" s="170"/>
      <c r="Q33" s="171"/>
      <c r="R33" s="170"/>
      <c r="S33" s="171"/>
      <c r="T33" s="178">
        <v>1100</v>
      </c>
      <c r="U33" s="172"/>
    </row>
    <row r="34" spans="1:21" ht="16.5" customHeight="1" x14ac:dyDescent="0.3">
      <c r="A34" s="147">
        <v>15</v>
      </c>
      <c r="B34" s="147">
        <v>7124</v>
      </c>
      <c r="C34" s="155" t="s">
        <v>6973</v>
      </c>
      <c r="D34" s="167"/>
      <c r="E34" s="150"/>
      <c r="F34" s="168"/>
      <c r="G34" s="167" t="s">
        <v>17310</v>
      </c>
      <c r="H34" s="150"/>
      <c r="I34" s="168"/>
      <c r="J34" s="169"/>
      <c r="K34" s="153"/>
      <c r="L34" s="152"/>
      <c r="M34" s="162" t="s">
        <v>5895</v>
      </c>
      <c r="N34" s="163" t="s">
        <v>1</v>
      </c>
      <c r="O34" s="164">
        <v>1</v>
      </c>
      <c r="P34" s="170"/>
      <c r="Q34" s="171"/>
      <c r="R34" s="170"/>
      <c r="S34" s="171"/>
      <c r="T34" s="178">
        <v>1100</v>
      </c>
      <c r="U34" s="172"/>
    </row>
    <row r="35" spans="1:21" ht="16.5" customHeight="1" x14ac:dyDescent="0.3">
      <c r="A35" s="147">
        <v>15</v>
      </c>
      <c r="B35" s="147">
        <v>7125</v>
      </c>
      <c r="C35" s="155" t="s">
        <v>6972</v>
      </c>
      <c r="D35" s="156" t="s">
        <v>17339</v>
      </c>
      <c r="E35" s="157">
        <v>758</v>
      </c>
      <c r="F35" s="158" t="s">
        <v>0</v>
      </c>
      <c r="G35" s="156" t="s">
        <v>17338</v>
      </c>
      <c r="H35" s="157">
        <v>84</v>
      </c>
      <c r="I35" s="158" t="s">
        <v>0</v>
      </c>
      <c r="J35" s="169"/>
      <c r="K35" s="153"/>
      <c r="L35" s="152"/>
      <c r="M35" s="162"/>
      <c r="N35" s="163"/>
      <c r="O35" s="164"/>
      <c r="P35" s="170"/>
      <c r="Q35" s="171"/>
      <c r="R35" s="170"/>
      <c r="S35" s="171"/>
      <c r="T35" s="178">
        <v>1118</v>
      </c>
      <c r="U35" s="172"/>
    </row>
    <row r="36" spans="1:21" ht="16.5" customHeight="1" x14ac:dyDescent="0.3">
      <c r="A36" s="147">
        <v>15</v>
      </c>
      <c r="B36" s="147">
        <v>7126</v>
      </c>
      <c r="C36" s="155" t="s">
        <v>6971</v>
      </c>
      <c r="D36" s="167" t="s">
        <v>17300</v>
      </c>
      <c r="E36" s="150"/>
      <c r="F36" s="168"/>
      <c r="G36" s="167" t="s">
        <v>17312</v>
      </c>
      <c r="H36" s="150"/>
      <c r="I36" s="168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6"/>
      <c r="Q36" s="168"/>
      <c r="R36" s="176"/>
      <c r="S36" s="168"/>
      <c r="T36" s="178">
        <v>1118</v>
      </c>
      <c r="U36" s="177"/>
    </row>
    <row r="37" spans="1:21" ht="16.5" customHeight="1" x14ac:dyDescent="0.3"/>
    <row r="38" spans="1:21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8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theme="1" tint="0.249977111117893"/>
    <pageSetUpPr fitToPage="1"/>
  </sheetPr>
  <dimension ref="A1:S3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6.3671875" style="84" bestFit="1" customWidth="1"/>
    <col min="19" max="19" width="7.734375" style="48" bestFit="1" customWidth="1"/>
    <col min="20" max="16384" width="9" style="49"/>
  </cols>
  <sheetData>
    <row r="1" spans="1:19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6"/>
      <c r="S1" s="137"/>
    </row>
    <row r="2" spans="1:19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6"/>
      <c r="S2" s="137"/>
    </row>
    <row r="3" spans="1:19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6"/>
      <c r="S3" s="137"/>
    </row>
    <row r="4" spans="1:19" ht="16.5" customHeight="1" x14ac:dyDescent="0.3">
      <c r="A4" s="132"/>
      <c r="B4" s="138" t="s">
        <v>7032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6"/>
      <c r="S4" s="137"/>
    </row>
    <row r="5" spans="1:19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6" t="s">
        <v>5869</v>
      </c>
      <c r="S5" s="146" t="s">
        <v>5871</v>
      </c>
    </row>
    <row r="6" spans="1:19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49"/>
      <c r="H6" s="150"/>
      <c r="I6" s="150"/>
      <c r="J6" s="150"/>
      <c r="K6" s="150"/>
      <c r="L6" s="151"/>
      <c r="M6" s="150"/>
      <c r="N6" s="150"/>
      <c r="O6" s="151"/>
      <c r="P6" s="151"/>
      <c r="Q6" s="150"/>
      <c r="R6" s="154" t="s">
        <v>5870</v>
      </c>
      <c r="S6" s="154" t="s">
        <v>0</v>
      </c>
    </row>
    <row r="7" spans="1:19" ht="16.5" customHeight="1" x14ac:dyDescent="0.3">
      <c r="A7" s="147">
        <v>15</v>
      </c>
      <c r="B7" s="147">
        <v>7127</v>
      </c>
      <c r="C7" s="155" t="s">
        <v>7031</v>
      </c>
      <c r="D7" s="156" t="s">
        <v>17370</v>
      </c>
      <c r="E7" s="157">
        <v>257</v>
      </c>
      <c r="F7" s="158" t="s">
        <v>0</v>
      </c>
      <c r="G7" s="156" t="s">
        <v>17003</v>
      </c>
      <c r="H7" s="157">
        <v>149</v>
      </c>
      <c r="I7" s="158" t="s">
        <v>0</v>
      </c>
      <c r="J7" s="159"/>
      <c r="K7" s="160"/>
      <c r="L7" s="161"/>
      <c r="M7" s="162"/>
      <c r="N7" s="163"/>
      <c r="O7" s="164"/>
      <c r="P7" s="165"/>
      <c r="Q7" s="158"/>
      <c r="R7" s="178">
        <v>423</v>
      </c>
      <c r="S7" s="142" t="s">
        <v>5863</v>
      </c>
    </row>
    <row r="8" spans="1:19" ht="16.5" customHeight="1" x14ac:dyDescent="0.3">
      <c r="A8" s="147">
        <v>15</v>
      </c>
      <c r="B8" s="147">
        <v>7128</v>
      </c>
      <c r="C8" s="155" t="s">
        <v>7030</v>
      </c>
      <c r="D8" s="188" t="s">
        <v>17000</v>
      </c>
      <c r="E8" s="153"/>
      <c r="F8" s="171"/>
      <c r="G8" s="167" t="s">
        <v>17000</v>
      </c>
      <c r="H8" s="150"/>
      <c r="I8" s="168"/>
      <c r="J8" s="169"/>
      <c r="K8" s="153"/>
      <c r="L8" s="152"/>
      <c r="M8" s="162" t="s">
        <v>5895</v>
      </c>
      <c r="N8" s="163" t="s">
        <v>1</v>
      </c>
      <c r="O8" s="164">
        <v>1</v>
      </c>
      <c r="P8" s="170"/>
      <c r="Q8" s="171"/>
      <c r="R8" s="178">
        <v>423</v>
      </c>
      <c r="S8" s="172"/>
    </row>
    <row r="9" spans="1:19" ht="16.5" customHeight="1" x14ac:dyDescent="0.3">
      <c r="A9" s="147">
        <v>15</v>
      </c>
      <c r="B9" s="147">
        <v>7129</v>
      </c>
      <c r="C9" s="155" t="s">
        <v>7029</v>
      </c>
      <c r="D9" s="188"/>
      <c r="E9" s="153"/>
      <c r="F9" s="171"/>
      <c r="G9" s="156" t="s">
        <v>17360</v>
      </c>
      <c r="H9" s="157">
        <v>334</v>
      </c>
      <c r="I9" s="158" t="s">
        <v>0</v>
      </c>
      <c r="J9" s="169"/>
      <c r="K9" s="153"/>
      <c r="L9" s="152"/>
      <c r="M9" s="162"/>
      <c r="N9" s="163"/>
      <c r="O9" s="164"/>
      <c r="P9" s="170"/>
      <c r="Q9" s="171"/>
      <c r="R9" s="178">
        <v>590</v>
      </c>
      <c r="S9" s="172"/>
    </row>
    <row r="10" spans="1:19" ht="16.5" customHeight="1" x14ac:dyDescent="0.3">
      <c r="A10" s="147">
        <v>15</v>
      </c>
      <c r="B10" s="147">
        <v>7130</v>
      </c>
      <c r="C10" s="155" t="s">
        <v>7028</v>
      </c>
      <c r="D10" s="188"/>
      <c r="E10" s="153"/>
      <c r="F10" s="171"/>
      <c r="G10" s="167" t="s">
        <v>17290</v>
      </c>
      <c r="H10" s="150"/>
      <c r="I10" s="168"/>
      <c r="J10" s="169"/>
      <c r="K10" s="153"/>
      <c r="L10" s="152"/>
      <c r="M10" s="162" t="s">
        <v>5895</v>
      </c>
      <c r="N10" s="163" t="s">
        <v>1</v>
      </c>
      <c r="O10" s="164">
        <v>1</v>
      </c>
      <c r="P10" s="170"/>
      <c r="Q10" s="174"/>
      <c r="R10" s="178">
        <v>590</v>
      </c>
      <c r="S10" s="172"/>
    </row>
    <row r="11" spans="1:19" ht="16.5" customHeight="1" x14ac:dyDescent="0.3">
      <c r="A11" s="147">
        <v>15</v>
      </c>
      <c r="B11" s="147">
        <v>7131</v>
      </c>
      <c r="C11" s="155" t="s">
        <v>7027</v>
      </c>
      <c r="D11" s="188"/>
      <c r="E11" s="153"/>
      <c r="F11" s="171"/>
      <c r="G11" s="156" t="s">
        <v>17361</v>
      </c>
      <c r="H11" s="157">
        <v>417</v>
      </c>
      <c r="I11" s="158" t="s">
        <v>0</v>
      </c>
      <c r="J11" s="169"/>
      <c r="K11" s="153"/>
      <c r="L11" s="152"/>
      <c r="M11" s="162"/>
      <c r="N11" s="163"/>
      <c r="O11" s="164"/>
      <c r="P11" s="170"/>
      <c r="Q11" s="171"/>
      <c r="R11" s="178">
        <v>664</v>
      </c>
      <c r="S11" s="172"/>
    </row>
    <row r="12" spans="1:19" ht="16.5" customHeight="1" x14ac:dyDescent="0.3">
      <c r="A12" s="147">
        <v>15</v>
      </c>
      <c r="B12" s="147">
        <v>7132</v>
      </c>
      <c r="C12" s="155" t="s">
        <v>7026</v>
      </c>
      <c r="D12" s="188"/>
      <c r="E12" s="153"/>
      <c r="F12" s="171"/>
      <c r="G12" s="167" t="s">
        <v>17288</v>
      </c>
      <c r="H12" s="150"/>
      <c r="I12" s="168"/>
      <c r="J12" s="169" t="s">
        <v>17287</v>
      </c>
      <c r="K12" s="153"/>
      <c r="L12" s="152"/>
      <c r="M12" s="162" t="s">
        <v>5895</v>
      </c>
      <c r="N12" s="163" t="s">
        <v>1</v>
      </c>
      <c r="O12" s="164">
        <v>1</v>
      </c>
      <c r="P12" s="170" t="s">
        <v>17369</v>
      </c>
      <c r="Q12" s="171"/>
      <c r="R12" s="178">
        <v>664</v>
      </c>
      <c r="S12" s="172"/>
    </row>
    <row r="13" spans="1:19" ht="16.5" customHeight="1" x14ac:dyDescent="0.3">
      <c r="A13" s="147">
        <v>15</v>
      </c>
      <c r="B13" s="147">
        <v>7133</v>
      </c>
      <c r="C13" s="155" t="s">
        <v>7025</v>
      </c>
      <c r="D13" s="188"/>
      <c r="E13" s="153"/>
      <c r="F13" s="171"/>
      <c r="G13" s="156" t="s">
        <v>17365</v>
      </c>
      <c r="H13" s="157">
        <v>501</v>
      </c>
      <c r="I13" s="158" t="s">
        <v>0</v>
      </c>
      <c r="J13" s="169" t="s">
        <v>16996</v>
      </c>
      <c r="K13" s="153" t="s">
        <v>1</v>
      </c>
      <c r="L13" s="152">
        <v>0.9</v>
      </c>
      <c r="M13" s="162"/>
      <c r="N13" s="163"/>
      <c r="O13" s="164"/>
      <c r="P13" s="170"/>
      <c r="Q13" s="174" t="s">
        <v>16999</v>
      </c>
      <c r="R13" s="178">
        <v>740</v>
      </c>
      <c r="S13" s="172"/>
    </row>
    <row r="14" spans="1:19" ht="16.5" customHeight="1" x14ac:dyDescent="0.3">
      <c r="A14" s="147">
        <v>15</v>
      </c>
      <c r="B14" s="147">
        <v>7134</v>
      </c>
      <c r="C14" s="155" t="s">
        <v>7024</v>
      </c>
      <c r="D14" s="188"/>
      <c r="E14" s="153"/>
      <c r="F14" s="171"/>
      <c r="G14" s="167" t="s">
        <v>17364</v>
      </c>
      <c r="H14" s="150"/>
      <c r="I14" s="168"/>
      <c r="J14" s="169"/>
      <c r="K14" s="153"/>
      <c r="L14" s="152"/>
      <c r="M14" s="162" t="s">
        <v>5895</v>
      </c>
      <c r="N14" s="163" t="s">
        <v>1</v>
      </c>
      <c r="O14" s="164">
        <v>1</v>
      </c>
      <c r="P14" s="170"/>
      <c r="Q14" s="171"/>
      <c r="R14" s="178">
        <v>740</v>
      </c>
      <c r="S14" s="172"/>
    </row>
    <row r="15" spans="1:19" ht="16.5" customHeight="1" x14ac:dyDescent="0.3">
      <c r="A15" s="147">
        <v>15</v>
      </c>
      <c r="B15" s="147">
        <v>7135</v>
      </c>
      <c r="C15" s="155" t="s">
        <v>7023</v>
      </c>
      <c r="D15" s="188"/>
      <c r="E15" s="153"/>
      <c r="F15" s="171"/>
      <c r="G15" s="156" t="s">
        <v>17368</v>
      </c>
      <c r="H15" s="157">
        <v>585</v>
      </c>
      <c r="I15" s="158" t="s">
        <v>0</v>
      </c>
      <c r="J15" s="169"/>
      <c r="K15" s="153"/>
      <c r="L15" s="152"/>
      <c r="M15" s="162"/>
      <c r="N15" s="163"/>
      <c r="O15" s="164"/>
      <c r="P15" s="170" t="s">
        <v>1</v>
      </c>
      <c r="Q15" s="192">
        <v>0.25</v>
      </c>
      <c r="R15" s="178">
        <v>816</v>
      </c>
      <c r="S15" s="172"/>
    </row>
    <row r="16" spans="1:19" ht="16.5" customHeight="1" x14ac:dyDescent="0.3">
      <c r="A16" s="147">
        <v>15</v>
      </c>
      <c r="B16" s="147">
        <v>7136</v>
      </c>
      <c r="C16" s="155" t="s">
        <v>7022</v>
      </c>
      <c r="D16" s="167"/>
      <c r="E16" s="150"/>
      <c r="F16" s="168"/>
      <c r="G16" s="167" t="s">
        <v>17367</v>
      </c>
      <c r="H16" s="150"/>
      <c r="I16" s="168"/>
      <c r="J16" s="169"/>
      <c r="K16" s="153"/>
      <c r="L16" s="152"/>
      <c r="M16" s="162" t="s">
        <v>5895</v>
      </c>
      <c r="N16" s="163" t="s">
        <v>1</v>
      </c>
      <c r="O16" s="164">
        <v>1</v>
      </c>
      <c r="P16" s="170"/>
      <c r="Q16" s="174" t="s">
        <v>16995</v>
      </c>
      <c r="R16" s="178">
        <v>816</v>
      </c>
      <c r="S16" s="172"/>
    </row>
    <row r="17" spans="1:19" ht="16.5" customHeight="1" x14ac:dyDescent="0.3">
      <c r="A17" s="147">
        <v>15</v>
      </c>
      <c r="B17" s="147">
        <v>7137</v>
      </c>
      <c r="C17" s="155" t="s">
        <v>7021</v>
      </c>
      <c r="D17" s="156" t="s">
        <v>17366</v>
      </c>
      <c r="E17" s="157">
        <v>406</v>
      </c>
      <c r="F17" s="158" t="s">
        <v>0</v>
      </c>
      <c r="G17" s="156" t="s">
        <v>17003</v>
      </c>
      <c r="H17" s="157">
        <v>185</v>
      </c>
      <c r="I17" s="158" t="s">
        <v>0</v>
      </c>
      <c r="J17" s="169"/>
      <c r="K17" s="153"/>
      <c r="L17" s="152"/>
      <c r="M17" s="162"/>
      <c r="N17" s="163"/>
      <c r="O17" s="164"/>
      <c r="P17" s="170"/>
      <c r="Q17" s="171"/>
      <c r="R17" s="178">
        <v>623</v>
      </c>
      <c r="S17" s="172"/>
    </row>
    <row r="18" spans="1:19" ht="16.5" customHeight="1" x14ac:dyDescent="0.3">
      <c r="A18" s="147">
        <v>15</v>
      </c>
      <c r="B18" s="147">
        <v>7138</v>
      </c>
      <c r="C18" s="155" t="s">
        <v>7020</v>
      </c>
      <c r="D18" s="188" t="s">
        <v>17012</v>
      </c>
      <c r="E18" s="153"/>
      <c r="F18" s="171"/>
      <c r="G18" s="167" t="s">
        <v>17000</v>
      </c>
      <c r="H18" s="150"/>
      <c r="I18" s="168"/>
      <c r="J18" s="169"/>
      <c r="K18" s="153"/>
      <c r="L18" s="152"/>
      <c r="M18" s="162" t="s">
        <v>5895</v>
      </c>
      <c r="N18" s="163" t="s">
        <v>1</v>
      </c>
      <c r="O18" s="164">
        <v>1</v>
      </c>
      <c r="P18" s="170"/>
      <c r="Q18" s="171"/>
      <c r="R18" s="178">
        <v>623</v>
      </c>
      <c r="S18" s="172"/>
    </row>
    <row r="19" spans="1:19" ht="16.5" customHeight="1" x14ac:dyDescent="0.3">
      <c r="A19" s="147">
        <v>15</v>
      </c>
      <c r="B19" s="147">
        <v>7139</v>
      </c>
      <c r="C19" s="155" t="s">
        <v>7019</v>
      </c>
      <c r="D19" s="188" t="s">
        <v>17011</v>
      </c>
      <c r="E19" s="153"/>
      <c r="F19" s="171"/>
      <c r="G19" s="156" t="s">
        <v>17360</v>
      </c>
      <c r="H19" s="157">
        <v>268</v>
      </c>
      <c r="I19" s="158" t="s">
        <v>0</v>
      </c>
      <c r="J19" s="169"/>
      <c r="K19" s="153"/>
      <c r="L19" s="152"/>
      <c r="M19" s="162"/>
      <c r="N19" s="163"/>
      <c r="O19" s="164"/>
      <c r="P19" s="170"/>
      <c r="Q19" s="171"/>
      <c r="R19" s="178">
        <v>697</v>
      </c>
      <c r="S19" s="172"/>
    </row>
    <row r="20" spans="1:19" ht="16.5" customHeight="1" x14ac:dyDescent="0.3">
      <c r="A20" s="147">
        <v>15</v>
      </c>
      <c r="B20" s="147">
        <v>7140</v>
      </c>
      <c r="C20" s="155" t="s">
        <v>7018</v>
      </c>
      <c r="D20" s="188"/>
      <c r="E20" s="153"/>
      <c r="F20" s="171"/>
      <c r="G20" s="167" t="s">
        <v>17290</v>
      </c>
      <c r="H20" s="150"/>
      <c r="I20" s="168"/>
      <c r="J20" s="169"/>
      <c r="K20" s="153"/>
      <c r="L20" s="152"/>
      <c r="M20" s="162" t="s">
        <v>5895</v>
      </c>
      <c r="N20" s="163" t="s">
        <v>1</v>
      </c>
      <c r="O20" s="164">
        <v>1</v>
      </c>
      <c r="P20" s="170"/>
      <c r="Q20" s="171"/>
      <c r="R20" s="178">
        <v>697</v>
      </c>
      <c r="S20" s="172"/>
    </row>
    <row r="21" spans="1:19" ht="16.5" customHeight="1" x14ac:dyDescent="0.3">
      <c r="A21" s="147">
        <v>15</v>
      </c>
      <c r="B21" s="147">
        <v>7141</v>
      </c>
      <c r="C21" s="155" t="s">
        <v>7017</v>
      </c>
      <c r="D21" s="188"/>
      <c r="E21" s="153"/>
      <c r="F21" s="171"/>
      <c r="G21" s="156" t="s">
        <v>17361</v>
      </c>
      <c r="H21" s="157">
        <v>352</v>
      </c>
      <c r="I21" s="158" t="s">
        <v>0</v>
      </c>
      <c r="J21" s="169"/>
      <c r="K21" s="153"/>
      <c r="L21" s="152"/>
      <c r="M21" s="162"/>
      <c r="N21" s="163"/>
      <c r="O21" s="164"/>
      <c r="P21" s="170"/>
      <c r="Q21" s="171"/>
      <c r="R21" s="178">
        <v>773</v>
      </c>
      <c r="S21" s="172"/>
    </row>
    <row r="22" spans="1:19" ht="16.5" customHeight="1" x14ac:dyDescent="0.3">
      <c r="A22" s="147">
        <v>15</v>
      </c>
      <c r="B22" s="147">
        <v>7142</v>
      </c>
      <c r="C22" s="155" t="s">
        <v>7016</v>
      </c>
      <c r="D22" s="188"/>
      <c r="E22" s="153"/>
      <c r="F22" s="171"/>
      <c r="G22" s="167" t="s">
        <v>17288</v>
      </c>
      <c r="H22" s="150"/>
      <c r="I22" s="168"/>
      <c r="J22" s="169"/>
      <c r="K22" s="153"/>
      <c r="L22" s="152"/>
      <c r="M22" s="162" t="s">
        <v>5895</v>
      </c>
      <c r="N22" s="163" t="s">
        <v>1</v>
      </c>
      <c r="O22" s="164">
        <v>1</v>
      </c>
      <c r="P22" s="170"/>
      <c r="Q22" s="171"/>
      <c r="R22" s="178">
        <v>773</v>
      </c>
      <c r="S22" s="172"/>
    </row>
    <row r="23" spans="1:19" ht="16.5" customHeight="1" x14ac:dyDescent="0.3">
      <c r="A23" s="147">
        <v>15</v>
      </c>
      <c r="B23" s="147">
        <v>7143</v>
      </c>
      <c r="C23" s="155" t="s">
        <v>7015</v>
      </c>
      <c r="D23" s="188"/>
      <c r="E23" s="153"/>
      <c r="F23" s="171"/>
      <c r="G23" s="156" t="s">
        <v>17365</v>
      </c>
      <c r="H23" s="157">
        <v>436</v>
      </c>
      <c r="I23" s="158" t="s">
        <v>0</v>
      </c>
      <c r="J23" s="169"/>
      <c r="K23" s="153"/>
      <c r="L23" s="152"/>
      <c r="M23" s="162"/>
      <c r="N23" s="163"/>
      <c r="O23" s="164"/>
      <c r="P23" s="170"/>
      <c r="Q23" s="171"/>
      <c r="R23" s="178">
        <v>848</v>
      </c>
      <c r="S23" s="172"/>
    </row>
    <row r="24" spans="1:19" ht="16.5" customHeight="1" x14ac:dyDescent="0.3">
      <c r="A24" s="147">
        <v>15</v>
      </c>
      <c r="B24" s="147">
        <v>7144</v>
      </c>
      <c r="C24" s="155" t="s">
        <v>7014</v>
      </c>
      <c r="D24" s="167"/>
      <c r="E24" s="150"/>
      <c r="F24" s="168"/>
      <c r="G24" s="167" t="s">
        <v>17364</v>
      </c>
      <c r="H24" s="150"/>
      <c r="I24" s="168"/>
      <c r="J24" s="169"/>
      <c r="K24" s="153"/>
      <c r="L24" s="152"/>
      <c r="M24" s="162" t="s">
        <v>5895</v>
      </c>
      <c r="N24" s="163" t="s">
        <v>1</v>
      </c>
      <c r="O24" s="164">
        <v>1</v>
      </c>
      <c r="P24" s="170"/>
      <c r="Q24" s="171"/>
      <c r="R24" s="178">
        <v>848</v>
      </c>
      <c r="S24" s="172"/>
    </row>
    <row r="25" spans="1:19" ht="16.5" customHeight="1" x14ac:dyDescent="0.3">
      <c r="A25" s="147">
        <v>15</v>
      </c>
      <c r="B25" s="147">
        <v>7145</v>
      </c>
      <c r="C25" s="155" t="s">
        <v>7013</v>
      </c>
      <c r="D25" s="156" t="s">
        <v>16907</v>
      </c>
      <c r="E25" s="157">
        <v>591</v>
      </c>
      <c r="F25" s="158" t="s">
        <v>0</v>
      </c>
      <c r="G25" s="156" t="s">
        <v>17003</v>
      </c>
      <c r="H25" s="157">
        <v>83</v>
      </c>
      <c r="I25" s="158" t="s">
        <v>0</v>
      </c>
      <c r="J25" s="169"/>
      <c r="K25" s="153"/>
      <c r="L25" s="152"/>
      <c r="M25" s="162"/>
      <c r="N25" s="163"/>
      <c r="O25" s="164"/>
      <c r="P25" s="170"/>
      <c r="Q25" s="171"/>
      <c r="R25" s="178">
        <v>740</v>
      </c>
      <c r="S25" s="172"/>
    </row>
    <row r="26" spans="1:19" ht="16.5" customHeight="1" x14ac:dyDescent="0.3">
      <c r="A26" s="147">
        <v>15</v>
      </c>
      <c r="B26" s="147">
        <v>7146</v>
      </c>
      <c r="C26" s="155" t="s">
        <v>7012</v>
      </c>
      <c r="D26" s="188" t="s">
        <v>16871</v>
      </c>
      <c r="E26" s="153"/>
      <c r="F26" s="171"/>
      <c r="G26" s="167" t="s">
        <v>17000</v>
      </c>
      <c r="H26" s="150"/>
      <c r="I26" s="168"/>
      <c r="J26" s="169"/>
      <c r="K26" s="153"/>
      <c r="L26" s="152"/>
      <c r="M26" s="162" t="s">
        <v>5895</v>
      </c>
      <c r="N26" s="163" t="s">
        <v>1</v>
      </c>
      <c r="O26" s="164">
        <v>1</v>
      </c>
      <c r="P26" s="170"/>
      <c r="Q26" s="171"/>
      <c r="R26" s="178">
        <v>740</v>
      </c>
      <c r="S26" s="172"/>
    </row>
    <row r="27" spans="1:19" ht="16.5" customHeight="1" x14ac:dyDescent="0.3">
      <c r="A27" s="147">
        <v>15</v>
      </c>
      <c r="B27" s="147">
        <v>7147</v>
      </c>
      <c r="C27" s="155" t="s">
        <v>7011</v>
      </c>
      <c r="D27" s="188" t="s">
        <v>17015</v>
      </c>
      <c r="E27" s="153"/>
      <c r="F27" s="171"/>
      <c r="G27" s="156" t="s">
        <v>17363</v>
      </c>
      <c r="H27" s="157">
        <v>167</v>
      </c>
      <c r="I27" s="158" t="s">
        <v>0</v>
      </c>
      <c r="J27" s="169"/>
      <c r="K27" s="153"/>
      <c r="L27" s="152"/>
      <c r="M27" s="162"/>
      <c r="N27" s="163"/>
      <c r="O27" s="164"/>
      <c r="P27" s="170"/>
      <c r="Q27" s="171"/>
      <c r="R27" s="178">
        <v>815</v>
      </c>
      <c r="S27" s="172"/>
    </row>
    <row r="28" spans="1:19" ht="16.5" customHeight="1" x14ac:dyDescent="0.3">
      <c r="A28" s="147">
        <v>15</v>
      </c>
      <c r="B28" s="147">
        <v>7148</v>
      </c>
      <c r="C28" s="155" t="s">
        <v>7010</v>
      </c>
      <c r="D28" s="188"/>
      <c r="E28" s="153"/>
      <c r="F28" s="171"/>
      <c r="G28" s="167" t="s">
        <v>17362</v>
      </c>
      <c r="H28" s="150"/>
      <c r="I28" s="168"/>
      <c r="J28" s="169"/>
      <c r="K28" s="153"/>
      <c r="L28" s="152"/>
      <c r="M28" s="162" t="s">
        <v>5895</v>
      </c>
      <c r="N28" s="163" t="s">
        <v>1</v>
      </c>
      <c r="O28" s="164">
        <v>1</v>
      </c>
      <c r="P28" s="170"/>
      <c r="Q28" s="171"/>
      <c r="R28" s="178">
        <v>815</v>
      </c>
      <c r="S28" s="172"/>
    </row>
    <row r="29" spans="1:19" ht="16.5" customHeight="1" x14ac:dyDescent="0.3">
      <c r="A29" s="147">
        <v>15</v>
      </c>
      <c r="B29" s="147">
        <v>7149</v>
      </c>
      <c r="C29" s="155" t="s">
        <v>7009</v>
      </c>
      <c r="D29" s="188"/>
      <c r="E29" s="153"/>
      <c r="F29" s="171"/>
      <c r="G29" s="156" t="s">
        <v>17361</v>
      </c>
      <c r="H29" s="157">
        <v>251</v>
      </c>
      <c r="I29" s="158" t="s">
        <v>0</v>
      </c>
      <c r="J29" s="169"/>
      <c r="K29" s="153"/>
      <c r="L29" s="152"/>
      <c r="M29" s="162"/>
      <c r="N29" s="163"/>
      <c r="O29" s="164"/>
      <c r="P29" s="170"/>
      <c r="Q29" s="171"/>
      <c r="R29" s="178">
        <v>891</v>
      </c>
      <c r="S29" s="172"/>
    </row>
    <row r="30" spans="1:19" ht="16.5" customHeight="1" x14ac:dyDescent="0.3">
      <c r="A30" s="147">
        <v>15</v>
      </c>
      <c r="B30" s="147">
        <v>7150</v>
      </c>
      <c r="C30" s="155" t="s">
        <v>7008</v>
      </c>
      <c r="D30" s="167"/>
      <c r="E30" s="150"/>
      <c r="F30" s="168"/>
      <c r="G30" s="167" t="s">
        <v>17288</v>
      </c>
      <c r="H30" s="150"/>
      <c r="I30" s="168"/>
      <c r="J30" s="169"/>
      <c r="K30" s="153"/>
      <c r="L30" s="152"/>
      <c r="M30" s="162" t="s">
        <v>5895</v>
      </c>
      <c r="N30" s="163" t="s">
        <v>1</v>
      </c>
      <c r="O30" s="164">
        <v>1</v>
      </c>
      <c r="P30" s="170"/>
      <c r="Q30" s="171"/>
      <c r="R30" s="178">
        <v>891</v>
      </c>
      <c r="S30" s="172"/>
    </row>
    <row r="31" spans="1:19" ht="16.5" customHeight="1" x14ac:dyDescent="0.3">
      <c r="A31" s="147">
        <v>15</v>
      </c>
      <c r="B31" s="147">
        <v>7151</v>
      </c>
      <c r="C31" s="155" t="s">
        <v>7007</v>
      </c>
      <c r="D31" s="156" t="s">
        <v>16906</v>
      </c>
      <c r="E31" s="157">
        <v>674</v>
      </c>
      <c r="F31" s="158" t="s">
        <v>0</v>
      </c>
      <c r="G31" s="156" t="s">
        <v>17358</v>
      </c>
      <c r="H31" s="157">
        <v>84</v>
      </c>
      <c r="I31" s="158" t="s">
        <v>0</v>
      </c>
      <c r="J31" s="169"/>
      <c r="K31" s="153"/>
      <c r="L31" s="152"/>
      <c r="M31" s="162"/>
      <c r="N31" s="163"/>
      <c r="O31" s="164"/>
      <c r="P31" s="170"/>
      <c r="Q31" s="171"/>
      <c r="R31" s="178">
        <v>835</v>
      </c>
      <c r="S31" s="172"/>
    </row>
    <row r="32" spans="1:19" ht="16.5" customHeight="1" x14ac:dyDescent="0.3">
      <c r="A32" s="147">
        <v>15</v>
      </c>
      <c r="B32" s="147">
        <v>7152</v>
      </c>
      <c r="C32" s="155" t="s">
        <v>7006</v>
      </c>
      <c r="D32" s="188" t="s">
        <v>17001</v>
      </c>
      <c r="E32" s="153"/>
      <c r="F32" s="171"/>
      <c r="G32" s="167" t="s">
        <v>16901</v>
      </c>
      <c r="H32" s="150"/>
      <c r="I32" s="168"/>
      <c r="J32" s="169"/>
      <c r="K32" s="153"/>
      <c r="L32" s="152"/>
      <c r="M32" s="162" t="s">
        <v>5895</v>
      </c>
      <c r="N32" s="163" t="s">
        <v>1</v>
      </c>
      <c r="O32" s="164">
        <v>1</v>
      </c>
      <c r="P32" s="170"/>
      <c r="Q32" s="171"/>
      <c r="R32" s="178">
        <v>835</v>
      </c>
      <c r="S32" s="172"/>
    </row>
    <row r="33" spans="1:19" ht="16.5" customHeight="1" x14ac:dyDescent="0.3">
      <c r="A33" s="147">
        <v>15</v>
      </c>
      <c r="B33" s="147">
        <v>7153</v>
      </c>
      <c r="C33" s="155" t="s">
        <v>7005</v>
      </c>
      <c r="D33" s="188" t="s">
        <v>16997</v>
      </c>
      <c r="E33" s="153"/>
      <c r="F33" s="171"/>
      <c r="G33" s="156" t="s">
        <v>17360</v>
      </c>
      <c r="H33" s="157">
        <v>168</v>
      </c>
      <c r="I33" s="158" t="s">
        <v>0</v>
      </c>
      <c r="J33" s="169"/>
      <c r="K33" s="153"/>
      <c r="L33" s="152"/>
      <c r="M33" s="162"/>
      <c r="N33" s="163"/>
      <c r="O33" s="164"/>
      <c r="P33" s="170"/>
      <c r="Q33" s="171"/>
      <c r="R33" s="178">
        <v>910</v>
      </c>
      <c r="S33" s="172"/>
    </row>
    <row r="34" spans="1:19" ht="16.5" customHeight="1" x14ac:dyDescent="0.3">
      <c r="A34" s="147">
        <v>15</v>
      </c>
      <c r="B34" s="147">
        <v>7154</v>
      </c>
      <c r="C34" s="155" t="s">
        <v>7004</v>
      </c>
      <c r="D34" s="167"/>
      <c r="E34" s="150"/>
      <c r="F34" s="168"/>
      <c r="G34" s="167" t="s">
        <v>17290</v>
      </c>
      <c r="H34" s="150"/>
      <c r="I34" s="168"/>
      <c r="J34" s="169"/>
      <c r="K34" s="153"/>
      <c r="L34" s="152"/>
      <c r="M34" s="162" t="s">
        <v>5895</v>
      </c>
      <c r="N34" s="163" t="s">
        <v>1</v>
      </c>
      <c r="O34" s="164">
        <v>1</v>
      </c>
      <c r="P34" s="170"/>
      <c r="Q34" s="171"/>
      <c r="R34" s="178">
        <v>910</v>
      </c>
      <c r="S34" s="172"/>
    </row>
    <row r="35" spans="1:19" ht="16.5" customHeight="1" x14ac:dyDescent="0.3">
      <c r="A35" s="147">
        <v>15</v>
      </c>
      <c r="B35" s="147">
        <v>7155</v>
      </c>
      <c r="C35" s="155" t="s">
        <v>7003</v>
      </c>
      <c r="D35" s="156" t="s">
        <v>17359</v>
      </c>
      <c r="E35" s="157">
        <v>758</v>
      </c>
      <c r="F35" s="158" t="s">
        <v>0</v>
      </c>
      <c r="G35" s="156" t="s">
        <v>17358</v>
      </c>
      <c r="H35" s="157">
        <v>84</v>
      </c>
      <c r="I35" s="158" t="s">
        <v>0</v>
      </c>
      <c r="J35" s="169"/>
      <c r="K35" s="153"/>
      <c r="L35" s="152"/>
      <c r="M35" s="162"/>
      <c r="N35" s="163"/>
      <c r="O35" s="164"/>
      <c r="P35" s="170"/>
      <c r="Q35" s="171"/>
      <c r="R35" s="178">
        <v>929</v>
      </c>
      <c r="S35" s="172"/>
    </row>
    <row r="36" spans="1:19" ht="16.5" customHeight="1" x14ac:dyDescent="0.3">
      <c r="A36" s="147">
        <v>15</v>
      </c>
      <c r="B36" s="147">
        <v>7156</v>
      </c>
      <c r="C36" s="155" t="s">
        <v>7002</v>
      </c>
      <c r="D36" s="167" t="s">
        <v>17284</v>
      </c>
      <c r="E36" s="150"/>
      <c r="F36" s="168"/>
      <c r="G36" s="167" t="s">
        <v>17000</v>
      </c>
      <c r="H36" s="150"/>
      <c r="I36" s="168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6"/>
      <c r="Q36" s="168"/>
      <c r="R36" s="178">
        <v>929</v>
      </c>
      <c r="S36" s="177"/>
    </row>
    <row r="37" spans="1:19" ht="16.5" customHeight="1" x14ac:dyDescent="0.3"/>
    <row r="38" spans="1:1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0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theme="1" tint="0.249977111117893"/>
    <pageSetUpPr fitToPage="1"/>
  </sheetPr>
  <dimension ref="A1:Z45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62890625" style="45" customWidth="1"/>
    <col min="5" max="5" width="4.1015625" style="46" bestFit="1" customWidth="1"/>
    <col min="6" max="6" width="4.734375" style="46" bestFit="1" customWidth="1"/>
    <col min="7" max="7" width="12.62890625" style="45" customWidth="1"/>
    <col min="8" max="8" width="4.1015625" style="46" bestFit="1" customWidth="1"/>
    <col min="9" max="9" width="4.734375" style="46" bestFit="1" customWidth="1"/>
    <col min="10" max="10" width="10.62890625" style="45" customWidth="1"/>
    <col min="11" max="11" width="3.26171875" style="46" bestFit="1" customWidth="1"/>
    <col min="12" max="12" width="4.734375" style="46" bestFit="1" customWidth="1"/>
    <col min="13" max="13" width="16.62890625" style="46" customWidth="1"/>
    <col min="14" max="14" width="3.1015625" style="46" bestFit="1" customWidth="1"/>
    <col min="15" max="15" width="4.1015625" style="47" bestFit="1" customWidth="1"/>
    <col min="16" max="16" width="28.62890625" style="46" customWidth="1"/>
    <col min="17" max="17" width="3.1015625" style="46" bestFit="1" customWidth="1"/>
    <col min="18" max="18" width="5" style="47" bestFit="1" customWidth="1"/>
    <col min="19" max="19" width="3.1015625" style="46" bestFit="1" customWidth="1"/>
    <col min="20" max="20" width="4.1015625" style="47" customWidth="1"/>
    <col min="21" max="21" width="4.734375" style="46" bestFit="1" customWidth="1"/>
    <col min="22" max="22" width="3.1015625" style="46" bestFit="1" customWidth="1"/>
    <col min="23" max="23" width="4.1015625" style="47" customWidth="1"/>
    <col min="24" max="24" width="4.734375" style="46" bestFit="1" customWidth="1"/>
    <col min="25" max="25" width="6.3671875" style="84" bestFit="1" customWidth="1"/>
    <col min="26" max="26" width="7.734375" style="48" bestFit="1" customWidth="1"/>
    <col min="27" max="16384" width="9" style="49"/>
  </cols>
  <sheetData>
    <row r="1" spans="1:26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4"/>
      <c r="T1" s="135"/>
      <c r="U1" s="134"/>
      <c r="V1" s="134"/>
      <c r="W1" s="135"/>
      <c r="X1" s="134"/>
      <c r="Y1" s="136"/>
      <c r="Z1" s="137"/>
    </row>
    <row r="2" spans="1:26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4"/>
      <c r="T2" s="135"/>
      <c r="U2" s="134"/>
      <c r="V2" s="134"/>
      <c r="W2" s="135"/>
      <c r="X2" s="134"/>
      <c r="Y2" s="136"/>
      <c r="Z2" s="137"/>
    </row>
    <row r="3" spans="1:26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4"/>
      <c r="T3" s="135"/>
      <c r="U3" s="134"/>
      <c r="V3" s="134"/>
      <c r="W3" s="135"/>
      <c r="X3" s="134"/>
      <c r="Y3" s="136"/>
      <c r="Z3" s="137"/>
    </row>
    <row r="4" spans="1:26" ht="16.5" customHeight="1" x14ac:dyDescent="0.3">
      <c r="A4" s="132"/>
      <c r="B4" s="138" t="s">
        <v>7066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4"/>
      <c r="T4" s="135"/>
      <c r="U4" s="134"/>
      <c r="V4" s="134"/>
      <c r="W4" s="135"/>
      <c r="X4" s="134"/>
      <c r="Y4" s="136"/>
      <c r="Z4" s="137"/>
    </row>
    <row r="5" spans="1:2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4"/>
      <c r="T5" s="145"/>
      <c r="U5" s="144"/>
      <c r="V5" s="144"/>
      <c r="W5" s="145"/>
      <c r="X5" s="144"/>
      <c r="Y5" s="146" t="s">
        <v>5869</v>
      </c>
      <c r="Z5" s="146" t="s">
        <v>5871</v>
      </c>
    </row>
    <row r="6" spans="1:2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79" t="s">
        <v>5872</v>
      </c>
      <c r="H6" s="180"/>
      <c r="I6" s="181"/>
      <c r="J6" s="187"/>
      <c r="K6" s="153"/>
      <c r="L6" s="153"/>
      <c r="M6" s="153"/>
      <c r="N6" s="153"/>
      <c r="O6" s="152"/>
      <c r="P6" s="150"/>
      <c r="Q6" s="150"/>
      <c r="R6" s="151"/>
      <c r="S6" s="153"/>
      <c r="T6" s="152"/>
      <c r="U6" s="153"/>
      <c r="V6" s="153"/>
      <c r="W6" s="152"/>
      <c r="X6" s="153"/>
      <c r="Y6" s="154" t="s">
        <v>5870</v>
      </c>
      <c r="Z6" s="154" t="s">
        <v>0</v>
      </c>
    </row>
    <row r="7" spans="1:26" ht="16.5" customHeight="1" x14ac:dyDescent="0.3">
      <c r="A7" s="147">
        <v>15</v>
      </c>
      <c r="B7" s="147">
        <v>7157</v>
      </c>
      <c r="C7" s="155" t="s">
        <v>7065</v>
      </c>
      <c r="D7" s="156" t="s">
        <v>16877</v>
      </c>
      <c r="E7" s="157">
        <v>257</v>
      </c>
      <c r="F7" s="158" t="s">
        <v>0</v>
      </c>
      <c r="G7" s="156" t="s">
        <v>17376</v>
      </c>
      <c r="H7" s="157">
        <v>149</v>
      </c>
      <c r="I7" s="160" t="s">
        <v>0</v>
      </c>
      <c r="J7" s="156"/>
      <c r="K7" s="160"/>
      <c r="L7" s="160"/>
      <c r="M7" s="160"/>
      <c r="N7" s="160"/>
      <c r="O7" s="182"/>
      <c r="P7" s="163"/>
      <c r="Q7" s="163"/>
      <c r="R7" s="164"/>
      <c r="S7" s="159"/>
      <c r="T7" s="161"/>
      <c r="U7" s="160"/>
      <c r="V7" s="160"/>
      <c r="W7" s="161"/>
      <c r="X7" s="158"/>
      <c r="Y7" s="166">
        <v>399</v>
      </c>
      <c r="Z7" s="142" t="s">
        <v>5863</v>
      </c>
    </row>
    <row r="8" spans="1:26" ht="16.5" customHeight="1" x14ac:dyDescent="0.3">
      <c r="A8" s="147">
        <v>15</v>
      </c>
      <c r="B8" s="147">
        <v>7158</v>
      </c>
      <c r="C8" s="155" t="s">
        <v>7064</v>
      </c>
      <c r="D8" s="188" t="s">
        <v>16901</v>
      </c>
      <c r="E8" s="153"/>
      <c r="F8" s="171"/>
      <c r="G8" s="167" t="s">
        <v>16901</v>
      </c>
      <c r="H8" s="150"/>
      <c r="I8" s="150"/>
      <c r="J8" s="188"/>
      <c r="K8" s="153"/>
      <c r="L8" s="153"/>
      <c r="M8" s="153"/>
      <c r="N8" s="153"/>
      <c r="O8" s="173"/>
      <c r="P8" s="163" t="s">
        <v>5895</v>
      </c>
      <c r="Q8" s="163" t="s">
        <v>1</v>
      </c>
      <c r="R8" s="164">
        <v>1</v>
      </c>
      <c r="S8" s="169"/>
      <c r="T8" s="152"/>
      <c r="U8" s="153"/>
      <c r="V8" s="153"/>
      <c r="W8" s="152"/>
      <c r="X8" s="171"/>
      <c r="Y8" s="166">
        <v>399</v>
      </c>
      <c r="Z8" s="172"/>
    </row>
    <row r="9" spans="1:26" ht="16.5" customHeight="1" x14ac:dyDescent="0.3">
      <c r="A9" s="147">
        <v>15</v>
      </c>
      <c r="B9" s="147">
        <v>7159</v>
      </c>
      <c r="C9" s="155" t="s">
        <v>7063</v>
      </c>
      <c r="D9" s="188"/>
      <c r="E9" s="153"/>
      <c r="F9" s="171"/>
      <c r="G9" s="156" t="s">
        <v>17383</v>
      </c>
      <c r="H9" s="157">
        <v>334</v>
      </c>
      <c r="I9" s="160" t="s">
        <v>0</v>
      </c>
      <c r="J9" s="188"/>
      <c r="K9" s="153"/>
      <c r="L9" s="153"/>
      <c r="M9" s="153"/>
      <c r="N9" s="153"/>
      <c r="O9" s="173"/>
      <c r="P9" s="163"/>
      <c r="Q9" s="163"/>
      <c r="R9" s="164"/>
      <c r="S9" s="169"/>
      <c r="T9" s="152"/>
      <c r="U9" s="153"/>
      <c r="V9" s="153"/>
      <c r="W9" s="152"/>
      <c r="X9" s="171"/>
      <c r="Y9" s="166">
        <v>607</v>
      </c>
      <c r="Z9" s="172"/>
    </row>
    <row r="10" spans="1:26" ht="16.5" customHeight="1" x14ac:dyDescent="0.3">
      <c r="A10" s="147">
        <v>15</v>
      </c>
      <c r="B10" s="147">
        <v>7160</v>
      </c>
      <c r="C10" s="155" t="s">
        <v>7062</v>
      </c>
      <c r="D10" s="188"/>
      <c r="E10" s="153"/>
      <c r="F10" s="171"/>
      <c r="G10" s="167" t="s">
        <v>17362</v>
      </c>
      <c r="H10" s="150"/>
      <c r="I10" s="150"/>
      <c r="J10" s="188"/>
      <c r="K10" s="153"/>
      <c r="L10" s="153"/>
      <c r="M10" s="153"/>
      <c r="N10" s="153"/>
      <c r="O10" s="173"/>
      <c r="P10" s="163" t="s">
        <v>5895</v>
      </c>
      <c r="Q10" s="163" t="s">
        <v>1</v>
      </c>
      <c r="R10" s="164">
        <v>1</v>
      </c>
      <c r="S10" s="169"/>
      <c r="T10" s="152"/>
      <c r="U10" s="153"/>
      <c r="V10" s="153"/>
      <c r="W10" s="152"/>
      <c r="X10" s="171"/>
      <c r="Y10" s="166">
        <v>607</v>
      </c>
      <c r="Z10" s="172"/>
    </row>
    <row r="11" spans="1:26" ht="16.5" customHeight="1" x14ac:dyDescent="0.3">
      <c r="A11" s="147">
        <v>15</v>
      </c>
      <c r="B11" s="147">
        <v>7161</v>
      </c>
      <c r="C11" s="155" t="s">
        <v>7061</v>
      </c>
      <c r="D11" s="188"/>
      <c r="E11" s="153"/>
      <c r="F11" s="171"/>
      <c r="G11" s="156" t="s">
        <v>17381</v>
      </c>
      <c r="H11" s="157">
        <v>417</v>
      </c>
      <c r="I11" s="160" t="s">
        <v>0</v>
      </c>
      <c r="J11" s="188"/>
      <c r="K11" s="153"/>
      <c r="L11" s="153"/>
      <c r="M11" s="153"/>
      <c r="N11" s="153"/>
      <c r="O11" s="173"/>
      <c r="P11" s="163"/>
      <c r="Q11" s="163"/>
      <c r="R11" s="164"/>
      <c r="S11" s="169"/>
      <c r="T11" s="152"/>
      <c r="U11" s="153"/>
      <c r="V11" s="153"/>
      <c r="W11" s="152"/>
      <c r="X11" s="171"/>
      <c r="Y11" s="166">
        <v>700</v>
      </c>
      <c r="Z11" s="172"/>
    </row>
    <row r="12" spans="1:26" ht="16.5" customHeight="1" x14ac:dyDescent="0.3">
      <c r="A12" s="147">
        <v>15</v>
      </c>
      <c r="B12" s="147">
        <v>7162</v>
      </c>
      <c r="C12" s="155" t="s">
        <v>7060</v>
      </c>
      <c r="D12" s="188"/>
      <c r="E12" s="153"/>
      <c r="F12" s="171"/>
      <c r="G12" s="167" t="s">
        <v>17380</v>
      </c>
      <c r="H12" s="150"/>
      <c r="I12" s="150"/>
      <c r="J12" s="188" t="s">
        <v>17396</v>
      </c>
      <c r="K12" s="153"/>
      <c r="L12" s="153"/>
      <c r="M12" s="153"/>
      <c r="N12" s="153" t="s">
        <v>1</v>
      </c>
      <c r="O12" s="173">
        <v>0.9</v>
      </c>
      <c r="P12" s="163" t="s">
        <v>5895</v>
      </c>
      <c r="Q12" s="163" t="s">
        <v>1</v>
      </c>
      <c r="R12" s="164">
        <v>1</v>
      </c>
      <c r="S12" s="169" t="s">
        <v>17395</v>
      </c>
      <c r="T12" s="152"/>
      <c r="U12" s="153"/>
      <c r="V12" s="153" t="s">
        <v>17394</v>
      </c>
      <c r="W12" s="152">
        <v>0.25</v>
      </c>
      <c r="X12" s="171" t="s">
        <v>422</v>
      </c>
      <c r="Y12" s="166">
        <v>700</v>
      </c>
      <c r="Z12" s="172"/>
    </row>
    <row r="13" spans="1:26" ht="16.5" customHeight="1" x14ac:dyDescent="0.3">
      <c r="A13" s="147">
        <v>15</v>
      </c>
      <c r="B13" s="147">
        <v>7163</v>
      </c>
      <c r="C13" s="155" t="s">
        <v>7059</v>
      </c>
      <c r="D13" s="188"/>
      <c r="E13" s="153"/>
      <c r="F13" s="171"/>
      <c r="G13" s="156" t="s">
        <v>17393</v>
      </c>
      <c r="H13" s="157">
        <v>501</v>
      </c>
      <c r="I13" s="160" t="s">
        <v>0</v>
      </c>
      <c r="J13" s="188"/>
      <c r="K13" s="153"/>
      <c r="L13" s="153"/>
      <c r="M13" s="153"/>
      <c r="N13" s="153"/>
      <c r="O13" s="173"/>
      <c r="P13" s="163"/>
      <c r="Q13" s="163"/>
      <c r="R13" s="164"/>
      <c r="S13" s="169"/>
      <c r="T13" s="152"/>
      <c r="U13" s="153"/>
      <c r="V13" s="153"/>
      <c r="W13" s="152"/>
      <c r="X13" s="171"/>
      <c r="Y13" s="166">
        <v>795</v>
      </c>
      <c r="Z13" s="172"/>
    </row>
    <row r="14" spans="1:26" ht="16.5" customHeight="1" x14ac:dyDescent="0.3">
      <c r="A14" s="147">
        <v>15</v>
      </c>
      <c r="B14" s="147">
        <v>7164</v>
      </c>
      <c r="C14" s="155" t="s">
        <v>7058</v>
      </c>
      <c r="D14" s="188"/>
      <c r="E14" s="153"/>
      <c r="F14" s="171"/>
      <c r="G14" s="167" t="s">
        <v>17386</v>
      </c>
      <c r="H14" s="150"/>
      <c r="I14" s="150"/>
      <c r="J14" s="188"/>
      <c r="K14" s="153"/>
      <c r="L14" s="153"/>
      <c r="M14" s="153"/>
      <c r="N14" s="153"/>
      <c r="O14" s="173"/>
      <c r="P14" s="163" t="s">
        <v>5895</v>
      </c>
      <c r="Q14" s="163" t="s">
        <v>1</v>
      </c>
      <c r="R14" s="164">
        <v>1</v>
      </c>
      <c r="S14" s="169"/>
      <c r="T14" s="152"/>
      <c r="U14" s="153"/>
      <c r="V14" s="153"/>
      <c r="W14" s="152"/>
      <c r="X14" s="171"/>
      <c r="Y14" s="166">
        <v>795</v>
      </c>
      <c r="Z14" s="172"/>
    </row>
    <row r="15" spans="1:26" ht="16.5" customHeight="1" x14ac:dyDescent="0.3">
      <c r="A15" s="147">
        <v>15</v>
      </c>
      <c r="B15" s="147">
        <v>7165</v>
      </c>
      <c r="C15" s="155" t="s">
        <v>7057</v>
      </c>
      <c r="D15" s="188"/>
      <c r="E15" s="153"/>
      <c r="F15" s="171"/>
      <c r="G15" s="156" t="s">
        <v>17392</v>
      </c>
      <c r="H15" s="157">
        <v>585</v>
      </c>
      <c r="I15" s="160" t="s">
        <v>0</v>
      </c>
      <c r="J15" s="188"/>
      <c r="K15" s="153"/>
      <c r="L15" s="153"/>
      <c r="M15" s="153"/>
      <c r="N15" s="153"/>
      <c r="O15" s="173"/>
      <c r="P15" s="163"/>
      <c r="Q15" s="163"/>
      <c r="R15" s="164"/>
      <c r="S15" s="169"/>
      <c r="T15" s="152"/>
      <c r="U15" s="153"/>
      <c r="V15" s="153"/>
      <c r="W15" s="152"/>
      <c r="X15" s="171"/>
      <c r="Y15" s="166">
        <v>890</v>
      </c>
      <c r="Z15" s="172"/>
    </row>
    <row r="16" spans="1:26" ht="16.5" customHeight="1" x14ac:dyDescent="0.3">
      <c r="A16" s="147">
        <v>15</v>
      </c>
      <c r="B16" s="147">
        <v>7166</v>
      </c>
      <c r="C16" s="155" t="s">
        <v>7056</v>
      </c>
      <c r="D16" s="167"/>
      <c r="E16" s="150"/>
      <c r="F16" s="168"/>
      <c r="G16" s="167" t="s">
        <v>17375</v>
      </c>
      <c r="H16" s="150"/>
      <c r="I16" s="150"/>
      <c r="J16" s="188"/>
      <c r="K16" s="153"/>
      <c r="L16" s="153"/>
      <c r="M16" s="153"/>
      <c r="N16" s="153"/>
      <c r="O16" s="173"/>
      <c r="P16" s="163" t="s">
        <v>5895</v>
      </c>
      <c r="Q16" s="163" t="s">
        <v>1</v>
      </c>
      <c r="R16" s="164">
        <v>1</v>
      </c>
      <c r="S16" s="169"/>
      <c r="T16" s="152"/>
      <c r="U16" s="153"/>
      <c r="V16" s="153"/>
      <c r="W16" s="152"/>
      <c r="X16" s="171"/>
      <c r="Y16" s="166">
        <v>890</v>
      </c>
      <c r="Z16" s="172"/>
    </row>
    <row r="17" spans="1:26" ht="16.5" customHeight="1" x14ac:dyDescent="0.3">
      <c r="A17" s="147">
        <v>15</v>
      </c>
      <c r="B17" s="147">
        <v>7167</v>
      </c>
      <c r="C17" s="155" t="s">
        <v>7055</v>
      </c>
      <c r="D17" s="156" t="s">
        <v>17391</v>
      </c>
      <c r="E17" s="157">
        <v>406</v>
      </c>
      <c r="F17" s="158" t="s">
        <v>0</v>
      </c>
      <c r="G17" s="156" t="s">
        <v>17376</v>
      </c>
      <c r="H17" s="157">
        <v>185</v>
      </c>
      <c r="I17" s="160" t="s">
        <v>0</v>
      </c>
      <c r="J17" s="188"/>
      <c r="K17" s="153"/>
      <c r="L17" s="153"/>
      <c r="M17" s="153"/>
      <c r="N17" s="153"/>
      <c r="O17" s="173"/>
      <c r="P17" s="163"/>
      <c r="Q17" s="163"/>
      <c r="R17" s="164"/>
      <c r="S17" s="169"/>
      <c r="T17" s="152"/>
      <c r="U17" s="153"/>
      <c r="V17" s="153"/>
      <c r="W17" s="152"/>
      <c r="X17" s="171"/>
      <c r="Y17" s="166">
        <v>574</v>
      </c>
      <c r="Z17" s="172"/>
    </row>
    <row r="18" spans="1:26" ht="16.5" customHeight="1" x14ac:dyDescent="0.3">
      <c r="A18" s="147">
        <v>15</v>
      </c>
      <c r="B18" s="147">
        <v>7168</v>
      </c>
      <c r="C18" s="155" t="s">
        <v>7054</v>
      </c>
      <c r="D18" s="188" t="s">
        <v>17067</v>
      </c>
      <c r="E18" s="153"/>
      <c r="F18" s="171"/>
      <c r="G18" s="167" t="s">
        <v>17056</v>
      </c>
      <c r="H18" s="150"/>
      <c r="I18" s="150"/>
      <c r="J18" s="188"/>
      <c r="K18" s="153"/>
      <c r="L18" s="153"/>
      <c r="M18" s="153"/>
      <c r="N18" s="153"/>
      <c r="O18" s="173"/>
      <c r="P18" s="163" t="s">
        <v>5895</v>
      </c>
      <c r="Q18" s="163" t="s">
        <v>1</v>
      </c>
      <c r="R18" s="164">
        <v>1</v>
      </c>
      <c r="S18" s="169"/>
      <c r="T18" s="152"/>
      <c r="U18" s="153"/>
      <c r="V18" s="153"/>
      <c r="W18" s="152"/>
      <c r="X18" s="171"/>
      <c r="Y18" s="166">
        <v>574</v>
      </c>
      <c r="Z18" s="172"/>
    </row>
    <row r="19" spans="1:26" ht="16.5" customHeight="1" x14ac:dyDescent="0.3">
      <c r="A19" s="147">
        <v>15</v>
      </c>
      <c r="B19" s="147">
        <v>7169</v>
      </c>
      <c r="C19" s="155" t="s">
        <v>7053</v>
      </c>
      <c r="D19" s="188" t="s">
        <v>17060</v>
      </c>
      <c r="E19" s="153"/>
      <c r="F19" s="171"/>
      <c r="G19" s="156" t="s">
        <v>17390</v>
      </c>
      <c r="H19" s="157">
        <v>268</v>
      </c>
      <c r="I19" s="160" t="s">
        <v>0</v>
      </c>
      <c r="J19" s="188"/>
      <c r="K19" s="153"/>
      <c r="L19" s="153"/>
      <c r="M19" s="153"/>
      <c r="N19" s="153"/>
      <c r="O19" s="173"/>
      <c r="P19" s="163"/>
      <c r="Q19" s="163"/>
      <c r="R19" s="164"/>
      <c r="S19" s="169"/>
      <c r="T19" s="152"/>
      <c r="U19" s="153"/>
      <c r="V19" s="153"/>
      <c r="W19" s="152"/>
      <c r="X19" s="171"/>
      <c r="Y19" s="166">
        <v>666</v>
      </c>
      <c r="Z19" s="172"/>
    </row>
    <row r="20" spans="1:26" ht="16.5" customHeight="1" x14ac:dyDescent="0.3">
      <c r="A20" s="147">
        <v>15</v>
      </c>
      <c r="B20" s="147">
        <v>7170</v>
      </c>
      <c r="C20" s="155" t="s">
        <v>7052</v>
      </c>
      <c r="D20" s="188"/>
      <c r="E20" s="153"/>
      <c r="F20" s="171"/>
      <c r="G20" s="167" t="s">
        <v>17389</v>
      </c>
      <c r="H20" s="150"/>
      <c r="I20" s="150"/>
      <c r="J20" s="188"/>
      <c r="K20" s="153"/>
      <c r="L20" s="153"/>
      <c r="M20" s="153"/>
      <c r="N20" s="153"/>
      <c r="O20" s="173"/>
      <c r="P20" s="163" t="s">
        <v>5895</v>
      </c>
      <c r="Q20" s="163" t="s">
        <v>1</v>
      </c>
      <c r="R20" s="164">
        <v>1</v>
      </c>
      <c r="S20" s="169"/>
      <c r="T20" s="152"/>
      <c r="U20" s="153"/>
      <c r="V20" s="153"/>
      <c r="W20" s="152"/>
      <c r="X20" s="171"/>
      <c r="Y20" s="166">
        <v>666</v>
      </c>
      <c r="Z20" s="172"/>
    </row>
    <row r="21" spans="1:26" ht="16.5" customHeight="1" x14ac:dyDescent="0.3">
      <c r="A21" s="147">
        <v>15</v>
      </c>
      <c r="B21" s="147">
        <v>7171</v>
      </c>
      <c r="C21" s="155" t="s">
        <v>7051</v>
      </c>
      <c r="D21" s="188"/>
      <c r="E21" s="153"/>
      <c r="F21" s="171"/>
      <c r="G21" s="156" t="s">
        <v>17381</v>
      </c>
      <c r="H21" s="157">
        <v>352</v>
      </c>
      <c r="I21" s="160" t="s">
        <v>0</v>
      </c>
      <c r="J21" s="188"/>
      <c r="K21" s="153"/>
      <c r="L21" s="153"/>
      <c r="M21" s="153"/>
      <c r="N21" s="153"/>
      <c r="O21" s="173"/>
      <c r="P21" s="163"/>
      <c r="Q21" s="163"/>
      <c r="R21" s="164"/>
      <c r="S21" s="169"/>
      <c r="T21" s="152"/>
      <c r="U21" s="153"/>
      <c r="V21" s="153"/>
      <c r="W21" s="152"/>
      <c r="X21" s="171"/>
      <c r="Y21" s="166">
        <v>761</v>
      </c>
      <c r="Z21" s="172"/>
    </row>
    <row r="22" spans="1:26" ht="16.5" customHeight="1" x14ac:dyDescent="0.3">
      <c r="A22" s="147">
        <v>15</v>
      </c>
      <c r="B22" s="147">
        <v>7172</v>
      </c>
      <c r="C22" s="155" t="s">
        <v>7050</v>
      </c>
      <c r="D22" s="188"/>
      <c r="E22" s="153"/>
      <c r="F22" s="171"/>
      <c r="G22" s="167" t="s">
        <v>17388</v>
      </c>
      <c r="H22" s="150"/>
      <c r="I22" s="150"/>
      <c r="J22" s="188"/>
      <c r="K22" s="153"/>
      <c r="L22" s="153"/>
      <c r="M22" s="153"/>
      <c r="N22" s="153"/>
      <c r="O22" s="173"/>
      <c r="P22" s="163" t="s">
        <v>5895</v>
      </c>
      <c r="Q22" s="163" t="s">
        <v>1</v>
      </c>
      <c r="R22" s="164">
        <v>1</v>
      </c>
      <c r="S22" s="169"/>
      <c r="T22" s="152"/>
      <c r="U22" s="153"/>
      <c r="V22" s="153"/>
      <c r="W22" s="152"/>
      <c r="X22" s="171"/>
      <c r="Y22" s="166">
        <v>761</v>
      </c>
      <c r="Z22" s="172"/>
    </row>
    <row r="23" spans="1:26" ht="16.5" customHeight="1" x14ac:dyDescent="0.3">
      <c r="A23" s="147">
        <v>15</v>
      </c>
      <c r="B23" s="147">
        <v>7173</v>
      </c>
      <c r="C23" s="155" t="s">
        <v>7049</v>
      </c>
      <c r="D23" s="188"/>
      <c r="E23" s="153"/>
      <c r="F23" s="171"/>
      <c r="G23" s="156" t="s">
        <v>17387</v>
      </c>
      <c r="H23" s="157">
        <v>436</v>
      </c>
      <c r="I23" s="160" t="s">
        <v>0</v>
      </c>
      <c r="J23" s="188"/>
      <c r="K23" s="153"/>
      <c r="L23" s="153"/>
      <c r="M23" s="153"/>
      <c r="N23" s="153"/>
      <c r="O23" s="173"/>
      <c r="P23" s="163"/>
      <c r="Q23" s="163"/>
      <c r="R23" s="164"/>
      <c r="S23" s="169"/>
      <c r="T23" s="152"/>
      <c r="U23" s="153"/>
      <c r="V23" s="153"/>
      <c r="W23" s="152"/>
      <c r="X23" s="171"/>
      <c r="Y23" s="166">
        <v>855</v>
      </c>
      <c r="Z23" s="172"/>
    </row>
    <row r="24" spans="1:26" ht="16.5" customHeight="1" x14ac:dyDescent="0.3">
      <c r="A24" s="147">
        <v>15</v>
      </c>
      <c r="B24" s="147">
        <v>7174</v>
      </c>
      <c r="C24" s="155" t="s">
        <v>7048</v>
      </c>
      <c r="D24" s="167"/>
      <c r="E24" s="150"/>
      <c r="F24" s="168"/>
      <c r="G24" s="167" t="s">
        <v>17386</v>
      </c>
      <c r="H24" s="150"/>
      <c r="I24" s="150"/>
      <c r="J24" s="188"/>
      <c r="K24" s="153"/>
      <c r="L24" s="153"/>
      <c r="M24" s="153"/>
      <c r="N24" s="153"/>
      <c r="O24" s="173"/>
      <c r="P24" s="163" t="s">
        <v>5895</v>
      </c>
      <c r="Q24" s="163" t="s">
        <v>1</v>
      </c>
      <c r="R24" s="164">
        <v>1</v>
      </c>
      <c r="S24" s="169"/>
      <c r="T24" s="152"/>
      <c r="U24" s="153"/>
      <c r="V24" s="153"/>
      <c r="W24" s="152"/>
      <c r="X24" s="171"/>
      <c r="Y24" s="166">
        <v>855</v>
      </c>
      <c r="Z24" s="172"/>
    </row>
    <row r="25" spans="1:26" ht="16.5" customHeight="1" x14ac:dyDescent="0.3">
      <c r="A25" s="147">
        <v>15</v>
      </c>
      <c r="B25" s="147">
        <v>7175</v>
      </c>
      <c r="C25" s="155" t="s">
        <v>7047</v>
      </c>
      <c r="D25" s="156" t="s">
        <v>17385</v>
      </c>
      <c r="E25" s="157">
        <v>591</v>
      </c>
      <c r="F25" s="158" t="s">
        <v>0</v>
      </c>
      <c r="G25" s="156" t="s">
        <v>17384</v>
      </c>
      <c r="H25" s="157">
        <v>83</v>
      </c>
      <c r="I25" s="160" t="s">
        <v>0</v>
      </c>
      <c r="J25" s="188"/>
      <c r="K25" s="153"/>
      <c r="L25" s="153"/>
      <c r="M25" s="153"/>
      <c r="N25" s="153"/>
      <c r="O25" s="173"/>
      <c r="P25" s="163"/>
      <c r="Q25" s="163"/>
      <c r="R25" s="164"/>
      <c r="S25" s="169"/>
      <c r="T25" s="152"/>
      <c r="U25" s="153"/>
      <c r="V25" s="153"/>
      <c r="W25" s="152"/>
      <c r="X25" s="171"/>
      <c r="Y25" s="166">
        <v>626</v>
      </c>
      <c r="Z25" s="172"/>
    </row>
    <row r="26" spans="1:26" ht="16.5" customHeight="1" x14ac:dyDescent="0.3">
      <c r="A26" s="147">
        <v>15</v>
      </c>
      <c r="B26" s="147">
        <v>7176</v>
      </c>
      <c r="C26" s="155" t="s">
        <v>7046</v>
      </c>
      <c r="D26" s="188" t="s">
        <v>17070</v>
      </c>
      <c r="E26" s="153"/>
      <c r="F26" s="171"/>
      <c r="G26" s="167" t="s">
        <v>16901</v>
      </c>
      <c r="H26" s="150"/>
      <c r="I26" s="150"/>
      <c r="J26" s="188"/>
      <c r="K26" s="153"/>
      <c r="L26" s="153"/>
      <c r="M26" s="153"/>
      <c r="N26" s="153"/>
      <c r="O26" s="173"/>
      <c r="P26" s="163" t="s">
        <v>5895</v>
      </c>
      <c r="Q26" s="163" t="s">
        <v>1</v>
      </c>
      <c r="R26" s="164">
        <v>1</v>
      </c>
      <c r="S26" s="169"/>
      <c r="T26" s="152"/>
      <c r="U26" s="153"/>
      <c r="V26" s="153"/>
      <c r="W26" s="152"/>
      <c r="X26" s="171"/>
      <c r="Y26" s="166">
        <v>626</v>
      </c>
      <c r="Z26" s="172"/>
    </row>
    <row r="27" spans="1:26" ht="16.5" customHeight="1" x14ac:dyDescent="0.3">
      <c r="A27" s="147">
        <v>15</v>
      </c>
      <c r="B27" s="147">
        <v>7177</v>
      </c>
      <c r="C27" s="155" t="s">
        <v>7045</v>
      </c>
      <c r="D27" s="188" t="s">
        <v>17065</v>
      </c>
      <c r="E27" s="153"/>
      <c r="F27" s="171"/>
      <c r="G27" s="156" t="s">
        <v>17383</v>
      </c>
      <c r="H27" s="157">
        <v>167</v>
      </c>
      <c r="I27" s="160" t="s">
        <v>0</v>
      </c>
      <c r="J27" s="188"/>
      <c r="K27" s="153"/>
      <c r="L27" s="153"/>
      <c r="M27" s="153"/>
      <c r="N27" s="153"/>
      <c r="O27" s="173"/>
      <c r="P27" s="163"/>
      <c r="Q27" s="163"/>
      <c r="R27" s="164"/>
      <c r="S27" s="169"/>
      <c r="T27" s="152"/>
      <c r="U27" s="153"/>
      <c r="V27" s="153"/>
      <c r="W27" s="152"/>
      <c r="X27" s="171"/>
      <c r="Y27" s="166">
        <v>720</v>
      </c>
      <c r="Z27" s="172"/>
    </row>
    <row r="28" spans="1:26" ht="16.5" customHeight="1" x14ac:dyDescent="0.3">
      <c r="A28" s="147">
        <v>15</v>
      </c>
      <c r="B28" s="147">
        <v>7178</v>
      </c>
      <c r="C28" s="155" t="s">
        <v>7044</v>
      </c>
      <c r="D28" s="188"/>
      <c r="E28" s="153"/>
      <c r="F28" s="171"/>
      <c r="G28" s="167" t="s">
        <v>17382</v>
      </c>
      <c r="H28" s="150"/>
      <c r="I28" s="150"/>
      <c r="J28" s="188"/>
      <c r="K28" s="153"/>
      <c r="L28" s="153"/>
      <c r="M28" s="153"/>
      <c r="N28" s="153"/>
      <c r="O28" s="173"/>
      <c r="P28" s="163" t="s">
        <v>5895</v>
      </c>
      <c r="Q28" s="163" t="s">
        <v>1</v>
      </c>
      <c r="R28" s="164">
        <v>1</v>
      </c>
      <c r="S28" s="169"/>
      <c r="T28" s="152"/>
      <c r="U28" s="153"/>
      <c r="V28" s="153"/>
      <c r="W28" s="152"/>
      <c r="X28" s="171"/>
      <c r="Y28" s="166">
        <v>720</v>
      </c>
      <c r="Z28" s="172"/>
    </row>
    <row r="29" spans="1:26" ht="16.5" customHeight="1" x14ac:dyDescent="0.3">
      <c r="A29" s="147">
        <v>15</v>
      </c>
      <c r="B29" s="147">
        <v>7179</v>
      </c>
      <c r="C29" s="155" t="s">
        <v>7043</v>
      </c>
      <c r="D29" s="188"/>
      <c r="E29" s="153"/>
      <c r="F29" s="171"/>
      <c r="G29" s="156" t="s">
        <v>17381</v>
      </c>
      <c r="H29" s="157">
        <v>251</v>
      </c>
      <c r="I29" s="160" t="s">
        <v>0</v>
      </c>
      <c r="J29" s="188"/>
      <c r="K29" s="153"/>
      <c r="L29" s="153"/>
      <c r="M29" s="153"/>
      <c r="N29" s="153"/>
      <c r="O29" s="173"/>
      <c r="P29" s="163"/>
      <c r="Q29" s="163"/>
      <c r="R29" s="164"/>
      <c r="S29" s="169"/>
      <c r="T29" s="152"/>
      <c r="U29" s="153"/>
      <c r="V29" s="153"/>
      <c r="W29" s="152"/>
      <c r="X29" s="171"/>
      <c r="Y29" s="166">
        <v>815</v>
      </c>
      <c r="Z29" s="172"/>
    </row>
    <row r="30" spans="1:26" ht="16.5" customHeight="1" x14ac:dyDescent="0.3">
      <c r="A30" s="147">
        <v>15</v>
      </c>
      <c r="B30" s="147">
        <v>7180</v>
      </c>
      <c r="C30" s="155" t="s">
        <v>7042</v>
      </c>
      <c r="D30" s="167"/>
      <c r="E30" s="150"/>
      <c r="F30" s="168"/>
      <c r="G30" s="167" t="s">
        <v>17380</v>
      </c>
      <c r="H30" s="150"/>
      <c r="I30" s="150"/>
      <c r="J30" s="188"/>
      <c r="K30" s="153"/>
      <c r="L30" s="153"/>
      <c r="M30" s="153"/>
      <c r="N30" s="153"/>
      <c r="O30" s="173"/>
      <c r="P30" s="163" t="s">
        <v>5895</v>
      </c>
      <c r="Q30" s="163" t="s">
        <v>1</v>
      </c>
      <c r="R30" s="164">
        <v>1</v>
      </c>
      <c r="S30" s="169"/>
      <c r="T30" s="152"/>
      <c r="U30" s="153"/>
      <c r="V30" s="153"/>
      <c r="W30" s="152"/>
      <c r="X30" s="171"/>
      <c r="Y30" s="166">
        <v>815</v>
      </c>
      <c r="Z30" s="172"/>
    </row>
    <row r="31" spans="1:26" ht="16.5" customHeight="1" x14ac:dyDescent="0.3">
      <c r="A31" s="147">
        <v>15</v>
      </c>
      <c r="B31" s="147">
        <v>7181</v>
      </c>
      <c r="C31" s="155" t="s">
        <v>7041</v>
      </c>
      <c r="D31" s="156" t="s">
        <v>17379</v>
      </c>
      <c r="E31" s="157">
        <v>674</v>
      </c>
      <c r="F31" s="158" t="s">
        <v>0</v>
      </c>
      <c r="G31" s="156" t="s">
        <v>17376</v>
      </c>
      <c r="H31" s="157">
        <v>84</v>
      </c>
      <c r="I31" s="160" t="s">
        <v>0</v>
      </c>
      <c r="J31" s="188"/>
      <c r="K31" s="153"/>
      <c r="L31" s="153"/>
      <c r="M31" s="153"/>
      <c r="N31" s="153"/>
      <c r="O31" s="173"/>
      <c r="P31" s="163"/>
      <c r="Q31" s="163"/>
      <c r="R31" s="164"/>
      <c r="S31" s="169"/>
      <c r="T31" s="152"/>
      <c r="U31" s="153"/>
      <c r="V31" s="153"/>
      <c r="W31" s="152"/>
      <c r="X31" s="171"/>
      <c r="Y31" s="166">
        <v>702</v>
      </c>
      <c r="Z31" s="172"/>
    </row>
    <row r="32" spans="1:26" ht="16.5" customHeight="1" x14ac:dyDescent="0.3">
      <c r="A32" s="147">
        <v>15</v>
      </c>
      <c r="B32" s="147">
        <v>7182</v>
      </c>
      <c r="C32" s="155" t="s">
        <v>7040</v>
      </c>
      <c r="D32" s="188" t="s">
        <v>17063</v>
      </c>
      <c r="E32" s="153"/>
      <c r="F32" s="171"/>
      <c r="G32" s="167" t="s">
        <v>16901</v>
      </c>
      <c r="H32" s="150"/>
      <c r="I32" s="150"/>
      <c r="J32" s="188"/>
      <c r="K32" s="153"/>
      <c r="L32" s="153"/>
      <c r="M32" s="153"/>
      <c r="N32" s="153"/>
      <c r="O32" s="173"/>
      <c r="P32" s="163" t="s">
        <v>5895</v>
      </c>
      <c r="Q32" s="163" t="s">
        <v>1</v>
      </c>
      <c r="R32" s="164">
        <v>1</v>
      </c>
      <c r="S32" s="169"/>
      <c r="T32" s="152"/>
      <c r="U32" s="153"/>
      <c r="V32" s="153"/>
      <c r="W32" s="152"/>
      <c r="X32" s="171"/>
      <c r="Y32" s="166">
        <v>702</v>
      </c>
      <c r="Z32" s="172"/>
    </row>
    <row r="33" spans="1:26" ht="16.5" customHeight="1" x14ac:dyDescent="0.3">
      <c r="A33" s="147">
        <v>15</v>
      </c>
      <c r="B33" s="147">
        <v>7183</v>
      </c>
      <c r="C33" s="155" t="s">
        <v>7039</v>
      </c>
      <c r="D33" s="188" t="s">
        <v>17062</v>
      </c>
      <c r="E33" s="153"/>
      <c r="F33" s="171"/>
      <c r="G33" s="156" t="s">
        <v>17378</v>
      </c>
      <c r="H33" s="157">
        <v>168</v>
      </c>
      <c r="I33" s="160" t="s">
        <v>0</v>
      </c>
      <c r="J33" s="188"/>
      <c r="K33" s="153"/>
      <c r="L33" s="153"/>
      <c r="M33" s="153"/>
      <c r="N33" s="153"/>
      <c r="O33" s="173"/>
      <c r="P33" s="163"/>
      <c r="Q33" s="163"/>
      <c r="R33" s="164"/>
      <c r="S33" s="169"/>
      <c r="T33" s="152"/>
      <c r="U33" s="153"/>
      <c r="V33" s="153"/>
      <c r="W33" s="152"/>
      <c r="X33" s="171"/>
      <c r="Y33" s="166">
        <v>796</v>
      </c>
      <c r="Z33" s="172"/>
    </row>
    <row r="34" spans="1:26" ht="16.5" customHeight="1" x14ac:dyDescent="0.3">
      <c r="A34" s="147">
        <v>15</v>
      </c>
      <c r="B34" s="147">
        <v>7184</v>
      </c>
      <c r="C34" s="155" t="s">
        <v>7038</v>
      </c>
      <c r="D34" s="167"/>
      <c r="E34" s="150"/>
      <c r="F34" s="168"/>
      <c r="G34" s="167" t="s">
        <v>17362</v>
      </c>
      <c r="H34" s="150"/>
      <c r="I34" s="150"/>
      <c r="J34" s="188"/>
      <c r="K34" s="153"/>
      <c r="L34" s="153"/>
      <c r="M34" s="153"/>
      <c r="N34" s="153"/>
      <c r="O34" s="173"/>
      <c r="P34" s="163" t="s">
        <v>5895</v>
      </c>
      <c r="Q34" s="163" t="s">
        <v>1</v>
      </c>
      <c r="R34" s="164">
        <v>1</v>
      </c>
      <c r="S34" s="169"/>
      <c r="T34" s="152"/>
      <c r="U34" s="153"/>
      <c r="V34" s="153"/>
      <c r="W34" s="152"/>
      <c r="X34" s="171"/>
      <c r="Y34" s="166">
        <v>796</v>
      </c>
      <c r="Z34" s="172"/>
    </row>
    <row r="35" spans="1:26" ht="16.5" customHeight="1" x14ac:dyDescent="0.3">
      <c r="A35" s="147">
        <v>15</v>
      </c>
      <c r="B35" s="147">
        <v>7185</v>
      </c>
      <c r="C35" s="155" t="s">
        <v>7037</v>
      </c>
      <c r="D35" s="156" t="s">
        <v>17377</v>
      </c>
      <c r="E35" s="157">
        <v>758</v>
      </c>
      <c r="F35" s="158" t="s">
        <v>0</v>
      </c>
      <c r="G35" s="156" t="s">
        <v>17376</v>
      </c>
      <c r="H35" s="157">
        <v>84</v>
      </c>
      <c r="I35" s="160" t="s">
        <v>0</v>
      </c>
      <c r="J35" s="188"/>
      <c r="K35" s="153"/>
      <c r="L35" s="153"/>
      <c r="M35" s="153"/>
      <c r="N35" s="153"/>
      <c r="O35" s="173"/>
      <c r="P35" s="163"/>
      <c r="Q35" s="163"/>
      <c r="R35" s="164"/>
      <c r="S35" s="169"/>
      <c r="T35" s="152"/>
      <c r="U35" s="153"/>
      <c r="V35" s="153"/>
      <c r="W35" s="152"/>
      <c r="X35" s="171"/>
      <c r="Y35" s="166">
        <v>777</v>
      </c>
      <c r="Z35" s="172"/>
    </row>
    <row r="36" spans="1:26" ht="16.5" customHeight="1" x14ac:dyDescent="0.3">
      <c r="A36" s="147">
        <v>15</v>
      </c>
      <c r="B36" s="147">
        <v>7186</v>
      </c>
      <c r="C36" s="155" t="s">
        <v>7036</v>
      </c>
      <c r="D36" s="167" t="s">
        <v>17375</v>
      </c>
      <c r="E36" s="150"/>
      <c r="F36" s="168"/>
      <c r="G36" s="167" t="s">
        <v>17056</v>
      </c>
      <c r="H36" s="150"/>
      <c r="I36" s="150"/>
      <c r="J36" s="167"/>
      <c r="K36" s="150"/>
      <c r="L36" s="150"/>
      <c r="M36" s="150"/>
      <c r="N36" s="150"/>
      <c r="O36" s="185"/>
      <c r="P36" s="163" t="s">
        <v>5895</v>
      </c>
      <c r="Q36" s="163" t="s">
        <v>1</v>
      </c>
      <c r="R36" s="164">
        <v>1</v>
      </c>
      <c r="S36" s="175"/>
      <c r="T36" s="151"/>
      <c r="U36" s="150"/>
      <c r="V36" s="150"/>
      <c r="W36" s="151"/>
      <c r="X36" s="168"/>
      <c r="Y36" s="166">
        <v>777</v>
      </c>
      <c r="Z36" s="177"/>
    </row>
    <row r="37" spans="1:26" ht="16.5" customHeight="1" x14ac:dyDescent="0.3">
      <c r="A37" s="132"/>
      <c r="B37" s="132"/>
      <c r="C37" s="133"/>
      <c r="D37" s="133"/>
      <c r="E37" s="134"/>
      <c r="F37" s="134"/>
      <c r="G37" s="133"/>
      <c r="H37" s="134"/>
      <c r="I37" s="134"/>
      <c r="J37" s="133"/>
      <c r="K37" s="134"/>
      <c r="L37" s="134"/>
      <c r="M37" s="134"/>
      <c r="N37" s="134"/>
      <c r="O37" s="135"/>
      <c r="P37" s="134"/>
      <c r="Q37" s="134"/>
      <c r="R37" s="135"/>
      <c r="S37" s="134"/>
      <c r="T37" s="135"/>
      <c r="U37" s="134"/>
      <c r="V37" s="134"/>
      <c r="W37" s="135"/>
      <c r="X37" s="134"/>
      <c r="Y37" s="136"/>
      <c r="Z37" s="137"/>
    </row>
    <row r="38" spans="1:26" ht="16.5" customHeight="1" x14ac:dyDescent="0.3">
      <c r="A38" s="132"/>
      <c r="B38" s="132"/>
      <c r="C38" s="133"/>
      <c r="D38" s="133"/>
      <c r="E38" s="134"/>
      <c r="F38" s="134"/>
      <c r="G38" s="133"/>
      <c r="H38" s="134"/>
      <c r="I38" s="134"/>
      <c r="J38" s="133"/>
      <c r="K38" s="134"/>
      <c r="L38" s="134"/>
      <c r="M38" s="134"/>
      <c r="N38" s="134"/>
      <c r="O38" s="135"/>
      <c r="P38" s="134"/>
      <c r="Q38" s="134"/>
      <c r="R38" s="135"/>
      <c r="S38" s="134"/>
      <c r="T38" s="135"/>
      <c r="U38" s="134"/>
      <c r="V38" s="134"/>
      <c r="W38" s="135"/>
      <c r="X38" s="134"/>
      <c r="Y38" s="136"/>
      <c r="Z38" s="137"/>
    </row>
    <row r="39" spans="1:26" ht="16.5" customHeight="1" x14ac:dyDescent="0.3">
      <c r="A39" s="132"/>
      <c r="B39" s="138" t="s">
        <v>7035</v>
      </c>
      <c r="C39" s="133"/>
      <c r="D39" s="139"/>
      <c r="E39" s="134"/>
      <c r="F39" s="134"/>
      <c r="G39" s="133"/>
      <c r="H39" s="134"/>
      <c r="I39" s="134"/>
      <c r="J39" s="133"/>
      <c r="K39" s="134"/>
      <c r="L39" s="134"/>
      <c r="M39" s="134"/>
      <c r="N39" s="134"/>
      <c r="O39" s="135"/>
      <c r="P39" s="134"/>
      <c r="Q39" s="134"/>
      <c r="R39" s="135"/>
      <c r="S39" s="134"/>
      <c r="T39" s="135"/>
      <c r="U39" s="134"/>
      <c r="V39" s="134"/>
      <c r="W39" s="135"/>
      <c r="X39" s="134"/>
      <c r="Y39" s="136"/>
      <c r="Z39" s="137"/>
    </row>
    <row r="40" spans="1:26" ht="16.5" customHeight="1" x14ac:dyDescent="0.3">
      <c r="A40" s="140" t="s">
        <v>5864</v>
      </c>
      <c r="B40" s="141"/>
      <c r="C40" s="142" t="s">
        <v>5867</v>
      </c>
      <c r="D40" s="143" t="s">
        <v>5868</v>
      </c>
      <c r="E40" s="144"/>
      <c r="F40" s="144"/>
      <c r="G40" s="143"/>
      <c r="H40" s="144"/>
      <c r="I40" s="144"/>
      <c r="J40" s="143"/>
      <c r="K40" s="144"/>
      <c r="L40" s="144"/>
      <c r="M40" s="144"/>
      <c r="N40" s="144"/>
      <c r="O40" s="145"/>
      <c r="P40" s="144"/>
      <c r="Q40" s="144"/>
      <c r="R40" s="145"/>
      <c r="S40" s="144"/>
      <c r="T40" s="145"/>
      <c r="U40" s="144"/>
      <c r="V40" s="144"/>
      <c r="W40" s="145"/>
      <c r="X40" s="144"/>
      <c r="Y40" s="146" t="s">
        <v>5869</v>
      </c>
      <c r="Z40" s="146" t="s">
        <v>5871</v>
      </c>
    </row>
    <row r="41" spans="1:26" ht="16.5" customHeight="1" x14ac:dyDescent="0.3">
      <c r="A41" s="147" t="s">
        <v>5865</v>
      </c>
      <c r="B41" s="147" t="s">
        <v>5866</v>
      </c>
      <c r="C41" s="148"/>
      <c r="D41" s="179" t="s">
        <v>5872</v>
      </c>
      <c r="E41" s="180"/>
      <c r="F41" s="181"/>
      <c r="G41" s="179" t="s">
        <v>17374</v>
      </c>
      <c r="H41" s="180"/>
      <c r="I41" s="181"/>
      <c r="J41" s="149"/>
      <c r="K41" s="150"/>
      <c r="L41" s="150"/>
      <c r="M41" s="150"/>
      <c r="N41" s="150"/>
      <c r="O41" s="151"/>
      <c r="P41" s="150"/>
      <c r="Q41" s="150"/>
      <c r="R41" s="151"/>
      <c r="S41" s="153"/>
      <c r="T41" s="152"/>
      <c r="U41" s="153"/>
      <c r="V41" s="153"/>
      <c r="W41" s="152"/>
      <c r="X41" s="153"/>
      <c r="Y41" s="154" t="s">
        <v>5870</v>
      </c>
      <c r="Z41" s="154" t="s">
        <v>0</v>
      </c>
    </row>
    <row r="42" spans="1:26" ht="16.5" customHeight="1" x14ac:dyDescent="0.3">
      <c r="A42" s="147">
        <v>15</v>
      </c>
      <c r="B42" s="147">
        <v>7187</v>
      </c>
      <c r="C42" s="155" t="s">
        <v>7034</v>
      </c>
      <c r="D42" s="156" t="s">
        <v>17076</v>
      </c>
      <c r="E42" s="160">
        <v>257</v>
      </c>
      <c r="F42" s="158" t="s">
        <v>0</v>
      </c>
      <c r="G42" s="156" t="s">
        <v>17373</v>
      </c>
      <c r="H42" s="157">
        <v>501</v>
      </c>
      <c r="I42" s="158" t="s">
        <v>0</v>
      </c>
      <c r="J42" s="156" t="s">
        <v>17105</v>
      </c>
      <c r="K42" s="157">
        <v>84</v>
      </c>
      <c r="L42" s="158" t="s">
        <v>0</v>
      </c>
      <c r="M42" s="156" t="s">
        <v>17372</v>
      </c>
      <c r="N42" s="160"/>
      <c r="O42" s="182"/>
      <c r="P42" s="162"/>
      <c r="Q42" s="163"/>
      <c r="R42" s="164"/>
      <c r="S42" s="159" t="s">
        <v>16809</v>
      </c>
      <c r="T42" s="161"/>
      <c r="U42" s="158"/>
      <c r="V42" s="159" t="s">
        <v>16808</v>
      </c>
      <c r="W42" s="161"/>
      <c r="X42" s="158"/>
      <c r="Y42" s="166">
        <v>987</v>
      </c>
      <c r="Z42" s="142" t="s">
        <v>5863</v>
      </c>
    </row>
    <row r="43" spans="1:26" ht="16.5" customHeight="1" x14ac:dyDescent="0.3">
      <c r="A43" s="147">
        <v>15</v>
      </c>
      <c r="B43" s="147">
        <v>7188</v>
      </c>
      <c r="C43" s="155" t="s">
        <v>7033</v>
      </c>
      <c r="D43" s="167" t="s">
        <v>16901</v>
      </c>
      <c r="E43" s="150"/>
      <c r="F43" s="168"/>
      <c r="G43" s="167" t="s">
        <v>17371</v>
      </c>
      <c r="H43" s="150"/>
      <c r="I43" s="168"/>
      <c r="J43" s="167" t="s">
        <v>16901</v>
      </c>
      <c r="K43" s="150"/>
      <c r="L43" s="168"/>
      <c r="M43" s="167" t="s">
        <v>16812</v>
      </c>
      <c r="N43" s="150" t="s">
        <v>1</v>
      </c>
      <c r="O43" s="185">
        <v>0.9</v>
      </c>
      <c r="P43" s="162" t="s">
        <v>5895</v>
      </c>
      <c r="Q43" s="163" t="s">
        <v>1</v>
      </c>
      <c r="R43" s="164">
        <v>1</v>
      </c>
      <c r="S43" s="175" t="s">
        <v>1</v>
      </c>
      <c r="T43" s="151">
        <v>0.5</v>
      </c>
      <c r="U43" s="168" t="s">
        <v>422</v>
      </c>
      <c r="V43" s="175" t="s">
        <v>1</v>
      </c>
      <c r="W43" s="151">
        <v>0.25</v>
      </c>
      <c r="X43" s="168" t="s">
        <v>422</v>
      </c>
      <c r="Y43" s="166">
        <v>987</v>
      </c>
      <c r="Z43" s="177"/>
    </row>
    <row r="44" spans="1:26" ht="16.5" customHeight="1" x14ac:dyDescent="0.3"/>
    <row r="45" spans="1:2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theme="1" tint="0.249977111117893"/>
    <pageSetUpPr fitToPage="1"/>
  </sheetPr>
  <dimension ref="A1:U3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2.62890625" style="47" customWidth="1"/>
    <col min="19" max="19" width="4.734375" style="46" bestFit="1" customWidth="1"/>
    <col min="20" max="20" width="6.3671875" style="84" bestFit="1" customWidth="1"/>
    <col min="21" max="21" width="7.734375" style="48" bestFit="1" customWidth="1"/>
    <col min="22" max="16384" width="9" style="49"/>
  </cols>
  <sheetData>
    <row r="1" spans="1:21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5"/>
      <c r="S1" s="134"/>
      <c r="T1" s="136"/>
      <c r="U1" s="137"/>
    </row>
    <row r="2" spans="1:21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5"/>
      <c r="S2" s="134"/>
      <c r="T2" s="136"/>
      <c r="U2" s="137"/>
    </row>
    <row r="3" spans="1:21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5"/>
      <c r="S3" s="134"/>
      <c r="T3" s="136"/>
      <c r="U3" s="137"/>
    </row>
    <row r="4" spans="1:21" ht="16.5" customHeight="1" x14ac:dyDescent="0.3">
      <c r="A4" s="132"/>
      <c r="B4" s="138" t="s">
        <v>7097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5"/>
      <c r="S4" s="134"/>
      <c r="T4" s="136"/>
      <c r="U4" s="137"/>
    </row>
    <row r="5" spans="1:21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5"/>
      <c r="S5" s="144"/>
      <c r="T5" s="146" t="s">
        <v>5869</v>
      </c>
      <c r="U5" s="146" t="s">
        <v>5871</v>
      </c>
    </row>
    <row r="6" spans="1:21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79" t="s">
        <v>17425</v>
      </c>
      <c r="H6" s="180"/>
      <c r="I6" s="181"/>
      <c r="J6" s="150"/>
      <c r="K6" s="150"/>
      <c r="L6" s="151"/>
      <c r="M6" s="150"/>
      <c r="N6" s="150"/>
      <c r="O6" s="151"/>
      <c r="P6" s="151"/>
      <c r="Q6" s="150"/>
      <c r="R6" s="151"/>
      <c r="S6" s="150"/>
      <c r="T6" s="154" t="s">
        <v>5870</v>
      </c>
      <c r="U6" s="154" t="s">
        <v>0</v>
      </c>
    </row>
    <row r="7" spans="1:21" ht="16.5" customHeight="1" x14ac:dyDescent="0.3">
      <c r="A7" s="147">
        <v>15</v>
      </c>
      <c r="B7" s="147">
        <v>7189</v>
      </c>
      <c r="C7" s="155" t="s">
        <v>7096</v>
      </c>
      <c r="D7" s="156" t="s">
        <v>17424</v>
      </c>
      <c r="E7" s="157">
        <v>257</v>
      </c>
      <c r="F7" s="158" t="s">
        <v>0</v>
      </c>
      <c r="G7" s="156" t="s">
        <v>17399</v>
      </c>
      <c r="H7" s="157">
        <v>149</v>
      </c>
      <c r="I7" s="158" t="s">
        <v>0</v>
      </c>
      <c r="J7" s="159"/>
      <c r="K7" s="160"/>
      <c r="L7" s="161"/>
      <c r="M7" s="162"/>
      <c r="N7" s="163"/>
      <c r="O7" s="164"/>
      <c r="P7" s="165"/>
      <c r="Q7" s="158"/>
      <c r="R7" s="165"/>
      <c r="S7" s="158"/>
      <c r="T7" s="178">
        <v>490</v>
      </c>
      <c r="U7" s="142" t="s">
        <v>5863</v>
      </c>
    </row>
    <row r="8" spans="1:21" ht="16.5" customHeight="1" x14ac:dyDescent="0.3">
      <c r="A8" s="147">
        <v>15</v>
      </c>
      <c r="B8" s="147">
        <v>7190</v>
      </c>
      <c r="C8" s="155" t="s">
        <v>7095</v>
      </c>
      <c r="D8" s="188" t="s">
        <v>17397</v>
      </c>
      <c r="E8" s="153"/>
      <c r="F8" s="171"/>
      <c r="G8" s="167" t="s">
        <v>17397</v>
      </c>
      <c r="H8" s="150"/>
      <c r="I8" s="168"/>
      <c r="J8" s="169"/>
      <c r="K8" s="153"/>
      <c r="L8" s="152"/>
      <c r="M8" s="162" t="s">
        <v>5895</v>
      </c>
      <c r="N8" s="163" t="s">
        <v>1</v>
      </c>
      <c r="O8" s="164">
        <v>1</v>
      </c>
      <c r="P8" s="170"/>
      <c r="Q8" s="171"/>
      <c r="R8" s="170"/>
      <c r="S8" s="171"/>
      <c r="T8" s="178">
        <v>490</v>
      </c>
      <c r="U8" s="172"/>
    </row>
    <row r="9" spans="1:21" ht="16.5" customHeight="1" x14ac:dyDescent="0.3">
      <c r="A9" s="147">
        <v>15</v>
      </c>
      <c r="B9" s="147">
        <v>7191</v>
      </c>
      <c r="C9" s="155" t="s">
        <v>7094</v>
      </c>
      <c r="D9" s="188"/>
      <c r="E9" s="153"/>
      <c r="F9" s="171"/>
      <c r="G9" s="156" t="s">
        <v>17402</v>
      </c>
      <c r="H9" s="157">
        <v>334</v>
      </c>
      <c r="I9" s="158" t="s">
        <v>0</v>
      </c>
      <c r="J9" s="169"/>
      <c r="K9" s="153"/>
      <c r="L9" s="152"/>
      <c r="M9" s="162"/>
      <c r="N9" s="163"/>
      <c r="O9" s="164"/>
      <c r="P9" s="170"/>
      <c r="Q9" s="171"/>
      <c r="R9" s="170"/>
      <c r="S9" s="171"/>
      <c r="T9" s="178">
        <v>741</v>
      </c>
      <c r="U9" s="172"/>
    </row>
    <row r="10" spans="1:21" ht="16.5" customHeight="1" x14ac:dyDescent="0.3">
      <c r="A10" s="147">
        <v>15</v>
      </c>
      <c r="B10" s="147">
        <v>7192</v>
      </c>
      <c r="C10" s="155" t="s">
        <v>7093</v>
      </c>
      <c r="D10" s="188"/>
      <c r="E10" s="153"/>
      <c r="F10" s="171"/>
      <c r="G10" s="167" t="s">
        <v>17401</v>
      </c>
      <c r="H10" s="150"/>
      <c r="I10" s="168"/>
      <c r="J10" s="169"/>
      <c r="K10" s="153"/>
      <c r="L10" s="152"/>
      <c r="M10" s="162" t="s">
        <v>5895</v>
      </c>
      <c r="N10" s="163" t="s">
        <v>1</v>
      </c>
      <c r="O10" s="164">
        <v>1</v>
      </c>
      <c r="P10" s="170"/>
      <c r="Q10" s="171"/>
      <c r="R10" s="170"/>
      <c r="S10" s="171"/>
      <c r="T10" s="178">
        <v>741</v>
      </c>
      <c r="U10" s="172"/>
    </row>
    <row r="11" spans="1:21" ht="16.5" customHeight="1" x14ac:dyDescent="0.3">
      <c r="A11" s="147">
        <v>15</v>
      </c>
      <c r="B11" s="147">
        <v>7193</v>
      </c>
      <c r="C11" s="155" t="s">
        <v>7092</v>
      </c>
      <c r="D11" s="188"/>
      <c r="E11" s="153"/>
      <c r="F11" s="171"/>
      <c r="G11" s="156" t="s">
        <v>17407</v>
      </c>
      <c r="H11" s="157">
        <v>417</v>
      </c>
      <c r="I11" s="158" t="s">
        <v>0</v>
      </c>
      <c r="J11" s="169"/>
      <c r="K11" s="153"/>
      <c r="L11" s="152"/>
      <c r="M11" s="162"/>
      <c r="N11" s="163"/>
      <c r="O11" s="164"/>
      <c r="P11" s="170"/>
      <c r="Q11" s="171"/>
      <c r="R11" s="170"/>
      <c r="S11" s="171"/>
      <c r="T11" s="178">
        <v>852</v>
      </c>
      <c r="U11" s="172"/>
    </row>
    <row r="12" spans="1:21" ht="16.5" customHeight="1" x14ac:dyDescent="0.3">
      <c r="A12" s="147">
        <v>15</v>
      </c>
      <c r="B12" s="147">
        <v>7194</v>
      </c>
      <c r="C12" s="155" t="s">
        <v>7091</v>
      </c>
      <c r="D12" s="188"/>
      <c r="E12" s="153"/>
      <c r="F12" s="171"/>
      <c r="G12" s="167" t="s">
        <v>17406</v>
      </c>
      <c r="H12" s="150"/>
      <c r="I12" s="168"/>
      <c r="J12" s="169" t="s">
        <v>17423</v>
      </c>
      <c r="K12" s="153"/>
      <c r="L12" s="152"/>
      <c r="M12" s="162" t="s">
        <v>5895</v>
      </c>
      <c r="N12" s="163" t="s">
        <v>1</v>
      </c>
      <c r="O12" s="164">
        <v>1</v>
      </c>
      <c r="P12" s="170" t="s">
        <v>17422</v>
      </c>
      <c r="Q12" s="171"/>
      <c r="R12" s="170" t="s">
        <v>17421</v>
      </c>
      <c r="S12" s="171"/>
      <c r="T12" s="178">
        <v>852</v>
      </c>
      <c r="U12" s="172"/>
    </row>
    <row r="13" spans="1:21" ht="16.5" customHeight="1" x14ac:dyDescent="0.3">
      <c r="A13" s="147">
        <v>15</v>
      </c>
      <c r="B13" s="147">
        <v>7195</v>
      </c>
      <c r="C13" s="155" t="s">
        <v>7090</v>
      </c>
      <c r="D13" s="188"/>
      <c r="E13" s="153"/>
      <c r="F13" s="171"/>
      <c r="G13" s="156" t="s">
        <v>17412</v>
      </c>
      <c r="H13" s="157">
        <v>501</v>
      </c>
      <c r="I13" s="158" t="s">
        <v>0</v>
      </c>
      <c r="J13" s="169" t="s">
        <v>17420</v>
      </c>
      <c r="K13" s="153" t="s">
        <v>1</v>
      </c>
      <c r="L13" s="152">
        <v>0.9</v>
      </c>
      <c r="M13" s="162"/>
      <c r="N13" s="163"/>
      <c r="O13" s="164"/>
      <c r="P13" s="170"/>
      <c r="Q13" s="174" t="s">
        <v>17419</v>
      </c>
      <c r="R13" s="170"/>
      <c r="S13" s="174" t="s">
        <v>17418</v>
      </c>
      <c r="T13" s="178">
        <v>966</v>
      </c>
      <c r="U13" s="172"/>
    </row>
    <row r="14" spans="1:21" ht="16.5" customHeight="1" x14ac:dyDescent="0.3">
      <c r="A14" s="147">
        <v>15</v>
      </c>
      <c r="B14" s="147">
        <v>7196</v>
      </c>
      <c r="C14" s="155" t="s">
        <v>7089</v>
      </c>
      <c r="D14" s="188"/>
      <c r="E14" s="153"/>
      <c r="F14" s="171"/>
      <c r="G14" s="167" t="s">
        <v>17411</v>
      </c>
      <c r="H14" s="150"/>
      <c r="I14" s="168"/>
      <c r="J14" s="169"/>
      <c r="K14" s="153"/>
      <c r="L14" s="152"/>
      <c r="M14" s="162" t="s">
        <v>5895</v>
      </c>
      <c r="N14" s="163" t="s">
        <v>1</v>
      </c>
      <c r="O14" s="164">
        <v>1</v>
      </c>
      <c r="P14" s="170"/>
      <c r="Q14" s="171"/>
      <c r="R14" s="170"/>
      <c r="S14" s="171"/>
      <c r="T14" s="178">
        <v>966</v>
      </c>
      <c r="U14" s="172"/>
    </row>
    <row r="15" spans="1:21" ht="16.5" customHeight="1" x14ac:dyDescent="0.3">
      <c r="A15" s="147">
        <v>15</v>
      </c>
      <c r="B15" s="147">
        <v>7197</v>
      </c>
      <c r="C15" s="155" t="s">
        <v>7088</v>
      </c>
      <c r="D15" s="188"/>
      <c r="E15" s="153"/>
      <c r="F15" s="171"/>
      <c r="G15" s="156" t="s">
        <v>17417</v>
      </c>
      <c r="H15" s="157">
        <v>585</v>
      </c>
      <c r="I15" s="158" t="s">
        <v>0</v>
      </c>
      <c r="J15" s="169"/>
      <c r="K15" s="153"/>
      <c r="L15" s="152"/>
      <c r="M15" s="162"/>
      <c r="N15" s="163"/>
      <c r="O15" s="164"/>
      <c r="P15" s="170" t="s">
        <v>1</v>
      </c>
      <c r="Q15" s="192">
        <v>0.25</v>
      </c>
      <c r="R15" s="170" t="s">
        <v>1</v>
      </c>
      <c r="S15" s="192">
        <v>0.5</v>
      </c>
      <c r="T15" s="178">
        <v>1080</v>
      </c>
      <c r="U15" s="172"/>
    </row>
    <row r="16" spans="1:21" ht="16.5" customHeight="1" x14ac:dyDescent="0.3">
      <c r="A16" s="147">
        <v>15</v>
      </c>
      <c r="B16" s="147">
        <v>7198</v>
      </c>
      <c r="C16" s="155" t="s">
        <v>7087</v>
      </c>
      <c r="D16" s="167"/>
      <c r="E16" s="150"/>
      <c r="F16" s="168"/>
      <c r="G16" s="167" t="s">
        <v>17398</v>
      </c>
      <c r="H16" s="150"/>
      <c r="I16" s="168"/>
      <c r="J16" s="169"/>
      <c r="K16" s="153"/>
      <c r="L16" s="152"/>
      <c r="M16" s="162" t="s">
        <v>5895</v>
      </c>
      <c r="N16" s="163" t="s">
        <v>1</v>
      </c>
      <c r="O16" s="164">
        <v>1</v>
      </c>
      <c r="P16" s="170"/>
      <c r="Q16" s="174" t="s">
        <v>17416</v>
      </c>
      <c r="R16" s="170"/>
      <c r="S16" s="174" t="s">
        <v>17416</v>
      </c>
      <c r="T16" s="178">
        <v>1080</v>
      </c>
      <c r="U16" s="172"/>
    </row>
    <row r="17" spans="1:21" ht="16.5" customHeight="1" x14ac:dyDescent="0.3">
      <c r="A17" s="147">
        <v>15</v>
      </c>
      <c r="B17" s="147">
        <v>7199</v>
      </c>
      <c r="C17" s="155" t="s">
        <v>7086</v>
      </c>
      <c r="D17" s="156" t="s">
        <v>17415</v>
      </c>
      <c r="E17" s="157">
        <v>406</v>
      </c>
      <c r="F17" s="158" t="s">
        <v>0</v>
      </c>
      <c r="G17" s="156" t="s">
        <v>17399</v>
      </c>
      <c r="H17" s="157">
        <v>185</v>
      </c>
      <c r="I17" s="158" t="s">
        <v>0</v>
      </c>
      <c r="J17" s="169"/>
      <c r="K17" s="153"/>
      <c r="L17" s="152"/>
      <c r="M17" s="162"/>
      <c r="N17" s="163"/>
      <c r="O17" s="164"/>
      <c r="P17" s="170"/>
      <c r="Q17" s="171"/>
      <c r="R17" s="170"/>
      <c r="S17" s="171"/>
      <c r="T17" s="178">
        <v>707</v>
      </c>
      <c r="U17" s="172"/>
    </row>
    <row r="18" spans="1:21" ht="16.5" customHeight="1" x14ac:dyDescent="0.3">
      <c r="A18" s="147">
        <v>15</v>
      </c>
      <c r="B18" s="147">
        <v>7200</v>
      </c>
      <c r="C18" s="155" t="s">
        <v>7085</v>
      </c>
      <c r="D18" s="188" t="s">
        <v>17414</v>
      </c>
      <c r="E18" s="153"/>
      <c r="F18" s="171"/>
      <c r="G18" s="167" t="s">
        <v>17397</v>
      </c>
      <c r="H18" s="150"/>
      <c r="I18" s="168"/>
      <c r="J18" s="169"/>
      <c r="K18" s="153"/>
      <c r="L18" s="152"/>
      <c r="M18" s="162" t="s">
        <v>5895</v>
      </c>
      <c r="N18" s="163" t="s">
        <v>1</v>
      </c>
      <c r="O18" s="164">
        <v>1</v>
      </c>
      <c r="P18" s="170"/>
      <c r="Q18" s="171"/>
      <c r="R18" s="170"/>
      <c r="S18" s="171"/>
      <c r="T18" s="178">
        <v>707</v>
      </c>
      <c r="U18" s="172"/>
    </row>
    <row r="19" spans="1:21" ht="16.5" customHeight="1" x14ac:dyDescent="0.3">
      <c r="A19" s="147">
        <v>15</v>
      </c>
      <c r="B19" s="147">
        <v>7201</v>
      </c>
      <c r="C19" s="155" t="s">
        <v>7084</v>
      </c>
      <c r="D19" s="188" t="s">
        <v>17413</v>
      </c>
      <c r="E19" s="153"/>
      <c r="F19" s="171"/>
      <c r="G19" s="156" t="s">
        <v>17402</v>
      </c>
      <c r="H19" s="157">
        <v>268</v>
      </c>
      <c r="I19" s="158" t="s">
        <v>0</v>
      </c>
      <c r="J19" s="169"/>
      <c r="K19" s="153"/>
      <c r="L19" s="152"/>
      <c r="M19" s="162"/>
      <c r="N19" s="163"/>
      <c r="O19" s="164"/>
      <c r="P19" s="170"/>
      <c r="Q19" s="171"/>
      <c r="R19" s="170"/>
      <c r="S19" s="171"/>
      <c r="T19" s="178">
        <v>818</v>
      </c>
      <c r="U19" s="172"/>
    </row>
    <row r="20" spans="1:21" ht="16.5" customHeight="1" x14ac:dyDescent="0.3">
      <c r="A20" s="147">
        <v>15</v>
      </c>
      <c r="B20" s="147">
        <v>7202</v>
      </c>
      <c r="C20" s="155" t="s">
        <v>7083</v>
      </c>
      <c r="D20" s="188"/>
      <c r="E20" s="153"/>
      <c r="F20" s="171"/>
      <c r="G20" s="167" t="s">
        <v>17401</v>
      </c>
      <c r="H20" s="150"/>
      <c r="I20" s="168"/>
      <c r="J20" s="169"/>
      <c r="K20" s="153"/>
      <c r="L20" s="152"/>
      <c r="M20" s="162" t="s">
        <v>5895</v>
      </c>
      <c r="N20" s="163" t="s">
        <v>1</v>
      </c>
      <c r="O20" s="164">
        <v>1</v>
      </c>
      <c r="P20" s="170"/>
      <c r="Q20" s="171"/>
      <c r="R20" s="170"/>
      <c r="S20" s="171"/>
      <c r="T20" s="178">
        <v>818</v>
      </c>
      <c r="U20" s="172"/>
    </row>
    <row r="21" spans="1:21" ht="16.5" customHeight="1" x14ac:dyDescent="0.3">
      <c r="A21" s="147">
        <v>15</v>
      </c>
      <c r="B21" s="147">
        <v>7203</v>
      </c>
      <c r="C21" s="155" t="s">
        <v>7082</v>
      </c>
      <c r="D21" s="188"/>
      <c r="E21" s="153"/>
      <c r="F21" s="171"/>
      <c r="G21" s="156" t="s">
        <v>17407</v>
      </c>
      <c r="H21" s="157">
        <v>352</v>
      </c>
      <c r="I21" s="158" t="s">
        <v>0</v>
      </c>
      <c r="J21" s="169"/>
      <c r="K21" s="153"/>
      <c r="L21" s="152"/>
      <c r="M21" s="162"/>
      <c r="N21" s="163"/>
      <c r="O21" s="164"/>
      <c r="P21" s="170"/>
      <c r="Q21" s="171"/>
      <c r="R21" s="170"/>
      <c r="S21" s="171"/>
      <c r="T21" s="178">
        <v>932</v>
      </c>
      <c r="U21" s="172"/>
    </row>
    <row r="22" spans="1:21" ht="16.5" customHeight="1" x14ac:dyDescent="0.3">
      <c r="A22" s="147">
        <v>15</v>
      </c>
      <c r="B22" s="147">
        <v>7204</v>
      </c>
      <c r="C22" s="155" t="s">
        <v>7081</v>
      </c>
      <c r="D22" s="188"/>
      <c r="E22" s="153"/>
      <c r="F22" s="171"/>
      <c r="G22" s="167" t="s">
        <v>17406</v>
      </c>
      <c r="H22" s="150"/>
      <c r="I22" s="168"/>
      <c r="J22" s="169"/>
      <c r="K22" s="153"/>
      <c r="L22" s="152"/>
      <c r="M22" s="162" t="s">
        <v>5895</v>
      </c>
      <c r="N22" s="163" t="s">
        <v>1</v>
      </c>
      <c r="O22" s="164">
        <v>1</v>
      </c>
      <c r="P22" s="170"/>
      <c r="Q22" s="171"/>
      <c r="R22" s="170"/>
      <c r="S22" s="171"/>
      <c r="T22" s="178">
        <v>932</v>
      </c>
      <c r="U22" s="172"/>
    </row>
    <row r="23" spans="1:21" ht="16.5" customHeight="1" x14ac:dyDescent="0.3">
      <c r="A23" s="147">
        <v>15</v>
      </c>
      <c r="B23" s="147">
        <v>7205</v>
      </c>
      <c r="C23" s="155" t="s">
        <v>7080</v>
      </c>
      <c r="D23" s="188"/>
      <c r="E23" s="153"/>
      <c r="F23" s="171"/>
      <c r="G23" s="156" t="s">
        <v>17412</v>
      </c>
      <c r="H23" s="157">
        <v>436</v>
      </c>
      <c r="I23" s="158" t="s">
        <v>0</v>
      </c>
      <c r="J23" s="169"/>
      <c r="K23" s="153"/>
      <c r="L23" s="152"/>
      <c r="M23" s="162"/>
      <c r="N23" s="163"/>
      <c r="O23" s="164"/>
      <c r="P23" s="170"/>
      <c r="Q23" s="171"/>
      <c r="R23" s="170"/>
      <c r="S23" s="171"/>
      <c r="T23" s="178">
        <v>1044</v>
      </c>
      <c r="U23" s="172"/>
    </row>
    <row r="24" spans="1:21" ht="16.5" customHeight="1" x14ac:dyDescent="0.3">
      <c r="A24" s="147">
        <v>15</v>
      </c>
      <c r="B24" s="147">
        <v>7206</v>
      </c>
      <c r="C24" s="155" t="s">
        <v>7079</v>
      </c>
      <c r="D24" s="167"/>
      <c r="E24" s="150"/>
      <c r="F24" s="168"/>
      <c r="G24" s="167" t="s">
        <v>17411</v>
      </c>
      <c r="H24" s="150"/>
      <c r="I24" s="168"/>
      <c r="J24" s="169"/>
      <c r="K24" s="153"/>
      <c r="L24" s="152"/>
      <c r="M24" s="162" t="s">
        <v>5895</v>
      </c>
      <c r="N24" s="163" t="s">
        <v>1</v>
      </c>
      <c r="O24" s="164">
        <v>1</v>
      </c>
      <c r="P24" s="170"/>
      <c r="Q24" s="171"/>
      <c r="R24" s="170"/>
      <c r="S24" s="171"/>
      <c r="T24" s="178">
        <v>1044</v>
      </c>
      <c r="U24" s="172"/>
    </row>
    <row r="25" spans="1:21" ht="16.5" customHeight="1" x14ac:dyDescent="0.3">
      <c r="A25" s="147">
        <v>15</v>
      </c>
      <c r="B25" s="147">
        <v>7207</v>
      </c>
      <c r="C25" s="155" t="s">
        <v>7078</v>
      </c>
      <c r="D25" s="156" t="s">
        <v>17410</v>
      </c>
      <c r="E25" s="157">
        <v>591</v>
      </c>
      <c r="F25" s="158" t="s">
        <v>0</v>
      </c>
      <c r="G25" s="156" t="s">
        <v>17399</v>
      </c>
      <c r="H25" s="157">
        <v>83</v>
      </c>
      <c r="I25" s="158" t="s">
        <v>0</v>
      </c>
      <c r="J25" s="169"/>
      <c r="K25" s="153"/>
      <c r="L25" s="152"/>
      <c r="M25" s="162"/>
      <c r="N25" s="163"/>
      <c r="O25" s="164"/>
      <c r="P25" s="170"/>
      <c r="Q25" s="171"/>
      <c r="R25" s="170"/>
      <c r="S25" s="171"/>
      <c r="T25" s="178">
        <v>778</v>
      </c>
      <c r="U25" s="172"/>
    </row>
    <row r="26" spans="1:21" ht="16.5" customHeight="1" x14ac:dyDescent="0.3">
      <c r="A26" s="147">
        <v>15</v>
      </c>
      <c r="B26" s="147">
        <v>7208</v>
      </c>
      <c r="C26" s="155" t="s">
        <v>7077</v>
      </c>
      <c r="D26" s="188" t="s">
        <v>17409</v>
      </c>
      <c r="E26" s="153"/>
      <c r="F26" s="171"/>
      <c r="G26" s="167" t="s">
        <v>17397</v>
      </c>
      <c r="H26" s="150"/>
      <c r="I26" s="168"/>
      <c r="J26" s="169"/>
      <c r="K26" s="153"/>
      <c r="L26" s="152"/>
      <c r="M26" s="162" t="s">
        <v>5895</v>
      </c>
      <c r="N26" s="163" t="s">
        <v>1</v>
      </c>
      <c r="O26" s="164">
        <v>1</v>
      </c>
      <c r="P26" s="170"/>
      <c r="Q26" s="171"/>
      <c r="R26" s="170"/>
      <c r="S26" s="171"/>
      <c r="T26" s="178">
        <v>778</v>
      </c>
      <c r="U26" s="172"/>
    </row>
    <row r="27" spans="1:21" ht="16.5" customHeight="1" x14ac:dyDescent="0.3">
      <c r="A27" s="147">
        <v>15</v>
      </c>
      <c r="B27" s="147">
        <v>7209</v>
      </c>
      <c r="C27" s="155" t="s">
        <v>7076</v>
      </c>
      <c r="D27" s="188" t="s">
        <v>17408</v>
      </c>
      <c r="E27" s="153"/>
      <c r="F27" s="171"/>
      <c r="G27" s="156" t="s">
        <v>17402</v>
      </c>
      <c r="H27" s="157">
        <v>167</v>
      </c>
      <c r="I27" s="158" t="s">
        <v>0</v>
      </c>
      <c r="J27" s="169"/>
      <c r="K27" s="153"/>
      <c r="L27" s="152"/>
      <c r="M27" s="162"/>
      <c r="N27" s="163"/>
      <c r="O27" s="164"/>
      <c r="P27" s="170"/>
      <c r="Q27" s="171"/>
      <c r="R27" s="170"/>
      <c r="S27" s="171"/>
      <c r="T27" s="178">
        <v>890</v>
      </c>
      <c r="U27" s="172"/>
    </row>
    <row r="28" spans="1:21" ht="16.5" customHeight="1" x14ac:dyDescent="0.3">
      <c r="A28" s="147">
        <v>15</v>
      </c>
      <c r="B28" s="147">
        <v>7210</v>
      </c>
      <c r="C28" s="155" t="s">
        <v>7075</v>
      </c>
      <c r="D28" s="188"/>
      <c r="E28" s="153"/>
      <c r="F28" s="171"/>
      <c r="G28" s="167" t="s">
        <v>17401</v>
      </c>
      <c r="H28" s="150"/>
      <c r="I28" s="168"/>
      <c r="J28" s="169"/>
      <c r="K28" s="153"/>
      <c r="L28" s="152"/>
      <c r="M28" s="162" t="s">
        <v>5895</v>
      </c>
      <c r="N28" s="163" t="s">
        <v>1</v>
      </c>
      <c r="O28" s="164">
        <v>1</v>
      </c>
      <c r="P28" s="170"/>
      <c r="Q28" s="171"/>
      <c r="R28" s="170"/>
      <c r="S28" s="171"/>
      <c r="T28" s="178">
        <v>890</v>
      </c>
      <c r="U28" s="172"/>
    </row>
    <row r="29" spans="1:21" ht="16.5" customHeight="1" x14ac:dyDescent="0.3">
      <c r="A29" s="147">
        <v>15</v>
      </c>
      <c r="B29" s="147">
        <v>7211</v>
      </c>
      <c r="C29" s="155" t="s">
        <v>7074</v>
      </c>
      <c r="D29" s="188"/>
      <c r="E29" s="153"/>
      <c r="F29" s="171"/>
      <c r="G29" s="156" t="s">
        <v>17407</v>
      </c>
      <c r="H29" s="157">
        <v>251</v>
      </c>
      <c r="I29" s="158" t="s">
        <v>0</v>
      </c>
      <c r="J29" s="169"/>
      <c r="K29" s="153"/>
      <c r="L29" s="152"/>
      <c r="M29" s="162"/>
      <c r="N29" s="163"/>
      <c r="O29" s="164"/>
      <c r="P29" s="170"/>
      <c r="Q29" s="171"/>
      <c r="R29" s="170"/>
      <c r="S29" s="171"/>
      <c r="T29" s="178">
        <v>1004</v>
      </c>
      <c r="U29" s="172"/>
    </row>
    <row r="30" spans="1:21" ht="16.5" customHeight="1" x14ac:dyDescent="0.3">
      <c r="A30" s="147">
        <v>15</v>
      </c>
      <c r="B30" s="147">
        <v>7212</v>
      </c>
      <c r="C30" s="155" t="s">
        <v>7073</v>
      </c>
      <c r="D30" s="167"/>
      <c r="E30" s="150"/>
      <c r="F30" s="168"/>
      <c r="G30" s="167" t="s">
        <v>17406</v>
      </c>
      <c r="H30" s="150"/>
      <c r="I30" s="168"/>
      <c r="J30" s="169"/>
      <c r="K30" s="153"/>
      <c r="L30" s="152"/>
      <c r="M30" s="162" t="s">
        <v>5895</v>
      </c>
      <c r="N30" s="163" t="s">
        <v>1</v>
      </c>
      <c r="O30" s="164">
        <v>1</v>
      </c>
      <c r="P30" s="170"/>
      <c r="Q30" s="171"/>
      <c r="R30" s="170"/>
      <c r="S30" s="171"/>
      <c r="T30" s="178">
        <v>1004</v>
      </c>
      <c r="U30" s="172"/>
    </row>
    <row r="31" spans="1:21" ht="16.5" customHeight="1" x14ac:dyDescent="0.3">
      <c r="A31" s="147">
        <v>15</v>
      </c>
      <c r="B31" s="147">
        <v>7213</v>
      </c>
      <c r="C31" s="155" t="s">
        <v>7072</v>
      </c>
      <c r="D31" s="156" t="s">
        <v>17405</v>
      </c>
      <c r="E31" s="157">
        <v>674</v>
      </c>
      <c r="F31" s="158" t="s">
        <v>0</v>
      </c>
      <c r="G31" s="156" t="s">
        <v>17399</v>
      </c>
      <c r="H31" s="157">
        <v>84</v>
      </c>
      <c r="I31" s="158" t="s">
        <v>0</v>
      </c>
      <c r="J31" s="169"/>
      <c r="K31" s="153"/>
      <c r="L31" s="152"/>
      <c r="M31" s="162"/>
      <c r="N31" s="163"/>
      <c r="O31" s="164"/>
      <c r="P31" s="170"/>
      <c r="Q31" s="171"/>
      <c r="R31" s="170"/>
      <c r="S31" s="171"/>
      <c r="T31" s="178">
        <v>873</v>
      </c>
      <c r="U31" s="172"/>
    </row>
    <row r="32" spans="1:21" ht="16.5" customHeight="1" x14ac:dyDescent="0.3">
      <c r="A32" s="147">
        <v>15</v>
      </c>
      <c r="B32" s="147">
        <v>7214</v>
      </c>
      <c r="C32" s="155" t="s">
        <v>7071</v>
      </c>
      <c r="D32" s="188" t="s">
        <v>17404</v>
      </c>
      <c r="E32" s="153"/>
      <c r="F32" s="171"/>
      <c r="G32" s="167" t="s">
        <v>17397</v>
      </c>
      <c r="H32" s="150"/>
      <c r="I32" s="168"/>
      <c r="J32" s="169"/>
      <c r="K32" s="153"/>
      <c r="L32" s="152"/>
      <c r="M32" s="162" t="s">
        <v>5895</v>
      </c>
      <c r="N32" s="163" t="s">
        <v>1</v>
      </c>
      <c r="O32" s="164">
        <v>1</v>
      </c>
      <c r="P32" s="170"/>
      <c r="Q32" s="171"/>
      <c r="R32" s="170"/>
      <c r="S32" s="171"/>
      <c r="T32" s="178">
        <v>873</v>
      </c>
      <c r="U32" s="172"/>
    </row>
    <row r="33" spans="1:21" ht="16.5" customHeight="1" x14ac:dyDescent="0.3">
      <c r="A33" s="147">
        <v>15</v>
      </c>
      <c r="B33" s="147">
        <v>7215</v>
      </c>
      <c r="C33" s="155" t="s">
        <v>7070</v>
      </c>
      <c r="D33" s="188" t="s">
        <v>17403</v>
      </c>
      <c r="E33" s="153"/>
      <c r="F33" s="171"/>
      <c r="G33" s="156" t="s">
        <v>17402</v>
      </c>
      <c r="H33" s="157">
        <v>168</v>
      </c>
      <c r="I33" s="158" t="s">
        <v>0</v>
      </c>
      <c r="J33" s="169"/>
      <c r="K33" s="153"/>
      <c r="L33" s="152"/>
      <c r="M33" s="162"/>
      <c r="N33" s="163"/>
      <c r="O33" s="164"/>
      <c r="P33" s="170"/>
      <c r="Q33" s="171"/>
      <c r="R33" s="170"/>
      <c r="S33" s="171"/>
      <c r="T33" s="178">
        <v>986</v>
      </c>
      <c r="U33" s="172"/>
    </row>
    <row r="34" spans="1:21" ht="16.5" customHeight="1" x14ac:dyDescent="0.3">
      <c r="A34" s="147">
        <v>15</v>
      </c>
      <c r="B34" s="147">
        <v>7216</v>
      </c>
      <c r="C34" s="155" t="s">
        <v>7069</v>
      </c>
      <c r="D34" s="167"/>
      <c r="E34" s="150"/>
      <c r="F34" s="168"/>
      <c r="G34" s="167" t="s">
        <v>17401</v>
      </c>
      <c r="H34" s="150"/>
      <c r="I34" s="168"/>
      <c r="J34" s="169"/>
      <c r="K34" s="153"/>
      <c r="L34" s="152"/>
      <c r="M34" s="162" t="s">
        <v>5895</v>
      </c>
      <c r="N34" s="163" t="s">
        <v>1</v>
      </c>
      <c r="O34" s="164">
        <v>1</v>
      </c>
      <c r="P34" s="170"/>
      <c r="Q34" s="171"/>
      <c r="R34" s="170"/>
      <c r="S34" s="171"/>
      <c r="T34" s="178">
        <v>986</v>
      </c>
      <c r="U34" s="172"/>
    </row>
    <row r="35" spans="1:21" ht="16.5" customHeight="1" x14ac:dyDescent="0.3">
      <c r="A35" s="147">
        <v>15</v>
      </c>
      <c r="B35" s="147">
        <v>7217</v>
      </c>
      <c r="C35" s="155" t="s">
        <v>7068</v>
      </c>
      <c r="D35" s="156" t="s">
        <v>17400</v>
      </c>
      <c r="E35" s="157">
        <v>758</v>
      </c>
      <c r="F35" s="158" t="s">
        <v>0</v>
      </c>
      <c r="G35" s="156" t="s">
        <v>17399</v>
      </c>
      <c r="H35" s="157">
        <v>84</v>
      </c>
      <c r="I35" s="158" t="s">
        <v>0</v>
      </c>
      <c r="J35" s="169"/>
      <c r="K35" s="153"/>
      <c r="L35" s="152"/>
      <c r="M35" s="162"/>
      <c r="N35" s="163"/>
      <c r="O35" s="164"/>
      <c r="P35" s="170"/>
      <c r="Q35" s="171"/>
      <c r="R35" s="170"/>
      <c r="S35" s="171"/>
      <c r="T35" s="178">
        <v>967</v>
      </c>
      <c r="U35" s="172"/>
    </row>
    <row r="36" spans="1:21" ht="16.5" customHeight="1" x14ac:dyDescent="0.3">
      <c r="A36" s="147">
        <v>15</v>
      </c>
      <c r="B36" s="147">
        <v>7218</v>
      </c>
      <c r="C36" s="155" t="s">
        <v>7067</v>
      </c>
      <c r="D36" s="167" t="s">
        <v>17398</v>
      </c>
      <c r="E36" s="150"/>
      <c r="F36" s="168"/>
      <c r="G36" s="167" t="s">
        <v>17397</v>
      </c>
      <c r="H36" s="150"/>
      <c r="I36" s="168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6"/>
      <c r="Q36" s="168"/>
      <c r="R36" s="176"/>
      <c r="S36" s="168"/>
      <c r="T36" s="178">
        <v>967</v>
      </c>
      <c r="U36" s="177"/>
    </row>
    <row r="37" spans="1:21" ht="16.5" customHeight="1" x14ac:dyDescent="0.3"/>
    <row r="38" spans="1:21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8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theme="1" tint="0.249977111117893"/>
    <pageSetUpPr fitToPage="1"/>
  </sheetPr>
  <dimension ref="A1:S3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2.3671875" style="46" customWidth="1"/>
    <col min="5" max="5" width="24.62890625" style="45" customWidth="1"/>
    <col min="6" max="6" width="2.3671875" style="46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6.3671875" style="84" bestFit="1" customWidth="1"/>
    <col min="19" max="19" width="7.734375" style="48" bestFit="1" customWidth="1"/>
    <col min="20" max="16384" width="9" style="49"/>
  </cols>
  <sheetData>
    <row r="1" spans="1:19" ht="16.5" customHeight="1" x14ac:dyDescent="0.3">
      <c r="A1" s="132"/>
      <c r="B1" s="132"/>
      <c r="C1" s="133"/>
      <c r="D1" s="134"/>
      <c r="E1" s="133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4"/>
      <c r="Q1" s="134"/>
      <c r="R1" s="136"/>
      <c r="S1" s="137"/>
    </row>
    <row r="2" spans="1:19" ht="16.5" customHeight="1" x14ac:dyDescent="0.3">
      <c r="A2" s="132"/>
      <c r="B2" s="132"/>
      <c r="C2" s="133"/>
      <c r="D2" s="134"/>
      <c r="E2" s="133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4"/>
      <c r="Q2" s="134"/>
      <c r="R2" s="136"/>
      <c r="S2" s="137"/>
    </row>
    <row r="3" spans="1:19" ht="16.5" customHeight="1" x14ac:dyDescent="0.3">
      <c r="A3" s="132"/>
      <c r="B3" s="132"/>
      <c r="C3" s="133"/>
      <c r="D3" s="134"/>
      <c r="E3" s="133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4"/>
      <c r="Q3" s="134"/>
      <c r="R3" s="136"/>
      <c r="S3" s="137"/>
    </row>
    <row r="4" spans="1:19" ht="16.5" customHeight="1" x14ac:dyDescent="0.3">
      <c r="A4" s="132"/>
      <c r="B4" s="138" t="s">
        <v>7128</v>
      </c>
      <c r="C4" s="133"/>
      <c r="D4" s="134"/>
      <c r="E4" s="139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4"/>
      <c r="Q4" s="134"/>
      <c r="R4" s="136"/>
      <c r="S4" s="137"/>
    </row>
    <row r="5" spans="1:19" ht="16.5" customHeight="1" x14ac:dyDescent="0.3">
      <c r="A5" s="140" t="s">
        <v>5864</v>
      </c>
      <c r="B5" s="141"/>
      <c r="C5" s="142" t="s">
        <v>5867</v>
      </c>
      <c r="D5" s="144"/>
      <c r="E5" s="143" t="s">
        <v>5868</v>
      </c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4"/>
      <c r="Q5" s="144"/>
      <c r="R5" s="146" t="s">
        <v>5869</v>
      </c>
      <c r="S5" s="146" t="s">
        <v>5871</v>
      </c>
    </row>
    <row r="6" spans="1:19" ht="16.5" customHeight="1" x14ac:dyDescent="0.3">
      <c r="A6" s="147" t="s">
        <v>5865</v>
      </c>
      <c r="B6" s="147" t="s">
        <v>5866</v>
      </c>
      <c r="C6" s="148"/>
      <c r="D6" s="175"/>
      <c r="E6" s="220"/>
      <c r="F6" s="179" t="s">
        <v>5872</v>
      </c>
      <c r="G6" s="221"/>
      <c r="H6" s="180"/>
      <c r="I6" s="181"/>
      <c r="J6" s="150"/>
      <c r="K6" s="150"/>
      <c r="L6" s="151"/>
      <c r="M6" s="150"/>
      <c r="N6" s="150"/>
      <c r="O6" s="151"/>
      <c r="P6" s="150"/>
      <c r="Q6" s="150"/>
      <c r="R6" s="154" t="s">
        <v>5870</v>
      </c>
      <c r="S6" s="154" t="s">
        <v>0</v>
      </c>
    </row>
    <row r="7" spans="1:19" ht="16.5" customHeight="1" x14ac:dyDescent="0.3">
      <c r="A7" s="147">
        <v>15</v>
      </c>
      <c r="B7" s="147">
        <v>7219</v>
      </c>
      <c r="C7" s="197" t="s">
        <v>7127</v>
      </c>
      <c r="D7" s="287" t="s">
        <v>5876</v>
      </c>
      <c r="E7" s="156" t="s">
        <v>17449</v>
      </c>
      <c r="F7" s="287" t="s">
        <v>5874</v>
      </c>
      <c r="G7" s="156" t="s">
        <v>17427</v>
      </c>
      <c r="H7" s="157">
        <v>149</v>
      </c>
      <c r="I7" s="158" t="s">
        <v>0</v>
      </c>
      <c r="J7" s="159"/>
      <c r="K7" s="160"/>
      <c r="L7" s="161"/>
      <c r="M7" s="162"/>
      <c r="N7" s="163"/>
      <c r="O7" s="164"/>
      <c r="P7" s="165"/>
      <c r="Q7" s="215"/>
      <c r="R7" s="178">
        <v>201</v>
      </c>
      <c r="S7" s="142" t="s">
        <v>5863</v>
      </c>
    </row>
    <row r="8" spans="1:19" ht="16.5" customHeight="1" x14ac:dyDescent="0.3">
      <c r="A8" s="147">
        <v>15</v>
      </c>
      <c r="B8" s="147">
        <v>7220</v>
      </c>
      <c r="C8" s="197" t="s">
        <v>7126</v>
      </c>
      <c r="D8" s="288"/>
      <c r="E8" s="188" t="s">
        <v>17426</v>
      </c>
      <c r="F8" s="288"/>
      <c r="G8" s="167" t="s">
        <v>17426</v>
      </c>
      <c r="H8" s="150"/>
      <c r="I8" s="168"/>
      <c r="J8" s="169"/>
      <c r="K8" s="153"/>
      <c r="L8" s="152"/>
      <c r="M8" s="162" t="s">
        <v>5895</v>
      </c>
      <c r="N8" s="163" t="s">
        <v>1</v>
      </c>
      <c r="O8" s="164">
        <v>1</v>
      </c>
      <c r="P8" s="170"/>
      <c r="Q8" s="171"/>
      <c r="R8" s="178">
        <v>201</v>
      </c>
      <c r="S8" s="172"/>
    </row>
    <row r="9" spans="1:19" ht="16.5" customHeight="1" x14ac:dyDescent="0.3">
      <c r="A9" s="147">
        <v>15</v>
      </c>
      <c r="B9" s="147">
        <v>7221</v>
      </c>
      <c r="C9" s="197" t="s">
        <v>7125</v>
      </c>
      <c r="D9" s="288"/>
      <c r="E9" s="188"/>
      <c r="F9" s="288"/>
      <c r="G9" s="156" t="s">
        <v>17429</v>
      </c>
      <c r="H9" s="157">
        <v>334</v>
      </c>
      <c r="I9" s="158" t="s">
        <v>0</v>
      </c>
      <c r="J9" s="169"/>
      <c r="K9" s="153"/>
      <c r="L9" s="152"/>
      <c r="M9" s="162"/>
      <c r="N9" s="163"/>
      <c r="O9" s="164"/>
      <c r="P9" s="170"/>
      <c r="Q9" s="192"/>
      <c r="R9" s="178">
        <v>452</v>
      </c>
      <c r="S9" s="172"/>
    </row>
    <row r="10" spans="1:19" ht="16.5" customHeight="1" x14ac:dyDescent="0.3">
      <c r="A10" s="147">
        <v>15</v>
      </c>
      <c r="B10" s="147">
        <v>7222</v>
      </c>
      <c r="C10" s="197" t="s">
        <v>7124</v>
      </c>
      <c r="D10" s="288"/>
      <c r="E10" s="188"/>
      <c r="F10" s="288"/>
      <c r="G10" s="167" t="s">
        <v>17428</v>
      </c>
      <c r="H10" s="150"/>
      <c r="I10" s="168"/>
      <c r="J10" s="169"/>
      <c r="K10" s="153"/>
      <c r="L10" s="152"/>
      <c r="M10" s="162" t="s">
        <v>5895</v>
      </c>
      <c r="N10" s="163" t="s">
        <v>1</v>
      </c>
      <c r="O10" s="164">
        <v>1</v>
      </c>
      <c r="P10" s="170"/>
      <c r="Q10" s="174"/>
      <c r="R10" s="178">
        <v>452</v>
      </c>
      <c r="S10" s="172"/>
    </row>
    <row r="11" spans="1:19" ht="16.5" customHeight="1" x14ac:dyDescent="0.3">
      <c r="A11" s="147">
        <v>15</v>
      </c>
      <c r="B11" s="147">
        <v>7223</v>
      </c>
      <c r="C11" s="197" t="s">
        <v>7123</v>
      </c>
      <c r="D11" s="212"/>
      <c r="E11" s="188"/>
      <c r="F11" s="212"/>
      <c r="G11" s="156" t="s">
        <v>17434</v>
      </c>
      <c r="H11" s="157">
        <v>417</v>
      </c>
      <c r="I11" s="158" t="s">
        <v>0</v>
      </c>
      <c r="J11" s="169"/>
      <c r="K11" s="153"/>
      <c r="L11" s="152"/>
      <c r="M11" s="162"/>
      <c r="N11" s="163"/>
      <c r="O11" s="164"/>
      <c r="P11" s="170"/>
      <c r="Q11" s="171"/>
      <c r="R11" s="178">
        <v>563</v>
      </c>
      <c r="S11" s="172"/>
    </row>
    <row r="12" spans="1:19" ht="16.5" customHeight="1" x14ac:dyDescent="0.3">
      <c r="A12" s="147">
        <v>15</v>
      </c>
      <c r="B12" s="147">
        <v>7224</v>
      </c>
      <c r="C12" s="197" t="s">
        <v>7122</v>
      </c>
      <c r="D12" s="212"/>
      <c r="E12" s="188"/>
      <c r="F12" s="212"/>
      <c r="G12" s="167" t="s">
        <v>17433</v>
      </c>
      <c r="H12" s="150"/>
      <c r="I12" s="168"/>
      <c r="J12" s="169" t="s">
        <v>17448</v>
      </c>
      <c r="K12" s="153"/>
      <c r="L12" s="152"/>
      <c r="M12" s="162" t="s">
        <v>5895</v>
      </c>
      <c r="N12" s="163" t="s">
        <v>1</v>
      </c>
      <c r="O12" s="164">
        <v>1</v>
      </c>
      <c r="P12" s="170" t="s">
        <v>17447</v>
      </c>
      <c r="Q12" s="171"/>
      <c r="R12" s="178">
        <v>563</v>
      </c>
      <c r="S12" s="172"/>
    </row>
    <row r="13" spans="1:19" ht="16.5" customHeight="1" x14ac:dyDescent="0.3">
      <c r="A13" s="147">
        <v>15</v>
      </c>
      <c r="B13" s="147">
        <v>7225</v>
      </c>
      <c r="C13" s="197" t="s">
        <v>7121</v>
      </c>
      <c r="D13" s="212"/>
      <c r="E13" s="188"/>
      <c r="F13" s="212"/>
      <c r="G13" s="156" t="s">
        <v>17439</v>
      </c>
      <c r="H13" s="157">
        <v>501</v>
      </c>
      <c r="I13" s="158" t="s">
        <v>0</v>
      </c>
      <c r="J13" s="169" t="s">
        <v>17446</v>
      </c>
      <c r="K13" s="153" t="s">
        <v>1</v>
      </c>
      <c r="L13" s="152">
        <v>0.9</v>
      </c>
      <c r="M13" s="162"/>
      <c r="N13" s="163"/>
      <c r="O13" s="164"/>
      <c r="P13" s="170"/>
      <c r="Q13" s="174" t="s">
        <v>17445</v>
      </c>
      <c r="R13" s="178">
        <v>677</v>
      </c>
      <c r="S13" s="172"/>
    </row>
    <row r="14" spans="1:19" ht="16.5" customHeight="1" x14ac:dyDescent="0.3">
      <c r="A14" s="147">
        <v>15</v>
      </c>
      <c r="B14" s="147">
        <v>7226</v>
      </c>
      <c r="C14" s="197" t="s">
        <v>7120</v>
      </c>
      <c r="D14" s="212"/>
      <c r="E14" s="188"/>
      <c r="F14" s="212"/>
      <c r="G14" s="167" t="s">
        <v>17438</v>
      </c>
      <c r="H14" s="150"/>
      <c r="I14" s="168"/>
      <c r="J14" s="169"/>
      <c r="K14" s="153"/>
      <c r="L14" s="152"/>
      <c r="M14" s="162" t="s">
        <v>5895</v>
      </c>
      <c r="N14" s="163" t="s">
        <v>1</v>
      </c>
      <c r="O14" s="164">
        <v>1</v>
      </c>
      <c r="P14" s="170"/>
      <c r="Q14" s="171"/>
      <c r="R14" s="178">
        <v>677</v>
      </c>
      <c r="S14" s="172"/>
    </row>
    <row r="15" spans="1:19" ht="16.5" customHeight="1" x14ac:dyDescent="0.3">
      <c r="A15" s="147">
        <v>15</v>
      </c>
      <c r="B15" s="147">
        <v>7227</v>
      </c>
      <c r="C15" s="197" t="s">
        <v>7119</v>
      </c>
      <c r="D15" s="212"/>
      <c r="E15" s="188"/>
      <c r="F15" s="212"/>
      <c r="G15" s="156" t="s">
        <v>17444</v>
      </c>
      <c r="H15" s="157">
        <v>585</v>
      </c>
      <c r="I15" s="158" t="s">
        <v>0</v>
      </c>
      <c r="J15" s="169"/>
      <c r="K15" s="153"/>
      <c r="L15" s="152"/>
      <c r="M15" s="162"/>
      <c r="N15" s="163"/>
      <c r="O15" s="164"/>
      <c r="P15" s="170" t="s">
        <v>1</v>
      </c>
      <c r="Q15" s="192">
        <v>0.5</v>
      </c>
      <c r="R15" s="178">
        <v>791</v>
      </c>
      <c r="S15" s="172"/>
    </row>
    <row r="16" spans="1:19" ht="16.5" customHeight="1" x14ac:dyDescent="0.3">
      <c r="A16" s="147">
        <v>15</v>
      </c>
      <c r="B16" s="147">
        <v>7228</v>
      </c>
      <c r="C16" s="197" t="s">
        <v>7118</v>
      </c>
      <c r="D16" s="212"/>
      <c r="E16" s="167"/>
      <c r="F16" s="212"/>
      <c r="G16" s="167" t="s">
        <v>6902</v>
      </c>
      <c r="H16" s="150"/>
      <c r="I16" s="168"/>
      <c r="J16" s="169"/>
      <c r="K16" s="153"/>
      <c r="L16" s="152"/>
      <c r="M16" s="162" t="s">
        <v>5895</v>
      </c>
      <c r="N16" s="163" t="s">
        <v>1</v>
      </c>
      <c r="O16" s="164">
        <v>1</v>
      </c>
      <c r="P16" s="170"/>
      <c r="Q16" s="174" t="s">
        <v>17443</v>
      </c>
      <c r="R16" s="178">
        <v>791</v>
      </c>
      <c r="S16" s="172"/>
    </row>
    <row r="17" spans="1:19" ht="16.5" customHeight="1" x14ac:dyDescent="0.3">
      <c r="A17" s="147">
        <v>15</v>
      </c>
      <c r="B17" s="147">
        <v>7229</v>
      </c>
      <c r="C17" s="197" t="s">
        <v>7117</v>
      </c>
      <c r="D17" s="212"/>
      <c r="E17" s="156" t="s">
        <v>17442</v>
      </c>
      <c r="F17" s="212"/>
      <c r="G17" s="156" t="s">
        <v>17427</v>
      </c>
      <c r="H17" s="157">
        <v>185</v>
      </c>
      <c r="I17" s="158" t="s">
        <v>0</v>
      </c>
      <c r="J17" s="169"/>
      <c r="K17" s="153"/>
      <c r="L17" s="152"/>
      <c r="M17" s="162"/>
      <c r="N17" s="163"/>
      <c r="O17" s="164"/>
      <c r="P17" s="170"/>
      <c r="Q17" s="171"/>
      <c r="R17" s="178">
        <v>251</v>
      </c>
      <c r="S17" s="172"/>
    </row>
    <row r="18" spans="1:19" ht="16.5" customHeight="1" x14ac:dyDescent="0.3">
      <c r="A18" s="147">
        <v>15</v>
      </c>
      <c r="B18" s="147">
        <v>7230</v>
      </c>
      <c r="C18" s="197" t="s">
        <v>7116</v>
      </c>
      <c r="D18" s="212"/>
      <c r="E18" s="188" t="s">
        <v>17441</v>
      </c>
      <c r="F18" s="212"/>
      <c r="G18" s="167" t="s">
        <v>17426</v>
      </c>
      <c r="H18" s="150"/>
      <c r="I18" s="168"/>
      <c r="J18" s="169"/>
      <c r="K18" s="153"/>
      <c r="L18" s="152"/>
      <c r="M18" s="162" t="s">
        <v>5895</v>
      </c>
      <c r="N18" s="163" t="s">
        <v>1</v>
      </c>
      <c r="O18" s="164">
        <v>1</v>
      </c>
      <c r="P18" s="170"/>
      <c r="Q18" s="171"/>
      <c r="R18" s="178">
        <v>251</v>
      </c>
      <c r="S18" s="172"/>
    </row>
    <row r="19" spans="1:19" ht="16.5" customHeight="1" x14ac:dyDescent="0.3">
      <c r="A19" s="147">
        <v>15</v>
      </c>
      <c r="B19" s="147">
        <v>7231</v>
      </c>
      <c r="C19" s="197" t="s">
        <v>7115</v>
      </c>
      <c r="D19" s="212"/>
      <c r="E19" s="188" t="s">
        <v>17440</v>
      </c>
      <c r="F19" s="212"/>
      <c r="G19" s="156" t="s">
        <v>6328</v>
      </c>
      <c r="H19" s="157">
        <v>268</v>
      </c>
      <c r="I19" s="158" t="s">
        <v>0</v>
      </c>
      <c r="J19" s="169"/>
      <c r="K19" s="153"/>
      <c r="L19" s="152"/>
      <c r="M19" s="162"/>
      <c r="N19" s="163"/>
      <c r="O19" s="164"/>
      <c r="P19" s="170"/>
      <c r="Q19" s="171"/>
      <c r="R19" s="178">
        <v>362</v>
      </c>
      <c r="S19" s="172"/>
    </row>
    <row r="20" spans="1:19" ht="16.5" customHeight="1" x14ac:dyDescent="0.3">
      <c r="A20" s="147">
        <v>15</v>
      </c>
      <c r="B20" s="147">
        <v>7232</v>
      </c>
      <c r="C20" s="197" t="s">
        <v>7114</v>
      </c>
      <c r="D20" s="212"/>
      <c r="E20" s="188"/>
      <c r="F20" s="212"/>
      <c r="G20" s="167" t="s">
        <v>17428</v>
      </c>
      <c r="H20" s="150"/>
      <c r="I20" s="168"/>
      <c r="J20" s="169"/>
      <c r="K20" s="153"/>
      <c r="L20" s="152"/>
      <c r="M20" s="162" t="s">
        <v>5895</v>
      </c>
      <c r="N20" s="163" t="s">
        <v>1</v>
      </c>
      <c r="O20" s="164">
        <v>1</v>
      </c>
      <c r="P20" s="170"/>
      <c r="Q20" s="171"/>
      <c r="R20" s="178">
        <v>362</v>
      </c>
      <c r="S20" s="172"/>
    </row>
    <row r="21" spans="1:19" ht="16.5" customHeight="1" x14ac:dyDescent="0.3">
      <c r="A21" s="147">
        <v>15</v>
      </c>
      <c r="B21" s="147">
        <v>7233</v>
      </c>
      <c r="C21" s="197" t="s">
        <v>7113</v>
      </c>
      <c r="D21" s="212"/>
      <c r="E21" s="188"/>
      <c r="F21" s="212"/>
      <c r="G21" s="156" t="s">
        <v>17434</v>
      </c>
      <c r="H21" s="157">
        <v>352</v>
      </c>
      <c r="I21" s="158" t="s">
        <v>0</v>
      </c>
      <c r="J21" s="169"/>
      <c r="K21" s="153"/>
      <c r="L21" s="152"/>
      <c r="M21" s="162"/>
      <c r="N21" s="163"/>
      <c r="O21" s="164"/>
      <c r="P21" s="170"/>
      <c r="Q21" s="171"/>
      <c r="R21" s="178">
        <v>476</v>
      </c>
      <c r="S21" s="172"/>
    </row>
    <row r="22" spans="1:19" ht="16.5" customHeight="1" x14ac:dyDescent="0.3">
      <c r="A22" s="147">
        <v>15</v>
      </c>
      <c r="B22" s="147">
        <v>7234</v>
      </c>
      <c r="C22" s="197" t="s">
        <v>7112</v>
      </c>
      <c r="D22" s="212"/>
      <c r="E22" s="188"/>
      <c r="F22" s="212"/>
      <c r="G22" s="167" t="s">
        <v>17433</v>
      </c>
      <c r="H22" s="150"/>
      <c r="I22" s="168"/>
      <c r="J22" s="169"/>
      <c r="K22" s="153"/>
      <c r="L22" s="152"/>
      <c r="M22" s="162" t="s">
        <v>5895</v>
      </c>
      <c r="N22" s="163" t="s">
        <v>1</v>
      </c>
      <c r="O22" s="164">
        <v>1</v>
      </c>
      <c r="P22" s="170"/>
      <c r="Q22" s="171"/>
      <c r="R22" s="178">
        <v>476</v>
      </c>
      <c r="S22" s="172"/>
    </row>
    <row r="23" spans="1:19" ht="16.5" customHeight="1" x14ac:dyDescent="0.3">
      <c r="A23" s="147">
        <v>15</v>
      </c>
      <c r="B23" s="147">
        <v>7235</v>
      </c>
      <c r="C23" s="197" t="s">
        <v>7111</v>
      </c>
      <c r="D23" s="212"/>
      <c r="E23" s="188"/>
      <c r="F23" s="212"/>
      <c r="G23" s="156" t="s">
        <v>17439</v>
      </c>
      <c r="H23" s="157">
        <v>436</v>
      </c>
      <c r="I23" s="158" t="s">
        <v>0</v>
      </c>
      <c r="J23" s="169"/>
      <c r="K23" s="153"/>
      <c r="L23" s="152"/>
      <c r="M23" s="162"/>
      <c r="N23" s="163"/>
      <c r="O23" s="164"/>
      <c r="P23" s="170"/>
      <c r="Q23" s="171"/>
      <c r="R23" s="178">
        <v>588</v>
      </c>
      <c r="S23" s="172"/>
    </row>
    <row r="24" spans="1:19" ht="16.5" customHeight="1" x14ac:dyDescent="0.3">
      <c r="A24" s="147">
        <v>15</v>
      </c>
      <c r="B24" s="147">
        <v>7236</v>
      </c>
      <c r="C24" s="197" t="s">
        <v>7110</v>
      </c>
      <c r="D24" s="212"/>
      <c r="E24" s="167"/>
      <c r="F24" s="212"/>
      <c r="G24" s="167" t="s">
        <v>17438</v>
      </c>
      <c r="H24" s="150"/>
      <c r="I24" s="168"/>
      <c r="J24" s="169"/>
      <c r="K24" s="153"/>
      <c r="L24" s="152"/>
      <c r="M24" s="162" t="s">
        <v>5895</v>
      </c>
      <c r="N24" s="163" t="s">
        <v>1</v>
      </c>
      <c r="O24" s="164">
        <v>1</v>
      </c>
      <c r="P24" s="170"/>
      <c r="Q24" s="171"/>
      <c r="R24" s="178">
        <v>588</v>
      </c>
      <c r="S24" s="172"/>
    </row>
    <row r="25" spans="1:19" ht="16.5" customHeight="1" x14ac:dyDescent="0.3">
      <c r="A25" s="147">
        <v>15</v>
      </c>
      <c r="B25" s="147">
        <v>7237</v>
      </c>
      <c r="C25" s="197" t="s">
        <v>7109</v>
      </c>
      <c r="D25" s="212"/>
      <c r="E25" s="156" t="s">
        <v>17437</v>
      </c>
      <c r="F25" s="212"/>
      <c r="G25" s="156" t="s">
        <v>17427</v>
      </c>
      <c r="H25" s="157">
        <v>83</v>
      </c>
      <c r="I25" s="158" t="s">
        <v>0</v>
      </c>
      <c r="J25" s="169"/>
      <c r="K25" s="153"/>
      <c r="L25" s="152"/>
      <c r="M25" s="162"/>
      <c r="N25" s="163"/>
      <c r="O25" s="164"/>
      <c r="P25" s="170"/>
      <c r="Q25" s="171"/>
      <c r="R25" s="178">
        <v>113</v>
      </c>
      <c r="S25" s="172"/>
    </row>
    <row r="26" spans="1:19" ht="16.5" customHeight="1" x14ac:dyDescent="0.3">
      <c r="A26" s="147">
        <v>15</v>
      </c>
      <c r="B26" s="147">
        <v>7238</v>
      </c>
      <c r="C26" s="197" t="s">
        <v>7108</v>
      </c>
      <c r="D26" s="212"/>
      <c r="E26" s="188" t="s">
        <v>17436</v>
      </c>
      <c r="F26" s="212"/>
      <c r="G26" s="167" t="s">
        <v>17426</v>
      </c>
      <c r="H26" s="150"/>
      <c r="I26" s="168"/>
      <c r="J26" s="169"/>
      <c r="K26" s="153"/>
      <c r="L26" s="152"/>
      <c r="M26" s="162" t="s">
        <v>5895</v>
      </c>
      <c r="N26" s="163" t="s">
        <v>1</v>
      </c>
      <c r="O26" s="164">
        <v>1</v>
      </c>
      <c r="P26" s="170"/>
      <c r="Q26" s="171"/>
      <c r="R26" s="178">
        <v>113</v>
      </c>
      <c r="S26" s="172"/>
    </row>
    <row r="27" spans="1:19" ht="16.5" customHeight="1" x14ac:dyDescent="0.3">
      <c r="A27" s="147">
        <v>15</v>
      </c>
      <c r="B27" s="147">
        <v>7239</v>
      </c>
      <c r="C27" s="197" t="s">
        <v>7107</v>
      </c>
      <c r="D27" s="212"/>
      <c r="E27" s="188" t="s">
        <v>17435</v>
      </c>
      <c r="F27" s="212"/>
      <c r="G27" s="156" t="s">
        <v>17429</v>
      </c>
      <c r="H27" s="157">
        <v>167</v>
      </c>
      <c r="I27" s="158" t="s">
        <v>0</v>
      </c>
      <c r="J27" s="169"/>
      <c r="K27" s="153"/>
      <c r="L27" s="152"/>
      <c r="M27" s="162"/>
      <c r="N27" s="163"/>
      <c r="O27" s="164"/>
      <c r="P27" s="170"/>
      <c r="Q27" s="171"/>
      <c r="R27" s="178">
        <v>225</v>
      </c>
      <c r="S27" s="172"/>
    </row>
    <row r="28" spans="1:19" ht="16.5" customHeight="1" x14ac:dyDescent="0.3">
      <c r="A28" s="147">
        <v>15</v>
      </c>
      <c r="B28" s="147">
        <v>7240</v>
      </c>
      <c r="C28" s="197" t="s">
        <v>7106</v>
      </c>
      <c r="D28" s="212"/>
      <c r="E28" s="188"/>
      <c r="F28" s="212"/>
      <c r="G28" s="167" t="s">
        <v>17428</v>
      </c>
      <c r="H28" s="150"/>
      <c r="I28" s="168"/>
      <c r="J28" s="169"/>
      <c r="K28" s="153"/>
      <c r="L28" s="152"/>
      <c r="M28" s="162" t="s">
        <v>5895</v>
      </c>
      <c r="N28" s="163" t="s">
        <v>1</v>
      </c>
      <c r="O28" s="164">
        <v>1</v>
      </c>
      <c r="P28" s="170"/>
      <c r="Q28" s="171"/>
      <c r="R28" s="178">
        <v>225</v>
      </c>
      <c r="S28" s="172"/>
    </row>
    <row r="29" spans="1:19" ht="16.5" customHeight="1" x14ac:dyDescent="0.3">
      <c r="A29" s="147">
        <v>15</v>
      </c>
      <c r="B29" s="147">
        <v>7241</v>
      </c>
      <c r="C29" s="197" t="s">
        <v>7105</v>
      </c>
      <c r="D29" s="212"/>
      <c r="E29" s="188"/>
      <c r="F29" s="212"/>
      <c r="G29" s="156" t="s">
        <v>17434</v>
      </c>
      <c r="H29" s="157">
        <v>251</v>
      </c>
      <c r="I29" s="158" t="s">
        <v>0</v>
      </c>
      <c r="J29" s="169"/>
      <c r="K29" s="153"/>
      <c r="L29" s="152"/>
      <c r="M29" s="162"/>
      <c r="N29" s="163"/>
      <c r="O29" s="164"/>
      <c r="P29" s="170"/>
      <c r="Q29" s="171"/>
      <c r="R29" s="178">
        <v>339</v>
      </c>
      <c r="S29" s="172"/>
    </row>
    <row r="30" spans="1:19" ht="16.5" customHeight="1" x14ac:dyDescent="0.3">
      <c r="A30" s="147">
        <v>15</v>
      </c>
      <c r="B30" s="147">
        <v>7242</v>
      </c>
      <c r="C30" s="197" t="s">
        <v>7104</v>
      </c>
      <c r="D30" s="212"/>
      <c r="E30" s="167"/>
      <c r="F30" s="212"/>
      <c r="G30" s="167" t="s">
        <v>17433</v>
      </c>
      <c r="H30" s="150"/>
      <c r="I30" s="168"/>
      <c r="J30" s="169"/>
      <c r="K30" s="153"/>
      <c r="L30" s="152"/>
      <c r="M30" s="162" t="s">
        <v>5895</v>
      </c>
      <c r="N30" s="163" t="s">
        <v>1</v>
      </c>
      <c r="O30" s="164">
        <v>1</v>
      </c>
      <c r="P30" s="170"/>
      <c r="Q30" s="171"/>
      <c r="R30" s="178">
        <v>339</v>
      </c>
      <c r="S30" s="172"/>
    </row>
    <row r="31" spans="1:19" ht="16.5" customHeight="1" x14ac:dyDescent="0.3">
      <c r="A31" s="147">
        <v>15</v>
      </c>
      <c r="B31" s="147">
        <v>7243</v>
      </c>
      <c r="C31" s="197" t="s">
        <v>7103</v>
      </c>
      <c r="D31" s="212"/>
      <c r="E31" s="156" t="s">
        <v>17432</v>
      </c>
      <c r="F31" s="212"/>
      <c r="G31" s="156" t="s">
        <v>17427</v>
      </c>
      <c r="H31" s="157">
        <v>84</v>
      </c>
      <c r="I31" s="158" t="s">
        <v>0</v>
      </c>
      <c r="J31" s="169"/>
      <c r="K31" s="153"/>
      <c r="L31" s="152"/>
      <c r="M31" s="162"/>
      <c r="N31" s="163"/>
      <c r="O31" s="164"/>
      <c r="P31" s="170"/>
      <c r="Q31" s="171"/>
      <c r="R31" s="178">
        <v>114</v>
      </c>
      <c r="S31" s="172"/>
    </row>
    <row r="32" spans="1:19" ht="16.5" customHeight="1" x14ac:dyDescent="0.3">
      <c r="A32" s="147">
        <v>15</v>
      </c>
      <c r="B32" s="147">
        <v>7244</v>
      </c>
      <c r="C32" s="197" t="s">
        <v>7102</v>
      </c>
      <c r="D32" s="212"/>
      <c r="E32" s="188" t="s">
        <v>17431</v>
      </c>
      <c r="F32" s="212"/>
      <c r="G32" s="167" t="s">
        <v>17426</v>
      </c>
      <c r="H32" s="150"/>
      <c r="I32" s="168"/>
      <c r="J32" s="169"/>
      <c r="K32" s="153"/>
      <c r="L32" s="152"/>
      <c r="M32" s="162" t="s">
        <v>5895</v>
      </c>
      <c r="N32" s="163" t="s">
        <v>1</v>
      </c>
      <c r="O32" s="164">
        <v>1</v>
      </c>
      <c r="P32" s="170"/>
      <c r="Q32" s="171"/>
      <c r="R32" s="178">
        <v>114</v>
      </c>
      <c r="S32" s="172"/>
    </row>
    <row r="33" spans="1:19" ht="16.5" customHeight="1" x14ac:dyDescent="0.3">
      <c r="A33" s="147">
        <v>15</v>
      </c>
      <c r="B33" s="147">
        <v>7245</v>
      </c>
      <c r="C33" s="197" t="s">
        <v>7101</v>
      </c>
      <c r="D33" s="212"/>
      <c r="E33" s="188" t="s">
        <v>17430</v>
      </c>
      <c r="F33" s="212"/>
      <c r="G33" s="156" t="s">
        <v>17429</v>
      </c>
      <c r="H33" s="157">
        <v>168</v>
      </c>
      <c r="I33" s="158" t="s">
        <v>0</v>
      </c>
      <c r="J33" s="169"/>
      <c r="K33" s="153"/>
      <c r="L33" s="152"/>
      <c r="M33" s="162"/>
      <c r="N33" s="163"/>
      <c r="O33" s="164"/>
      <c r="P33" s="170"/>
      <c r="Q33" s="171"/>
      <c r="R33" s="178">
        <v>227</v>
      </c>
      <c r="S33" s="172"/>
    </row>
    <row r="34" spans="1:19" ht="16.5" customHeight="1" x14ac:dyDescent="0.3">
      <c r="A34" s="147">
        <v>15</v>
      </c>
      <c r="B34" s="147">
        <v>7246</v>
      </c>
      <c r="C34" s="197" t="s">
        <v>7100</v>
      </c>
      <c r="D34" s="212"/>
      <c r="E34" s="167"/>
      <c r="F34" s="212"/>
      <c r="G34" s="167" t="s">
        <v>17428</v>
      </c>
      <c r="H34" s="150"/>
      <c r="I34" s="168"/>
      <c r="J34" s="169"/>
      <c r="K34" s="153"/>
      <c r="L34" s="152"/>
      <c r="M34" s="162" t="s">
        <v>5895</v>
      </c>
      <c r="N34" s="163" t="s">
        <v>1</v>
      </c>
      <c r="O34" s="164">
        <v>1</v>
      </c>
      <c r="P34" s="170"/>
      <c r="Q34" s="171"/>
      <c r="R34" s="178">
        <v>227</v>
      </c>
      <c r="S34" s="172"/>
    </row>
    <row r="35" spans="1:19" ht="16.5" customHeight="1" x14ac:dyDescent="0.3">
      <c r="A35" s="147">
        <v>15</v>
      </c>
      <c r="B35" s="147">
        <v>7247</v>
      </c>
      <c r="C35" s="197" t="s">
        <v>7099</v>
      </c>
      <c r="D35" s="212"/>
      <c r="E35" s="156" t="s">
        <v>6106</v>
      </c>
      <c r="F35" s="212"/>
      <c r="G35" s="156" t="s">
        <v>17427</v>
      </c>
      <c r="H35" s="157">
        <v>84</v>
      </c>
      <c r="I35" s="158" t="s">
        <v>0</v>
      </c>
      <c r="J35" s="169"/>
      <c r="K35" s="153"/>
      <c r="L35" s="152"/>
      <c r="M35" s="162"/>
      <c r="N35" s="163"/>
      <c r="O35" s="164"/>
      <c r="P35" s="170"/>
      <c r="Q35" s="171"/>
      <c r="R35" s="178">
        <v>114</v>
      </c>
      <c r="S35" s="172"/>
    </row>
    <row r="36" spans="1:19" ht="16.5" customHeight="1" x14ac:dyDescent="0.3">
      <c r="A36" s="147">
        <v>15</v>
      </c>
      <c r="B36" s="147">
        <v>7248</v>
      </c>
      <c r="C36" s="197" t="s">
        <v>7098</v>
      </c>
      <c r="D36" s="213"/>
      <c r="E36" s="167" t="s">
        <v>6902</v>
      </c>
      <c r="F36" s="213"/>
      <c r="G36" s="167" t="s">
        <v>17426</v>
      </c>
      <c r="H36" s="150"/>
      <c r="I36" s="168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6"/>
      <c r="Q36" s="168"/>
      <c r="R36" s="178">
        <v>114</v>
      </c>
      <c r="S36" s="177"/>
    </row>
    <row r="37" spans="1:19" ht="16.5" customHeight="1" x14ac:dyDescent="0.3"/>
    <row r="38" spans="1:19" ht="16.5" customHeight="1" x14ac:dyDescent="0.3"/>
  </sheetData>
  <mergeCells count="2">
    <mergeCell ref="D7:D10"/>
    <mergeCell ref="F7:F10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8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theme="1" tint="0.249977111117893"/>
    <pageSetUpPr fitToPage="1"/>
  </sheetPr>
  <dimension ref="A1:X46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62890625" style="45" customWidth="1"/>
    <col min="5" max="5" width="4.1015625" style="46" bestFit="1" customWidth="1"/>
    <col min="6" max="6" width="4.734375" style="46" bestFit="1" customWidth="1"/>
    <col min="7" max="7" width="12.62890625" style="45" customWidth="1"/>
    <col min="8" max="8" width="4.1015625" style="46" bestFit="1" customWidth="1"/>
    <col min="9" max="9" width="4.734375" style="46" bestFit="1" customWidth="1"/>
    <col min="10" max="10" width="12.62890625" style="45" customWidth="1"/>
    <col min="11" max="11" width="4.1015625" style="46" bestFit="1" customWidth="1"/>
    <col min="12" max="12" width="4.734375" style="46" bestFit="1" customWidth="1"/>
    <col min="13" max="13" width="18.62890625" style="46" customWidth="1"/>
    <col min="14" max="14" width="3.1015625" style="46" bestFit="1" customWidth="1"/>
    <col min="15" max="15" width="4.1015625" style="47" bestFit="1" customWidth="1"/>
    <col min="16" max="16" width="28.62890625" style="46" customWidth="1"/>
    <col min="17" max="17" width="3.1015625" style="46" bestFit="1" customWidth="1"/>
    <col min="18" max="18" width="5" style="47" bestFit="1" customWidth="1"/>
    <col min="19" max="19" width="2.62890625" style="47" customWidth="1"/>
    <col min="20" max="20" width="4.734375" style="46" bestFit="1" customWidth="1"/>
    <col min="21" max="21" width="2.62890625" style="47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5"/>
      <c r="T1" s="134"/>
      <c r="U1" s="135"/>
      <c r="V1" s="134"/>
      <c r="W1" s="136"/>
      <c r="X1" s="137"/>
    </row>
    <row r="2" spans="1:24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5"/>
      <c r="T2" s="134"/>
      <c r="U2" s="135"/>
      <c r="V2" s="134"/>
      <c r="W2" s="136"/>
      <c r="X2" s="137"/>
    </row>
    <row r="3" spans="1:24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5"/>
      <c r="T3" s="134"/>
      <c r="U3" s="135"/>
      <c r="V3" s="134"/>
      <c r="W3" s="136"/>
      <c r="X3" s="137"/>
    </row>
    <row r="4" spans="1:24" ht="16.5" customHeight="1" x14ac:dyDescent="0.3">
      <c r="A4" s="132"/>
      <c r="B4" s="138" t="s">
        <v>7167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5"/>
      <c r="T4" s="134"/>
      <c r="U4" s="135"/>
      <c r="V4" s="134"/>
      <c r="W4" s="136"/>
      <c r="X4" s="137"/>
    </row>
    <row r="5" spans="1:2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5"/>
      <c r="T5" s="144"/>
      <c r="U5" s="145"/>
      <c r="V5" s="144"/>
      <c r="W5" s="146" t="s">
        <v>5869</v>
      </c>
      <c r="X5" s="146" t="s">
        <v>5871</v>
      </c>
    </row>
    <row r="6" spans="1:24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79" t="s">
        <v>17479</v>
      </c>
      <c r="H6" s="180"/>
      <c r="I6" s="181"/>
      <c r="J6" s="149"/>
      <c r="K6" s="150"/>
      <c r="L6" s="150"/>
      <c r="M6" s="150"/>
      <c r="N6" s="150"/>
      <c r="O6" s="151"/>
      <c r="P6" s="150"/>
      <c r="Q6" s="150"/>
      <c r="R6" s="151"/>
      <c r="S6" s="151"/>
      <c r="T6" s="150"/>
      <c r="U6" s="151"/>
      <c r="V6" s="150"/>
      <c r="W6" s="154" t="s">
        <v>5870</v>
      </c>
      <c r="X6" s="154" t="s">
        <v>0</v>
      </c>
    </row>
    <row r="7" spans="1:24" ht="16.5" customHeight="1" x14ac:dyDescent="0.3">
      <c r="A7" s="147">
        <v>15</v>
      </c>
      <c r="B7" s="147">
        <v>7249</v>
      </c>
      <c r="C7" s="155" t="s">
        <v>7166</v>
      </c>
      <c r="D7" s="156" t="s">
        <v>17478</v>
      </c>
      <c r="E7" s="157">
        <v>257</v>
      </c>
      <c r="F7" s="158" t="s">
        <v>0</v>
      </c>
      <c r="G7" s="156" t="s">
        <v>17453</v>
      </c>
      <c r="H7" s="157">
        <v>417</v>
      </c>
      <c r="I7" s="158" t="s">
        <v>0</v>
      </c>
      <c r="J7" s="156" t="s">
        <v>17452</v>
      </c>
      <c r="K7" s="157">
        <v>84</v>
      </c>
      <c r="L7" s="158" t="s">
        <v>0</v>
      </c>
      <c r="M7" s="159"/>
      <c r="N7" s="160"/>
      <c r="O7" s="161"/>
      <c r="P7" s="162"/>
      <c r="Q7" s="163"/>
      <c r="R7" s="164"/>
      <c r="S7" s="165"/>
      <c r="T7" s="215"/>
      <c r="U7" s="165"/>
      <c r="V7" s="215"/>
      <c r="W7" s="178">
        <v>892</v>
      </c>
      <c r="X7" s="142" t="s">
        <v>5863</v>
      </c>
    </row>
    <row r="8" spans="1:24" ht="16.5" customHeight="1" x14ac:dyDescent="0.3">
      <c r="A8" s="147">
        <v>15</v>
      </c>
      <c r="B8" s="147">
        <v>7250</v>
      </c>
      <c r="C8" s="155" t="s">
        <v>7165</v>
      </c>
      <c r="D8" s="188" t="s">
        <v>17450</v>
      </c>
      <c r="E8" s="153"/>
      <c r="F8" s="171"/>
      <c r="G8" s="188" t="s">
        <v>17458</v>
      </c>
      <c r="H8" s="153"/>
      <c r="I8" s="171"/>
      <c r="J8" s="167" t="s">
        <v>17450</v>
      </c>
      <c r="K8" s="150"/>
      <c r="L8" s="168"/>
      <c r="M8" s="169"/>
      <c r="N8" s="153"/>
      <c r="O8" s="152"/>
      <c r="P8" s="162" t="s">
        <v>5895</v>
      </c>
      <c r="Q8" s="163" t="s">
        <v>1</v>
      </c>
      <c r="R8" s="164">
        <v>1</v>
      </c>
      <c r="S8" s="170"/>
      <c r="T8" s="171"/>
      <c r="U8" s="170"/>
      <c r="V8" s="171"/>
      <c r="W8" s="178">
        <v>892</v>
      </c>
      <c r="X8" s="172"/>
    </row>
    <row r="9" spans="1:24" ht="16.5" customHeight="1" x14ac:dyDescent="0.3">
      <c r="A9" s="147">
        <v>15</v>
      </c>
      <c r="B9" s="147">
        <v>7251</v>
      </c>
      <c r="C9" s="155" t="s">
        <v>7164</v>
      </c>
      <c r="D9" s="188"/>
      <c r="E9" s="153"/>
      <c r="F9" s="171"/>
      <c r="G9" s="188" t="s">
        <v>17457</v>
      </c>
      <c r="H9" s="153"/>
      <c r="I9" s="171"/>
      <c r="J9" s="156" t="s">
        <v>17456</v>
      </c>
      <c r="K9" s="157">
        <v>168</v>
      </c>
      <c r="L9" s="158" t="s">
        <v>0</v>
      </c>
      <c r="M9" s="169"/>
      <c r="N9" s="153"/>
      <c r="O9" s="152"/>
      <c r="P9" s="162"/>
      <c r="Q9" s="163"/>
      <c r="R9" s="164"/>
      <c r="S9" s="170"/>
      <c r="T9" s="192"/>
      <c r="U9" s="170"/>
      <c r="V9" s="192"/>
      <c r="W9" s="178">
        <v>967</v>
      </c>
      <c r="X9" s="172"/>
    </row>
    <row r="10" spans="1:24" ht="16.5" customHeight="1" x14ac:dyDescent="0.3">
      <c r="A10" s="147">
        <v>15</v>
      </c>
      <c r="B10" s="147">
        <v>7252</v>
      </c>
      <c r="C10" s="155" t="s">
        <v>7163</v>
      </c>
      <c r="D10" s="167"/>
      <c r="E10" s="150"/>
      <c r="F10" s="168"/>
      <c r="G10" s="167"/>
      <c r="H10" s="150"/>
      <c r="I10" s="168"/>
      <c r="J10" s="167" t="s">
        <v>17455</v>
      </c>
      <c r="K10" s="150"/>
      <c r="L10" s="168"/>
      <c r="M10" s="169"/>
      <c r="N10" s="153"/>
      <c r="O10" s="152"/>
      <c r="P10" s="162" t="s">
        <v>5895</v>
      </c>
      <c r="Q10" s="163" t="s">
        <v>1</v>
      </c>
      <c r="R10" s="164">
        <v>1</v>
      </c>
      <c r="S10" s="170"/>
      <c r="T10" s="174"/>
      <c r="U10" s="170"/>
      <c r="V10" s="174"/>
      <c r="W10" s="178">
        <v>967</v>
      </c>
      <c r="X10" s="172"/>
    </row>
    <row r="11" spans="1:24" ht="16.5" customHeight="1" x14ac:dyDescent="0.3">
      <c r="A11" s="147">
        <v>15</v>
      </c>
      <c r="B11" s="147">
        <v>7253</v>
      </c>
      <c r="C11" s="155" t="s">
        <v>7162</v>
      </c>
      <c r="D11" s="156" t="s">
        <v>17477</v>
      </c>
      <c r="E11" s="157">
        <v>406</v>
      </c>
      <c r="F11" s="158" t="s">
        <v>0</v>
      </c>
      <c r="G11" s="156" t="s">
        <v>17453</v>
      </c>
      <c r="H11" s="157">
        <v>352</v>
      </c>
      <c r="I11" s="158" t="s">
        <v>0</v>
      </c>
      <c r="J11" s="156" t="s">
        <v>17452</v>
      </c>
      <c r="K11" s="157">
        <v>84</v>
      </c>
      <c r="L11" s="158" t="s">
        <v>0</v>
      </c>
      <c r="M11" s="169"/>
      <c r="N11" s="153"/>
      <c r="O11" s="152"/>
      <c r="P11" s="162"/>
      <c r="Q11" s="163"/>
      <c r="R11" s="164"/>
      <c r="S11" s="170"/>
      <c r="T11" s="171"/>
      <c r="U11" s="170"/>
      <c r="V11" s="171"/>
      <c r="W11" s="178">
        <v>1020</v>
      </c>
      <c r="X11" s="172"/>
    </row>
    <row r="12" spans="1:24" ht="16.5" customHeight="1" x14ac:dyDescent="0.3">
      <c r="A12" s="147">
        <v>15</v>
      </c>
      <c r="B12" s="147">
        <v>7254</v>
      </c>
      <c r="C12" s="155" t="s">
        <v>7161</v>
      </c>
      <c r="D12" s="167" t="s">
        <v>17455</v>
      </c>
      <c r="E12" s="150"/>
      <c r="F12" s="168"/>
      <c r="G12" s="167" t="s">
        <v>17460</v>
      </c>
      <c r="H12" s="150"/>
      <c r="I12" s="168"/>
      <c r="J12" s="167" t="s">
        <v>17450</v>
      </c>
      <c r="K12" s="150"/>
      <c r="L12" s="168"/>
      <c r="M12" s="169" t="s">
        <v>17476</v>
      </c>
      <c r="N12" s="153"/>
      <c r="O12" s="152"/>
      <c r="P12" s="162" t="s">
        <v>5895</v>
      </c>
      <c r="Q12" s="163" t="s">
        <v>1</v>
      </c>
      <c r="R12" s="164">
        <v>1</v>
      </c>
      <c r="S12" s="170" t="s">
        <v>17475</v>
      </c>
      <c r="T12" s="171"/>
      <c r="U12" s="170" t="s">
        <v>17474</v>
      </c>
      <c r="V12" s="171"/>
      <c r="W12" s="178">
        <v>1020</v>
      </c>
      <c r="X12" s="172"/>
    </row>
    <row r="13" spans="1:24" ht="16.5" customHeight="1" x14ac:dyDescent="0.3">
      <c r="A13" s="147">
        <v>15</v>
      </c>
      <c r="B13" s="147">
        <v>7255</v>
      </c>
      <c r="C13" s="155" t="s">
        <v>7160</v>
      </c>
      <c r="D13" s="156" t="s">
        <v>17473</v>
      </c>
      <c r="E13" s="157">
        <v>257</v>
      </c>
      <c r="F13" s="158" t="s">
        <v>0</v>
      </c>
      <c r="G13" s="156" t="s">
        <v>17453</v>
      </c>
      <c r="H13" s="157">
        <v>334</v>
      </c>
      <c r="I13" s="158" t="s">
        <v>0</v>
      </c>
      <c r="J13" s="156" t="s">
        <v>17452</v>
      </c>
      <c r="K13" s="157">
        <v>83</v>
      </c>
      <c r="L13" s="158" t="s">
        <v>0</v>
      </c>
      <c r="M13" s="169" t="s">
        <v>17472</v>
      </c>
      <c r="N13" s="153" t="s">
        <v>1</v>
      </c>
      <c r="O13" s="152">
        <v>0.9</v>
      </c>
      <c r="P13" s="162"/>
      <c r="Q13" s="163"/>
      <c r="R13" s="164"/>
      <c r="S13" s="170"/>
      <c r="T13" s="174" t="s">
        <v>17471</v>
      </c>
      <c r="U13" s="170"/>
      <c r="V13" s="174" t="s">
        <v>17470</v>
      </c>
      <c r="W13" s="178">
        <v>798</v>
      </c>
      <c r="X13" s="172"/>
    </row>
    <row r="14" spans="1:24" ht="16.5" customHeight="1" x14ac:dyDescent="0.3">
      <c r="A14" s="147">
        <v>15</v>
      </c>
      <c r="B14" s="147">
        <v>7256</v>
      </c>
      <c r="C14" s="155" t="s">
        <v>7159</v>
      </c>
      <c r="D14" s="188" t="s">
        <v>17450</v>
      </c>
      <c r="E14" s="153"/>
      <c r="F14" s="171"/>
      <c r="G14" s="188" t="s">
        <v>17463</v>
      </c>
      <c r="H14" s="153"/>
      <c r="I14" s="171"/>
      <c r="J14" s="167" t="s">
        <v>17450</v>
      </c>
      <c r="K14" s="150"/>
      <c r="L14" s="168"/>
      <c r="M14" s="169"/>
      <c r="N14" s="153"/>
      <c r="O14" s="152"/>
      <c r="P14" s="162" t="s">
        <v>5895</v>
      </c>
      <c r="Q14" s="163" t="s">
        <v>1</v>
      </c>
      <c r="R14" s="164">
        <v>1</v>
      </c>
      <c r="S14" s="170"/>
      <c r="T14" s="171"/>
      <c r="U14" s="170"/>
      <c r="V14" s="171"/>
      <c r="W14" s="178">
        <v>798</v>
      </c>
      <c r="X14" s="172"/>
    </row>
    <row r="15" spans="1:24" ht="16.5" customHeight="1" x14ac:dyDescent="0.3">
      <c r="A15" s="147">
        <v>15</v>
      </c>
      <c r="B15" s="147">
        <v>7257</v>
      </c>
      <c r="C15" s="155" t="s">
        <v>7158</v>
      </c>
      <c r="D15" s="188"/>
      <c r="E15" s="153"/>
      <c r="F15" s="171"/>
      <c r="G15" s="188" t="s">
        <v>17462</v>
      </c>
      <c r="H15" s="153"/>
      <c r="I15" s="171"/>
      <c r="J15" s="156" t="s">
        <v>17456</v>
      </c>
      <c r="K15" s="157">
        <v>167</v>
      </c>
      <c r="L15" s="158" t="s">
        <v>0</v>
      </c>
      <c r="M15" s="169"/>
      <c r="N15" s="153"/>
      <c r="O15" s="152"/>
      <c r="P15" s="162"/>
      <c r="Q15" s="163"/>
      <c r="R15" s="164"/>
      <c r="S15" s="170" t="s">
        <v>1</v>
      </c>
      <c r="T15" s="192">
        <v>0.5</v>
      </c>
      <c r="U15" s="170" t="s">
        <v>1</v>
      </c>
      <c r="V15" s="192">
        <v>0.25</v>
      </c>
      <c r="W15" s="178">
        <v>873</v>
      </c>
      <c r="X15" s="172"/>
    </row>
    <row r="16" spans="1:24" ht="16.5" customHeight="1" x14ac:dyDescent="0.3">
      <c r="A16" s="147">
        <v>15</v>
      </c>
      <c r="B16" s="147">
        <v>7258</v>
      </c>
      <c r="C16" s="155" t="s">
        <v>7157</v>
      </c>
      <c r="D16" s="188"/>
      <c r="E16" s="153"/>
      <c r="F16" s="171"/>
      <c r="G16" s="188"/>
      <c r="H16" s="153"/>
      <c r="I16" s="171"/>
      <c r="J16" s="167" t="s">
        <v>17455</v>
      </c>
      <c r="K16" s="150"/>
      <c r="L16" s="168"/>
      <c r="M16" s="169"/>
      <c r="N16" s="153"/>
      <c r="O16" s="152"/>
      <c r="P16" s="162" t="s">
        <v>5895</v>
      </c>
      <c r="Q16" s="163" t="s">
        <v>1</v>
      </c>
      <c r="R16" s="164">
        <v>1</v>
      </c>
      <c r="S16" s="170"/>
      <c r="T16" s="174" t="s">
        <v>17469</v>
      </c>
      <c r="U16" s="170"/>
      <c r="V16" s="174" t="s">
        <v>17469</v>
      </c>
      <c r="W16" s="178">
        <v>873</v>
      </c>
      <c r="X16" s="172"/>
    </row>
    <row r="17" spans="1:24" ht="16.5" customHeight="1" x14ac:dyDescent="0.3">
      <c r="A17" s="147">
        <v>15</v>
      </c>
      <c r="B17" s="147">
        <v>7259</v>
      </c>
      <c r="C17" s="155" t="s">
        <v>7156</v>
      </c>
      <c r="D17" s="188"/>
      <c r="E17" s="153"/>
      <c r="F17" s="171"/>
      <c r="G17" s="188"/>
      <c r="H17" s="153"/>
      <c r="I17" s="171"/>
      <c r="J17" s="156" t="s">
        <v>17461</v>
      </c>
      <c r="K17" s="157">
        <v>251</v>
      </c>
      <c r="L17" s="158" t="s">
        <v>0</v>
      </c>
      <c r="M17" s="169"/>
      <c r="N17" s="153"/>
      <c r="O17" s="152"/>
      <c r="P17" s="162"/>
      <c r="Q17" s="163"/>
      <c r="R17" s="164"/>
      <c r="S17" s="170"/>
      <c r="T17" s="171"/>
      <c r="U17" s="152"/>
      <c r="V17" s="171"/>
      <c r="W17" s="178">
        <v>949</v>
      </c>
      <c r="X17" s="172"/>
    </row>
    <row r="18" spans="1:24" ht="16.5" customHeight="1" x14ac:dyDescent="0.3">
      <c r="A18" s="147">
        <v>15</v>
      </c>
      <c r="B18" s="147">
        <v>7260</v>
      </c>
      <c r="C18" s="155" t="s">
        <v>7155</v>
      </c>
      <c r="D18" s="167"/>
      <c r="E18" s="150"/>
      <c r="F18" s="168"/>
      <c r="G18" s="167"/>
      <c r="H18" s="150"/>
      <c r="I18" s="168"/>
      <c r="J18" s="167" t="s">
        <v>17460</v>
      </c>
      <c r="K18" s="150"/>
      <c r="L18" s="168"/>
      <c r="M18" s="169"/>
      <c r="N18" s="153"/>
      <c r="O18" s="152"/>
      <c r="P18" s="162" t="s">
        <v>5895</v>
      </c>
      <c r="Q18" s="163" t="s">
        <v>1</v>
      </c>
      <c r="R18" s="164">
        <v>1</v>
      </c>
      <c r="S18" s="170"/>
      <c r="T18" s="171"/>
      <c r="U18" s="152"/>
      <c r="V18" s="171"/>
      <c r="W18" s="178">
        <v>949</v>
      </c>
      <c r="X18" s="172"/>
    </row>
    <row r="19" spans="1:24" ht="16.5" customHeight="1" x14ac:dyDescent="0.3">
      <c r="A19" s="147">
        <v>15</v>
      </c>
      <c r="B19" s="147">
        <v>7261</v>
      </c>
      <c r="C19" s="155" t="s">
        <v>7154</v>
      </c>
      <c r="D19" s="156" t="s">
        <v>17468</v>
      </c>
      <c r="E19" s="157">
        <v>406</v>
      </c>
      <c r="F19" s="158" t="s">
        <v>0</v>
      </c>
      <c r="G19" s="156" t="s">
        <v>17453</v>
      </c>
      <c r="H19" s="157">
        <v>268</v>
      </c>
      <c r="I19" s="158" t="s">
        <v>0</v>
      </c>
      <c r="J19" s="156" t="s">
        <v>17452</v>
      </c>
      <c r="K19" s="157">
        <v>84</v>
      </c>
      <c r="L19" s="158" t="s">
        <v>0</v>
      </c>
      <c r="M19" s="169"/>
      <c r="N19" s="153"/>
      <c r="O19" s="152"/>
      <c r="P19" s="162"/>
      <c r="Q19" s="163"/>
      <c r="R19" s="164"/>
      <c r="S19" s="170"/>
      <c r="T19" s="171"/>
      <c r="U19" s="152"/>
      <c r="V19" s="171"/>
      <c r="W19" s="178">
        <v>925</v>
      </c>
      <c r="X19" s="172"/>
    </row>
    <row r="20" spans="1:24" ht="16.5" customHeight="1" x14ac:dyDescent="0.3">
      <c r="A20" s="147">
        <v>15</v>
      </c>
      <c r="B20" s="147">
        <v>7262</v>
      </c>
      <c r="C20" s="155" t="s">
        <v>7153</v>
      </c>
      <c r="D20" s="188" t="s">
        <v>17463</v>
      </c>
      <c r="E20" s="153"/>
      <c r="F20" s="171"/>
      <c r="G20" s="188" t="s">
        <v>17463</v>
      </c>
      <c r="H20" s="153"/>
      <c r="I20" s="171"/>
      <c r="J20" s="167" t="s">
        <v>17450</v>
      </c>
      <c r="K20" s="150"/>
      <c r="L20" s="168"/>
      <c r="M20" s="169"/>
      <c r="N20" s="153"/>
      <c r="O20" s="152"/>
      <c r="P20" s="162" t="s">
        <v>5895</v>
      </c>
      <c r="Q20" s="163" t="s">
        <v>1</v>
      </c>
      <c r="R20" s="164">
        <v>1</v>
      </c>
      <c r="S20" s="170"/>
      <c r="T20" s="171"/>
      <c r="U20" s="152"/>
      <c r="V20" s="171"/>
      <c r="W20" s="178">
        <v>925</v>
      </c>
      <c r="X20" s="172"/>
    </row>
    <row r="21" spans="1:24" ht="16.5" customHeight="1" x14ac:dyDescent="0.3">
      <c r="A21" s="147">
        <v>15</v>
      </c>
      <c r="B21" s="147">
        <v>7263</v>
      </c>
      <c r="C21" s="155" t="s">
        <v>7152</v>
      </c>
      <c r="D21" s="188" t="s">
        <v>17462</v>
      </c>
      <c r="E21" s="153"/>
      <c r="F21" s="171"/>
      <c r="G21" s="188" t="s">
        <v>17462</v>
      </c>
      <c r="H21" s="153"/>
      <c r="I21" s="171"/>
      <c r="J21" s="156" t="s">
        <v>17456</v>
      </c>
      <c r="K21" s="157">
        <v>168</v>
      </c>
      <c r="L21" s="158" t="s">
        <v>0</v>
      </c>
      <c r="M21" s="169"/>
      <c r="N21" s="153"/>
      <c r="O21" s="152"/>
      <c r="P21" s="162"/>
      <c r="Q21" s="163"/>
      <c r="R21" s="164"/>
      <c r="S21" s="170"/>
      <c r="T21" s="171"/>
      <c r="U21" s="152"/>
      <c r="V21" s="171"/>
      <c r="W21" s="178">
        <v>1000</v>
      </c>
      <c r="X21" s="172"/>
    </row>
    <row r="22" spans="1:24" ht="16.5" customHeight="1" x14ac:dyDescent="0.3">
      <c r="A22" s="147">
        <v>15</v>
      </c>
      <c r="B22" s="147">
        <v>7264</v>
      </c>
      <c r="C22" s="155" t="s">
        <v>7151</v>
      </c>
      <c r="D22" s="167"/>
      <c r="E22" s="150"/>
      <c r="F22" s="168"/>
      <c r="G22" s="167"/>
      <c r="H22" s="150"/>
      <c r="I22" s="168"/>
      <c r="J22" s="167" t="s">
        <v>17455</v>
      </c>
      <c r="K22" s="150"/>
      <c r="L22" s="168"/>
      <c r="M22" s="169"/>
      <c r="N22" s="153"/>
      <c r="O22" s="152"/>
      <c r="P22" s="162" t="s">
        <v>5895</v>
      </c>
      <c r="Q22" s="163" t="s">
        <v>1</v>
      </c>
      <c r="R22" s="164">
        <v>1</v>
      </c>
      <c r="S22" s="170"/>
      <c r="T22" s="171"/>
      <c r="U22" s="152"/>
      <c r="V22" s="171"/>
      <c r="W22" s="178">
        <v>1000</v>
      </c>
      <c r="X22" s="172"/>
    </row>
    <row r="23" spans="1:24" ht="16.5" customHeight="1" x14ac:dyDescent="0.3">
      <c r="A23" s="147">
        <v>15</v>
      </c>
      <c r="B23" s="147">
        <v>7265</v>
      </c>
      <c r="C23" s="155" t="s">
        <v>7150</v>
      </c>
      <c r="D23" s="156" t="s">
        <v>17467</v>
      </c>
      <c r="E23" s="157">
        <v>591</v>
      </c>
      <c r="F23" s="158" t="s">
        <v>0</v>
      </c>
      <c r="G23" s="156" t="s">
        <v>17453</v>
      </c>
      <c r="H23" s="157">
        <v>167</v>
      </c>
      <c r="I23" s="158" t="s">
        <v>0</v>
      </c>
      <c r="J23" s="156" t="s">
        <v>17452</v>
      </c>
      <c r="K23" s="157">
        <v>84</v>
      </c>
      <c r="L23" s="158" t="s">
        <v>0</v>
      </c>
      <c r="M23" s="169"/>
      <c r="N23" s="153"/>
      <c r="O23" s="152"/>
      <c r="P23" s="162"/>
      <c r="Q23" s="163"/>
      <c r="R23" s="164"/>
      <c r="S23" s="170"/>
      <c r="T23" s="171"/>
      <c r="U23" s="152"/>
      <c r="V23" s="171"/>
      <c r="W23" s="178">
        <v>1062</v>
      </c>
      <c r="X23" s="172"/>
    </row>
    <row r="24" spans="1:24" ht="16.5" customHeight="1" x14ac:dyDescent="0.3">
      <c r="A24" s="147">
        <v>15</v>
      </c>
      <c r="B24" s="147">
        <v>7266</v>
      </c>
      <c r="C24" s="155" t="s">
        <v>7149</v>
      </c>
      <c r="D24" s="167" t="s">
        <v>17460</v>
      </c>
      <c r="E24" s="150"/>
      <c r="F24" s="168"/>
      <c r="G24" s="167" t="s">
        <v>17455</v>
      </c>
      <c r="H24" s="150"/>
      <c r="I24" s="168"/>
      <c r="J24" s="167" t="s">
        <v>17450</v>
      </c>
      <c r="K24" s="150"/>
      <c r="L24" s="168"/>
      <c r="M24" s="169"/>
      <c r="N24" s="153"/>
      <c r="O24" s="152"/>
      <c r="P24" s="162" t="s">
        <v>5895</v>
      </c>
      <c r="Q24" s="163" t="s">
        <v>1</v>
      </c>
      <c r="R24" s="164">
        <v>1</v>
      </c>
      <c r="S24" s="170"/>
      <c r="T24" s="171"/>
      <c r="U24" s="152"/>
      <c r="V24" s="171"/>
      <c r="W24" s="178">
        <v>1062</v>
      </c>
      <c r="X24" s="172"/>
    </row>
    <row r="25" spans="1:24" ht="16.5" customHeight="1" x14ac:dyDescent="0.3">
      <c r="A25" s="147">
        <v>15</v>
      </c>
      <c r="B25" s="147">
        <v>7267</v>
      </c>
      <c r="C25" s="155" t="s">
        <v>7148</v>
      </c>
      <c r="D25" s="156" t="s">
        <v>17466</v>
      </c>
      <c r="E25" s="157">
        <v>257</v>
      </c>
      <c r="F25" s="158" t="s">
        <v>0</v>
      </c>
      <c r="G25" s="156" t="s">
        <v>17453</v>
      </c>
      <c r="H25" s="157">
        <v>149</v>
      </c>
      <c r="I25" s="158" t="s">
        <v>0</v>
      </c>
      <c r="J25" s="156" t="s">
        <v>17452</v>
      </c>
      <c r="K25" s="157">
        <v>185</v>
      </c>
      <c r="L25" s="158" t="s">
        <v>0</v>
      </c>
      <c r="M25" s="169"/>
      <c r="N25" s="153"/>
      <c r="O25" s="152"/>
      <c r="P25" s="162"/>
      <c r="Q25" s="163"/>
      <c r="R25" s="164"/>
      <c r="S25" s="170"/>
      <c r="T25" s="171"/>
      <c r="U25" s="152"/>
      <c r="V25" s="171"/>
      <c r="W25" s="178">
        <v>682</v>
      </c>
      <c r="X25" s="172"/>
    </row>
    <row r="26" spans="1:24" ht="16.5" customHeight="1" x14ac:dyDescent="0.3">
      <c r="A26" s="147">
        <v>15</v>
      </c>
      <c r="B26" s="147">
        <v>7268</v>
      </c>
      <c r="C26" s="155" t="s">
        <v>7147</v>
      </c>
      <c r="D26" s="188" t="s">
        <v>17450</v>
      </c>
      <c r="E26" s="153"/>
      <c r="F26" s="171"/>
      <c r="G26" s="188" t="s">
        <v>17450</v>
      </c>
      <c r="H26" s="153"/>
      <c r="I26" s="171"/>
      <c r="J26" s="167" t="s">
        <v>17450</v>
      </c>
      <c r="K26" s="150"/>
      <c r="L26" s="168"/>
      <c r="M26" s="169"/>
      <c r="N26" s="153"/>
      <c r="O26" s="152"/>
      <c r="P26" s="162" t="s">
        <v>5895</v>
      </c>
      <c r="Q26" s="163" t="s">
        <v>1</v>
      </c>
      <c r="R26" s="164">
        <v>1</v>
      </c>
      <c r="S26" s="170"/>
      <c r="T26" s="171"/>
      <c r="U26" s="152"/>
      <c r="V26" s="171"/>
      <c r="W26" s="178">
        <v>682</v>
      </c>
      <c r="X26" s="172"/>
    </row>
    <row r="27" spans="1:24" ht="16.5" customHeight="1" x14ac:dyDescent="0.3">
      <c r="A27" s="147">
        <v>15</v>
      </c>
      <c r="B27" s="147">
        <v>7269</v>
      </c>
      <c r="C27" s="155" t="s">
        <v>7146</v>
      </c>
      <c r="D27" s="188"/>
      <c r="E27" s="153"/>
      <c r="F27" s="171"/>
      <c r="G27" s="188"/>
      <c r="H27" s="153"/>
      <c r="I27" s="171"/>
      <c r="J27" s="156" t="s">
        <v>17456</v>
      </c>
      <c r="K27" s="157">
        <v>268</v>
      </c>
      <c r="L27" s="158" t="s">
        <v>0</v>
      </c>
      <c r="M27" s="169"/>
      <c r="N27" s="153"/>
      <c r="O27" s="152"/>
      <c r="P27" s="162"/>
      <c r="Q27" s="163"/>
      <c r="R27" s="164"/>
      <c r="S27" s="170"/>
      <c r="T27" s="171"/>
      <c r="U27" s="152"/>
      <c r="V27" s="171"/>
      <c r="W27" s="178">
        <v>756</v>
      </c>
      <c r="X27" s="172"/>
    </row>
    <row r="28" spans="1:24" ht="16.5" customHeight="1" x14ac:dyDescent="0.3">
      <c r="A28" s="147">
        <v>15</v>
      </c>
      <c r="B28" s="147">
        <v>7270</v>
      </c>
      <c r="C28" s="155" t="s">
        <v>7145</v>
      </c>
      <c r="D28" s="188"/>
      <c r="E28" s="153"/>
      <c r="F28" s="171"/>
      <c r="G28" s="188"/>
      <c r="H28" s="153"/>
      <c r="I28" s="171"/>
      <c r="J28" s="167" t="s">
        <v>17455</v>
      </c>
      <c r="K28" s="150"/>
      <c r="L28" s="168"/>
      <c r="M28" s="169"/>
      <c r="N28" s="153"/>
      <c r="O28" s="152"/>
      <c r="P28" s="162" t="s">
        <v>5895</v>
      </c>
      <c r="Q28" s="163" t="s">
        <v>1</v>
      </c>
      <c r="R28" s="164">
        <v>1</v>
      </c>
      <c r="S28" s="170"/>
      <c r="T28" s="171"/>
      <c r="U28" s="152"/>
      <c r="V28" s="171"/>
      <c r="W28" s="178">
        <v>756</v>
      </c>
      <c r="X28" s="172"/>
    </row>
    <row r="29" spans="1:24" ht="16.5" customHeight="1" x14ac:dyDescent="0.3">
      <c r="A29" s="147">
        <v>15</v>
      </c>
      <c r="B29" s="147">
        <v>7271</v>
      </c>
      <c r="C29" s="155" t="s">
        <v>7144</v>
      </c>
      <c r="D29" s="188"/>
      <c r="E29" s="153"/>
      <c r="F29" s="171"/>
      <c r="G29" s="188"/>
      <c r="H29" s="153"/>
      <c r="I29" s="171"/>
      <c r="J29" s="156" t="s">
        <v>17461</v>
      </c>
      <c r="K29" s="157">
        <v>352</v>
      </c>
      <c r="L29" s="158" t="s">
        <v>0</v>
      </c>
      <c r="M29" s="169"/>
      <c r="N29" s="153"/>
      <c r="O29" s="152"/>
      <c r="P29" s="162"/>
      <c r="Q29" s="163"/>
      <c r="R29" s="164"/>
      <c r="S29" s="170"/>
      <c r="T29" s="171"/>
      <c r="U29" s="152"/>
      <c r="V29" s="171"/>
      <c r="W29" s="178">
        <v>832</v>
      </c>
      <c r="X29" s="172"/>
    </row>
    <row r="30" spans="1:24" ht="16.5" customHeight="1" x14ac:dyDescent="0.3">
      <c r="A30" s="147">
        <v>15</v>
      </c>
      <c r="B30" s="147">
        <v>7272</v>
      </c>
      <c r="C30" s="155" t="s">
        <v>7143</v>
      </c>
      <c r="D30" s="188"/>
      <c r="E30" s="153"/>
      <c r="F30" s="171"/>
      <c r="G30" s="188"/>
      <c r="H30" s="153"/>
      <c r="I30" s="171"/>
      <c r="J30" s="167" t="s">
        <v>17460</v>
      </c>
      <c r="K30" s="150"/>
      <c r="L30" s="168"/>
      <c r="M30" s="169"/>
      <c r="N30" s="153"/>
      <c r="O30" s="152"/>
      <c r="P30" s="162" t="s">
        <v>5895</v>
      </c>
      <c r="Q30" s="163" t="s">
        <v>1</v>
      </c>
      <c r="R30" s="164">
        <v>1</v>
      </c>
      <c r="S30" s="170"/>
      <c r="T30" s="171"/>
      <c r="U30" s="152"/>
      <c r="V30" s="171"/>
      <c r="W30" s="178">
        <v>832</v>
      </c>
      <c r="X30" s="172"/>
    </row>
    <row r="31" spans="1:24" ht="16.5" customHeight="1" x14ac:dyDescent="0.3">
      <c r="A31" s="147">
        <v>15</v>
      </c>
      <c r="B31" s="147">
        <v>7273</v>
      </c>
      <c r="C31" s="155" t="s">
        <v>7142</v>
      </c>
      <c r="D31" s="188"/>
      <c r="E31" s="153"/>
      <c r="F31" s="171"/>
      <c r="G31" s="188"/>
      <c r="H31" s="153"/>
      <c r="I31" s="171"/>
      <c r="J31" s="156" t="s">
        <v>17465</v>
      </c>
      <c r="K31" s="157">
        <v>436</v>
      </c>
      <c r="L31" s="158" t="s">
        <v>0</v>
      </c>
      <c r="M31" s="169"/>
      <c r="N31" s="153"/>
      <c r="O31" s="152"/>
      <c r="P31" s="162"/>
      <c r="Q31" s="163"/>
      <c r="R31" s="164"/>
      <c r="S31" s="170"/>
      <c r="T31" s="171"/>
      <c r="U31" s="152"/>
      <c r="V31" s="171"/>
      <c r="W31" s="178">
        <v>907</v>
      </c>
      <c r="X31" s="172"/>
    </row>
    <row r="32" spans="1:24" ht="16.5" customHeight="1" x14ac:dyDescent="0.3">
      <c r="A32" s="147">
        <v>15</v>
      </c>
      <c r="B32" s="147">
        <v>7274</v>
      </c>
      <c r="C32" s="155" t="s">
        <v>7141</v>
      </c>
      <c r="D32" s="167"/>
      <c r="E32" s="150"/>
      <c r="F32" s="168"/>
      <c r="G32" s="167"/>
      <c r="H32" s="150"/>
      <c r="I32" s="168"/>
      <c r="J32" s="167" t="s">
        <v>17451</v>
      </c>
      <c r="K32" s="150"/>
      <c r="L32" s="168"/>
      <c r="M32" s="169"/>
      <c r="N32" s="153"/>
      <c r="O32" s="152"/>
      <c r="P32" s="162" t="s">
        <v>5895</v>
      </c>
      <c r="Q32" s="163" t="s">
        <v>1</v>
      </c>
      <c r="R32" s="164">
        <v>1</v>
      </c>
      <c r="S32" s="170"/>
      <c r="T32" s="171"/>
      <c r="U32" s="152"/>
      <c r="V32" s="171"/>
      <c r="W32" s="178">
        <v>907</v>
      </c>
      <c r="X32" s="172"/>
    </row>
    <row r="33" spans="1:24" ht="16.5" customHeight="1" x14ac:dyDescent="0.3">
      <c r="A33" s="147">
        <v>15</v>
      </c>
      <c r="B33" s="147">
        <v>7275</v>
      </c>
      <c r="C33" s="155" t="s">
        <v>7140</v>
      </c>
      <c r="D33" s="156" t="s">
        <v>17464</v>
      </c>
      <c r="E33" s="157">
        <v>406</v>
      </c>
      <c r="F33" s="158" t="s">
        <v>0</v>
      </c>
      <c r="G33" s="156" t="s">
        <v>17453</v>
      </c>
      <c r="H33" s="157">
        <v>185</v>
      </c>
      <c r="I33" s="158" t="s">
        <v>0</v>
      </c>
      <c r="J33" s="156" t="s">
        <v>17452</v>
      </c>
      <c r="K33" s="157">
        <v>83</v>
      </c>
      <c r="L33" s="158" t="s">
        <v>0</v>
      </c>
      <c r="M33" s="169"/>
      <c r="N33" s="153"/>
      <c r="O33" s="152"/>
      <c r="P33" s="162"/>
      <c r="Q33" s="163"/>
      <c r="R33" s="164"/>
      <c r="S33" s="170"/>
      <c r="T33" s="171"/>
      <c r="U33" s="152"/>
      <c r="V33" s="171"/>
      <c r="W33" s="178">
        <v>832</v>
      </c>
      <c r="X33" s="172"/>
    </row>
    <row r="34" spans="1:24" ht="16.5" customHeight="1" x14ac:dyDescent="0.3">
      <c r="A34" s="147">
        <v>15</v>
      </c>
      <c r="B34" s="147">
        <v>7276</v>
      </c>
      <c r="C34" s="155" t="s">
        <v>7139</v>
      </c>
      <c r="D34" s="188" t="s">
        <v>17463</v>
      </c>
      <c r="E34" s="153"/>
      <c r="F34" s="171"/>
      <c r="G34" s="188" t="s">
        <v>17450</v>
      </c>
      <c r="H34" s="153"/>
      <c r="I34" s="171"/>
      <c r="J34" s="167" t="s">
        <v>17450</v>
      </c>
      <c r="K34" s="150"/>
      <c r="L34" s="168"/>
      <c r="M34" s="169"/>
      <c r="N34" s="153"/>
      <c r="O34" s="152"/>
      <c r="P34" s="162" t="s">
        <v>5895</v>
      </c>
      <c r="Q34" s="163" t="s">
        <v>1</v>
      </c>
      <c r="R34" s="164">
        <v>1</v>
      </c>
      <c r="S34" s="170"/>
      <c r="T34" s="171"/>
      <c r="U34" s="152"/>
      <c r="V34" s="171"/>
      <c r="W34" s="178">
        <v>832</v>
      </c>
      <c r="X34" s="172"/>
    </row>
    <row r="35" spans="1:24" ht="16.5" customHeight="1" x14ac:dyDescent="0.3">
      <c r="A35" s="147">
        <v>15</v>
      </c>
      <c r="B35" s="147">
        <v>7277</v>
      </c>
      <c r="C35" s="155" t="s">
        <v>7138</v>
      </c>
      <c r="D35" s="188" t="s">
        <v>17462</v>
      </c>
      <c r="E35" s="153"/>
      <c r="F35" s="171"/>
      <c r="G35" s="188"/>
      <c r="H35" s="153"/>
      <c r="I35" s="171"/>
      <c r="J35" s="156" t="s">
        <v>17456</v>
      </c>
      <c r="K35" s="157">
        <v>167</v>
      </c>
      <c r="L35" s="158" t="s">
        <v>0</v>
      </c>
      <c r="M35" s="169"/>
      <c r="N35" s="153"/>
      <c r="O35" s="152"/>
      <c r="P35" s="162"/>
      <c r="Q35" s="163"/>
      <c r="R35" s="164"/>
      <c r="S35" s="170"/>
      <c r="T35" s="171"/>
      <c r="U35" s="152"/>
      <c r="V35" s="171"/>
      <c r="W35" s="178">
        <v>907</v>
      </c>
      <c r="X35" s="172"/>
    </row>
    <row r="36" spans="1:24" ht="16.5" customHeight="1" x14ac:dyDescent="0.3">
      <c r="A36" s="147">
        <v>15</v>
      </c>
      <c r="B36" s="147">
        <v>7278</v>
      </c>
      <c r="C36" s="155" t="s">
        <v>7137</v>
      </c>
      <c r="D36" s="188"/>
      <c r="E36" s="153"/>
      <c r="F36" s="171"/>
      <c r="G36" s="188"/>
      <c r="H36" s="153"/>
      <c r="I36" s="171"/>
      <c r="J36" s="167" t="s">
        <v>17455</v>
      </c>
      <c r="K36" s="150"/>
      <c r="L36" s="168"/>
      <c r="M36" s="169"/>
      <c r="N36" s="153"/>
      <c r="O36" s="152"/>
      <c r="P36" s="162" t="s">
        <v>5895</v>
      </c>
      <c r="Q36" s="163" t="s">
        <v>1</v>
      </c>
      <c r="R36" s="164">
        <v>1</v>
      </c>
      <c r="S36" s="170"/>
      <c r="T36" s="171"/>
      <c r="U36" s="152"/>
      <c r="V36" s="171"/>
      <c r="W36" s="178">
        <v>907</v>
      </c>
      <c r="X36" s="172"/>
    </row>
    <row r="37" spans="1:24" ht="16.5" customHeight="1" x14ac:dyDescent="0.3">
      <c r="A37" s="147">
        <v>15</v>
      </c>
      <c r="B37" s="147">
        <v>7279</v>
      </c>
      <c r="C37" s="155" t="s">
        <v>7136</v>
      </c>
      <c r="D37" s="188"/>
      <c r="E37" s="153"/>
      <c r="F37" s="171"/>
      <c r="G37" s="188"/>
      <c r="H37" s="153"/>
      <c r="I37" s="171"/>
      <c r="J37" s="156" t="s">
        <v>17461</v>
      </c>
      <c r="K37" s="157">
        <v>251</v>
      </c>
      <c r="L37" s="158" t="s">
        <v>0</v>
      </c>
      <c r="M37" s="169"/>
      <c r="N37" s="153"/>
      <c r="O37" s="152"/>
      <c r="P37" s="162"/>
      <c r="Q37" s="163"/>
      <c r="R37" s="164"/>
      <c r="S37" s="170"/>
      <c r="T37" s="171"/>
      <c r="U37" s="152"/>
      <c r="V37" s="171"/>
      <c r="W37" s="178">
        <v>983</v>
      </c>
      <c r="X37" s="172"/>
    </row>
    <row r="38" spans="1:24" ht="16.5" customHeight="1" x14ac:dyDescent="0.3">
      <c r="A38" s="147">
        <v>15</v>
      </c>
      <c r="B38" s="147">
        <v>7280</v>
      </c>
      <c r="C38" s="155" t="s">
        <v>7135</v>
      </c>
      <c r="D38" s="167"/>
      <c r="E38" s="150"/>
      <c r="F38" s="168"/>
      <c r="G38" s="167"/>
      <c r="H38" s="150"/>
      <c r="I38" s="168"/>
      <c r="J38" s="167" t="s">
        <v>17460</v>
      </c>
      <c r="K38" s="150"/>
      <c r="L38" s="168"/>
      <c r="M38" s="169"/>
      <c r="N38" s="153"/>
      <c r="O38" s="152"/>
      <c r="P38" s="162" t="s">
        <v>5895</v>
      </c>
      <c r="Q38" s="163" t="s">
        <v>1</v>
      </c>
      <c r="R38" s="164">
        <v>1</v>
      </c>
      <c r="S38" s="170"/>
      <c r="T38" s="171"/>
      <c r="U38" s="152"/>
      <c r="V38" s="171"/>
      <c r="W38" s="178">
        <v>983</v>
      </c>
      <c r="X38" s="172"/>
    </row>
    <row r="39" spans="1:24" ht="16.5" customHeight="1" x14ac:dyDescent="0.3">
      <c r="A39" s="147">
        <v>15</v>
      </c>
      <c r="B39" s="147">
        <v>7281</v>
      </c>
      <c r="C39" s="155" t="s">
        <v>7134</v>
      </c>
      <c r="D39" s="156" t="s">
        <v>17459</v>
      </c>
      <c r="E39" s="157">
        <v>591</v>
      </c>
      <c r="F39" s="158" t="s">
        <v>0</v>
      </c>
      <c r="G39" s="156" t="s">
        <v>17453</v>
      </c>
      <c r="H39" s="157">
        <v>83</v>
      </c>
      <c r="I39" s="158" t="s">
        <v>0</v>
      </c>
      <c r="J39" s="156" t="s">
        <v>17452</v>
      </c>
      <c r="K39" s="157">
        <v>84</v>
      </c>
      <c r="L39" s="158" t="s">
        <v>0</v>
      </c>
      <c r="M39" s="169"/>
      <c r="N39" s="153"/>
      <c r="O39" s="152"/>
      <c r="P39" s="162"/>
      <c r="Q39" s="163"/>
      <c r="R39" s="164"/>
      <c r="S39" s="170"/>
      <c r="T39" s="171"/>
      <c r="U39" s="152"/>
      <c r="V39" s="171"/>
      <c r="W39" s="178">
        <v>968</v>
      </c>
      <c r="X39" s="172"/>
    </row>
    <row r="40" spans="1:24" ht="16.5" customHeight="1" x14ac:dyDescent="0.3">
      <c r="A40" s="147">
        <v>15</v>
      </c>
      <c r="B40" s="147">
        <v>7282</v>
      </c>
      <c r="C40" s="155" t="s">
        <v>7133</v>
      </c>
      <c r="D40" s="188" t="s">
        <v>17458</v>
      </c>
      <c r="E40" s="153"/>
      <c r="F40" s="171"/>
      <c r="G40" s="188" t="s">
        <v>17450</v>
      </c>
      <c r="H40" s="153"/>
      <c r="I40" s="171"/>
      <c r="J40" s="167" t="s">
        <v>17450</v>
      </c>
      <c r="K40" s="150"/>
      <c r="L40" s="168"/>
      <c r="M40" s="169"/>
      <c r="N40" s="153"/>
      <c r="O40" s="152"/>
      <c r="P40" s="162" t="s">
        <v>5895</v>
      </c>
      <c r="Q40" s="163" t="s">
        <v>1</v>
      </c>
      <c r="R40" s="164">
        <v>1</v>
      </c>
      <c r="S40" s="170"/>
      <c r="T40" s="171"/>
      <c r="U40" s="152"/>
      <c r="V40" s="171"/>
      <c r="W40" s="178">
        <v>968</v>
      </c>
      <c r="X40" s="172"/>
    </row>
    <row r="41" spans="1:24" ht="16.5" customHeight="1" x14ac:dyDescent="0.3">
      <c r="A41" s="147">
        <v>15</v>
      </c>
      <c r="B41" s="147">
        <v>7283</v>
      </c>
      <c r="C41" s="155" t="s">
        <v>7132</v>
      </c>
      <c r="D41" s="188" t="s">
        <v>17457</v>
      </c>
      <c r="E41" s="153"/>
      <c r="F41" s="171"/>
      <c r="G41" s="188"/>
      <c r="H41" s="153"/>
      <c r="I41" s="171"/>
      <c r="J41" s="156" t="s">
        <v>17456</v>
      </c>
      <c r="K41" s="157">
        <v>168</v>
      </c>
      <c r="L41" s="158" t="s">
        <v>0</v>
      </c>
      <c r="M41" s="169"/>
      <c r="N41" s="153"/>
      <c r="O41" s="152"/>
      <c r="P41" s="162"/>
      <c r="Q41" s="163"/>
      <c r="R41" s="164"/>
      <c r="S41" s="170"/>
      <c r="T41" s="171"/>
      <c r="U41" s="152"/>
      <c r="V41" s="171"/>
      <c r="W41" s="178">
        <v>1043</v>
      </c>
      <c r="X41" s="172"/>
    </row>
    <row r="42" spans="1:24" ht="16.5" customHeight="1" x14ac:dyDescent="0.3">
      <c r="A42" s="147">
        <v>15</v>
      </c>
      <c r="B42" s="147">
        <v>7284</v>
      </c>
      <c r="C42" s="155" t="s">
        <v>7131</v>
      </c>
      <c r="D42" s="167"/>
      <c r="E42" s="150"/>
      <c r="F42" s="168"/>
      <c r="G42" s="167"/>
      <c r="H42" s="150"/>
      <c r="I42" s="168"/>
      <c r="J42" s="167" t="s">
        <v>17455</v>
      </c>
      <c r="K42" s="150"/>
      <c r="L42" s="168"/>
      <c r="M42" s="169"/>
      <c r="N42" s="153"/>
      <c r="O42" s="152"/>
      <c r="P42" s="162" t="s">
        <v>5895</v>
      </c>
      <c r="Q42" s="163" t="s">
        <v>1</v>
      </c>
      <c r="R42" s="164">
        <v>1</v>
      </c>
      <c r="S42" s="170"/>
      <c r="T42" s="171"/>
      <c r="U42" s="152"/>
      <c r="V42" s="171"/>
      <c r="W42" s="178">
        <v>1043</v>
      </c>
      <c r="X42" s="172"/>
    </row>
    <row r="43" spans="1:24" ht="16.5" customHeight="1" x14ac:dyDescent="0.3">
      <c r="A43" s="147">
        <v>15</v>
      </c>
      <c r="B43" s="147">
        <v>7285</v>
      </c>
      <c r="C43" s="155" t="s">
        <v>7130</v>
      </c>
      <c r="D43" s="156" t="s">
        <v>17454</v>
      </c>
      <c r="E43" s="157">
        <v>674</v>
      </c>
      <c r="F43" s="158" t="s">
        <v>0</v>
      </c>
      <c r="G43" s="156" t="s">
        <v>17453</v>
      </c>
      <c r="H43" s="157">
        <v>84</v>
      </c>
      <c r="I43" s="158" t="s">
        <v>0</v>
      </c>
      <c r="J43" s="156" t="s">
        <v>17452</v>
      </c>
      <c r="K43" s="157">
        <v>84</v>
      </c>
      <c r="L43" s="158" t="s">
        <v>0</v>
      </c>
      <c r="M43" s="169"/>
      <c r="N43" s="153"/>
      <c r="O43" s="152"/>
      <c r="P43" s="162"/>
      <c r="Q43" s="163"/>
      <c r="R43" s="164"/>
      <c r="S43" s="170"/>
      <c r="T43" s="171"/>
      <c r="U43" s="152"/>
      <c r="V43" s="171"/>
      <c r="W43" s="178">
        <v>1082</v>
      </c>
      <c r="X43" s="172"/>
    </row>
    <row r="44" spans="1:24" ht="16.5" customHeight="1" x14ac:dyDescent="0.3">
      <c r="A44" s="147">
        <v>15</v>
      </c>
      <c r="B44" s="147">
        <v>7286</v>
      </c>
      <c r="C44" s="155" t="s">
        <v>7129</v>
      </c>
      <c r="D44" s="167" t="s">
        <v>17451</v>
      </c>
      <c r="E44" s="150"/>
      <c r="F44" s="168"/>
      <c r="G44" s="167" t="s">
        <v>17450</v>
      </c>
      <c r="H44" s="150"/>
      <c r="I44" s="168"/>
      <c r="J44" s="167" t="s">
        <v>17450</v>
      </c>
      <c r="K44" s="150"/>
      <c r="L44" s="168"/>
      <c r="M44" s="175"/>
      <c r="N44" s="150"/>
      <c r="O44" s="151"/>
      <c r="P44" s="162" t="s">
        <v>5895</v>
      </c>
      <c r="Q44" s="163" t="s">
        <v>1</v>
      </c>
      <c r="R44" s="164">
        <v>1</v>
      </c>
      <c r="S44" s="176"/>
      <c r="T44" s="168"/>
      <c r="U44" s="151"/>
      <c r="V44" s="168"/>
      <c r="W44" s="178">
        <v>1082</v>
      </c>
      <c r="X44" s="177"/>
    </row>
    <row r="45" spans="1:24" ht="16.5" customHeight="1" x14ac:dyDescent="0.3"/>
    <row r="46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theme="1" tint="0.249977111117893"/>
    <pageSetUpPr fitToPage="1"/>
  </sheetPr>
  <dimension ref="A1:S3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6.3671875" style="84" bestFit="1" customWidth="1"/>
    <col min="19" max="19" width="7.734375" style="48" bestFit="1" customWidth="1"/>
    <col min="20" max="16384" width="9" style="49"/>
  </cols>
  <sheetData>
    <row r="1" spans="1:19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6"/>
      <c r="S1" s="137"/>
    </row>
    <row r="2" spans="1:19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6"/>
      <c r="S2" s="137"/>
    </row>
    <row r="3" spans="1:19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6"/>
      <c r="S3" s="137"/>
    </row>
    <row r="4" spans="1:19" ht="16.5" customHeight="1" x14ac:dyDescent="0.3">
      <c r="A4" s="132"/>
      <c r="B4" s="138" t="s">
        <v>7198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6"/>
      <c r="S4" s="137"/>
    </row>
    <row r="5" spans="1:19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6" t="s">
        <v>5869</v>
      </c>
      <c r="S5" s="146" t="s">
        <v>5871</v>
      </c>
    </row>
    <row r="6" spans="1:19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49"/>
      <c r="H6" s="150"/>
      <c r="I6" s="150"/>
      <c r="J6" s="150"/>
      <c r="K6" s="150"/>
      <c r="L6" s="151"/>
      <c r="M6" s="150"/>
      <c r="N6" s="150"/>
      <c r="O6" s="151"/>
      <c r="P6" s="151"/>
      <c r="Q6" s="150"/>
      <c r="R6" s="154" t="s">
        <v>5870</v>
      </c>
      <c r="S6" s="154" t="s">
        <v>0</v>
      </c>
    </row>
    <row r="7" spans="1:19" ht="16.5" customHeight="1" x14ac:dyDescent="0.3">
      <c r="A7" s="147">
        <v>15</v>
      </c>
      <c r="B7" s="147">
        <v>7287</v>
      </c>
      <c r="C7" s="155" t="s">
        <v>7197</v>
      </c>
      <c r="D7" s="156" t="s">
        <v>17356</v>
      </c>
      <c r="E7" s="157">
        <v>257</v>
      </c>
      <c r="F7" s="158" t="s">
        <v>0</v>
      </c>
      <c r="G7" s="156" t="s">
        <v>17480</v>
      </c>
      <c r="H7" s="157">
        <v>149</v>
      </c>
      <c r="I7" s="158" t="s">
        <v>0</v>
      </c>
      <c r="J7" s="159"/>
      <c r="K7" s="160"/>
      <c r="L7" s="161"/>
      <c r="M7" s="162"/>
      <c r="N7" s="163"/>
      <c r="O7" s="164"/>
      <c r="P7" s="165"/>
      <c r="Q7" s="215"/>
      <c r="R7" s="178">
        <v>481</v>
      </c>
      <c r="S7" s="142" t="s">
        <v>5863</v>
      </c>
    </row>
    <row r="8" spans="1:19" ht="16.5" customHeight="1" x14ac:dyDescent="0.3">
      <c r="A8" s="147">
        <v>15</v>
      </c>
      <c r="B8" s="147">
        <v>7288</v>
      </c>
      <c r="C8" s="155" t="s">
        <v>7196</v>
      </c>
      <c r="D8" s="188" t="s">
        <v>17312</v>
      </c>
      <c r="E8" s="153"/>
      <c r="F8" s="171"/>
      <c r="G8" s="167" t="s">
        <v>17312</v>
      </c>
      <c r="H8" s="150"/>
      <c r="I8" s="168"/>
      <c r="J8" s="169"/>
      <c r="K8" s="153"/>
      <c r="L8" s="152"/>
      <c r="M8" s="162" t="s">
        <v>5895</v>
      </c>
      <c r="N8" s="163" t="s">
        <v>1</v>
      </c>
      <c r="O8" s="164">
        <v>1</v>
      </c>
      <c r="P8" s="170"/>
      <c r="Q8" s="171"/>
      <c r="R8" s="178">
        <v>481</v>
      </c>
      <c r="S8" s="172"/>
    </row>
    <row r="9" spans="1:19" ht="16.5" customHeight="1" x14ac:dyDescent="0.3">
      <c r="A9" s="147">
        <v>15</v>
      </c>
      <c r="B9" s="147">
        <v>7289</v>
      </c>
      <c r="C9" s="155" t="s">
        <v>7195</v>
      </c>
      <c r="D9" s="188"/>
      <c r="E9" s="153"/>
      <c r="F9" s="171"/>
      <c r="G9" s="156" t="s">
        <v>17481</v>
      </c>
      <c r="H9" s="157">
        <v>334</v>
      </c>
      <c r="I9" s="158" t="s">
        <v>0</v>
      </c>
      <c r="J9" s="169"/>
      <c r="K9" s="153"/>
      <c r="L9" s="152"/>
      <c r="M9" s="162"/>
      <c r="N9" s="163"/>
      <c r="O9" s="164"/>
      <c r="P9" s="170"/>
      <c r="Q9" s="192"/>
      <c r="R9" s="178">
        <v>648</v>
      </c>
      <c r="S9" s="172"/>
    </row>
    <row r="10" spans="1:19" ht="16.5" customHeight="1" x14ac:dyDescent="0.3">
      <c r="A10" s="147">
        <v>15</v>
      </c>
      <c r="B10" s="147">
        <v>7290</v>
      </c>
      <c r="C10" s="155" t="s">
        <v>7194</v>
      </c>
      <c r="D10" s="188"/>
      <c r="E10" s="153"/>
      <c r="F10" s="171"/>
      <c r="G10" s="167" t="s">
        <v>17310</v>
      </c>
      <c r="H10" s="150"/>
      <c r="I10" s="168"/>
      <c r="J10" s="169"/>
      <c r="K10" s="153"/>
      <c r="L10" s="152"/>
      <c r="M10" s="162" t="s">
        <v>5895</v>
      </c>
      <c r="N10" s="163" t="s">
        <v>1</v>
      </c>
      <c r="O10" s="164">
        <v>1</v>
      </c>
      <c r="P10" s="170"/>
      <c r="Q10" s="174"/>
      <c r="R10" s="178">
        <v>648</v>
      </c>
      <c r="S10" s="172"/>
    </row>
    <row r="11" spans="1:19" ht="16.5" customHeight="1" x14ac:dyDescent="0.3">
      <c r="A11" s="147">
        <v>15</v>
      </c>
      <c r="B11" s="147">
        <v>7291</v>
      </c>
      <c r="C11" s="155" t="s">
        <v>7193</v>
      </c>
      <c r="D11" s="188"/>
      <c r="E11" s="153"/>
      <c r="F11" s="171"/>
      <c r="G11" s="156" t="s">
        <v>17482</v>
      </c>
      <c r="H11" s="157">
        <v>417</v>
      </c>
      <c r="I11" s="158" t="s">
        <v>0</v>
      </c>
      <c r="J11" s="169"/>
      <c r="K11" s="153"/>
      <c r="L11" s="152"/>
      <c r="M11" s="162"/>
      <c r="N11" s="163"/>
      <c r="O11" s="164"/>
      <c r="P11" s="170"/>
      <c r="Q11" s="171"/>
      <c r="R11" s="178">
        <v>722</v>
      </c>
      <c r="S11" s="172"/>
    </row>
    <row r="12" spans="1:19" ht="16.5" customHeight="1" x14ac:dyDescent="0.3">
      <c r="A12" s="147">
        <v>15</v>
      </c>
      <c r="B12" s="147">
        <v>7292</v>
      </c>
      <c r="C12" s="155" t="s">
        <v>7192</v>
      </c>
      <c r="D12" s="188"/>
      <c r="E12" s="153"/>
      <c r="F12" s="171"/>
      <c r="G12" s="167" t="s">
        <v>17308</v>
      </c>
      <c r="H12" s="150"/>
      <c r="I12" s="168"/>
      <c r="J12" s="169" t="s">
        <v>17307</v>
      </c>
      <c r="K12" s="153"/>
      <c r="L12" s="152"/>
      <c r="M12" s="162" t="s">
        <v>5895</v>
      </c>
      <c r="N12" s="163" t="s">
        <v>1</v>
      </c>
      <c r="O12" s="164">
        <v>1</v>
      </c>
      <c r="P12" s="170" t="s">
        <v>17355</v>
      </c>
      <c r="Q12" s="171"/>
      <c r="R12" s="178">
        <v>722</v>
      </c>
      <c r="S12" s="172"/>
    </row>
    <row r="13" spans="1:19" ht="16.5" customHeight="1" x14ac:dyDescent="0.3">
      <c r="A13" s="147">
        <v>15</v>
      </c>
      <c r="B13" s="147">
        <v>7293</v>
      </c>
      <c r="C13" s="155" t="s">
        <v>7191</v>
      </c>
      <c r="D13" s="188"/>
      <c r="E13" s="153"/>
      <c r="F13" s="171"/>
      <c r="G13" s="156" t="s">
        <v>17483</v>
      </c>
      <c r="H13" s="157">
        <v>501</v>
      </c>
      <c r="I13" s="158" t="s">
        <v>0</v>
      </c>
      <c r="J13" s="169" t="s">
        <v>17304</v>
      </c>
      <c r="K13" s="153" t="s">
        <v>1</v>
      </c>
      <c r="L13" s="152">
        <v>0.9</v>
      </c>
      <c r="M13" s="162"/>
      <c r="N13" s="163"/>
      <c r="O13" s="164"/>
      <c r="P13" s="170"/>
      <c r="Q13" s="174" t="s">
        <v>17354</v>
      </c>
      <c r="R13" s="178">
        <v>798</v>
      </c>
      <c r="S13" s="172"/>
    </row>
    <row r="14" spans="1:19" ht="16.5" customHeight="1" x14ac:dyDescent="0.3">
      <c r="A14" s="147">
        <v>15</v>
      </c>
      <c r="B14" s="147">
        <v>7294</v>
      </c>
      <c r="C14" s="155" t="s">
        <v>7190</v>
      </c>
      <c r="D14" s="188"/>
      <c r="E14" s="153"/>
      <c r="F14" s="171"/>
      <c r="G14" s="167" t="s">
        <v>17302</v>
      </c>
      <c r="H14" s="150"/>
      <c r="I14" s="168"/>
      <c r="J14" s="169"/>
      <c r="K14" s="153"/>
      <c r="L14" s="152"/>
      <c r="M14" s="162" t="s">
        <v>5895</v>
      </c>
      <c r="N14" s="163" t="s">
        <v>1</v>
      </c>
      <c r="O14" s="164">
        <v>1</v>
      </c>
      <c r="P14" s="170"/>
      <c r="Q14" s="171"/>
      <c r="R14" s="178">
        <v>798</v>
      </c>
      <c r="S14" s="172"/>
    </row>
    <row r="15" spans="1:19" ht="16.5" customHeight="1" x14ac:dyDescent="0.3">
      <c r="A15" s="147">
        <v>15</v>
      </c>
      <c r="B15" s="147">
        <v>7295</v>
      </c>
      <c r="C15" s="155" t="s">
        <v>7189</v>
      </c>
      <c r="D15" s="188"/>
      <c r="E15" s="153"/>
      <c r="F15" s="171"/>
      <c r="G15" s="156" t="s">
        <v>17484</v>
      </c>
      <c r="H15" s="157">
        <v>585</v>
      </c>
      <c r="I15" s="158" t="s">
        <v>0</v>
      </c>
      <c r="J15" s="169"/>
      <c r="K15" s="153"/>
      <c r="L15" s="152"/>
      <c r="M15" s="162"/>
      <c r="N15" s="163"/>
      <c r="O15" s="164"/>
      <c r="P15" s="170" t="s">
        <v>1</v>
      </c>
      <c r="Q15" s="192">
        <v>0.5</v>
      </c>
      <c r="R15" s="178">
        <v>874</v>
      </c>
      <c r="S15" s="172"/>
    </row>
    <row r="16" spans="1:19" ht="16.5" customHeight="1" x14ac:dyDescent="0.3">
      <c r="A16" s="147">
        <v>15</v>
      </c>
      <c r="B16" s="147">
        <v>7296</v>
      </c>
      <c r="C16" s="155" t="s">
        <v>7188</v>
      </c>
      <c r="D16" s="167"/>
      <c r="E16" s="150"/>
      <c r="F16" s="168"/>
      <c r="G16" s="167" t="s">
        <v>17300</v>
      </c>
      <c r="H16" s="150"/>
      <c r="I16" s="168"/>
      <c r="J16" s="169"/>
      <c r="K16" s="153"/>
      <c r="L16" s="152"/>
      <c r="M16" s="162" t="s">
        <v>5895</v>
      </c>
      <c r="N16" s="163" t="s">
        <v>1</v>
      </c>
      <c r="O16" s="164">
        <v>1</v>
      </c>
      <c r="P16" s="170"/>
      <c r="Q16" s="174" t="s">
        <v>17299</v>
      </c>
      <c r="R16" s="178">
        <v>874</v>
      </c>
      <c r="S16" s="172"/>
    </row>
    <row r="17" spans="1:19" ht="16.5" customHeight="1" x14ac:dyDescent="0.3">
      <c r="A17" s="147">
        <v>15</v>
      </c>
      <c r="B17" s="147">
        <v>7297</v>
      </c>
      <c r="C17" s="155" t="s">
        <v>7187</v>
      </c>
      <c r="D17" s="156" t="s">
        <v>17351</v>
      </c>
      <c r="E17" s="157">
        <v>406</v>
      </c>
      <c r="F17" s="158" t="s">
        <v>0</v>
      </c>
      <c r="G17" s="156" t="s">
        <v>17480</v>
      </c>
      <c r="H17" s="157">
        <v>185</v>
      </c>
      <c r="I17" s="158" t="s">
        <v>0</v>
      </c>
      <c r="J17" s="169"/>
      <c r="K17" s="153"/>
      <c r="L17" s="152"/>
      <c r="M17" s="162"/>
      <c r="N17" s="163"/>
      <c r="O17" s="164"/>
      <c r="P17" s="170"/>
      <c r="Q17" s="171"/>
      <c r="R17" s="178">
        <v>715</v>
      </c>
      <c r="S17" s="172"/>
    </row>
    <row r="18" spans="1:19" ht="16.5" customHeight="1" x14ac:dyDescent="0.3">
      <c r="A18" s="147">
        <v>15</v>
      </c>
      <c r="B18" s="147">
        <v>7298</v>
      </c>
      <c r="C18" s="155" t="s">
        <v>7186</v>
      </c>
      <c r="D18" s="188" t="s">
        <v>17350</v>
      </c>
      <c r="E18" s="153"/>
      <c r="F18" s="171"/>
      <c r="G18" s="167" t="s">
        <v>17312</v>
      </c>
      <c r="H18" s="150"/>
      <c r="I18" s="168"/>
      <c r="J18" s="169"/>
      <c r="K18" s="153"/>
      <c r="L18" s="152"/>
      <c r="M18" s="162" t="s">
        <v>5895</v>
      </c>
      <c r="N18" s="163" t="s">
        <v>1</v>
      </c>
      <c r="O18" s="164">
        <v>1</v>
      </c>
      <c r="P18" s="170"/>
      <c r="Q18" s="171"/>
      <c r="R18" s="178">
        <v>715</v>
      </c>
      <c r="S18" s="172"/>
    </row>
    <row r="19" spans="1:19" ht="16.5" customHeight="1" x14ac:dyDescent="0.3">
      <c r="A19" s="147">
        <v>15</v>
      </c>
      <c r="B19" s="147">
        <v>7299</v>
      </c>
      <c r="C19" s="155" t="s">
        <v>7185</v>
      </c>
      <c r="D19" s="188" t="s">
        <v>17349</v>
      </c>
      <c r="E19" s="153"/>
      <c r="F19" s="171"/>
      <c r="G19" s="156" t="s">
        <v>17481</v>
      </c>
      <c r="H19" s="157">
        <v>268</v>
      </c>
      <c r="I19" s="158" t="s">
        <v>0</v>
      </c>
      <c r="J19" s="169"/>
      <c r="K19" s="153"/>
      <c r="L19" s="152"/>
      <c r="M19" s="162"/>
      <c r="N19" s="163"/>
      <c r="O19" s="164"/>
      <c r="P19" s="170"/>
      <c r="Q19" s="171"/>
      <c r="R19" s="178">
        <v>789</v>
      </c>
      <c r="S19" s="172"/>
    </row>
    <row r="20" spans="1:19" ht="16.5" customHeight="1" x14ac:dyDescent="0.3">
      <c r="A20" s="147">
        <v>15</v>
      </c>
      <c r="B20" s="147">
        <v>7300</v>
      </c>
      <c r="C20" s="155" t="s">
        <v>7184</v>
      </c>
      <c r="D20" s="188"/>
      <c r="E20" s="153"/>
      <c r="F20" s="171"/>
      <c r="G20" s="167" t="s">
        <v>17310</v>
      </c>
      <c r="H20" s="150"/>
      <c r="I20" s="168"/>
      <c r="J20" s="169"/>
      <c r="K20" s="153"/>
      <c r="L20" s="152"/>
      <c r="M20" s="162" t="s">
        <v>5895</v>
      </c>
      <c r="N20" s="163" t="s">
        <v>1</v>
      </c>
      <c r="O20" s="164">
        <v>1</v>
      </c>
      <c r="P20" s="170"/>
      <c r="Q20" s="171"/>
      <c r="R20" s="178">
        <v>789</v>
      </c>
      <c r="S20" s="172"/>
    </row>
    <row r="21" spans="1:19" ht="16.5" customHeight="1" x14ac:dyDescent="0.3">
      <c r="A21" s="147">
        <v>15</v>
      </c>
      <c r="B21" s="147">
        <v>7301</v>
      </c>
      <c r="C21" s="155" t="s">
        <v>7183</v>
      </c>
      <c r="D21" s="188"/>
      <c r="E21" s="153"/>
      <c r="F21" s="171"/>
      <c r="G21" s="156" t="s">
        <v>17482</v>
      </c>
      <c r="H21" s="157">
        <v>352</v>
      </c>
      <c r="I21" s="158" t="s">
        <v>0</v>
      </c>
      <c r="J21" s="169"/>
      <c r="K21" s="153"/>
      <c r="L21" s="152"/>
      <c r="M21" s="162"/>
      <c r="N21" s="163"/>
      <c r="O21" s="164"/>
      <c r="P21" s="170"/>
      <c r="Q21" s="171"/>
      <c r="R21" s="178">
        <v>865</v>
      </c>
      <c r="S21" s="172"/>
    </row>
    <row r="22" spans="1:19" ht="16.5" customHeight="1" x14ac:dyDescent="0.3">
      <c r="A22" s="147">
        <v>15</v>
      </c>
      <c r="B22" s="147">
        <v>7302</v>
      </c>
      <c r="C22" s="155" t="s">
        <v>7182</v>
      </c>
      <c r="D22" s="188"/>
      <c r="E22" s="153"/>
      <c r="F22" s="171"/>
      <c r="G22" s="167" t="s">
        <v>17308</v>
      </c>
      <c r="H22" s="150"/>
      <c r="I22" s="168"/>
      <c r="J22" s="169"/>
      <c r="K22" s="153"/>
      <c r="L22" s="152"/>
      <c r="M22" s="162" t="s">
        <v>5895</v>
      </c>
      <c r="N22" s="163" t="s">
        <v>1</v>
      </c>
      <c r="O22" s="164">
        <v>1</v>
      </c>
      <c r="P22" s="170"/>
      <c r="Q22" s="171"/>
      <c r="R22" s="178">
        <v>865</v>
      </c>
      <c r="S22" s="172"/>
    </row>
    <row r="23" spans="1:19" ht="16.5" customHeight="1" x14ac:dyDescent="0.3">
      <c r="A23" s="147">
        <v>15</v>
      </c>
      <c r="B23" s="147">
        <v>7303</v>
      </c>
      <c r="C23" s="155" t="s">
        <v>7181</v>
      </c>
      <c r="D23" s="188"/>
      <c r="E23" s="153"/>
      <c r="F23" s="171"/>
      <c r="G23" s="156" t="s">
        <v>17483</v>
      </c>
      <c r="H23" s="157">
        <v>436</v>
      </c>
      <c r="I23" s="158" t="s">
        <v>0</v>
      </c>
      <c r="J23" s="169"/>
      <c r="K23" s="153"/>
      <c r="L23" s="152"/>
      <c r="M23" s="162"/>
      <c r="N23" s="163"/>
      <c r="O23" s="164"/>
      <c r="P23" s="170"/>
      <c r="Q23" s="171"/>
      <c r="R23" s="178">
        <v>940</v>
      </c>
      <c r="S23" s="172"/>
    </row>
    <row r="24" spans="1:19" ht="16.5" customHeight="1" x14ac:dyDescent="0.3">
      <c r="A24" s="147">
        <v>15</v>
      </c>
      <c r="B24" s="147">
        <v>7304</v>
      </c>
      <c r="C24" s="155" t="s">
        <v>7180</v>
      </c>
      <c r="D24" s="167"/>
      <c r="E24" s="150"/>
      <c r="F24" s="168"/>
      <c r="G24" s="167" t="s">
        <v>17302</v>
      </c>
      <c r="H24" s="150"/>
      <c r="I24" s="168"/>
      <c r="J24" s="169"/>
      <c r="K24" s="153"/>
      <c r="L24" s="152"/>
      <c r="M24" s="162" t="s">
        <v>5895</v>
      </c>
      <c r="N24" s="163" t="s">
        <v>1</v>
      </c>
      <c r="O24" s="164">
        <v>1</v>
      </c>
      <c r="P24" s="170"/>
      <c r="Q24" s="171"/>
      <c r="R24" s="178">
        <v>940</v>
      </c>
      <c r="S24" s="172"/>
    </row>
    <row r="25" spans="1:19" ht="16.5" customHeight="1" x14ac:dyDescent="0.3">
      <c r="A25" s="147">
        <v>15</v>
      </c>
      <c r="B25" s="147">
        <v>7305</v>
      </c>
      <c r="C25" s="155" t="s">
        <v>7179</v>
      </c>
      <c r="D25" s="156" t="s">
        <v>17347</v>
      </c>
      <c r="E25" s="157">
        <v>591</v>
      </c>
      <c r="F25" s="158" t="s">
        <v>0</v>
      </c>
      <c r="G25" s="156" t="s">
        <v>17480</v>
      </c>
      <c r="H25" s="157">
        <v>83</v>
      </c>
      <c r="I25" s="158" t="s">
        <v>0</v>
      </c>
      <c r="J25" s="169"/>
      <c r="K25" s="153"/>
      <c r="L25" s="152"/>
      <c r="M25" s="162"/>
      <c r="N25" s="163"/>
      <c r="O25" s="164"/>
      <c r="P25" s="170"/>
      <c r="Q25" s="171"/>
      <c r="R25" s="178">
        <v>873</v>
      </c>
      <c r="S25" s="172"/>
    </row>
    <row r="26" spans="1:19" ht="16.5" customHeight="1" x14ac:dyDescent="0.3">
      <c r="A26" s="147">
        <v>15</v>
      </c>
      <c r="B26" s="147">
        <v>7306</v>
      </c>
      <c r="C26" s="155" t="s">
        <v>7178</v>
      </c>
      <c r="D26" s="188" t="s">
        <v>17346</v>
      </c>
      <c r="E26" s="153"/>
      <c r="F26" s="171"/>
      <c r="G26" s="167" t="s">
        <v>17312</v>
      </c>
      <c r="H26" s="150"/>
      <c r="I26" s="168"/>
      <c r="J26" s="169"/>
      <c r="K26" s="153"/>
      <c r="L26" s="152"/>
      <c r="M26" s="162" t="s">
        <v>5895</v>
      </c>
      <c r="N26" s="163" t="s">
        <v>1</v>
      </c>
      <c r="O26" s="164">
        <v>1</v>
      </c>
      <c r="P26" s="170"/>
      <c r="Q26" s="171"/>
      <c r="R26" s="178">
        <v>873</v>
      </c>
      <c r="S26" s="172"/>
    </row>
    <row r="27" spans="1:19" ht="16.5" customHeight="1" x14ac:dyDescent="0.3">
      <c r="A27" s="147">
        <v>15</v>
      </c>
      <c r="B27" s="147">
        <v>7307</v>
      </c>
      <c r="C27" s="155" t="s">
        <v>7177</v>
      </c>
      <c r="D27" s="188" t="s">
        <v>17345</v>
      </c>
      <c r="E27" s="153"/>
      <c r="F27" s="171"/>
      <c r="G27" s="156" t="s">
        <v>17481</v>
      </c>
      <c r="H27" s="157">
        <v>167</v>
      </c>
      <c r="I27" s="158" t="s">
        <v>0</v>
      </c>
      <c r="J27" s="169"/>
      <c r="K27" s="153"/>
      <c r="L27" s="152"/>
      <c r="M27" s="162"/>
      <c r="N27" s="163"/>
      <c r="O27" s="164"/>
      <c r="P27" s="170"/>
      <c r="Q27" s="171"/>
      <c r="R27" s="178">
        <v>948</v>
      </c>
      <c r="S27" s="172"/>
    </row>
    <row r="28" spans="1:19" ht="16.5" customHeight="1" x14ac:dyDescent="0.3">
      <c r="A28" s="147">
        <v>15</v>
      </c>
      <c r="B28" s="147">
        <v>7308</v>
      </c>
      <c r="C28" s="155" t="s">
        <v>7176</v>
      </c>
      <c r="D28" s="188"/>
      <c r="E28" s="153"/>
      <c r="F28" s="171"/>
      <c r="G28" s="167" t="s">
        <v>17310</v>
      </c>
      <c r="H28" s="150"/>
      <c r="I28" s="168"/>
      <c r="J28" s="169"/>
      <c r="K28" s="153"/>
      <c r="L28" s="152"/>
      <c r="M28" s="162" t="s">
        <v>5895</v>
      </c>
      <c r="N28" s="163" t="s">
        <v>1</v>
      </c>
      <c r="O28" s="164">
        <v>1</v>
      </c>
      <c r="P28" s="170"/>
      <c r="Q28" s="171"/>
      <c r="R28" s="178">
        <v>948</v>
      </c>
      <c r="S28" s="172"/>
    </row>
    <row r="29" spans="1:19" ht="16.5" customHeight="1" x14ac:dyDescent="0.3">
      <c r="A29" s="147">
        <v>15</v>
      </c>
      <c r="B29" s="147">
        <v>7309</v>
      </c>
      <c r="C29" s="155" t="s">
        <v>7175</v>
      </c>
      <c r="D29" s="188"/>
      <c r="E29" s="153"/>
      <c r="F29" s="171"/>
      <c r="G29" s="156" t="s">
        <v>17482</v>
      </c>
      <c r="H29" s="157">
        <v>251</v>
      </c>
      <c r="I29" s="158" t="s">
        <v>0</v>
      </c>
      <c r="J29" s="169"/>
      <c r="K29" s="153"/>
      <c r="L29" s="152"/>
      <c r="M29" s="162"/>
      <c r="N29" s="163"/>
      <c r="O29" s="164"/>
      <c r="P29" s="170"/>
      <c r="Q29" s="171"/>
      <c r="R29" s="178">
        <v>1024</v>
      </c>
      <c r="S29" s="172"/>
    </row>
    <row r="30" spans="1:19" ht="16.5" customHeight="1" x14ac:dyDescent="0.3">
      <c r="A30" s="147">
        <v>15</v>
      </c>
      <c r="B30" s="147">
        <v>7310</v>
      </c>
      <c r="C30" s="155" t="s">
        <v>7174</v>
      </c>
      <c r="D30" s="167"/>
      <c r="E30" s="150"/>
      <c r="F30" s="168"/>
      <c r="G30" s="167" t="s">
        <v>17308</v>
      </c>
      <c r="H30" s="150"/>
      <c r="I30" s="168"/>
      <c r="J30" s="169"/>
      <c r="K30" s="153"/>
      <c r="L30" s="152"/>
      <c r="M30" s="162" t="s">
        <v>5895</v>
      </c>
      <c r="N30" s="163" t="s">
        <v>1</v>
      </c>
      <c r="O30" s="164">
        <v>1</v>
      </c>
      <c r="P30" s="170"/>
      <c r="Q30" s="171"/>
      <c r="R30" s="178">
        <v>1024</v>
      </c>
      <c r="S30" s="172"/>
    </row>
    <row r="31" spans="1:19" ht="16.5" customHeight="1" x14ac:dyDescent="0.3">
      <c r="A31" s="147">
        <v>15</v>
      </c>
      <c r="B31" s="147">
        <v>7311</v>
      </c>
      <c r="C31" s="155" t="s">
        <v>7173</v>
      </c>
      <c r="D31" s="156" t="s">
        <v>17343</v>
      </c>
      <c r="E31" s="157">
        <v>674</v>
      </c>
      <c r="F31" s="158" t="s">
        <v>0</v>
      </c>
      <c r="G31" s="156" t="s">
        <v>17480</v>
      </c>
      <c r="H31" s="157">
        <v>84</v>
      </c>
      <c r="I31" s="158" t="s">
        <v>0</v>
      </c>
      <c r="J31" s="169"/>
      <c r="K31" s="153"/>
      <c r="L31" s="152"/>
      <c r="M31" s="162"/>
      <c r="N31" s="163"/>
      <c r="O31" s="164"/>
      <c r="P31" s="170"/>
      <c r="Q31" s="171"/>
      <c r="R31" s="178">
        <v>987</v>
      </c>
      <c r="S31" s="172"/>
    </row>
    <row r="32" spans="1:19" ht="16.5" customHeight="1" x14ac:dyDescent="0.3">
      <c r="A32" s="147">
        <v>15</v>
      </c>
      <c r="B32" s="147">
        <v>7312</v>
      </c>
      <c r="C32" s="155" t="s">
        <v>7172</v>
      </c>
      <c r="D32" s="188" t="s">
        <v>17342</v>
      </c>
      <c r="E32" s="153"/>
      <c r="F32" s="171"/>
      <c r="G32" s="167" t="s">
        <v>17312</v>
      </c>
      <c r="H32" s="150"/>
      <c r="I32" s="168"/>
      <c r="J32" s="169"/>
      <c r="K32" s="153"/>
      <c r="L32" s="152"/>
      <c r="M32" s="162" t="s">
        <v>5895</v>
      </c>
      <c r="N32" s="163" t="s">
        <v>1</v>
      </c>
      <c r="O32" s="164">
        <v>1</v>
      </c>
      <c r="P32" s="170"/>
      <c r="Q32" s="171"/>
      <c r="R32" s="178">
        <v>987</v>
      </c>
      <c r="S32" s="172"/>
    </row>
    <row r="33" spans="1:19" ht="16.5" customHeight="1" x14ac:dyDescent="0.3">
      <c r="A33" s="147">
        <v>15</v>
      </c>
      <c r="B33" s="147">
        <v>7313</v>
      </c>
      <c r="C33" s="155" t="s">
        <v>7171</v>
      </c>
      <c r="D33" s="188" t="s">
        <v>17341</v>
      </c>
      <c r="E33" s="153"/>
      <c r="F33" s="171"/>
      <c r="G33" s="156" t="s">
        <v>17481</v>
      </c>
      <c r="H33" s="157">
        <v>168</v>
      </c>
      <c r="I33" s="158" t="s">
        <v>0</v>
      </c>
      <c r="J33" s="169"/>
      <c r="K33" s="153"/>
      <c r="L33" s="152"/>
      <c r="M33" s="162"/>
      <c r="N33" s="163"/>
      <c r="O33" s="164"/>
      <c r="P33" s="170"/>
      <c r="Q33" s="171"/>
      <c r="R33" s="178">
        <v>1062</v>
      </c>
      <c r="S33" s="172"/>
    </row>
    <row r="34" spans="1:19" ht="16.5" customHeight="1" x14ac:dyDescent="0.3">
      <c r="A34" s="147">
        <v>15</v>
      </c>
      <c r="B34" s="147">
        <v>7314</v>
      </c>
      <c r="C34" s="155" t="s">
        <v>7170</v>
      </c>
      <c r="D34" s="167"/>
      <c r="E34" s="150"/>
      <c r="F34" s="168"/>
      <c r="G34" s="167" t="s">
        <v>17310</v>
      </c>
      <c r="H34" s="150"/>
      <c r="I34" s="168"/>
      <c r="J34" s="169"/>
      <c r="K34" s="153"/>
      <c r="L34" s="152"/>
      <c r="M34" s="162" t="s">
        <v>5895</v>
      </c>
      <c r="N34" s="163" t="s">
        <v>1</v>
      </c>
      <c r="O34" s="164">
        <v>1</v>
      </c>
      <c r="P34" s="170"/>
      <c r="Q34" s="171"/>
      <c r="R34" s="178">
        <v>1062</v>
      </c>
      <c r="S34" s="172"/>
    </row>
    <row r="35" spans="1:19" ht="16.5" customHeight="1" x14ac:dyDescent="0.3">
      <c r="A35" s="147">
        <v>15</v>
      </c>
      <c r="B35" s="147">
        <v>7315</v>
      </c>
      <c r="C35" s="155" t="s">
        <v>7169</v>
      </c>
      <c r="D35" s="156" t="s">
        <v>17339</v>
      </c>
      <c r="E35" s="157">
        <v>758</v>
      </c>
      <c r="F35" s="158" t="s">
        <v>0</v>
      </c>
      <c r="G35" s="156" t="s">
        <v>17480</v>
      </c>
      <c r="H35" s="157">
        <v>84</v>
      </c>
      <c r="I35" s="158" t="s">
        <v>0</v>
      </c>
      <c r="J35" s="169"/>
      <c r="K35" s="153"/>
      <c r="L35" s="152"/>
      <c r="M35" s="162"/>
      <c r="N35" s="163"/>
      <c r="O35" s="164"/>
      <c r="P35" s="170"/>
      <c r="Q35" s="171"/>
      <c r="R35" s="178">
        <v>1099</v>
      </c>
      <c r="S35" s="172"/>
    </row>
    <row r="36" spans="1:19" ht="16.5" customHeight="1" x14ac:dyDescent="0.3">
      <c r="A36" s="147">
        <v>15</v>
      </c>
      <c r="B36" s="147">
        <v>7316</v>
      </c>
      <c r="C36" s="155" t="s">
        <v>7168</v>
      </c>
      <c r="D36" s="167" t="s">
        <v>17300</v>
      </c>
      <c r="E36" s="150"/>
      <c r="F36" s="168"/>
      <c r="G36" s="167" t="s">
        <v>17312</v>
      </c>
      <c r="H36" s="150"/>
      <c r="I36" s="168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6"/>
      <c r="Q36" s="168"/>
      <c r="R36" s="178">
        <v>1099</v>
      </c>
      <c r="S36" s="177"/>
    </row>
    <row r="37" spans="1:19" ht="16.5" customHeight="1" x14ac:dyDescent="0.3"/>
    <row r="38" spans="1:1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0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theme="1" tint="0.249977111117893"/>
    <pageSetUpPr fitToPage="1"/>
  </sheetPr>
  <dimension ref="A1:Z55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62890625" style="45" customWidth="1"/>
    <col min="5" max="5" width="4.1015625" style="46" bestFit="1" customWidth="1"/>
    <col min="6" max="6" width="4.734375" style="46" bestFit="1" customWidth="1"/>
    <col min="7" max="7" width="12.62890625" style="45" customWidth="1"/>
    <col min="8" max="8" width="4.1015625" style="46" bestFit="1" customWidth="1"/>
    <col min="9" max="9" width="4.734375" style="46" bestFit="1" customWidth="1"/>
    <col min="10" max="10" width="12.62890625" style="45" customWidth="1"/>
    <col min="11" max="11" width="4.1015625" style="46" bestFit="1" customWidth="1"/>
    <col min="12" max="12" width="4.734375" style="46" bestFit="1" customWidth="1"/>
    <col min="13" max="13" width="16.62890625" style="46" customWidth="1"/>
    <col min="14" max="14" width="3.1015625" style="46" bestFit="1" customWidth="1"/>
    <col min="15" max="15" width="4.1015625" style="47" bestFit="1" customWidth="1"/>
    <col min="16" max="16" width="26.62890625" style="46" customWidth="1"/>
    <col min="17" max="17" width="3.1015625" style="46" bestFit="1" customWidth="1"/>
    <col min="18" max="18" width="5" style="47" bestFit="1" customWidth="1"/>
    <col min="19" max="19" width="3.1015625" style="46" bestFit="1" customWidth="1"/>
    <col min="20" max="20" width="4.1015625" style="47" customWidth="1"/>
    <col min="21" max="21" width="4.734375" style="46" bestFit="1" customWidth="1"/>
    <col min="22" max="22" width="3.1015625" style="46" bestFit="1" customWidth="1"/>
    <col min="23" max="23" width="4.1015625" style="47" customWidth="1"/>
    <col min="24" max="24" width="4.734375" style="46" bestFit="1" customWidth="1"/>
    <col min="25" max="25" width="6.3671875" style="84" bestFit="1" customWidth="1"/>
    <col min="26" max="26" width="7.734375" style="48" bestFit="1" customWidth="1"/>
    <col min="27" max="16384" width="9" style="49"/>
  </cols>
  <sheetData>
    <row r="1" spans="1:26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4"/>
      <c r="T1" s="135"/>
      <c r="U1" s="134"/>
      <c r="V1" s="134"/>
      <c r="W1" s="135"/>
      <c r="X1" s="134"/>
      <c r="Y1" s="136"/>
      <c r="Z1" s="137"/>
    </row>
    <row r="2" spans="1:26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4"/>
      <c r="T2" s="135"/>
      <c r="U2" s="134"/>
      <c r="V2" s="134"/>
      <c r="W2" s="135"/>
      <c r="X2" s="134"/>
      <c r="Y2" s="136"/>
      <c r="Z2" s="137"/>
    </row>
    <row r="3" spans="1:26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4"/>
      <c r="T3" s="135"/>
      <c r="U3" s="134"/>
      <c r="V3" s="134"/>
      <c r="W3" s="135"/>
      <c r="X3" s="134"/>
      <c r="Y3" s="136"/>
      <c r="Z3" s="137"/>
    </row>
    <row r="4" spans="1:26" ht="16.5" customHeight="1" x14ac:dyDescent="0.3">
      <c r="A4" s="132"/>
      <c r="B4" s="138" t="s">
        <v>7243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4"/>
      <c r="T4" s="135"/>
      <c r="U4" s="134"/>
      <c r="V4" s="134"/>
      <c r="W4" s="135"/>
      <c r="X4" s="134"/>
      <c r="Y4" s="136"/>
      <c r="Z4" s="137"/>
    </row>
    <row r="5" spans="1:2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4"/>
      <c r="T5" s="145"/>
      <c r="U5" s="144"/>
      <c r="V5" s="144"/>
      <c r="W5" s="145"/>
      <c r="X5" s="144"/>
      <c r="Y5" s="146" t="s">
        <v>5869</v>
      </c>
      <c r="Z5" s="146" t="s">
        <v>5871</v>
      </c>
    </row>
    <row r="6" spans="1:2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79" t="s">
        <v>5872</v>
      </c>
      <c r="H6" s="180"/>
      <c r="I6" s="181"/>
      <c r="J6" s="179" t="s">
        <v>5873</v>
      </c>
      <c r="K6" s="180"/>
      <c r="L6" s="181"/>
      <c r="M6" s="150"/>
      <c r="N6" s="150"/>
      <c r="O6" s="151"/>
      <c r="P6" s="150"/>
      <c r="Q6" s="150"/>
      <c r="R6" s="151"/>
      <c r="S6" s="153"/>
      <c r="T6" s="152"/>
      <c r="U6" s="153"/>
      <c r="V6" s="153"/>
      <c r="W6" s="152"/>
      <c r="X6" s="153"/>
      <c r="Y6" s="154" t="s">
        <v>5870</v>
      </c>
      <c r="Z6" s="154" t="s">
        <v>0</v>
      </c>
    </row>
    <row r="7" spans="1:26" ht="16.5" customHeight="1" x14ac:dyDescent="0.3">
      <c r="A7" s="147">
        <v>15</v>
      </c>
      <c r="B7" s="147">
        <v>7317</v>
      </c>
      <c r="C7" s="155" t="s">
        <v>7242</v>
      </c>
      <c r="D7" s="156" t="s">
        <v>17506</v>
      </c>
      <c r="E7" s="157">
        <v>257</v>
      </c>
      <c r="F7" s="158" t="s">
        <v>0</v>
      </c>
      <c r="G7" s="156" t="s">
        <v>17384</v>
      </c>
      <c r="H7" s="157">
        <v>501</v>
      </c>
      <c r="I7" s="158" t="s">
        <v>0</v>
      </c>
      <c r="J7" s="156" t="s">
        <v>17494</v>
      </c>
      <c r="K7" s="157">
        <v>84</v>
      </c>
      <c r="L7" s="158" t="s">
        <v>0</v>
      </c>
      <c r="M7" s="159"/>
      <c r="N7" s="160"/>
      <c r="O7" s="161"/>
      <c r="P7" s="162"/>
      <c r="Q7" s="163"/>
      <c r="R7" s="164"/>
      <c r="S7" s="159"/>
      <c r="T7" s="161"/>
      <c r="U7" s="158"/>
      <c r="V7" s="159"/>
      <c r="W7" s="161"/>
      <c r="X7" s="158"/>
      <c r="Y7" s="216">
        <v>909</v>
      </c>
      <c r="Z7" s="142" t="s">
        <v>5863</v>
      </c>
    </row>
    <row r="8" spans="1:26" ht="16.5" customHeight="1" x14ac:dyDescent="0.3">
      <c r="A8" s="147">
        <v>15</v>
      </c>
      <c r="B8" s="147">
        <v>7318</v>
      </c>
      <c r="C8" s="155" t="s">
        <v>7241</v>
      </c>
      <c r="D8" s="188" t="s">
        <v>17144</v>
      </c>
      <c r="E8" s="153"/>
      <c r="F8" s="171"/>
      <c r="G8" s="167" t="s">
        <v>17485</v>
      </c>
      <c r="H8" s="150"/>
      <c r="I8" s="168"/>
      <c r="J8" s="188" t="s">
        <v>16973</v>
      </c>
      <c r="K8" s="153"/>
      <c r="L8" s="171"/>
      <c r="M8" s="169"/>
      <c r="N8" s="153"/>
      <c r="O8" s="152"/>
      <c r="P8" s="197" t="s">
        <v>5895</v>
      </c>
      <c r="Q8" s="163" t="s">
        <v>1</v>
      </c>
      <c r="R8" s="164">
        <v>1</v>
      </c>
      <c r="S8" s="169"/>
      <c r="T8" s="152"/>
      <c r="U8" s="171"/>
      <c r="V8" s="169"/>
      <c r="W8" s="152"/>
      <c r="X8" s="171"/>
      <c r="Y8" s="216">
        <v>909</v>
      </c>
      <c r="Z8" s="172"/>
    </row>
    <row r="9" spans="1:26" ht="16.5" customHeight="1" x14ac:dyDescent="0.3">
      <c r="A9" s="147">
        <v>15</v>
      </c>
      <c r="B9" s="147">
        <v>7319</v>
      </c>
      <c r="C9" s="155" t="s">
        <v>7240</v>
      </c>
      <c r="D9" s="188"/>
      <c r="E9" s="153"/>
      <c r="F9" s="171"/>
      <c r="G9" s="156" t="s">
        <v>17505</v>
      </c>
      <c r="H9" s="157">
        <v>417</v>
      </c>
      <c r="I9" s="158" t="s">
        <v>0</v>
      </c>
      <c r="J9" s="156" t="s">
        <v>17071</v>
      </c>
      <c r="K9" s="157">
        <v>83</v>
      </c>
      <c r="L9" s="158" t="s">
        <v>0</v>
      </c>
      <c r="M9" s="169"/>
      <c r="N9" s="153"/>
      <c r="O9" s="152"/>
      <c r="P9" s="162"/>
      <c r="Q9" s="163"/>
      <c r="R9" s="164"/>
      <c r="S9" s="169"/>
      <c r="T9" s="152"/>
      <c r="U9" s="171"/>
      <c r="V9" s="169"/>
      <c r="W9" s="152"/>
      <c r="X9" s="171"/>
      <c r="Y9" s="216">
        <v>813</v>
      </c>
      <c r="Z9" s="172"/>
    </row>
    <row r="10" spans="1:26" ht="16.5" customHeight="1" x14ac:dyDescent="0.3">
      <c r="A10" s="147">
        <v>15</v>
      </c>
      <c r="B10" s="147">
        <v>7320</v>
      </c>
      <c r="C10" s="155" t="s">
        <v>7239</v>
      </c>
      <c r="D10" s="188"/>
      <c r="E10" s="153"/>
      <c r="F10" s="171"/>
      <c r="G10" s="188" t="s">
        <v>16984</v>
      </c>
      <c r="H10" s="153"/>
      <c r="I10" s="171"/>
      <c r="J10" s="188" t="s">
        <v>16973</v>
      </c>
      <c r="K10" s="153"/>
      <c r="L10" s="171"/>
      <c r="M10" s="169"/>
      <c r="N10" s="153"/>
      <c r="O10" s="152"/>
      <c r="P10" s="197" t="s">
        <v>5895</v>
      </c>
      <c r="Q10" s="163" t="s">
        <v>1</v>
      </c>
      <c r="R10" s="164">
        <v>1</v>
      </c>
      <c r="S10" s="169"/>
      <c r="T10" s="152"/>
      <c r="U10" s="171"/>
      <c r="V10" s="169"/>
      <c r="W10" s="152"/>
      <c r="X10" s="171"/>
      <c r="Y10" s="216">
        <v>813</v>
      </c>
      <c r="Z10" s="172"/>
    </row>
    <row r="11" spans="1:26" ht="16.5" customHeight="1" x14ac:dyDescent="0.3">
      <c r="A11" s="147">
        <v>15</v>
      </c>
      <c r="B11" s="147">
        <v>7321</v>
      </c>
      <c r="C11" s="155" t="s">
        <v>7238</v>
      </c>
      <c r="D11" s="188"/>
      <c r="E11" s="153"/>
      <c r="F11" s="171"/>
      <c r="G11" s="188" t="s">
        <v>16983</v>
      </c>
      <c r="H11" s="153"/>
      <c r="I11" s="171"/>
      <c r="J11" s="156" t="s">
        <v>17038</v>
      </c>
      <c r="K11" s="157">
        <v>167</v>
      </c>
      <c r="L11" s="158" t="s">
        <v>0</v>
      </c>
      <c r="M11" s="169"/>
      <c r="N11" s="153"/>
      <c r="O11" s="152"/>
      <c r="P11" s="162"/>
      <c r="Q11" s="163"/>
      <c r="R11" s="164"/>
      <c r="S11" s="169"/>
      <c r="T11" s="152"/>
      <c r="U11" s="171"/>
      <c r="V11" s="169"/>
      <c r="W11" s="152"/>
      <c r="X11" s="171"/>
      <c r="Y11" s="216">
        <v>925</v>
      </c>
      <c r="Z11" s="172"/>
    </row>
    <row r="12" spans="1:26" ht="16.5" customHeight="1" x14ac:dyDescent="0.3">
      <c r="A12" s="147">
        <v>15</v>
      </c>
      <c r="B12" s="147">
        <v>7322</v>
      </c>
      <c r="C12" s="155" t="s">
        <v>7237</v>
      </c>
      <c r="D12" s="188"/>
      <c r="E12" s="153"/>
      <c r="F12" s="171"/>
      <c r="G12" s="167"/>
      <c r="H12" s="150"/>
      <c r="I12" s="168"/>
      <c r="J12" s="167" t="s">
        <v>17492</v>
      </c>
      <c r="K12" s="150"/>
      <c r="L12" s="168"/>
      <c r="M12" s="188" t="s">
        <v>17488</v>
      </c>
      <c r="N12" s="153"/>
      <c r="O12" s="152"/>
      <c r="P12" s="197" t="s">
        <v>5895</v>
      </c>
      <c r="Q12" s="163" t="s">
        <v>1</v>
      </c>
      <c r="R12" s="164">
        <v>1</v>
      </c>
      <c r="S12" s="188" t="s">
        <v>17395</v>
      </c>
      <c r="T12" s="152"/>
      <c r="U12" s="171"/>
      <c r="V12" s="188" t="s">
        <v>7236</v>
      </c>
      <c r="W12" s="152"/>
      <c r="X12" s="171"/>
      <c r="Y12" s="216">
        <v>925</v>
      </c>
      <c r="Z12" s="172"/>
    </row>
    <row r="13" spans="1:26" ht="16.5" customHeight="1" x14ac:dyDescent="0.3">
      <c r="A13" s="147">
        <v>15</v>
      </c>
      <c r="B13" s="147">
        <v>7323</v>
      </c>
      <c r="C13" s="155" t="s">
        <v>7235</v>
      </c>
      <c r="D13" s="156" t="s">
        <v>17504</v>
      </c>
      <c r="E13" s="157">
        <v>406</v>
      </c>
      <c r="F13" s="158" t="s">
        <v>0</v>
      </c>
      <c r="G13" s="156" t="s">
        <v>17489</v>
      </c>
      <c r="H13" s="157">
        <v>352</v>
      </c>
      <c r="I13" s="158" t="s">
        <v>0</v>
      </c>
      <c r="J13" s="156" t="s">
        <v>17494</v>
      </c>
      <c r="K13" s="157">
        <v>84</v>
      </c>
      <c r="L13" s="158" t="s">
        <v>0</v>
      </c>
      <c r="M13" s="188" t="s">
        <v>16970</v>
      </c>
      <c r="N13" s="153" t="s">
        <v>1</v>
      </c>
      <c r="O13" s="152">
        <v>0.9</v>
      </c>
      <c r="P13" s="162"/>
      <c r="Q13" s="163"/>
      <c r="R13" s="164"/>
      <c r="S13" s="169" t="s">
        <v>1</v>
      </c>
      <c r="T13" s="152">
        <v>0.25</v>
      </c>
      <c r="U13" s="217" t="s">
        <v>422</v>
      </c>
      <c r="V13" s="169" t="s">
        <v>1</v>
      </c>
      <c r="W13" s="152">
        <v>0.5</v>
      </c>
      <c r="X13" s="218" t="s">
        <v>422</v>
      </c>
      <c r="Y13" s="216">
        <v>875</v>
      </c>
      <c r="Z13" s="172"/>
    </row>
    <row r="14" spans="1:26" ht="16.5" customHeight="1" x14ac:dyDescent="0.3">
      <c r="A14" s="147">
        <v>15</v>
      </c>
      <c r="B14" s="147">
        <v>7324</v>
      </c>
      <c r="C14" s="155" t="s">
        <v>7234</v>
      </c>
      <c r="D14" s="167" t="s">
        <v>17492</v>
      </c>
      <c r="E14" s="150"/>
      <c r="F14" s="168"/>
      <c r="G14" s="167" t="s">
        <v>17388</v>
      </c>
      <c r="H14" s="150"/>
      <c r="I14" s="168"/>
      <c r="J14" s="167" t="s">
        <v>16973</v>
      </c>
      <c r="K14" s="150"/>
      <c r="L14" s="168"/>
      <c r="M14" s="169"/>
      <c r="N14" s="153"/>
      <c r="O14" s="152"/>
      <c r="P14" s="197" t="s">
        <v>5895</v>
      </c>
      <c r="Q14" s="163" t="s">
        <v>1</v>
      </c>
      <c r="R14" s="164">
        <v>1</v>
      </c>
      <c r="S14" s="169"/>
      <c r="T14" s="152"/>
      <c r="U14" s="171"/>
      <c r="V14" s="169"/>
      <c r="W14" s="152"/>
      <c r="X14" s="171"/>
      <c r="Y14" s="216">
        <v>875</v>
      </c>
      <c r="Z14" s="172"/>
    </row>
    <row r="15" spans="1:26" ht="16.5" customHeight="1" x14ac:dyDescent="0.3">
      <c r="A15" s="147">
        <v>15</v>
      </c>
      <c r="B15" s="147">
        <v>7325</v>
      </c>
      <c r="C15" s="155" t="s">
        <v>7233</v>
      </c>
      <c r="D15" s="156" t="s">
        <v>17385</v>
      </c>
      <c r="E15" s="157">
        <v>257</v>
      </c>
      <c r="F15" s="158" t="s">
        <v>0</v>
      </c>
      <c r="G15" s="156" t="s">
        <v>17489</v>
      </c>
      <c r="H15" s="157">
        <v>334</v>
      </c>
      <c r="I15" s="158" t="s">
        <v>0</v>
      </c>
      <c r="J15" s="156" t="s">
        <v>17058</v>
      </c>
      <c r="K15" s="157">
        <v>83</v>
      </c>
      <c r="L15" s="158" t="s">
        <v>0</v>
      </c>
      <c r="M15" s="169"/>
      <c r="N15" s="153"/>
      <c r="O15" s="152"/>
      <c r="P15" s="162"/>
      <c r="Q15" s="163"/>
      <c r="R15" s="164"/>
      <c r="S15" s="169"/>
      <c r="T15" s="152"/>
      <c r="U15" s="171"/>
      <c r="V15" s="169"/>
      <c r="W15" s="152"/>
      <c r="X15" s="171"/>
      <c r="Y15" s="216">
        <v>720</v>
      </c>
      <c r="Z15" s="172"/>
    </row>
    <row r="16" spans="1:26" ht="16.5" customHeight="1" x14ac:dyDescent="0.3">
      <c r="A16" s="147">
        <v>15</v>
      </c>
      <c r="B16" s="147">
        <v>7326</v>
      </c>
      <c r="C16" s="155" t="s">
        <v>7232</v>
      </c>
      <c r="D16" s="188" t="s">
        <v>16973</v>
      </c>
      <c r="E16" s="153"/>
      <c r="F16" s="171"/>
      <c r="G16" s="188" t="s">
        <v>16978</v>
      </c>
      <c r="H16" s="153"/>
      <c r="I16" s="171"/>
      <c r="J16" s="167" t="s">
        <v>16973</v>
      </c>
      <c r="K16" s="150"/>
      <c r="L16" s="168"/>
      <c r="M16" s="169"/>
      <c r="N16" s="153"/>
      <c r="O16" s="152"/>
      <c r="P16" s="197" t="s">
        <v>5895</v>
      </c>
      <c r="Q16" s="163" t="s">
        <v>1</v>
      </c>
      <c r="R16" s="164">
        <v>1</v>
      </c>
      <c r="S16" s="169"/>
      <c r="T16" s="152"/>
      <c r="U16" s="171"/>
      <c r="V16" s="169"/>
      <c r="W16" s="152"/>
      <c r="X16" s="171"/>
      <c r="Y16" s="216">
        <v>720</v>
      </c>
      <c r="Z16" s="172"/>
    </row>
    <row r="17" spans="1:26" ht="16.5" customHeight="1" x14ac:dyDescent="0.3">
      <c r="A17" s="147">
        <v>15</v>
      </c>
      <c r="B17" s="147">
        <v>7327</v>
      </c>
      <c r="C17" s="155" t="s">
        <v>7231</v>
      </c>
      <c r="D17" s="188"/>
      <c r="E17" s="153"/>
      <c r="F17" s="171"/>
      <c r="G17" s="188" t="s">
        <v>16977</v>
      </c>
      <c r="H17" s="153"/>
      <c r="I17" s="171"/>
      <c r="J17" s="156" t="s">
        <v>17493</v>
      </c>
      <c r="K17" s="157">
        <v>167</v>
      </c>
      <c r="L17" s="158" t="s">
        <v>0</v>
      </c>
      <c r="M17" s="169"/>
      <c r="N17" s="153"/>
      <c r="O17" s="152"/>
      <c r="P17" s="162"/>
      <c r="Q17" s="163"/>
      <c r="R17" s="164"/>
      <c r="S17" s="169"/>
      <c r="T17" s="152"/>
      <c r="U17" s="171"/>
      <c r="V17" s="169"/>
      <c r="W17" s="152"/>
      <c r="X17" s="171"/>
      <c r="Y17" s="216">
        <v>832</v>
      </c>
      <c r="Z17" s="172"/>
    </row>
    <row r="18" spans="1:26" ht="16.5" customHeight="1" x14ac:dyDescent="0.3">
      <c r="A18" s="147">
        <v>15</v>
      </c>
      <c r="B18" s="147">
        <v>7328</v>
      </c>
      <c r="C18" s="155" t="s">
        <v>7230</v>
      </c>
      <c r="D18" s="188"/>
      <c r="E18" s="153"/>
      <c r="F18" s="171"/>
      <c r="G18" s="188"/>
      <c r="H18" s="153"/>
      <c r="I18" s="171"/>
      <c r="J18" s="167" t="s">
        <v>17362</v>
      </c>
      <c r="K18" s="150"/>
      <c r="L18" s="168"/>
      <c r="M18" s="169"/>
      <c r="N18" s="153"/>
      <c r="O18" s="152"/>
      <c r="P18" s="197" t="s">
        <v>5895</v>
      </c>
      <c r="Q18" s="163" t="s">
        <v>1</v>
      </c>
      <c r="R18" s="164">
        <v>1</v>
      </c>
      <c r="S18" s="169"/>
      <c r="T18" s="152"/>
      <c r="U18" s="171"/>
      <c r="V18" s="169"/>
      <c r="W18" s="152"/>
      <c r="X18" s="171"/>
      <c r="Y18" s="216">
        <v>832</v>
      </c>
      <c r="Z18" s="172"/>
    </row>
    <row r="19" spans="1:26" ht="16.5" customHeight="1" x14ac:dyDescent="0.3">
      <c r="A19" s="147">
        <v>15</v>
      </c>
      <c r="B19" s="147">
        <v>7329</v>
      </c>
      <c r="C19" s="155" t="s">
        <v>7229</v>
      </c>
      <c r="D19" s="188"/>
      <c r="E19" s="153"/>
      <c r="F19" s="171"/>
      <c r="G19" s="188"/>
      <c r="H19" s="153"/>
      <c r="I19" s="171"/>
      <c r="J19" s="156" t="s">
        <v>17499</v>
      </c>
      <c r="K19" s="157">
        <v>251</v>
      </c>
      <c r="L19" s="158" t="s">
        <v>0</v>
      </c>
      <c r="M19" s="169"/>
      <c r="N19" s="153"/>
      <c r="O19" s="152"/>
      <c r="P19" s="162"/>
      <c r="Q19" s="163"/>
      <c r="R19" s="164"/>
      <c r="S19" s="169"/>
      <c r="T19" s="152"/>
      <c r="U19" s="171"/>
      <c r="V19" s="169"/>
      <c r="W19" s="152"/>
      <c r="X19" s="171"/>
      <c r="Y19" s="216">
        <v>946</v>
      </c>
      <c r="Z19" s="172"/>
    </row>
    <row r="20" spans="1:26" ht="16.5" customHeight="1" x14ac:dyDescent="0.3">
      <c r="A20" s="147">
        <v>15</v>
      </c>
      <c r="B20" s="147">
        <v>7330</v>
      </c>
      <c r="C20" s="155" t="s">
        <v>7228</v>
      </c>
      <c r="D20" s="167"/>
      <c r="E20" s="150"/>
      <c r="F20" s="168"/>
      <c r="G20" s="167"/>
      <c r="H20" s="150"/>
      <c r="I20" s="168"/>
      <c r="J20" s="167" t="s">
        <v>17496</v>
      </c>
      <c r="K20" s="150"/>
      <c r="L20" s="168"/>
      <c r="M20" s="169"/>
      <c r="N20" s="153"/>
      <c r="O20" s="152"/>
      <c r="P20" s="197" t="s">
        <v>5895</v>
      </c>
      <c r="Q20" s="163" t="s">
        <v>1</v>
      </c>
      <c r="R20" s="164">
        <v>1</v>
      </c>
      <c r="S20" s="169"/>
      <c r="T20" s="152"/>
      <c r="U20" s="171"/>
      <c r="V20" s="169"/>
      <c r="W20" s="152"/>
      <c r="X20" s="171"/>
      <c r="Y20" s="216">
        <v>946</v>
      </c>
      <c r="Z20" s="172"/>
    </row>
    <row r="21" spans="1:26" ht="16.5" customHeight="1" x14ac:dyDescent="0.3">
      <c r="A21" s="147">
        <v>15</v>
      </c>
      <c r="B21" s="147">
        <v>7331</v>
      </c>
      <c r="C21" s="155" t="s">
        <v>7227</v>
      </c>
      <c r="D21" s="156" t="s">
        <v>17503</v>
      </c>
      <c r="E21" s="157">
        <v>406</v>
      </c>
      <c r="F21" s="158" t="s">
        <v>0</v>
      </c>
      <c r="G21" s="156" t="s">
        <v>17502</v>
      </c>
      <c r="H21" s="157">
        <v>268</v>
      </c>
      <c r="I21" s="158" t="s">
        <v>0</v>
      </c>
      <c r="J21" s="156" t="s">
        <v>17494</v>
      </c>
      <c r="K21" s="157">
        <v>84</v>
      </c>
      <c r="L21" s="158" t="s">
        <v>0</v>
      </c>
      <c r="M21" s="169"/>
      <c r="N21" s="153"/>
      <c r="O21" s="152"/>
      <c r="P21" s="162"/>
      <c r="Q21" s="163"/>
      <c r="R21" s="164"/>
      <c r="S21" s="169"/>
      <c r="T21" s="152"/>
      <c r="U21" s="171"/>
      <c r="V21" s="169"/>
      <c r="W21" s="152"/>
      <c r="X21" s="171"/>
      <c r="Y21" s="216">
        <v>780</v>
      </c>
      <c r="Z21" s="172"/>
    </row>
    <row r="22" spans="1:26" ht="16.5" customHeight="1" x14ac:dyDescent="0.3">
      <c r="A22" s="147">
        <v>15</v>
      </c>
      <c r="B22" s="147">
        <v>7332</v>
      </c>
      <c r="C22" s="155" t="s">
        <v>7226</v>
      </c>
      <c r="D22" s="188" t="s">
        <v>16978</v>
      </c>
      <c r="E22" s="153"/>
      <c r="F22" s="171"/>
      <c r="G22" s="188" t="s">
        <v>17067</v>
      </c>
      <c r="H22" s="153"/>
      <c r="I22" s="171"/>
      <c r="J22" s="167" t="s">
        <v>16973</v>
      </c>
      <c r="K22" s="150"/>
      <c r="L22" s="168"/>
      <c r="M22" s="169"/>
      <c r="N22" s="153"/>
      <c r="O22" s="152"/>
      <c r="P22" s="197" t="s">
        <v>5895</v>
      </c>
      <c r="Q22" s="163" t="s">
        <v>1</v>
      </c>
      <c r="R22" s="164">
        <v>1</v>
      </c>
      <c r="S22" s="169"/>
      <c r="T22" s="152"/>
      <c r="U22" s="171"/>
      <c r="V22" s="169"/>
      <c r="W22" s="152"/>
      <c r="X22" s="171"/>
      <c r="Y22" s="216">
        <v>780</v>
      </c>
      <c r="Z22" s="172"/>
    </row>
    <row r="23" spans="1:26" ht="16.5" customHeight="1" x14ac:dyDescent="0.3">
      <c r="A23" s="147">
        <v>15</v>
      </c>
      <c r="B23" s="147">
        <v>7333</v>
      </c>
      <c r="C23" s="155" t="s">
        <v>7225</v>
      </c>
      <c r="D23" s="188" t="s">
        <v>16977</v>
      </c>
      <c r="E23" s="153"/>
      <c r="F23" s="171"/>
      <c r="G23" s="188" t="s">
        <v>17060</v>
      </c>
      <c r="H23" s="153"/>
      <c r="I23" s="171"/>
      <c r="J23" s="156" t="s">
        <v>17493</v>
      </c>
      <c r="K23" s="157">
        <v>168</v>
      </c>
      <c r="L23" s="158" t="s">
        <v>0</v>
      </c>
      <c r="M23" s="169"/>
      <c r="N23" s="153"/>
      <c r="O23" s="152"/>
      <c r="P23" s="162"/>
      <c r="Q23" s="163"/>
      <c r="R23" s="164"/>
      <c r="S23" s="169"/>
      <c r="T23" s="152"/>
      <c r="U23" s="171"/>
      <c r="V23" s="169"/>
      <c r="W23" s="152"/>
      <c r="X23" s="171"/>
      <c r="Y23" s="216">
        <v>893</v>
      </c>
      <c r="Z23" s="172"/>
    </row>
    <row r="24" spans="1:26" ht="16.5" customHeight="1" x14ac:dyDescent="0.3">
      <c r="A24" s="147">
        <v>15</v>
      </c>
      <c r="B24" s="147">
        <v>7334</v>
      </c>
      <c r="C24" s="155" t="s">
        <v>7224</v>
      </c>
      <c r="D24" s="167"/>
      <c r="E24" s="150"/>
      <c r="F24" s="168"/>
      <c r="G24" s="167"/>
      <c r="H24" s="150"/>
      <c r="I24" s="168"/>
      <c r="J24" s="167" t="s">
        <v>17389</v>
      </c>
      <c r="K24" s="150"/>
      <c r="L24" s="168"/>
      <c r="M24" s="169"/>
      <c r="N24" s="153"/>
      <c r="O24" s="152"/>
      <c r="P24" s="197" t="s">
        <v>5895</v>
      </c>
      <c r="Q24" s="163" t="s">
        <v>1</v>
      </c>
      <c r="R24" s="164">
        <v>1</v>
      </c>
      <c r="S24" s="169"/>
      <c r="T24" s="152"/>
      <c r="U24" s="171"/>
      <c r="V24" s="169"/>
      <c r="W24" s="152"/>
      <c r="X24" s="171"/>
      <c r="Y24" s="216">
        <v>893</v>
      </c>
      <c r="Z24" s="172"/>
    </row>
    <row r="25" spans="1:26" ht="16.5" customHeight="1" x14ac:dyDescent="0.3">
      <c r="A25" s="147">
        <v>15</v>
      </c>
      <c r="B25" s="147">
        <v>7335</v>
      </c>
      <c r="C25" s="155" t="s">
        <v>7223</v>
      </c>
      <c r="D25" s="156" t="s">
        <v>17501</v>
      </c>
      <c r="E25" s="157">
        <v>591</v>
      </c>
      <c r="F25" s="158" t="s">
        <v>0</v>
      </c>
      <c r="G25" s="156" t="s">
        <v>17489</v>
      </c>
      <c r="H25" s="157">
        <v>167</v>
      </c>
      <c r="I25" s="158" t="s">
        <v>0</v>
      </c>
      <c r="J25" s="156" t="s">
        <v>17494</v>
      </c>
      <c r="K25" s="157">
        <v>84</v>
      </c>
      <c r="L25" s="158" t="s">
        <v>0</v>
      </c>
      <c r="M25" s="169"/>
      <c r="N25" s="153"/>
      <c r="O25" s="152"/>
      <c r="P25" s="162"/>
      <c r="Q25" s="163"/>
      <c r="R25" s="164"/>
      <c r="S25" s="169"/>
      <c r="T25" s="152"/>
      <c r="U25" s="171"/>
      <c r="V25" s="169"/>
      <c r="W25" s="152"/>
      <c r="X25" s="171"/>
      <c r="Y25" s="216">
        <v>834</v>
      </c>
      <c r="Z25" s="172"/>
    </row>
    <row r="26" spans="1:26" ht="16.5" customHeight="1" x14ac:dyDescent="0.3">
      <c r="A26" s="147">
        <v>15</v>
      </c>
      <c r="B26" s="147">
        <v>7336</v>
      </c>
      <c r="C26" s="155" t="s">
        <v>7222</v>
      </c>
      <c r="D26" s="167" t="s">
        <v>17496</v>
      </c>
      <c r="E26" s="150"/>
      <c r="F26" s="168"/>
      <c r="G26" s="167" t="s">
        <v>17492</v>
      </c>
      <c r="H26" s="150"/>
      <c r="I26" s="168"/>
      <c r="J26" s="167" t="s">
        <v>17056</v>
      </c>
      <c r="K26" s="150"/>
      <c r="L26" s="168"/>
      <c r="M26" s="169"/>
      <c r="N26" s="153"/>
      <c r="O26" s="152"/>
      <c r="P26" s="197" t="s">
        <v>5895</v>
      </c>
      <c r="Q26" s="163" t="s">
        <v>1</v>
      </c>
      <c r="R26" s="164">
        <v>1</v>
      </c>
      <c r="S26" s="169"/>
      <c r="T26" s="152"/>
      <c r="U26" s="171"/>
      <c r="V26" s="169"/>
      <c r="W26" s="152"/>
      <c r="X26" s="171"/>
      <c r="Y26" s="216">
        <v>834</v>
      </c>
      <c r="Z26" s="172"/>
    </row>
    <row r="27" spans="1:26" ht="16.5" customHeight="1" x14ac:dyDescent="0.3">
      <c r="A27" s="147">
        <v>15</v>
      </c>
      <c r="B27" s="147">
        <v>7337</v>
      </c>
      <c r="C27" s="155" t="s">
        <v>7221</v>
      </c>
      <c r="D27" s="156" t="s">
        <v>17500</v>
      </c>
      <c r="E27" s="157">
        <v>257</v>
      </c>
      <c r="F27" s="158" t="s">
        <v>0</v>
      </c>
      <c r="G27" s="156" t="s">
        <v>17489</v>
      </c>
      <c r="H27" s="157">
        <v>149</v>
      </c>
      <c r="I27" s="158" t="s">
        <v>0</v>
      </c>
      <c r="J27" s="156" t="s">
        <v>17494</v>
      </c>
      <c r="K27" s="157">
        <v>185</v>
      </c>
      <c r="L27" s="158" t="s">
        <v>0</v>
      </c>
      <c r="M27" s="169"/>
      <c r="N27" s="153"/>
      <c r="O27" s="152"/>
      <c r="P27" s="162"/>
      <c r="Q27" s="163"/>
      <c r="R27" s="164"/>
      <c r="S27" s="169"/>
      <c r="T27" s="152"/>
      <c r="U27" s="171"/>
      <c r="V27" s="169"/>
      <c r="W27" s="152"/>
      <c r="X27" s="171"/>
      <c r="Y27" s="216">
        <v>650</v>
      </c>
      <c r="Z27" s="172"/>
    </row>
    <row r="28" spans="1:26" ht="16.5" customHeight="1" x14ac:dyDescent="0.3">
      <c r="A28" s="147">
        <v>15</v>
      </c>
      <c r="B28" s="147">
        <v>7338</v>
      </c>
      <c r="C28" s="155" t="s">
        <v>7220</v>
      </c>
      <c r="D28" s="188" t="s">
        <v>17144</v>
      </c>
      <c r="E28" s="153"/>
      <c r="F28" s="171"/>
      <c r="G28" s="188" t="s">
        <v>16973</v>
      </c>
      <c r="H28" s="153"/>
      <c r="I28" s="171"/>
      <c r="J28" s="167" t="s">
        <v>16973</v>
      </c>
      <c r="K28" s="150"/>
      <c r="L28" s="168"/>
      <c r="M28" s="169"/>
      <c r="N28" s="153"/>
      <c r="O28" s="152"/>
      <c r="P28" s="197" t="s">
        <v>5895</v>
      </c>
      <c r="Q28" s="163" t="s">
        <v>1</v>
      </c>
      <c r="R28" s="164">
        <v>1</v>
      </c>
      <c r="S28" s="169"/>
      <c r="T28" s="152"/>
      <c r="U28" s="171"/>
      <c r="V28" s="169"/>
      <c r="W28" s="152"/>
      <c r="X28" s="171"/>
      <c r="Y28" s="216">
        <v>650</v>
      </c>
      <c r="Z28" s="172"/>
    </row>
    <row r="29" spans="1:26" ht="16.5" customHeight="1" x14ac:dyDescent="0.3">
      <c r="A29" s="147">
        <v>15</v>
      </c>
      <c r="B29" s="147">
        <v>7339</v>
      </c>
      <c r="C29" s="155" t="s">
        <v>7219</v>
      </c>
      <c r="D29" s="188"/>
      <c r="E29" s="153"/>
      <c r="F29" s="171"/>
      <c r="G29" s="188"/>
      <c r="H29" s="153"/>
      <c r="I29" s="171"/>
      <c r="J29" s="156" t="s">
        <v>17493</v>
      </c>
      <c r="K29" s="157">
        <v>268</v>
      </c>
      <c r="L29" s="158" t="s">
        <v>0</v>
      </c>
      <c r="M29" s="169"/>
      <c r="N29" s="153"/>
      <c r="O29" s="152"/>
      <c r="P29" s="162"/>
      <c r="Q29" s="163"/>
      <c r="R29" s="164"/>
      <c r="S29" s="169"/>
      <c r="T29" s="152"/>
      <c r="U29" s="171"/>
      <c r="V29" s="169"/>
      <c r="W29" s="152"/>
      <c r="X29" s="171"/>
      <c r="Y29" s="216">
        <v>761</v>
      </c>
      <c r="Z29" s="172"/>
    </row>
    <row r="30" spans="1:26" ht="16.5" customHeight="1" x14ac:dyDescent="0.3">
      <c r="A30" s="147">
        <v>15</v>
      </c>
      <c r="B30" s="147">
        <v>7340</v>
      </c>
      <c r="C30" s="155" t="s">
        <v>7218</v>
      </c>
      <c r="D30" s="188"/>
      <c r="E30" s="153"/>
      <c r="F30" s="171"/>
      <c r="G30" s="188"/>
      <c r="H30" s="153"/>
      <c r="I30" s="171"/>
      <c r="J30" s="167" t="s">
        <v>17492</v>
      </c>
      <c r="K30" s="150"/>
      <c r="L30" s="168"/>
      <c r="M30" s="169"/>
      <c r="N30" s="153"/>
      <c r="O30" s="152"/>
      <c r="P30" s="197" t="s">
        <v>5895</v>
      </c>
      <c r="Q30" s="163" t="s">
        <v>1</v>
      </c>
      <c r="R30" s="164">
        <v>1</v>
      </c>
      <c r="S30" s="169"/>
      <c r="T30" s="152"/>
      <c r="U30" s="171"/>
      <c r="V30" s="169"/>
      <c r="W30" s="152"/>
      <c r="X30" s="171"/>
      <c r="Y30" s="216">
        <v>761</v>
      </c>
      <c r="Z30" s="172"/>
    </row>
    <row r="31" spans="1:26" ht="16.5" customHeight="1" x14ac:dyDescent="0.3">
      <c r="A31" s="147">
        <v>15</v>
      </c>
      <c r="B31" s="147">
        <v>7341</v>
      </c>
      <c r="C31" s="155" t="s">
        <v>7217</v>
      </c>
      <c r="D31" s="188"/>
      <c r="E31" s="153"/>
      <c r="F31" s="171"/>
      <c r="G31" s="188"/>
      <c r="H31" s="153"/>
      <c r="I31" s="171"/>
      <c r="J31" s="156" t="s">
        <v>17499</v>
      </c>
      <c r="K31" s="157">
        <v>352</v>
      </c>
      <c r="L31" s="158" t="s">
        <v>0</v>
      </c>
      <c r="M31" s="169"/>
      <c r="N31" s="153"/>
      <c r="O31" s="152"/>
      <c r="P31" s="162"/>
      <c r="Q31" s="163"/>
      <c r="R31" s="164"/>
      <c r="S31" s="169"/>
      <c r="T31" s="152"/>
      <c r="U31" s="171"/>
      <c r="V31" s="169"/>
      <c r="W31" s="152"/>
      <c r="X31" s="171"/>
      <c r="Y31" s="216">
        <v>875</v>
      </c>
      <c r="Z31" s="172"/>
    </row>
    <row r="32" spans="1:26" ht="16.5" customHeight="1" x14ac:dyDescent="0.3">
      <c r="A32" s="147">
        <v>15</v>
      </c>
      <c r="B32" s="147">
        <v>7342</v>
      </c>
      <c r="C32" s="155" t="s">
        <v>7216</v>
      </c>
      <c r="D32" s="188"/>
      <c r="E32" s="153"/>
      <c r="F32" s="171"/>
      <c r="G32" s="188"/>
      <c r="H32" s="153"/>
      <c r="I32" s="171"/>
      <c r="J32" s="167" t="s">
        <v>17496</v>
      </c>
      <c r="K32" s="150"/>
      <c r="L32" s="168"/>
      <c r="M32" s="169"/>
      <c r="N32" s="153"/>
      <c r="O32" s="152"/>
      <c r="P32" s="197" t="s">
        <v>5895</v>
      </c>
      <c r="Q32" s="163" t="s">
        <v>1</v>
      </c>
      <c r="R32" s="164">
        <v>1</v>
      </c>
      <c r="S32" s="169"/>
      <c r="T32" s="152"/>
      <c r="U32" s="171"/>
      <c r="V32" s="169"/>
      <c r="W32" s="152"/>
      <c r="X32" s="171"/>
      <c r="Y32" s="216">
        <v>875</v>
      </c>
      <c r="Z32" s="172"/>
    </row>
    <row r="33" spans="1:26" ht="16.5" customHeight="1" x14ac:dyDescent="0.3">
      <c r="A33" s="147">
        <v>15</v>
      </c>
      <c r="B33" s="147">
        <v>7343</v>
      </c>
      <c r="C33" s="155" t="s">
        <v>7215</v>
      </c>
      <c r="D33" s="188"/>
      <c r="E33" s="153"/>
      <c r="F33" s="171"/>
      <c r="G33" s="188"/>
      <c r="H33" s="153"/>
      <c r="I33" s="171"/>
      <c r="J33" s="156" t="s">
        <v>17498</v>
      </c>
      <c r="K33" s="157">
        <v>436</v>
      </c>
      <c r="L33" s="158" t="s">
        <v>0</v>
      </c>
      <c r="M33" s="169"/>
      <c r="N33" s="153"/>
      <c r="O33" s="152"/>
      <c r="P33" s="162"/>
      <c r="Q33" s="163"/>
      <c r="R33" s="164"/>
      <c r="S33" s="169"/>
      <c r="T33" s="152"/>
      <c r="U33" s="171"/>
      <c r="V33" s="169"/>
      <c r="W33" s="152"/>
      <c r="X33" s="171"/>
      <c r="Y33" s="216">
        <v>987</v>
      </c>
      <c r="Z33" s="172"/>
    </row>
    <row r="34" spans="1:26" ht="16.5" customHeight="1" x14ac:dyDescent="0.3">
      <c r="A34" s="147">
        <v>15</v>
      </c>
      <c r="B34" s="147">
        <v>7344</v>
      </c>
      <c r="C34" s="155" t="s">
        <v>7214</v>
      </c>
      <c r="D34" s="167"/>
      <c r="E34" s="150"/>
      <c r="F34" s="168"/>
      <c r="G34" s="167"/>
      <c r="H34" s="150"/>
      <c r="I34" s="168"/>
      <c r="J34" s="167" t="s">
        <v>17485</v>
      </c>
      <c r="K34" s="150"/>
      <c r="L34" s="168"/>
      <c r="M34" s="169"/>
      <c r="N34" s="153"/>
      <c r="O34" s="152"/>
      <c r="P34" s="197" t="s">
        <v>5895</v>
      </c>
      <c r="Q34" s="163" t="s">
        <v>1</v>
      </c>
      <c r="R34" s="164">
        <v>1</v>
      </c>
      <c r="S34" s="169"/>
      <c r="T34" s="152"/>
      <c r="U34" s="171"/>
      <c r="V34" s="169"/>
      <c r="W34" s="152"/>
      <c r="X34" s="171"/>
      <c r="Y34" s="216">
        <v>987</v>
      </c>
      <c r="Z34" s="172"/>
    </row>
    <row r="35" spans="1:26" ht="16.5" customHeight="1" x14ac:dyDescent="0.3">
      <c r="A35" s="147">
        <v>15</v>
      </c>
      <c r="B35" s="147">
        <v>7345</v>
      </c>
      <c r="C35" s="155" t="s">
        <v>7213</v>
      </c>
      <c r="D35" s="156" t="s">
        <v>17497</v>
      </c>
      <c r="E35" s="157">
        <v>406</v>
      </c>
      <c r="F35" s="158" t="s">
        <v>0</v>
      </c>
      <c r="G35" s="156" t="s">
        <v>17489</v>
      </c>
      <c r="H35" s="157">
        <v>185</v>
      </c>
      <c r="I35" s="158" t="s">
        <v>0</v>
      </c>
      <c r="J35" s="156" t="s">
        <v>17494</v>
      </c>
      <c r="K35" s="157">
        <v>83</v>
      </c>
      <c r="L35" s="158" t="s">
        <v>0</v>
      </c>
      <c r="M35" s="169"/>
      <c r="N35" s="153"/>
      <c r="O35" s="152"/>
      <c r="P35" s="162"/>
      <c r="Q35" s="163"/>
      <c r="R35" s="164"/>
      <c r="S35" s="169"/>
      <c r="T35" s="152"/>
      <c r="U35" s="171"/>
      <c r="V35" s="169"/>
      <c r="W35" s="152"/>
      <c r="X35" s="171"/>
      <c r="Y35" s="216">
        <v>687</v>
      </c>
      <c r="Z35" s="172"/>
    </row>
    <row r="36" spans="1:26" ht="16.5" customHeight="1" x14ac:dyDescent="0.3">
      <c r="A36" s="147">
        <v>15</v>
      </c>
      <c r="B36" s="147">
        <v>7346</v>
      </c>
      <c r="C36" s="155" t="s">
        <v>7212</v>
      </c>
      <c r="D36" s="188" t="s">
        <v>16978</v>
      </c>
      <c r="E36" s="153"/>
      <c r="F36" s="171"/>
      <c r="G36" s="188" t="s">
        <v>16973</v>
      </c>
      <c r="H36" s="153"/>
      <c r="I36" s="171"/>
      <c r="J36" s="167" t="s">
        <v>16973</v>
      </c>
      <c r="K36" s="150"/>
      <c r="L36" s="168"/>
      <c r="M36" s="169"/>
      <c r="N36" s="153"/>
      <c r="O36" s="152"/>
      <c r="P36" s="197" t="s">
        <v>5895</v>
      </c>
      <c r="Q36" s="163" t="s">
        <v>1</v>
      </c>
      <c r="R36" s="164">
        <v>1</v>
      </c>
      <c r="S36" s="169"/>
      <c r="T36" s="152"/>
      <c r="U36" s="171"/>
      <c r="V36" s="169"/>
      <c r="W36" s="152"/>
      <c r="X36" s="171"/>
      <c r="Y36" s="216">
        <v>687</v>
      </c>
      <c r="Z36" s="172"/>
    </row>
    <row r="37" spans="1:26" ht="16.5" customHeight="1" x14ac:dyDescent="0.3">
      <c r="A37" s="147">
        <v>15</v>
      </c>
      <c r="B37" s="147">
        <v>7347</v>
      </c>
      <c r="C37" s="155" t="s">
        <v>7211</v>
      </c>
      <c r="D37" s="188" t="s">
        <v>16977</v>
      </c>
      <c r="E37" s="153"/>
      <c r="F37" s="171"/>
      <c r="G37" s="188"/>
      <c r="H37" s="153"/>
      <c r="I37" s="171"/>
      <c r="J37" s="156" t="s">
        <v>17493</v>
      </c>
      <c r="K37" s="157">
        <v>167</v>
      </c>
      <c r="L37" s="158" t="s">
        <v>0</v>
      </c>
      <c r="M37" s="169"/>
      <c r="N37" s="153"/>
      <c r="O37" s="152"/>
      <c r="P37" s="162"/>
      <c r="Q37" s="163"/>
      <c r="R37" s="164"/>
      <c r="S37" s="169"/>
      <c r="T37" s="152"/>
      <c r="U37" s="171"/>
      <c r="V37" s="169"/>
      <c r="W37" s="152"/>
      <c r="X37" s="171"/>
      <c r="Y37" s="216">
        <v>799</v>
      </c>
      <c r="Z37" s="172"/>
    </row>
    <row r="38" spans="1:26" ht="16.5" customHeight="1" x14ac:dyDescent="0.3">
      <c r="A38" s="147">
        <v>15</v>
      </c>
      <c r="B38" s="147">
        <v>7348</v>
      </c>
      <c r="C38" s="155" t="s">
        <v>7210</v>
      </c>
      <c r="D38" s="188"/>
      <c r="E38" s="153"/>
      <c r="F38" s="171"/>
      <c r="G38" s="188"/>
      <c r="H38" s="153"/>
      <c r="I38" s="171"/>
      <c r="J38" s="167" t="s">
        <v>17389</v>
      </c>
      <c r="K38" s="150"/>
      <c r="L38" s="168"/>
      <c r="M38" s="169"/>
      <c r="N38" s="153"/>
      <c r="O38" s="152"/>
      <c r="P38" s="197" t="s">
        <v>5895</v>
      </c>
      <c r="Q38" s="163" t="s">
        <v>1</v>
      </c>
      <c r="R38" s="164">
        <v>1</v>
      </c>
      <c r="S38" s="169"/>
      <c r="T38" s="152"/>
      <c r="U38" s="171"/>
      <c r="V38" s="169"/>
      <c r="W38" s="152"/>
      <c r="X38" s="171"/>
      <c r="Y38" s="216">
        <v>799</v>
      </c>
      <c r="Z38" s="172"/>
    </row>
    <row r="39" spans="1:26" ht="16.5" customHeight="1" x14ac:dyDescent="0.3">
      <c r="A39" s="147">
        <v>15</v>
      </c>
      <c r="B39" s="147">
        <v>7349</v>
      </c>
      <c r="C39" s="155" t="s">
        <v>7209</v>
      </c>
      <c r="D39" s="188"/>
      <c r="E39" s="153"/>
      <c r="F39" s="171"/>
      <c r="G39" s="188"/>
      <c r="H39" s="153"/>
      <c r="I39" s="171"/>
      <c r="J39" s="156" t="s">
        <v>17066</v>
      </c>
      <c r="K39" s="157">
        <v>251</v>
      </c>
      <c r="L39" s="158" t="s">
        <v>0</v>
      </c>
      <c r="M39" s="169"/>
      <c r="N39" s="153"/>
      <c r="O39" s="152"/>
      <c r="P39" s="162"/>
      <c r="Q39" s="163"/>
      <c r="R39" s="164"/>
      <c r="S39" s="169"/>
      <c r="T39" s="152"/>
      <c r="U39" s="171"/>
      <c r="V39" s="169"/>
      <c r="W39" s="152"/>
      <c r="X39" s="171"/>
      <c r="Y39" s="216">
        <v>913</v>
      </c>
      <c r="Z39" s="172"/>
    </row>
    <row r="40" spans="1:26" ht="16.5" customHeight="1" x14ac:dyDescent="0.3">
      <c r="A40" s="147">
        <v>15</v>
      </c>
      <c r="B40" s="147">
        <v>7350</v>
      </c>
      <c r="C40" s="155" t="s">
        <v>7208</v>
      </c>
      <c r="D40" s="167"/>
      <c r="E40" s="150"/>
      <c r="F40" s="168"/>
      <c r="G40" s="167"/>
      <c r="H40" s="150"/>
      <c r="I40" s="168"/>
      <c r="J40" s="167" t="s">
        <v>17496</v>
      </c>
      <c r="K40" s="150"/>
      <c r="L40" s="168"/>
      <c r="M40" s="169"/>
      <c r="N40" s="153"/>
      <c r="O40" s="152"/>
      <c r="P40" s="197" t="s">
        <v>5895</v>
      </c>
      <c r="Q40" s="163" t="s">
        <v>1</v>
      </c>
      <c r="R40" s="164">
        <v>1</v>
      </c>
      <c r="S40" s="169"/>
      <c r="T40" s="152"/>
      <c r="U40" s="171"/>
      <c r="V40" s="169"/>
      <c r="W40" s="152"/>
      <c r="X40" s="171"/>
      <c r="Y40" s="216">
        <v>913</v>
      </c>
      <c r="Z40" s="172"/>
    </row>
    <row r="41" spans="1:26" ht="16.5" customHeight="1" x14ac:dyDescent="0.3">
      <c r="A41" s="147">
        <v>15</v>
      </c>
      <c r="B41" s="147">
        <v>7351</v>
      </c>
      <c r="C41" s="155" t="s">
        <v>7207</v>
      </c>
      <c r="D41" s="156" t="s">
        <v>17495</v>
      </c>
      <c r="E41" s="157">
        <v>591</v>
      </c>
      <c r="F41" s="158" t="s">
        <v>0</v>
      </c>
      <c r="G41" s="156" t="s">
        <v>17384</v>
      </c>
      <c r="H41" s="157">
        <v>83</v>
      </c>
      <c r="I41" s="158" t="s">
        <v>0</v>
      </c>
      <c r="J41" s="156" t="s">
        <v>17494</v>
      </c>
      <c r="K41" s="157">
        <v>84</v>
      </c>
      <c r="L41" s="158" t="s">
        <v>0</v>
      </c>
      <c r="M41" s="169"/>
      <c r="N41" s="153"/>
      <c r="O41" s="152"/>
      <c r="P41" s="162"/>
      <c r="Q41" s="163"/>
      <c r="R41" s="164"/>
      <c r="S41" s="169"/>
      <c r="T41" s="152"/>
      <c r="U41" s="171"/>
      <c r="V41" s="169"/>
      <c r="W41" s="152"/>
      <c r="X41" s="171"/>
      <c r="Y41" s="216">
        <v>740</v>
      </c>
      <c r="Z41" s="172"/>
    </row>
    <row r="42" spans="1:26" ht="16.5" customHeight="1" x14ac:dyDescent="0.3">
      <c r="A42" s="147">
        <v>15</v>
      </c>
      <c r="B42" s="147">
        <v>7352</v>
      </c>
      <c r="C42" s="155" t="s">
        <v>7206</v>
      </c>
      <c r="D42" s="188" t="s">
        <v>16984</v>
      </c>
      <c r="E42" s="153"/>
      <c r="F42" s="171"/>
      <c r="G42" s="188" t="s">
        <v>17056</v>
      </c>
      <c r="H42" s="153"/>
      <c r="I42" s="171"/>
      <c r="J42" s="167" t="s">
        <v>16973</v>
      </c>
      <c r="K42" s="150"/>
      <c r="L42" s="168"/>
      <c r="M42" s="169"/>
      <c r="N42" s="153"/>
      <c r="O42" s="152"/>
      <c r="P42" s="197" t="s">
        <v>5895</v>
      </c>
      <c r="Q42" s="163" t="s">
        <v>1</v>
      </c>
      <c r="R42" s="164">
        <v>1</v>
      </c>
      <c r="S42" s="169"/>
      <c r="T42" s="152"/>
      <c r="U42" s="171"/>
      <c r="V42" s="169"/>
      <c r="W42" s="152"/>
      <c r="X42" s="171"/>
      <c r="Y42" s="216">
        <v>740</v>
      </c>
      <c r="Z42" s="172"/>
    </row>
    <row r="43" spans="1:26" ht="16.5" customHeight="1" x14ac:dyDescent="0.3">
      <c r="A43" s="147">
        <v>15</v>
      </c>
      <c r="B43" s="147">
        <v>7353</v>
      </c>
      <c r="C43" s="155" t="s">
        <v>7205</v>
      </c>
      <c r="D43" s="188" t="s">
        <v>16983</v>
      </c>
      <c r="E43" s="153"/>
      <c r="F43" s="171"/>
      <c r="G43" s="188"/>
      <c r="H43" s="153"/>
      <c r="I43" s="171"/>
      <c r="J43" s="156" t="s">
        <v>17493</v>
      </c>
      <c r="K43" s="157">
        <v>168</v>
      </c>
      <c r="L43" s="158" t="s">
        <v>0</v>
      </c>
      <c r="M43" s="169"/>
      <c r="N43" s="153"/>
      <c r="O43" s="152"/>
      <c r="P43" s="162"/>
      <c r="Q43" s="163"/>
      <c r="R43" s="164"/>
      <c r="S43" s="169"/>
      <c r="T43" s="152"/>
      <c r="U43" s="171"/>
      <c r="V43" s="169"/>
      <c r="W43" s="152"/>
      <c r="X43" s="171"/>
      <c r="Y43" s="216">
        <v>853</v>
      </c>
      <c r="Z43" s="172"/>
    </row>
    <row r="44" spans="1:26" ht="16.5" customHeight="1" x14ac:dyDescent="0.3">
      <c r="A44" s="147">
        <v>15</v>
      </c>
      <c r="B44" s="147">
        <v>7354</v>
      </c>
      <c r="C44" s="155" t="s">
        <v>7204</v>
      </c>
      <c r="D44" s="167"/>
      <c r="E44" s="150"/>
      <c r="F44" s="168"/>
      <c r="G44" s="167"/>
      <c r="H44" s="150"/>
      <c r="I44" s="168"/>
      <c r="J44" s="167" t="s">
        <v>17492</v>
      </c>
      <c r="K44" s="150"/>
      <c r="L44" s="168"/>
      <c r="M44" s="169"/>
      <c r="N44" s="153"/>
      <c r="O44" s="152"/>
      <c r="P44" s="197" t="s">
        <v>5895</v>
      </c>
      <c r="Q44" s="163" t="s">
        <v>1</v>
      </c>
      <c r="R44" s="164">
        <v>1</v>
      </c>
      <c r="S44" s="169"/>
      <c r="T44" s="152"/>
      <c r="U44" s="171"/>
      <c r="V44" s="169"/>
      <c r="W44" s="152"/>
      <c r="X44" s="171"/>
      <c r="Y44" s="216">
        <v>853</v>
      </c>
      <c r="Z44" s="172"/>
    </row>
    <row r="45" spans="1:26" ht="16.5" customHeight="1" x14ac:dyDescent="0.3">
      <c r="A45" s="147">
        <v>15</v>
      </c>
      <c r="B45" s="147">
        <v>7355</v>
      </c>
      <c r="C45" s="155" t="s">
        <v>7203</v>
      </c>
      <c r="D45" s="156" t="s">
        <v>17491</v>
      </c>
      <c r="E45" s="157">
        <v>674</v>
      </c>
      <c r="F45" s="158" t="s">
        <v>0</v>
      </c>
      <c r="G45" s="156" t="s">
        <v>17489</v>
      </c>
      <c r="H45" s="157">
        <v>84</v>
      </c>
      <c r="I45" s="158" t="s">
        <v>0</v>
      </c>
      <c r="J45" s="156" t="s">
        <v>17071</v>
      </c>
      <c r="K45" s="157">
        <v>84</v>
      </c>
      <c r="L45" s="158" t="s">
        <v>0</v>
      </c>
      <c r="M45" s="169"/>
      <c r="N45" s="153"/>
      <c r="O45" s="152"/>
      <c r="P45" s="162"/>
      <c r="Q45" s="163"/>
      <c r="R45" s="164"/>
      <c r="S45" s="169"/>
      <c r="T45" s="152"/>
      <c r="U45" s="171"/>
      <c r="V45" s="169"/>
      <c r="W45" s="152"/>
      <c r="X45" s="171"/>
      <c r="Y45" s="216">
        <v>816</v>
      </c>
      <c r="Z45" s="172"/>
    </row>
    <row r="46" spans="1:26" ht="16.5" customHeight="1" x14ac:dyDescent="0.3">
      <c r="A46" s="147">
        <v>15</v>
      </c>
      <c r="B46" s="147">
        <v>7356</v>
      </c>
      <c r="C46" s="155" t="s">
        <v>7202</v>
      </c>
      <c r="D46" s="167" t="s">
        <v>17485</v>
      </c>
      <c r="E46" s="150"/>
      <c r="F46" s="168"/>
      <c r="G46" s="167" t="s">
        <v>16973</v>
      </c>
      <c r="H46" s="150"/>
      <c r="I46" s="168"/>
      <c r="J46" s="167" t="s">
        <v>16973</v>
      </c>
      <c r="K46" s="150"/>
      <c r="L46" s="168"/>
      <c r="M46" s="175"/>
      <c r="N46" s="150"/>
      <c r="O46" s="151"/>
      <c r="P46" s="197" t="s">
        <v>5895</v>
      </c>
      <c r="Q46" s="163" t="s">
        <v>1</v>
      </c>
      <c r="R46" s="164">
        <v>1</v>
      </c>
      <c r="S46" s="175"/>
      <c r="T46" s="151"/>
      <c r="U46" s="168"/>
      <c r="V46" s="175"/>
      <c r="W46" s="151"/>
      <c r="X46" s="168"/>
      <c r="Y46" s="216">
        <v>816</v>
      </c>
      <c r="Z46" s="177"/>
    </row>
    <row r="47" spans="1:26" ht="16.5" customHeight="1" x14ac:dyDescent="0.3">
      <c r="A47" s="132"/>
      <c r="B47" s="132"/>
      <c r="C47" s="133"/>
      <c r="D47" s="133"/>
      <c r="E47" s="134"/>
      <c r="F47" s="134"/>
      <c r="G47" s="133"/>
      <c r="H47" s="134"/>
      <c r="I47" s="134"/>
      <c r="J47" s="133"/>
      <c r="K47" s="134"/>
      <c r="L47" s="134"/>
      <c r="M47" s="134"/>
      <c r="N47" s="134"/>
      <c r="O47" s="135"/>
      <c r="P47" s="134"/>
      <c r="Q47" s="134"/>
      <c r="R47" s="135"/>
      <c r="S47" s="134"/>
      <c r="T47" s="135"/>
      <c r="U47" s="134"/>
      <c r="V47" s="134"/>
      <c r="W47" s="135"/>
      <c r="X47" s="134"/>
      <c r="Y47" s="136"/>
      <c r="Z47" s="137"/>
    </row>
    <row r="48" spans="1:26" ht="16.5" customHeight="1" x14ac:dyDescent="0.3">
      <c r="A48" s="132"/>
      <c r="B48" s="132"/>
      <c r="C48" s="133"/>
      <c r="D48" s="133"/>
      <c r="E48" s="134"/>
      <c r="F48" s="134"/>
      <c r="G48" s="133"/>
      <c r="H48" s="134"/>
      <c r="I48" s="134"/>
      <c r="J48" s="133"/>
      <c r="K48" s="134"/>
      <c r="L48" s="134"/>
      <c r="M48" s="134"/>
      <c r="N48" s="134"/>
      <c r="O48" s="135"/>
      <c r="P48" s="134"/>
      <c r="Q48" s="134"/>
      <c r="R48" s="135"/>
      <c r="S48" s="134"/>
      <c r="T48" s="135"/>
      <c r="U48" s="134"/>
      <c r="V48" s="134"/>
      <c r="W48" s="135"/>
      <c r="X48" s="134"/>
      <c r="Y48" s="136"/>
      <c r="Z48" s="137"/>
    </row>
    <row r="49" spans="1:26" ht="16.5" customHeight="1" x14ac:dyDescent="0.3">
      <c r="A49" s="132"/>
      <c r="B49" s="138" t="s">
        <v>7201</v>
      </c>
      <c r="C49" s="133"/>
      <c r="D49" s="139"/>
      <c r="E49" s="134"/>
      <c r="F49" s="134"/>
      <c r="G49" s="133"/>
      <c r="H49" s="134"/>
      <c r="I49" s="134"/>
      <c r="J49" s="133"/>
      <c r="K49" s="134"/>
      <c r="L49" s="134"/>
      <c r="M49" s="134"/>
      <c r="N49" s="134"/>
      <c r="O49" s="135"/>
      <c r="P49" s="134"/>
      <c r="Q49" s="134"/>
      <c r="R49" s="135"/>
      <c r="S49" s="134"/>
      <c r="T49" s="135"/>
      <c r="U49" s="134"/>
      <c r="V49" s="134"/>
      <c r="W49" s="135"/>
      <c r="X49" s="134"/>
      <c r="Y49" s="136"/>
      <c r="Z49" s="137"/>
    </row>
    <row r="50" spans="1:26" ht="16.5" customHeight="1" x14ac:dyDescent="0.3">
      <c r="A50" s="140" t="s">
        <v>5864</v>
      </c>
      <c r="B50" s="141"/>
      <c r="C50" s="142" t="s">
        <v>5867</v>
      </c>
      <c r="D50" s="143" t="s">
        <v>5868</v>
      </c>
      <c r="E50" s="144"/>
      <c r="F50" s="144"/>
      <c r="G50" s="143"/>
      <c r="H50" s="144"/>
      <c r="I50" s="144"/>
      <c r="J50" s="143"/>
      <c r="K50" s="144"/>
      <c r="L50" s="144"/>
      <c r="M50" s="144"/>
      <c r="N50" s="144"/>
      <c r="O50" s="145"/>
      <c r="P50" s="144"/>
      <c r="Q50" s="144"/>
      <c r="R50" s="145"/>
      <c r="S50" s="144"/>
      <c r="T50" s="145"/>
      <c r="U50" s="144"/>
      <c r="V50" s="144"/>
      <c r="W50" s="145"/>
      <c r="X50" s="144"/>
      <c r="Y50" s="146" t="s">
        <v>5869</v>
      </c>
      <c r="Z50" s="146" t="s">
        <v>5871</v>
      </c>
    </row>
    <row r="51" spans="1:26" ht="16.5" customHeight="1" x14ac:dyDescent="0.3">
      <c r="A51" s="147" t="s">
        <v>5865</v>
      </c>
      <c r="B51" s="147" t="s">
        <v>5866</v>
      </c>
      <c r="C51" s="148"/>
      <c r="D51" s="179" t="s">
        <v>5872</v>
      </c>
      <c r="E51" s="180"/>
      <c r="F51" s="181"/>
      <c r="G51" s="149"/>
      <c r="H51" s="150"/>
      <c r="I51" s="150"/>
      <c r="J51" s="179" t="s">
        <v>17490</v>
      </c>
      <c r="K51" s="180"/>
      <c r="L51" s="181"/>
      <c r="M51" s="150"/>
      <c r="N51" s="150"/>
      <c r="O51" s="151"/>
      <c r="P51" s="150"/>
      <c r="Q51" s="150"/>
      <c r="R51" s="151"/>
      <c r="S51" s="153"/>
      <c r="T51" s="152"/>
      <c r="U51" s="153"/>
      <c r="V51" s="153"/>
      <c r="W51" s="152"/>
      <c r="X51" s="153"/>
      <c r="Y51" s="154" t="s">
        <v>5870</v>
      </c>
      <c r="Z51" s="154" t="s">
        <v>0</v>
      </c>
    </row>
    <row r="52" spans="1:26" ht="16.5" customHeight="1" x14ac:dyDescent="0.3">
      <c r="A52" s="147">
        <v>15</v>
      </c>
      <c r="B52" s="147">
        <v>7357</v>
      </c>
      <c r="C52" s="155" t="s">
        <v>7200</v>
      </c>
      <c r="D52" s="156" t="s">
        <v>16993</v>
      </c>
      <c r="E52" s="157">
        <v>257</v>
      </c>
      <c r="F52" s="158" t="s">
        <v>0</v>
      </c>
      <c r="G52" s="156" t="s">
        <v>17105</v>
      </c>
      <c r="H52" s="157">
        <v>501</v>
      </c>
      <c r="I52" s="158" t="s">
        <v>0</v>
      </c>
      <c r="J52" s="156" t="s">
        <v>17489</v>
      </c>
      <c r="K52" s="157">
        <v>84</v>
      </c>
      <c r="L52" s="158" t="s">
        <v>0</v>
      </c>
      <c r="M52" s="156" t="s">
        <v>17488</v>
      </c>
      <c r="N52" s="160"/>
      <c r="O52" s="182"/>
      <c r="P52" s="162"/>
      <c r="Q52" s="163"/>
      <c r="R52" s="164"/>
      <c r="S52" s="183" t="s">
        <v>17487</v>
      </c>
      <c r="T52" s="161"/>
      <c r="U52" s="158"/>
      <c r="V52" s="156" t="s">
        <v>17486</v>
      </c>
      <c r="W52" s="161"/>
      <c r="X52" s="158"/>
      <c r="Y52" s="216">
        <v>835</v>
      </c>
      <c r="Z52" s="142" t="s">
        <v>5863</v>
      </c>
    </row>
    <row r="53" spans="1:26" ht="16.5" customHeight="1" x14ac:dyDescent="0.3">
      <c r="A53" s="147">
        <v>15</v>
      </c>
      <c r="B53" s="147">
        <v>7358</v>
      </c>
      <c r="C53" s="155" t="s">
        <v>7199</v>
      </c>
      <c r="D53" s="167" t="s">
        <v>16973</v>
      </c>
      <c r="E53" s="150"/>
      <c r="F53" s="168"/>
      <c r="G53" s="167" t="s">
        <v>17485</v>
      </c>
      <c r="H53" s="150"/>
      <c r="I53" s="168"/>
      <c r="J53" s="167" t="s">
        <v>16901</v>
      </c>
      <c r="K53" s="150"/>
      <c r="L53" s="168"/>
      <c r="M53" s="167" t="s">
        <v>16970</v>
      </c>
      <c r="N53" s="150" t="s">
        <v>1</v>
      </c>
      <c r="O53" s="185">
        <v>0.9</v>
      </c>
      <c r="P53" s="197" t="s">
        <v>5895</v>
      </c>
      <c r="Q53" s="163" t="s">
        <v>1</v>
      </c>
      <c r="R53" s="164">
        <v>1</v>
      </c>
      <c r="S53" s="175" t="s">
        <v>1</v>
      </c>
      <c r="T53" s="151">
        <v>0.25</v>
      </c>
      <c r="U53" s="219" t="s">
        <v>422</v>
      </c>
      <c r="V53" s="175" t="s">
        <v>1</v>
      </c>
      <c r="W53" s="151">
        <v>0.25</v>
      </c>
      <c r="X53" s="219" t="s">
        <v>422</v>
      </c>
      <c r="Y53" s="216">
        <v>835</v>
      </c>
      <c r="Z53" s="177"/>
    </row>
    <row r="54" spans="1:26" ht="16.5" customHeight="1" x14ac:dyDescent="0.3"/>
    <row r="55" spans="1:2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theme="1" tint="0.249977111117893"/>
    <pageSetUpPr fitToPage="1"/>
  </sheetPr>
  <dimension ref="A1:N5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7286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7359</v>
      </c>
      <c r="C7" s="155" t="s">
        <v>7285</v>
      </c>
      <c r="D7" s="156" t="s">
        <v>17548</v>
      </c>
      <c r="E7" s="157">
        <v>83</v>
      </c>
      <c r="F7" s="158" t="s">
        <v>0</v>
      </c>
      <c r="G7" s="159"/>
      <c r="H7" s="160"/>
      <c r="I7" s="161"/>
      <c r="J7" s="162"/>
      <c r="K7" s="163"/>
      <c r="L7" s="164"/>
      <c r="M7" s="178">
        <v>75</v>
      </c>
      <c r="N7" s="142" t="s">
        <v>5863</v>
      </c>
    </row>
    <row r="8" spans="1:14" ht="16.5" customHeight="1" x14ac:dyDescent="0.3">
      <c r="A8" s="147">
        <v>15</v>
      </c>
      <c r="B8" s="147">
        <v>7360</v>
      </c>
      <c r="C8" s="155" t="s">
        <v>7284</v>
      </c>
      <c r="D8" s="167" t="s">
        <v>16952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8">
        <v>75</v>
      </c>
      <c r="N8" s="172"/>
    </row>
    <row r="9" spans="1:14" ht="16.5" customHeight="1" x14ac:dyDescent="0.3">
      <c r="A9" s="147">
        <v>15</v>
      </c>
      <c r="B9" s="147">
        <v>7361</v>
      </c>
      <c r="C9" s="155" t="s">
        <v>7283</v>
      </c>
      <c r="D9" s="156" t="s">
        <v>17547</v>
      </c>
      <c r="E9" s="157">
        <v>166</v>
      </c>
      <c r="F9" s="158" t="s">
        <v>0</v>
      </c>
      <c r="G9" s="169"/>
      <c r="H9" s="153"/>
      <c r="I9" s="152"/>
      <c r="J9" s="162"/>
      <c r="K9" s="163"/>
      <c r="L9" s="164"/>
      <c r="M9" s="178">
        <v>149</v>
      </c>
      <c r="N9" s="172"/>
    </row>
    <row r="10" spans="1:14" ht="16.5" customHeight="1" x14ac:dyDescent="0.3">
      <c r="A10" s="147">
        <v>15</v>
      </c>
      <c r="B10" s="147">
        <v>7362</v>
      </c>
      <c r="C10" s="155" t="s">
        <v>7282</v>
      </c>
      <c r="D10" s="167" t="s">
        <v>17546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8">
        <v>149</v>
      </c>
      <c r="N10" s="172"/>
    </row>
    <row r="11" spans="1:14" ht="16.5" customHeight="1" x14ac:dyDescent="0.3">
      <c r="A11" s="147">
        <v>15</v>
      </c>
      <c r="B11" s="147">
        <v>7363</v>
      </c>
      <c r="C11" s="155" t="s">
        <v>7281</v>
      </c>
      <c r="D11" s="156" t="s">
        <v>17545</v>
      </c>
      <c r="E11" s="157">
        <v>249</v>
      </c>
      <c r="F11" s="158" t="s">
        <v>0</v>
      </c>
      <c r="G11" s="169"/>
      <c r="H11" s="153"/>
      <c r="I11" s="152"/>
      <c r="J11" s="162"/>
      <c r="K11" s="163"/>
      <c r="L11" s="164"/>
      <c r="M11" s="178">
        <v>224</v>
      </c>
      <c r="N11" s="172"/>
    </row>
    <row r="12" spans="1:14" ht="16.5" customHeight="1" x14ac:dyDescent="0.3">
      <c r="A12" s="147">
        <v>15</v>
      </c>
      <c r="B12" s="147">
        <v>7364</v>
      </c>
      <c r="C12" s="155" t="s">
        <v>7280</v>
      </c>
      <c r="D12" s="167" t="s">
        <v>17544</v>
      </c>
      <c r="E12" s="150"/>
      <c r="F12" s="168"/>
      <c r="G12" s="169" t="s">
        <v>17543</v>
      </c>
      <c r="H12" s="153"/>
      <c r="I12" s="152"/>
      <c r="J12" s="162" t="s">
        <v>5895</v>
      </c>
      <c r="K12" s="163" t="s">
        <v>1</v>
      </c>
      <c r="L12" s="164">
        <v>1</v>
      </c>
      <c r="M12" s="178">
        <v>224</v>
      </c>
      <c r="N12" s="172"/>
    </row>
    <row r="13" spans="1:14" ht="16.5" customHeight="1" x14ac:dyDescent="0.3">
      <c r="A13" s="147">
        <v>15</v>
      </c>
      <c r="B13" s="147">
        <v>7365</v>
      </c>
      <c r="C13" s="155" t="s">
        <v>7279</v>
      </c>
      <c r="D13" s="156" t="s">
        <v>17542</v>
      </c>
      <c r="E13" s="157">
        <v>332</v>
      </c>
      <c r="F13" s="158" t="s">
        <v>0</v>
      </c>
      <c r="G13" s="169" t="s">
        <v>16916</v>
      </c>
      <c r="H13" s="153" t="s">
        <v>1</v>
      </c>
      <c r="I13" s="152">
        <v>0.9</v>
      </c>
      <c r="J13" s="162"/>
      <c r="K13" s="163"/>
      <c r="L13" s="164"/>
      <c r="M13" s="178">
        <v>299</v>
      </c>
      <c r="N13" s="172"/>
    </row>
    <row r="14" spans="1:14" ht="16.5" customHeight="1" x14ac:dyDescent="0.3">
      <c r="A14" s="147">
        <v>15</v>
      </c>
      <c r="B14" s="147">
        <v>7366</v>
      </c>
      <c r="C14" s="155" t="s">
        <v>7278</v>
      </c>
      <c r="D14" s="167" t="s">
        <v>17541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8">
        <v>299</v>
      </c>
      <c r="N14" s="172"/>
    </row>
    <row r="15" spans="1:14" ht="16.5" customHeight="1" x14ac:dyDescent="0.3">
      <c r="A15" s="147">
        <v>15</v>
      </c>
      <c r="B15" s="147">
        <v>7367</v>
      </c>
      <c r="C15" s="155" t="s">
        <v>7277</v>
      </c>
      <c r="D15" s="156" t="s">
        <v>17540</v>
      </c>
      <c r="E15" s="157">
        <v>415</v>
      </c>
      <c r="F15" s="158" t="s">
        <v>0</v>
      </c>
      <c r="G15" s="169"/>
      <c r="H15" s="153"/>
      <c r="I15" s="152"/>
      <c r="J15" s="162"/>
      <c r="K15" s="163"/>
      <c r="L15" s="164"/>
      <c r="M15" s="178">
        <v>374</v>
      </c>
      <c r="N15" s="172"/>
    </row>
    <row r="16" spans="1:14" ht="16.5" customHeight="1" x14ac:dyDescent="0.3">
      <c r="A16" s="147">
        <v>15</v>
      </c>
      <c r="B16" s="147">
        <v>7368</v>
      </c>
      <c r="C16" s="155" t="s">
        <v>7276</v>
      </c>
      <c r="D16" s="167" t="s">
        <v>17539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8">
        <v>374</v>
      </c>
      <c r="N16" s="172"/>
    </row>
    <row r="17" spans="1:14" ht="16.5" customHeight="1" x14ac:dyDescent="0.3">
      <c r="A17" s="147">
        <v>15</v>
      </c>
      <c r="B17" s="147">
        <v>7369</v>
      </c>
      <c r="C17" s="155" t="s">
        <v>7275</v>
      </c>
      <c r="D17" s="156" t="s">
        <v>17538</v>
      </c>
      <c r="E17" s="157">
        <v>498</v>
      </c>
      <c r="F17" s="158" t="s">
        <v>0</v>
      </c>
      <c r="G17" s="169"/>
      <c r="H17" s="153"/>
      <c r="I17" s="152"/>
      <c r="J17" s="162"/>
      <c r="K17" s="163"/>
      <c r="L17" s="164"/>
      <c r="M17" s="178">
        <v>448</v>
      </c>
      <c r="N17" s="172"/>
    </row>
    <row r="18" spans="1:14" ht="16.5" customHeight="1" x14ac:dyDescent="0.3">
      <c r="A18" s="147">
        <v>15</v>
      </c>
      <c r="B18" s="147">
        <v>7370</v>
      </c>
      <c r="C18" s="155" t="s">
        <v>7274</v>
      </c>
      <c r="D18" s="167" t="s">
        <v>17537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8">
        <v>448</v>
      </c>
      <c r="N18" s="172"/>
    </row>
    <row r="19" spans="1:14" ht="16.5" customHeight="1" x14ac:dyDescent="0.3">
      <c r="A19" s="147">
        <v>15</v>
      </c>
      <c r="B19" s="147">
        <v>7371</v>
      </c>
      <c r="C19" s="155" t="s">
        <v>7273</v>
      </c>
      <c r="D19" s="156" t="s">
        <v>17536</v>
      </c>
      <c r="E19" s="157">
        <v>581</v>
      </c>
      <c r="F19" s="158" t="s">
        <v>0</v>
      </c>
      <c r="G19" s="169"/>
      <c r="H19" s="153"/>
      <c r="I19" s="152"/>
      <c r="J19" s="162"/>
      <c r="K19" s="163"/>
      <c r="L19" s="164"/>
      <c r="M19" s="178">
        <v>523</v>
      </c>
      <c r="N19" s="172"/>
    </row>
    <row r="20" spans="1:14" ht="16.5" customHeight="1" x14ac:dyDescent="0.3">
      <c r="A20" s="147">
        <v>15</v>
      </c>
      <c r="B20" s="147">
        <v>7372</v>
      </c>
      <c r="C20" s="155" t="s">
        <v>7272</v>
      </c>
      <c r="D20" s="167" t="s">
        <v>17535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8">
        <v>523</v>
      </c>
      <c r="N20" s="172"/>
    </row>
    <row r="21" spans="1:14" ht="16.5" customHeight="1" x14ac:dyDescent="0.3">
      <c r="A21" s="147">
        <v>15</v>
      </c>
      <c r="B21" s="147">
        <v>7373</v>
      </c>
      <c r="C21" s="155" t="s">
        <v>7271</v>
      </c>
      <c r="D21" s="156" t="s">
        <v>17534</v>
      </c>
      <c r="E21" s="157">
        <v>664</v>
      </c>
      <c r="F21" s="158" t="s">
        <v>0</v>
      </c>
      <c r="G21" s="169"/>
      <c r="H21" s="153"/>
      <c r="I21" s="152"/>
      <c r="J21" s="162"/>
      <c r="K21" s="163"/>
      <c r="L21" s="164"/>
      <c r="M21" s="178">
        <v>598</v>
      </c>
      <c r="N21" s="172"/>
    </row>
    <row r="22" spans="1:14" ht="16.5" customHeight="1" x14ac:dyDescent="0.3">
      <c r="A22" s="147">
        <v>15</v>
      </c>
      <c r="B22" s="147">
        <v>7374</v>
      </c>
      <c r="C22" s="155" t="s">
        <v>7270</v>
      </c>
      <c r="D22" s="167" t="s">
        <v>17533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8">
        <v>598</v>
      </c>
      <c r="N22" s="172"/>
    </row>
    <row r="23" spans="1:14" ht="16.5" customHeight="1" x14ac:dyDescent="0.3">
      <c r="A23" s="147">
        <v>15</v>
      </c>
      <c r="B23" s="147">
        <v>7375</v>
      </c>
      <c r="C23" s="155" t="s">
        <v>7269</v>
      </c>
      <c r="D23" s="156" t="s">
        <v>17532</v>
      </c>
      <c r="E23" s="157">
        <v>747</v>
      </c>
      <c r="F23" s="158" t="s">
        <v>0</v>
      </c>
      <c r="G23" s="169"/>
      <c r="H23" s="153"/>
      <c r="I23" s="152"/>
      <c r="J23" s="162"/>
      <c r="K23" s="163"/>
      <c r="L23" s="164"/>
      <c r="M23" s="178">
        <v>672</v>
      </c>
      <c r="N23" s="172"/>
    </row>
    <row r="24" spans="1:14" ht="16.5" customHeight="1" x14ac:dyDescent="0.3">
      <c r="A24" s="147">
        <v>15</v>
      </c>
      <c r="B24" s="147">
        <v>7376</v>
      </c>
      <c r="C24" s="155" t="s">
        <v>7268</v>
      </c>
      <c r="D24" s="167" t="s">
        <v>17531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8">
        <v>672</v>
      </c>
      <c r="N24" s="172"/>
    </row>
    <row r="25" spans="1:14" ht="16.5" customHeight="1" x14ac:dyDescent="0.3">
      <c r="A25" s="147">
        <v>15</v>
      </c>
      <c r="B25" s="147">
        <v>7377</v>
      </c>
      <c r="C25" s="155" t="s">
        <v>7267</v>
      </c>
      <c r="D25" s="156" t="s">
        <v>17530</v>
      </c>
      <c r="E25" s="157">
        <v>830</v>
      </c>
      <c r="F25" s="158" t="s">
        <v>0</v>
      </c>
      <c r="G25" s="169"/>
      <c r="H25" s="153"/>
      <c r="I25" s="152"/>
      <c r="J25" s="162"/>
      <c r="K25" s="163"/>
      <c r="L25" s="164"/>
      <c r="M25" s="178">
        <v>747</v>
      </c>
      <c r="N25" s="172"/>
    </row>
    <row r="26" spans="1:14" ht="16.5" customHeight="1" x14ac:dyDescent="0.3">
      <c r="A26" s="147">
        <v>15</v>
      </c>
      <c r="B26" s="147">
        <v>7378</v>
      </c>
      <c r="C26" s="155" t="s">
        <v>7266</v>
      </c>
      <c r="D26" s="167" t="s">
        <v>17529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8">
        <v>747</v>
      </c>
      <c r="N26" s="172"/>
    </row>
    <row r="27" spans="1:14" ht="16.5" customHeight="1" x14ac:dyDescent="0.3">
      <c r="A27" s="147">
        <v>15</v>
      </c>
      <c r="B27" s="147">
        <v>7379</v>
      </c>
      <c r="C27" s="155" t="s">
        <v>7265</v>
      </c>
      <c r="D27" s="156" t="s">
        <v>17528</v>
      </c>
      <c r="E27" s="157">
        <v>913</v>
      </c>
      <c r="F27" s="158" t="s">
        <v>0</v>
      </c>
      <c r="G27" s="169"/>
      <c r="H27" s="153"/>
      <c r="I27" s="152"/>
      <c r="J27" s="162"/>
      <c r="K27" s="163"/>
      <c r="L27" s="164"/>
      <c r="M27" s="178">
        <v>822</v>
      </c>
      <c r="N27" s="172"/>
    </row>
    <row r="28" spans="1:14" ht="16.5" customHeight="1" x14ac:dyDescent="0.3">
      <c r="A28" s="147">
        <v>15</v>
      </c>
      <c r="B28" s="147">
        <v>7380</v>
      </c>
      <c r="C28" s="155" t="s">
        <v>7264</v>
      </c>
      <c r="D28" s="167" t="s">
        <v>17527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8">
        <v>822</v>
      </c>
      <c r="N28" s="172"/>
    </row>
    <row r="29" spans="1:14" ht="16.5" customHeight="1" x14ac:dyDescent="0.3">
      <c r="A29" s="147">
        <v>15</v>
      </c>
      <c r="B29" s="147">
        <v>7381</v>
      </c>
      <c r="C29" s="155" t="s">
        <v>7263</v>
      </c>
      <c r="D29" s="156" t="s">
        <v>17526</v>
      </c>
      <c r="E29" s="157">
        <v>996</v>
      </c>
      <c r="F29" s="158" t="s">
        <v>0</v>
      </c>
      <c r="G29" s="169"/>
      <c r="H29" s="153"/>
      <c r="I29" s="152"/>
      <c r="J29" s="162"/>
      <c r="K29" s="163"/>
      <c r="L29" s="164"/>
      <c r="M29" s="178">
        <v>896</v>
      </c>
      <c r="N29" s="172"/>
    </row>
    <row r="30" spans="1:14" ht="16.5" customHeight="1" x14ac:dyDescent="0.3">
      <c r="A30" s="147">
        <v>15</v>
      </c>
      <c r="B30" s="147">
        <v>7382</v>
      </c>
      <c r="C30" s="155" t="s">
        <v>7262</v>
      </c>
      <c r="D30" s="167" t="s">
        <v>17525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8">
        <v>896</v>
      </c>
      <c r="N30" s="172"/>
    </row>
    <row r="31" spans="1:14" ht="16.5" customHeight="1" x14ac:dyDescent="0.3">
      <c r="A31" s="147">
        <v>15</v>
      </c>
      <c r="B31" s="147">
        <v>7383</v>
      </c>
      <c r="C31" s="155" t="s">
        <v>7261</v>
      </c>
      <c r="D31" s="156" t="s">
        <v>17524</v>
      </c>
      <c r="E31" s="157">
        <v>1079</v>
      </c>
      <c r="F31" s="158" t="s">
        <v>0</v>
      </c>
      <c r="G31" s="169"/>
      <c r="H31" s="153"/>
      <c r="I31" s="152"/>
      <c r="J31" s="162"/>
      <c r="K31" s="163"/>
      <c r="L31" s="164"/>
      <c r="M31" s="178">
        <v>971</v>
      </c>
      <c r="N31" s="172"/>
    </row>
    <row r="32" spans="1:14" ht="16.5" customHeight="1" x14ac:dyDescent="0.3">
      <c r="A32" s="147">
        <v>15</v>
      </c>
      <c r="B32" s="147">
        <v>7384</v>
      </c>
      <c r="C32" s="155" t="s">
        <v>7260</v>
      </c>
      <c r="D32" s="167" t="s">
        <v>17523</v>
      </c>
      <c r="E32" s="150"/>
      <c r="F32" s="168"/>
      <c r="G32" s="169"/>
      <c r="H32" s="153"/>
      <c r="I32" s="152"/>
      <c r="J32" s="162" t="s">
        <v>5895</v>
      </c>
      <c r="K32" s="163" t="s">
        <v>1</v>
      </c>
      <c r="L32" s="164">
        <v>1</v>
      </c>
      <c r="M32" s="178">
        <v>971</v>
      </c>
      <c r="N32" s="172"/>
    </row>
    <row r="33" spans="1:14" ht="16.5" customHeight="1" x14ac:dyDescent="0.3">
      <c r="A33" s="147">
        <v>15</v>
      </c>
      <c r="B33" s="147">
        <v>7385</v>
      </c>
      <c r="C33" s="155" t="s">
        <v>7259</v>
      </c>
      <c r="D33" s="156" t="s">
        <v>17522</v>
      </c>
      <c r="E33" s="157">
        <v>1162</v>
      </c>
      <c r="F33" s="158" t="s">
        <v>0</v>
      </c>
      <c r="G33" s="169"/>
      <c r="H33" s="153"/>
      <c r="I33" s="152"/>
      <c r="J33" s="162"/>
      <c r="K33" s="163"/>
      <c r="L33" s="164"/>
      <c r="M33" s="178">
        <v>1046</v>
      </c>
      <c r="N33" s="172"/>
    </row>
    <row r="34" spans="1:14" ht="16.5" customHeight="1" x14ac:dyDescent="0.3">
      <c r="A34" s="147">
        <v>15</v>
      </c>
      <c r="B34" s="147">
        <v>7386</v>
      </c>
      <c r="C34" s="155" t="s">
        <v>7258</v>
      </c>
      <c r="D34" s="167" t="s">
        <v>17521</v>
      </c>
      <c r="E34" s="150"/>
      <c r="F34" s="168"/>
      <c r="G34" s="169"/>
      <c r="H34" s="153"/>
      <c r="I34" s="152"/>
      <c r="J34" s="162" t="s">
        <v>5895</v>
      </c>
      <c r="K34" s="163" t="s">
        <v>1</v>
      </c>
      <c r="L34" s="164">
        <v>1</v>
      </c>
      <c r="M34" s="178">
        <v>1046</v>
      </c>
      <c r="N34" s="172"/>
    </row>
    <row r="35" spans="1:14" ht="16.5" customHeight="1" x14ac:dyDescent="0.3">
      <c r="A35" s="147">
        <v>15</v>
      </c>
      <c r="B35" s="147">
        <v>7387</v>
      </c>
      <c r="C35" s="155" t="s">
        <v>7257</v>
      </c>
      <c r="D35" s="156" t="s">
        <v>17520</v>
      </c>
      <c r="E35" s="157">
        <v>1245</v>
      </c>
      <c r="F35" s="158" t="s">
        <v>0</v>
      </c>
      <c r="G35" s="169"/>
      <c r="H35" s="153"/>
      <c r="I35" s="152"/>
      <c r="J35" s="162"/>
      <c r="K35" s="163"/>
      <c r="L35" s="164"/>
      <c r="M35" s="178">
        <v>1121</v>
      </c>
      <c r="N35" s="172"/>
    </row>
    <row r="36" spans="1:14" ht="16.5" customHeight="1" x14ac:dyDescent="0.3">
      <c r="A36" s="147">
        <v>15</v>
      </c>
      <c r="B36" s="147">
        <v>7388</v>
      </c>
      <c r="C36" s="155" t="s">
        <v>7256</v>
      </c>
      <c r="D36" s="167" t="s">
        <v>17519</v>
      </c>
      <c r="E36" s="150"/>
      <c r="F36" s="168"/>
      <c r="G36" s="169"/>
      <c r="H36" s="153"/>
      <c r="I36" s="152"/>
      <c r="J36" s="162" t="s">
        <v>5895</v>
      </c>
      <c r="K36" s="163" t="s">
        <v>1</v>
      </c>
      <c r="L36" s="164">
        <v>1</v>
      </c>
      <c r="M36" s="178">
        <v>1121</v>
      </c>
      <c r="N36" s="172"/>
    </row>
    <row r="37" spans="1:14" ht="16.5" customHeight="1" x14ac:dyDescent="0.3">
      <c r="A37" s="147">
        <v>15</v>
      </c>
      <c r="B37" s="147">
        <v>7389</v>
      </c>
      <c r="C37" s="155" t="s">
        <v>7255</v>
      </c>
      <c r="D37" s="156" t="s">
        <v>17518</v>
      </c>
      <c r="E37" s="157">
        <v>1328</v>
      </c>
      <c r="F37" s="158" t="s">
        <v>0</v>
      </c>
      <c r="G37" s="169"/>
      <c r="H37" s="153"/>
      <c r="I37" s="152"/>
      <c r="J37" s="162"/>
      <c r="K37" s="163"/>
      <c r="L37" s="164"/>
      <c r="M37" s="178">
        <v>1195</v>
      </c>
      <c r="N37" s="172"/>
    </row>
    <row r="38" spans="1:14" ht="16.5" customHeight="1" x14ac:dyDescent="0.3">
      <c r="A38" s="147">
        <v>15</v>
      </c>
      <c r="B38" s="147">
        <v>7390</v>
      </c>
      <c r="C38" s="155" t="s">
        <v>7254</v>
      </c>
      <c r="D38" s="167" t="s">
        <v>17517</v>
      </c>
      <c r="E38" s="150"/>
      <c r="F38" s="168"/>
      <c r="G38" s="169"/>
      <c r="H38" s="153"/>
      <c r="I38" s="152"/>
      <c r="J38" s="162" t="s">
        <v>5895</v>
      </c>
      <c r="K38" s="163" t="s">
        <v>1</v>
      </c>
      <c r="L38" s="164">
        <v>1</v>
      </c>
      <c r="M38" s="178">
        <v>1195</v>
      </c>
      <c r="N38" s="172"/>
    </row>
    <row r="39" spans="1:14" ht="16.5" customHeight="1" x14ac:dyDescent="0.3">
      <c r="A39" s="147">
        <v>15</v>
      </c>
      <c r="B39" s="147">
        <v>7391</v>
      </c>
      <c r="C39" s="155" t="s">
        <v>7253</v>
      </c>
      <c r="D39" s="156" t="s">
        <v>17516</v>
      </c>
      <c r="E39" s="157">
        <v>1411</v>
      </c>
      <c r="F39" s="158" t="s">
        <v>0</v>
      </c>
      <c r="G39" s="169"/>
      <c r="H39" s="153"/>
      <c r="I39" s="152"/>
      <c r="J39" s="162"/>
      <c r="K39" s="163"/>
      <c r="L39" s="164"/>
      <c r="M39" s="178">
        <v>1270</v>
      </c>
      <c r="N39" s="172"/>
    </row>
    <row r="40" spans="1:14" ht="16.5" customHeight="1" x14ac:dyDescent="0.3">
      <c r="A40" s="147">
        <v>15</v>
      </c>
      <c r="B40" s="147">
        <v>7392</v>
      </c>
      <c r="C40" s="155" t="s">
        <v>7252</v>
      </c>
      <c r="D40" s="167" t="s">
        <v>17515</v>
      </c>
      <c r="E40" s="150"/>
      <c r="F40" s="168"/>
      <c r="G40" s="169"/>
      <c r="H40" s="153"/>
      <c r="I40" s="152"/>
      <c r="J40" s="162" t="s">
        <v>5895</v>
      </c>
      <c r="K40" s="163" t="s">
        <v>1</v>
      </c>
      <c r="L40" s="164">
        <v>1</v>
      </c>
      <c r="M40" s="178">
        <v>1270</v>
      </c>
      <c r="N40" s="172"/>
    </row>
    <row r="41" spans="1:14" ht="16.5" customHeight="1" x14ac:dyDescent="0.3">
      <c r="A41" s="147">
        <v>15</v>
      </c>
      <c r="B41" s="147">
        <v>7393</v>
      </c>
      <c r="C41" s="155" t="s">
        <v>7251</v>
      </c>
      <c r="D41" s="156" t="s">
        <v>17514</v>
      </c>
      <c r="E41" s="157">
        <v>1494</v>
      </c>
      <c r="F41" s="158" t="s">
        <v>0</v>
      </c>
      <c r="G41" s="169"/>
      <c r="H41" s="153"/>
      <c r="I41" s="152"/>
      <c r="J41" s="162"/>
      <c r="K41" s="163"/>
      <c r="L41" s="164"/>
      <c r="M41" s="178">
        <v>1345</v>
      </c>
      <c r="N41" s="172"/>
    </row>
    <row r="42" spans="1:14" ht="16.5" customHeight="1" x14ac:dyDescent="0.3">
      <c r="A42" s="147">
        <v>15</v>
      </c>
      <c r="B42" s="147">
        <v>7394</v>
      </c>
      <c r="C42" s="155" t="s">
        <v>7250</v>
      </c>
      <c r="D42" s="167" t="s">
        <v>17513</v>
      </c>
      <c r="E42" s="150"/>
      <c r="F42" s="168"/>
      <c r="G42" s="169"/>
      <c r="H42" s="153"/>
      <c r="I42" s="152"/>
      <c r="J42" s="162" t="s">
        <v>5895</v>
      </c>
      <c r="K42" s="163" t="s">
        <v>1</v>
      </c>
      <c r="L42" s="164">
        <v>1</v>
      </c>
      <c r="M42" s="178">
        <v>1345</v>
      </c>
      <c r="N42" s="172"/>
    </row>
    <row r="43" spans="1:14" ht="16.5" customHeight="1" x14ac:dyDescent="0.3">
      <c r="A43" s="147">
        <v>15</v>
      </c>
      <c r="B43" s="147">
        <v>7395</v>
      </c>
      <c r="C43" s="155" t="s">
        <v>7249</v>
      </c>
      <c r="D43" s="156" t="s">
        <v>17512</v>
      </c>
      <c r="E43" s="157">
        <v>1577</v>
      </c>
      <c r="F43" s="158" t="s">
        <v>0</v>
      </c>
      <c r="G43" s="169"/>
      <c r="H43" s="153"/>
      <c r="I43" s="152"/>
      <c r="J43" s="162"/>
      <c r="K43" s="163"/>
      <c r="L43" s="164"/>
      <c r="M43" s="178">
        <v>1419</v>
      </c>
      <c r="N43" s="172"/>
    </row>
    <row r="44" spans="1:14" ht="16.5" customHeight="1" x14ac:dyDescent="0.3">
      <c r="A44" s="147">
        <v>15</v>
      </c>
      <c r="B44" s="147">
        <v>7396</v>
      </c>
      <c r="C44" s="155" t="s">
        <v>7248</v>
      </c>
      <c r="D44" s="167" t="s">
        <v>17511</v>
      </c>
      <c r="E44" s="150"/>
      <c r="F44" s="168"/>
      <c r="G44" s="169"/>
      <c r="H44" s="153"/>
      <c r="I44" s="152"/>
      <c r="J44" s="162" t="s">
        <v>5895</v>
      </c>
      <c r="K44" s="163" t="s">
        <v>1</v>
      </c>
      <c r="L44" s="164">
        <v>1</v>
      </c>
      <c r="M44" s="178">
        <v>1419</v>
      </c>
      <c r="N44" s="172"/>
    </row>
    <row r="45" spans="1:14" ht="16.5" customHeight="1" x14ac:dyDescent="0.3">
      <c r="A45" s="147">
        <v>15</v>
      </c>
      <c r="B45" s="147">
        <v>7397</v>
      </c>
      <c r="C45" s="155" t="s">
        <v>7247</v>
      </c>
      <c r="D45" s="156" t="s">
        <v>17510</v>
      </c>
      <c r="E45" s="157">
        <v>1660</v>
      </c>
      <c r="F45" s="158" t="s">
        <v>0</v>
      </c>
      <c r="G45" s="169"/>
      <c r="H45" s="153"/>
      <c r="I45" s="152"/>
      <c r="J45" s="162"/>
      <c r="K45" s="163"/>
      <c r="L45" s="164"/>
      <c r="M45" s="178">
        <v>1494</v>
      </c>
      <c r="N45" s="172"/>
    </row>
    <row r="46" spans="1:14" ht="16.5" customHeight="1" x14ac:dyDescent="0.3">
      <c r="A46" s="147">
        <v>15</v>
      </c>
      <c r="B46" s="147">
        <v>7398</v>
      </c>
      <c r="C46" s="155" t="s">
        <v>7246</v>
      </c>
      <c r="D46" s="167" t="s">
        <v>17509</v>
      </c>
      <c r="E46" s="150"/>
      <c r="F46" s="168"/>
      <c r="G46" s="169"/>
      <c r="H46" s="153"/>
      <c r="I46" s="152"/>
      <c r="J46" s="162" t="s">
        <v>5895</v>
      </c>
      <c r="K46" s="163" t="s">
        <v>1</v>
      </c>
      <c r="L46" s="164">
        <v>1</v>
      </c>
      <c r="M46" s="178">
        <v>1494</v>
      </c>
      <c r="N46" s="172"/>
    </row>
    <row r="47" spans="1:14" ht="16.5" customHeight="1" x14ac:dyDescent="0.3">
      <c r="A47" s="147">
        <v>15</v>
      </c>
      <c r="B47" s="147">
        <v>7399</v>
      </c>
      <c r="C47" s="155" t="s">
        <v>7245</v>
      </c>
      <c r="D47" s="156" t="s">
        <v>17508</v>
      </c>
      <c r="E47" s="157">
        <v>1743</v>
      </c>
      <c r="F47" s="158" t="s">
        <v>0</v>
      </c>
      <c r="G47" s="169"/>
      <c r="H47" s="153"/>
      <c r="I47" s="152"/>
      <c r="J47" s="162"/>
      <c r="K47" s="163"/>
      <c r="L47" s="164"/>
      <c r="M47" s="178">
        <v>1569</v>
      </c>
      <c r="N47" s="172"/>
    </row>
    <row r="48" spans="1:14" ht="16.5" customHeight="1" x14ac:dyDescent="0.3">
      <c r="A48" s="147">
        <v>15</v>
      </c>
      <c r="B48" s="147">
        <v>7400</v>
      </c>
      <c r="C48" s="155" t="s">
        <v>7244</v>
      </c>
      <c r="D48" s="167" t="s">
        <v>17507</v>
      </c>
      <c r="E48" s="150"/>
      <c r="F48" s="168"/>
      <c r="G48" s="175"/>
      <c r="H48" s="150"/>
      <c r="I48" s="151"/>
      <c r="J48" s="162" t="s">
        <v>5895</v>
      </c>
      <c r="K48" s="163" t="s">
        <v>1</v>
      </c>
      <c r="L48" s="164">
        <v>1</v>
      </c>
      <c r="M48" s="178">
        <v>1569</v>
      </c>
      <c r="N48" s="177"/>
    </row>
    <row r="49" spans="3:14" s="44" customFormat="1" ht="16.5" customHeight="1" x14ac:dyDescent="0.3">
      <c r="C49" s="45"/>
      <c r="D49" s="45"/>
      <c r="E49" s="46"/>
      <c r="F49" s="46"/>
      <c r="G49" s="46"/>
      <c r="H49" s="46"/>
      <c r="I49" s="47"/>
      <c r="J49" s="46"/>
      <c r="K49" s="46"/>
      <c r="L49" s="47"/>
      <c r="M49" s="84"/>
      <c r="N49" s="48"/>
    </row>
    <row r="50" spans="3:14" s="44" customFormat="1" ht="16.5" customHeight="1" x14ac:dyDescent="0.3">
      <c r="C50" s="45"/>
      <c r="D50" s="45"/>
      <c r="E50" s="46"/>
      <c r="F50" s="46"/>
      <c r="G50" s="46"/>
      <c r="H50" s="46"/>
      <c r="I50" s="47"/>
      <c r="J50" s="46"/>
      <c r="K50" s="46"/>
      <c r="L50" s="47"/>
      <c r="M50" s="84"/>
      <c r="N50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theme="1" tint="0.249977111117893"/>
    <pageSetUpPr fitToPage="1"/>
  </sheetPr>
  <dimension ref="A1:P41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7316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7401</v>
      </c>
      <c r="C7" s="155" t="s">
        <v>7315</v>
      </c>
      <c r="D7" s="156" t="s">
        <v>17578</v>
      </c>
      <c r="E7" s="157">
        <v>83</v>
      </c>
      <c r="F7" s="158" t="s">
        <v>0</v>
      </c>
      <c r="G7" s="159"/>
      <c r="H7" s="160"/>
      <c r="I7" s="161"/>
      <c r="J7" s="162"/>
      <c r="K7" s="163"/>
      <c r="L7" s="164"/>
      <c r="M7" s="165"/>
      <c r="N7" s="215"/>
      <c r="O7" s="178">
        <v>94</v>
      </c>
      <c r="P7" s="142" t="s">
        <v>5863</v>
      </c>
    </row>
    <row r="8" spans="1:16" ht="16.5" customHeight="1" x14ac:dyDescent="0.3">
      <c r="A8" s="147">
        <v>15</v>
      </c>
      <c r="B8" s="147">
        <v>7402</v>
      </c>
      <c r="C8" s="155" t="s">
        <v>7314</v>
      </c>
      <c r="D8" s="167" t="s">
        <v>17568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78">
        <v>94</v>
      </c>
      <c r="P8" s="172"/>
    </row>
    <row r="9" spans="1:16" ht="16.5" customHeight="1" x14ac:dyDescent="0.3">
      <c r="A9" s="147">
        <v>15</v>
      </c>
      <c r="B9" s="147">
        <v>7403</v>
      </c>
      <c r="C9" s="155" t="s">
        <v>7313</v>
      </c>
      <c r="D9" s="156" t="s">
        <v>17577</v>
      </c>
      <c r="E9" s="157">
        <v>166</v>
      </c>
      <c r="F9" s="158" t="s">
        <v>0</v>
      </c>
      <c r="G9" s="169"/>
      <c r="H9" s="153"/>
      <c r="I9" s="152"/>
      <c r="J9" s="162"/>
      <c r="K9" s="163"/>
      <c r="L9" s="164"/>
      <c r="M9" s="170" t="s">
        <v>17576</v>
      </c>
      <c r="N9" s="171"/>
      <c r="O9" s="178">
        <v>186</v>
      </c>
      <c r="P9" s="172"/>
    </row>
    <row r="10" spans="1:16" ht="16.5" customHeight="1" x14ac:dyDescent="0.3">
      <c r="A10" s="147">
        <v>15</v>
      </c>
      <c r="B10" s="147">
        <v>7404</v>
      </c>
      <c r="C10" s="155" t="s">
        <v>7312</v>
      </c>
      <c r="D10" s="167" t="s">
        <v>17575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4" t="s">
        <v>17574</v>
      </c>
      <c r="O10" s="178">
        <v>186</v>
      </c>
      <c r="P10" s="172"/>
    </row>
    <row r="11" spans="1:16" ht="16.5" customHeight="1" x14ac:dyDescent="0.3">
      <c r="A11" s="147">
        <v>15</v>
      </c>
      <c r="B11" s="147">
        <v>7405</v>
      </c>
      <c r="C11" s="155" t="s">
        <v>7311</v>
      </c>
      <c r="D11" s="156" t="s">
        <v>17573</v>
      </c>
      <c r="E11" s="157">
        <v>249</v>
      </c>
      <c r="F11" s="158" t="s">
        <v>0</v>
      </c>
      <c r="G11" s="169" t="s">
        <v>17564</v>
      </c>
      <c r="H11" s="153"/>
      <c r="I11" s="152"/>
      <c r="J11" s="162"/>
      <c r="K11" s="163"/>
      <c r="L11" s="164"/>
      <c r="M11" s="170"/>
      <c r="N11" s="171"/>
      <c r="O11" s="178">
        <v>280</v>
      </c>
      <c r="P11" s="172"/>
    </row>
    <row r="12" spans="1:16" ht="16.5" customHeight="1" x14ac:dyDescent="0.3">
      <c r="A12" s="147">
        <v>15</v>
      </c>
      <c r="B12" s="147">
        <v>7406</v>
      </c>
      <c r="C12" s="155" t="s">
        <v>7310</v>
      </c>
      <c r="D12" s="167" t="s">
        <v>17572</v>
      </c>
      <c r="E12" s="150"/>
      <c r="F12" s="168"/>
      <c r="G12" s="169" t="s">
        <v>17561</v>
      </c>
      <c r="H12" s="153" t="s">
        <v>1</v>
      </c>
      <c r="I12" s="152">
        <v>0.9</v>
      </c>
      <c r="J12" s="162" t="s">
        <v>5895</v>
      </c>
      <c r="K12" s="163" t="s">
        <v>1</v>
      </c>
      <c r="L12" s="164">
        <v>1</v>
      </c>
      <c r="M12" s="170" t="s">
        <v>1</v>
      </c>
      <c r="N12" s="192">
        <v>0.25</v>
      </c>
      <c r="O12" s="178">
        <v>280</v>
      </c>
      <c r="P12" s="172"/>
    </row>
    <row r="13" spans="1:16" ht="16.5" customHeight="1" x14ac:dyDescent="0.3">
      <c r="A13" s="147">
        <v>15</v>
      </c>
      <c r="B13" s="147">
        <v>7407</v>
      </c>
      <c r="C13" s="155" t="s">
        <v>7309</v>
      </c>
      <c r="D13" s="156" t="s">
        <v>17571</v>
      </c>
      <c r="E13" s="157">
        <v>332</v>
      </c>
      <c r="F13" s="158" t="s">
        <v>0</v>
      </c>
      <c r="G13" s="169"/>
      <c r="H13" s="153"/>
      <c r="I13" s="152"/>
      <c r="J13" s="162"/>
      <c r="K13" s="163"/>
      <c r="L13" s="164"/>
      <c r="M13" s="170"/>
      <c r="N13" s="174" t="s">
        <v>17556</v>
      </c>
      <c r="O13" s="178">
        <v>374</v>
      </c>
      <c r="P13" s="172"/>
    </row>
    <row r="14" spans="1:16" ht="16.5" customHeight="1" x14ac:dyDescent="0.3">
      <c r="A14" s="147">
        <v>15</v>
      </c>
      <c r="B14" s="147">
        <v>7408</v>
      </c>
      <c r="C14" s="155" t="s">
        <v>7308</v>
      </c>
      <c r="D14" s="167" t="s">
        <v>17559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92"/>
      <c r="O14" s="178">
        <v>374</v>
      </c>
      <c r="P14" s="172"/>
    </row>
    <row r="15" spans="1:16" ht="16.5" customHeight="1" x14ac:dyDescent="0.3">
      <c r="A15" s="147">
        <v>15</v>
      </c>
      <c r="B15" s="147">
        <v>7409</v>
      </c>
      <c r="C15" s="155" t="s">
        <v>7307</v>
      </c>
      <c r="D15" s="156" t="s">
        <v>17570</v>
      </c>
      <c r="E15" s="157">
        <v>415</v>
      </c>
      <c r="F15" s="158" t="s">
        <v>0</v>
      </c>
      <c r="G15" s="169"/>
      <c r="H15" s="153"/>
      <c r="I15" s="152"/>
      <c r="J15" s="162"/>
      <c r="K15" s="163"/>
      <c r="L15" s="164"/>
      <c r="M15" s="170"/>
      <c r="N15" s="174"/>
      <c r="O15" s="178">
        <v>468</v>
      </c>
      <c r="P15" s="172"/>
    </row>
    <row r="16" spans="1:16" ht="16.5" customHeight="1" x14ac:dyDescent="0.3">
      <c r="A16" s="147">
        <v>15</v>
      </c>
      <c r="B16" s="147">
        <v>7410</v>
      </c>
      <c r="C16" s="155" t="s">
        <v>7306</v>
      </c>
      <c r="D16" s="167" t="s">
        <v>17367</v>
      </c>
      <c r="E16" s="150"/>
      <c r="F16" s="168"/>
      <c r="G16" s="175"/>
      <c r="H16" s="150"/>
      <c r="I16" s="151"/>
      <c r="J16" s="162" t="s">
        <v>5895</v>
      </c>
      <c r="K16" s="163" t="s">
        <v>1</v>
      </c>
      <c r="L16" s="164">
        <v>1</v>
      </c>
      <c r="M16" s="176"/>
      <c r="N16" s="168"/>
      <c r="O16" s="178">
        <v>468</v>
      </c>
      <c r="P16" s="177"/>
    </row>
    <row r="17" spans="1:16" ht="16.5" customHeight="1" x14ac:dyDescent="0.3">
      <c r="A17" s="132"/>
      <c r="B17" s="132"/>
      <c r="C17" s="133"/>
      <c r="D17" s="133"/>
      <c r="E17" s="134"/>
      <c r="F17" s="134"/>
      <c r="G17" s="134"/>
      <c r="H17" s="134"/>
      <c r="I17" s="135"/>
      <c r="J17" s="134"/>
      <c r="K17" s="134"/>
      <c r="L17" s="135"/>
      <c r="M17" s="135"/>
      <c r="N17" s="134"/>
      <c r="O17" s="136"/>
      <c r="P17" s="137"/>
    </row>
    <row r="18" spans="1:16" ht="16.5" customHeight="1" x14ac:dyDescent="0.3">
      <c r="A18" s="132"/>
      <c r="B18" s="132"/>
      <c r="C18" s="133"/>
      <c r="D18" s="133"/>
      <c r="E18" s="134"/>
      <c r="F18" s="134"/>
      <c r="G18" s="134"/>
      <c r="H18" s="134"/>
      <c r="I18" s="135"/>
      <c r="J18" s="134"/>
      <c r="K18" s="134"/>
      <c r="L18" s="135"/>
      <c r="M18" s="135"/>
      <c r="N18" s="134"/>
      <c r="O18" s="136"/>
      <c r="P18" s="137"/>
    </row>
    <row r="19" spans="1:16" ht="16.5" customHeight="1" x14ac:dyDescent="0.3">
      <c r="A19" s="132"/>
      <c r="B19" s="138" t="s">
        <v>7305</v>
      </c>
      <c r="C19" s="133"/>
      <c r="D19" s="139"/>
      <c r="E19" s="134"/>
      <c r="F19" s="134"/>
      <c r="G19" s="134"/>
      <c r="H19" s="134"/>
      <c r="I19" s="135"/>
      <c r="J19" s="134"/>
      <c r="K19" s="134"/>
      <c r="L19" s="135"/>
      <c r="M19" s="135"/>
      <c r="N19" s="134"/>
      <c r="O19" s="136"/>
      <c r="P19" s="137"/>
    </row>
    <row r="20" spans="1:16" ht="16.5" customHeight="1" x14ac:dyDescent="0.3">
      <c r="A20" s="140" t="s">
        <v>5864</v>
      </c>
      <c r="B20" s="141"/>
      <c r="C20" s="142" t="s">
        <v>5867</v>
      </c>
      <c r="D20" s="143" t="s">
        <v>5868</v>
      </c>
      <c r="E20" s="144"/>
      <c r="F20" s="144"/>
      <c r="G20" s="144"/>
      <c r="H20" s="144"/>
      <c r="I20" s="145"/>
      <c r="J20" s="144"/>
      <c r="K20" s="144"/>
      <c r="L20" s="145"/>
      <c r="M20" s="145"/>
      <c r="N20" s="144"/>
      <c r="O20" s="146" t="s">
        <v>5869</v>
      </c>
      <c r="P20" s="146" t="s">
        <v>5871</v>
      </c>
    </row>
    <row r="21" spans="1:16" ht="16.5" customHeight="1" x14ac:dyDescent="0.3">
      <c r="A21" s="147" t="s">
        <v>5865</v>
      </c>
      <c r="B21" s="147" t="s">
        <v>5866</v>
      </c>
      <c r="C21" s="148"/>
      <c r="D21" s="149"/>
      <c r="E21" s="150"/>
      <c r="F21" s="150"/>
      <c r="G21" s="150"/>
      <c r="H21" s="150"/>
      <c r="I21" s="151"/>
      <c r="J21" s="150"/>
      <c r="K21" s="150"/>
      <c r="L21" s="151"/>
      <c r="M21" s="151"/>
      <c r="N21" s="150"/>
      <c r="O21" s="154" t="s">
        <v>5870</v>
      </c>
      <c r="P21" s="154" t="s">
        <v>0</v>
      </c>
    </row>
    <row r="22" spans="1:16" ht="16.5" customHeight="1" x14ac:dyDescent="0.3">
      <c r="A22" s="147">
        <v>15</v>
      </c>
      <c r="B22" s="147">
        <v>7411</v>
      </c>
      <c r="C22" s="155" t="s">
        <v>7304</v>
      </c>
      <c r="D22" s="156" t="s">
        <v>17569</v>
      </c>
      <c r="E22" s="157">
        <v>83</v>
      </c>
      <c r="F22" s="158" t="s">
        <v>0</v>
      </c>
      <c r="G22" s="159"/>
      <c r="H22" s="160"/>
      <c r="I22" s="161"/>
      <c r="J22" s="162"/>
      <c r="K22" s="163"/>
      <c r="L22" s="164"/>
      <c r="M22" s="165"/>
      <c r="N22" s="158"/>
      <c r="O22" s="178">
        <v>94</v>
      </c>
      <c r="P22" s="142" t="s">
        <v>5863</v>
      </c>
    </row>
    <row r="23" spans="1:16" ht="16.5" customHeight="1" x14ac:dyDescent="0.3">
      <c r="A23" s="147">
        <v>15</v>
      </c>
      <c r="B23" s="147">
        <v>7412</v>
      </c>
      <c r="C23" s="155" t="s">
        <v>7303</v>
      </c>
      <c r="D23" s="167" t="s">
        <v>17568</v>
      </c>
      <c r="E23" s="150"/>
      <c r="F23" s="168"/>
      <c r="G23" s="169"/>
      <c r="H23" s="153"/>
      <c r="I23" s="152"/>
      <c r="J23" s="162" t="s">
        <v>5895</v>
      </c>
      <c r="K23" s="163" t="s">
        <v>1</v>
      </c>
      <c r="L23" s="164">
        <v>1</v>
      </c>
      <c r="M23" s="170"/>
      <c r="N23" s="171"/>
      <c r="O23" s="178">
        <v>94</v>
      </c>
      <c r="P23" s="172"/>
    </row>
    <row r="24" spans="1:16" ht="16.5" customHeight="1" x14ac:dyDescent="0.3">
      <c r="A24" s="147">
        <v>15</v>
      </c>
      <c r="B24" s="147">
        <v>7413</v>
      </c>
      <c r="C24" s="155" t="s">
        <v>7302</v>
      </c>
      <c r="D24" s="156" t="s">
        <v>17567</v>
      </c>
      <c r="E24" s="157">
        <v>166</v>
      </c>
      <c r="F24" s="158" t="s">
        <v>0</v>
      </c>
      <c r="G24" s="169"/>
      <c r="H24" s="153"/>
      <c r="I24" s="152"/>
      <c r="J24" s="162"/>
      <c r="K24" s="163"/>
      <c r="L24" s="164"/>
      <c r="M24" s="170"/>
      <c r="N24" s="171"/>
      <c r="O24" s="178">
        <v>186</v>
      </c>
      <c r="P24" s="172"/>
    </row>
    <row r="25" spans="1:16" ht="16.5" customHeight="1" x14ac:dyDescent="0.3">
      <c r="A25" s="147">
        <v>15</v>
      </c>
      <c r="B25" s="147">
        <v>7414</v>
      </c>
      <c r="C25" s="155" t="s">
        <v>7301</v>
      </c>
      <c r="D25" s="167" t="s">
        <v>17362</v>
      </c>
      <c r="E25" s="150"/>
      <c r="F25" s="168"/>
      <c r="G25" s="169"/>
      <c r="H25" s="153"/>
      <c r="I25" s="152"/>
      <c r="J25" s="162" t="s">
        <v>5895</v>
      </c>
      <c r="K25" s="163" t="s">
        <v>1</v>
      </c>
      <c r="L25" s="164">
        <v>1</v>
      </c>
      <c r="M25" s="170"/>
      <c r="N25" s="171"/>
      <c r="O25" s="178">
        <v>186</v>
      </c>
      <c r="P25" s="172"/>
    </row>
    <row r="26" spans="1:16" ht="16.5" customHeight="1" x14ac:dyDescent="0.3">
      <c r="A26" s="147">
        <v>15</v>
      </c>
      <c r="B26" s="147">
        <v>7415</v>
      </c>
      <c r="C26" s="155" t="s">
        <v>7300</v>
      </c>
      <c r="D26" s="156" t="s">
        <v>17566</v>
      </c>
      <c r="E26" s="157">
        <v>249</v>
      </c>
      <c r="F26" s="158" t="s">
        <v>0</v>
      </c>
      <c r="G26" s="169"/>
      <c r="H26" s="153"/>
      <c r="I26" s="152"/>
      <c r="J26" s="162"/>
      <c r="K26" s="163"/>
      <c r="L26" s="164"/>
      <c r="M26" s="170"/>
      <c r="N26" s="171"/>
      <c r="O26" s="178">
        <v>280</v>
      </c>
      <c r="P26" s="172"/>
    </row>
    <row r="27" spans="1:16" ht="16.5" customHeight="1" x14ac:dyDescent="0.3">
      <c r="A27" s="147">
        <v>15</v>
      </c>
      <c r="B27" s="147">
        <v>7416</v>
      </c>
      <c r="C27" s="155" t="s">
        <v>7299</v>
      </c>
      <c r="D27" s="167" t="s">
        <v>17565</v>
      </c>
      <c r="E27" s="150"/>
      <c r="F27" s="168"/>
      <c r="G27" s="169" t="s">
        <v>17564</v>
      </c>
      <c r="H27" s="153"/>
      <c r="I27" s="152"/>
      <c r="J27" s="162" t="s">
        <v>5895</v>
      </c>
      <c r="K27" s="163" t="s">
        <v>1</v>
      </c>
      <c r="L27" s="164">
        <v>1</v>
      </c>
      <c r="M27" s="170" t="s">
        <v>17563</v>
      </c>
      <c r="N27" s="171"/>
      <c r="O27" s="178">
        <v>280</v>
      </c>
      <c r="P27" s="172"/>
    </row>
    <row r="28" spans="1:16" ht="16.5" customHeight="1" x14ac:dyDescent="0.3">
      <c r="A28" s="147">
        <v>15</v>
      </c>
      <c r="B28" s="147">
        <v>7417</v>
      </c>
      <c r="C28" s="155" t="s">
        <v>7298</v>
      </c>
      <c r="D28" s="156" t="s">
        <v>17562</v>
      </c>
      <c r="E28" s="157">
        <v>332</v>
      </c>
      <c r="F28" s="158" t="s">
        <v>0</v>
      </c>
      <c r="G28" s="169" t="s">
        <v>17561</v>
      </c>
      <c r="H28" s="153" t="s">
        <v>1</v>
      </c>
      <c r="I28" s="152">
        <v>0.9</v>
      </c>
      <c r="J28" s="162"/>
      <c r="K28" s="163"/>
      <c r="L28" s="164"/>
      <c r="M28" s="170"/>
      <c r="N28" s="174" t="s">
        <v>17560</v>
      </c>
      <c r="O28" s="178">
        <v>374</v>
      </c>
      <c r="P28" s="172"/>
    </row>
    <row r="29" spans="1:16" ht="16.5" customHeight="1" x14ac:dyDescent="0.3">
      <c r="A29" s="147">
        <v>15</v>
      </c>
      <c r="B29" s="147">
        <v>7418</v>
      </c>
      <c r="C29" s="155" t="s">
        <v>7297</v>
      </c>
      <c r="D29" s="167" t="s">
        <v>17559</v>
      </c>
      <c r="E29" s="150"/>
      <c r="F29" s="168"/>
      <c r="G29" s="169"/>
      <c r="H29" s="153"/>
      <c r="I29" s="152"/>
      <c r="J29" s="162" t="s">
        <v>5895</v>
      </c>
      <c r="K29" s="163" t="s">
        <v>1</v>
      </c>
      <c r="L29" s="164">
        <v>1</v>
      </c>
      <c r="M29" s="170"/>
      <c r="N29" s="171"/>
      <c r="O29" s="178">
        <v>374</v>
      </c>
      <c r="P29" s="172"/>
    </row>
    <row r="30" spans="1:16" ht="16.5" customHeight="1" x14ac:dyDescent="0.3">
      <c r="A30" s="147">
        <v>15</v>
      </c>
      <c r="B30" s="147">
        <v>7419</v>
      </c>
      <c r="C30" s="155" t="s">
        <v>7296</v>
      </c>
      <c r="D30" s="156" t="s">
        <v>17558</v>
      </c>
      <c r="E30" s="157">
        <v>415</v>
      </c>
      <c r="F30" s="158" t="s">
        <v>0</v>
      </c>
      <c r="G30" s="169"/>
      <c r="H30" s="153"/>
      <c r="I30" s="152"/>
      <c r="J30" s="162"/>
      <c r="K30" s="163"/>
      <c r="L30" s="164"/>
      <c r="M30" s="170" t="s">
        <v>1</v>
      </c>
      <c r="N30" s="192">
        <v>0.25</v>
      </c>
      <c r="O30" s="178">
        <v>468</v>
      </c>
      <c r="P30" s="172"/>
    </row>
    <row r="31" spans="1:16" ht="16.5" customHeight="1" x14ac:dyDescent="0.3">
      <c r="A31" s="147">
        <v>15</v>
      </c>
      <c r="B31" s="147">
        <v>7420</v>
      </c>
      <c r="C31" s="155" t="s">
        <v>7295</v>
      </c>
      <c r="D31" s="167" t="s">
        <v>17557</v>
      </c>
      <c r="E31" s="150"/>
      <c r="F31" s="168"/>
      <c r="G31" s="169"/>
      <c r="H31" s="153"/>
      <c r="I31" s="152"/>
      <c r="J31" s="162" t="s">
        <v>5895</v>
      </c>
      <c r="K31" s="163" t="s">
        <v>1</v>
      </c>
      <c r="L31" s="164">
        <v>1</v>
      </c>
      <c r="M31" s="170"/>
      <c r="N31" s="174" t="s">
        <v>17556</v>
      </c>
      <c r="O31" s="178">
        <v>468</v>
      </c>
      <c r="P31" s="172"/>
    </row>
    <row r="32" spans="1:16" ht="16.5" customHeight="1" x14ac:dyDescent="0.3">
      <c r="A32" s="147">
        <v>15</v>
      </c>
      <c r="B32" s="147">
        <v>7421</v>
      </c>
      <c r="C32" s="155" t="s">
        <v>7294</v>
      </c>
      <c r="D32" s="156" t="s">
        <v>17215</v>
      </c>
      <c r="E32" s="157">
        <v>498</v>
      </c>
      <c r="F32" s="158" t="s">
        <v>0</v>
      </c>
      <c r="G32" s="169"/>
      <c r="H32" s="153"/>
      <c r="I32" s="152"/>
      <c r="J32" s="162"/>
      <c r="K32" s="163"/>
      <c r="L32" s="164"/>
      <c r="M32" s="170"/>
      <c r="N32" s="171"/>
      <c r="O32" s="178">
        <v>560</v>
      </c>
      <c r="P32" s="172"/>
    </row>
    <row r="33" spans="1:16" ht="16.5" customHeight="1" x14ac:dyDescent="0.3">
      <c r="A33" s="147">
        <v>15</v>
      </c>
      <c r="B33" s="147">
        <v>7422</v>
      </c>
      <c r="C33" s="155" t="s">
        <v>7293</v>
      </c>
      <c r="D33" s="167" t="s">
        <v>17555</v>
      </c>
      <c r="E33" s="150"/>
      <c r="F33" s="168"/>
      <c r="G33" s="169"/>
      <c r="H33" s="153"/>
      <c r="I33" s="152"/>
      <c r="J33" s="162" t="s">
        <v>5895</v>
      </c>
      <c r="K33" s="163" t="s">
        <v>1</v>
      </c>
      <c r="L33" s="164">
        <v>1</v>
      </c>
      <c r="M33" s="170"/>
      <c r="N33" s="171"/>
      <c r="O33" s="178">
        <v>560</v>
      </c>
      <c r="P33" s="172"/>
    </row>
    <row r="34" spans="1:16" ht="16.5" customHeight="1" x14ac:dyDescent="0.3">
      <c r="A34" s="147">
        <v>15</v>
      </c>
      <c r="B34" s="147">
        <v>7423</v>
      </c>
      <c r="C34" s="155" t="s">
        <v>7292</v>
      </c>
      <c r="D34" s="156" t="s">
        <v>17554</v>
      </c>
      <c r="E34" s="157">
        <v>581</v>
      </c>
      <c r="F34" s="158" t="s">
        <v>0</v>
      </c>
      <c r="G34" s="169"/>
      <c r="H34" s="153"/>
      <c r="I34" s="152"/>
      <c r="J34" s="162"/>
      <c r="K34" s="163"/>
      <c r="L34" s="164"/>
      <c r="M34" s="170"/>
      <c r="N34" s="171"/>
      <c r="O34" s="178">
        <v>654</v>
      </c>
      <c r="P34" s="172"/>
    </row>
    <row r="35" spans="1:16" ht="16.5" customHeight="1" x14ac:dyDescent="0.3">
      <c r="A35" s="147">
        <v>15</v>
      </c>
      <c r="B35" s="147">
        <v>7424</v>
      </c>
      <c r="C35" s="155" t="s">
        <v>7291</v>
      </c>
      <c r="D35" s="167" t="s">
        <v>17553</v>
      </c>
      <c r="E35" s="150"/>
      <c r="F35" s="168"/>
      <c r="G35" s="169"/>
      <c r="H35" s="153"/>
      <c r="I35" s="152"/>
      <c r="J35" s="162" t="s">
        <v>5895</v>
      </c>
      <c r="K35" s="163" t="s">
        <v>1</v>
      </c>
      <c r="L35" s="164">
        <v>1</v>
      </c>
      <c r="M35" s="170"/>
      <c r="N35" s="171"/>
      <c r="O35" s="178">
        <v>654</v>
      </c>
      <c r="P35" s="172"/>
    </row>
    <row r="36" spans="1:16" ht="16.5" customHeight="1" x14ac:dyDescent="0.3">
      <c r="A36" s="147">
        <v>15</v>
      </c>
      <c r="B36" s="147">
        <v>7425</v>
      </c>
      <c r="C36" s="155" t="s">
        <v>7290</v>
      </c>
      <c r="D36" s="156" t="s">
        <v>17552</v>
      </c>
      <c r="E36" s="157">
        <v>664</v>
      </c>
      <c r="F36" s="158" t="s">
        <v>0</v>
      </c>
      <c r="G36" s="169"/>
      <c r="H36" s="153"/>
      <c r="I36" s="152"/>
      <c r="J36" s="162"/>
      <c r="K36" s="163"/>
      <c r="L36" s="164"/>
      <c r="M36" s="170"/>
      <c r="N36" s="171"/>
      <c r="O36" s="178">
        <v>748</v>
      </c>
      <c r="P36" s="172"/>
    </row>
    <row r="37" spans="1:16" ht="16.5" customHeight="1" x14ac:dyDescent="0.3">
      <c r="A37" s="147">
        <v>15</v>
      </c>
      <c r="B37" s="147">
        <v>7426</v>
      </c>
      <c r="C37" s="155" t="s">
        <v>7289</v>
      </c>
      <c r="D37" s="167" t="s">
        <v>17551</v>
      </c>
      <c r="E37" s="150"/>
      <c r="F37" s="168"/>
      <c r="G37" s="169"/>
      <c r="H37" s="153"/>
      <c r="I37" s="152"/>
      <c r="J37" s="162" t="s">
        <v>5895</v>
      </c>
      <c r="K37" s="163" t="s">
        <v>1</v>
      </c>
      <c r="L37" s="164">
        <v>1</v>
      </c>
      <c r="M37" s="170"/>
      <c r="N37" s="171"/>
      <c r="O37" s="178">
        <v>748</v>
      </c>
      <c r="P37" s="172"/>
    </row>
    <row r="38" spans="1:16" ht="16.5" customHeight="1" x14ac:dyDescent="0.3">
      <c r="A38" s="147">
        <v>15</v>
      </c>
      <c r="B38" s="147">
        <v>7427</v>
      </c>
      <c r="C38" s="155" t="s">
        <v>7288</v>
      </c>
      <c r="D38" s="156" t="s">
        <v>17550</v>
      </c>
      <c r="E38" s="157">
        <v>747</v>
      </c>
      <c r="F38" s="158" t="s">
        <v>0</v>
      </c>
      <c r="G38" s="169"/>
      <c r="H38" s="153"/>
      <c r="I38" s="152"/>
      <c r="J38" s="162"/>
      <c r="K38" s="163"/>
      <c r="L38" s="164"/>
      <c r="M38" s="170"/>
      <c r="N38" s="171"/>
      <c r="O38" s="178">
        <v>840</v>
      </c>
      <c r="P38" s="172"/>
    </row>
    <row r="39" spans="1:16" ht="16.5" customHeight="1" x14ac:dyDescent="0.3">
      <c r="A39" s="147">
        <v>15</v>
      </c>
      <c r="B39" s="147">
        <v>7428</v>
      </c>
      <c r="C39" s="155" t="s">
        <v>7287</v>
      </c>
      <c r="D39" s="167" t="s">
        <v>17549</v>
      </c>
      <c r="E39" s="150"/>
      <c r="F39" s="168"/>
      <c r="G39" s="175"/>
      <c r="H39" s="150"/>
      <c r="I39" s="151"/>
      <c r="J39" s="162" t="s">
        <v>5895</v>
      </c>
      <c r="K39" s="163" t="s">
        <v>1</v>
      </c>
      <c r="L39" s="164">
        <v>1</v>
      </c>
      <c r="M39" s="176"/>
      <c r="N39" s="168"/>
      <c r="O39" s="178">
        <v>840</v>
      </c>
      <c r="P39" s="177"/>
    </row>
    <row r="40" spans="1:16" ht="16.5" customHeight="1" x14ac:dyDescent="0.3"/>
    <row r="41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1" tint="0.249977111117893"/>
    <pageSetUpPr fitToPage="1"/>
  </sheetPr>
  <dimension ref="A1:N92"/>
  <sheetViews>
    <sheetView tabSelected="1" zoomScaleNormal="100" zoomScaleSheetLayoutView="80" workbookViewId="0">
      <selection activeCell="C2" sqref="C2"/>
    </sheetView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8.62890625" style="45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8" t="s">
        <v>16878</v>
      </c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6003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1111</v>
      </c>
      <c r="C7" s="197" t="s">
        <v>6002</v>
      </c>
      <c r="D7" s="156" t="s">
        <v>16877</v>
      </c>
      <c r="E7" s="160"/>
      <c r="F7" s="158"/>
      <c r="G7" s="160"/>
      <c r="H7" s="160"/>
      <c r="I7" s="161"/>
      <c r="J7" s="162"/>
      <c r="K7" s="163"/>
      <c r="L7" s="164"/>
      <c r="M7" s="225">
        <v>257</v>
      </c>
      <c r="N7" s="142" t="s">
        <v>5863</v>
      </c>
    </row>
    <row r="8" spans="1:14" ht="16.5" customHeight="1" x14ac:dyDescent="0.3">
      <c r="A8" s="147">
        <v>15</v>
      </c>
      <c r="B8" s="147">
        <v>1112</v>
      </c>
      <c r="C8" s="197" t="s">
        <v>6000</v>
      </c>
      <c r="D8" s="188" t="s">
        <v>16876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225">
        <v>257</v>
      </c>
      <c r="N8" s="172"/>
    </row>
    <row r="9" spans="1:14" ht="16.5" customHeight="1" x14ac:dyDescent="0.3">
      <c r="A9" s="147">
        <v>15</v>
      </c>
      <c r="B9" s="147">
        <v>1113</v>
      </c>
      <c r="C9" s="197" t="s">
        <v>5998</v>
      </c>
      <c r="D9" s="188"/>
      <c r="E9" s="205">
        <v>257</v>
      </c>
      <c r="F9" s="171" t="s">
        <v>0</v>
      </c>
      <c r="G9" s="160" t="s">
        <v>16823</v>
      </c>
      <c r="H9" s="160"/>
      <c r="I9" s="161"/>
      <c r="J9" s="162"/>
      <c r="K9" s="163"/>
      <c r="L9" s="164"/>
      <c r="M9" s="225">
        <v>180</v>
      </c>
      <c r="N9" s="172"/>
    </row>
    <row r="10" spans="1:14" ht="16.5" customHeight="1" x14ac:dyDescent="0.3">
      <c r="A10" s="147">
        <v>15</v>
      </c>
      <c r="B10" s="147">
        <v>1114</v>
      </c>
      <c r="C10" s="197" t="s">
        <v>5997</v>
      </c>
      <c r="D10" s="167"/>
      <c r="E10" s="150"/>
      <c r="F10" s="168"/>
      <c r="G10" s="150" t="s">
        <v>16812</v>
      </c>
      <c r="H10" s="150" t="s">
        <v>1</v>
      </c>
      <c r="I10" s="151">
        <v>0.7</v>
      </c>
      <c r="J10" s="162" t="s">
        <v>5895</v>
      </c>
      <c r="K10" s="163" t="s">
        <v>1</v>
      </c>
      <c r="L10" s="164">
        <v>1</v>
      </c>
      <c r="M10" s="225">
        <v>180</v>
      </c>
      <c r="N10" s="172"/>
    </row>
    <row r="11" spans="1:14" ht="16.5" customHeight="1" x14ac:dyDescent="0.3">
      <c r="A11" s="147">
        <v>15</v>
      </c>
      <c r="B11" s="147">
        <v>1115</v>
      </c>
      <c r="C11" s="155" t="s">
        <v>5996</v>
      </c>
      <c r="D11" s="156" t="s">
        <v>16875</v>
      </c>
      <c r="E11" s="160"/>
      <c r="F11" s="158"/>
      <c r="G11" s="160"/>
      <c r="H11" s="160"/>
      <c r="I11" s="161"/>
      <c r="J11" s="162"/>
      <c r="K11" s="163"/>
      <c r="L11" s="164"/>
      <c r="M11" s="225">
        <v>406</v>
      </c>
      <c r="N11" s="172"/>
    </row>
    <row r="12" spans="1:14" ht="16.5" customHeight="1" x14ac:dyDescent="0.3">
      <c r="A12" s="147">
        <v>15</v>
      </c>
      <c r="B12" s="147">
        <v>1116</v>
      </c>
      <c r="C12" s="155" t="s">
        <v>5994</v>
      </c>
      <c r="D12" s="188" t="s">
        <v>16874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225">
        <v>406</v>
      </c>
      <c r="N12" s="172"/>
    </row>
    <row r="13" spans="1:14" ht="16.5" customHeight="1" x14ac:dyDescent="0.3">
      <c r="A13" s="147">
        <v>15</v>
      </c>
      <c r="B13" s="147">
        <v>1117</v>
      </c>
      <c r="C13" s="155" t="s">
        <v>5992</v>
      </c>
      <c r="D13" s="188" t="s">
        <v>16873</v>
      </c>
      <c r="E13" s="205">
        <v>406</v>
      </c>
      <c r="F13" s="171" t="s">
        <v>0</v>
      </c>
      <c r="G13" s="160" t="s">
        <v>16823</v>
      </c>
      <c r="H13" s="160"/>
      <c r="I13" s="161"/>
      <c r="J13" s="162"/>
      <c r="K13" s="163"/>
      <c r="L13" s="164"/>
      <c r="M13" s="225">
        <v>284</v>
      </c>
      <c r="N13" s="172"/>
    </row>
    <row r="14" spans="1:14" ht="16.5" customHeight="1" x14ac:dyDescent="0.3">
      <c r="A14" s="147">
        <v>15</v>
      </c>
      <c r="B14" s="147">
        <v>1118</v>
      </c>
      <c r="C14" s="155" t="s">
        <v>5991</v>
      </c>
      <c r="D14" s="167"/>
      <c r="E14" s="150"/>
      <c r="F14" s="168"/>
      <c r="G14" s="150" t="s">
        <v>16812</v>
      </c>
      <c r="H14" s="150" t="s">
        <v>1</v>
      </c>
      <c r="I14" s="151">
        <v>0.7</v>
      </c>
      <c r="J14" s="162" t="s">
        <v>5895</v>
      </c>
      <c r="K14" s="163" t="s">
        <v>1</v>
      </c>
      <c r="L14" s="164">
        <v>1</v>
      </c>
      <c r="M14" s="225">
        <v>284</v>
      </c>
      <c r="N14" s="172"/>
    </row>
    <row r="15" spans="1:14" ht="16.5" customHeight="1" x14ac:dyDescent="0.3">
      <c r="A15" s="147">
        <v>15</v>
      </c>
      <c r="B15" s="147">
        <v>1119</v>
      </c>
      <c r="C15" s="155" t="s">
        <v>5990</v>
      </c>
      <c r="D15" s="156" t="s">
        <v>16872</v>
      </c>
      <c r="E15" s="160"/>
      <c r="F15" s="158"/>
      <c r="G15" s="160"/>
      <c r="H15" s="160"/>
      <c r="I15" s="161"/>
      <c r="J15" s="162"/>
      <c r="K15" s="163"/>
      <c r="L15" s="164"/>
      <c r="M15" s="225">
        <v>591</v>
      </c>
      <c r="N15" s="172"/>
    </row>
    <row r="16" spans="1:14" ht="16.5" customHeight="1" x14ac:dyDescent="0.3">
      <c r="A16" s="147">
        <v>15</v>
      </c>
      <c r="B16" s="147">
        <v>1120</v>
      </c>
      <c r="C16" s="155" t="s">
        <v>5988</v>
      </c>
      <c r="D16" s="188" t="s">
        <v>16871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225">
        <v>591</v>
      </c>
      <c r="N16" s="172"/>
    </row>
    <row r="17" spans="1:14" ht="16.5" customHeight="1" x14ac:dyDescent="0.3">
      <c r="A17" s="147">
        <v>15</v>
      </c>
      <c r="B17" s="147">
        <v>1121</v>
      </c>
      <c r="C17" s="155" t="s">
        <v>18463</v>
      </c>
      <c r="D17" s="188" t="s">
        <v>16870</v>
      </c>
      <c r="E17" s="205">
        <v>591</v>
      </c>
      <c r="F17" s="171" t="s">
        <v>0</v>
      </c>
      <c r="G17" s="160" t="s">
        <v>16823</v>
      </c>
      <c r="H17" s="160"/>
      <c r="I17" s="161"/>
      <c r="J17" s="162"/>
      <c r="K17" s="163"/>
      <c r="L17" s="164"/>
      <c r="M17" s="225">
        <v>414</v>
      </c>
      <c r="N17" s="172"/>
    </row>
    <row r="18" spans="1:14" ht="16.5" customHeight="1" x14ac:dyDescent="0.3">
      <c r="A18" s="147">
        <v>15</v>
      </c>
      <c r="B18" s="147">
        <v>1122</v>
      </c>
      <c r="C18" s="155" t="s">
        <v>5986</v>
      </c>
      <c r="D18" s="167"/>
      <c r="E18" s="150"/>
      <c r="F18" s="168"/>
      <c r="G18" s="150" t="s">
        <v>16812</v>
      </c>
      <c r="H18" s="150" t="s">
        <v>1</v>
      </c>
      <c r="I18" s="151">
        <v>0.7</v>
      </c>
      <c r="J18" s="162" t="s">
        <v>5895</v>
      </c>
      <c r="K18" s="163" t="s">
        <v>1</v>
      </c>
      <c r="L18" s="164">
        <v>1</v>
      </c>
      <c r="M18" s="225">
        <v>414</v>
      </c>
      <c r="N18" s="172"/>
    </row>
    <row r="19" spans="1:14" ht="16.5" customHeight="1" x14ac:dyDescent="0.3">
      <c r="A19" s="147">
        <v>15</v>
      </c>
      <c r="B19" s="147">
        <v>1123</v>
      </c>
      <c r="C19" s="155" t="s">
        <v>5985</v>
      </c>
      <c r="D19" s="156" t="s">
        <v>16869</v>
      </c>
      <c r="E19" s="160"/>
      <c r="F19" s="158"/>
      <c r="G19" s="160"/>
      <c r="H19" s="160"/>
      <c r="I19" s="161"/>
      <c r="J19" s="162"/>
      <c r="K19" s="163"/>
      <c r="L19" s="164"/>
      <c r="M19" s="225">
        <v>674</v>
      </c>
      <c r="N19" s="172"/>
    </row>
    <row r="20" spans="1:14" ht="16.5" customHeight="1" x14ac:dyDescent="0.3">
      <c r="A20" s="147">
        <v>15</v>
      </c>
      <c r="B20" s="147">
        <v>1124</v>
      </c>
      <c r="C20" s="155" t="s">
        <v>5984</v>
      </c>
      <c r="D20" s="188" t="s">
        <v>16868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225">
        <v>674</v>
      </c>
      <c r="N20" s="172"/>
    </row>
    <row r="21" spans="1:14" ht="16.5" customHeight="1" x14ac:dyDescent="0.3">
      <c r="A21" s="147">
        <v>15</v>
      </c>
      <c r="B21" s="147">
        <v>1125</v>
      </c>
      <c r="C21" s="155" t="s">
        <v>5982</v>
      </c>
      <c r="D21" s="188" t="s">
        <v>16867</v>
      </c>
      <c r="E21" s="205">
        <v>674</v>
      </c>
      <c r="F21" s="171" t="s">
        <v>0</v>
      </c>
      <c r="G21" s="160" t="s">
        <v>16823</v>
      </c>
      <c r="H21" s="160"/>
      <c r="I21" s="161"/>
      <c r="J21" s="162"/>
      <c r="K21" s="163"/>
      <c r="L21" s="164"/>
      <c r="M21" s="225">
        <v>472</v>
      </c>
      <c r="N21" s="172"/>
    </row>
    <row r="22" spans="1:14" ht="16.5" customHeight="1" x14ac:dyDescent="0.3">
      <c r="A22" s="147">
        <v>15</v>
      </c>
      <c r="B22" s="147">
        <v>1126</v>
      </c>
      <c r="C22" s="155" t="s">
        <v>5981</v>
      </c>
      <c r="D22" s="167"/>
      <c r="E22" s="150"/>
      <c r="F22" s="168"/>
      <c r="G22" s="150" t="s">
        <v>16842</v>
      </c>
      <c r="H22" s="150" t="s">
        <v>1</v>
      </c>
      <c r="I22" s="151">
        <v>0.7</v>
      </c>
      <c r="J22" s="162" t="s">
        <v>5895</v>
      </c>
      <c r="K22" s="163" t="s">
        <v>1</v>
      </c>
      <c r="L22" s="164">
        <v>1</v>
      </c>
      <c r="M22" s="225">
        <v>472</v>
      </c>
      <c r="N22" s="172"/>
    </row>
    <row r="23" spans="1:14" ht="16.5" customHeight="1" x14ac:dyDescent="0.3">
      <c r="A23" s="147">
        <v>15</v>
      </c>
      <c r="B23" s="147">
        <v>1127</v>
      </c>
      <c r="C23" s="155" t="s">
        <v>5980</v>
      </c>
      <c r="D23" s="156" t="s">
        <v>16866</v>
      </c>
      <c r="E23" s="160"/>
      <c r="F23" s="158"/>
      <c r="G23" s="160"/>
      <c r="H23" s="160"/>
      <c r="I23" s="161"/>
      <c r="J23" s="162"/>
      <c r="K23" s="163"/>
      <c r="L23" s="164"/>
      <c r="M23" s="225">
        <v>758</v>
      </c>
      <c r="N23" s="172"/>
    </row>
    <row r="24" spans="1:14" ht="16.5" customHeight="1" x14ac:dyDescent="0.3">
      <c r="A24" s="147">
        <v>15</v>
      </c>
      <c r="B24" s="147">
        <v>1128</v>
      </c>
      <c r="C24" s="155" t="s">
        <v>5978</v>
      </c>
      <c r="D24" s="188" t="s">
        <v>16865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225">
        <v>758</v>
      </c>
      <c r="N24" s="172"/>
    </row>
    <row r="25" spans="1:14" ht="16.5" customHeight="1" x14ac:dyDescent="0.3">
      <c r="A25" s="147">
        <v>15</v>
      </c>
      <c r="B25" s="147">
        <v>1129</v>
      </c>
      <c r="C25" s="155" t="s">
        <v>5976</v>
      </c>
      <c r="D25" s="188" t="s">
        <v>16864</v>
      </c>
      <c r="E25" s="205">
        <v>758</v>
      </c>
      <c r="F25" s="171" t="s">
        <v>0</v>
      </c>
      <c r="G25" s="160" t="s">
        <v>16813</v>
      </c>
      <c r="H25" s="160"/>
      <c r="I25" s="161"/>
      <c r="J25" s="162"/>
      <c r="K25" s="163"/>
      <c r="L25" s="164"/>
      <c r="M25" s="225">
        <v>531</v>
      </c>
      <c r="N25" s="172"/>
    </row>
    <row r="26" spans="1:14" ht="16.5" customHeight="1" x14ac:dyDescent="0.3">
      <c r="A26" s="147">
        <v>15</v>
      </c>
      <c r="B26" s="147">
        <v>1130</v>
      </c>
      <c r="C26" s="155" t="s">
        <v>5975</v>
      </c>
      <c r="D26" s="167"/>
      <c r="E26" s="150"/>
      <c r="F26" s="168"/>
      <c r="G26" s="150" t="s">
        <v>16812</v>
      </c>
      <c r="H26" s="150" t="s">
        <v>1</v>
      </c>
      <c r="I26" s="151">
        <v>0.7</v>
      </c>
      <c r="J26" s="162" t="s">
        <v>5895</v>
      </c>
      <c r="K26" s="163" t="s">
        <v>1</v>
      </c>
      <c r="L26" s="164">
        <v>1</v>
      </c>
      <c r="M26" s="225">
        <v>531</v>
      </c>
      <c r="N26" s="172"/>
    </row>
    <row r="27" spans="1:14" ht="16.5" customHeight="1" x14ac:dyDescent="0.3">
      <c r="A27" s="147">
        <v>15</v>
      </c>
      <c r="B27" s="147">
        <v>1131</v>
      </c>
      <c r="C27" s="155" t="s">
        <v>5974</v>
      </c>
      <c r="D27" s="156" t="s">
        <v>16863</v>
      </c>
      <c r="E27" s="160"/>
      <c r="F27" s="158"/>
      <c r="G27" s="160"/>
      <c r="H27" s="160"/>
      <c r="I27" s="161"/>
      <c r="J27" s="162"/>
      <c r="K27" s="163"/>
      <c r="L27" s="164"/>
      <c r="M27" s="225">
        <v>842</v>
      </c>
      <c r="N27" s="172"/>
    </row>
    <row r="28" spans="1:14" ht="16.5" customHeight="1" x14ac:dyDescent="0.3">
      <c r="A28" s="147">
        <v>15</v>
      </c>
      <c r="B28" s="147">
        <v>1132</v>
      </c>
      <c r="C28" s="155" t="s">
        <v>5973</v>
      </c>
      <c r="D28" s="188" t="s">
        <v>16862</v>
      </c>
      <c r="E28" s="153"/>
      <c r="F28" s="171"/>
      <c r="G28" s="150"/>
      <c r="H28" s="150"/>
      <c r="I28" s="151"/>
      <c r="J28" s="162" t="s">
        <v>5895</v>
      </c>
      <c r="K28" s="163" t="s">
        <v>1</v>
      </c>
      <c r="L28" s="164">
        <v>1</v>
      </c>
      <c r="M28" s="225">
        <v>842</v>
      </c>
      <c r="N28" s="172"/>
    </row>
    <row r="29" spans="1:14" ht="16.5" customHeight="1" x14ac:dyDescent="0.3">
      <c r="A29" s="147">
        <v>15</v>
      </c>
      <c r="B29" s="147">
        <v>1133</v>
      </c>
      <c r="C29" s="155" t="s">
        <v>5971</v>
      </c>
      <c r="D29" s="188" t="s">
        <v>16861</v>
      </c>
      <c r="E29" s="205">
        <v>842</v>
      </c>
      <c r="F29" s="171" t="s">
        <v>0</v>
      </c>
      <c r="G29" s="160" t="s">
        <v>16823</v>
      </c>
      <c r="H29" s="160"/>
      <c r="I29" s="161"/>
      <c r="J29" s="162"/>
      <c r="K29" s="163"/>
      <c r="L29" s="164"/>
      <c r="M29" s="225">
        <v>589</v>
      </c>
      <c r="N29" s="172"/>
    </row>
    <row r="30" spans="1:14" ht="16.5" customHeight="1" x14ac:dyDescent="0.3">
      <c r="A30" s="147">
        <v>15</v>
      </c>
      <c r="B30" s="147">
        <v>1134</v>
      </c>
      <c r="C30" s="155" t="s">
        <v>5969</v>
      </c>
      <c r="D30" s="167"/>
      <c r="E30" s="150"/>
      <c r="F30" s="168"/>
      <c r="G30" s="150" t="s">
        <v>16812</v>
      </c>
      <c r="H30" s="150" t="s">
        <v>1</v>
      </c>
      <c r="I30" s="151">
        <v>0.7</v>
      </c>
      <c r="J30" s="162" t="s">
        <v>5895</v>
      </c>
      <c r="K30" s="163" t="s">
        <v>1</v>
      </c>
      <c r="L30" s="164">
        <v>1</v>
      </c>
      <c r="M30" s="225">
        <v>589</v>
      </c>
      <c r="N30" s="172"/>
    </row>
    <row r="31" spans="1:14" ht="16.5" customHeight="1" x14ac:dyDescent="0.3">
      <c r="A31" s="147">
        <v>15</v>
      </c>
      <c r="B31" s="147">
        <v>1135</v>
      </c>
      <c r="C31" s="155" t="s">
        <v>5968</v>
      </c>
      <c r="D31" s="156" t="s">
        <v>16860</v>
      </c>
      <c r="E31" s="160"/>
      <c r="F31" s="158"/>
      <c r="G31" s="160"/>
      <c r="H31" s="160"/>
      <c r="I31" s="161"/>
      <c r="J31" s="162"/>
      <c r="K31" s="163"/>
      <c r="L31" s="164"/>
      <c r="M31" s="225">
        <v>925</v>
      </c>
      <c r="N31" s="172"/>
    </row>
    <row r="32" spans="1:14" ht="16.5" customHeight="1" x14ac:dyDescent="0.3">
      <c r="A32" s="147">
        <v>15</v>
      </c>
      <c r="B32" s="147">
        <v>1136</v>
      </c>
      <c r="C32" s="155" t="s">
        <v>5967</v>
      </c>
      <c r="D32" s="188" t="s">
        <v>16859</v>
      </c>
      <c r="E32" s="153"/>
      <c r="F32" s="171"/>
      <c r="G32" s="150"/>
      <c r="H32" s="150"/>
      <c r="I32" s="151"/>
      <c r="J32" s="162" t="s">
        <v>5895</v>
      </c>
      <c r="K32" s="163" t="s">
        <v>1</v>
      </c>
      <c r="L32" s="164">
        <v>1</v>
      </c>
      <c r="M32" s="225">
        <v>925</v>
      </c>
      <c r="N32" s="172"/>
    </row>
    <row r="33" spans="1:14" ht="16.5" customHeight="1" x14ac:dyDescent="0.3">
      <c r="A33" s="147">
        <v>15</v>
      </c>
      <c r="B33" s="147">
        <v>1137</v>
      </c>
      <c r="C33" s="155" t="s">
        <v>5965</v>
      </c>
      <c r="D33" s="188" t="s">
        <v>16858</v>
      </c>
      <c r="E33" s="205">
        <v>925</v>
      </c>
      <c r="F33" s="171" t="s">
        <v>0</v>
      </c>
      <c r="G33" s="160" t="s">
        <v>16823</v>
      </c>
      <c r="H33" s="160"/>
      <c r="I33" s="161"/>
      <c r="J33" s="162"/>
      <c r="K33" s="163"/>
      <c r="L33" s="164"/>
      <c r="M33" s="225">
        <v>648</v>
      </c>
      <c r="N33" s="172"/>
    </row>
    <row r="34" spans="1:14" ht="16.5" customHeight="1" x14ac:dyDescent="0.3">
      <c r="A34" s="147">
        <v>15</v>
      </c>
      <c r="B34" s="147">
        <v>1138</v>
      </c>
      <c r="C34" s="155" t="s">
        <v>5964</v>
      </c>
      <c r="D34" s="167"/>
      <c r="E34" s="150"/>
      <c r="F34" s="168"/>
      <c r="G34" s="150" t="s">
        <v>16842</v>
      </c>
      <c r="H34" s="150" t="s">
        <v>1</v>
      </c>
      <c r="I34" s="151">
        <v>0.7</v>
      </c>
      <c r="J34" s="162" t="s">
        <v>5895</v>
      </c>
      <c r="K34" s="163" t="s">
        <v>1</v>
      </c>
      <c r="L34" s="164">
        <v>1</v>
      </c>
      <c r="M34" s="225">
        <v>648</v>
      </c>
      <c r="N34" s="172"/>
    </row>
    <row r="35" spans="1:14" ht="16.5" customHeight="1" x14ac:dyDescent="0.3">
      <c r="A35" s="147">
        <v>15</v>
      </c>
      <c r="B35" s="147">
        <v>1139</v>
      </c>
      <c r="C35" s="155" t="s">
        <v>5963</v>
      </c>
      <c r="D35" s="156" t="s">
        <v>16857</v>
      </c>
      <c r="E35" s="160"/>
      <c r="F35" s="158"/>
      <c r="G35" s="160"/>
      <c r="H35" s="160"/>
      <c r="I35" s="161"/>
      <c r="J35" s="162"/>
      <c r="K35" s="163"/>
      <c r="L35" s="164"/>
      <c r="M35" s="225">
        <v>1008</v>
      </c>
      <c r="N35" s="172"/>
    </row>
    <row r="36" spans="1:14" ht="16.5" customHeight="1" x14ac:dyDescent="0.3">
      <c r="A36" s="147">
        <v>15</v>
      </c>
      <c r="B36" s="147">
        <v>1140</v>
      </c>
      <c r="C36" s="155" t="s">
        <v>5962</v>
      </c>
      <c r="D36" s="188" t="s">
        <v>16856</v>
      </c>
      <c r="E36" s="153"/>
      <c r="F36" s="171"/>
      <c r="G36" s="150"/>
      <c r="H36" s="150"/>
      <c r="I36" s="151"/>
      <c r="J36" s="162" t="s">
        <v>5895</v>
      </c>
      <c r="K36" s="163" t="s">
        <v>1</v>
      </c>
      <c r="L36" s="164">
        <v>1</v>
      </c>
      <c r="M36" s="225">
        <v>1008</v>
      </c>
      <c r="N36" s="172"/>
    </row>
    <row r="37" spans="1:14" ht="16.5" customHeight="1" x14ac:dyDescent="0.3">
      <c r="A37" s="147">
        <v>15</v>
      </c>
      <c r="B37" s="147">
        <v>1141</v>
      </c>
      <c r="C37" s="155" t="s">
        <v>5960</v>
      </c>
      <c r="D37" s="188" t="s">
        <v>16855</v>
      </c>
      <c r="E37" s="205">
        <v>1008</v>
      </c>
      <c r="F37" s="171" t="s">
        <v>0</v>
      </c>
      <c r="G37" s="160" t="s">
        <v>16823</v>
      </c>
      <c r="H37" s="160"/>
      <c r="I37" s="161"/>
      <c r="J37" s="162"/>
      <c r="K37" s="163"/>
      <c r="L37" s="164"/>
      <c r="M37" s="225">
        <v>706</v>
      </c>
      <c r="N37" s="172"/>
    </row>
    <row r="38" spans="1:14" ht="16.5" customHeight="1" x14ac:dyDescent="0.3">
      <c r="A38" s="147">
        <v>15</v>
      </c>
      <c r="B38" s="147">
        <v>1142</v>
      </c>
      <c r="C38" s="155" t="s">
        <v>5959</v>
      </c>
      <c r="D38" s="167"/>
      <c r="E38" s="150"/>
      <c r="F38" s="168"/>
      <c r="G38" s="150" t="s">
        <v>16812</v>
      </c>
      <c r="H38" s="150" t="s">
        <v>1</v>
      </c>
      <c r="I38" s="151">
        <v>0.7</v>
      </c>
      <c r="J38" s="162" t="s">
        <v>5895</v>
      </c>
      <c r="K38" s="163" t="s">
        <v>1</v>
      </c>
      <c r="L38" s="164">
        <v>1</v>
      </c>
      <c r="M38" s="225">
        <v>706</v>
      </c>
      <c r="N38" s="172"/>
    </row>
    <row r="39" spans="1:14" ht="16.5" customHeight="1" x14ac:dyDescent="0.3">
      <c r="A39" s="147">
        <v>15</v>
      </c>
      <c r="B39" s="147">
        <v>1143</v>
      </c>
      <c r="C39" s="155" t="s">
        <v>5958</v>
      </c>
      <c r="D39" s="156" t="s">
        <v>16854</v>
      </c>
      <c r="E39" s="160"/>
      <c r="F39" s="158"/>
      <c r="G39" s="160"/>
      <c r="H39" s="160"/>
      <c r="I39" s="161"/>
      <c r="J39" s="162"/>
      <c r="K39" s="163"/>
      <c r="L39" s="164"/>
      <c r="M39" s="225">
        <v>1091</v>
      </c>
      <c r="N39" s="172"/>
    </row>
    <row r="40" spans="1:14" ht="16.5" customHeight="1" x14ac:dyDescent="0.3">
      <c r="A40" s="147">
        <v>15</v>
      </c>
      <c r="B40" s="147">
        <v>1144</v>
      </c>
      <c r="C40" s="155" t="s">
        <v>5957</v>
      </c>
      <c r="D40" s="188" t="s">
        <v>16853</v>
      </c>
      <c r="E40" s="153"/>
      <c r="F40" s="171"/>
      <c r="G40" s="150"/>
      <c r="H40" s="150"/>
      <c r="I40" s="151"/>
      <c r="J40" s="162" t="s">
        <v>5895</v>
      </c>
      <c r="K40" s="163" t="s">
        <v>1</v>
      </c>
      <c r="L40" s="164">
        <v>1</v>
      </c>
      <c r="M40" s="225">
        <v>1091</v>
      </c>
      <c r="N40" s="172"/>
    </row>
    <row r="41" spans="1:14" ht="16.5" customHeight="1" x14ac:dyDescent="0.3">
      <c r="A41" s="147">
        <v>15</v>
      </c>
      <c r="B41" s="147">
        <v>1145</v>
      </c>
      <c r="C41" s="155" t="s">
        <v>5956</v>
      </c>
      <c r="D41" s="188" t="s">
        <v>16852</v>
      </c>
      <c r="E41" s="205">
        <v>1091</v>
      </c>
      <c r="F41" s="171" t="s">
        <v>0</v>
      </c>
      <c r="G41" s="160" t="s">
        <v>16823</v>
      </c>
      <c r="H41" s="160"/>
      <c r="I41" s="161"/>
      <c r="J41" s="162"/>
      <c r="K41" s="163"/>
      <c r="L41" s="164"/>
      <c r="M41" s="225">
        <v>764</v>
      </c>
      <c r="N41" s="172"/>
    </row>
    <row r="42" spans="1:14" ht="16.5" customHeight="1" x14ac:dyDescent="0.3">
      <c r="A42" s="147">
        <v>15</v>
      </c>
      <c r="B42" s="147">
        <v>1146</v>
      </c>
      <c r="C42" s="155" t="s">
        <v>5955</v>
      </c>
      <c r="D42" s="167"/>
      <c r="E42" s="150"/>
      <c r="F42" s="168"/>
      <c r="G42" s="150" t="s">
        <v>16842</v>
      </c>
      <c r="H42" s="150" t="s">
        <v>1</v>
      </c>
      <c r="I42" s="151">
        <v>0.7</v>
      </c>
      <c r="J42" s="162" t="s">
        <v>5895</v>
      </c>
      <c r="K42" s="163" t="s">
        <v>1</v>
      </c>
      <c r="L42" s="164">
        <v>1</v>
      </c>
      <c r="M42" s="225">
        <v>764</v>
      </c>
      <c r="N42" s="172"/>
    </row>
    <row r="43" spans="1:14" ht="16.5" customHeight="1" x14ac:dyDescent="0.3">
      <c r="A43" s="147">
        <v>15</v>
      </c>
      <c r="B43" s="147">
        <v>1147</v>
      </c>
      <c r="C43" s="155" t="s">
        <v>5954</v>
      </c>
      <c r="D43" s="156" t="s">
        <v>16851</v>
      </c>
      <c r="E43" s="160"/>
      <c r="F43" s="158"/>
      <c r="G43" s="160"/>
      <c r="H43" s="160"/>
      <c r="I43" s="161"/>
      <c r="J43" s="162"/>
      <c r="K43" s="163"/>
      <c r="L43" s="164"/>
      <c r="M43" s="225">
        <v>1174</v>
      </c>
      <c r="N43" s="172"/>
    </row>
    <row r="44" spans="1:14" ht="16.5" customHeight="1" x14ac:dyDescent="0.3">
      <c r="A44" s="147">
        <v>15</v>
      </c>
      <c r="B44" s="147">
        <v>1148</v>
      </c>
      <c r="C44" s="155" t="s">
        <v>5953</v>
      </c>
      <c r="D44" s="188" t="s">
        <v>16850</v>
      </c>
      <c r="E44" s="153"/>
      <c r="F44" s="171"/>
      <c r="G44" s="150"/>
      <c r="H44" s="150"/>
      <c r="I44" s="151"/>
      <c r="J44" s="162" t="s">
        <v>5895</v>
      </c>
      <c r="K44" s="163" t="s">
        <v>1</v>
      </c>
      <c r="L44" s="164">
        <v>1</v>
      </c>
      <c r="M44" s="225">
        <v>1174</v>
      </c>
      <c r="N44" s="172"/>
    </row>
    <row r="45" spans="1:14" ht="16.5" customHeight="1" x14ac:dyDescent="0.3">
      <c r="A45" s="147">
        <v>15</v>
      </c>
      <c r="B45" s="147">
        <v>1149</v>
      </c>
      <c r="C45" s="155" t="s">
        <v>5951</v>
      </c>
      <c r="D45" s="188" t="s">
        <v>16849</v>
      </c>
      <c r="E45" s="205">
        <v>1174</v>
      </c>
      <c r="F45" s="171" t="s">
        <v>0</v>
      </c>
      <c r="G45" s="160" t="s">
        <v>16823</v>
      </c>
      <c r="H45" s="160"/>
      <c r="I45" s="161"/>
      <c r="J45" s="162"/>
      <c r="K45" s="163"/>
      <c r="L45" s="164"/>
      <c r="M45" s="225">
        <v>822</v>
      </c>
      <c r="N45" s="172"/>
    </row>
    <row r="46" spans="1:14" ht="16.5" customHeight="1" x14ac:dyDescent="0.3">
      <c r="A46" s="147">
        <v>15</v>
      </c>
      <c r="B46" s="147">
        <v>1150</v>
      </c>
      <c r="C46" s="155" t="s">
        <v>5950</v>
      </c>
      <c r="D46" s="167"/>
      <c r="E46" s="150"/>
      <c r="F46" s="168"/>
      <c r="G46" s="150" t="s">
        <v>16812</v>
      </c>
      <c r="H46" s="150" t="s">
        <v>1</v>
      </c>
      <c r="I46" s="151">
        <v>0.7</v>
      </c>
      <c r="J46" s="162" t="s">
        <v>5895</v>
      </c>
      <c r="K46" s="163" t="s">
        <v>1</v>
      </c>
      <c r="L46" s="164">
        <v>1</v>
      </c>
      <c r="M46" s="225">
        <v>822</v>
      </c>
      <c r="N46" s="172"/>
    </row>
    <row r="47" spans="1:14" ht="16.5" customHeight="1" x14ac:dyDescent="0.3">
      <c r="A47" s="147">
        <v>15</v>
      </c>
      <c r="B47" s="147">
        <v>1151</v>
      </c>
      <c r="C47" s="155" t="s">
        <v>5949</v>
      </c>
      <c r="D47" s="156" t="s">
        <v>16848</v>
      </c>
      <c r="E47" s="160"/>
      <c r="F47" s="158"/>
      <c r="G47" s="160"/>
      <c r="H47" s="160"/>
      <c r="I47" s="161"/>
      <c r="J47" s="162"/>
      <c r="K47" s="163"/>
      <c r="L47" s="164"/>
      <c r="M47" s="225">
        <v>1257</v>
      </c>
      <c r="N47" s="172"/>
    </row>
    <row r="48" spans="1:14" ht="16.5" customHeight="1" x14ac:dyDescent="0.3">
      <c r="A48" s="147">
        <v>15</v>
      </c>
      <c r="B48" s="147">
        <v>1152</v>
      </c>
      <c r="C48" s="155" t="s">
        <v>5948</v>
      </c>
      <c r="D48" s="188" t="s">
        <v>16847</v>
      </c>
      <c r="E48" s="153"/>
      <c r="F48" s="171"/>
      <c r="G48" s="150"/>
      <c r="H48" s="150"/>
      <c r="I48" s="151"/>
      <c r="J48" s="162" t="s">
        <v>5895</v>
      </c>
      <c r="K48" s="163" t="s">
        <v>1</v>
      </c>
      <c r="L48" s="164">
        <v>1</v>
      </c>
      <c r="M48" s="225">
        <v>1257</v>
      </c>
      <c r="N48" s="172"/>
    </row>
    <row r="49" spans="1:14" ht="16.5" customHeight="1" x14ac:dyDescent="0.3">
      <c r="A49" s="147">
        <v>15</v>
      </c>
      <c r="B49" s="147">
        <v>1153</v>
      </c>
      <c r="C49" s="155" t="s">
        <v>5947</v>
      </c>
      <c r="D49" s="188" t="s">
        <v>16846</v>
      </c>
      <c r="E49" s="205">
        <v>1257</v>
      </c>
      <c r="F49" s="171" t="s">
        <v>0</v>
      </c>
      <c r="G49" s="160" t="s">
        <v>16823</v>
      </c>
      <c r="H49" s="160"/>
      <c r="I49" s="161"/>
      <c r="J49" s="162"/>
      <c r="K49" s="163"/>
      <c r="L49" s="164"/>
      <c r="M49" s="225">
        <v>880</v>
      </c>
      <c r="N49" s="172"/>
    </row>
    <row r="50" spans="1:14" ht="16.5" customHeight="1" x14ac:dyDescent="0.3">
      <c r="A50" s="147">
        <v>15</v>
      </c>
      <c r="B50" s="147">
        <v>1154</v>
      </c>
      <c r="C50" s="155" t="s">
        <v>5946</v>
      </c>
      <c r="D50" s="167"/>
      <c r="E50" s="150"/>
      <c r="F50" s="168"/>
      <c r="G50" s="150" t="s">
        <v>16812</v>
      </c>
      <c r="H50" s="150" t="s">
        <v>1</v>
      </c>
      <c r="I50" s="151">
        <v>0.7</v>
      </c>
      <c r="J50" s="162" t="s">
        <v>5895</v>
      </c>
      <c r="K50" s="163" t="s">
        <v>1</v>
      </c>
      <c r="L50" s="164">
        <v>1</v>
      </c>
      <c r="M50" s="225">
        <v>880</v>
      </c>
      <c r="N50" s="172"/>
    </row>
    <row r="51" spans="1:14" ht="16.5" customHeight="1" x14ac:dyDescent="0.3">
      <c r="A51" s="147">
        <v>15</v>
      </c>
      <c r="B51" s="147">
        <v>1155</v>
      </c>
      <c r="C51" s="155" t="s">
        <v>5945</v>
      </c>
      <c r="D51" s="156" t="s">
        <v>16845</v>
      </c>
      <c r="E51" s="160"/>
      <c r="F51" s="158"/>
      <c r="G51" s="160"/>
      <c r="H51" s="160"/>
      <c r="I51" s="161"/>
      <c r="J51" s="162"/>
      <c r="K51" s="163"/>
      <c r="L51" s="164"/>
      <c r="M51" s="225">
        <v>1340</v>
      </c>
      <c r="N51" s="172"/>
    </row>
    <row r="52" spans="1:14" ht="16.5" customHeight="1" x14ac:dyDescent="0.3">
      <c r="A52" s="147">
        <v>15</v>
      </c>
      <c r="B52" s="147">
        <v>1156</v>
      </c>
      <c r="C52" s="155" t="s">
        <v>5944</v>
      </c>
      <c r="D52" s="188" t="s">
        <v>16844</v>
      </c>
      <c r="E52" s="153"/>
      <c r="F52" s="171"/>
      <c r="G52" s="150"/>
      <c r="H52" s="150"/>
      <c r="I52" s="151"/>
      <c r="J52" s="162" t="s">
        <v>5895</v>
      </c>
      <c r="K52" s="163" t="s">
        <v>1</v>
      </c>
      <c r="L52" s="164">
        <v>1</v>
      </c>
      <c r="M52" s="225">
        <v>1340</v>
      </c>
      <c r="N52" s="172"/>
    </row>
    <row r="53" spans="1:14" ht="16.5" customHeight="1" x14ac:dyDescent="0.3">
      <c r="A53" s="147">
        <v>15</v>
      </c>
      <c r="B53" s="147">
        <v>1157</v>
      </c>
      <c r="C53" s="155" t="s">
        <v>5942</v>
      </c>
      <c r="D53" s="188" t="s">
        <v>16843</v>
      </c>
      <c r="E53" s="205">
        <v>1340</v>
      </c>
      <c r="F53" s="171" t="s">
        <v>0</v>
      </c>
      <c r="G53" s="160" t="s">
        <v>16823</v>
      </c>
      <c r="H53" s="160"/>
      <c r="I53" s="161"/>
      <c r="J53" s="162"/>
      <c r="K53" s="163"/>
      <c r="L53" s="164"/>
      <c r="M53" s="225">
        <v>938</v>
      </c>
      <c r="N53" s="172"/>
    </row>
    <row r="54" spans="1:14" ht="16.5" customHeight="1" x14ac:dyDescent="0.3">
      <c r="A54" s="147">
        <v>15</v>
      </c>
      <c r="B54" s="147">
        <v>1158</v>
      </c>
      <c r="C54" s="155" t="s">
        <v>5941</v>
      </c>
      <c r="D54" s="167"/>
      <c r="E54" s="150"/>
      <c r="F54" s="168"/>
      <c r="G54" s="150" t="s">
        <v>16842</v>
      </c>
      <c r="H54" s="150" t="s">
        <v>1</v>
      </c>
      <c r="I54" s="151">
        <v>0.7</v>
      </c>
      <c r="J54" s="162" t="s">
        <v>5895</v>
      </c>
      <c r="K54" s="163" t="s">
        <v>1</v>
      </c>
      <c r="L54" s="164">
        <v>1</v>
      </c>
      <c r="M54" s="225">
        <v>938</v>
      </c>
      <c r="N54" s="172"/>
    </row>
    <row r="55" spans="1:14" ht="16.5" customHeight="1" x14ac:dyDescent="0.3">
      <c r="A55" s="147">
        <v>15</v>
      </c>
      <c r="B55" s="147">
        <v>1159</v>
      </c>
      <c r="C55" s="155" t="s">
        <v>5940</v>
      </c>
      <c r="D55" s="156" t="s">
        <v>16841</v>
      </c>
      <c r="E55" s="160"/>
      <c r="F55" s="158"/>
      <c r="G55" s="160"/>
      <c r="H55" s="160"/>
      <c r="I55" s="161"/>
      <c r="J55" s="162"/>
      <c r="K55" s="163"/>
      <c r="L55" s="164"/>
      <c r="M55" s="225">
        <v>1423</v>
      </c>
      <c r="N55" s="172"/>
    </row>
    <row r="56" spans="1:14" ht="16.5" customHeight="1" x14ac:dyDescent="0.3">
      <c r="A56" s="147">
        <v>15</v>
      </c>
      <c r="B56" s="147">
        <v>1160</v>
      </c>
      <c r="C56" s="155" t="s">
        <v>5939</v>
      </c>
      <c r="D56" s="188" t="s">
        <v>16840</v>
      </c>
      <c r="E56" s="153"/>
      <c r="F56" s="171"/>
      <c r="G56" s="150"/>
      <c r="H56" s="150"/>
      <c r="I56" s="151"/>
      <c r="J56" s="162" t="s">
        <v>5895</v>
      </c>
      <c r="K56" s="163" t="s">
        <v>1</v>
      </c>
      <c r="L56" s="164">
        <v>1</v>
      </c>
      <c r="M56" s="225">
        <v>1423</v>
      </c>
      <c r="N56" s="172"/>
    </row>
    <row r="57" spans="1:14" ht="16.5" customHeight="1" x14ac:dyDescent="0.3">
      <c r="A57" s="147">
        <v>15</v>
      </c>
      <c r="B57" s="147">
        <v>1161</v>
      </c>
      <c r="C57" s="155" t="s">
        <v>5937</v>
      </c>
      <c r="D57" s="188" t="s">
        <v>16839</v>
      </c>
      <c r="E57" s="205">
        <v>1423</v>
      </c>
      <c r="F57" s="171" t="s">
        <v>0</v>
      </c>
      <c r="G57" s="160" t="s">
        <v>16813</v>
      </c>
      <c r="H57" s="160"/>
      <c r="I57" s="161"/>
      <c r="J57" s="162"/>
      <c r="K57" s="163"/>
      <c r="L57" s="164"/>
      <c r="M57" s="225">
        <v>996</v>
      </c>
      <c r="N57" s="172"/>
    </row>
    <row r="58" spans="1:14" ht="16.5" customHeight="1" x14ac:dyDescent="0.3">
      <c r="A58" s="147">
        <v>15</v>
      </c>
      <c r="B58" s="147">
        <v>1162</v>
      </c>
      <c r="C58" s="155" t="s">
        <v>5936</v>
      </c>
      <c r="D58" s="167"/>
      <c r="E58" s="150"/>
      <c r="F58" s="168"/>
      <c r="G58" s="150" t="s">
        <v>16812</v>
      </c>
      <c r="H58" s="150" t="s">
        <v>1</v>
      </c>
      <c r="I58" s="151">
        <v>0.7</v>
      </c>
      <c r="J58" s="162" t="s">
        <v>5895</v>
      </c>
      <c r="K58" s="163" t="s">
        <v>1</v>
      </c>
      <c r="L58" s="164">
        <v>1</v>
      </c>
      <c r="M58" s="225">
        <v>996</v>
      </c>
      <c r="N58" s="172"/>
    </row>
    <row r="59" spans="1:14" ht="16.5" customHeight="1" x14ac:dyDescent="0.3">
      <c r="A59" s="147">
        <v>15</v>
      </c>
      <c r="B59" s="147">
        <v>1163</v>
      </c>
      <c r="C59" s="155" t="s">
        <v>5935</v>
      </c>
      <c r="D59" s="156" t="s">
        <v>16838</v>
      </c>
      <c r="E59" s="160"/>
      <c r="F59" s="158"/>
      <c r="G59" s="160"/>
      <c r="H59" s="160"/>
      <c r="I59" s="161"/>
      <c r="J59" s="162"/>
      <c r="K59" s="163"/>
      <c r="L59" s="164"/>
      <c r="M59" s="225">
        <v>1506</v>
      </c>
      <c r="N59" s="172"/>
    </row>
    <row r="60" spans="1:14" ht="16.5" customHeight="1" x14ac:dyDescent="0.3">
      <c r="A60" s="147">
        <v>15</v>
      </c>
      <c r="B60" s="147">
        <v>1164</v>
      </c>
      <c r="C60" s="155" t="s">
        <v>5934</v>
      </c>
      <c r="D60" s="188" t="s">
        <v>16837</v>
      </c>
      <c r="E60" s="153"/>
      <c r="F60" s="171"/>
      <c r="G60" s="150"/>
      <c r="H60" s="150"/>
      <c r="I60" s="151"/>
      <c r="J60" s="162" t="s">
        <v>5895</v>
      </c>
      <c r="K60" s="163" t="s">
        <v>1</v>
      </c>
      <c r="L60" s="164">
        <v>1</v>
      </c>
      <c r="M60" s="225">
        <v>1506</v>
      </c>
      <c r="N60" s="172"/>
    </row>
    <row r="61" spans="1:14" ht="16.5" customHeight="1" x14ac:dyDescent="0.3">
      <c r="A61" s="147">
        <v>15</v>
      </c>
      <c r="B61" s="147">
        <v>1165</v>
      </c>
      <c r="C61" s="155" t="s">
        <v>5933</v>
      </c>
      <c r="D61" s="188" t="s">
        <v>16836</v>
      </c>
      <c r="E61" s="205">
        <v>1506</v>
      </c>
      <c r="F61" s="171" t="s">
        <v>0</v>
      </c>
      <c r="G61" s="160" t="s">
        <v>16813</v>
      </c>
      <c r="H61" s="160"/>
      <c r="I61" s="161"/>
      <c r="J61" s="162"/>
      <c r="K61" s="163"/>
      <c r="L61" s="164"/>
      <c r="M61" s="225">
        <v>1054</v>
      </c>
      <c r="N61" s="172"/>
    </row>
    <row r="62" spans="1:14" ht="16.5" customHeight="1" x14ac:dyDescent="0.3">
      <c r="A62" s="147">
        <v>15</v>
      </c>
      <c r="B62" s="147">
        <v>1166</v>
      </c>
      <c r="C62" s="155" t="s">
        <v>5932</v>
      </c>
      <c r="D62" s="167"/>
      <c r="E62" s="150"/>
      <c r="F62" s="168"/>
      <c r="G62" s="150" t="s">
        <v>16812</v>
      </c>
      <c r="H62" s="150" t="s">
        <v>1</v>
      </c>
      <c r="I62" s="151">
        <v>0.7</v>
      </c>
      <c r="J62" s="162" t="s">
        <v>5895</v>
      </c>
      <c r="K62" s="163" t="s">
        <v>1</v>
      </c>
      <c r="L62" s="164">
        <v>1</v>
      </c>
      <c r="M62" s="225">
        <v>1054</v>
      </c>
      <c r="N62" s="172"/>
    </row>
    <row r="63" spans="1:14" ht="16.5" customHeight="1" x14ac:dyDescent="0.3">
      <c r="A63" s="147">
        <v>15</v>
      </c>
      <c r="B63" s="147">
        <v>1167</v>
      </c>
      <c r="C63" s="155" t="s">
        <v>5931</v>
      </c>
      <c r="D63" s="156" t="s">
        <v>16835</v>
      </c>
      <c r="E63" s="160"/>
      <c r="F63" s="158"/>
      <c r="G63" s="160"/>
      <c r="H63" s="160"/>
      <c r="I63" s="161"/>
      <c r="J63" s="162"/>
      <c r="K63" s="163"/>
      <c r="L63" s="164"/>
      <c r="M63" s="225">
        <v>1589</v>
      </c>
      <c r="N63" s="172"/>
    </row>
    <row r="64" spans="1:14" ht="16.5" customHeight="1" x14ac:dyDescent="0.3">
      <c r="A64" s="147">
        <v>15</v>
      </c>
      <c r="B64" s="147">
        <v>1168</v>
      </c>
      <c r="C64" s="155" t="s">
        <v>5930</v>
      </c>
      <c r="D64" s="188" t="s">
        <v>16834</v>
      </c>
      <c r="E64" s="153"/>
      <c r="F64" s="171"/>
      <c r="G64" s="150"/>
      <c r="H64" s="150"/>
      <c r="I64" s="151"/>
      <c r="J64" s="162" t="s">
        <v>5895</v>
      </c>
      <c r="K64" s="163" t="s">
        <v>1</v>
      </c>
      <c r="L64" s="164">
        <v>1</v>
      </c>
      <c r="M64" s="225">
        <v>1589</v>
      </c>
      <c r="N64" s="172"/>
    </row>
    <row r="65" spans="1:14" ht="16.5" customHeight="1" x14ac:dyDescent="0.3">
      <c r="A65" s="147">
        <v>15</v>
      </c>
      <c r="B65" s="147">
        <v>1169</v>
      </c>
      <c r="C65" s="155" t="s">
        <v>5929</v>
      </c>
      <c r="D65" s="188" t="s">
        <v>16833</v>
      </c>
      <c r="E65" s="205">
        <v>1589</v>
      </c>
      <c r="F65" s="171" t="s">
        <v>0</v>
      </c>
      <c r="G65" s="160" t="s">
        <v>16823</v>
      </c>
      <c r="H65" s="160"/>
      <c r="I65" s="161"/>
      <c r="J65" s="162"/>
      <c r="K65" s="163"/>
      <c r="L65" s="164"/>
      <c r="M65" s="225">
        <v>1112</v>
      </c>
      <c r="N65" s="172"/>
    </row>
    <row r="66" spans="1:14" ht="16.5" customHeight="1" x14ac:dyDescent="0.3">
      <c r="A66" s="147">
        <v>15</v>
      </c>
      <c r="B66" s="147">
        <v>1170</v>
      </c>
      <c r="C66" s="155" t="s">
        <v>5927</v>
      </c>
      <c r="D66" s="167"/>
      <c r="E66" s="150"/>
      <c r="F66" s="168"/>
      <c r="G66" s="150" t="s">
        <v>16812</v>
      </c>
      <c r="H66" s="150" t="s">
        <v>1</v>
      </c>
      <c r="I66" s="151">
        <v>0.7</v>
      </c>
      <c r="J66" s="162" t="s">
        <v>5895</v>
      </c>
      <c r="K66" s="163" t="s">
        <v>1</v>
      </c>
      <c r="L66" s="164">
        <v>1</v>
      </c>
      <c r="M66" s="225">
        <v>1112</v>
      </c>
      <c r="N66" s="172"/>
    </row>
    <row r="67" spans="1:14" ht="16.5" customHeight="1" x14ac:dyDescent="0.3">
      <c r="A67" s="147">
        <v>15</v>
      </c>
      <c r="B67" s="147">
        <v>1171</v>
      </c>
      <c r="C67" s="155" t="s">
        <v>5926</v>
      </c>
      <c r="D67" s="156" t="s">
        <v>16832</v>
      </c>
      <c r="E67" s="160"/>
      <c r="F67" s="158"/>
      <c r="G67" s="160"/>
      <c r="H67" s="160"/>
      <c r="I67" s="161"/>
      <c r="J67" s="162"/>
      <c r="K67" s="163"/>
      <c r="L67" s="164"/>
      <c r="M67" s="225">
        <v>1672</v>
      </c>
      <c r="N67" s="172"/>
    </row>
    <row r="68" spans="1:14" ht="16.5" customHeight="1" x14ac:dyDescent="0.3">
      <c r="A68" s="147">
        <v>15</v>
      </c>
      <c r="B68" s="147">
        <v>1172</v>
      </c>
      <c r="C68" s="155" t="s">
        <v>5925</v>
      </c>
      <c r="D68" s="188" t="s">
        <v>16831</v>
      </c>
      <c r="E68" s="153"/>
      <c r="F68" s="171"/>
      <c r="G68" s="150"/>
      <c r="H68" s="150"/>
      <c r="I68" s="151"/>
      <c r="J68" s="162" t="s">
        <v>5895</v>
      </c>
      <c r="K68" s="163" t="s">
        <v>1</v>
      </c>
      <c r="L68" s="164">
        <v>1</v>
      </c>
      <c r="M68" s="225">
        <v>1672</v>
      </c>
      <c r="N68" s="172"/>
    </row>
    <row r="69" spans="1:14" ht="16.5" customHeight="1" x14ac:dyDescent="0.3">
      <c r="A69" s="147">
        <v>15</v>
      </c>
      <c r="B69" s="147">
        <v>1173</v>
      </c>
      <c r="C69" s="155" t="s">
        <v>5923</v>
      </c>
      <c r="D69" s="188" t="s">
        <v>16830</v>
      </c>
      <c r="E69" s="205">
        <v>1672</v>
      </c>
      <c r="F69" s="171" t="s">
        <v>0</v>
      </c>
      <c r="G69" s="160" t="s">
        <v>16823</v>
      </c>
      <c r="H69" s="160"/>
      <c r="I69" s="161"/>
      <c r="J69" s="162"/>
      <c r="K69" s="163"/>
      <c r="L69" s="164"/>
      <c r="M69" s="225">
        <v>1170</v>
      </c>
      <c r="N69" s="172"/>
    </row>
    <row r="70" spans="1:14" ht="16.5" customHeight="1" x14ac:dyDescent="0.3">
      <c r="A70" s="147">
        <v>15</v>
      </c>
      <c r="B70" s="147">
        <v>1174</v>
      </c>
      <c r="C70" s="155" t="s">
        <v>5922</v>
      </c>
      <c r="D70" s="167"/>
      <c r="E70" s="150"/>
      <c r="F70" s="168"/>
      <c r="G70" s="150" t="s">
        <v>16812</v>
      </c>
      <c r="H70" s="150" t="s">
        <v>1</v>
      </c>
      <c r="I70" s="151">
        <v>0.7</v>
      </c>
      <c r="J70" s="162" t="s">
        <v>5895</v>
      </c>
      <c r="K70" s="163" t="s">
        <v>1</v>
      </c>
      <c r="L70" s="164">
        <v>1</v>
      </c>
      <c r="M70" s="225">
        <v>1170</v>
      </c>
      <c r="N70" s="172"/>
    </row>
    <row r="71" spans="1:14" ht="16.5" customHeight="1" x14ac:dyDescent="0.3">
      <c r="A71" s="147">
        <v>15</v>
      </c>
      <c r="B71" s="147">
        <v>1175</v>
      </c>
      <c r="C71" s="155" t="s">
        <v>5921</v>
      </c>
      <c r="D71" s="156" t="s">
        <v>16829</v>
      </c>
      <c r="E71" s="160"/>
      <c r="F71" s="158"/>
      <c r="G71" s="160"/>
      <c r="H71" s="160"/>
      <c r="I71" s="161"/>
      <c r="J71" s="162"/>
      <c r="K71" s="163"/>
      <c r="L71" s="164"/>
      <c r="M71" s="225">
        <v>1755</v>
      </c>
      <c r="N71" s="172"/>
    </row>
    <row r="72" spans="1:14" ht="16.5" customHeight="1" x14ac:dyDescent="0.3">
      <c r="A72" s="147">
        <v>15</v>
      </c>
      <c r="B72" s="147">
        <v>1176</v>
      </c>
      <c r="C72" s="155" t="s">
        <v>5920</v>
      </c>
      <c r="D72" s="188" t="s">
        <v>16828</v>
      </c>
      <c r="E72" s="153"/>
      <c r="F72" s="171"/>
      <c r="G72" s="150"/>
      <c r="H72" s="150"/>
      <c r="I72" s="151"/>
      <c r="J72" s="162" t="s">
        <v>5895</v>
      </c>
      <c r="K72" s="163" t="s">
        <v>1</v>
      </c>
      <c r="L72" s="164">
        <v>1</v>
      </c>
      <c r="M72" s="225">
        <v>1755</v>
      </c>
      <c r="N72" s="172"/>
    </row>
    <row r="73" spans="1:14" ht="16.5" customHeight="1" x14ac:dyDescent="0.3">
      <c r="A73" s="147">
        <v>15</v>
      </c>
      <c r="B73" s="147">
        <v>1177</v>
      </c>
      <c r="C73" s="155" t="s">
        <v>5918</v>
      </c>
      <c r="D73" s="188" t="s">
        <v>16827</v>
      </c>
      <c r="E73" s="205">
        <v>1755</v>
      </c>
      <c r="F73" s="171" t="s">
        <v>0</v>
      </c>
      <c r="G73" s="160" t="s">
        <v>16823</v>
      </c>
      <c r="H73" s="160"/>
      <c r="I73" s="161"/>
      <c r="J73" s="162"/>
      <c r="K73" s="163"/>
      <c r="L73" s="164"/>
      <c r="M73" s="225">
        <v>1229</v>
      </c>
      <c r="N73" s="172"/>
    </row>
    <row r="74" spans="1:14" ht="16.5" customHeight="1" x14ac:dyDescent="0.3">
      <c r="A74" s="147">
        <v>15</v>
      </c>
      <c r="B74" s="147">
        <v>1178</v>
      </c>
      <c r="C74" s="155" t="s">
        <v>5917</v>
      </c>
      <c r="D74" s="167"/>
      <c r="E74" s="150"/>
      <c r="F74" s="168"/>
      <c r="G74" s="150" t="s">
        <v>16812</v>
      </c>
      <c r="H74" s="150" t="s">
        <v>1</v>
      </c>
      <c r="I74" s="151">
        <v>0.7</v>
      </c>
      <c r="J74" s="162" t="s">
        <v>5895</v>
      </c>
      <c r="K74" s="163" t="s">
        <v>1</v>
      </c>
      <c r="L74" s="164">
        <v>1</v>
      </c>
      <c r="M74" s="225">
        <v>1229</v>
      </c>
      <c r="N74" s="172"/>
    </row>
    <row r="75" spans="1:14" ht="16.5" customHeight="1" x14ac:dyDescent="0.3">
      <c r="A75" s="147">
        <v>15</v>
      </c>
      <c r="B75" s="147">
        <v>1179</v>
      </c>
      <c r="C75" s="155" t="s">
        <v>5916</v>
      </c>
      <c r="D75" s="156" t="s">
        <v>16826</v>
      </c>
      <c r="E75" s="160"/>
      <c r="F75" s="158"/>
      <c r="G75" s="160"/>
      <c r="H75" s="160"/>
      <c r="I75" s="161"/>
      <c r="J75" s="162"/>
      <c r="K75" s="163"/>
      <c r="L75" s="164"/>
      <c r="M75" s="225">
        <v>1838</v>
      </c>
      <c r="N75" s="172"/>
    </row>
    <row r="76" spans="1:14" ht="16.5" customHeight="1" x14ac:dyDescent="0.3">
      <c r="A76" s="147">
        <v>15</v>
      </c>
      <c r="B76" s="147">
        <v>1180</v>
      </c>
      <c r="C76" s="155" t="s">
        <v>5915</v>
      </c>
      <c r="D76" s="188" t="s">
        <v>16825</v>
      </c>
      <c r="E76" s="153"/>
      <c r="F76" s="171"/>
      <c r="G76" s="150"/>
      <c r="H76" s="150"/>
      <c r="I76" s="151"/>
      <c r="J76" s="162" t="s">
        <v>5895</v>
      </c>
      <c r="K76" s="163" t="s">
        <v>1</v>
      </c>
      <c r="L76" s="164">
        <v>1</v>
      </c>
      <c r="M76" s="225">
        <v>1838</v>
      </c>
      <c r="N76" s="172"/>
    </row>
    <row r="77" spans="1:14" ht="16.5" customHeight="1" x14ac:dyDescent="0.3">
      <c r="A77" s="147">
        <v>15</v>
      </c>
      <c r="B77" s="147">
        <v>1181</v>
      </c>
      <c r="C77" s="155" t="s">
        <v>5913</v>
      </c>
      <c r="D77" s="188" t="s">
        <v>16824</v>
      </c>
      <c r="E77" s="205">
        <v>1838</v>
      </c>
      <c r="F77" s="171" t="s">
        <v>0</v>
      </c>
      <c r="G77" s="160" t="s">
        <v>16823</v>
      </c>
      <c r="H77" s="160"/>
      <c r="I77" s="161"/>
      <c r="J77" s="162"/>
      <c r="K77" s="163"/>
      <c r="L77" s="164"/>
      <c r="M77" s="225">
        <v>1287</v>
      </c>
      <c r="N77" s="172"/>
    </row>
    <row r="78" spans="1:14" ht="16.5" customHeight="1" x14ac:dyDescent="0.3">
      <c r="A78" s="147">
        <v>15</v>
      </c>
      <c r="B78" s="147">
        <v>1182</v>
      </c>
      <c r="C78" s="155" t="s">
        <v>5912</v>
      </c>
      <c r="D78" s="167"/>
      <c r="E78" s="150"/>
      <c r="F78" s="168"/>
      <c r="G78" s="150" t="s">
        <v>16812</v>
      </c>
      <c r="H78" s="150" t="s">
        <v>1</v>
      </c>
      <c r="I78" s="151">
        <v>0.7</v>
      </c>
      <c r="J78" s="162" t="s">
        <v>5895</v>
      </c>
      <c r="K78" s="163" t="s">
        <v>1</v>
      </c>
      <c r="L78" s="164">
        <v>1</v>
      </c>
      <c r="M78" s="225">
        <v>1287</v>
      </c>
      <c r="N78" s="172"/>
    </row>
    <row r="79" spans="1:14" ht="16.5" customHeight="1" x14ac:dyDescent="0.3">
      <c r="A79" s="147">
        <v>15</v>
      </c>
      <c r="B79" s="147">
        <v>1183</v>
      </c>
      <c r="C79" s="155" t="s">
        <v>5911</v>
      </c>
      <c r="D79" s="156" t="s">
        <v>16822</v>
      </c>
      <c r="E79" s="160"/>
      <c r="F79" s="158"/>
      <c r="G79" s="160"/>
      <c r="H79" s="160"/>
      <c r="I79" s="161"/>
      <c r="J79" s="162"/>
      <c r="K79" s="163"/>
      <c r="L79" s="164"/>
      <c r="M79" s="225">
        <v>1921</v>
      </c>
      <c r="N79" s="172"/>
    </row>
    <row r="80" spans="1:14" ht="16.5" customHeight="1" x14ac:dyDescent="0.3">
      <c r="A80" s="147">
        <v>15</v>
      </c>
      <c r="B80" s="147">
        <v>1184</v>
      </c>
      <c r="C80" s="155" t="s">
        <v>5910</v>
      </c>
      <c r="D80" s="188" t="s">
        <v>16821</v>
      </c>
      <c r="E80" s="153"/>
      <c r="F80" s="171"/>
      <c r="G80" s="150"/>
      <c r="H80" s="150"/>
      <c r="I80" s="151"/>
      <c r="J80" s="162" t="s">
        <v>5895</v>
      </c>
      <c r="K80" s="163" t="s">
        <v>1</v>
      </c>
      <c r="L80" s="164">
        <v>1</v>
      </c>
      <c r="M80" s="225">
        <v>1921</v>
      </c>
      <c r="N80" s="172"/>
    </row>
    <row r="81" spans="1:14" ht="16.5" customHeight="1" x14ac:dyDescent="0.3">
      <c r="A81" s="147">
        <v>15</v>
      </c>
      <c r="B81" s="147">
        <v>1185</v>
      </c>
      <c r="C81" s="155" t="s">
        <v>5909</v>
      </c>
      <c r="D81" s="188" t="s">
        <v>16820</v>
      </c>
      <c r="E81" s="205">
        <v>1921</v>
      </c>
      <c r="F81" s="171" t="s">
        <v>0</v>
      </c>
      <c r="G81" s="160" t="s">
        <v>16813</v>
      </c>
      <c r="H81" s="160"/>
      <c r="I81" s="161"/>
      <c r="J81" s="162"/>
      <c r="K81" s="163"/>
      <c r="L81" s="164"/>
      <c r="M81" s="225">
        <v>1345</v>
      </c>
      <c r="N81" s="172"/>
    </row>
    <row r="82" spans="1:14" ht="16.5" customHeight="1" x14ac:dyDescent="0.3">
      <c r="A82" s="147">
        <v>15</v>
      </c>
      <c r="B82" s="147">
        <v>1186</v>
      </c>
      <c r="C82" s="155" t="s">
        <v>5907</v>
      </c>
      <c r="D82" s="167"/>
      <c r="E82" s="150"/>
      <c r="F82" s="168"/>
      <c r="G82" s="150" t="s">
        <v>16812</v>
      </c>
      <c r="H82" s="150" t="s">
        <v>1</v>
      </c>
      <c r="I82" s="151">
        <v>0.7</v>
      </c>
      <c r="J82" s="162" t="s">
        <v>5895</v>
      </c>
      <c r="K82" s="163" t="s">
        <v>1</v>
      </c>
      <c r="L82" s="164">
        <v>1</v>
      </c>
      <c r="M82" s="225">
        <v>1345</v>
      </c>
      <c r="N82" s="172"/>
    </row>
    <row r="83" spans="1:14" ht="16.5" customHeight="1" x14ac:dyDescent="0.3">
      <c r="A83" s="147">
        <v>15</v>
      </c>
      <c r="B83" s="147">
        <v>1187</v>
      </c>
      <c r="C83" s="155" t="s">
        <v>5906</v>
      </c>
      <c r="D83" s="156" t="s">
        <v>16819</v>
      </c>
      <c r="E83" s="160"/>
      <c r="F83" s="158"/>
      <c r="G83" s="160"/>
      <c r="H83" s="160"/>
      <c r="I83" s="161"/>
      <c r="J83" s="162"/>
      <c r="K83" s="163"/>
      <c r="L83" s="164"/>
      <c r="M83" s="225">
        <v>2004</v>
      </c>
      <c r="N83" s="172"/>
    </row>
    <row r="84" spans="1:14" ht="16.5" customHeight="1" x14ac:dyDescent="0.3">
      <c r="A84" s="147">
        <v>15</v>
      </c>
      <c r="B84" s="147">
        <v>1188</v>
      </c>
      <c r="C84" s="155" t="s">
        <v>5905</v>
      </c>
      <c r="D84" s="188" t="s">
        <v>16818</v>
      </c>
      <c r="E84" s="153"/>
      <c r="F84" s="171"/>
      <c r="G84" s="150"/>
      <c r="H84" s="150"/>
      <c r="I84" s="151"/>
      <c r="J84" s="162" t="s">
        <v>5895</v>
      </c>
      <c r="K84" s="163" t="s">
        <v>1</v>
      </c>
      <c r="L84" s="164">
        <v>1</v>
      </c>
      <c r="M84" s="225">
        <v>2004</v>
      </c>
      <c r="N84" s="172"/>
    </row>
    <row r="85" spans="1:14" ht="16.5" customHeight="1" x14ac:dyDescent="0.3">
      <c r="A85" s="147">
        <v>15</v>
      </c>
      <c r="B85" s="147">
        <v>1189</v>
      </c>
      <c r="C85" s="155" t="s">
        <v>5903</v>
      </c>
      <c r="D85" s="188" t="s">
        <v>16817</v>
      </c>
      <c r="E85" s="205">
        <v>2004</v>
      </c>
      <c r="F85" s="171" t="s">
        <v>0</v>
      </c>
      <c r="G85" s="160" t="s">
        <v>16813</v>
      </c>
      <c r="H85" s="160"/>
      <c r="I85" s="161"/>
      <c r="J85" s="162"/>
      <c r="K85" s="163"/>
      <c r="L85" s="164"/>
      <c r="M85" s="225">
        <v>1403</v>
      </c>
      <c r="N85" s="172"/>
    </row>
    <row r="86" spans="1:14" ht="16.5" customHeight="1" x14ac:dyDescent="0.3">
      <c r="A86" s="147">
        <v>15</v>
      </c>
      <c r="B86" s="147">
        <v>1190</v>
      </c>
      <c r="C86" s="155" t="s">
        <v>5902</v>
      </c>
      <c r="D86" s="167"/>
      <c r="E86" s="150"/>
      <c r="F86" s="168"/>
      <c r="G86" s="150" t="s">
        <v>16812</v>
      </c>
      <c r="H86" s="150" t="s">
        <v>1</v>
      </c>
      <c r="I86" s="151">
        <v>0.7</v>
      </c>
      <c r="J86" s="162" t="s">
        <v>5895</v>
      </c>
      <c r="K86" s="163" t="s">
        <v>1</v>
      </c>
      <c r="L86" s="164">
        <v>1</v>
      </c>
      <c r="M86" s="225">
        <v>1403</v>
      </c>
      <c r="N86" s="172"/>
    </row>
    <row r="87" spans="1:14" ht="16.5" customHeight="1" x14ac:dyDescent="0.3">
      <c r="A87" s="147">
        <v>15</v>
      </c>
      <c r="B87" s="147">
        <v>1191</v>
      </c>
      <c r="C87" s="155" t="s">
        <v>5901</v>
      </c>
      <c r="D87" s="156" t="s">
        <v>16816</v>
      </c>
      <c r="E87" s="160"/>
      <c r="F87" s="158"/>
      <c r="G87" s="160"/>
      <c r="H87" s="160"/>
      <c r="I87" s="161"/>
      <c r="J87" s="162"/>
      <c r="K87" s="163"/>
      <c r="L87" s="164"/>
      <c r="M87" s="225">
        <v>2087</v>
      </c>
      <c r="N87" s="172"/>
    </row>
    <row r="88" spans="1:14" ht="16.5" customHeight="1" x14ac:dyDescent="0.3">
      <c r="A88" s="147">
        <v>15</v>
      </c>
      <c r="B88" s="147">
        <v>1192</v>
      </c>
      <c r="C88" s="155" t="s">
        <v>5900</v>
      </c>
      <c r="D88" s="188" t="s">
        <v>16815</v>
      </c>
      <c r="E88" s="153"/>
      <c r="F88" s="171"/>
      <c r="G88" s="150"/>
      <c r="H88" s="150"/>
      <c r="I88" s="151"/>
      <c r="J88" s="162" t="s">
        <v>5895</v>
      </c>
      <c r="K88" s="163" t="s">
        <v>1</v>
      </c>
      <c r="L88" s="164">
        <v>1</v>
      </c>
      <c r="M88" s="225">
        <v>2087</v>
      </c>
      <c r="N88" s="172"/>
    </row>
    <row r="89" spans="1:14" ht="16.5" customHeight="1" x14ac:dyDescent="0.3">
      <c r="A89" s="147">
        <v>15</v>
      </c>
      <c r="B89" s="147">
        <v>1193</v>
      </c>
      <c r="C89" s="155" t="s">
        <v>5899</v>
      </c>
      <c r="D89" s="188" t="s">
        <v>16814</v>
      </c>
      <c r="E89" s="205">
        <v>2087</v>
      </c>
      <c r="F89" s="171" t="s">
        <v>0</v>
      </c>
      <c r="G89" s="160" t="s">
        <v>16813</v>
      </c>
      <c r="H89" s="160"/>
      <c r="I89" s="161"/>
      <c r="J89" s="162"/>
      <c r="K89" s="163"/>
      <c r="L89" s="164"/>
      <c r="M89" s="225">
        <v>1461</v>
      </c>
      <c r="N89" s="172"/>
    </row>
    <row r="90" spans="1:14" ht="16.5" customHeight="1" x14ac:dyDescent="0.3">
      <c r="A90" s="147">
        <v>15</v>
      </c>
      <c r="B90" s="147">
        <v>1194</v>
      </c>
      <c r="C90" s="155" t="s">
        <v>5897</v>
      </c>
      <c r="D90" s="167"/>
      <c r="E90" s="150"/>
      <c r="F90" s="168"/>
      <c r="G90" s="150" t="s">
        <v>16812</v>
      </c>
      <c r="H90" s="150" t="s">
        <v>1</v>
      </c>
      <c r="I90" s="151">
        <v>0.7</v>
      </c>
      <c r="J90" s="162" t="s">
        <v>5895</v>
      </c>
      <c r="K90" s="163" t="s">
        <v>1</v>
      </c>
      <c r="L90" s="164">
        <v>1</v>
      </c>
      <c r="M90" s="225">
        <v>1461</v>
      </c>
      <c r="N90" s="177"/>
    </row>
    <row r="91" spans="1:14" ht="16.5" customHeight="1" x14ac:dyDescent="0.3"/>
    <row r="92" spans="1:1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8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theme="1" tint="0.249977111117893"/>
    <pageSetUpPr fitToPage="1"/>
  </sheetPr>
  <dimension ref="A1:P34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7343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7429</v>
      </c>
      <c r="C7" s="155" t="s">
        <v>7342</v>
      </c>
      <c r="D7" s="156" t="s">
        <v>17601</v>
      </c>
      <c r="E7" s="157">
        <v>83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78">
        <v>113</v>
      </c>
      <c r="P7" s="142" t="s">
        <v>5863</v>
      </c>
    </row>
    <row r="8" spans="1:16" ht="16.5" customHeight="1" x14ac:dyDescent="0.3">
      <c r="A8" s="147">
        <v>15</v>
      </c>
      <c r="B8" s="147">
        <v>7430</v>
      </c>
      <c r="C8" s="155" t="s">
        <v>7341</v>
      </c>
      <c r="D8" s="167" t="s">
        <v>17426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78">
        <v>113</v>
      </c>
      <c r="P8" s="172"/>
    </row>
    <row r="9" spans="1:16" ht="16.5" customHeight="1" x14ac:dyDescent="0.3">
      <c r="A9" s="147">
        <v>15</v>
      </c>
      <c r="B9" s="147">
        <v>7431</v>
      </c>
      <c r="C9" s="155" t="s">
        <v>7340</v>
      </c>
      <c r="D9" s="156" t="s">
        <v>17600</v>
      </c>
      <c r="E9" s="157">
        <v>166</v>
      </c>
      <c r="F9" s="158" t="s">
        <v>0</v>
      </c>
      <c r="G9" s="169"/>
      <c r="H9" s="153"/>
      <c r="I9" s="152"/>
      <c r="J9" s="162"/>
      <c r="K9" s="163"/>
      <c r="L9" s="164"/>
      <c r="M9" s="170"/>
      <c r="N9" s="171"/>
      <c r="O9" s="178">
        <v>224</v>
      </c>
      <c r="P9" s="172"/>
    </row>
    <row r="10" spans="1:16" ht="16.5" customHeight="1" x14ac:dyDescent="0.3">
      <c r="A10" s="147">
        <v>15</v>
      </c>
      <c r="B10" s="147">
        <v>7432</v>
      </c>
      <c r="C10" s="155" t="s">
        <v>7339</v>
      </c>
      <c r="D10" s="167" t="s">
        <v>17428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1"/>
      <c r="O10" s="178">
        <v>224</v>
      </c>
      <c r="P10" s="172"/>
    </row>
    <row r="11" spans="1:16" ht="16.5" customHeight="1" x14ac:dyDescent="0.3">
      <c r="A11" s="147">
        <v>15</v>
      </c>
      <c r="B11" s="147">
        <v>7433</v>
      </c>
      <c r="C11" s="155" t="s">
        <v>7338</v>
      </c>
      <c r="D11" s="156" t="s">
        <v>17599</v>
      </c>
      <c r="E11" s="157">
        <v>249</v>
      </c>
      <c r="F11" s="158" t="s">
        <v>0</v>
      </c>
      <c r="G11" s="169"/>
      <c r="H11" s="153"/>
      <c r="I11" s="152"/>
      <c r="J11" s="162"/>
      <c r="K11" s="163"/>
      <c r="L11" s="164"/>
      <c r="M11" s="170"/>
      <c r="N11" s="171"/>
      <c r="O11" s="178">
        <v>336</v>
      </c>
      <c r="P11" s="172"/>
    </row>
    <row r="12" spans="1:16" ht="16.5" customHeight="1" x14ac:dyDescent="0.3">
      <c r="A12" s="147">
        <v>15</v>
      </c>
      <c r="B12" s="147">
        <v>7434</v>
      </c>
      <c r="C12" s="155" t="s">
        <v>7337</v>
      </c>
      <c r="D12" s="167" t="s">
        <v>17433</v>
      </c>
      <c r="E12" s="150"/>
      <c r="F12" s="168"/>
      <c r="G12" s="169" t="s">
        <v>17448</v>
      </c>
      <c r="H12" s="153"/>
      <c r="I12" s="152"/>
      <c r="J12" s="162" t="s">
        <v>5895</v>
      </c>
      <c r="K12" s="163" t="s">
        <v>1</v>
      </c>
      <c r="L12" s="164">
        <v>1</v>
      </c>
      <c r="M12" s="170" t="s">
        <v>17447</v>
      </c>
      <c r="N12" s="171"/>
      <c r="O12" s="178">
        <v>336</v>
      </c>
      <c r="P12" s="172"/>
    </row>
    <row r="13" spans="1:16" ht="16.5" customHeight="1" x14ac:dyDescent="0.3">
      <c r="A13" s="147">
        <v>15</v>
      </c>
      <c r="B13" s="147">
        <v>7435</v>
      </c>
      <c r="C13" s="155" t="s">
        <v>7336</v>
      </c>
      <c r="D13" s="156" t="s">
        <v>17598</v>
      </c>
      <c r="E13" s="157">
        <v>332</v>
      </c>
      <c r="F13" s="158" t="s">
        <v>0</v>
      </c>
      <c r="G13" s="169" t="s">
        <v>17446</v>
      </c>
      <c r="H13" s="153" t="s">
        <v>1</v>
      </c>
      <c r="I13" s="152">
        <v>0.9</v>
      </c>
      <c r="J13" s="162"/>
      <c r="K13" s="163"/>
      <c r="L13" s="164"/>
      <c r="M13" s="170"/>
      <c r="N13" s="174" t="s">
        <v>17597</v>
      </c>
      <c r="O13" s="178">
        <v>449</v>
      </c>
      <c r="P13" s="172"/>
    </row>
    <row r="14" spans="1:16" ht="16.5" customHeight="1" x14ac:dyDescent="0.3">
      <c r="A14" s="147">
        <v>15</v>
      </c>
      <c r="B14" s="147">
        <v>7436</v>
      </c>
      <c r="C14" s="155" t="s">
        <v>7335</v>
      </c>
      <c r="D14" s="167" t="s">
        <v>17438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78">
        <v>449</v>
      </c>
      <c r="P14" s="172"/>
    </row>
    <row r="15" spans="1:16" ht="16.5" customHeight="1" x14ac:dyDescent="0.3">
      <c r="A15" s="147">
        <v>15</v>
      </c>
      <c r="B15" s="147">
        <v>7437</v>
      </c>
      <c r="C15" s="155" t="s">
        <v>7334</v>
      </c>
      <c r="D15" s="156" t="s">
        <v>17596</v>
      </c>
      <c r="E15" s="157">
        <v>415</v>
      </c>
      <c r="F15" s="158" t="s">
        <v>0</v>
      </c>
      <c r="G15" s="169"/>
      <c r="H15" s="153"/>
      <c r="I15" s="152"/>
      <c r="J15" s="162"/>
      <c r="K15" s="163"/>
      <c r="L15" s="164"/>
      <c r="M15" s="170" t="s">
        <v>1</v>
      </c>
      <c r="N15" s="192">
        <v>0.5</v>
      </c>
      <c r="O15" s="178">
        <v>561</v>
      </c>
      <c r="P15" s="172"/>
    </row>
    <row r="16" spans="1:16" ht="16.5" customHeight="1" x14ac:dyDescent="0.3">
      <c r="A16" s="147">
        <v>15</v>
      </c>
      <c r="B16" s="147">
        <v>7438</v>
      </c>
      <c r="C16" s="155" t="s">
        <v>7333</v>
      </c>
      <c r="D16" s="167" t="s">
        <v>17595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0"/>
      <c r="N16" s="174" t="s">
        <v>17443</v>
      </c>
      <c r="O16" s="178">
        <v>561</v>
      </c>
      <c r="P16" s="172"/>
    </row>
    <row r="17" spans="1:16" ht="16.5" customHeight="1" x14ac:dyDescent="0.3">
      <c r="A17" s="147">
        <v>15</v>
      </c>
      <c r="B17" s="147">
        <v>7439</v>
      </c>
      <c r="C17" s="155" t="s">
        <v>7332</v>
      </c>
      <c r="D17" s="156" t="s">
        <v>17594</v>
      </c>
      <c r="E17" s="157">
        <v>498</v>
      </c>
      <c r="F17" s="158" t="s">
        <v>0</v>
      </c>
      <c r="G17" s="169"/>
      <c r="H17" s="153"/>
      <c r="I17" s="152"/>
      <c r="J17" s="162"/>
      <c r="K17" s="163"/>
      <c r="L17" s="164"/>
      <c r="M17" s="170"/>
      <c r="N17" s="171"/>
      <c r="O17" s="178">
        <v>672</v>
      </c>
      <c r="P17" s="172"/>
    </row>
    <row r="18" spans="1:16" ht="16.5" customHeight="1" x14ac:dyDescent="0.3">
      <c r="A18" s="147">
        <v>15</v>
      </c>
      <c r="B18" s="147">
        <v>7440</v>
      </c>
      <c r="C18" s="155" t="s">
        <v>7331</v>
      </c>
      <c r="D18" s="167" t="s">
        <v>17593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0"/>
      <c r="N18" s="171"/>
      <c r="O18" s="178">
        <v>672</v>
      </c>
      <c r="P18" s="172"/>
    </row>
    <row r="19" spans="1:16" ht="16.5" customHeight="1" x14ac:dyDescent="0.3">
      <c r="A19" s="147">
        <v>15</v>
      </c>
      <c r="B19" s="147">
        <v>7441</v>
      </c>
      <c r="C19" s="155" t="s">
        <v>7330</v>
      </c>
      <c r="D19" s="156" t="s">
        <v>17592</v>
      </c>
      <c r="E19" s="157">
        <v>581</v>
      </c>
      <c r="F19" s="158" t="s">
        <v>0</v>
      </c>
      <c r="G19" s="169"/>
      <c r="H19" s="153"/>
      <c r="I19" s="152"/>
      <c r="J19" s="162"/>
      <c r="K19" s="163"/>
      <c r="L19" s="164"/>
      <c r="M19" s="170"/>
      <c r="N19" s="171"/>
      <c r="O19" s="178">
        <v>785</v>
      </c>
      <c r="P19" s="172"/>
    </row>
    <row r="20" spans="1:16" ht="16.5" customHeight="1" x14ac:dyDescent="0.3">
      <c r="A20" s="147">
        <v>15</v>
      </c>
      <c r="B20" s="147">
        <v>7442</v>
      </c>
      <c r="C20" s="155" t="s">
        <v>7329</v>
      </c>
      <c r="D20" s="167" t="s">
        <v>17591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0"/>
      <c r="N20" s="171"/>
      <c r="O20" s="178">
        <v>785</v>
      </c>
      <c r="P20" s="172"/>
    </row>
    <row r="21" spans="1:16" ht="16.5" customHeight="1" x14ac:dyDescent="0.3">
      <c r="A21" s="147">
        <v>15</v>
      </c>
      <c r="B21" s="147">
        <v>7443</v>
      </c>
      <c r="C21" s="155" t="s">
        <v>7328</v>
      </c>
      <c r="D21" s="156" t="s">
        <v>17590</v>
      </c>
      <c r="E21" s="157">
        <v>664</v>
      </c>
      <c r="F21" s="158" t="s">
        <v>0</v>
      </c>
      <c r="G21" s="169"/>
      <c r="H21" s="153"/>
      <c r="I21" s="152"/>
      <c r="J21" s="162"/>
      <c r="K21" s="163"/>
      <c r="L21" s="164"/>
      <c r="M21" s="170"/>
      <c r="N21" s="171"/>
      <c r="O21" s="178">
        <v>897</v>
      </c>
      <c r="P21" s="172"/>
    </row>
    <row r="22" spans="1:16" ht="16.5" customHeight="1" x14ac:dyDescent="0.3">
      <c r="A22" s="147">
        <v>15</v>
      </c>
      <c r="B22" s="147">
        <v>7444</v>
      </c>
      <c r="C22" s="155" t="s">
        <v>7327</v>
      </c>
      <c r="D22" s="167" t="s">
        <v>17589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0"/>
      <c r="N22" s="171"/>
      <c r="O22" s="178">
        <v>897</v>
      </c>
      <c r="P22" s="172"/>
    </row>
    <row r="23" spans="1:16" ht="16.5" customHeight="1" x14ac:dyDescent="0.3">
      <c r="A23" s="147">
        <v>15</v>
      </c>
      <c r="B23" s="147">
        <v>7445</v>
      </c>
      <c r="C23" s="155" t="s">
        <v>7326</v>
      </c>
      <c r="D23" s="156" t="s">
        <v>17588</v>
      </c>
      <c r="E23" s="157">
        <v>747</v>
      </c>
      <c r="F23" s="158" t="s">
        <v>0</v>
      </c>
      <c r="G23" s="169"/>
      <c r="H23" s="153"/>
      <c r="I23" s="152"/>
      <c r="J23" s="162"/>
      <c r="K23" s="163"/>
      <c r="L23" s="164"/>
      <c r="M23" s="170"/>
      <c r="N23" s="171"/>
      <c r="O23" s="178">
        <v>1008</v>
      </c>
      <c r="P23" s="172"/>
    </row>
    <row r="24" spans="1:16" ht="16.5" customHeight="1" x14ac:dyDescent="0.3">
      <c r="A24" s="147">
        <v>15</v>
      </c>
      <c r="B24" s="147">
        <v>7446</v>
      </c>
      <c r="C24" s="155" t="s">
        <v>7325</v>
      </c>
      <c r="D24" s="167" t="s">
        <v>17587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0"/>
      <c r="N24" s="171"/>
      <c r="O24" s="178">
        <v>1008</v>
      </c>
      <c r="P24" s="172"/>
    </row>
    <row r="25" spans="1:16" ht="16.5" customHeight="1" x14ac:dyDescent="0.3">
      <c r="A25" s="147">
        <v>15</v>
      </c>
      <c r="B25" s="147">
        <v>7447</v>
      </c>
      <c r="C25" s="155" t="s">
        <v>7324</v>
      </c>
      <c r="D25" s="156" t="s">
        <v>17586</v>
      </c>
      <c r="E25" s="157">
        <v>830</v>
      </c>
      <c r="F25" s="158" t="s">
        <v>0</v>
      </c>
      <c r="G25" s="169"/>
      <c r="H25" s="153"/>
      <c r="I25" s="152"/>
      <c r="J25" s="162"/>
      <c r="K25" s="163"/>
      <c r="L25" s="164"/>
      <c r="M25" s="170"/>
      <c r="N25" s="171"/>
      <c r="O25" s="178">
        <v>1121</v>
      </c>
      <c r="P25" s="172"/>
    </row>
    <row r="26" spans="1:16" ht="16.5" customHeight="1" x14ac:dyDescent="0.3">
      <c r="A26" s="147">
        <v>15</v>
      </c>
      <c r="B26" s="147">
        <v>7448</v>
      </c>
      <c r="C26" s="155" t="s">
        <v>7323</v>
      </c>
      <c r="D26" s="167" t="s">
        <v>17585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0"/>
      <c r="N26" s="171"/>
      <c r="O26" s="178">
        <v>1121</v>
      </c>
      <c r="P26" s="172"/>
    </row>
    <row r="27" spans="1:16" ht="16.5" customHeight="1" x14ac:dyDescent="0.3">
      <c r="A27" s="147">
        <v>15</v>
      </c>
      <c r="B27" s="147">
        <v>7449</v>
      </c>
      <c r="C27" s="155" t="s">
        <v>7322</v>
      </c>
      <c r="D27" s="156" t="s">
        <v>17584</v>
      </c>
      <c r="E27" s="157">
        <v>913</v>
      </c>
      <c r="F27" s="158" t="s">
        <v>0</v>
      </c>
      <c r="G27" s="169"/>
      <c r="H27" s="153"/>
      <c r="I27" s="152"/>
      <c r="J27" s="162"/>
      <c r="K27" s="163"/>
      <c r="L27" s="164"/>
      <c r="M27" s="170"/>
      <c r="N27" s="171"/>
      <c r="O27" s="178">
        <v>1233</v>
      </c>
      <c r="P27" s="172"/>
    </row>
    <row r="28" spans="1:16" ht="16.5" customHeight="1" x14ac:dyDescent="0.3">
      <c r="A28" s="147">
        <v>15</v>
      </c>
      <c r="B28" s="147">
        <v>7450</v>
      </c>
      <c r="C28" s="155" t="s">
        <v>7321</v>
      </c>
      <c r="D28" s="167" t="s">
        <v>17583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0"/>
      <c r="N28" s="171"/>
      <c r="O28" s="178">
        <v>1233</v>
      </c>
      <c r="P28" s="172"/>
    </row>
    <row r="29" spans="1:16" ht="16.5" customHeight="1" x14ac:dyDescent="0.3">
      <c r="A29" s="147">
        <v>15</v>
      </c>
      <c r="B29" s="147">
        <v>7451</v>
      </c>
      <c r="C29" s="155" t="s">
        <v>7320</v>
      </c>
      <c r="D29" s="156" t="s">
        <v>17582</v>
      </c>
      <c r="E29" s="157">
        <v>996</v>
      </c>
      <c r="F29" s="158" t="s">
        <v>0</v>
      </c>
      <c r="G29" s="169"/>
      <c r="H29" s="153"/>
      <c r="I29" s="152"/>
      <c r="J29" s="162"/>
      <c r="K29" s="163"/>
      <c r="L29" s="164"/>
      <c r="M29" s="170"/>
      <c r="N29" s="171"/>
      <c r="O29" s="178">
        <v>1344</v>
      </c>
      <c r="P29" s="172"/>
    </row>
    <row r="30" spans="1:16" ht="16.5" customHeight="1" x14ac:dyDescent="0.3">
      <c r="A30" s="147">
        <v>15</v>
      </c>
      <c r="B30" s="147">
        <v>7452</v>
      </c>
      <c r="C30" s="155" t="s">
        <v>7319</v>
      </c>
      <c r="D30" s="167" t="s">
        <v>17581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0"/>
      <c r="N30" s="171"/>
      <c r="O30" s="178">
        <v>1344</v>
      </c>
      <c r="P30" s="172"/>
    </row>
    <row r="31" spans="1:16" ht="16.5" customHeight="1" x14ac:dyDescent="0.3">
      <c r="A31" s="147">
        <v>15</v>
      </c>
      <c r="B31" s="147">
        <v>7453</v>
      </c>
      <c r="C31" s="155" t="s">
        <v>7318</v>
      </c>
      <c r="D31" s="156" t="s">
        <v>17580</v>
      </c>
      <c r="E31" s="157">
        <v>1079</v>
      </c>
      <c r="F31" s="158" t="s">
        <v>0</v>
      </c>
      <c r="G31" s="169"/>
      <c r="H31" s="153"/>
      <c r="I31" s="152"/>
      <c r="J31" s="162"/>
      <c r="K31" s="163"/>
      <c r="L31" s="164"/>
      <c r="M31" s="170"/>
      <c r="N31" s="171"/>
      <c r="O31" s="178">
        <v>1457</v>
      </c>
      <c r="P31" s="172"/>
    </row>
    <row r="32" spans="1:16" ht="16.5" customHeight="1" x14ac:dyDescent="0.3">
      <c r="A32" s="147">
        <v>15</v>
      </c>
      <c r="B32" s="147">
        <v>7454</v>
      </c>
      <c r="C32" s="155" t="s">
        <v>7317</v>
      </c>
      <c r="D32" s="167" t="s">
        <v>17579</v>
      </c>
      <c r="E32" s="150"/>
      <c r="F32" s="168"/>
      <c r="G32" s="175"/>
      <c r="H32" s="150"/>
      <c r="I32" s="151"/>
      <c r="J32" s="162" t="s">
        <v>5895</v>
      </c>
      <c r="K32" s="163" t="s">
        <v>1</v>
      </c>
      <c r="L32" s="164">
        <v>1</v>
      </c>
      <c r="M32" s="176"/>
      <c r="N32" s="168"/>
      <c r="O32" s="178">
        <v>1457</v>
      </c>
      <c r="P32" s="177"/>
    </row>
    <row r="33" spans="3:16" s="44" customFormat="1" ht="16.5" customHeight="1" x14ac:dyDescent="0.3">
      <c r="C33" s="45"/>
      <c r="D33" s="45"/>
      <c r="E33" s="46"/>
      <c r="F33" s="46"/>
      <c r="G33" s="46"/>
      <c r="H33" s="46"/>
      <c r="I33" s="47"/>
      <c r="J33" s="46"/>
      <c r="K33" s="46"/>
      <c r="L33" s="47"/>
      <c r="M33" s="47"/>
      <c r="N33" s="46"/>
      <c r="O33" s="84"/>
      <c r="P33" s="48"/>
    </row>
    <row r="34" spans="3:16" s="44" customFormat="1" ht="16.5" customHeight="1" x14ac:dyDescent="0.3">
      <c r="C34" s="45"/>
      <c r="D34" s="45"/>
      <c r="E34" s="46"/>
      <c r="F34" s="46"/>
      <c r="G34" s="46"/>
      <c r="H34" s="46"/>
      <c r="I34" s="47"/>
      <c r="J34" s="46"/>
      <c r="K34" s="46"/>
      <c r="L34" s="47"/>
      <c r="M34" s="47"/>
      <c r="N34" s="46"/>
      <c r="O34" s="84"/>
      <c r="P34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theme="1" tint="0.249977111117893"/>
    <pageSetUpPr fitToPage="1"/>
  </sheetPr>
  <dimension ref="A1:N91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7428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3111</v>
      </c>
      <c r="C7" s="197" t="s">
        <v>7427</v>
      </c>
      <c r="D7" s="156" t="s">
        <v>17654</v>
      </c>
      <c r="E7" s="144"/>
      <c r="F7" s="206"/>
      <c r="G7" s="160"/>
      <c r="H7" s="160"/>
      <c r="I7" s="161"/>
      <c r="J7" s="162"/>
      <c r="K7" s="163"/>
      <c r="L7" s="164"/>
      <c r="M7" s="178">
        <v>105</v>
      </c>
      <c r="N7" s="142" t="s">
        <v>5863</v>
      </c>
    </row>
    <row r="8" spans="1:14" ht="16.5" customHeight="1" x14ac:dyDescent="0.3">
      <c r="A8" s="147">
        <v>15</v>
      </c>
      <c r="B8" s="147">
        <v>3112</v>
      </c>
      <c r="C8" s="197" t="s">
        <v>7426</v>
      </c>
      <c r="D8" s="188" t="s">
        <v>17033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178">
        <v>105</v>
      </c>
      <c r="N8" s="172"/>
    </row>
    <row r="9" spans="1:14" ht="16.5" customHeight="1" x14ac:dyDescent="0.3">
      <c r="A9" s="147">
        <v>15</v>
      </c>
      <c r="B9" s="147">
        <v>3113</v>
      </c>
      <c r="C9" s="197" t="s">
        <v>7425</v>
      </c>
      <c r="D9" s="188"/>
      <c r="E9" s="205">
        <v>105</v>
      </c>
      <c r="F9" s="171" t="s">
        <v>0</v>
      </c>
      <c r="G9" s="160" t="s">
        <v>17026</v>
      </c>
      <c r="H9" s="160"/>
      <c r="I9" s="161"/>
      <c r="J9" s="162"/>
      <c r="K9" s="163"/>
      <c r="L9" s="164"/>
      <c r="M9" s="178">
        <v>95</v>
      </c>
      <c r="N9" s="172"/>
    </row>
    <row r="10" spans="1:14" ht="16.5" customHeight="1" x14ac:dyDescent="0.3">
      <c r="A10" s="147">
        <v>15</v>
      </c>
      <c r="B10" s="147">
        <v>3114</v>
      </c>
      <c r="C10" s="197" t="s">
        <v>7424</v>
      </c>
      <c r="D10" s="167"/>
      <c r="E10" s="150"/>
      <c r="F10" s="168"/>
      <c r="G10" s="150" t="s">
        <v>17025</v>
      </c>
      <c r="H10" s="150" t="s">
        <v>1</v>
      </c>
      <c r="I10" s="151">
        <v>0.9</v>
      </c>
      <c r="J10" s="162" t="s">
        <v>5895</v>
      </c>
      <c r="K10" s="163" t="s">
        <v>1</v>
      </c>
      <c r="L10" s="164">
        <v>1</v>
      </c>
      <c r="M10" s="178">
        <v>95</v>
      </c>
      <c r="N10" s="172"/>
    </row>
    <row r="11" spans="1:14" ht="16.5" customHeight="1" x14ac:dyDescent="0.3">
      <c r="A11" s="147">
        <v>15</v>
      </c>
      <c r="B11" s="147">
        <v>3115</v>
      </c>
      <c r="C11" s="197" t="s">
        <v>7423</v>
      </c>
      <c r="D11" s="156" t="s">
        <v>17653</v>
      </c>
      <c r="E11" s="160"/>
      <c r="F11" s="158"/>
      <c r="G11" s="160"/>
      <c r="H11" s="160"/>
      <c r="I11" s="161"/>
      <c r="J11" s="162"/>
      <c r="K11" s="163"/>
      <c r="L11" s="164"/>
      <c r="M11" s="178">
        <v>200</v>
      </c>
      <c r="N11" s="172"/>
    </row>
    <row r="12" spans="1:14" ht="16.5" customHeight="1" x14ac:dyDescent="0.3">
      <c r="A12" s="147">
        <v>15</v>
      </c>
      <c r="B12" s="147">
        <v>3116</v>
      </c>
      <c r="C12" s="197" t="s">
        <v>7422</v>
      </c>
      <c r="D12" s="188" t="s">
        <v>17030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8">
        <v>200</v>
      </c>
      <c r="N12" s="172"/>
    </row>
    <row r="13" spans="1:14" ht="16.5" customHeight="1" x14ac:dyDescent="0.3">
      <c r="A13" s="147">
        <v>15</v>
      </c>
      <c r="B13" s="147">
        <v>3117</v>
      </c>
      <c r="C13" s="197" t="s">
        <v>7421</v>
      </c>
      <c r="D13" s="188" t="s">
        <v>17044</v>
      </c>
      <c r="E13" s="205">
        <v>200</v>
      </c>
      <c r="F13" s="171" t="s">
        <v>0</v>
      </c>
      <c r="G13" s="160" t="s">
        <v>17026</v>
      </c>
      <c r="H13" s="160"/>
      <c r="I13" s="161"/>
      <c r="J13" s="162"/>
      <c r="K13" s="163"/>
      <c r="L13" s="164"/>
      <c r="M13" s="178">
        <v>180</v>
      </c>
      <c r="N13" s="172"/>
    </row>
    <row r="14" spans="1:14" ht="16.5" customHeight="1" x14ac:dyDescent="0.3">
      <c r="A14" s="147">
        <v>15</v>
      </c>
      <c r="B14" s="147">
        <v>3118</v>
      </c>
      <c r="C14" s="197" t="s">
        <v>7420</v>
      </c>
      <c r="D14" s="167"/>
      <c r="E14" s="150"/>
      <c r="F14" s="168"/>
      <c r="G14" s="150" t="s">
        <v>17025</v>
      </c>
      <c r="H14" s="150" t="s">
        <v>1</v>
      </c>
      <c r="I14" s="151">
        <v>0.9</v>
      </c>
      <c r="J14" s="162" t="s">
        <v>5895</v>
      </c>
      <c r="K14" s="163" t="s">
        <v>1</v>
      </c>
      <c r="L14" s="164">
        <v>1</v>
      </c>
      <c r="M14" s="178">
        <v>180</v>
      </c>
      <c r="N14" s="172"/>
    </row>
    <row r="15" spans="1:14" ht="16.5" customHeight="1" x14ac:dyDescent="0.3">
      <c r="A15" s="147">
        <v>15</v>
      </c>
      <c r="B15" s="147">
        <v>3119</v>
      </c>
      <c r="C15" s="197" t="s">
        <v>7419</v>
      </c>
      <c r="D15" s="156" t="s">
        <v>17652</v>
      </c>
      <c r="E15" s="160"/>
      <c r="F15" s="158"/>
      <c r="G15" s="160"/>
      <c r="H15" s="160"/>
      <c r="I15" s="161"/>
      <c r="J15" s="162"/>
      <c r="K15" s="163"/>
      <c r="L15" s="164"/>
      <c r="M15" s="178">
        <v>279</v>
      </c>
      <c r="N15" s="172"/>
    </row>
    <row r="16" spans="1:14" ht="16.5" customHeight="1" x14ac:dyDescent="0.3">
      <c r="A16" s="147">
        <v>15</v>
      </c>
      <c r="B16" s="147">
        <v>3120</v>
      </c>
      <c r="C16" s="197" t="s">
        <v>7418</v>
      </c>
      <c r="D16" s="188" t="s">
        <v>17040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8">
        <v>279</v>
      </c>
      <c r="N16" s="172"/>
    </row>
    <row r="17" spans="1:14" ht="16.5" customHeight="1" x14ac:dyDescent="0.3">
      <c r="A17" s="147">
        <v>15</v>
      </c>
      <c r="B17" s="147">
        <v>3121</v>
      </c>
      <c r="C17" s="197" t="s">
        <v>7417</v>
      </c>
      <c r="D17" s="188" t="s">
        <v>17039</v>
      </c>
      <c r="E17" s="205">
        <v>279</v>
      </c>
      <c r="F17" s="171" t="s">
        <v>0</v>
      </c>
      <c r="G17" s="160" t="s">
        <v>17026</v>
      </c>
      <c r="H17" s="160"/>
      <c r="I17" s="161"/>
      <c r="J17" s="162"/>
      <c r="K17" s="163"/>
      <c r="L17" s="164"/>
      <c r="M17" s="178">
        <v>251</v>
      </c>
      <c r="N17" s="172"/>
    </row>
    <row r="18" spans="1:14" ht="16.5" customHeight="1" x14ac:dyDescent="0.3">
      <c r="A18" s="147">
        <v>15</v>
      </c>
      <c r="B18" s="147">
        <v>3122</v>
      </c>
      <c r="C18" s="197" t="s">
        <v>7416</v>
      </c>
      <c r="D18" s="167"/>
      <c r="E18" s="150"/>
      <c r="F18" s="168"/>
      <c r="G18" s="150" t="s">
        <v>17025</v>
      </c>
      <c r="H18" s="150" t="s">
        <v>1</v>
      </c>
      <c r="I18" s="151">
        <v>0.9</v>
      </c>
      <c r="J18" s="162" t="s">
        <v>5895</v>
      </c>
      <c r="K18" s="163" t="s">
        <v>1</v>
      </c>
      <c r="L18" s="164">
        <v>1</v>
      </c>
      <c r="M18" s="178">
        <v>251</v>
      </c>
      <c r="N18" s="172"/>
    </row>
    <row r="19" spans="1:14" ht="16.5" customHeight="1" x14ac:dyDescent="0.3">
      <c r="A19" s="147">
        <v>15</v>
      </c>
      <c r="B19" s="147">
        <v>3123</v>
      </c>
      <c r="C19" s="197" t="s">
        <v>7415</v>
      </c>
      <c r="D19" s="156" t="s">
        <v>17651</v>
      </c>
      <c r="E19" s="160"/>
      <c r="F19" s="158"/>
      <c r="G19" s="160"/>
      <c r="H19" s="160"/>
      <c r="I19" s="161"/>
      <c r="J19" s="162"/>
      <c r="K19" s="163"/>
      <c r="L19" s="164"/>
      <c r="M19" s="178">
        <v>349</v>
      </c>
      <c r="N19" s="172"/>
    </row>
    <row r="20" spans="1:14" ht="16.5" customHeight="1" x14ac:dyDescent="0.3">
      <c r="A20" s="147">
        <v>15</v>
      </c>
      <c r="B20" s="147">
        <v>3124</v>
      </c>
      <c r="C20" s="197" t="s">
        <v>7414</v>
      </c>
      <c r="D20" s="188" t="s">
        <v>17034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8">
        <v>349</v>
      </c>
      <c r="N20" s="172"/>
    </row>
    <row r="21" spans="1:14" ht="16.5" customHeight="1" x14ac:dyDescent="0.3">
      <c r="A21" s="147">
        <v>15</v>
      </c>
      <c r="B21" s="147">
        <v>3125</v>
      </c>
      <c r="C21" s="197" t="s">
        <v>7413</v>
      </c>
      <c r="D21" s="188" t="s">
        <v>17032</v>
      </c>
      <c r="E21" s="205">
        <v>349</v>
      </c>
      <c r="F21" s="171" t="s">
        <v>0</v>
      </c>
      <c r="G21" s="160" t="s">
        <v>17026</v>
      </c>
      <c r="H21" s="160"/>
      <c r="I21" s="161"/>
      <c r="J21" s="162"/>
      <c r="K21" s="163"/>
      <c r="L21" s="164"/>
      <c r="M21" s="178">
        <v>314</v>
      </c>
      <c r="N21" s="172"/>
    </row>
    <row r="22" spans="1:14" ht="16.5" customHeight="1" x14ac:dyDescent="0.3">
      <c r="A22" s="147">
        <v>15</v>
      </c>
      <c r="B22" s="147">
        <v>3126</v>
      </c>
      <c r="C22" s="197" t="s">
        <v>7412</v>
      </c>
      <c r="D22" s="167"/>
      <c r="E22" s="150"/>
      <c r="F22" s="168"/>
      <c r="G22" s="150" t="s">
        <v>17025</v>
      </c>
      <c r="H22" s="150" t="s">
        <v>1</v>
      </c>
      <c r="I22" s="151">
        <v>0.9</v>
      </c>
      <c r="J22" s="162" t="s">
        <v>5895</v>
      </c>
      <c r="K22" s="163" t="s">
        <v>1</v>
      </c>
      <c r="L22" s="164">
        <v>1</v>
      </c>
      <c r="M22" s="178">
        <v>314</v>
      </c>
      <c r="N22" s="172"/>
    </row>
    <row r="23" spans="1:14" ht="16.5" customHeight="1" x14ac:dyDescent="0.3">
      <c r="A23" s="147">
        <v>15</v>
      </c>
      <c r="B23" s="147">
        <v>3127</v>
      </c>
      <c r="C23" s="197" t="s">
        <v>7411</v>
      </c>
      <c r="D23" s="156" t="s">
        <v>17650</v>
      </c>
      <c r="E23" s="160"/>
      <c r="F23" s="158"/>
      <c r="G23" s="160"/>
      <c r="H23" s="160"/>
      <c r="I23" s="161"/>
      <c r="J23" s="162"/>
      <c r="K23" s="163"/>
      <c r="L23" s="164"/>
      <c r="M23" s="178">
        <v>419</v>
      </c>
      <c r="N23" s="172"/>
    </row>
    <row r="24" spans="1:14" ht="16.5" customHeight="1" x14ac:dyDescent="0.3">
      <c r="A24" s="147">
        <v>15</v>
      </c>
      <c r="B24" s="147">
        <v>3128</v>
      </c>
      <c r="C24" s="197" t="s">
        <v>7410</v>
      </c>
      <c r="D24" s="188" t="s">
        <v>17028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8">
        <v>419</v>
      </c>
      <c r="N24" s="172"/>
    </row>
    <row r="25" spans="1:14" ht="16.5" customHeight="1" x14ac:dyDescent="0.3">
      <c r="A25" s="147">
        <v>15</v>
      </c>
      <c r="B25" s="147">
        <v>3129</v>
      </c>
      <c r="C25" s="197" t="s">
        <v>7409</v>
      </c>
      <c r="D25" s="188" t="s">
        <v>17027</v>
      </c>
      <c r="E25" s="205">
        <v>419</v>
      </c>
      <c r="F25" s="171" t="s">
        <v>0</v>
      </c>
      <c r="G25" s="160" t="s">
        <v>17026</v>
      </c>
      <c r="H25" s="160"/>
      <c r="I25" s="161"/>
      <c r="J25" s="162"/>
      <c r="K25" s="163"/>
      <c r="L25" s="164"/>
      <c r="M25" s="178">
        <v>377</v>
      </c>
      <c r="N25" s="172"/>
    </row>
    <row r="26" spans="1:14" ht="16.5" customHeight="1" x14ac:dyDescent="0.3">
      <c r="A26" s="147">
        <v>15</v>
      </c>
      <c r="B26" s="147">
        <v>3130</v>
      </c>
      <c r="C26" s="197" t="s">
        <v>7408</v>
      </c>
      <c r="D26" s="167"/>
      <c r="E26" s="150"/>
      <c r="F26" s="168"/>
      <c r="G26" s="150" t="s">
        <v>17025</v>
      </c>
      <c r="H26" s="150" t="s">
        <v>1</v>
      </c>
      <c r="I26" s="151">
        <v>0.9</v>
      </c>
      <c r="J26" s="162" t="s">
        <v>5895</v>
      </c>
      <c r="K26" s="163" t="s">
        <v>1</v>
      </c>
      <c r="L26" s="164">
        <v>1</v>
      </c>
      <c r="M26" s="178">
        <v>377</v>
      </c>
      <c r="N26" s="172"/>
    </row>
    <row r="27" spans="1:14" ht="16.5" customHeight="1" x14ac:dyDescent="0.3">
      <c r="A27" s="147">
        <v>15</v>
      </c>
      <c r="B27" s="147">
        <v>3131</v>
      </c>
      <c r="C27" s="197" t="s">
        <v>7407</v>
      </c>
      <c r="D27" s="156" t="s">
        <v>17649</v>
      </c>
      <c r="E27" s="160"/>
      <c r="F27" s="158"/>
      <c r="G27" s="160"/>
      <c r="H27" s="160"/>
      <c r="I27" s="161"/>
      <c r="J27" s="162"/>
      <c r="K27" s="163"/>
      <c r="L27" s="164"/>
      <c r="M27" s="178">
        <v>489</v>
      </c>
      <c r="N27" s="172"/>
    </row>
    <row r="28" spans="1:14" ht="16.5" customHeight="1" x14ac:dyDescent="0.3">
      <c r="A28" s="147">
        <v>15</v>
      </c>
      <c r="B28" s="147">
        <v>3132</v>
      </c>
      <c r="C28" s="197" t="s">
        <v>7406</v>
      </c>
      <c r="D28" s="188" t="s">
        <v>17648</v>
      </c>
      <c r="E28" s="153"/>
      <c r="F28" s="171"/>
      <c r="G28" s="150"/>
      <c r="H28" s="150"/>
      <c r="I28" s="151"/>
      <c r="J28" s="162" t="s">
        <v>5895</v>
      </c>
      <c r="K28" s="163" t="s">
        <v>1</v>
      </c>
      <c r="L28" s="164">
        <v>1</v>
      </c>
      <c r="M28" s="178">
        <v>489</v>
      </c>
      <c r="N28" s="172"/>
    </row>
    <row r="29" spans="1:14" ht="16.5" customHeight="1" x14ac:dyDescent="0.3">
      <c r="A29" s="147">
        <v>15</v>
      </c>
      <c r="B29" s="147">
        <v>3133</v>
      </c>
      <c r="C29" s="197" t="s">
        <v>7405</v>
      </c>
      <c r="D29" s="188" t="s">
        <v>17647</v>
      </c>
      <c r="E29" s="205">
        <v>489</v>
      </c>
      <c r="F29" s="171" t="s">
        <v>0</v>
      </c>
      <c r="G29" s="160" t="s">
        <v>17026</v>
      </c>
      <c r="H29" s="160"/>
      <c r="I29" s="161"/>
      <c r="J29" s="162"/>
      <c r="K29" s="163"/>
      <c r="L29" s="164"/>
      <c r="M29" s="178">
        <v>440</v>
      </c>
      <c r="N29" s="172"/>
    </row>
    <row r="30" spans="1:14" ht="16.5" customHeight="1" x14ac:dyDescent="0.3">
      <c r="A30" s="147">
        <v>15</v>
      </c>
      <c r="B30" s="147">
        <v>3134</v>
      </c>
      <c r="C30" s="197" t="s">
        <v>7404</v>
      </c>
      <c r="D30" s="167"/>
      <c r="E30" s="150"/>
      <c r="F30" s="168"/>
      <c r="G30" s="150" t="s">
        <v>17025</v>
      </c>
      <c r="H30" s="150" t="s">
        <v>1</v>
      </c>
      <c r="I30" s="151">
        <v>0.9</v>
      </c>
      <c r="J30" s="162" t="s">
        <v>5895</v>
      </c>
      <c r="K30" s="163" t="s">
        <v>1</v>
      </c>
      <c r="L30" s="164">
        <v>1</v>
      </c>
      <c r="M30" s="178">
        <v>440</v>
      </c>
      <c r="N30" s="172"/>
    </row>
    <row r="31" spans="1:14" ht="16.5" customHeight="1" x14ac:dyDescent="0.3">
      <c r="A31" s="147">
        <v>15</v>
      </c>
      <c r="B31" s="147">
        <v>3135</v>
      </c>
      <c r="C31" s="197" t="s">
        <v>7403</v>
      </c>
      <c r="D31" s="156" t="s">
        <v>17646</v>
      </c>
      <c r="E31" s="160"/>
      <c r="F31" s="158"/>
      <c r="G31" s="160"/>
      <c r="H31" s="160"/>
      <c r="I31" s="161"/>
      <c r="J31" s="162"/>
      <c r="K31" s="163"/>
      <c r="L31" s="164"/>
      <c r="M31" s="178">
        <v>559</v>
      </c>
      <c r="N31" s="172"/>
    </row>
    <row r="32" spans="1:14" ht="16.5" customHeight="1" x14ac:dyDescent="0.3">
      <c r="A32" s="147">
        <v>15</v>
      </c>
      <c r="B32" s="147">
        <v>3136</v>
      </c>
      <c r="C32" s="197" t="s">
        <v>7402</v>
      </c>
      <c r="D32" s="188" t="s">
        <v>17645</v>
      </c>
      <c r="E32" s="153"/>
      <c r="F32" s="171"/>
      <c r="G32" s="150"/>
      <c r="H32" s="150"/>
      <c r="I32" s="151"/>
      <c r="J32" s="162" t="s">
        <v>5895</v>
      </c>
      <c r="K32" s="163" t="s">
        <v>1</v>
      </c>
      <c r="L32" s="164">
        <v>1</v>
      </c>
      <c r="M32" s="178">
        <v>559</v>
      </c>
      <c r="N32" s="172"/>
    </row>
    <row r="33" spans="1:14" ht="16.5" customHeight="1" x14ac:dyDescent="0.3">
      <c r="A33" s="147">
        <v>15</v>
      </c>
      <c r="B33" s="147">
        <v>3137</v>
      </c>
      <c r="C33" s="197" t="s">
        <v>7401</v>
      </c>
      <c r="D33" s="188" t="s">
        <v>17644</v>
      </c>
      <c r="E33" s="205">
        <v>559</v>
      </c>
      <c r="F33" s="171" t="s">
        <v>0</v>
      </c>
      <c r="G33" s="160" t="s">
        <v>17026</v>
      </c>
      <c r="H33" s="160"/>
      <c r="I33" s="161"/>
      <c r="J33" s="162"/>
      <c r="K33" s="163"/>
      <c r="L33" s="164"/>
      <c r="M33" s="178">
        <v>503</v>
      </c>
      <c r="N33" s="172"/>
    </row>
    <row r="34" spans="1:14" ht="16.5" customHeight="1" x14ac:dyDescent="0.3">
      <c r="A34" s="147">
        <v>15</v>
      </c>
      <c r="B34" s="147">
        <v>3138</v>
      </c>
      <c r="C34" s="197" t="s">
        <v>7400</v>
      </c>
      <c r="D34" s="167"/>
      <c r="E34" s="150"/>
      <c r="F34" s="168"/>
      <c r="G34" s="150" t="s">
        <v>17025</v>
      </c>
      <c r="H34" s="150" t="s">
        <v>1</v>
      </c>
      <c r="I34" s="151">
        <v>0.9</v>
      </c>
      <c r="J34" s="162" t="s">
        <v>5895</v>
      </c>
      <c r="K34" s="163" t="s">
        <v>1</v>
      </c>
      <c r="L34" s="164">
        <v>1</v>
      </c>
      <c r="M34" s="178">
        <v>503</v>
      </c>
      <c r="N34" s="172"/>
    </row>
    <row r="35" spans="1:14" ht="16.5" customHeight="1" x14ac:dyDescent="0.3">
      <c r="A35" s="147">
        <v>15</v>
      </c>
      <c r="B35" s="147">
        <v>3139</v>
      </c>
      <c r="C35" s="197" t="s">
        <v>7399</v>
      </c>
      <c r="D35" s="156" t="s">
        <v>17643</v>
      </c>
      <c r="E35" s="160"/>
      <c r="F35" s="158"/>
      <c r="G35" s="160"/>
      <c r="H35" s="160"/>
      <c r="I35" s="161"/>
      <c r="J35" s="162"/>
      <c r="K35" s="163"/>
      <c r="L35" s="164"/>
      <c r="M35" s="178">
        <v>629</v>
      </c>
      <c r="N35" s="172"/>
    </row>
    <row r="36" spans="1:14" ht="16.5" customHeight="1" x14ac:dyDescent="0.3">
      <c r="A36" s="147">
        <v>15</v>
      </c>
      <c r="B36" s="147">
        <v>3140</v>
      </c>
      <c r="C36" s="197" t="s">
        <v>7398</v>
      </c>
      <c r="D36" s="188" t="s">
        <v>17642</v>
      </c>
      <c r="E36" s="153"/>
      <c r="F36" s="171"/>
      <c r="G36" s="150"/>
      <c r="H36" s="150"/>
      <c r="I36" s="151"/>
      <c r="J36" s="162" t="s">
        <v>5895</v>
      </c>
      <c r="K36" s="163" t="s">
        <v>1</v>
      </c>
      <c r="L36" s="164">
        <v>1</v>
      </c>
      <c r="M36" s="178">
        <v>629</v>
      </c>
      <c r="N36" s="172"/>
    </row>
    <row r="37" spans="1:14" ht="16.5" customHeight="1" x14ac:dyDescent="0.3">
      <c r="A37" s="147">
        <v>15</v>
      </c>
      <c r="B37" s="147">
        <v>3141</v>
      </c>
      <c r="C37" s="197" t="s">
        <v>7397</v>
      </c>
      <c r="D37" s="188" t="s">
        <v>17641</v>
      </c>
      <c r="E37" s="205">
        <v>629</v>
      </c>
      <c r="F37" s="171" t="s">
        <v>0</v>
      </c>
      <c r="G37" s="160" t="s">
        <v>17026</v>
      </c>
      <c r="H37" s="160"/>
      <c r="I37" s="161"/>
      <c r="J37" s="162"/>
      <c r="K37" s="163"/>
      <c r="L37" s="164"/>
      <c r="M37" s="178">
        <v>566</v>
      </c>
      <c r="N37" s="172"/>
    </row>
    <row r="38" spans="1:14" ht="16.5" customHeight="1" x14ac:dyDescent="0.3">
      <c r="A38" s="147">
        <v>15</v>
      </c>
      <c r="B38" s="147">
        <v>3142</v>
      </c>
      <c r="C38" s="197" t="s">
        <v>7396</v>
      </c>
      <c r="D38" s="167"/>
      <c r="E38" s="150"/>
      <c r="F38" s="168"/>
      <c r="G38" s="150" t="s">
        <v>17025</v>
      </c>
      <c r="H38" s="150" t="s">
        <v>1</v>
      </c>
      <c r="I38" s="151">
        <v>0.9</v>
      </c>
      <c r="J38" s="162" t="s">
        <v>5895</v>
      </c>
      <c r="K38" s="163" t="s">
        <v>1</v>
      </c>
      <c r="L38" s="164">
        <v>1</v>
      </c>
      <c r="M38" s="178">
        <v>566</v>
      </c>
      <c r="N38" s="172"/>
    </row>
    <row r="39" spans="1:14" ht="16.5" customHeight="1" x14ac:dyDescent="0.3">
      <c r="A39" s="147">
        <v>15</v>
      </c>
      <c r="B39" s="147">
        <v>3143</v>
      </c>
      <c r="C39" s="197" t="s">
        <v>7395</v>
      </c>
      <c r="D39" s="156" t="s">
        <v>17640</v>
      </c>
      <c r="E39" s="160"/>
      <c r="F39" s="158"/>
      <c r="G39" s="160"/>
      <c r="H39" s="160"/>
      <c r="I39" s="161"/>
      <c r="J39" s="162"/>
      <c r="K39" s="163"/>
      <c r="L39" s="164"/>
      <c r="M39" s="178">
        <v>699</v>
      </c>
      <c r="N39" s="172"/>
    </row>
    <row r="40" spans="1:14" ht="16.5" customHeight="1" x14ac:dyDescent="0.3">
      <c r="A40" s="147">
        <v>15</v>
      </c>
      <c r="B40" s="147">
        <v>3144</v>
      </c>
      <c r="C40" s="197" t="s">
        <v>7394</v>
      </c>
      <c r="D40" s="188" t="s">
        <v>17639</v>
      </c>
      <c r="E40" s="153"/>
      <c r="F40" s="171"/>
      <c r="G40" s="150"/>
      <c r="H40" s="150"/>
      <c r="I40" s="151"/>
      <c r="J40" s="162" t="s">
        <v>5895</v>
      </c>
      <c r="K40" s="163" t="s">
        <v>1</v>
      </c>
      <c r="L40" s="164">
        <v>1</v>
      </c>
      <c r="M40" s="178">
        <v>699</v>
      </c>
      <c r="N40" s="172"/>
    </row>
    <row r="41" spans="1:14" ht="16.5" customHeight="1" x14ac:dyDescent="0.3">
      <c r="A41" s="147">
        <v>15</v>
      </c>
      <c r="B41" s="147">
        <v>3145</v>
      </c>
      <c r="C41" s="197" t="s">
        <v>7393</v>
      </c>
      <c r="D41" s="188" t="s">
        <v>17638</v>
      </c>
      <c r="E41" s="205">
        <v>699</v>
      </c>
      <c r="F41" s="171" t="s">
        <v>0</v>
      </c>
      <c r="G41" s="160" t="s">
        <v>17026</v>
      </c>
      <c r="H41" s="160"/>
      <c r="I41" s="161"/>
      <c r="J41" s="162"/>
      <c r="K41" s="163"/>
      <c r="L41" s="164"/>
      <c r="M41" s="178">
        <v>629</v>
      </c>
      <c r="N41" s="172"/>
    </row>
    <row r="42" spans="1:14" ht="16.5" customHeight="1" x14ac:dyDescent="0.3">
      <c r="A42" s="147">
        <v>15</v>
      </c>
      <c r="B42" s="147">
        <v>3146</v>
      </c>
      <c r="C42" s="197" t="s">
        <v>7392</v>
      </c>
      <c r="D42" s="167"/>
      <c r="E42" s="150"/>
      <c r="F42" s="168"/>
      <c r="G42" s="150" t="s">
        <v>17025</v>
      </c>
      <c r="H42" s="150" t="s">
        <v>1</v>
      </c>
      <c r="I42" s="151">
        <v>0.9</v>
      </c>
      <c r="J42" s="162" t="s">
        <v>5895</v>
      </c>
      <c r="K42" s="163" t="s">
        <v>1</v>
      </c>
      <c r="L42" s="164">
        <v>1</v>
      </c>
      <c r="M42" s="178">
        <v>629</v>
      </c>
      <c r="N42" s="172"/>
    </row>
    <row r="43" spans="1:14" ht="16.5" customHeight="1" x14ac:dyDescent="0.3">
      <c r="A43" s="147">
        <v>15</v>
      </c>
      <c r="B43" s="147">
        <v>3147</v>
      </c>
      <c r="C43" s="197" t="s">
        <v>7391</v>
      </c>
      <c r="D43" s="156" t="s">
        <v>17637</v>
      </c>
      <c r="E43" s="160"/>
      <c r="F43" s="158"/>
      <c r="G43" s="160"/>
      <c r="H43" s="160"/>
      <c r="I43" s="161"/>
      <c r="J43" s="162"/>
      <c r="K43" s="163"/>
      <c r="L43" s="164"/>
      <c r="M43" s="178">
        <v>769</v>
      </c>
      <c r="N43" s="172"/>
    </row>
    <row r="44" spans="1:14" ht="16.5" customHeight="1" x14ac:dyDescent="0.3">
      <c r="A44" s="147">
        <v>15</v>
      </c>
      <c r="B44" s="147">
        <v>3148</v>
      </c>
      <c r="C44" s="197" t="s">
        <v>7390</v>
      </c>
      <c r="D44" s="188" t="s">
        <v>17636</v>
      </c>
      <c r="E44" s="153"/>
      <c r="F44" s="171"/>
      <c r="G44" s="150"/>
      <c r="H44" s="150"/>
      <c r="I44" s="151"/>
      <c r="J44" s="162" t="s">
        <v>5895</v>
      </c>
      <c r="K44" s="163" t="s">
        <v>1</v>
      </c>
      <c r="L44" s="164">
        <v>1</v>
      </c>
      <c r="M44" s="178">
        <v>769</v>
      </c>
      <c r="N44" s="172"/>
    </row>
    <row r="45" spans="1:14" ht="16.5" customHeight="1" x14ac:dyDescent="0.3">
      <c r="A45" s="147">
        <v>15</v>
      </c>
      <c r="B45" s="147">
        <v>3149</v>
      </c>
      <c r="C45" s="197" t="s">
        <v>7389</v>
      </c>
      <c r="D45" s="188" t="s">
        <v>17635</v>
      </c>
      <c r="E45" s="205">
        <v>769</v>
      </c>
      <c r="F45" s="171" t="s">
        <v>0</v>
      </c>
      <c r="G45" s="160" t="s">
        <v>17026</v>
      </c>
      <c r="H45" s="160"/>
      <c r="I45" s="161"/>
      <c r="J45" s="162"/>
      <c r="K45" s="163"/>
      <c r="L45" s="164"/>
      <c r="M45" s="178">
        <v>692</v>
      </c>
      <c r="N45" s="172"/>
    </row>
    <row r="46" spans="1:14" ht="16.5" customHeight="1" x14ac:dyDescent="0.3">
      <c r="A46" s="147">
        <v>15</v>
      </c>
      <c r="B46" s="147">
        <v>3150</v>
      </c>
      <c r="C46" s="197" t="s">
        <v>7388</v>
      </c>
      <c r="D46" s="167"/>
      <c r="E46" s="150"/>
      <c r="F46" s="168"/>
      <c r="G46" s="150" t="s">
        <v>17025</v>
      </c>
      <c r="H46" s="150" t="s">
        <v>1</v>
      </c>
      <c r="I46" s="151">
        <v>0.9</v>
      </c>
      <c r="J46" s="162" t="s">
        <v>5895</v>
      </c>
      <c r="K46" s="163" t="s">
        <v>1</v>
      </c>
      <c r="L46" s="164">
        <v>1</v>
      </c>
      <c r="M46" s="178">
        <v>692</v>
      </c>
      <c r="N46" s="172"/>
    </row>
    <row r="47" spans="1:14" ht="16.5" customHeight="1" x14ac:dyDescent="0.3">
      <c r="A47" s="147">
        <v>15</v>
      </c>
      <c r="B47" s="147">
        <v>3151</v>
      </c>
      <c r="C47" s="197" t="s">
        <v>7387</v>
      </c>
      <c r="D47" s="156" t="s">
        <v>17634</v>
      </c>
      <c r="E47" s="160"/>
      <c r="F47" s="158"/>
      <c r="G47" s="160"/>
      <c r="H47" s="160"/>
      <c r="I47" s="161"/>
      <c r="J47" s="162"/>
      <c r="K47" s="163"/>
      <c r="L47" s="164"/>
      <c r="M47" s="178">
        <v>839</v>
      </c>
      <c r="N47" s="172"/>
    </row>
    <row r="48" spans="1:14" ht="16.5" customHeight="1" x14ac:dyDescent="0.3">
      <c r="A48" s="147">
        <v>15</v>
      </c>
      <c r="B48" s="147">
        <v>3152</v>
      </c>
      <c r="C48" s="197" t="s">
        <v>7386</v>
      </c>
      <c r="D48" s="188" t="s">
        <v>17633</v>
      </c>
      <c r="E48" s="153"/>
      <c r="F48" s="171"/>
      <c r="G48" s="150"/>
      <c r="H48" s="150"/>
      <c r="I48" s="151"/>
      <c r="J48" s="162" t="s">
        <v>5895</v>
      </c>
      <c r="K48" s="163" t="s">
        <v>1</v>
      </c>
      <c r="L48" s="164">
        <v>1</v>
      </c>
      <c r="M48" s="178">
        <v>839</v>
      </c>
      <c r="N48" s="172"/>
    </row>
    <row r="49" spans="1:14" ht="16.5" customHeight="1" x14ac:dyDescent="0.3">
      <c r="A49" s="147">
        <v>15</v>
      </c>
      <c r="B49" s="147">
        <v>3153</v>
      </c>
      <c r="C49" s="197" t="s">
        <v>7385</v>
      </c>
      <c r="D49" s="188" t="s">
        <v>17632</v>
      </c>
      <c r="E49" s="205">
        <v>839</v>
      </c>
      <c r="F49" s="171" t="s">
        <v>0</v>
      </c>
      <c r="G49" s="160" t="s">
        <v>17026</v>
      </c>
      <c r="H49" s="160"/>
      <c r="I49" s="161"/>
      <c r="J49" s="162"/>
      <c r="K49" s="163"/>
      <c r="L49" s="164"/>
      <c r="M49" s="178">
        <v>755</v>
      </c>
      <c r="N49" s="172"/>
    </row>
    <row r="50" spans="1:14" ht="16.5" customHeight="1" x14ac:dyDescent="0.3">
      <c r="A50" s="147">
        <v>15</v>
      </c>
      <c r="B50" s="147">
        <v>3154</v>
      </c>
      <c r="C50" s="197" t="s">
        <v>7384</v>
      </c>
      <c r="D50" s="167"/>
      <c r="E50" s="150"/>
      <c r="F50" s="168"/>
      <c r="G50" s="150" t="s">
        <v>17025</v>
      </c>
      <c r="H50" s="150" t="s">
        <v>1</v>
      </c>
      <c r="I50" s="151">
        <v>0.9</v>
      </c>
      <c r="J50" s="162" t="s">
        <v>5895</v>
      </c>
      <c r="K50" s="163" t="s">
        <v>1</v>
      </c>
      <c r="L50" s="164">
        <v>1</v>
      </c>
      <c r="M50" s="178">
        <v>755</v>
      </c>
      <c r="N50" s="172"/>
    </row>
    <row r="51" spans="1:14" ht="16.5" customHeight="1" x14ac:dyDescent="0.3">
      <c r="A51" s="147">
        <v>15</v>
      </c>
      <c r="B51" s="147">
        <v>3155</v>
      </c>
      <c r="C51" s="197" t="s">
        <v>7383</v>
      </c>
      <c r="D51" s="156" t="s">
        <v>17631</v>
      </c>
      <c r="E51" s="160"/>
      <c r="F51" s="158"/>
      <c r="G51" s="160"/>
      <c r="H51" s="160"/>
      <c r="I51" s="161"/>
      <c r="J51" s="162"/>
      <c r="K51" s="163"/>
      <c r="L51" s="164"/>
      <c r="M51" s="178">
        <v>909</v>
      </c>
      <c r="N51" s="172"/>
    </row>
    <row r="52" spans="1:14" ht="16.5" customHeight="1" x14ac:dyDescent="0.3">
      <c r="A52" s="147">
        <v>15</v>
      </c>
      <c r="B52" s="147">
        <v>3156</v>
      </c>
      <c r="C52" s="197" t="s">
        <v>7382</v>
      </c>
      <c r="D52" s="188" t="s">
        <v>17630</v>
      </c>
      <c r="E52" s="153"/>
      <c r="F52" s="171"/>
      <c r="G52" s="150"/>
      <c r="H52" s="150"/>
      <c r="I52" s="151"/>
      <c r="J52" s="162" t="s">
        <v>5895</v>
      </c>
      <c r="K52" s="163" t="s">
        <v>1</v>
      </c>
      <c r="L52" s="164">
        <v>1</v>
      </c>
      <c r="M52" s="178">
        <v>909</v>
      </c>
      <c r="N52" s="172"/>
    </row>
    <row r="53" spans="1:14" ht="16.5" customHeight="1" x14ac:dyDescent="0.3">
      <c r="A53" s="147">
        <v>15</v>
      </c>
      <c r="B53" s="147">
        <v>3157</v>
      </c>
      <c r="C53" s="197" t="s">
        <v>7381</v>
      </c>
      <c r="D53" s="188" t="s">
        <v>17629</v>
      </c>
      <c r="E53" s="205">
        <v>909</v>
      </c>
      <c r="F53" s="171" t="s">
        <v>0</v>
      </c>
      <c r="G53" s="160" t="s">
        <v>17026</v>
      </c>
      <c r="H53" s="160"/>
      <c r="I53" s="161"/>
      <c r="J53" s="162"/>
      <c r="K53" s="163"/>
      <c r="L53" s="164"/>
      <c r="M53" s="178">
        <v>818</v>
      </c>
      <c r="N53" s="172"/>
    </row>
    <row r="54" spans="1:14" ht="16.5" customHeight="1" x14ac:dyDescent="0.3">
      <c r="A54" s="147">
        <v>15</v>
      </c>
      <c r="B54" s="147">
        <v>3158</v>
      </c>
      <c r="C54" s="197" t="s">
        <v>7380</v>
      </c>
      <c r="D54" s="167"/>
      <c r="E54" s="150"/>
      <c r="F54" s="168"/>
      <c r="G54" s="150" t="s">
        <v>17025</v>
      </c>
      <c r="H54" s="150" t="s">
        <v>1</v>
      </c>
      <c r="I54" s="151">
        <v>0.9</v>
      </c>
      <c r="J54" s="162" t="s">
        <v>5895</v>
      </c>
      <c r="K54" s="163" t="s">
        <v>1</v>
      </c>
      <c r="L54" s="164">
        <v>1</v>
      </c>
      <c r="M54" s="178">
        <v>818</v>
      </c>
      <c r="N54" s="172"/>
    </row>
    <row r="55" spans="1:14" ht="16.5" customHeight="1" x14ac:dyDescent="0.3">
      <c r="A55" s="147">
        <v>15</v>
      </c>
      <c r="B55" s="147">
        <v>3159</v>
      </c>
      <c r="C55" s="197" t="s">
        <v>7379</v>
      </c>
      <c r="D55" s="156" t="s">
        <v>17628</v>
      </c>
      <c r="E55" s="160"/>
      <c r="F55" s="158"/>
      <c r="G55" s="160"/>
      <c r="H55" s="160"/>
      <c r="I55" s="161"/>
      <c r="J55" s="162"/>
      <c r="K55" s="163"/>
      <c r="L55" s="164"/>
      <c r="M55" s="178">
        <v>979</v>
      </c>
      <c r="N55" s="172"/>
    </row>
    <row r="56" spans="1:14" ht="16.5" customHeight="1" x14ac:dyDescent="0.3">
      <c r="A56" s="147">
        <v>15</v>
      </c>
      <c r="B56" s="147">
        <v>3160</v>
      </c>
      <c r="C56" s="197" t="s">
        <v>7378</v>
      </c>
      <c r="D56" s="188" t="s">
        <v>17627</v>
      </c>
      <c r="E56" s="153"/>
      <c r="F56" s="171"/>
      <c r="G56" s="150"/>
      <c r="H56" s="150"/>
      <c r="I56" s="151"/>
      <c r="J56" s="162" t="s">
        <v>5895</v>
      </c>
      <c r="K56" s="163" t="s">
        <v>1</v>
      </c>
      <c r="L56" s="164">
        <v>1</v>
      </c>
      <c r="M56" s="178">
        <v>979</v>
      </c>
      <c r="N56" s="172"/>
    </row>
    <row r="57" spans="1:14" ht="16.5" customHeight="1" x14ac:dyDescent="0.3">
      <c r="A57" s="147">
        <v>15</v>
      </c>
      <c r="B57" s="147">
        <v>3161</v>
      </c>
      <c r="C57" s="197" t="s">
        <v>7377</v>
      </c>
      <c r="D57" s="188" t="s">
        <v>17626</v>
      </c>
      <c r="E57" s="205">
        <v>979</v>
      </c>
      <c r="F57" s="171" t="s">
        <v>0</v>
      </c>
      <c r="G57" s="160" t="s">
        <v>17026</v>
      </c>
      <c r="H57" s="160"/>
      <c r="I57" s="161"/>
      <c r="J57" s="162"/>
      <c r="K57" s="163"/>
      <c r="L57" s="164"/>
      <c r="M57" s="178">
        <v>881</v>
      </c>
      <c r="N57" s="172"/>
    </row>
    <row r="58" spans="1:14" ht="16.5" customHeight="1" x14ac:dyDescent="0.3">
      <c r="A58" s="147">
        <v>15</v>
      </c>
      <c r="B58" s="147">
        <v>3162</v>
      </c>
      <c r="C58" s="197" t="s">
        <v>7376</v>
      </c>
      <c r="D58" s="167"/>
      <c r="E58" s="150"/>
      <c r="F58" s="168"/>
      <c r="G58" s="150" t="s">
        <v>17025</v>
      </c>
      <c r="H58" s="150" t="s">
        <v>1</v>
      </c>
      <c r="I58" s="151">
        <v>0.9</v>
      </c>
      <c r="J58" s="162" t="s">
        <v>5895</v>
      </c>
      <c r="K58" s="163" t="s">
        <v>1</v>
      </c>
      <c r="L58" s="164">
        <v>1</v>
      </c>
      <c r="M58" s="178">
        <v>881</v>
      </c>
      <c r="N58" s="172"/>
    </row>
    <row r="59" spans="1:14" ht="16.5" customHeight="1" x14ac:dyDescent="0.3">
      <c r="A59" s="147">
        <v>15</v>
      </c>
      <c r="B59" s="147">
        <v>3163</v>
      </c>
      <c r="C59" s="197" t="s">
        <v>7375</v>
      </c>
      <c r="D59" s="156" t="s">
        <v>17625</v>
      </c>
      <c r="E59" s="160"/>
      <c r="F59" s="158"/>
      <c r="G59" s="160"/>
      <c r="H59" s="160"/>
      <c r="I59" s="161"/>
      <c r="J59" s="162"/>
      <c r="K59" s="163"/>
      <c r="L59" s="164"/>
      <c r="M59" s="178">
        <v>1049</v>
      </c>
      <c r="N59" s="172"/>
    </row>
    <row r="60" spans="1:14" ht="16.5" customHeight="1" x14ac:dyDescent="0.3">
      <c r="A60" s="147">
        <v>15</v>
      </c>
      <c r="B60" s="147">
        <v>3164</v>
      </c>
      <c r="C60" s="197" t="s">
        <v>7374</v>
      </c>
      <c r="D60" s="188" t="s">
        <v>17624</v>
      </c>
      <c r="E60" s="153"/>
      <c r="F60" s="171"/>
      <c r="G60" s="150"/>
      <c r="H60" s="150"/>
      <c r="I60" s="151"/>
      <c r="J60" s="162" t="s">
        <v>5895</v>
      </c>
      <c r="K60" s="163" t="s">
        <v>1</v>
      </c>
      <c r="L60" s="164">
        <v>1</v>
      </c>
      <c r="M60" s="178">
        <v>1049</v>
      </c>
      <c r="N60" s="172"/>
    </row>
    <row r="61" spans="1:14" ht="16.5" customHeight="1" x14ac:dyDescent="0.3">
      <c r="A61" s="147">
        <v>15</v>
      </c>
      <c r="B61" s="147">
        <v>3165</v>
      </c>
      <c r="C61" s="197" t="s">
        <v>7373</v>
      </c>
      <c r="D61" s="188" t="s">
        <v>17623</v>
      </c>
      <c r="E61" s="205">
        <v>1049</v>
      </c>
      <c r="F61" s="171" t="s">
        <v>0</v>
      </c>
      <c r="G61" s="160" t="s">
        <v>17026</v>
      </c>
      <c r="H61" s="160"/>
      <c r="I61" s="161"/>
      <c r="J61" s="162"/>
      <c r="K61" s="163"/>
      <c r="L61" s="164"/>
      <c r="M61" s="178">
        <v>944</v>
      </c>
      <c r="N61" s="172"/>
    </row>
    <row r="62" spans="1:14" ht="16.5" customHeight="1" x14ac:dyDescent="0.3">
      <c r="A62" s="147">
        <v>15</v>
      </c>
      <c r="B62" s="147">
        <v>3166</v>
      </c>
      <c r="C62" s="197" t="s">
        <v>7372</v>
      </c>
      <c r="D62" s="167"/>
      <c r="E62" s="150"/>
      <c r="F62" s="168"/>
      <c r="G62" s="150" t="s">
        <v>17025</v>
      </c>
      <c r="H62" s="150" t="s">
        <v>1</v>
      </c>
      <c r="I62" s="151">
        <v>0.9</v>
      </c>
      <c r="J62" s="162" t="s">
        <v>5895</v>
      </c>
      <c r="K62" s="163" t="s">
        <v>1</v>
      </c>
      <c r="L62" s="164">
        <v>1</v>
      </c>
      <c r="M62" s="178">
        <v>944</v>
      </c>
      <c r="N62" s="172"/>
    </row>
    <row r="63" spans="1:14" ht="16.5" customHeight="1" x14ac:dyDescent="0.3">
      <c r="A63" s="147">
        <v>15</v>
      </c>
      <c r="B63" s="147">
        <v>3167</v>
      </c>
      <c r="C63" s="197" t="s">
        <v>7371</v>
      </c>
      <c r="D63" s="156" t="s">
        <v>17622</v>
      </c>
      <c r="E63" s="160"/>
      <c r="F63" s="158"/>
      <c r="G63" s="160"/>
      <c r="H63" s="160"/>
      <c r="I63" s="161"/>
      <c r="J63" s="162"/>
      <c r="K63" s="163"/>
      <c r="L63" s="164"/>
      <c r="M63" s="178">
        <v>1119</v>
      </c>
      <c r="N63" s="172"/>
    </row>
    <row r="64" spans="1:14" ht="16.5" customHeight="1" x14ac:dyDescent="0.3">
      <c r="A64" s="147">
        <v>15</v>
      </c>
      <c r="B64" s="147">
        <v>3168</v>
      </c>
      <c r="C64" s="197" t="s">
        <v>7370</v>
      </c>
      <c r="D64" s="188" t="s">
        <v>17621</v>
      </c>
      <c r="E64" s="153"/>
      <c r="F64" s="171"/>
      <c r="G64" s="150"/>
      <c r="H64" s="150"/>
      <c r="I64" s="151"/>
      <c r="J64" s="162" t="s">
        <v>5895</v>
      </c>
      <c r="K64" s="163" t="s">
        <v>1</v>
      </c>
      <c r="L64" s="164">
        <v>1</v>
      </c>
      <c r="M64" s="178">
        <v>1119</v>
      </c>
      <c r="N64" s="172"/>
    </row>
    <row r="65" spans="1:14" ht="16.5" customHeight="1" x14ac:dyDescent="0.3">
      <c r="A65" s="147">
        <v>15</v>
      </c>
      <c r="B65" s="147">
        <v>3169</v>
      </c>
      <c r="C65" s="197" t="s">
        <v>7369</v>
      </c>
      <c r="D65" s="188" t="s">
        <v>17620</v>
      </c>
      <c r="E65" s="205">
        <v>1119</v>
      </c>
      <c r="F65" s="171" t="s">
        <v>0</v>
      </c>
      <c r="G65" s="160" t="s">
        <v>17026</v>
      </c>
      <c r="H65" s="160"/>
      <c r="I65" s="161"/>
      <c r="J65" s="162"/>
      <c r="K65" s="163"/>
      <c r="L65" s="164"/>
      <c r="M65" s="178">
        <v>1007</v>
      </c>
      <c r="N65" s="172"/>
    </row>
    <row r="66" spans="1:14" ht="16.5" customHeight="1" x14ac:dyDescent="0.3">
      <c r="A66" s="147">
        <v>15</v>
      </c>
      <c r="B66" s="147">
        <v>3170</v>
      </c>
      <c r="C66" s="197" t="s">
        <v>7368</v>
      </c>
      <c r="D66" s="167"/>
      <c r="E66" s="150"/>
      <c r="F66" s="168"/>
      <c r="G66" s="150" t="s">
        <v>17025</v>
      </c>
      <c r="H66" s="150" t="s">
        <v>1</v>
      </c>
      <c r="I66" s="151">
        <v>0.9</v>
      </c>
      <c r="J66" s="162" t="s">
        <v>5895</v>
      </c>
      <c r="K66" s="163" t="s">
        <v>1</v>
      </c>
      <c r="L66" s="164">
        <v>1</v>
      </c>
      <c r="M66" s="178">
        <v>1007</v>
      </c>
      <c r="N66" s="172"/>
    </row>
    <row r="67" spans="1:14" ht="16.5" customHeight="1" x14ac:dyDescent="0.3">
      <c r="A67" s="147">
        <v>15</v>
      </c>
      <c r="B67" s="147">
        <v>3171</v>
      </c>
      <c r="C67" s="197" t="s">
        <v>7367</v>
      </c>
      <c r="D67" s="156" t="s">
        <v>17619</v>
      </c>
      <c r="E67" s="160"/>
      <c r="F67" s="158"/>
      <c r="G67" s="160"/>
      <c r="H67" s="160"/>
      <c r="I67" s="161"/>
      <c r="J67" s="162"/>
      <c r="K67" s="163"/>
      <c r="L67" s="164"/>
      <c r="M67" s="178">
        <v>1189</v>
      </c>
      <c r="N67" s="172"/>
    </row>
    <row r="68" spans="1:14" ht="16.5" customHeight="1" x14ac:dyDescent="0.3">
      <c r="A68" s="147">
        <v>15</v>
      </c>
      <c r="B68" s="147">
        <v>3172</v>
      </c>
      <c r="C68" s="197" t="s">
        <v>7366</v>
      </c>
      <c r="D68" s="188" t="s">
        <v>17618</v>
      </c>
      <c r="E68" s="153"/>
      <c r="F68" s="171"/>
      <c r="G68" s="150"/>
      <c r="H68" s="150"/>
      <c r="I68" s="151"/>
      <c r="J68" s="162" t="s">
        <v>5895</v>
      </c>
      <c r="K68" s="163" t="s">
        <v>1</v>
      </c>
      <c r="L68" s="164">
        <v>1</v>
      </c>
      <c r="M68" s="178">
        <v>1189</v>
      </c>
      <c r="N68" s="172"/>
    </row>
    <row r="69" spans="1:14" ht="16.5" customHeight="1" x14ac:dyDescent="0.3">
      <c r="A69" s="147">
        <v>15</v>
      </c>
      <c r="B69" s="147">
        <v>3173</v>
      </c>
      <c r="C69" s="197" t="s">
        <v>7365</v>
      </c>
      <c r="D69" s="188" t="s">
        <v>17617</v>
      </c>
      <c r="E69" s="205">
        <v>1189</v>
      </c>
      <c r="F69" s="171" t="s">
        <v>0</v>
      </c>
      <c r="G69" s="160" t="s">
        <v>17026</v>
      </c>
      <c r="H69" s="160"/>
      <c r="I69" s="161"/>
      <c r="J69" s="162"/>
      <c r="K69" s="163"/>
      <c r="L69" s="164"/>
      <c r="M69" s="178">
        <v>1070</v>
      </c>
      <c r="N69" s="172"/>
    </row>
    <row r="70" spans="1:14" ht="16.5" customHeight="1" x14ac:dyDescent="0.3">
      <c r="A70" s="147">
        <v>15</v>
      </c>
      <c r="B70" s="147">
        <v>3174</v>
      </c>
      <c r="C70" s="197" t="s">
        <v>7364</v>
      </c>
      <c r="D70" s="167"/>
      <c r="E70" s="150"/>
      <c r="F70" s="168"/>
      <c r="G70" s="150" t="s">
        <v>17025</v>
      </c>
      <c r="H70" s="150" t="s">
        <v>1</v>
      </c>
      <c r="I70" s="151">
        <v>0.9</v>
      </c>
      <c r="J70" s="162" t="s">
        <v>5895</v>
      </c>
      <c r="K70" s="163" t="s">
        <v>1</v>
      </c>
      <c r="L70" s="164">
        <v>1</v>
      </c>
      <c r="M70" s="178">
        <v>1070</v>
      </c>
      <c r="N70" s="172"/>
    </row>
    <row r="71" spans="1:14" ht="16.5" customHeight="1" x14ac:dyDescent="0.3">
      <c r="A71" s="147">
        <v>15</v>
      </c>
      <c r="B71" s="147">
        <v>3175</v>
      </c>
      <c r="C71" s="197" t="s">
        <v>7363</v>
      </c>
      <c r="D71" s="156" t="s">
        <v>17616</v>
      </c>
      <c r="E71" s="160"/>
      <c r="F71" s="158"/>
      <c r="G71" s="160"/>
      <c r="H71" s="160"/>
      <c r="I71" s="161"/>
      <c r="J71" s="162"/>
      <c r="K71" s="163"/>
      <c r="L71" s="164"/>
      <c r="M71" s="178">
        <v>1259</v>
      </c>
      <c r="N71" s="172"/>
    </row>
    <row r="72" spans="1:14" ht="16.5" customHeight="1" x14ac:dyDescent="0.3">
      <c r="A72" s="147">
        <v>15</v>
      </c>
      <c r="B72" s="147">
        <v>3176</v>
      </c>
      <c r="C72" s="197" t="s">
        <v>7362</v>
      </c>
      <c r="D72" s="188" t="s">
        <v>17615</v>
      </c>
      <c r="E72" s="153"/>
      <c r="F72" s="171"/>
      <c r="G72" s="150"/>
      <c r="H72" s="150"/>
      <c r="I72" s="151"/>
      <c r="J72" s="162" t="s">
        <v>5895</v>
      </c>
      <c r="K72" s="163" t="s">
        <v>1</v>
      </c>
      <c r="L72" s="164">
        <v>1</v>
      </c>
      <c r="M72" s="178">
        <v>1259</v>
      </c>
      <c r="N72" s="172"/>
    </row>
    <row r="73" spans="1:14" ht="16.5" customHeight="1" x14ac:dyDescent="0.3">
      <c r="A73" s="147">
        <v>15</v>
      </c>
      <c r="B73" s="147">
        <v>3177</v>
      </c>
      <c r="C73" s="197" t="s">
        <v>7361</v>
      </c>
      <c r="D73" s="188" t="s">
        <v>17614</v>
      </c>
      <c r="E73" s="205">
        <v>1259</v>
      </c>
      <c r="F73" s="171" t="s">
        <v>0</v>
      </c>
      <c r="G73" s="160" t="s">
        <v>17026</v>
      </c>
      <c r="H73" s="160"/>
      <c r="I73" s="161"/>
      <c r="J73" s="162"/>
      <c r="K73" s="163"/>
      <c r="L73" s="164"/>
      <c r="M73" s="178">
        <v>1133</v>
      </c>
      <c r="N73" s="172"/>
    </row>
    <row r="74" spans="1:14" ht="16.5" customHeight="1" x14ac:dyDescent="0.3">
      <c r="A74" s="147">
        <v>15</v>
      </c>
      <c r="B74" s="147">
        <v>3178</v>
      </c>
      <c r="C74" s="197" t="s">
        <v>7360</v>
      </c>
      <c r="D74" s="167"/>
      <c r="E74" s="150"/>
      <c r="F74" s="168"/>
      <c r="G74" s="150" t="s">
        <v>17025</v>
      </c>
      <c r="H74" s="150" t="s">
        <v>1</v>
      </c>
      <c r="I74" s="151">
        <v>0.9</v>
      </c>
      <c r="J74" s="162" t="s">
        <v>5895</v>
      </c>
      <c r="K74" s="163" t="s">
        <v>1</v>
      </c>
      <c r="L74" s="164">
        <v>1</v>
      </c>
      <c r="M74" s="178">
        <v>1133</v>
      </c>
      <c r="N74" s="172"/>
    </row>
    <row r="75" spans="1:14" ht="16.5" customHeight="1" x14ac:dyDescent="0.3">
      <c r="A75" s="147">
        <v>15</v>
      </c>
      <c r="B75" s="147">
        <v>3179</v>
      </c>
      <c r="C75" s="197" t="s">
        <v>7359</v>
      </c>
      <c r="D75" s="156" t="s">
        <v>17613</v>
      </c>
      <c r="E75" s="160"/>
      <c r="F75" s="158"/>
      <c r="G75" s="160"/>
      <c r="H75" s="160"/>
      <c r="I75" s="161"/>
      <c r="J75" s="162"/>
      <c r="K75" s="163"/>
      <c r="L75" s="164"/>
      <c r="M75" s="178">
        <v>1329</v>
      </c>
      <c r="N75" s="172"/>
    </row>
    <row r="76" spans="1:14" ht="16.5" customHeight="1" x14ac:dyDescent="0.3">
      <c r="A76" s="147">
        <v>15</v>
      </c>
      <c r="B76" s="147">
        <v>3180</v>
      </c>
      <c r="C76" s="197" t="s">
        <v>7358</v>
      </c>
      <c r="D76" s="188" t="s">
        <v>17612</v>
      </c>
      <c r="E76" s="153"/>
      <c r="F76" s="171"/>
      <c r="G76" s="150"/>
      <c r="H76" s="150"/>
      <c r="I76" s="151"/>
      <c r="J76" s="162" t="s">
        <v>5895</v>
      </c>
      <c r="K76" s="163" t="s">
        <v>1</v>
      </c>
      <c r="L76" s="164">
        <v>1</v>
      </c>
      <c r="M76" s="178">
        <v>1329</v>
      </c>
      <c r="N76" s="172"/>
    </row>
    <row r="77" spans="1:14" ht="16.5" customHeight="1" x14ac:dyDescent="0.3">
      <c r="A77" s="147">
        <v>15</v>
      </c>
      <c r="B77" s="147">
        <v>3181</v>
      </c>
      <c r="C77" s="197" t="s">
        <v>7357</v>
      </c>
      <c r="D77" s="188" t="s">
        <v>17611</v>
      </c>
      <c r="E77" s="205">
        <v>1329</v>
      </c>
      <c r="F77" s="171" t="s">
        <v>0</v>
      </c>
      <c r="G77" s="160" t="s">
        <v>17026</v>
      </c>
      <c r="H77" s="160"/>
      <c r="I77" s="161"/>
      <c r="J77" s="162"/>
      <c r="K77" s="163"/>
      <c r="L77" s="164"/>
      <c r="M77" s="178">
        <v>1196</v>
      </c>
      <c r="N77" s="172"/>
    </row>
    <row r="78" spans="1:14" ht="16.5" customHeight="1" x14ac:dyDescent="0.3">
      <c r="A78" s="147">
        <v>15</v>
      </c>
      <c r="B78" s="147">
        <v>3182</v>
      </c>
      <c r="C78" s="197" t="s">
        <v>7356</v>
      </c>
      <c r="D78" s="167"/>
      <c r="E78" s="150"/>
      <c r="F78" s="168"/>
      <c r="G78" s="150" t="s">
        <v>17025</v>
      </c>
      <c r="H78" s="150" t="s">
        <v>1</v>
      </c>
      <c r="I78" s="151">
        <v>0.9</v>
      </c>
      <c r="J78" s="162" t="s">
        <v>5895</v>
      </c>
      <c r="K78" s="163" t="s">
        <v>1</v>
      </c>
      <c r="L78" s="164">
        <v>1</v>
      </c>
      <c r="M78" s="178">
        <v>1196</v>
      </c>
      <c r="N78" s="172"/>
    </row>
    <row r="79" spans="1:14" ht="16.5" customHeight="1" x14ac:dyDescent="0.3">
      <c r="A79" s="147">
        <v>15</v>
      </c>
      <c r="B79" s="147">
        <v>3183</v>
      </c>
      <c r="C79" s="197" t="s">
        <v>7355</v>
      </c>
      <c r="D79" s="156" t="s">
        <v>17610</v>
      </c>
      <c r="E79" s="160"/>
      <c r="F79" s="158"/>
      <c r="G79" s="160"/>
      <c r="H79" s="160"/>
      <c r="I79" s="161"/>
      <c r="J79" s="162"/>
      <c r="K79" s="163"/>
      <c r="L79" s="164"/>
      <c r="M79" s="178">
        <v>1399</v>
      </c>
      <c r="N79" s="172"/>
    </row>
    <row r="80" spans="1:14" ht="16.5" customHeight="1" x14ac:dyDescent="0.3">
      <c r="A80" s="147">
        <v>15</v>
      </c>
      <c r="B80" s="147">
        <v>3184</v>
      </c>
      <c r="C80" s="197" t="s">
        <v>7354</v>
      </c>
      <c r="D80" s="188" t="s">
        <v>17609</v>
      </c>
      <c r="E80" s="153"/>
      <c r="F80" s="171"/>
      <c r="G80" s="150"/>
      <c r="H80" s="150"/>
      <c r="I80" s="151"/>
      <c r="J80" s="162" t="s">
        <v>5895</v>
      </c>
      <c r="K80" s="163" t="s">
        <v>1</v>
      </c>
      <c r="L80" s="164">
        <v>1</v>
      </c>
      <c r="M80" s="178">
        <v>1399</v>
      </c>
      <c r="N80" s="172"/>
    </row>
    <row r="81" spans="1:14" ht="16.5" customHeight="1" x14ac:dyDescent="0.3">
      <c r="A81" s="147">
        <v>15</v>
      </c>
      <c r="B81" s="147">
        <v>3185</v>
      </c>
      <c r="C81" s="197" t="s">
        <v>7353</v>
      </c>
      <c r="D81" s="188" t="s">
        <v>17608</v>
      </c>
      <c r="E81" s="205">
        <v>1399</v>
      </c>
      <c r="F81" s="171" t="s">
        <v>0</v>
      </c>
      <c r="G81" s="160" t="s">
        <v>17026</v>
      </c>
      <c r="H81" s="160"/>
      <c r="I81" s="161"/>
      <c r="J81" s="162"/>
      <c r="K81" s="163"/>
      <c r="L81" s="164"/>
      <c r="M81" s="178">
        <v>1259</v>
      </c>
      <c r="N81" s="172"/>
    </row>
    <row r="82" spans="1:14" ht="16.5" customHeight="1" x14ac:dyDescent="0.3">
      <c r="A82" s="147">
        <v>15</v>
      </c>
      <c r="B82" s="147">
        <v>3186</v>
      </c>
      <c r="C82" s="197" t="s">
        <v>7352</v>
      </c>
      <c r="D82" s="167"/>
      <c r="E82" s="150"/>
      <c r="F82" s="168"/>
      <c r="G82" s="150" t="s">
        <v>17025</v>
      </c>
      <c r="H82" s="150" t="s">
        <v>1</v>
      </c>
      <c r="I82" s="151">
        <v>0.9</v>
      </c>
      <c r="J82" s="162" t="s">
        <v>5895</v>
      </c>
      <c r="K82" s="163" t="s">
        <v>1</v>
      </c>
      <c r="L82" s="164">
        <v>1</v>
      </c>
      <c r="M82" s="178">
        <v>1259</v>
      </c>
      <c r="N82" s="172"/>
    </row>
    <row r="83" spans="1:14" ht="16.5" customHeight="1" x14ac:dyDescent="0.3">
      <c r="A83" s="147">
        <v>15</v>
      </c>
      <c r="B83" s="147">
        <v>3187</v>
      </c>
      <c r="C83" s="197" t="s">
        <v>7351</v>
      </c>
      <c r="D83" s="156" t="s">
        <v>17607</v>
      </c>
      <c r="E83" s="160"/>
      <c r="F83" s="158"/>
      <c r="G83" s="160"/>
      <c r="H83" s="160"/>
      <c r="I83" s="161"/>
      <c r="J83" s="162"/>
      <c r="K83" s="163"/>
      <c r="L83" s="164"/>
      <c r="M83" s="178">
        <v>1469</v>
      </c>
      <c r="N83" s="172"/>
    </row>
    <row r="84" spans="1:14" ht="16.5" customHeight="1" x14ac:dyDescent="0.3">
      <c r="A84" s="147">
        <v>15</v>
      </c>
      <c r="B84" s="147">
        <v>3188</v>
      </c>
      <c r="C84" s="197" t="s">
        <v>7350</v>
      </c>
      <c r="D84" s="188" t="s">
        <v>17606</v>
      </c>
      <c r="E84" s="153"/>
      <c r="F84" s="171"/>
      <c r="G84" s="150"/>
      <c r="H84" s="150"/>
      <c r="I84" s="151"/>
      <c r="J84" s="162" t="s">
        <v>5895</v>
      </c>
      <c r="K84" s="163" t="s">
        <v>1</v>
      </c>
      <c r="L84" s="164">
        <v>1</v>
      </c>
      <c r="M84" s="178">
        <v>1469</v>
      </c>
      <c r="N84" s="172"/>
    </row>
    <row r="85" spans="1:14" ht="16.5" customHeight="1" x14ac:dyDescent="0.3">
      <c r="A85" s="147">
        <v>15</v>
      </c>
      <c r="B85" s="147">
        <v>3189</v>
      </c>
      <c r="C85" s="197" t="s">
        <v>7349</v>
      </c>
      <c r="D85" s="188" t="s">
        <v>17605</v>
      </c>
      <c r="E85" s="205">
        <v>1469</v>
      </c>
      <c r="F85" s="171" t="s">
        <v>0</v>
      </c>
      <c r="G85" s="160" t="s">
        <v>17026</v>
      </c>
      <c r="H85" s="160"/>
      <c r="I85" s="161"/>
      <c r="J85" s="162"/>
      <c r="K85" s="163"/>
      <c r="L85" s="164"/>
      <c r="M85" s="178">
        <v>1322</v>
      </c>
      <c r="N85" s="172"/>
    </row>
    <row r="86" spans="1:14" ht="16.5" customHeight="1" x14ac:dyDescent="0.3">
      <c r="A86" s="147">
        <v>15</v>
      </c>
      <c r="B86" s="147">
        <v>3190</v>
      </c>
      <c r="C86" s="197" t="s">
        <v>7348</v>
      </c>
      <c r="D86" s="167"/>
      <c r="E86" s="150"/>
      <c r="F86" s="168"/>
      <c r="G86" s="150" t="s">
        <v>17025</v>
      </c>
      <c r="H86" s="150" t="s">
        <v>1</v>
      </c>
      <c r="I86" s="151">
        <v>0.9</v>
      </c>
      <c r="J86" s="162" t="s">
        <v>5895</v>
      </c>
      <c r="K86" s="163" t="s">
        <v>1</v>
      </c>
      <c r="L86" s="164">
        <v>1</v>
      </c>
      <c r="M86" s="178">
        <v>1322</v>
      </c>
      <c r="N86" s="172"/>
    </row>
    <row r="87" spans="1:14" ht="16.5" customHeight="1" x14ac:dyDescent="0.3">
      <c r="A87" s="147">
        <v>15</v>
      </c>
      <c r="B87" s="147">
        <v>3191</v>
      </c>
      <c r="C87" s="197" t="s">
        <v>7347</v>
      </c>
      <c r="D87" s="156" t="s">
        <v>17604</v>
      </c>
      <c r="E87" s="160"/>
      <c r="F87" s="158"/>
      <c r="G87" s="160"/>
      <c r="H87" s="160"/>
      <c r="I87" s="161"/>
      <c r="J87" s="162"/>
      <c r="K87" s="163"/>
      <c r="L87" s="164"/>
      <c r="M87" s="178">
        <v>1539</v>
      </c>
      <c r="N87" s="172"/>
    </row>
    <row r="88" spans="1:14" ht="16.5" customHeight="1" x14ac:dyDescent="0.3">
      <c r="A88" s="147">
        <v>15</v>
      </c>
      <c r="B88" s="147">
        <v>3192</v>
      </c>
      <c r="C88" s="197" t="s">
        <v>7346</v>
      </c>
      <c r="D88" s="188" t="s">
        <v>17603</v>
      </c>
      <c r="E88" s="153"/>
      <c r="F88" s="171"/>
      <c r="G88" s="150"/>
      <c r="H88" s="150"/>
      <c r="I88" s="151"/>
      <c r="J88" s="162" t="s">
        <v>5895</v>
      </c>
      <c r="K88" s="163" t="s">
        <v>1</v>
      </c>
      <c r="L88" s="164">
        <v>1</v>
      </c>
      <c r="M88" s="178">
        <v>1539</v>
      </c>
      <c r="N88" s="172"/>
    </row>
    <row r="89" spans="1:14" ht="16.5" customHeight="1" x14ac:dyDescent="0.3">
      <c r="A89" s="147">
        <v>15</v>
      </c>
      <c r="B89" s="147">
        <v>3193</v>
      </c>
      <c r="C89" s="197" t="s">
        <v>7345</v>
      </c>
      <c r="D89" s="188" t="s">
        <v>17602</v>
      </c>
      <c r="E89" s="205">
        <v>1539</v>
      </c>
      <c r="F89" s="171" t="s">
        <v>0</v>
      </c>
      <c r="G89" s="160" t="s">
        <v>17026</v>
      </c>
      <c r="H89" s="160"/>
      <c r="I89" s="161"/>
      <c r="J89" s="162"/>
      <c r="K89" s="163"/>
      <c r="L89" s="164"/>
      <c r="M89" s="178">
        <v>1385</v>
      </c>
      <c r="N89" s="172"/>
    </row>
    <row r="90" spans="1:14" ht="16.5" customHeight="1" x14ac:dyDescent="0.3">
      <c r="A90" s="147">
        <v>15</v>
      </c>
      <c r="B90" s="147">
        <v>3194</v>
      </c>
      <c r="C90" s="197" t="s">
        <v>7344</v>
      </c>
      <c r="D90" s="167"/>
      <c r="E90" s="150"/>
      <c r="F90" s="168"/>
      <c r="G90" s="150" t="s">
        <v>17025</v>
      </c>
      <c r="H90" s="150" t="s">
        <v>1</v>
      </c>
      <c r="I90" s="151">
        <v>0.9</v>
      </c>
      <c r="J90" s="162" t="s">
        <v>5895</v>
      </c>
      <c r="K90" s="163" t="s">
        <v>1</v>
      </c>
      <c r="L90" s="164">
        <v>1</v>
      </c>
      <c r="M90" s="178">
        <v>1385</v>
      </c>
      <c r="N90" s="177"/>
    </row>
    <row r="91" spans="1:1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8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theme="1" tint="0.249977111117893"/>
    <pageSetUpPr fitToPage="1"/>
  </sheetPr>
  <dimension ref="A1:P69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7486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3195</v>
      </c>
      <c r="C7" s="197" t="s">
        <v>7485</v>
      </c>
      <c r="D7" s="156" t="s">
        <v>17680</v>
      </c>
      <c r="E7" s="144"/>
      <c r="F7" s="206"/>
      <c r="G7" s="160"/>
      <c r="H7" s="160"/>
      <c r="I7" s="161"/>
      <c r="J7" s="162"/>
      <c r="K7" s="163"/>
      <c r="L7" s="164"/>
      <c r="M7" s="165"/>
      <c r="N7" s="158"/>
      <c r="O7" s="178">
        <v>131</v>
      </c>
      <c r="P7" s="142" t="s">
        <v>5863</v>
      </c>
    </row>
    <row r="8" spans="1:16" ht="16.5" customHeight="1" x14ac:dyDescent="0.3">
      <c r="A8" s="147">
        <v>15</v>
      </c>
      <c r="B8" s="147">
        <v>3196</v>
      </c>
      <c r="C8" s="197" t="s">
        <v>7484</v>
      </c>
      <c r="D8" s="188" t="s">
        <v>17426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178">
        <v>131</v>
      </c>
      <c r="P8" s="172"/>
    </row>
    <row r="9" spans="1:16" ht="16.5" customHeight="1" x14ac:dyDescent="0.3">
      <c r="A9" s="147">
        <v>15</v>
      </c>
      <c r="B9" s="147">
        <v>3197</v>
      </c>
      <c r="C9" s="197" t="s">
        <v>7483</v>
      </c>
      <c r="D9" s="188"/>
      <c r="E9" s="205">
        <v>105</v>
      </c>
      <c r="F9" s="171" t="s">
        <v>0</v>
      </c>
      <c r="G9" s="160" t="s">
        <v>17655</v>
      </c>
      <c r="H9" s="160"/>
      <c r="I9" s="161"/>
      <c r="J9" s="162"/>
      <c r="K9" s="163"/>
      <c r="L9" s="164"/>
      <c r="M9" s="170"/>
      <c r="N9" s="171"/>
      <c r="O9" s="178">
        <v>119</v>
      </c>
      <c r="P9" s="172"/>
    </row>
    <row r="10" spans="1:16" ht="16.5" customHeight="1" x14ac:dyDescent="0.3">
      <c r="A10" s="147">
        <v>15</v>
      </c>
      <c r="B10" s="147">
        <v>3198</v>
      </c>
      <c r="C10" s="197" t="s">
        <v>7482</v>
      </c>
      <c r="D10" s="167"/>
      <c r="E10" s="150"/>
      <c r="F10" s="168"/>
      <c r="G10" s="150" t="s">
        <v>17446</v>
      </c>
      <c r="H10" s="150" t="s">
        <v>1</v>
      </c>
      <c r="I10" s="151">
        <v>0.9</v>
      </c>
      <c r="J10" s="162" t="s">
        <v>5895</v>
      </c>
      <c r="K10" s="163" t="s">
        <v>1</v>
      </c>
      <c r="L10" s="164">
        <v>1</v>
      </c>
      <c r="M10" s="170"/>
      <c r="N10" s="171"/>
      <c r="O10" s="178">
        <v>119</v>
      </c>
      <c r="P10" s="172"/>
    </row>
    <row r="11" spans="1:16" ht="16.5" customHeight="1" x14ac:dyDescent="0.3">
      <c r="A11" s="147">
        <v>15</v>
      </c>
      <c r="B11" s="147">
        <v>3199</v>
      </c>
      <c r="C11" s="197" t="s">
        <v>7481</v>
      </c>
      <c r="D11" s="156" t="s">
        <v>17679</v>
      </c>
      <c r="E11" s="160"/>
      <c r="F11" s="158"/>
      <c r="G11" s="160"/>
      <c r="H11" s="160"/>
      <c r="I11" s="161"/>
      <c r="J11" s="162"/>
      <c r="K11" s="163"/>
      <c r="L11" s="164"/>
      <c r="M11" s="170"/>
      <c r="N11" s="171"/>
      <c r="O11" s="178">
        <v>250</v>
      </c>
      <c r="P11" s="172"/>
    </row>
    <row r="12" spans="1:16" ht="16.5" customHeight="1" x14ac:dyDescent="0.3">
      <c r="A12" s="147">
        <v>15</v>
      </c>
      <c r="B12" s="147">
        <v>3200</v>
      </c>
      <c r="C12" s="197" t="s">
        <v>7480</v>
      </c>
      <c r="D12" s="188" t="s">
        <v>17441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0" t="s">
        <v>17678</v>
      </c>
      <c r="N12" s="171"/>
      <c r="O12" s="178">
        <v>250</v>
      </c>
      <c r="P12" s="172"/>
    </row>
    <row r="13" spans="1:16" ht="16.5" customHeight="1" x14ac:dyDescent="0.3">
      <c r="A13" s="147">
        <v>15</v>
      </c>
      <c r="B13" s="147">
        <v>3201</v>
      </c>
      <c r="C13" s="197" t="s">
        <v>7479</v>
      </c>
      <c r="D13" s="188" t="s">
        <v>17440</v>
      </c>
      <c r="E13" s="205">
        <v>200</v>
      </c>
      <c r="F13" s="171" t="s">
        <v>0</v>
      </c>
      <c r="G13" s="160" t="s">
        <v>17655</v>
      </c>
      <c r="H13" s="160"/>
      <c r="I13" s="161"/>
      <c r="J13" s="162"/>
      <c r="K13" s="163"/>
      <c r="L13" s="164"/>
      <c r="M13" s="170"/>
      <c r="N13" s="174" t="s">
        <v>17597</v>
      </c>
      <c r="O13" s="178">
        <v>225</v>
      </c>
      <c r="P13" s="172"/>
    </row>
    <row r="14" spans="1:16" ht="16.5" customHeight="1" x14ac:dyDescent="0.3">
      <c r="A14" s="147">
        <v>15</v>
      </c>
      <c r="B14" s="147">
        <v>3202</v>
      </c>
      <c r="C14" s="197" t="s">
        <v>7478</v>
      </c>
      <c r="D14" s="167"/>
      <c r="E14" s="150"/>
      <c r="F14" s="168"/>
      <c r="G14" s="150" t="s">
        <v>17446</v>
      </c>
      <c r="H14" s="150" t="s">
        <v>1</v>
      </c>
      <c r="I14" s="151">
        <v>0.9</v>
      </c>
      <c r="J14" s="162" t="s">
        <v>5895</v>
      </c>
      <c r="K14" s="163" t="s">
        <v>1</v>
      </c>
      <c r="L14" s="164">
        <v>1</v>
      </c>
      <c r="M14" s="170"/>
      <c r="N14" s="171"/>
      <c r="O14" s="178">
        <v>225</v>
      </c>
      <c r="P14" s="172"/>
    </row>
    <row r="15" spans="1:16" ht="16.5" customHeight="1" x14ac:dyDescent="0.3">
      <c r="A15" s="147">
        <v>15</v>
      </c>
      <c r="B15" s="147">
        <v>3203</v>
      </c>
      <c r="C15" s="197" t="s">
        <v>7477</v>
      </c>
      <c r="D15" s="156" t="s">
        <v>17677</v>
      </c>
      <c r="E15" s="160"/>
      <c r="F15" s="158"/>
      <c r="G15" s="160"/>
      <c r="H15" s="160"/>
      <c r="I15" s="161"/>
      <c r="J15" s="162"/>
      <c r="K15" s="163"/>
      <c r="L15" s="164"/>
      <c r="M15" s="170" t="s">
        <v>1</v>
      </c>
      <c r="N15" s="192">
        <v>0.25</v>
      </c>
      <c r="O15" s="178">
        <v>349</v>
      </c>
      <c r="P15" s="172"/>
    </row>
    <row r="16" spans="1:16" ht="16.5" customHeight="1" x14ac:dyDescent="0.3">
      <c r="A16" s="147">
        <v>15</v>
      </c>
      <c r="B16" s="147">
        <v>3204</v>
      </c>
      <c r="C16" s="197" t="s">
        <v>7476</v>
      </c>
      <c r="D16" s="188" t="s">
        <v>17436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17443</v>
      </c>
      <c r="O16" s="178">
        <v>349</v>
      </c>
      <c r="P16" s="172"/>
    </row>
    <row r="17" spans="1:16" ht="16.5" customHeight="1" x14ac:dyDescent="0.3">
      <c r="A17" s="147">
        <v>15</v>
      </c>
      <c r="B17" s="147">
        <v>3205</v>
      </c>
      <c r="C17" s="197" t="s">
        <v>7475</v>
      </c>
      <c r="D17" s="188" t="s">
        <v>17435</v>
      </c>
      <c r="E17" s="205">
        <v>279</v>
      </c>
      <c r="F17" s="171" t="s">
        <v>0</v>
      </c>
      <c r="G17" s="160" t="s">
        <v>17655</v>
      </c>
      <c r="H17" s="160"/>
      <c r="I17" s="161"/>
      <c r="J17" s="162"/>
      <c r="K17" s="163"/>
      <c r="L17" s="164"/>
      <c r="M17" s="170"/>
      <c r="N17" s="171"/>
      <c r="O17" s="178">
        <v>314</v>
      </c>
      <c r="P17" s="172"/>
    </row>
    <row r="18" spans="1:16" ht="16.5" customHeight="1" x14ac:dyDescent="0.3">
      <c r="A18" s="147">
        <v>15</v>
      </c>
      <c r="B18" s="147">
        <v>3206</v>
      </c>
      <c r="C18" s="197" t="s">
        <v>7474</v>
      </c>
      <c r="D18" s="167"/>
      <c r="E18" s="150"/>
      <c r="F18" s="168"/>
      <c r="G18" s="150" t="s">
        <v>17446</v>
      </c>
      <c r="H18" s="150" t="s">
        <v>1</v>
      </c>
      <c r="I18" s="151">
        <v>0.9</v>
      </c>
      <c r="J18" s="162" t="s">
        <v>5895</v>
      </c>
      <c r="K18" s="163" t="s">
        <v>1</v>
      </c>
      <c r="L18" s="164">
        <v>1</v>
      </c>
      <c r="M18" s="170"/>
      <c r="N18" s="171"/>
      <c r="O18" s="178">
        <v>314</v>
      </c>
      <c r="P18" s="172"/>
    </row>
    <row r="19" spans="1:16" ht="16.5" customHeight="1" x14ac:dyDescent="0.3">
      <c r="A19" s="147">
        <v>15</v>
      </c>
      <c r="B19" s="147">
        <v>3207</v>
      </c>
      <c r="C19" s="197" t="s">
        <v>7473</v>
      </c>
      <c r="D19" s="156" t="s">
        <v>16906</v>
      </c>
      <c r="E19" s="160"/>
      <c r="F19" s="158"/>
      <c r="G19" s="160"/>
      <c r="H19" s="160"/>
      <c r="I19" s="161"/>
      <c r="J19" s="162"/>
      <c r="K19" s="163"/>
      <c r="L19" s="164"/>
      <c r="M19" s="170"/>
      <c r="N19" s="171"/>
      <c r="O19" s="178">
        <v>436</v>
      </c>
      <c r="P19" s="172"/>
    </row>
    <row r="20" spans="1:16" ht="16.5" customHeight="1" x14ac:dyDescent="0.3">
      <c r="A20" s="147">
        <v>15</v>
      </c>
      <c r="B20" s="147">
        <v>3208</v>
      </c>
      <c r="C20" s="197" t="s">
        <v>7472</v>
      </c>
      <c r="D20" s="188" t="s">
        <v>17431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178">
        <v>436</v>
      </c>
      <c r="P20" s="172"/>
    </row>
    <row r="21" spans="1:16" ht="16.5" customHeight="1" x14ac:dyDescent="0.3">
      <c r="A21" s="147">
        <v>15</v>
      </c>
      <c r="B21" s="147">
        <v>3209</v>
      </c>
      <c r="C21" s="197" t="s">
        <v>7471</v>
      </c>
      <c r="D21" s="188" t="s">
        <v>17430</v>
      </c>
      <c r="E21" s="205">
        <v>349</v>
      </c>
      <c r="F21" s="171" t="s">
        <v>0</v>
      </c>
      <c r="G21" s="160" t="s">
        <v>17655</v>
      </c>
      <c r="H21" s="160"/>
      <c r="I21" s="161"/>
      <c r="J21" s="162"/>
      <c r="K21" s="163"/>
      <c r="L21" s="164"/>
      <c r="M21" s="170"/>
      <c r="N21" s="171"/>
      <c r="O21" s="178">
        <v>393</v>
      </c>
      <c r="P21" s="172"/>
    </row>
    <row r="22" spans="1:16" ht="16.5" customHeight="1" x14ac:dyDescent="0.3">
      <c r="A22" s="147">
        <v>15</v>
      </c>
      <c r="B22" s="147">
        <v>3210</v>
      </c>
      <c r="C22" s="197" t="s">
        <v>7470</v>
      </c>
      <c r="D22" s="167"/>
      <c r="E22" s="150"/>
      <c r="F22" s="168"/>
      <c r="G22" s="150" t="s">
        <v>17446</v>
      </c>
      <c r="H22" s="150" t="s">
        <v>1</v>
      </c>
      <c r="I22" s="151">
        <v>0.9</v>
      </c>
      <c r="J22" s="162" t="s">
        <v>5895</v>
      </c>
      <c r="K22" s="163" t="s">
        <v>1</v>
      </c>
      <c r="L22" s="164">
        <v>1</v>
      </c>
      <c r="M22" s="170"/>
      <c r="N22" s="171"/>
      <c r="O22" s="178">
        <v>393</v>
      </c>
      <c r="P22" s="172"/>
    </row>
    <row r="23" spans="1:16" ht="16.5" customHeight="1" x14ac:dyDescent="0.3">
      <c r="A23" s="147">
        <v>15</v>
      </c>
      <c r="B23" s="147">
        <v>3211</v>
      </c>
      <c r="C23" s="197" t="s">
        <v>7469</v>
      </c>
      <c r="D23" s="156" t="s">
        <v>17676</v>
      </c>
      <c r="E23" s="160"/>
      <c r="F23" s="158"/>
      <c r="G23" s="160"/>
      <c r="H23" s="160"/>
      <c r="I23" s="161"/>
      <c r="J23" s="162"/>
      <c r="K23" s="163"/>
      <c r="L23" s="164"/>
      <c r="M23" s="170"/>
      <c r="N23" s="171"/>
      <c r="O23" s="178">
        <v>524</v>
      </c>
      <c r="P23" s="172"/>
    </row>
    <row r="24" spans="1:16" ht="16.5" customHeight="1" x14ac:dyDescent="0.3">
      <c r="A24" s="147">
        <v>15</v>
      </c>
      <c r="B24" s="147">
        <v>3212</v>
      </c>
      <c r="C24" s="197" t="s">
        <v>7468</v>
      </c>
      <c r="D24" s="188" t="s">
        <v>17669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178">
        <v>524</v>
      </c>
      <c r="P24" s="172"/>
    </row>
    <row r="25" spans="1:16" ht="16.5" customHeight="1" x14ac:dyDescent="0.3">
      <c r="A25" s="147">
        <v>15</v>
      </c>
      <c r="B25" s="147">
        <v>3213</v>
      </c>
      <c r="C25" s="197" t="s">
        <v>7467</v>
      </c>
      <c r="D25" s="188" t="s">
        <v>17668</v>
      </c>
      <c r="E25" s="205">
        <v>419</v>
      </c>
      <c r="F25" s="171" t="s">
        <v>0</v>
      </c>
      <c r="G25" s="160" t="s">
        <v>17655</v>
      </c>
      <c r="H25" s="160"/>
      <c r="I25" s="161"/>
      <c r="J25" s="162"/>
      <c r="K25" s="163"/>
      <c r="L25" s="164"/>
      <c r="M25" s="170"/>
      <c r="N25" s="171"/>
      <c r="O25" s="178">
        <v>471</v>
      </c>
      <c r="P25" s="172"/>
    </row>
    <row r="26" spans="1:16" ht="16.5" customHeight="1" x14ac:dyDescent="0.3">
      <c r="A26" s="147">
        <v>15</v>
      </c>
      <c r="B26" s="147">
        <v>3214</v>
      </c>
      <c r="C26" s="197" t="s">
        <v>7466</v>
      </c>
      <c r="D26" s="167"/>
      <c r="E26" s="150"/>
      <c r="F26" s="168"/>
      <c r="G26" s="150" t="s">
        <v>17446</v>
      </c>
      <c r="H26" s="150" t="s">
        <v>1</v>
      </c>
      <c r="I26" s="151">
        <v>0.9</v>
      </c>
      <c r="J26" s="162" t="s">
        <v>5895</v>
      </c>
      <c r="K26" s="163" t="s">
        <v>1</v>
      </c>
      <c r="L26" s="164">
        <v>1</v>
      </c>
      <c r="M26" s="176"/>
      <c r="N26" s="168"/>
      <c r="O26" s="178">
        <v>471</v>
      </c>
      <c r="P26" s="177"/>
    </row>
    <row r="27" spans="1:16" ht="16.5" customHeight="1" x14ac:dyDescent="0.3">
      <c r="A27" s="132"/>
      <c r="B27" s="132"/>
      <c r="C27" s="133"/>
      <c r="D27" s="133"/>
      <c r="E27" s="134"/>
      <c r="F27" s="134"/>
      <c r="G27" s="134"/>
      <c r="H27" s="134"/>
      <c r="I27" s="135"/>
      <c r="J27" s="134"/>
      <c r="K27" s="134"/>
      <c r="L27" s="135"/>
      <c r="M27" s="135"/>
      <c r="N27" s="134"/>
      <c r="O27" s="136"/>
      <c r="P27" s="137"/>
    </row>
    <row r="28" spans="1:16" ht="16.5" customHeight="1" x14ac:dyDescent="0.3">
      <c r="A28" s="132"/>
      <c r="B28" s="132"/>
      <c r="C28" s="133"/>
      <c r="D28" s="133"/>
      <c r="E28" s="134"/>
      <c r="F28" s="134"/>
      <c r="G28" s="134"/>
      <c r="H28" s="134"/>
      <c r="I28" s="135"/>
      <c r="J28" s="134"/>
      <c r="K28" s="134"/>
      <c r="L28" s="135"/>
      <c r="M28" s="135"/>
      <c r="N28" s="134"/>
      <c r="O28" s="136"/>
      <c r="P28" s="137"/>
    </row>
    <row r="29" spans="1:16" ht="16.5" customHeight="1" x14ac:dyDescent="0.3">
      <c r="A29" s="132"/>
      <c r="B29" s="138" t="s">
        <v>7465</v>
      </c>
      <c r="C29" s="133"/>
      <c r="D29" s="139"/>
      <c r="E29" s="134"/>
      <c r="F29" s="134"/>
      <c r="G29" s="134"/>
      <c r="H29" s="134"/>
      <c r="I29" s="135"/>
      <c r="J29" s="134"/>
      <c r="K29" s="134"/>
      <c r="L29" s="135"/>
      <c r="M29" s="135"/>
      <c r="N29" s="134"/>
      <c r="O29" s="136"/>
      <c r="P29" s="137"/>
    </row>
    <row r="30" spans="1:16" ht="16.5" customHeight="1" x14ac:dyDescent="0.3">
      <c r="A30" s="140" t="s">
        <v>5864</v>
      </c>
      <c r="B30" s="141"/>
      <c r="C30" s="142" t="s">
        <v>5867</v>
      </c>
      <c r="D30" s="143" t="s">
        <v>5868</v>
      </c>
      <c r="E30" s="144"/>
      <c r="F30" s="144"/>
      <c r="G30" s="144"/>
      <c r="H30" s="144"/>
      <c r="I30" s="145"/>
      <c r="J30" s="144"/>
      <c r="K30" s="144"/>
      <c r="L30" s="145"/>
      <c r="M30" s="145"/>
      <c r="N30" s="144"/>
      <c r="O30" s="146" t="s">
        <v>5869</v>
      </c>
      <c r="P30" s="146" t="s">
        <v>5871</v>
      </c>
    </row>
    <row r="31" spans="1:16" ht="16.5" customHeight="1" x14ac:dyDescent="0.3">
      <c r="A31" s="147" t="s">
        <v>5865</v>
      </c>
      <c r="B31" s="147" t="s">
        <v>5866</v>
      </c>
      <c r="C31" s="148"/>
      <c r="D31" s="187"/>
      <c r="E31" s="153"/>
      <c r="F31" s="153"/>
      <c r="G31" s="150"/>
      <c r="H31" s="150"/>
      <c r="I31" s="151"/>
      <c r="J31" s="150"/>
      <c r="K31" s="150"/>
      <c r="L31" s="151"/>
      <c r="M31" s="151"/>
      <c r="N31" s="150"/>
      <c r="O31" s="154" t="s">
        <v>5870</v>
      </c>
      <c r="P31" s="154" t="s">
        <v>0</v>
      </c>
    </row>
    <row r="32" spans="1:16" ht="16.5" customHeight="1" x14ac:dyDescent="0.3">
      <c r="A32" s="147">
        <v>15</v>
      </c>
      <c r="B32" s="147">
        <v>3215</v>
      </c>
      <c r="C32" s="197" t="s">
        <v>7464</v>
      </c>
      <c r="D32" s="156" t="s">
        <v>17675</v>
      </c>
      <c r="E32" s="144"/>
      <c r="F32" s="206"/>
      <c r="G32" s="160"/>
      <c r="H32" s="160"/>
      <c r="I32" s="161"/>
      <c r="J32" s="162"/>
      <c r="K32" s="163"/>
      <c r="L32" s="164"/>
      <c r="M32" s="165"/>
      <c r="N32" s="158"/>
      <c r="O32" s="178">
        <v>131</v>
      </c>
      <c r="P32" s="142" t="s">
        <v>5863</v>
      </c>
    </row>
    <row r="33" spans="1:16" ht="16.5" customHeight="1" x14ac:dyDescent="0.3">
      <c r="A33" s="147">
        <v>15</v>
      </c>
      <c r="B33" s="147">
        <v>3216</v>
      </c>
      <c r="C33" s="197" t="s">
        <v>7463</v>
      </c>
      <c r="D33" s="188" t="s">
        <v>17426</v>
      </c>
      <c r="E33" s="153"/>
      <c r="F33" s="171"/>
      <c r="G33" s="150"/>
      <c r="H33" s="150"/>
      <c r="I33" s="151"/>
      <c r="J33" s="162" t="s">
        <v>5895</v>
      </c>
      <c r="K33" s="163" t="s">
        <v>1</v>
      </c>
      <c r="L33" s="164">
        <v>1</v>
      </c>
      <c r="M33" s="170"/>
      <c r="N33" s="171"/>
      <c r="O33" s="178">
        <v>131</v>
      </c>
      <c r="P33" s="172"/>
    </row>
    <row r="34" spans="1:16" ht="16.5" customHeight="1" x14ac:dyDescent="0.3">
      <c r="A34" s="147">
        <v>15</v>
      </c>
      <c r="B34" s="147">
        <v>3217</v>
      </c>
      <c r="C34" s="197" t="s">
        <v>7462</v>
      </c>
      <c r="D34" s="188"/>
      <c r="E34" s="205">
        <v>105</v>
      </c>
      <c r="F34" s="171" t="s">
        <v>0</v>
      </c>
      <c r="G34" s="160" t="s">
        <v>17655</v>
      </c>
      <c r="H34" s="160"/>
      <c r="I34" s="161"/>
      <c r="J34" s="162"/>
      <c r="K34" s="163"/>
      <c r="L34" s="164"/>
      <c r="M34" s="170"/>
      <c r="N34" s="171"/>
      <c r="O34" s="178">
        <v>119</v>
      </c>
      <c r="P34" s="172"/>
    </row>
    <row r="35" spans="1:16" ht="16.5" customHeight="1" x14ac:dyDescent="0.3">
      <c r="A35" s="147">
        <v>15</v>
      </c>
      <c r="B35" s="147">
        <v>3218</v>
      </c>
      <c r="C35" s="197" t="s">
        <v>7461</v>
      </c>
      <c r="D35" s="167"/>
      <c r="E35" s="150"/>
      <c r="F35" s="168"/>
      <c r="G35" s="150" t="s">
        <v>17446</v>
      </c>
      <c r="H35" s="150" t="s">
        <v>1</v>
      </c>
      <c r="I35" s="151">
        <v>0.9</v>
      </c>
      <c r="J35" s="162" t="s">
        <v>5895</v>
      </c>
      <c r="K35" s="163" t="s">
        <v>1</v>
      </c>
      <c r="L35" s="164">
        <v>1</v>
      </c>
      <c r="M35" s="170"/>
      <c r="N35" s="171"/>
      <c r="O35" s="178">
        <v>119</v>
      </c>
      <c r="P35" s="172"/>
    </row>
    <row r="36" spans="1:16" ht="16.5" customHeight="1" x14ac:dyDescent="0.3">
      <c r="A36" s="147">
        <v>15</v>
      </c>
      <c r="B36" s="147">
        <v>3219</v>
      </c>
      <c r="C36" s="197" t="s">
        <v>7460</v>
      </c>
      <c r="D36" s="156" t="s">
        <v>17674</v>
      </c>
      <c r="E36" s="160"/>
      <c r="F36" s="158"/>
      <c r="G36" s="160"/>
      <c r="H36" s="160"/>
      <c r="I36" s="161"/>
      <c r="J36" s="162"/>
      <c r="K36" s="163"/>
      <c r="L36" s="164"/>
      <c r="M36" s="170"/>
      <c r="N36" s="171"/>
      <c r="O36" s="178">
        <v>250</v>
      </c>
      <c r="P36" s="172"/>
    </row>
    <row r="37" spans="1:16" ht="16.5" customHeight="1" x14ac:dyDescent="0.3">
      <c r="A37" s="147">
        <v>15</v>
      </c>
      <c r="B37" s="147">
        <v>3220</v>
      </c>
      <c r="C37" s="197" t="s">
        <v>7459</v>
      </c>
      <c r="D37" s="188" t="s">
        <v>17441</v>
      </c>
      <c r="E37" s="153"/>
      <c r="F37" s="171"/>
      <c r="G37" s="150"/>
      <c r="H37" s="150"/>
      <c r="I37" s="151"/>
      <c r="J37" s="162" t="s">
        <v>5895</v>
      </c>
      <c r="K37" s="163" t="s">
        <v>1</v>
      </c>
      <c r="L37" s="164">
        <v>1</v>
      </c>
      <c r="M37" s="170" t="s">
        <v>17673</v>
      </c>
      <c r="N37" s="171"/>
      <c r="O37" s="178">
        <v>250</v>
      </c>
      <c r="P37" s="172"/>
    </row>
    <row r="38" spans="1:16" ht="16.5" customHeight="1" x14ac:dyDescent="0.3">
      <c r="A38" s="147">
        <v>15</v>
      </c>
      <c r="B38" s="147">
        <v>3221</v>
      </c>
      <c r="C38" s="197" t="s">
        <v>7458</v>
      </c>
      <c r="D38" s="188" t="s">
        <v>17440</v>
      </c>
      <c r="E38" s="205">
        <v>200</v>
      </c>
      <c r="F38" s="171" t="s">
        <v>0</v>
      </c>
      <c r="G38" s="160" t="s">
        <v>17655</v>
      </c>
      <c r="H38" s="160"/>
      <c r="I38" s="161"/>
      <c r="J38" s="162"/>
      <c r="K38" s="163"/>
      <c r="L38" s="164"/>
      <c r="M38" s="170"/>
      <c r="N38" s="174" t="s">
        <v>17597</v>
      </c>
      <c r="O38" s="178">
        <v>225</v>
      </c>
      <c r="P38" s="172"/>
    </row>
    <row r="39" spans="1:16" ht="16.5" customHeight="1" x14ac:dyDescent="0.3">
      <c r="A39" s="147">
        <v>15</v>
      </c>
      <c r="B39" s="147">
        <v>3222</v>
      </c>
      <c r="C39" s="197" t="s">
        <v>7457</v>
      </c>
      <c r="D39" s="167"/>
      <c r="E39" s="150"/>
      <c r="F39" s="168"/>
      <c r="G39" s="150" t="s">
        <v>17446</v>
      </c>
      <c r="H39" s="150" t="s">
        <v>1</v>
      </c>
      <c r="I39" s="151">
        <v>0.9</v>
      </c>
      <c r="J39" s="162" t="s">
        <v>5895</v>
      </c>
      <c r="K39" s="163" t="s">
        <v>1</v>
      </c>
      <c r="L39" s="164">
        <v>1</v>
      </c>
      <c r="M39" s="170"/>
      <c r="N39" s="171"/>
      <c r="O39" s="178">
        <v>225</v>
      </c>
      <c r="P39" s="172"/>
    </row>
    <row r="40" spans="1:16" ht="16.5" customHeight="1" x14ac:dyDescent="0.3">
      <c r="A40" s="147">
        <v>15</v>
      </c>
      <c r="B40" s="147">
        <v>3223</v>
      </c>
      <c r="C40" s="197" t="s">
        <v>7456</v>
      </c>
      <c r="D40" s="156" t="s">
        <v>17672</v>
      </c>
      <c r="E40" s="160"/>
      <c r="F40" s="158"/>
      <c r="G40" s="160"/>
      <c r="H40" s="160"/>
      <c r="I40" s="161"/>
      <c r="J40" s="162"/>
      <c r="K40" s="163"/>
      <c r="L40" s="164"/>
      <c r="M40" s="170" t="s">
        <v>1</v>
      </c>
      <c r="N40" s="192">
        <v>0.25</v>
      </c>
      <c r="O40" s="178">
        <v>349</v>
      </c>
      <c r="P40" s="172"/>
    </row>
    <row r="41" spans="1:16" ht="16.5" customHeight="1" x14ac:dyDescent="0.3">
      <c r="A41" s="147">
        <v>15</v>
      </c>
      <c r="B41" s="147">
        <v>3224</v>
      </c>
      <c r="C41" s="197" t="s">
        <v>7455</v>
      </c>
      <c r="D41" s="188" t="s">
        <v>17436</v>
      </c>
      <c r="E41" s="153"/>
      <c r="F41" s="171"/>
      <c r="G41" s="150"/>
      <c r="H41" s="150"/>
      <c r="I41" s="151"/>
      <c r="J41" s="162" t="s">
        <v>5895</v>
      </c>
      <c r="K41" s="163" t="s">
        <v>1</v>
      </c>
      <c r="L41" s="164">
        <v>1</v>
      </c>
      <c r="M41" s="170"/>
      <c r="N41" s="174" t="s">
        <v>17443</v>
      </c>
      <c r="O41" s="178">
        <v>349</v>
      </c>
      <c r="P41" s="172"/>
    </row>
    <row r="42" spans="1:16" ht="16.5" customHeight="1" x14ac:dyDescent="0.3">
      <c r="A42" s="147">
        <v>15</v>
      </c>
      <c r="B42" s="147">
        <v>3225</v>
      </c>
      <c r="C42" s="197" t="s">
        <v>7454</v>
      </c>
      <c r="D42" s="188" t="s">
        <v>17435</v>
      </c>
      <c r="E42" s="205">
        <v>279</v>
      </c>
      <c r="F42" s="171" t="s">
        <v>0</v>
      </c>
      <c r="G42" s="160" t="s">
        <v>17655</v>
      </c>
      <c r="H42" s="160"/>
      <c r="I42" s="161"/>
      <c r="J42" s="162"/>
      <c r="K42" s="163"/>
      <c r="L42" s="164"/>
      <c r="M42" s="170"/>
      <c r="N42" s="171"/>
      <c r="O42" s="178">
        <v>314</v>
      </c>
      <c r="P42" s="172"/>
    </row>
    <row r="43" spans="1:16" ht="16.5" customHeight="1" x14ac:dyDescent="0.3">
      <c r="A43" s="147">
        <v>15</v>
      </c>
      <c r="B43" s="147">
        <v>3226</v>
      </c>
      <c r="C43" s="197" t="s">
        <v>7453</v>
      </c>
      <c r="D43" s="167"/>
      <c r="E43" s="150"/>
      <c r="F43" s="168"/>
      <c r="G43" s="150" t="s">
        <v>17446</v>
      </c>
      <c r="H43" s="150" t="s">
        <v>1</v>
      </c>
      <c r="I43" s="151">
        <v>0.9</v>
      </c>
      <c r="J43" s="162" t="s">
        <v>5895</v>
      </c>
      <c r="K43" s="163" t="s">
        <v>1</v>
      </c>
      <c r="L43" s="164">
        <v>1</v>
      </c>
      <c r="M43" s="170"/>
      <c r="N43" s="171"/>
      <c r="O43" s="178">
        <v>314</v>
      </c>
      <c r="P43" s="172"/>
    </row>
    <row r="44" spans="1:16" ht="16.5" customHeight="1" x14ac:dyDescent="0.3">
      <c r="A44" s="147">
        <v>15</v>
      </c>
      <c r="B44" s="147">
        <v>3227</v>
      </c>
      <c r="C44" s="197" t="s">
        <v>7452</v>
      </c>
      <c r="D44" s="156" t="s">
        <v>17671</v>
      </c>
      <c r="E44" s="160"/>
      <c r="F44" s="158"/>
      <c r="G44" s="160"/>
      <c r="H44" s="160"/>
      <c r="I44" s="161"/>
      <c r="J44" s="162"/>
      <c r="K44" s="163"/>
      <c r="L44" s="164"/>
      <c r="M44" s="170"/>
      <c r="N44" s="171"/>
      <c r="O44" s="178">
        <v>436</v>
      </c>
      <c r="P44" s="172"/>
    </row>
    <row r="45" spans="1:16" ht="16.5" customHeight="1" x14ac:dyDescent="0.3">
      <c r="A45" s="147">
        <v>15</v>
      </c>
      <c r="B45" s="147">
        <v>3228</v>
      </c>
      <c r="C45" s="197" t="s">
        <v>7451</v>
      </c>
      <c r="D45" s="188" t="s">
        <v>17431</v>
      </c>
      <c r="E45" s="153"/>
      <c r="F45" s="171"/>
      <c r="G45" s="150"/>
      <c r="H45" s="150"/>
      <c r="I45" s="151"/>
      <c r="J45" s="162" t="s">
        <v>5895</v>
      </c>
      <c r="K45" s="163" t="s">
        <v>1</v>
      </c>
      <c r="L45" s="164">
        <v>1</v>
      </c>
      <c r="M45" s="170"/>
      <c r="N45" s="171"/>
      <c r="O45" s="178">
        <v>436</v>
      </c>
      <c r="P45" s="172"/>
    </row>
    <row r="46" spans="1:16" ht="16.5" customHeight="1" x14ac:dyDescent="0.3">
      <c r="A46" s="147">
        <v>15</v>
      </c>
      <c r="B46" s="147">
        <v>3229</v>
      </c>
      <c r="C46" s="197" t="s">
        <v>7450</v>
      </c>
      <c r="D46" s="188" t="s">
        <v>16867</v>
      </c>
      <c r="E46" s="205">
        <v>349</v>
      </c>
      <c r="F46" s="171" t="s">
        <v>0</v>
      </c>
      <c r="G46" s="160" t="s">
        <v>16823</v>
      </c>
      <c r="H46" s="160"/>
      <c r="I46" s="161"/>
      <c r="J46" s="162"/>
      <c r="K46" s="163"/>
      <c r="L46" s="164"/>
      <c r="M46" s="170"/>
      <c r="N46" s="171"/>
      <c r="O46" s="178">
        <v>393</v>
      </c>
      <c r="P46" s="172"/>
    </row>
    <row r="47" spans="1:16" ht="16.5" customHeight="1" x14ac:dyDescent="0.3">
      <c r="A47" s="147">
        <v>15</v>
      </c>
      <c r="B47" s="147">
        <v>3230</v>
      </c>
      <c r="C47" s="197" t="s">
        <v>7449</v>
      </c>
      <c r="D47" s="167"/>
      <c r="E47" s="150"/>
      <c r="F47" s="168"/>
      <c r="G47" s="150" t="s">
        <v>17446</v>
      </c>
      <c r="H47" s="150" t="s">
        <v>1</v>
      </c>
      <c r="I47" s="151">
        <v>0.9</v>
      </c>
      <c r="J47" s="162" t="s">
        <v>5895</v>
      </c>
      <c r="K47" s="163" t="s">
        <v>1</v>
      </c>
      <c r="L47" s="164">
        <v>1</v>
      </c>
      <c r="M47" s="170"/>
      <c r="N47" s="171"/>
      <c r="O47" s="178">
        <v>393</v>
      </c>
      <c r="P47" s="172"/>
    </row>
    <row r="48" spans="1:16" ht="16.5" customHeight="1" x14ac:dyDescent="0.3">
      <c r="A48" s="147">
        <v>15</v>
      </c>
      <c r="B48" s="147">
        <v>3231</v>
      </c>
      <c r="C48" s="197" t="s">
        <v>7448</v>
      </c>
      <c r="D48" s="156" t="s">
        <v>17670</v>
      </c>
      <c r="E48" s="160"/>
      <c r="F48" s="158"/>
      <c r="G48" s="160"/>
      <c r="H48" s="160"/>
      <c r="I48" s="161"/>
      <c r="J48" s="162"/>
      <c r="K48" s="163"/>
      <c r="L48" s="164"/>
      <c r="M48" s="170"/>
      <c r="N48" s="171"/>
      <c r="O48" s="178">
        <v>524</v>
      </c>
      <c r="P48" s="172"/>
    </row>
    <row r="49" spans="1:16" ht="16.5" customHeight="1" x14ac:dyDescent="0.3">
      <c r="A49" s="147">
        <v>15</v>
      </c>
      <c r="B49" s="147">
        <v>3232</v>
      </c>
      <c r="C49" s="197" t="s">
        <v>7447</v>
      </c>
      <c r="D49" s="188" t="s">
        <v>17669</v>
      </c>
      <c r="E49" s="153"/>
      <c r="F49" s="171"/>
      <c r="G49" s="150"/>
      <c r="H49" s="150"/>
      <c r="I49" s="151"/>
      <c r="J49" s="162" t="s">
        <v>5895</v>
      </c>
      <c r="K49" s="163" t="s">
        <v>1</v>
      </c>
      <c r="L49" s="164">
        <v>1</v>
      </c>
      <c r="M49" s="170"/>
      <c r="N49" s="171"/>
      <c r="O49" s="178">
        <v>524</v>
      </c>
      <c r="P49" s="172"/>
    </row>
    <row r="50" spans="1:16" ht="16.5" customHeight="1" x14ac:dyDescent="0.3">
      <c r="A50" s="147">
        <v>15</v>
      </c>
      <c r="B50" s="147">
        <v>3233</v>
      </c>
      <c r="C50" s="197" t="s">
        <v>7446</v>
      </c>
      <c r="D50" s="188" t="s">
        <v>17668</v>
      </c>
      <c r="E50" s="205">
        <v>419</v>
      </c>
      <c r="F50" s="171" t="s">
        <v>0</v>
      </c>
      <c r="G50" s="160" t="s">
        <v>17655</v>
      </c>
      <c r="H50" s="160"/>
      <c r="I50" s="161"/>
      <c r="J50" s="162"/>
      <c r="K50" s="163"/>
      <c r="L50" s="164"/>
      <c r="M50" s="170"/>
      <c r="N50" s="171"/>
      <c r="O50" s="178">
        <v>471</v>
      </c>
      <c r="P50" s="172"/>
    </row>
    <row r="51" spans="1:16" ht="16.5" customHeight="1" x14ac:dyDescent="0.3">
      <c r="A51" s="147">
        <v>15</v>
      </c>
      <c r="B51" s="147">
        <v>3234</v>
      </c>
      <c r="C51" s="197" t="s">
        <v>7445</v>
      </c>
      <c r="D51" s="167"/>
      <c r="E51" s="150"/>
      <c r="F51" s="168"/>
      <c r="G51" s="150" t="s">
        <v>17446</v>
      </c>
      <c r="H51" s="150" t="s">
        <v>1</v>
      </c>
      <c r="I51" s="151">
        <v>0.9</v>
      </c>
      <c r="J51" s="162" t="s">
        <v>5895</v>
      </c>
      <c r="K51" s="163" t="s">
        <v>1</v>
      </c>
      <c r="L51" s="164">
        <v>1</v>
      </c>
      <c r="M51" s="170"/>
      <c r="N51" s="171"/>
      <c r="O51" s="178">
        <v>471</v>
      </c>
      <c r="P51" s="172"/>
    </row>
    <row r="52" spans="1:16" ht="16.5" customHeight="1" x14ac:dyDescent="0.3">
      <c r="A52" s="147">
        <v>15</v>
      </c>
      <c r="B52" s="147">
        <v>3235</v>
      </c>
      <c r="C52" s="197" t="s">
        <v>7444</v>
      </c>
      <c r="D52" s="156" t="s">
        <v>17667</v>
      </c>
      <c r="E52" s="160"/>
      <c r="F52" s="158"/>
      <c r="G52" s="160"/>
      <c r="H52" s="160"/>
      <c r="I52" s="161"/>
      <c r="J52" s="162"/>
      <c r="K52" s="163"/>
      <c r="L52" s="164"/>
      <c r="M52" s="170"/>
      <c r="N52" s="171"/>
      <c r="O52" s="178">
        <v>611</v>
      </c>
      <c r="P52" s="172"/>
    </row>
    <row r="53" spans="1:16" ht="16.5" customHeight="1" x14ac:dyDescent="0.3">
      <c r="A53" s="147">
        <v>15</v>
      </c>
      <c r="B53" s="147">
        <v>3236</v>
      </c>
      <c r="C53" s="197" t="s">
        <v>7443</v>
      </c>
      <c r="D53" s="188" t="s">
        <v>17666</v>
      </c>
      <c r="E53" s="153"/>
      <c r="F53" s="171"/>
      <c r="G53" s="150"/>
      <c r="H53" s="150"/>
      <c r="I53" s="151"/>
      <c r="J53" s="162" t="s">
        <v>5895</v>
      </c>
      <c r="K53" s="163" t="s">
        <v>1</v>
      </c>
      <c r="L53" s="164">
        <v>1</v>
      </c>
      <c r="M53" s="170"/>
      <c r="N53" s="171"/>
      <c r="O53" s="178">
        <v>611</v>
      </c>
      <c r="P53" s="172"/>
    </row>
    <row r="54" spans="1:16" ht="16.5" customHeight="1" x14ac:dyDescent="0.3">
      <c r="A54" s="147">
        <v>15</v>
      </c>
      <c r="B54" s="147">
        <v>3237</v>
      </c>
      <c r="C54" s="197" t="s">
        <v>7442</v>
      </c>
      <c r="D54" s="188" t="s">
        <v>17665</v>
      </c>
      <c r="E54" s="205">
        <v>489</v>
      </c>
      <c r="F54" s="171" t="s">
        <v>0</v>
      </c>
      <c r="G54" s="160" t="s">
        <v>17655</v>
      </c>
      <c r="H54" s="160"/>
      <c r="I54" s="161"/>
      <c r="J54" s="162"/>
      <c r="K54" s="163"/>
      <c r="L54" s="164"/>
      <c r="M54" s="170"/>
      <c r="N54" s="171"/>
      <c r="O54" s="178">
        <v>550</v>
      </c>
      <c r="P54" s="172"/>
    </row>
    <row r="55" spans="1:16" ht="16.5" customHeight="1" x14ac:dyDescent="0.3">
      <c r="A55" s="147">
        <v>15</v>
      </c>
      <c r="B55" s="147">
        <v>3238</v>
      </c>
      <c r="C55" s="197" t="s">
        <v>7441</v>
      </c>
      <c r="D55" s="167"/>
      <c r="E55" s="150"/>
      <c r="F55" s="168"/>
      <c r="G55" s="150" t="s">
        <v>17446</v>
      </c>
      <c r="H55" s="150" t="s">
        <v>1</v>
      </c>
      <c r="I55" s="151">
        <v>0.9</v>
      </c>
      <c r="J55" s="162" t="s">
        <v>5895</v>
      </c>
      <c r="K55" s="163" t="s">
        <v>1</v>
      </c>
      <c r="L55" s="164">
        <v>1</v>
      </c>
      <c r="M55" s="170"/>
      <c r="N55" s="171"/>
      <c r="O55" s="178">
        <v>550</v>
      </c>
      <c r="P55" s="172"/>
    </row>
    <row r="56" spans="1:16" ht="16.5" customHeight="1" x14ac:dyDescent="0.3">
      <c r="A56" s="147">
        <v>15</v>
      </c>
      <c r="B56" s="147">
        <v>3239</v>
      </c>
      <c r="C56" s="197" t="s">
        <v>7440</v>
      </c>
      <c r="D56" s="156" t="s">
        <v>17664</v>
      </c>
      <c r="E56" s="160"/>
      <c r="F56" s="158"/>
      <c r="G56" s="160"/>
      <c r="H56" s="160"/>
      <c r="I56" s="161"/>
      <c r="J56" s="162"/>
      <c r="K56" s="163"/>
      <c r="L56" s="164"/>
      <c r="M56" s="170"/>
      <c r="N56" s="171"/>
      <c r="O56" s="178">
        <v>699</v>
      </c>
      <c r="P56" s="172"/>
    </row>
    <row r="57" spans="1:16" ht="16.5" customHeight="1" x14ac:dyDescent="0.3">
      <c r="A57" s="147">
        <v>15</v>
      </c>
      <c r="B57" s="147">
        <v>3240</v>
      </c>
      <c r="C57" s="197" t="s">
        <v>7439</v>
      </c>
      <c r="D57" s="188" t="s">
        <v>17663</v>
      </c>
      <c r="E57" s="153"/>
      <c r="F57" s="171"/>
      <c r="G57" s="150"/>
      <c r="H57" s="150"/>
      <c r="I57" s="151"/>
      <c r="J57" s="162" t="s">
        <v>5895</v>
      </c>
      <c r="K57" s="163" t="s">
        <v>1</v>
      </c>
      <c r="L57" s="164">
        <v>1</v>
      </c>
      <c r="M57" s="170"/>
      <c r="N57" s="171"/>
      <c r="O57" s="178">
        <v>699</v>
      </c>
      <c r="P57" s="172"/>
    </row>
    <row r="58" spans="1:16" ht="16.5" customHeight="1" x14ac:dyDescent="0.3">
      <c r="A58" s="147">
        <v>15</v>
      </c>
      <c r="B58" s="147">
        <v>3241</v>
      </c>
      <c r="C58" s="197" t="s">
        <v>7438</v>
      </c>
      <c r="D58" s="188" t="s">
        <v>17662</v>
      </c>
      <c r="E58" s="205">
        <v>559</v>
      </c>
      <c r="F58" s="171" t="s">
        <v>0</v>
      </c>
      <c r="G58" s="160" t="s">
        <v>16823</v>
      </c>
      <c r="H58" s="160"/>
      <c r="I58" s="161"/>
      <c r="J58" s="162"/>
      <c r="K58" s="163"/>
      <c r="L58" s="164"/>
      <c r="M58" s="170"/>
      <c r="N58" s="171"/>
      <c r="O58" s="178">
        <v>629</v>
      </c>
      <c r="P58" s="172"/>
    </row>
    <row r="59" spans="1:16" ht="16.5" customHeight="1" x14ac:dyDescent="0.3">
      <c r="A59" s="147">
        <v>15</v>
      </c>
      <c r="B59" s="147">
        <v>3242</v>
      </c>
      <c r="C59" s="197" t="s">
        <v>7437</v>
      </c>
      <c r="D59" s="167"/>
      <c r="E59" s="150"/>
      <c r="F59" s="168"/>
      <c r="G59" s="150" t="s">
        <v>17446</v>
      </c>
      <c r="H59" s="150" t="s">
        <v>1</v>
      </c>
      <c r="I59" s="151">
        <v>0.9</v>
      </c>
      <c r="J59" s="162" t="s">
        <v>5895</v>
      </c>
      <c r="K59" s="163" t="s">
        <v>1</v>
      </c>
      <c r="L59" s="164">
        <v>1</v>
      </c>
      <c r="M59" s="170"/>
      <c r="N59" s="171"/>
      <c r="O59" s="178">
        <v>629</v>
      </c>
      <c r="P59" s="172"/>
    </row>
    <row r="60" spans="1:16" ht="16.5" customHeight="1" x14ac:dyDescent="0.3">
      <c r="A60" s="147">
        <v>15</v>
      </c>
      <c r="B60" s="147">
        <v>3243</v>
      </c>
      <c r="C60" s="197" t="s">
        <v>7436</v>
      </c>
      <c r="D60" s="156" t="s">
        <v>17661</v>
      </c>
      <c r="E60" s="160"/>
      <c r="F60" s="158"/>
      <c r="G60" s="160"/>
      <c r="H60" s="160"/>
      <c r="I60" s="161"/>
      <c r="J60" s="162"/>
      <c r="K60" s="163"/>
      <c r="L60" s="164"/>
      <c r="M60" s="170"/>
      <c r="N60" s="171"/>
      <c r="O60" s="178">
        <v>786</v>
      </c>
      <c r="P60" s="172"/>
    </row>
    <row r="61" spans="1:16" ht="16.5" customHeight="1" x14ac:dyDescent="0.3">
      <c r="A61" s="147">
        <v>15</v>
      </c>
      <c r="B61" s="147">
        <v>3244</v>
      </c>
      <c r="C61" s="197" t="s">
        <v>7435</v>
      </c>
      <c r="D61" s="188" t="s">
        <v>17660</v>
      </c>
      <c r="E61" s="153"/>
      <c r="F61" s="171"/>
      <c r="G61" s="150"/>
      <c r="H61" s="150"/>
      <c r="I61" s="151"/>
      <c r="J61" s="162" t="s">
        <v>5895</v>
      </c>
      <c r="K61" s="163" t="s">
        <v>1</v>
      </c>
      <c r="L61" s="164">
        <v>1</v>
      </c>
      <c r="M61" s="170"/>
      <c r="N61" s="171"/>
      <c r="O61" s="178">
        <v>786</v>
      </c>
      <c r="P61" s="172"/>
    </row>
    <row r="62" spans="1:16" ht="16.5" customHeight="1" x14ac:dyDescent="0.3">
      <c r="A62" s="147">
        <v>15</v>
      </c>
      <c r="B62" s="147">
        <v>3245</v>
      </c>
      <c r="C62" s="197" t="s">
        <v>7434</v>
      </c>
      <c r="D62" s="188" t="s">
        <v>17659</v>
      </c>
      <c r="E62" s="205">
        <v>629</v>
      </c>
      <c r="F62" s="171" t="s">
        <v>0</v>
      </c>
      <c r="G62" s="160" t="s">
        <v>17655</v>
      </c>
      <c r="H62" s="160"/>
      <c r="I62" s="161"/>
      <c r="J62" s="162"/>
      <c r="K62" s="163"/>
      <c r="L62" s="164"/>
      <c r="M62" s="170"/>
      <c r="N62" s="171"/>
      <c r="O62" s="178">
        <v>708</v>
      </c>
      <c r="P62" s="172"/>
    </row>
    <row r="63" spans="1:16" ht="16.5" customHeight="1" x14ac:dyDescent="0.3">
      <c r="A63" s="147">
        <v>15</v>
      </c>
      <c r="B63" s="147">
        <v>3246</v>
      </c>
      <c r="C63" s="197" t="s">
        <v>7433</v>
      </c>
      <c r="D63" s="167"/>
      <c r="E63" s="150"/>
      <c r="F63" s="168"/>
      <c r="G63" s="150" t="s">
        <v>17446</v>
      </c>
      <c r="H63" s="150" t="s">
        <v>1</v>
      </c>
      <c r="I63" s="151">
        <v>0.9</v>
      </c>
      <c r="J63" s="162" t="s">
        <v>5895</v>
      </c>
      <c r="K63" s="163" t="s">
        <v>1</v>
      </c>
      <c r="L63" s="164">
        <v>1</v>
      </c>
      <c r="M63" s="170"/>
      <c r="N63" s="171"/>
      <c r="O63" s="178">
        <v>708</v>
      </c>
      <c r="P63" s="172"/>
    </row>
    <row r="64" spans="1:16" ht="16.5" customHeight="1" x14ac:dyDescent="0.3">
      <c r="A64" s="147">
        <v>15</v>
      </c>
      <c r="B64" s="147">
        <v>3247</v>
      </c>
      <c r="C64" s="197" t="s">
        <v>7432</v>
      </c>
      <c r="D64" s="156" t="s">
        <v>17658</v>
      </c>
      <c r="E64" s="160"/>
      <c r="F64" s="158"/>
      <c r="G64" s="160"/>
      <c r="H64" s="160"/>
      <c r="I64" s="161"/>
      <c r="J64" s="162"/>
      <c r="K64" s="163"/>
      <c r="L64" s="164"/>
      <c r="M64" s="170"/>
      <c r="N64" s="171"/>
      <c r="O64" s="178">
        <v>874</v>
      </c>
      <c r="P64" s="172"/>
    </row>
    <row r="65" spans="1:16" ht="16.5" customHeight="1" x14ac:dyDescent="0.3">
      <c r="A65" s="147">
        <v>15</v>
      </c>
      <c r="B65" s="147">
        <v>3248</v>
      </c>
      <c r="C65" s="197" t="s">
        <v>7431</v>
      </c>
      <c r="D65" s="188" t="s">
        <v>17657</v>
      </c>
      <c r="E65" s="153"/>
      <c r="F65" s="171"/>
      <c r="G65" s="150"/>
      <c r="H65" s="150"/>
      <c r="I65" s="151"/>
      <c r="J65" s="162" t="s">
        <v>5895</v>
      </c>
      <c r="K65" s="163" t="s">
        <v>1</v>
      </c>
      <c r="L65" s="164">
        <v>1</v>
      </c>
      <c r="M65" s="170"/>
      <c r="N65" s="171"/>
      <c r="O65" s="178">
        <v>874</v>
      </c>
      <c r="P65" s="172"/>
    </row>
    <row r="66" spans="1:16" ht="16.5" customHeight="1" x14ac:dyDescent="0.3">
      <c r="A66" s="147">
        <v>15</v>
      </c>
      <c r="B66" s="147">
        <v>3249</v>
      </c>
      <c r="C66" s="197" t="s">
        <v>7430</v>
      </c>
      <c r="D66" s="188" t="s">
        <v>17656</v>
      </c>
      <c r="E66" s="205">
        <v>699</v>
      </c>
      <c r="F66" s="171" t="s">
        <v>0</v>
      </c>
      <c r="G66" s="160" t="s">
        <v>17655</v>
      </c>
      <c r="H66" s="160"/>
      <c r="I66" s="161"/>
      <c r="J66" s="162"/>
      <c r="K66" s="163"/>
      <c r="L66" s="164"/>
      <c r="M66" s="170"/>
      <c r="N66" s="171"/>
      <c r="O66" s="178">
        <v>786</v>
      </c>
      <c r="P66" s="172"/>
    </row>
    <row r="67" spans="1:16" ht="16.5" customHeight="1" x14ac:dyDescent="0.3">
      <c r="A67" s="147">
        <v>15</v>
      </c>
      <c r="B67" s="147">
        <v>3250</v>
      </c>
      <c r="C67" s="197" t="s">
        <v>7429</v>
      </c>
      <c r="D67" s="167"/>
      <c r="E67" s="150"/>
      <c r="F67" s="168"/>
      <c r="G67" s="150" t="s">
        <v>17446</v>
      </c>
      <c r="H67" s="150" t="s">
        <v>1</v>
      </c>
      <c r="I67" s="151">
        <v>0.9</v>
      </c>
      <c r="J67" s="162" t="s">
        <v>5895</v>
      </c>
      <c r="K67" s="163" t="s">
        <v>1</v>
      </c>
      <c r="L67" s="164">
        <v>1</v>
      </c>
      <c r="M67" s="176"/>
      <c r="N67" s="168"/>
      <c r="O67" s="178">
        <v>786</v>
      </c>
      <c r="P67" s="177"/>
    </row>
    <row r="68" spans="1:16" ht="16.5" customHeight="1" x14ac:dyDescent="0.3"/>
    <row r="69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theme="1" tint="0.249977111117893"/>
    <pageSetUpPr fitToPage="1"/>
  </sheetPr>
  <dimension ref="A1:P6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7539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3251</v>
      </c>
      <c r="C7" s="197" t="s">
        <v>7538</v>
      </c>
      <c r="D7" s="156" t="s">
        <v>17692</v>
      </c>
      <c r="E7" s="144"/>
      <c r="F7" s="206"/>
      <c r="G7" s="160"/>
      <c r="H7" s="160"/>
      <c r="I7" s="161"/>
      <c r="J7" s="162"/>
      <c r="K7" s="163"/>
      <c r="L7" s="164"/>
      <c r="M7" s="165"/>
      <c r="N7" s="158"/>
      <c r="O7" s="178">
        <v>158</v>
      </c>
      <c r="P7" s="142" t="s">
        <v>5863</v>
      </c>
    </row>
    <row r="8" spans="1:16" ht="16.5" customHeight="1" x14ac:dyDescent="0.3">
      <c r="A8" s="147">
        <v>15</v>
      </c>
      <c r="B8" s="147">
        <v>3252</v>
      </c>
      <c r="C8" s="197" t="s">
        <v>7537</v>
      </c>
      <c r="D8" s="188" t="s">
        <v>16901</v>
      </c>
      <c r="E8" s="153"/>
      <c r="F8" s="171"/>
      <c r="G8" s="150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178">
        <v>158</v>
      </c>
      <c r="P8" s="172"/>
    </row>
    <row r="9" spans="1:16" ht="16.5" customHeight="1" x14ac:dyDescent="0.3">
      <c r="A9" s="147">
        <v>15</v>
      </c>
      <c r="B9" s="147">
        <v>3253</v>
      </c>
      <c r="C9" s="197" t="s">
        <v>7536</v>
      </c>
      <c r="D9" s="188"/>
      <c r="E9" s="205">
        <v>105</v>
      </c>
      <c r="F9" s="171" t="s">
        <v>0</v>
      </c>
      <c r="G9" s="160" t="s">
        <v>17026</v>
      </c>
      <c r="H9" s="160"/>
      <c r="I9" s="161"/>
      <c r="J9" s="162"/>
      <c r="K9" s="163"/>
      <c r="L9" s="164"/>
      <c r="M9" s="170"/>
      <c r="N9" s="171"/>
      <c r="O9" s="178">
        <v>143</v>
      </c>
      <c r="P9" s="172"/>
    </row>
    <row r="10" spans="1:16" ht="16.5" customHeight="1" x14ac:dyDescent="0.3">
      <c r="A10" s="147">
        <v>15</v>
      </c>
      <c r="B10" s="147">
        <v>3254</v>
      </c>
      <c r="C10" s="197" t="s">
        <v>7535</v>
      </c>
      <c r="D10" s="167"/>
      <c r="E10" s="150"/>
      <c r="F10" s="168"/>
      <c r="G10" s="150" t="s">
        <v>17025</v>
      </c>
      <c r="H10" s="150" t="s">
        <v>1</v>
      </c>
      <c r="I10" s="151">
        <v>0.9</v>
      </c>
      <c r="J10" s="162" t="s">
        <v>5895</v>
      </c>
      <c r="K10" s="163" t="s">
        <v>1</v>
      </c>
      <c r="L10" s="164">
        <v>1</v>
      </c>
      <c r="M10" s="170"/>
      <c r="N10" s="171"/>
      <c r="O10" s="178">
        <v>143</v>
      </c>
      <c r="P10" s="172"/>
    </row>
    <row r="11" spans="1:16" ht="16.5" customHeight="1" x14ac:dyDescent="0.3">
      <c r="A11" s="147">
        <v>15</v>
      </c>
      <c r="B11" s="147">
        <v>3255</v>
      </c>
      <c r="C11" s="197" t="s">
        <v>7534</v>
      </c>
      <c r="D11" s="156" t="s">
        <v>16961</v>
      </c>
      <c r="E11" s="160"/>
      <c r="F11" s="158"/>
      <c r="G11" s="160"/>
      <c r="H11" s="160"/>
      <c r="I11" s="161"/>
      <c r="J11" s="162"/>
      <c r="K11" s="163"/>
      <c r="L11" s="164"/>
      <c r="M11" s="170"/>
      <c r="N11" s="171"/>
      <c r="O11" s="178">
        <v>300</v>
      </c>
      <c r="P11" s="172"/>
    </row>
    <row r="12" spans="1:16" ht="16.5" customHeight="1" x14ac:dyDescent="0.3">
      <c r="A12" s="147">
        <v>15</v>
      </c>
      <c r="B12" s="147">
        <v>3256</v>
      </c>
      <c r="C12" s="197" t="s">
        <v>7533</v>
      </c>
      <c r="D12" s="188" t="s">
        <v>16874</v>
      </c>
      <c r="E12" s="153"/>
      <c r="F12" s="17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0" t="s">
        <v>17051</v>
      </c>
      <c r="N12" s="171"/>
      <c r="O12" s="178">
        <v>300</v>
      </c>
      <c r="P12" s="172"/>
    </row>
    <row r="13" spans="1:16" ht="16.5" customHeight="1" x14ac:dyDescent="0.3">
      <c r="A13" s="147">
        <v>15</v>
      </c>
      <c r="B13" s="147">
        <v>3257</v>
      </c>
      <c r="C13" s="197" t="s">
        <v>7532</v>
      </c>
      <c r="D13" s="188" t="s">
        <v>16873</v>
      </c>
      <c r="E13" s="205">
        <v>200</v>
      </c>
      <c r="F13" s="171" t="s">
        <v>0</v>
      </c>
      <c r="G13" s="160" t="s">
        <v>16823</v>
      </c>
      <c r="H13" s="160"/>
      <c r="I13" s="161"/>
      <c r="J13" s="162"/>
      <c r="K13" s="163"/>
      <c r="L13" s="164"/>
      <c r="M13" s="170"/>
      <c r="N13" s="174" t="s">
        <v>17691</v>
      </c>
      <c r="O13" s="178">
        <v>270</v>
      </c>
      <c r="P13" s="172"/>
    </row>
    <row r="14" spans="1:16" ht="16.5" customHeight="1" x14ac:dyDescent="0.3">
      <c r="A14" s="147">
        <v>15</v>
      </c>
      <c r="B14" s="147">
        <v>3258</v>
      </c>
      <c r="C14" s="197" t="s">
        <v>7531</v>
      </c>
      <c r="D14" s="167"/>
      <c r="E14" s="150"/>
      <c r="F14" s="168"/>
      <c r="G14" s="150" t="s">
        <v>17025</v>
      </c>
      <c r="H14" s="150" t="s">
        <v>1</v>
      </c>
      <c r="I14" s="151">
        <v>0.9</v>
      </c>
      <c r="J14" s="162" t="s">
        <v>5895</v>
      </c>
      <c r="K14" s="163" t="s">
        <v>1</v>
      </c>
      <c r="L14" s="164">
        <v>1</v>
      </c>
      <c r="M14" s="170"/>
      <c r="N14" s="171"/>
      <c r="O14" s="178">
        <v>270</v>
      </c>
      <c r="P14" s="172"/>
    </row>
    <row r="15" spans="1:16" ht="16.5" customHeight="1" x14ac:dyDescent="0.3">
      <c r="A15" s="147">
        <v>15</v>
      </c>
      <c r="B15" s="147">
        <v>3259</v>
      </c>
      <c r="C15" s="197" t="s">
        <v>7530</v>
      </c>
      <c r="D15" s="156" t="s">
        <v>16958</v>
      </c>
      <c r="E15" s="160"/>
      <c r="F15" s="158"/>
      <c r="G15" s="160"/>
      <c r="H15" s="160"/>
      <c r="I15" s="161"/>
      <c r="J15" s="162"/>
      <c r="K15" s="163"/>
      <c r="L15" s="164"/>
      <c r="M15" s="170" t="s">
        <v>1</v>
      </c>
      <c r="N15" s="192">
        <v>0.5</v>
      </c>
      <c r="O15" s="178">
        <v>419</v>
      </c>
      <c r="P15" s="172"/>
    </row>
    <row r="16" spans="1:16" ht="16.5" customHeight="1" x14ac:dyDescent="0.3">
      <c r="A16" s="147">
        <v>15</v>
      </c>
      <c r="B16" s="147">
        <v>3260</v>
      </c>
      <c r="C16" s="197" t="s">
        <v>7529</v>
      </c>
      <c r="D16" s="188" t="s">
        <v>17040</v>
      </c>
      <c r="E16" s="153"/>
      <c r="F16" s="17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17048</v>
      </c>
      <c r="O16" s="178">
        <v>419</v>
      </c>
      <c r="P16" s="172"/>
    </row>
    <row r="17" spans="1:16" ht="16.5" customHeight="1" x14ac:dyDescent="0.3">
      <c r="A17" s="147">
        <v>15</v>
      </c>
      <c r="B17" s="147">
        <v>3261</v>
      </c>
      <c r="C17" s="197" t="s">
        <v>7528</v>
      </c>
      <c r="D17" s="188" t="s">
        <v>17039</v>
      </c>
      <c r="E17" s="205">
        <v>279</v>
      </c>
      <c r="F17" s="171" t="s">
        <v>0</v>
      </c>
      <c r="G17" s="160" t="s">
        <v>17026</v>
      </c>
      <c r="H17" s="160"/>
      <c r="I17" s="161"/>
      <c r="J17" s="162"/>
      <c r="K17" s="163"/>
      <c r="L17" s="164"/>
      <c r="M17" s="170"/>
      <c r="N17" s="171"/>
      <c r="O17" s="178">
        <v>377</v>
      </c>
      <c r="P17" s="172"/>
    </row>
    <row r="18" spans="1:16" ht="16.5" customHeight="1" x14ac:dyDescent="0.3">
      <c r="A18" s="147">
        <v>15</v>
      </c>
      <c r="B18" s="147">
        <v>3262</v>
      </c>
      <c r="C18" s="197" t="s">
        <v>7527</v>
      </c>
      <c r="D18" s="167"/>
      <c r="E18" s="150"/>
      <c r="F18" s="168"/>
      <c r="G18" s="150" t="s">
        <v>17025</v>
      </c>
      <c r="H18" s="150" t="s">
        <v>1</v>
      </c>
      <c r="I18" s="151">
        <v>0.9</v>
      </c>
      <c r="J18" s="162" t="s">
        <v>5895</v>
      </c>
      <c r="K18" s="163" t="s">
        <v>1</v>
      </c>
      <c r="L18" s="164">
        <v>1</v>
      </c>
      <c r="M18" s="170"/>
      <c r="N18" s="171"/>
      <c r="O18" s="178">
        <v>377</v>
      </c>
      <c r="P18" s="172"/>
    </row>
    <row r="19" spans="1:16" ht="16.5" customHeight="1" x14ac:dyDescent="0.3">
      <c r="A19" s="147">
        <v>15</v>
      </c>
      <c r="B19" s="147">
        <v>3263</v>
      </c>
      <c r="C19" s="197" t="s">
        <v>7526</v>
      </c>
      <c r="D19" s="156" t="s">
        <v>17690</v>
      </c>
      <c r="E19" s="160"/>
      <c r="F19" s="158"/>
      <c r="G19" s="160"/>
      <c r="H19" s="160"/>
      <c r="I19" s="161"/>
      <c r="J19" s="162"/>
      <c r="K19" s="163"/>
      <c r="L19" s="164"/>
      <c r="M19" s="170"/>
      <c r="N19" s="171"/>
      <c r="O19" s="178">
        <v>524</v>
      </c>
      <c r="P19" s="172"/>
    </row>
    <row r="20" spans="1:16" ht="16.5" customHeight="1" x14ac:dyDescent="0.3">
      <c r="A20" s="147">
        <v>15</v>
      </c>
      <c r="B20" s="147">
        <v>3264</v>
      </c>
      <c r="C20" s="197" t="s">
        <v>7525</v>
      </c>
      <c r="D20" s="188" t="s">
        <v>17034</v>
      </c>
      <c r="E20" s="153"/>
      <c r="F20" s="17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178">
        <v>524</v>
      </c>
      <c r="P20" s="172"/>
    </row>
    <row r="21" spans="1:16" ht="16.5" customHeight="1" x14ac:dyDescent="0.3">
      <c r="A21" s="147">
        <v>15</v>
      </c>
      <c r="B21" s="147">
        <v>3265</v>
      </c>
      <c r="C21" s="197" t="s">
        <v>7524</v>
      </c>
      <c r="D21" s="188" t="s">
        <v>17032</v>
      </c>
      <c r="E21" s="205">
        <v>349</v>
      </c>
      <c r="F21" s="171" t="s">
        <v>0</v>
      </c>
      <c r="G21" s="160" t="s">
        <v>17026</v>
      </c>
      <c r="H21" s="160"/>
      <c r="I21" s="161"/>
      <c r="J21" s="162"/>
      <c r="K21" s="163"/>
      <c r="L21" s="164"/>
      <c r="M21" s="170"/>
      <c r="N21" s="171"/>
      <c r="O21" s="178">
        <v>471</v>
      </c>
      <c r="P21" s="172"/>
    </row>
    <row r="22" spans="1:16" ht="16.5" customHeight="1" x14ac:dyDescent="0.3">
      <c r="A22" s="147">
        <v>15</v>
      </c>
      <c r="B22" s="147">
        <v>3266</v>
      </c>
      <c r="C22" s="197" t="s">
        <v>7523</v>
      </c>
      <c r="D22" s="167"/>
      <c r="E22" s="150"/>
      <c r="F22" s="168"/>
      <c r="G22" s="150" t="s">
        <v>16812</v>
      </c>
      <c r="H22" s="150" t="s">
        <v>1</v>
      </c>
      <c r="I22" s="151">
        <v>0.9</v>
      </c>
      <c r="J22" s="162" t="s">
        <v>5895</v>
      </c>
      <c r="K22" s="163" t="s">
        <v>1</v>
      </c>
      <c r="L22" s="164">
        <v>1</v>
      </c>
      <c r="M22" s="170"/>
      <c r="N22" s="171"/>
      <c r="O22" s="178">
        <v>471</v>
      </c>
      <c r="P22" s="172"/>
    </row>
    <row r="23" spans="1:16" ht="16.5" customHeight="1" x14ac:dyDescent="0.3">
      <c r="A23" s="147">
        <v>15</v>
      </c>
      <c r="B23" s="147">
        <v>3267</v>
      </c>
      <c r="C23" s="197" t="s">
        <v>7522</v>
      </c>
      <c r="D23" s="156" t="s">
        <v>17689</v>
      </c>
      <c r="E23" s="160"/>
      <c r="F23" s="158"/>
      <c r="G23" s="160"/>
      <c r="H23" s="160"/>
      <c r="I23" s="161"/>
      <c r="J23" s="162"/>
      <c r="K23" s="163"/>
      <c r="L23" s="164"/>
      <c r="M23" s="170"/>
      <c r="N23" s="171"/>
      <c r="O23" s="178">
        <v>629</v>
      </c>
      <c r="P23" s="172"/>
    </row>
    <row r="24" spans="1:16" ht="16.5" customHeight="1" x14ac:dyDescent="0.3">
      <c r="A24" s="147">
        <v>15</v>
      </c>
      <c r="B24" s="147">
        <v>3268</v>
      </c>
      <c r="C24" s="197" t="s">
        <v>7521</v>
      </c>
      <c r="D24" s="188" t="s">
        <v>16865</v>
      </c>
      <c r="E24" s="153"/>
      <c r="F24" s="17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178">
        <v>629</v>
      </c>
      <c r="P24" s="172"/>
    </row>
    <row r="25" spans="1:16" ht="16.5" customHeight="1" x14ac:dyDescent="0.3">
      <c r="A25" s="147">
        <v>15</v>
      </c>
      <c r="B25" s="147">
        <v>3269</v>
      </c>
      <c r="C25" s="197" t="s">
        <v>7520</v>
      </c>
      <c r="D25" s="188" t="s">
        <v>17027</v>
      </c>
      <c r="E25" s="205">
        <v>419</v>
      </c>
      <c r="F25" s="171" t="s">
        <v>0</v>
      </c>
      <c r="G25" s="160" t="s">
        <v>16823</v>
      </c>
      <c r="H25" s="160"/>
      <c r="I25" s="161"/>
      <c r="J25" s="162"/>
      <c r="K25" s="163"/>
      <c r="L25" s="164"/>
      <c r="M25" s="170"/>
      <c r="N25" s="171"/>
      <c r="O25" s="178">
        <v>566</v>
      </c>
      <c r="P25" s="172"/>
    </row>
    <row r="26" spans="1:16" ht="16.5" customHeight="1" x14ac:dyDescent="0.3">
      <c r="A26" s="147">
        <v>15</v>
      </c>
      <c r="B26" s="147">
        <v>3270</v>
      </c>
      <c r="C26" s="197" t="s">
        <v>7519</v>
      </c>
      <c r="D26" s="167"/>
      <c r="E26" s="150"/>
      <c r="F26" s="168"/>
      <c r="G26" s="150" t="s">
        <v>17025</v>
      </c>
      <c r="H26" s="150" t="s">
        <v>1</v>
      </c>
      <c r="I26" s="151">
        <v>0.9</v>
      </c>
      <c r="J26" s="162" t="s">
        <v>5895</v>
      </c>
      <c r="K26" s="163" t="s">
        <v>1</v>
      </c>
      <c r="L26" s="164">
        <v>1</v>
      </c>
      <c r="M26" s="170"/>
      <c r="N26" s="171"/>
      <c r="O26" s="178">
        <v>566</v>
      </c>
      <c r="P26" s="172"/>
    </row>
    <row r="27" spans="1:16" ht="16.5" customHeight="1" x14ac:dyDescent="0.3">
      <c r="A27" s="147">
        <v>15</v>
      </c>
      <c r="B27" s="147">
        <v>3271</v>
      </c>
      <c r="C27" s="197" t="s">
        <v>7518</v>
      </c>
      <c r="D27" s="156" t="s">
        <v>17688</v>
      </c>
      <c r="E27" s="160"/>
      <c r="F27" s="158"/>
      <c r="G27" s="160"/>
      <c r="H27" s="160"/>
      <c r="I27" s="161"/>
      <c r="J27" s="162"/>
      <c r="K27" s="163"/>
      <c r="L27" s="164"/>
      <c r="M27" s="170"/>
      <c r="N27" s="171"/>
      <c r="O27" s="178">
        <v>734</v>
      </c>
      <c r="P27" s="172"/>
    </row>
    <row r="28" spans="1:16" ht="16.5" customHeight="1" x14ac:dyDescent="0.3">
      <c r="A28" s="147">
        <v>15</v>
      </c>
      <c r="B28" s="147">
        <v>3272</v>
      </c>
      <c r="C28" s="197" t="s">
        <v>7517</v>
      </c>
      <c r="D28" s="188" t="s">
        <v>17648</v>
      </c>
      <c r="E28" s="153"/>
      <c r="F28" s="171"/>
      <c r="G28" s="150"/>
      <c r="H28" s="150"/>
      <c r="I28" s="151"/>
      <c r="J28" s="162" t="s">
        <v>5895</v>
      </c>
      <c r="K28" s="163" t="s">
        <v>1</v>
      </c>
      <c r="L28" s="164">
        <v>1</v>
      </c>
      <c r="M28" s="170"/>
      <c r="N28" s="171"/>
      <c r="O28" s="178">
        <v>734</v>
      </c>
      <c r="P28" s="172"/>
    </row>
    <row r="29" spans="1:16" ht="16.5" customHeight="1" x14ac:dyDescent="0.3">
      <c r="A29" s="147">
        <v>15</v>
      </c>
      <c r="B29" s="147">
        <v>3273</v>
      </c>
      <c r="C29" s="197" t="s">
        <v>7516</v>
      </c>
      <c r="D29" s="188" t="s">
        <v>17647</v>
      </c>
      <c r="E29" s="205">
        <v>489</v>
      </c>
      <c r="F29" s="171" t="s">
        <v>0</v>
      </c>
      <c r="G29" s="160" t="s">
        <v>16823</v>
      </c>
      <c r="H29" s="160"/>
      <c r="I29" s="161"/>
      <c r="J29" s="162"/>
      <c r="K29" s="163"/>
      <c r="L29" s="164"/>
      <c r="M29" s="170"/>
      <c r="N29" s="171"/>
      <c r="O29" s="178">
        <v>660</v>
      </c>
      <c r="P29" s="172"/>
    </row>
    <row r="30" spans="1:16" ht="16.5" customHeight="1" x14ac:dyDescent="0.3">
      <c r="A30" s="147">
        <v>15</v>
      </c>
      <c r="B30" s="147">
        <v>3274</v>
      </c>
      <c r="C30" s="197" t="s">
        <v>7515</v>
      </c>
      <c r="D30" s="167"/>
      <c r="E30" s="150"/>
      <c r="F30" s="168"/>
      <c r="G30" s="150" t="s">
        <v>16812</v>
      </c>
      <c r="H30" s="150" t="s">
        <v>1</v>
      </c>
      <c r="I30" s="151">
        <v>0.9</v>
      </c>
      <c r="J30" s="162" t="s">
        <v>5895</v>
      </c>
      <c r="K30" s="163" t="s">
        <v>1</v>
      </c>
      <c r="L30" s="164">
        <v>1</v>
      </c>
      <c r="M30" s="170"/>
      <c r="N30" s="171"/>
      <c r="O30" s="178">
        <v>660</v>
      </c>
      <c r="P30" s="172"/>
    </row>
    <row r="31" spans="1:16" ht="16.5" customHeight="1" x14ac:dyDescent="0.3">
      <c r="A31" s="147">
        <v>15</v>
      </c>
      <c r="B31" s="147">
        <v>3275</v>
      </c>
      <c r="C31" s="197" t="s">
        <v>7514</v>
      </c>
      <c r="D31" s="156" t="s">
        <v>17687</v>
      </c>
      <c r="E31" s="160"/>
      <c r="F31" s="158"/>
      <c r="G31" s="160"/>
      <c r="H31" s="160"/>
      <c r="I31" s="161"/>
      <c r="J31" s="162"/>
      <c r="K31" s="163"/>
      <c r="L31" s="164"/>
      <c r="M31" s="170"/>
      <c r="N31" s="171"/>
      <c r="O31" s="178">
        <v>839</v>
      </c>
      <c r="P31" s="172"/>
    </row>
    <row r="32" spans="1:16" ht="16.5" customHeight="1" x14ac:dyDescent="0.3">
      <c r="A32" s="147">
        <v>15</v>
      </c>
      <c r="B32" s="147">
        <v>3276</v>
      </c>
      <c r="C32" s="197" t="s">
        <v>7513</v>
      </c>
      <c r="D32" s="188" t="s">
        <v>17645</v>
      </c>
      <c r="E32" s="153"/>
      <c r="F32" s="171"/>
      <c r="G32" s="150"/>
      <c r="H32" s="150"/>
      <c r="I32" s="151"/>
      <c r="J32" s="162" t="s">
        <v>5895</v>
      </c>
      <c r="K32" s="163" t="s">
        <v>1</v>
      </c>
      <c r="L32" s="164">
        <v>1</v>
      </c>
      <c r="M32" s="170"/>
      <c r="N32" s="171"/>
      <c r="O32" s="178">
        <v>839</v>
      </c>
      <c r="P32" s="172"/>
    </row>
    <row r="33" spans="1:16" ht="16.5" customHeight="1" x14ac:dyDescent="0.3">
      <c r="A33" s="147">
        <v>15</v>
      </c>
      <c r="B33" s="147">
        <v>3277</v>
      </c>
      <c r="C33" s="197" t="s">
        <v>7512</v>
      </c>
      <c r="D33" s="188" t="s">
        <v>17644</v>
      </c>
      <c r="E33" s="205">
        <v>559</v>
      </c>
      <c r="F33" s="171" t="s">
        <v>0</v>
      </c>
      <c r="G33" s="160" t="s">
        <v>17026</v>
      </c>
      <c r="H33" s="160"/>
      <c r="I33" s="161"/>
      <c r="J33" s="162"/>
      <c r="K33" s="163"/>
      <c r="L33" s="164"/>
      <c r="M33" s="170"/>
      <c r="N33" s="171"/>
      <c r="O33" s="178">
        <v>755</v>
      </c>
      <c r="P33" s="172"/>
    </row>
    <row r="34" spans="1:16" ht="16.5" customHeight="1" x14ac:dyDescent="0.3">
      <c r="A34" s="147">
        <v>15</v>
      </c>
      <c r="B34" s="147">
        <v>3278</v>
      </c>
      <c r="C34" s="197" t="s">
        <v>7511</v>
      </c>
      <c r="D34" s="167"/>
      <c r="E34" s="150"/>
      <c r="F34" s="168"/>
      <c r="G34" s="150" t="s">
        <v>17025</v>
      </c>
      <c r="H34" s="150" t="s">
        <v>1</v>
      </c>
      <c r="I34" s="151">
        <v>0.9</v>
      </c>
      <c r="J34" s="162" t="s">
        <v>5895</v>
      </c>
      <c r="K34" s="163" t="s">
        <v>1</v>
      </c>
      <c r="L34" s="164">
        <v>1</v>
      </c>
      <c r="M34" s="170"/>
      <c r="N34" s="171"/>
      <c r="O34" s="178">
        <v>755</v>
      </c>
      <c r="P34" s="172"/>
    </row>
    <row r="35" spans="1:16" ht="16.5" customHeight="1" x14ac:dyDescent="0.3">
      <c r="A35" s="147">
        <v>15</v>
      </c>
      <c r="B35" s="147">
        <v>3279</v>
      </c>
      <c r="C35" s="197" t="s">
        <v>7510</v>
      </c>
      <c r="D35" s="156" t="s">
        <v>17686</v>
      </c>
      <c r="E35" s="160"/>
      <c r="F35" s="158"/>
      <c r="G35" s="160"/>
      <c r="H35" s="160"/>
      <c r="I35" s="161"/>
      <c r="J35" s="162"/>
      <c r="K35" s="163"/>
      <c r="L35" s="164"/>
      <c r="M35" s="170"/>
      <c r="N35" s="171"/>
      <c r="O35" s="178">
        <v>944</v>
      </c>
      <c r="P35" s="172"/>
    </row>
    <row r="36" spans="1:16" ht="16.5" customHeight="1" x14ac:dyDescent="0.3">
      <c r="A36" s="147">
        <v>15</v>
      </c>
      <c r="B36" s="147">
        <v>3280</v>
      </c>
      <c r="C36" s="197" t="s">
        <v>7509</v>
      </c>
      <c r="D36" s="188" t="s">
        <v>17642</v>
      </c>
      <c r="E36" s="153"/>
      <c r="F36" s="171"/>
      <c r="G36" s="150"/>
      <c r="H36" s="150"/>
      <c r="I36" s="151"/>
      <c r="J36" s="162" t="s">
        <v>5895</v>
      </c>
      <c r="K36" s="163" t="s">
        <v>1</v>
      </c>
      <c r="L36" s="164">
        <v>1</v>
      </c>
      <c r="M36" s="170"/>
      <c r="N36" s="171"/>
      <c r="O36" s="178">
        <v>944</v>
      </c>
      <c r="P36" s="172"/>
    </row>
    <row r="37" spans="1:16" ht="16.5" customHeight="1" x14ac:dyDescent="0.3">
      <c r="A37" s="147">
        <v>15</v>
      </c>
      <c r="B37" s="147">
        <v>3281</v>
      </c>
      <c r="C37" s="197" t="s">
        <v>7508</v>
      </c>
      <c r="D37" s="188" t="s">
        <v>17641</v>
      </c>
      <c r="E37" s="205">
        <v>629</v>
      </c>
      <c r="F37" s="171" t="s">
        <v>0</v>
      </c>
      <c r="G37" s="160" t="s">
        <v>17026</v>
      </c>
      <c r="H37" s="160"/>
      <c r="I37" s="161"/>
      <c r="J37" s="162"/>
      <c r="K37" s="163"/>
      <c r="L37" s="164"/>
      <c r="M37" s="170"/>
      <c r="N37" s="171"/>
      <c r="O37" s="178">
        <v>849</v>
      </c>
      <c r="P37" s="172"/>
    </row>
    <row r="38" spans="1:16" ht="16.5" customHeight="1" x14ac:dyDescent="0.3">
      <c r="A38" s="147">
        <v>15</v>
      </c>
      <c r="B38" s="147">
        <v>3282</v>
      </c>
      <c r="C38" s="197" t="s">
        <v>7507</v>
      </c>
      <c r="D38" s="167"/>
      <c r="E38" s="150"/>
      <c r="F38" s="168"/>
      <c r="G38" s="150" t="s">
        <v>16812</v>
      </c>
      <c r="H38" s="150" t="s">
        <v>1</v>
      </c>
      <c r="I38" s="151">
        <v>0.9</v>
      </c>
      <c r="J38" s="162" t="s">
        <v>5895</v>
      </c>
      <c r="K38" s="163" t="s">
        <v>1</v>
      </c>
      <c r="L38" s="164">
        <v>1</v>
      </c>
      <c r="M38" s="170"/>
      <c r="N38" s="171"/>
      <c r="O38" s="178">
        <v>849</v>
      </c>
      <c r="P38" s="172"/>
    </row>
    <row r="39" spans="1:16" ht="16.5" customHeight="1" x14ac:dyDescent="0.3">
      <c r="A39" s="147">
        <v>15</v>
      </c>
      <c r="B39" s="147">
        <v>3283</v>
      </c>
      <c r="C39" s="197" t="s">
        <v>7506</v>
      </c>
      <c r="D39" s="156" t="s">
        <v>17685</v>
      </c>
      <c r="E39" s="160"/>
      <c r="F39" s="158"/>
      <c r="G39" s="160"/>
      <c r="H39" s="160"/>
      <c r="I39" s="161"/>
      <c r="J39" s="162"/>
      <c r="K39" s="163"/>
      <c r="L39" s="164"/>
      <c r="M39" s="170"/>
      <c r="N39" s="171"/>
      <c r="O39" s="178">
        <v>1049</v>
      </c>
      <c r="P39" s="172"/>
    </row>
    <row r="40" spans="1:16" ht="16.5" customHeight="1" x14ac:dyDescent="0.3">
      <c r="A40" s="147">
        <v>15</v>
      </c>
      <c r="B40" s="147">
        <v>3284</v>
      </c>
      <c r="C40" s="197" t="s">
        <v>7505</v>
      </c>
      <c r="D40" s="188" t="s">
        <v>17639</v>
      </c>
      <c r="E40" s="153"/>
      <c r="F40" s="171"/>
      <c r="G40" s="150"/>
      <c r="H40" s="150"/>
      <c r="I40" s="151"/>
      <c r="J40" s="162" t="s">
        <v>5895</v>
      </c>
      <c r="K40" s="163" t="s">
        <v>1</v>
      </c>
      <c r="L40" s="164">
        <v>1</v>
      </c>
      <c r="M40" s="170"/>
      <c r="N40" s="171"/>
      <c r="O40" s="178">
        <v>1049</v>
      </c>
      <c r="P40" s="172"/>
    </row>
    <row r="41" spans="1:16" ht="16.5" customHeight="1" x14ac:dyDescent="0.3">
      <c r="A41" s="147">
        <v>15</v>
      </c>
      <c r="B41" s="147">
        <v>3285</v>
      </c>
      <c r="C41" s="197" t="s">
        <v>7504</v>
      </c>
      <c r="D41" s="188" t="s">
        <v>17638</v>
      </c>
      <c r="E41" s="205">
        <v>699</v>
      </c>
      <c r="F41" s="171" t="s">
        <v>0</v>
      </c>
      <c r="G41" s="160" t="s">
        <v>16823</v>
      </c>
      <c r="H41" s="160"/>
      <c r="I41" s="161"/>
      <c r="J41" s="162"/>
      <c r="K41" s="163"/>
      <c r="L41" s="164"/>
      <c r="M41" s="170"/>
      <c r="N41" s="171"/>
      <c r="O41" s="178">
        <v>944</v>
      </c>
      <c r="P41" s="172"/>
    </row>
    <row r="42" spans="1:16" ht="16.5" customHeight="1" x14ac:dyDescent="0.3">
      <c r="A42" s="147">
        <v>15</v>
      </c>
      <c r="B42" s="147">
        <v>3286</v>
      </c>
      <c r="C42" s="197" t="s">
        <v>7503</v>
      </c>
      <c r="D42" s="167"/>
      <c r="E42" s="150"/>
      <c r="F42" s="168"/>
      <c r="G42" s="150" t="s">
        <v>17025</v>
      </c>
      <c r="H42" s="150" t="s">
        <v>1</v>
      </c>
      <c r="I42" s="151">
        <v>0.9</v>
      </c>
      <c r="J42" s="162" t="s">
        <v>5895</v>
      </c>
      <c r="K42" s="163" t="s">
        <v>1</v>
      </c>
      <c r="L42" s="164">
        <v>1</v>
      </c>
      <c r="M42" s="170"/>
      <c r="N42" s="171"/>
      <c r="O42" s="178">
        <v>944</v>
      </c>
      <c r="P42" s="172"/>
    </row>
    <row r="43" spans="1:16" ht="16.5" customHeight="1" x14ac:dyDescent="0.3">
      <c r="A43" s="147">
        <v>15</v>
      </c>
      <c r="B43" s="147">
        <v>3287</v>
      </c>
      <c r="C43" s="197" t="s">
        <v>7502</v>
      </c>
      <c r="D43" s="156" t="s">
        <v>17684</v>
      </c>
      <c r="E43" s="160"/>
      <c r="F43" s="158"/>
      <c r="G43" s="160"/>
      <c r="H43" s="160"/>
      <c r="I43" s="161"/>
      <c r="J43" s="162"/>
      <c r="K43" s="163"/>
      <c r="L43" s="164"/>
      <c r="M43" s="170"/>
      <c r="N43" s="171"/>
      <c r="O43" s="178">
        <v>1154</v>
      </c>
      <c r="P43" s="172"/>
    </row>
    <row r="44" spans="1:16" ht="16.5" customHeight="1" x14ac:dyDescent="0.3">
      <c r="A44" s="147">
        <v>15</v>
      </c>
      <c r="B44" s="147">
        <v>3288</v>
      </c>
      <c r="C44" s="197" t="s">
        <v>7501</v>
      </c>
      <c r="D44" s="188" t="s">
        <v>16850</v>
      </c>
      <c r="E44" s="153"/>
      <c r="F44" s="171"/>
      <c r="G44" s="150"/>
      <c r="H44" s="150"/>
      <c r="I44" s="151"/>
      <c r="J44" s="162" t="s">
        <v>5895</v>
      </c>
      <c r="K44" s="163" t="s">
        <v>1</v>
      </c>
      <c r="L44" s="164">
        <v>1</v>
      </c>
      <c r="M44" s="170"/>
      <c r="N44" s="171"/>
      <c r="O44" s="178">
        <v>1154</v>
      </c>
      <c r="P44" s="172"/>
    </row>
    <row r="45" spans="1:16" ht="16.5" customHeight="1" x14ac:dyDescent="0.3">
      <c r="A45" s="147">
        <v>15</v>
      </c>
      <c r="B45" s="147">
        <v>3289</v>
      </c>
      <c r="C45" s="197" t="s">
        <v>7500</v>
      </c>
      <c r="D45" s="188" t="s">
        <v>16849</v>
      </c>
      <c r="E45" s="205">
        <v>769</v>
      </c>
      <c r="F45" s="171" t="s">
        <v>0</v>
      </c>
      <c r="G45" s="160" t="s">
        <v>17026</v>
      </c>
      <c r="H45" s="160"/>
      <c r="I45" s="161"/>
      <c r="J45" s="162"/>
      <c r="K45" s="163"/>
      <c r="L45" s="164"/>
      <c r="M45" s="170"/>
      <c r="N45" s="171"/>
      <c r="O45" s="178">
        <v>1038</v>
      </c>
      <c r="P45" s="172"/>
    </row>
    <row r="46" spans="1:16" ht="16.5" customHeight="1" x14ac:dyDescent="0.3">
      <c r="A46" s="147">
        <v>15</v>
      </c>
      <c r="B46" s="147">
        <v>3290</v>
      </c>
      <c r="C46" s="197" t="s">
        <v>7499</v>
      </c>
      <c r="D46" s="167"/>
      <c r="E46" s="150"/>
      <c r="F46" s="168"/>
      <c r="G46" s="150" t="s">
        <v>17025</v>
      </c>
      <c r="H46" s="150" t="s">
        <v>1</v>
      </c>
      <c r="I46" s="151">
        <v>0.9</v>
      </c>
      <c r="J46" s="162" t="s">
        <v>5895</v>
      </c>
      <c r="K46" s="163" t="s">
        <v>1</v>
      </c>
      <c r="L46" s="164">
        <v>1</v>
      </c>
      <c r="M46" s="170"/>
      <c r="N46" s="171"/>
      <c r="O46" s="178">
        <v>1038</v>
      </c>
      <c r="P46" s="172"/>
    </row>
    <row r="47" spans="1:16" ht="16.5" customHeight="1" x14ac:dyDescent="0.3">
      <c r="A47" s="147">
        <v>15</v>
      </c>
      <c r="B47" s="147">
        <v>3291</v>
      </c>
      <c r="C47" s="197" t="s">
        <v>7498</v>
      </c>
      <c r="D47" s="156" t="s">
        <v>17683</v>
      </c>
      <c r="E47" s="160"/>
      <c r="F47" s="158"/>
      <c r="G47" s="160"/>
      <c r="H47" s="160"/>
      <c r="I47" s="161"/>
      <c r="J47" s="162"/>
      <c r="K47" s="163"/>
      <c r="L47" s="164"/>
      <c r="M47" s="170"/>
      <c r="N47" s="171"/>
      <c r="O47" s="178">
        <v>1259</v>
      </c>
      <c r="P47" s="172"/>
    </row>
    <row r="48" spans="1:16" ht="16.5" customHeight="1" x14ac:dyDescent="0.3">
      <c r="A48" s="147">
        <v>15</v>
      </c>
      <c r="B48" s="147">
        <v>3292</v>
      </c>
      <c r="C48" s="197" t="s">
        <v>7497</v>
      </c>
      <c r="D48" s="188" t="s">
        <v>17633</v>
      </c>
      <c r="E48" s="153"/>
      <c r="F48" s="171"/>
      <c r="G48" s="150"/>
      <c r="H48" s="150"/>
      <c r="I48" s="151"/>
      <c r="J48" s="162" t="s">
        <v>5895</v>
      </c>
      <c r="K48" s="163" t="s">
        <v>1</v>
      </c>
      <c r="L48" s="164">
        <v>1</v>
      </c>
      <c r="M48" s="170"/>
      <c r="N48" s="171"/>
      <c r="O48" s="178">
        <v>1259</v>
      </c>
      <c r="P48" s="172"/>
    </row>
    <row r="49" spans="1:16" ht="16.5" customHeight="1" x14ac:dyDescent="0.3">
      <c r="A49" s="147">
        <v>15</v>
      </c>
      <c r="B49" s="147">
        <v>3293</v>
      </c>
      <c r="C49" s="197" t="s">
        <v>7496</v>
      </c>
      <c r="D49" s="188" t="s">
        <v>16846</v>
      </c>
      <c r="E49" s="205">
        <v>839</v>
      </c>
      <c r="F49" s="171" t="s">
        <v>0</v>
      </c>
      <c r="G49" s="160" t="s">
        <v>17026</v>
      </c>
      <c r="H49" s="160"/>
      <c r="I49" s="161"/>
      <c r="J49" s="162"/>
      <c r="K49" s="163"/>
      <c r="L49" s="164"/>
      <c r="M49" s="170"/>
      <c r="N49" s="171"/>
      <c r="O49" s="178">
        <v>1133</v>
      </c>
      <c r="P49" s="172"/>
    </row>
    <row r="50" spans="1:16" ht="16.5" customHeight="1" x14ac:dyDescent="0.3">
      <c r="A50" s="147">
        <v>15</v>
      </c>
      <c r="B50" s="147">
        <v>3294</v>
      </c>
      <c r="C50" s="197" t="s">
        <v>7495</v>
      </c>
      <c r="D50" s="167"/>
      <c r="E50" s="150"/>
      <c r="F50" s="168"/>
      <c r="G50" s="150" t="s">
        <v>17025</v>
      </c>
      <c r="H50" s="150" t="s">
        <v>1</v>
      </c>
      <c r="I50" s="151">
        <v>0.9</v>
      </c>
      <c r="J50" s="162" t="s">
        <v>5895</v>
      </c>
      <c r="K50" s="163" t="s">
        <v>1</v>
      </c>
      <c r="L50" s="164">
        <v>1</v>
      </c>
      <c r="M50" s="170"/>
      <c r="N50" s="171"/>
      <c r="O50" s="178">
        <v>1133</v>
      </c>
      <c r="P50" s="172"/>
    </row>
    <row r="51" spans="1:16" ht="16.5" customHeight="1" x14ac:dyDescent="0.3">
      <c r="A51" s="147">
        <v>15</v>
      </c>
      <c r="B51" s="147">
        <v>3295</v>
      </c>
      <c r="C51" s="197" t="s">
        <v>7494</v>
      </c>
      <c r="D51" s="156" t="s">
        <v>17682</v>
      </c>
      <c r="E51" s="160"/>
      <c r="F51" s="158"/>
      <c r="G51" s="160"/>
      <c r="H51" s="160"/>
      <c r="I51" s="161"/>
      <c r="J51" s="162"/>
      <c r="K51" s="163"/>
      <c r="L51" s="164"/>
      <c r="M51" s="170"/>
      <c r="N51" s="171"/>
      <c r="O51" s="178">
        <v>1364</v>
      </c>
      <c r="P51" s="172"/>
    </row>
    <row r="52" spans="1:16" ht="16.5" customHeight="1" x14ac:dyDescent="0.3">
      <c r="A52" s="147">
        <v>15</v>
      </c>
      <c r="B52" s="147">
        <v>3296</v>
      </c>
      <c r="C52" s="197" t="s">
        <v>7493</v>
      </c>
      <c r="D52" s="188" t="s">
        <v>17630</v>
      </c>
      <c r="E52" s="153"/>
      <c r="F52" s="171"/>
      <c r="G52" s="150"/>
      <c r="H52" s="150"/>
      <c r="I52" s="151"/>
      <c r="J52" s="162" t="s">
        <v>5895</v>
      </c>
      <c r="K52" s="163" t="s">
        <v>1</v>
      </c>
      <c r="L52" s="164">
        <v>1</v>
      </c>
      <c r="M52" s="170"/>
      <c r="N52" s="171"/>
      <c r="O52" s="178">
        <v>1364</v>
      </c>
      <c r="P52" s="172"/>
    </row>
    <row r="53" spans="1:16" ht="16.5" customHeight="1" x14ac:dyDescent="0.3">
      <c r="A53" s="147">
        <v>15</v>
      </c>
      <c r="B53" s="147">
        <v>3297</v>
      </c>
      <c r="C53" s="197" t="s">
        <v>7492</v>
      </c>
      <c r="D53" s="188" t="s">
        <v>17629</v>
      </c>
      <c r="E53" s="205">
        <v>909</v>
      </c>
      <c r="F53" s="171" t="s">
        <v>0</v>
      </c>
      <c r="G53" s="160" t="s">
        <v>17026</v>
      </c>
      <c r="H53" s="160"/>
      <c r="I53" s="161"/>
      <c r="J53" s="162"/>
      <c r="K53" s="163"/>
      <c r="L53" s="164"/>
      <c r="M53" s="170"/>
      <c r="N53" s="171"/>
      <c r="O53" s="178">
        <v>1227</v>
      </c>
      <c r="P53" s="172"/>
    </row>
    <row r="54" spans="1:16" ht="16.5" customHeight="1" x14ac:dyDescent="0.3">
      <c r="A54" s="147">
        <v>15</v>
      </c>
      <c r="B54" s="147">
        <v>3298</v>
      </c>
      <c r="C54" s="197" t="s">
        <v>7491</v>
      </c>
      <c r="D54" s="167"/>
      <c r="E54" s="150"/>
      <c r="F54" s="168"/>
      <c r="G54" s="150" t="s">
        <v>16812</v>
      </c>
      <c r="H54" s="150" t="s">
        <v>1</v>
      </c>
      <c r="I54" s="151">
        <v>0.9</v>
      </c>
      <c r="J54" s="162" t="s">
        <v>5895</v>
      </c>
      <c r="K54" s="163" t="s">
        <v>1</v>
      </c>
      <c r="L54" s="164">
        <v>1</v>
      </c>
      <c r="M54" s="170"/>
      <c r="N54" s="171"/>
      <c r="O54" s="178">
        <v>1227</v>
      </c>
      <c r="P54" s="172"/>
    </row>
    <row r="55" spans="1:16" ht="16.5" customHeight="1" x14ac:dyDescent="0.3">
      <c r="A55" s="147">
        <v>15</v>
      </c>
      <c r="B55" s="147">
        <v>3299</v>
      </c>
      <c r="C55" s="197" t="s">
        <v>7490</v>
      </c>
      <c r="D55" s="156" t="s">
        <v>17681</v>
      </c>
      <c r="E55" s="160"/>
      <c r="F55" s="158"/>
      <c r="G55" s="160"/>
      <c r="H55" s="160"/>
      <c r="I55" s="161"/>
      <c r="J55" s="162"/>
      <c r="K55" s="163"/>
      <c r="L55" s="164"/>
      <c r="M55" s="170"/>
      <c r="N55" s="171"/>
      <c r="O55" s="178">
        <v>1469</v>
      </c>
      <c r="P55" s="172"/>
    </row>
    <row r="56" spans="1:16" ht="16.5" customHeight="1" x14ac:dyDescent="0.3">
      <c r="A56" s="147">
        <v>15</v>
      </c>
      <c r="B56" s="147">
        <v>3300</v>
      </c>
      <c r="C56" s="197" t="s">
        <v>7489</v>
      </c>
      <c r="D56" s="188" t="s">
        <v>17627</v>
      </c>
      <c r="E56" s="153"/>
      <c r="F56" s="171"/>
      <c r="G56" s="150"/>
      <c r="H56" s="150"/>
      <c r="I56" s="151"/>
      <c r="J56" s="162" t="s">
        <v>5895</v>
      </c>
      <c r="K56" s="163" t="s">
        <v>1</v>
      </c>
      <c r="L56" s="164">
        <v>1</v>
      </c>
      <c r="M56" s="170"/>
      <c r="N56" s="171"/>
      <c r="O56" s="178">
        <v>1469</v>
      </c>
      <c r="P56" s="172"/>
    </row>
    <row r="57" spans="1:16" ht="16.5" customHeight="1" x14ac:dyDescent="0.3">
      <c r="A57" s="147">
        <v>15</v>
      </c>
      <c r="B57" s="147">
        <v>3301</v>
      </c>
      <c r="C57" s="197" t="s">
        <v>7488</v>
      </c>
      <c r="D57" s="188" t="s">
        <v>17626</v>
      </c>
      <c r="E57" s="205">
        <v>979</v>
      </c>
      <c r="F57" s="171" t="s">
        <v>0</v>
      </c>
      <c r="G57" s="160" t="s">
        <v>17026</v>
      </c>
      <c r="H57" s="160"/>
      <c r="I57" s="161"/>
      <c r="J57" s="162"/>
      <c r="K57" s="163"/>
      <c r="L57" s="164"/>
      <c r="M57" s="170"/>
      <c r="N57" s="171"/>
      <c r="O57" s="178">
        <v>1322</v>
      </c>
      <c r="P57" s="172"/>
    </row>
    <row r="58" spans="1:16" ht="16.5" customHeight="1" x14ac:dyDescent="0.3">
      <c r="A58" s="147">
        <v>15</v>
      </c>
      <c r="B58" s="147">
        <v>3302</v>
      </c>
      <c r="C58" s="197" t="s">
        <v>7487</v>
      </c>
      <c r="D58" s="167"/>
      <c r="E58" s="150"/>
      <c r="F58" s="168"/>
      <c r="G58" s="150" t="s">
        <v>17025</v>
      </c>
      <c r="H58" s="150" t="s">
        <v>1</v>
      </c>
      <c r="I58" s="151">
        <v>0.9</v>
      </c>
      <c r="J58" s="162" t="s">
        <v>5895</v>
      </c>
      <c r="K58" s="163" t="s">
        <v>1</v>
      </c>
      <c r="L58" s="164">
        <v>1</v>
      </c>
      <c r="M58" s="176"/>
      <c r="N58" s="168"/>
      <c r="O58" s="178">
        <v>1322</v>
      </c>
      <c r="P58" s="177"/>
    </row>
    <row r="59" spans="1:16" ht="16.5" customHeight="1" x14ac:dyDescent="0.3"/>
    <row r="60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theme="1" tint="0.249977111117893"/>
    <pageSetUpPr fitToPage="1"/>
  </sheetPr>
  <dimension ref="A1:U54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4.1015625" style="47" bestFit="1" customWidth="1"/>
    <col min="19" max="19" width="4.734375" style="46" bestFit="1" customWidth="1"/>
    <col min="20" max="20" width="6.3671875" style="84" bestFit="1" customWidth="1"/>
    <col min="21" max="21" width="7.734375" style="48" bestFit="1" customWidth="1"/>
    <col min="22" max="16384" width="9" style="49"/>
  </cols>
  <sheetData>
    <row r="1" spans="1:21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5"/>
      <c r="S1" s="134"/>
      <c r="T1" s="136"/>
      <c r="U1" s="137"/>
    </row>
    <row r="2" spans="1:21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5"/>
      <c r="S2" s="134"/>
      <c r="T2" s="136"/>
      <c r="U2" s="137"/>
    </row>
    <row r="3" spans="1:21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5"/>
      <c r="S3" s="134"/>
      <c r="T3" s="136"/>
      <c r="U3" s="137"/>
    </row>
    <row r="4" spans="1:21" ht="16.5" customHeight="1" x14ac:dyDescent="0.3">
      <c r="A4" s="132"/>
      <c r="B4" s="138" t="s">
        <v>7578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5"/>
      <c r="S4" s="134"/>
      <c r="T4" s="136"/>
      <c r="U4" s="137"/>
    </row>
    <row r="5" spans="1:21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5"/>
      <c r="S5" s="144"/>
      <c r="T5" s="146" t="s">
        <v>5869</v>
      </c>
      <c r="U5" s="146" t="s">
        <v>5871</v>
      </c>
    </row>
    <row r="6" spans="1:21" ht="16.5" customHeight="1" x14ac:dyDescent="0.3">
      <c r="A6" s="147" t="s">
        <v>5865</v>
      </c>
      <c r="B6" s="147" t="s">
        <v>5866</v>
      </c>
      <c r="C6" s="148"/>
      <c r="D6" s="208" t="s">
        <v>5872</v>
      </c>
      <c r="E6" s="144"/>
      <c r="F6" s="206"/>
      <c r="G6" s="208" t="s">
        <v>17699</v>
      </c>
      <c r="H6" s="144"/>
      <c r="I6" s="206"/>
      <c r="J6" s="150"/>
      <c r="K6" s="150"/>
      <c r="L6" s="151"/>
      <c r="M6" s="150"/>
      <c r="N6" s="150"/>
      <c r="O6" s="151"/>
      <c r="P6" s="151"/>
      <c r="Q6" s="150"/>
      <c r="R6" s="151"/>
      <c r="S6" s="150"/>
      <c r="T6" s="154" t="s">
        <v>5870</v>
      </c>
      <c r="U6" s="154" t="s">
        <v>0</v>
      </c>
    </row>
    <row r="7" spans="1:21" ht="16.5" customHeight="1" x14ac:dyDescent="0.3">
      <c r="A7" s="147">
        <v>15</v>
      </c>
      <c r="B7" s="147">
        <v>3303</v>
      </c>
      <c r="C7" s="197" t="s">
        <v>7577</v>
      </c>
      <c r="D7" s="156" t="s">
        <v>17005</v>
      </c>
      <c r="E7" s="144"/>
      <c r="F7" s="206"/>
      <c r="G7" s="156" t="s">
        <v>17004</v>
      </c>
      <c r="H7" s="144"/>
      <c r="I7" s="206"/>
      <c r="J7" s="160"/>
      <c r="K7" s="160"/>
      <c r="L7" s="161"/>
      <c r="M7" s="162"/>
      <c r="N7" s="163"/>
      <c r="O7" s="164"/>
      <c r="P7" s="165"/>
      <c r="Q7" s="158"/>
      <c r="R7" s="165"/>
      <c r="S7" s="158"/>
      <c r="T7" s="178">
        <v>277</v>
      </c>
      <c r="U7" s="142" t="s">
        <v>5863</v>
      </c>
    </row>
    <row r="8" spans="1:21" ht="16.5" customHeight="1" x14ac:dyDescent="0.3">
      <c r="A8" s="147">
        <v>15</v>
      </c>
      <c r="B8" s="147">
        <v>3304</v>
      </c>
      <c r="C8" s="197" t="s">
        <v>7576</v>
      </c>
      <c r="D8" s="188" t="s">
        <v>17000</v>
      </c>
      <c r="E8" s="210"/>
      <c r="F8" s="211"/>
      <c r="G8" s="188" t="s">
        <v>17000</v>
      </c>
      <c r="H8" s="210"/>
      <c r="I8" s="211"/>
      <c r="J8" s="150"/>
      <c r="K8" s="150"/>
      <c r="L8" s="151"/>
      <c r="M8" s="162" t="s">
        <v>5895</v>
      </c>
      <c r="N8" s="163" t="s">
        <v>1</v>
      </c>
      <c r="O8" s="164">
        <v>1</v>
      </c>
      <c r="P8" s="170"/>
      <c r="Q8" s="171"/>
      <c r="R8" s="170"/>
      <c r="S8" s="171"/>
      <c r="T8" s="178">
        <v>277</v>
      </c>
      <c r="U8" s="172"/>
    </row>
    <row r="9" spans="1:21" ht="16.5" customHeight="1" x14ac:dyDescent="0.3">
      <c r="A9" s="147">
        <v>15</v>
      </c>
      <c r="B9" s="147">
        <v>3305</v>
      </c>
      <c r="C9" s="197" t="s">
        <v>7575</v>
      </c>
      <c r="D9" s="188"/>
      <c r="E9" s="205">
        <v>105</v>
      </c>
      <c r="F9" s="171" t="s">
        <v>0</v>
      </c>
      <c r="G9" s="188"/>
      <c r="H9" s="205">
        <v>95</v>
      </c>
      <c r="I9" s="171" t="s">
        <v>0</v>
      </c>
      <c r="J9" s="160" t="s">
        <v>17693</v>
      </c>
      <c r="K9" s="160"/>
      <c r="L9" s="161"/>
      <c r="M9" s="162"/>
      <c r="N9" s="163"/>
      <c r="O9" s="164"/>
      <c r="P9" s="170"/>
      <c r="Q9" s="171"/>
      <c r="R9" s="170"/>
      <c r="S9" s="171"/>
      <c r="T9" s="178">
        <v>251</v>
      </c>
      <c r="U9" s="172"/>
    </row>
    <row r="10" spans="1:21" ht="16.5" customHeight="1" x14ac:dyDescent="0.3">
      <c r="A10" s="147">
        <v>15</v>
      </c>
      <c r="B10" s="147">
        <v>3306</v>
      </c>
      <c r="C10" s="197" t="s">
        <v>7574</v>
      </c>
      <c r="D10" s="188"/>
      <c r="E10" s="153"/>
      <c r="F10" s="171"/>
      <c r="G10" s="167"/>
      <c r="H10" s="150"/>
      <c r="I10" s="168"/>
      <c r="J10" s="150" t="s">
        <v>16996</v>
      </c>
      <c r="K10" s="150" t="s">
        <v>1</v>
      </c>
      <c r="L10" s="151">
        <v>0.9</v>
      </c>
      <c r="M10" s="162" t="s">
        <v>5895</v>
      </c>
      <c r="N10" s="163" t="s">
        <v>1</v>
      </c>
      <c r="O10" s="164">
        <v>1</v>
      </c>
      <c r="P10" s="170" t="s">
        <v>17002</v>
      </c>
      <c r="Q10" s="171"/>
      <c r="R10" s="170" t="s">
        <v>17369</v>
      </c>
      <c r="S10" s="171"/>
      <c r="T10" s="178">
        <v>251</v>
      </c>
      <c r="U10" s="172"/>
    </row>
    <row r="11" spans="1:21" ht="16.5" customHeight="1" x14ac:dyDescent="0.3">
      <c r="A11" s="147">
        <v>15</v>
      </c>
      <c r="B11" s="147">
        <v>3307</v>
      </c>
      <c r="C11" s="197" t="s">
        <v>7573</v>
      </c>
      <c r="D11" s="188"/>
      <c r="E11" s="153"/>
      <c r="F11" s="171"/>
      <c r="G11" s="156" t="s">
        <v>17698</v>
      </c>
      <c r="H11" s="160"/>
      <c r="I11" s="158"/>
      <c r="J11" s="160"/>
      <c r="K11" s="160"/>
      <c r="L11" s="161"/>
      <c r="M11" s="162"/>
      <c r="N11" s="163"/>
      <c r="O11" s="164"/>
      <c r="P11" s="170"/>
      <c r="Q11" s="174" t="s">
        <v>16999</v>
      </c>
      <c r="R11" s="170"/>
      <c r="S11" s="174" t="s">
        <v>17697</v>
      </c>
      <c r="T11" s="178">
        <v>376</v>
      </c>
      <c r="U11" s="172"/>
    </row>
    <row r="12" spans="1:21" ht="16.5" customHeight="1" x14ac:dyDescent="0.3">
      <c r="A12" s="147">
        <v>15</v>
      </c>
      <c r="B12" s="147">
        <v>3308</v>
      </c>
      <c r="C12" s="197" t="s">
        <v>7572</v>
      </c>
      <c r="D12" s="188"/>
      <c r="E12" s="153"/>
      <c r="F12" s="171"/>
      <c r="G12" s="188" t="s">
        <v>17012</v>
      </c>
      <c r="H12" s="153"/>
      <c r="I12" s="171"/>
      <c r="J12" s="150"/>
      <c r="K12" s="150"/>
      <c r="L12" s="151"/>
      <c r="M12" s="162" t="s">
        <v>5895</v>
      </c>
      <c r="N12" s="163" t="s">
        <v>1</v>
      </c>
      <c r="O12" s="164">
        <v>1</v>
      </c>
      <c r="P12" s="170"/>
      <c r="Q12" s="171"/>
      <c r="R12" s="170"/>
      <c r="S12" s="171"/>
      <c r="T12" s="178">
        <v>376</v>
      </c>
      <c r="U12" s="172"/>
    </row>
    <row r="13" spans="1:21" ht="16.5" customHeight="1" x14ac:dyDescent="0.3">
      <c r="A13" s="147">
        <v>15</v>
      </c>
      <c r="B13" s="147">
        <v>3309</v>
      </c>
      <c r="C13" s="197" t="s">
        <v>7571</v>
      </c>
      <c r="D13" s="188"/>
      <c r="E13" s="153"/>
      <c r="F13" s="171"/>
      <c r="G13" s="188" t="s">
        <v>17011</v>
      </c>
      <c r="H13" s="205">
        <v>174</v>
      </c>
      <c r="I13" s="171" t="s">
        <v>0</v>
      </c>
      <c r="J13" s="160" t="s">
        <v>17693</v>
      </c>
      <c r="K13" s="160"/>
      <c r="L13" s="161"/>
      <c r="M13" s="162"/>
      <c r="N13" s="163"/>
      <c r="O13" s="164"/>
      <c r="P13" s="170" t="s">
        <v>1</v>
      </c>
      <c r="Q13" s="192">
        <v>0.5</v>
      </c>
      <c r="R13" s="170" t="s">
        <v>1</v>
      </c>
      <c r="S13" s="192">
        <v>0.25</v>
      </c>
      <c r="T13" s="178">
        <v>339</v>
      </c>
      <c r="U13" s="172"/>
    </row>
    <row r="14" spans="1:21" ht="16.5" customHeight="1" x14ac:dyDescent="0.3">
      <c r="A14" s="147">
        <v>15</v>
      </c>
      <c r="B14" s="147">
        <v>3310</v>
      </c>
      <c r="C14" s="197" t="s">
        <v>7570</v>
      </c>
      <c r="D14" s="167"/>
      <c r="E14" s="150"/>
      <c r="F14" s="168"/>
      <c r="G14" s="167"/>
      <c r="H14" s="150"/>
      <c r="I14" s="168"/>
      <c r="J14" s="150" t="s">
        <v>16996</v>
      </c>
      <c r="K14" s="150" t="s">
        <v>1</v>
      </c>
      <c r="L14" s="151">
        <v>0.9</v>
      </c>
      <c r="M14" s="162" t="s">
        <v>5895</v>
      </c>
      <c r="N14" s="163" t="s">
        <v>1</v>
      </c>
      <c r="O14" s="164">
        <v>1</v>
      </c>
      <c r="P14" s="170"/>
      <c r="Q14" s="174" t="s">
        <v>16995</v>
      </c>
      <c r="R14" s="170"/>
      <c r="S14" s="174" t="s">
        <v>16995</v>
      </c>
      <c r="T14" s="178">
        <v>339</v>
      </c>
      <c r="U14" s="172"/>
    </row>
    <row r="15" spans="1:21" ht="16.5" customHeight="1" x14ac:dyDescent="0.3">
      <c r="A15" s="147">
        <v>15</v>
      </c>
      <c r="B15" s="147">
        <v>3311</v>
      </c>
      <c r="C15" s="197" t="s">
        <v>7569</v>
      </c>
      <c r="D15" s="156" t="s">
        <v>17696</v>
      </c>
      <c r="E15" s="160"/>
      <c r="F15" s="158"/>
      <c r="G15" s="156" t="s">
        <v>17004</v>
      </c>
      <c r="H15" s="160"/>
      <c r="I15" s="158"/>
      <c r="J15" s="160"/>
      <c r="K15" s="160"/>
      <c r="L15" s="161"/>
      <c r="M15" s="162"/>
      <c r="N15" s="163"/>
      <c r="O15" s="164"/>
      <c r="P15" s="170"/>
      <c r="Q15" s="171"/>
      <c r="R15" s="170"/>
      <c r="S15" s="171"/>
      <c r="T15" s="178">
        <v>399</v>
      </c>
      <c r="U15" s="172"/>
    </row>
    <row r="16" spans="1:21" ht="16.5" customHeight="1" x14ac:dyDescent="0.3">
      <c r="A16" s="147">
        <v>15</v>
      </c>
      <c r="B16" s="147">
        <v>3312</v>
      </c>
      <c r="C16" s="197" t="s">
        <v>7568</v>
      </c>
      <c r="D16" s="188" t="s">
        <v>17012</v>
      </c>
      <c r="E16" s="153"/>
      <c r="F16" s="171"/>
      <c r="G16" s="188" t="s">
        <v>17000</v>
      </c>
      <c r="H16" s="153"/>
      <c r="I16" s="171"/>
      <c r="J16" s="150"/>
      <c r="K16" s="150"/>
      <c r="L16" s="151"/>
      <c r="M16" s="162" t="s">
        <v>5895</v>
      </c>
      <c r="N16" s="163" t="s">
        <v>1</v>
      </c>
      <c r="O16" s="164">
        <v>1</v>
      </c>
      <c r="P16" s="170"/>
      <c r="Q16" s="171"/>
      <c r="R16" s="170"/>
      <c r="S16" s="171"/>
      <c r="T16" s="178">
        <v>399</v>
      </c>
      <c r="U16" s="172"/>
    </row>
    <row r="17" spans="1:21" ht="16.5" customHeight="1" x14ac:dyDescent="0.3">
      <c r="A17" s="147">
        <v>15</v>
      </c>
      <c r="B17" s="147">
        <v>3313</v>
      </c>
      <c r="C17" s="197" t="s">
        <v>7567</v>
      </c>
      <c r="D17" s="188" t="s">
        <v>17011</v>
      </c>
      <c r="E17" s="205">
        <v>200</v>
      </c>
      <c r="F17" s="171" t="s">
        <v>0</v>
      </c>
      <c r="G17" s="188"/>
      <c r="H17" s="205">
        <v>79</v>
      </c>
      <c r="I17" s="171" t="s">
        <v>0</v>
      </c>
      <c r="J17" s="160" t="s">
        <v>17693</v>
      </c>
      <c r="K17" s="160"/>
      <c r="L17" s="161"/>
      <c r="M17" s="162"/>
      <c r="N17" s="163"/>
      <c r="O17" s="164"/>
      <c r="P17" s="170"/>
      <c r="Q17" s="171"/>
      <c r="R17" s="170"/>
      <c r="S17" s="171"/>
      <c r="T17" s="178">
        <v>359</v>
      </c>
      <c r="U17" s="172"/>
    </row>
    <row r="18" spans="1:21" ht="16.5" customHeight="1" x14ac:dyDescent="0.3">
      <c r="A18" s="147">
        <v>15</v>
      </c>
      <c r="B18" s="147">
        <v>3314</v>
      </c>
      <c r="C18" s="197" t="s">
        <v>7566</v>
      </c>
      <c r="D18" s="167"/>
      <c r="E18" s="150"/>
      <c r="F18" s="168"/>
      <c r="G18" s="167"/>
      <c r="H18" s="150"/>
      <c r="I18" s="168"/>
      <c r="J18" s="150" t="s">
        <v>16996</v>
      </c>
      <c r="K18" s="150" t="s">
        <v>1</v>
      </c>
      <c r="L18" s="151">
        <v>0.9</v>
      </c>
      <c r="M18" s="162" t="s">
        <v>5895</v>
      </c>
      <c r="N18" s="163" t="s">
        <v>1</v>
      </c>
      <c r="O18" s="164">
        <v>1</v>
      </c>
      <c r="P18" s="176"/>
      <c r="Q18" s="168"/>
      <c r="R18" s="176"/>
      <c r="S18" s="168"/>
      <c r="T18" s="178">
        <v>359</v>
      </c>
      <c r="U18" s="177"/>
    </row>
    <row r="19" spans="1:21" ht="16.5" customHeight="1" x14ac:dyDescent="0.3">
      <c r="A19" s="132"/>
      <c r="B19" s="132"/>
      <c r="C19" s="133"/>
      <c r="D19" s="133"/>
      <c r="E19" s="134"/>
      <c r="F19" s="134"/>
      <c r="G19" s="133"/>
      <c r="H19" s="134"/>
      <c r="I19" s="134"/>
      <c r="J19" s="134"/>
      <c r="K19" s="134"/>
      <c r="L19" s="135"/>
      <c r="M19" s="134"/>
      <c r="N19" s="134"/>
      <c r="O19" s="135"/>
      <c r="P19" s="135"/>
      <c r="Q19" s="134"/>
      <c r="R19" s="135"/>
      <c r="S19" s="134"/>
      <c r="T19" s="136"/>
      <c r="U19" s="137"/>
    </row>
    <row r="20" spans="1:21" ht="16.5" customHeight="1" x14ac:dyDescent="0.3">
      <c r="A20" s="132"/>
      <c r="B20" s="132"/>
      <c r="C20" s="133"/>
      <c r="D20" s="133"/>
      <c r="E20" s="134"/>
      <c r="F20" s="134"/>
      <c r="G20" s="133"/>
      <c r="H20" s="134"/>
      <c r="I20" s="134"/>
      <c r="J20" s="134"/>
      <c r="K20" s="134"/>
      <c r="L20" s="135"/>
      <c r="M20" s="134"/>
      <c r="N20" s="134"/>
      <c r="O20" s="135"/>
      <c r="P20" s="135"/>
      <c r="Q20" s="134"/>
      <c r="R20" s="135"/>
      <c r="S20" s="134"/>
      <c r="T20" s="136"/>
      <c r="U20" s="137"/>
    </row>
    <row r="21" spans="1:21" ht="16.5" customHeight="1" x14ac:dyDescent="0.3">
      <c r="A21" s="132"/>
      <c r="B21" s="138" t="s">
        <v>7565</v>
      </c>
      <c r="C21" s="133"/>
      <c r="D21" s="139"/>
      <c r="E21" s="134"/>
      <c r="F21" s="134"/>
      <c r="G21" s="133"/>
      <c r="H21" s="134"/>
      <c r="I21" s="134"/>
      <c r="J21" s="134"/>
      <c r="K21" s="134"/>
      <c r="L21" s="135"/>
      <c r="M21" s="134"/>
      <c r="N21" s="134"/>
      <c r="O21" s="135"/>
      <c r="P21" s="135"/>
      <c r="Q21" s="134"/>
      <c r="R21" s="135"/>
      <c r="S21" s="134"/>
      <c r="T21" s="136"/>
      <c r="U21" s="137"/>
    </row>
    <row r="22" spans="1:21" ht="16.5" customHeight="1" x14ac:dyDescent="0.3">
      <c r="A22" s="140" t="s">
        <v>5864</v>
      </c>
      <c r="B22" s="141"/>
      <c r="C22" s="142" t="s">
        <v>5867</v>
      </c>
      <c r="D22" s="143" t="s">
        <v>5868</v>
      </c>
      <c r="E22" s="144"/>
      <c r="F22" s="144"/>
      <c r="G22" s="143"/>
      <c r="H22" s="144"/>
      <c r="I22" s="144"/>
      <c r="J22" s="144"/>
      <c r="K22" s="144"/>
      <c r="L22" s="145"/>
      <c r="M22" s="144"/>
      <c r="N22" s="144"/>
      <c r="O22" s="145"/>
      <c r="P22" s="145"/>
      <c r="Q22" s="144"/>
      <c r="R22" s="145"/>
      <c r="S22" s="144"/>
      <c r="T22" s="146" t="s">
        <v>5869</v>
      </c>
      <c r="U22" s="146" t="s">
        <v>5871</v>
      </c>
    </row>
    <row r="23" spans="1:21" ht="16.5" customHeight="1" x14ac:dyDescent="0.3">
      <c r="A23" s="147" t="s">
        <v>5865</v>
      </c>
      <c r="B23" s="147" t="s">
        <v>5866</v>
      </c>
      <c r="C23" s="148"/>
      <c r="D23" s="208" t="s">
        <v>5872</v>
      </c>
      <c r="E23" s="144"/>
      <c r="F23" s="206"/>
      <c r="G23" s="187"/>
      <c r="H23" s="153"/>
      <c r="I23" s="153"/>
      <c r="J23" s="150"/>
      <c r="K23" s="150"/>
      <c r="L23" s="151"/>
      <c r="M23" s="150"/>
      <c r="N23" s="150"/>
      <c r="O23" s="151"/>
      <c r="P23" s="152"/>
      <c r="Q23" s="153"/>
      <c r="R23" s="152"/>
      <c r="S23" s="153"/>
      <c r="T23" s="154" t="s">
        <v>5870</v>
      </c>
      <c r="U23" s="154" t="s">
        <v>0</v>
      </c>
    </row>
    <row r="24" spans="1:21" ht="16.5" customHeight="1" x14ac:dyDescent="0.3">
      <c r="A24" s="147">
        <v>15</v>
      </c>
      <c r="B24" s="147">
        <v>3315</v>
      </c>
      <c r="C24" s="197" t="s">
        <v>7564</v>
      </c>
      <c r="D24" s="156" t="s">
        <v>17695</v>
      </c>
      <c r="E24" s="144"/>
      <c r="F24" s="206"/>
      <c r="G24" s="156" t="s">
        <v>17003</v>
      </c>
      <c r="H24" s="144"/>
      <c r="I24" s="206"/>
      <c r="J24" s="160"/>
      <c r="K24" s="160"/>
      <c r="L24" s="161"/>
      <c r="M24" s="162"/>
      <c r="N24" s="163"/>
      <c r="O24" s="164"/>
      <c r="P24" s="165"/>
      <c r="Q24" s="160"/>
      <c r="R24" s="161"/>
      <c r="S24" s="158"/>
      <c r="T24" s="166">
        <v>226</v>
      </c>
      <c r="U24" s="142" t="s">
        <v>5863</v>
      </c>
    </row>
    <row r="25" spans="1:21" ht="16.5" customHeight="1" x14ac:dyDescent="0.3">
      <c r="A25" s="147">
        <v>15</v>
      </c>
      <c r="B25" s="147">
        <v>3316</v>
      </c>
      <c r="C25" s="197" t="s">
        <v>7563</v>
      </c>
      <c r="D25" s="188" t="s">
        <v>17000</v>
      </c>
      <c r="E25" s="210"/>
      <c r="F25" s="211"/>
      <c r="G25" s="188" t="s">
        <v>17000</v>
      </c>
      <c r="H25" s="153"/>
      <c r="I25" s="171"/>
      <c r="J25" s="150"/>
      <c r="K25" s="150"/>
      <c r="L25" s="151"/>
      <c r="M25" s="162" t="s">
        <v>5895</v>
      </c>
      <c r="N25" s="163" t="s">
        <v>1</v>
      </c>
      <c r="O25" s="164">
        <v>1</v>
      </c>
      <c r="P25" s="170"/>
      <c r="Q25" s="153"/>
      <c r="R25" s="152"/>
      <c r="S25" s="171"/>
      <c r="T25" s="166">
        <v>226</v>
      </c>
      <c r="U25" s="172"/>
    </row>
    <row r="26" spans="1:21" ht="16.5" customHeight="1" x14ac:dyDescent="0.3">
      <c r="A26" s="147">
        <v>15</v>
      </c>
      <c r="B26" s="147">
        <v>3317</v>
      </c>
      <c r="C26" s="197" t="s">
        <v>7562</v>
      </c>
      <c r="D26" s="188"/>
      <c r="E26" s="205">
        <v>105</v>
      </c>
      <c r="F26" s="171" t="s">
        <v>0</v>
      </c>
      <c r="G26" s="188"/>
      <c r="H26" s="205">
        <v>95</v>
      </c>
      <c r="I26" s="171" t="s">
        <v>0</v>
      </c>
      <c r="J26" s="160" t="s">
        <v>17693</v>
      </c>
      <c r="K26" s="160"/>
      <c r="L26" s="161"/>
      <c r="M26" s="162"/>
      <c r="N26" s="163"/>
      <c r="O26" s="164"/>
      <c r="P26" s="170"/>
      <c r="Q26" s="153"/>
      <c r="R26" s="152"/>
      <c r="S26" s="171"/>
      <c r="T26" s="166">
        <v>205</v>
      </c>
      <c r="U26" s="172"/>
    </row>
    <row r="27" spans="1:21" ht="16.5" customHeight="1" x14ac:dyDescent="0.3">
      <c r="A27" s="147">
        <v>15</v>
      </c>
      <c r="B27" s="147">
        <v>3318</v>
      </c>
      <c r="C27" s="197" t="s">
        <v>7561</v>
      </c>
      <c r="D27" s="188"/>
      <c r="E27" s="153"/>
      <c r="F27" s="171"/>
      <c r="G27" s="167"/>
      <c r="H27" s="150"/>
      <c r="I27" s="168"/>
      <c r="J27" s="150" t="s">
        <v>16996</v>
      </c>
      <c r="K27" s="150" t="s">
        <v>1</v>
      </c>
      <c r="L27" s="151">
        <v>0.9</v>
      </c>
      <c r="M27" s="162" t="s">
        <v>5895</v>
      </c>
      <c r="N27" s="163" t="s">
        <v>1</v>
      </c>
      <c r="O27" s="164">
        <v>1</v>
      </c>
      <c r="P27" s="170"/>
      <c r="Q27" s="196"/>
      <c r="R27" s="152"/>
      <c r="S27" s="171"/>
      <c r="T27" s="166">
        <v>205</v>
      </c>
      <c r="U27" s="172"/>
    </row>
    <row r="28" spans="1:21" ht="16.5" customHeight="1" x14ac:dyDescent="0.3">
      <c r="A28" s="147">
        <v>15</v>
      </c>
      <c r="B28" s="147">
        <v>3319</v>
      </c>
      <c r="C28" s="197" t="s">
        <v>7560</v>
      </c>
      <c r="D28" s="188"/>
      <c r="E28" s="153"/>
      <c r="F28" s="171"/>
      <c r="G28" s="156" t="s">
        <v>17360</v>
      </c>
      <c r="H28" s="160"/>
      <c r="I28" s="158"/>
      <c r="J28" s="160"/>
      <c r="K28" s="160"/>
      <c r="L28" s="161"/>
      <c r="M28" s="162"/>
      <c r="N28" s="163"/>
      <c r="O28" s="164"/>
      <c r="P28" s="170" t="s">
        <v>17694</v>
      </c>
      <c r="Q28" s="153"/>
      <c r="R28" s="152"/>
      <c r="S28" s="171"/>
      <c r="T28" s="166">
        <v>305</v>
      </c>
      <c r="U28" s="172"/>
    </row>
    <row r="29" spans="1:21" ht="16.5" customHeight="1" x14ac:dyDescent="0.3">
      <c r="A29" s="147">
        <v>15</v>
      </c>
      <c r="B29" s="147">
        <v>3320</v>
      </c>
      <c r="C29" s="197" t="s">
        <v>7559</v>
      </c>
      <c r="D29" s="188"/>
      <c r="E29" s="153"/>
      <c r="F29" s="171"/>
      <c r="G29" s="188" t="s">
        <v>17012</v>
      </c>
      <c r="H29" s="153"/>
      <c r="I29" s="171"/>
      <c r="J29" s="150"/>
      <c r="K29" s="150"/>
      <c r="L29" s="151"/>
      <c r="M29" s="162" t="s">
        <v>5895</v>
      </c>
      <c r="N29" s="163" t="s">
        <v>1</v>
      </c>
      <c r="O29" s="164">
        <v>1</v>
      </c>
      <c r="P29" s="170"/>
      <c r="Q29" s="195"/>
      <c r="R29" s="152" t="s">
        <v>1</v>
      </c>
      <c r="S29" s="192">
        <v>0.25</v>
      </c>
      <c r="T29" s="166">
        <v>305</v>
      </c>
      <c r="U29" s="172"/>
    </row>
    <row r="30" spans="1:21" ht="16.5" customHeight="1" x14ac:dyDescent="0.3">
      <c r="A30" s="147">
        <v>15</v>
      </c>
      <c r="B30" s="147">
        <v>3321</v>
      </c>
      <c r="C30" s="197" t="s">
        <v>7558</v>
      </c>
      <c r="D30" s="188"/>
      <c r="E30" s="153"/>
      <c r="F30" s="171"/>
      <c r="G30" s="188" t="s">
        <v>17011</v>
      </c>
      <c r="H30" s="205">
        <v>174</v>
      </c>
      <c r="I30" s="171" t="s">
        <v>0</v>
      </c>
      <c r="J30" s="160" t="s">
        <v>17693</v>
      </c>
      <c r="K30" s="160"/>
      <c r="L30" s="161"/>
      <c r="M30" s="162"/>
      <c r="N30" s="163"/>
      <c r="O30" s="164"/>
      <c r="P30" s="170"/>
      <c r="Q30" s="153"/>
      <c r="R30" s="152"/>
      <c r="S30" s="174" t="s">
        <v>422</v>
      </c>
      <c r="T30" s="166">
        <v>276</v>
      </c>
      <c r="U30" s="172"/>
    </row>
    <row r="31" spans="1:21" ht="16.5" customHeight="1" x14ac:dyDescent="0.3">
      <c r="A31" s="147">
        <v>15</v>
      </c>
      <c r="B31" s="147">
        <v>3322</v>
      </c>
      <c r="C31" s="197" t="s">
        <v>7557</v>
      </c>
      <c r="D31" s="167"/>
      <c r="E31" s="150"/>
      <c r="F31" s="168"/>
      <c r="G31" s="167"/>
      <c r="H31" s="150"/>
      <c r="I31" s="168"/>
      <c r="J31" s="150" t="s">
        <v>16996</v>
      </c>
      <c r="K31" s="150" t="s">
        <v>1</v>
      </c>
      <c r="L31" s="151">
        <v>0.9</v>
      </c>
      <c r="M31" s="162" t="s">
        <v>5895</v>
      </c>
      <c r="N31" s="163" t="s">
        <v>1</v>
      </c>
      <c r="O31" s="164">
        <v>1</v>
      </c>
      <c r="P31" s="170"/>
      <c r="Q31" s="195"/>
      <c r="R31" s="152"/>
      <c r="S31" s="171"/>
      <c r="T31" s="166">
        <v>276</v>
      </c>
      <c r="U31" s="172"/>
    </row>
    <row r="32" spans="1:21" ht="16.5" customHeight="1" x14ac:dyDescent="0.3">
      <c r="A32" s="147">
        <v>15</v>
      </c>
      <c r="B32" s="147">
        <v>3323</v>
      </c>
      <c r="C32" s="197" t="s">
        <v>7556</v>
      </c>
      <c r="D32" s="156" t="s">
        <v>17366</v>
      </c>
      <c r="E32" s="160"/>
      <c r="F32" s="158"/>
      <c r="G32" s="156" t="s">
        <v>17003</v>
      </c>
      <c r="H32" s="160"/>
      <c r="I32" s="158"/>
      <c r="J32" s="160"/>
      <c r="K32" s="160"/>
      <c r="L32" s="161"/>
      <c r="M32" s="162"/>
      <c r="N32" s="163"/>
      <c r="O32" s="164"/>
      <c r="P32" s="170"/>
      <c r="Q32" s="153"/>
      <c r="R32" s="152"/>
      <c r="S32" s="171"/>
      <c r="T32" s="166">
        <v>329</v>
      </c>
      <c r="U32" s="172"/>
    </row>
    <row r="33" spans="1:21" ht="16.5" customHeight="1" x14ac:dyDescent="0.3">
      <c r="A33" s="147">
        <v>15</v>
      </c>
      <c r="B33" s="147">
        <v>3324</v>
      </c>
      <c r="C33" s="197" t="s">
        <v>7555</v>
      </c>
      <c r="D33" s="188" t="s">
        <v>17012</v>
      </c>
      <c r="E33" s="153"/>
      <c r="F33" s="171"/>
      <c r="G33" s="188" t="s">
        <v>17000</v>
      </c>
      <c r="H33" s="153"/>
      <c r="I33" s="171"/>
      <c r="J33" s="150"/>
      <c r="K33" s="150"/>
      <c r="L33" s="151"/>
      <c r="M33" s="162" t="s">
        <v>5895</v>
      </c>
      <c r="N33" s="163" t="s">
        <v>1</v>
      </c>
      <c r="O33" s="164">
        <v>1</v>
      </c>
      <c r="P33" s="170"/>
      <c r="Q33" s="153"/>
      <c r="R33" s="152"/>
      <c r="S33" s="171"/>
      <c r="T33" s="166">
        <v>329</v>
      </c>
      <c r="U33" s="172"/>
    </row>
    <row r="34" spans="1:21" ht="16.5" customHeight="1" x14ac:dyDescent="0.3">
      <c r="A34" s="147">
        <v>15</v>
      </c>
      <c r="B34" s="147">
        <v>3325</v>
      </c>
      <c r="C34" s="197" t="s">
        <v>7554</v>
      </c>
      <c r="D34" s="188" t="s">
        <v>17011</v>
      </c>
      <c r="E34" s="205">
        <v>200</v>
      </c>
      <c r="F34" s="171" t="s">
        <v>0</v>
      </c>
      <c r="G34" s="188"/>
      <c r="H34" s="205">
        <v>79</v>
      </c>
      <c r="I34" s="171" t="s">
        <v>0</v>
      </c>
      <c r="J34" s="160" t="s">
        <v>17693</v>
      </c>
      <c r="K34" s="160"/>
      <c r="L34" s="161"/>
      <c r="M34" s="162"/>
      <c r="N34" s="163"/>
      <c r="O34" s="164"/>
      <c r="P34" s="170"/>
      <c r="Q34" s="153"/>
      <c r="R34" s="152"/>
      <c r="S34" s="171"/>
      <c r="T34" s="166">
        <v>296</v>
      </c>
      <c r="U34" s="172"/>
    </row>
    <row r="35" spans="1:21" ht="16.5" customHeight="1" x14ac:dyDescent="0.3">
      <c r="A35" s="147">
        <v>15</v>
      </c>
      <c r="B35" s="147">
        <v>3326</v>
      </c>
      <c r="C35" s="197" t="s">
        <v>7553</v>
      </c>
      <c r="D35" s="167"/>
      <c r="E35" s="150"/>
      <c r="F35" s="168"/>
      <c r="G35" s="167"/>
      <c r="H35" s="150"/>
      <c r="I35" s="168"/>
      <c r="J35" s="150" t="s">
        <v>16996</v>
      </c>
      <c r="K35" s="150" t="s">
        <v>1</v>
      </c>
      <c r="L35" s="151">
        <v>0.9</v>
      </c>
      <c r="M35" s="162" t="s">
        <v>5895</v>
      </c>
      <c r="N35" s="163" t="s">
        <v>1</v>
      </c>
      <c r="O35" s="164">
        <v>1</v>
      </c>
      <c r="P35" s="176"/>
      <c r="Q35" s="150"/>
      <c r="R35" s="151"/>
      <c r="S35" s="168"/>
      <c r="T35" s="166">
        <v>296</v>
      </c>
      <c r="U35" s="177"/>
    </row>
    <row r="36" spans="1:21" ht="16.5" customHeight="1" x14ac:dyDescent="0.3">
      <c r="A36" s="132"/>
      <c r="B36" s="132"/>
      <c r="C36" s="133"/>
      <c r="D36" s="133"/>
      <c r="E36" s="134"/>
      <c r="F36" s="134"/>
      <c r="G36" s="133"/>
      <c r="H36" s="134"/>
      <c r="I36" s="134"/>
      <c r="J36" s="134"/>
      <c r="K36" s="134"/>
      <c r="L36" s="135"/>
      <c r="M36" s="134"/>
      <c r="N36" s="134"/>
      <c r="O36" s="135"/>
      <c r="P36" s="135"/>
      <c r="Q36" s="134"/>
      <c r="R36" s="135"/>
      <c r="S36" s="134"/>
      <c r="T36" s="136"/>
      <c r="U36" s="137"/>
    </row>
    <row r="37" spans="1:21" ht="16.5" customHeight="1" x14ac:dyDescent="0.3">
      <c r="A37" s="132"/>
      <c r="B37" s="132"/>
      <c r="C37" s="133"/>
      <c r="D37" s="133"/>
      <c r="E37" s="134"/>
      <c r="F37" s="134"/>
      <c r="G37" s="133"/>
      <c r="H37" s="134"/>
      <c r="I37" s="134"/>
      <c r="J37" s="134"/>
      <c r="K37" s="134"/>
      <c r="L37" s="135"/>
      <c r="M37" s="134"/>
      <c r="N37" s="134"/>
      <c r="O37" s="135"/>
      <c r="P37" s="135"/>
      <c r="Q37" s="134"/>
      <c r="R37" s="135"/>
      <c r="S37" s="134"/>
      <c r="T37" s="136"/>
      <c r="U37" s="137"/>
    </row>
    <row r="38" spans="1:21" ht="16.5" customHeight="1" x14ac:dyDescent="0.3">
      <c r="A38" s="132"/>
      <c r="B38" s="138" t="s">
        <v>7552</v>
      </c>
      <c r="C38" s="133"/>
      <c r="D38" s="139"/>
      <c r="E38" s="134"/>
      <c r="F38" s="134"/>
      <c r="G38" s="133"/>
      <c r="H38" s="134"/>
      <c r="I38" s="134"/>
      <c r="J38" s="134"/>
      <c r="K38" s="134"/>
      <c r="L38" s="135"/>
      <c r="M38" s="134"/>
      <c r="N38" s="134"/>
      <c r="O38" s="135"/>
      <c r="P38" s="135"/>
      <c r="Q38" s="134"/>
      <c r="R38" s="135"/>
      <c r="S38" s="134"/>
      <c r="T38" s="136"/>
      <c r="U38" s="137"/>
    </row>
    <row r="39" spans="1:21" ht="16.5" customHeight="1" x14ac:dyDescent="0.3">
      <c r="A39" s="140" t="s">
        <v>5864</v>
      </c>
      <c r="B39" s="141"/>
      <c r="C39" s="142" t="s">
        <v>5867</v>
      </c>
      <c r="D39" s="143" t="s">
        <v>5868</v>
      </c>
      <c r="E39" s="144"/>
      <c r="F39" s="144"/>
      <c r="G39" s="143"/>
      <c r="H39" s="144"/>
      <c r="I39" s="144"/>
      <c r="J39" s="144"/>
      <c r="K39" s="144"/>
      <c r="L39" s="145"/>
      <c r="M39" s="144"/>
      <c r="N39" s="144"/>
      <c r="O39" s="145"/>
      <c r="P39" s="145"/>
      <c r="Q39" s="144"/>
      <c r="R39" s="145"/>
      <c r="S39" s="144"/>
      <c r="T39" s="146" t="s">
        <v>5869</v>
      </c>
      <c r="U39" s="146" t="s">
        <v>5871</v>
      </c>
    </row>
    <row r="40" spans="1:21" ht="16.5" customHeight="1" x14ac:dyDescent="0.3">
      <c r="A40" s="147" t="s">
        <v>5865</v>
      </c>
      <c r="B40" s="147" t="s">
        <v>5866</v>
      </c>
      <c r="C40" s="148"/>
      <c r="D40" s="187"/>
      <c r="E40" s="153"/>
      <c r="F40" s="153"/>
      <c r="G40" s="208" t="s">
        <v>5872</v>
      </c>
      <c r="H40" s="144"/>
      <c r="I40" s="206"/>
      <c r="J40" s="150"/>
      <c r="K40" s="150"/>
      <c r="L40" s="151"/>
      <c r="M40" s="150"/>
      <c r="N40" s="150"/>
      <c r="O40" s="151"/>
      <c r="P40" s="151"/>
      <c r="Q40" s="150"/>
      <c r="R40" s="151"/>
      <c r="S40" s="150"/>
      <c r="T40" s="154" t="s">
        <v>5870</v>
      </c>
      <c r="U40" s="154" t="s">
        <v>0</v>
      </c>
    </row>
    <row r="41" spans="1:21" ht="16.5" customHeight="1" x14ac:dyDescent="0.3">
      <c r="A41" s="147">
        <v>15</v>
      </c>
      <c r="B41" s="147">
        <v>3327</v>
      </c>
      <c r="C41" s="197" t="s">
        <v>7551</v>
      </c>
      <c r="D41" s="156" t="s">
        <v>17024</v>
      </c>
      <c r="E41" s="144"/>
      <c r="F41" s="206"/>
      <c r="G41" s="156" t="s">
        <v>17010</v>
      </c>
      <c r="H41" s="144"/>
      <c r="I41" s="206"/>
      <c r="J41" s="160"/>
      <c r="K41" s="160"/>
      <c r="L41" s="161"/>
      <c r="M41" s="162"/>
      <c r="N41" s="163"/>
      <c r="O41" s="214"/>
      <c r="P41" s="165"/>
      <c r="Q41" s="160"/>
      <c r="R41" s="161"/>
      <c r="S41" s="158"/>
      <c r="T41" s="178">
        <v>224</v>
      </c>
      <c r="U41" s="142" t="s">
        <v>5863</v>
      </c>
    </row>
    <row r="42" spans="1:21" ht="16.5" customHeight="1" x14ac:dyDescent="0.3">
      <c r="A42" s="147">
        <v>15</v>
      </c>
      <c r="B42" s="147">
        <v>3328</v>
      </c>
      <c r="C42" s="197" t="s">
        <v>7550</v>
      </c>
      <c r="D42" s="188" t="s">
        <v>17000</v>
      </c>
      <c r="E42" s="153"/>
      <c r="F42" s="171"/>
      <c r="G42" s="188" t="s">
        <v>17000</v>
      </c>
      <c r="H42" s="210"/>
      <c r="I42" s="211"/>
      <c r="J42" s="150"/>
      <c r="K42" s="150"/>
      <c r="L42" s="151"/>
      <c r="M42" s="162" t="s">
        <v>5895</v>
      </c>
      <c r="N42" s="163" t="s">
        <v>1</v>
      </c>
      <c r="O42" s="214">
        <v>1</v>
      </c>
      <c r="P42" s="170"/>
      <c r="Q42" s="153"/>
      <c r="R42" s="152"/>
      <c r="S42" s="171"/>
      <c r="T42" s="178">
        <v>224</v>
      </c>
      <c r="U42" s="172"/>
    </row>
    <row r="43" spans="1:21" ht="16.5" customHeight="1" x14ac:dyDescent="0.3">
      <c r="A43" s="147">
        <v>15</v>
      </c>
      <c r="B43" s="147">
        <v>3329</v>
      </c>
      <c r="C43" s="197" t="s">
        <v>7549</v>
      </c>
      <c r="D43" s="188"/>
      <c r="E43" s="205">
        <v>105</v>
      </c>
      <c r="F43" s="171" t="s">
        <v>0</v>
      </c>
      <c r="G43" s="188"/>
      <c r="H43" s="205">
        <v>95</v>
      </c>
      <c r="I43" s="171" t="s">
        <v>0</v>
      </c>
      <c r="J43" s="160" t="s">
        <v>17693</v>
      </c>
      <c r="K43" s="160"/>
      <c r="L43" s="161"/>
      <c r="M43" s="162"/>
      <c r="N43" s="163"/>
      <c r="O43" s="214"/>
      <c r="P43" s="170"/>
      <c r="Q43" s="153"/>
      <c r="R43" s="152"/>
      <c r="S43" s="171"/>
      <c r="T43" s="178">
        <v>203</v>
      </c>
      <c r="U43" s="172"/>
    </row>
    <row r="44" spans="1:21" ht="16.5" customHeight="1" x14ac:dyDescent="0.3">
      <c r="A44" s="147">
        <v>15</v>
      </c>
      <c r="B44" s="147">
        <v>3330</v>
      </c>
      <c r="C44" s="197" t="s">
        <v>7548</v>
      </c>
      <c r="D44" s="188"/>
      <c r="E44" s="153"/>
      <c r="F44" s="171"/>
      <c r="G44" s="167"/>
      <c r="H44" s="150"/>
      <c r="I44" s="168"/>
      <c r="J44" s="150" t="s">
        <v>16996</v>
      </c>
      <c r="K44" s="150" t="s">
        <v>1</v>
      </c>
      <c r="L44" s="151">
        <v>0.9</v>
      </c>
      <c r="M44" s="162" t="s">
        <v>5895</v>
      </c>
      <c r="N44" s="163" t="s">
        <v>1</v>
      </c>
      <c r="O44" s="214">
        <v>1</v>
      </c>
      <c r="P44" s="170"/>
      <c r="Q44" s="153"/>
      <c r="R44" s="152"/>
      <c r="S44" s="171"/>
      <c r="T44" s="178">
        <v>203</v>
      </c>
      <c r="U44" s="172"/>
    </row>
    <row r="45" spans="1:21" ht="16.5" customHeight="1" x14ac:dyDescent="0.3">
      <c r="A45" s="147">
        <v>15</v>
      </c>
      <c r="B45" s="147">
        <v>3331</v>
      </c>
      <c r="C45" s="197" t="s">
        <v>7547</v>
      </c>
      <c r="D45" s="188"/>
      <c r="E45" s="153"/>
      <c r="F45" s="171"/>
      <c r="G45" s="156" t="s">
        <v>17013</v>
      </c>
      <c r="H45" s="160"/>
      <c r="I45" s="158"/>
      <c r="J45" s="160"/>
      <c r="K45" s="160"/>
      <c r="L45" s="161"/>
      <c r="M45" s="162"/>
      <c r="N45" s="163"/>
      <c r="O45" s="214"/>
      <c r="P45" s="170" t="s">
        <v>17023</v>
      </c>
      <c r="Q45" s="196"/>
      <c r="R45" s="152"/>
      <c r="S45" s="171"/>
      <c r="T45" s="178">
        <v>323</v>
      </c>
      <c r="U45" s="172"/>
    </row>
    <row r="46" spans="1:21" ht="16.5" customHeight="1" x14ac:dyDescent="0.3">
      <c r="A46" s="147">
        <v>15</v>
      </c>
      <c r="B46" s="147">
        <v>3332</v>
      </c>
      <c r="C46" s="197" t="s">
        <v>7546</v>
      </c>
      <c r="D46" s="188"/>
      <c r="E46" s="153"/>
      <c r="F46" s="171"/>
      <c r="G46" s="188" t="s">
        <v>17012</v>
      </c>
      <c r="H46" s="153"/>
      <c r="I46" s="171"/>
      <c r="J46" s="150"/>
      <c r="K46" s="150"/>
      <c r="L46" s="151"/>
      <c r="M46" s="162" t="s">
        <v>5895</v>
      </c>
      <c r="N46" s="163" t="s">
        <v>1</v>
      </c>
      <c r="O46" s="214">
        <v>1</v>
      </c>
      <c r="P46" s="170"/>
      <c r="Q46" s="195"/>
      <c r="R46" s="152" t="s">
        <v>1</v>
      </c>
      <c r="S46" s="192">
        <v>0.25</v>
      </c>
      <c r="T46" s="178">
        <v>323</v>
      </c>
      <c r="U46" s="172"/>
    </row>
    <row r="47" spans="1:21" ht="16.5" customHeight="1" x14ac:dyDescent="0.3">
      <c r="A47" s="147">
        <v>15</v>
      </c>
      <c r="B47" s="147">
        <v>3333</v>
      </c>
      <c r="C47" s="197" t="s">
        <v>7545</v>
      </c>
      <c r="D47" s="188"/>
      <c r="E47" s="153"/>
      <c r="F47" s="171"/>
      <c r="G47" s="188" t="s">
        <v>17011</v>
      </c>
      <c r="H47" s="205">
        <v>174</v>
      </c>
      <c r="I47" s="171" t="s">
        <v>0</v>
      </c>
      <c r="J47" s="160" t="s">
        <v>17693</v>
      </c>
      <c r="K47" s="160"/>
      <c r="L47" s="161"/>
      <c r="M47" s="162"/>
      <c r="N47" s="163"/>
      <c r="O47" s="214"/>
      <c r="P47" s="170"/>
      <c r="Q47" s="153"/>
      <c r="R47" s="152"/>
      <c r="S47" s="174" t="s">
        <v>422</v>
      </c>
      <c r="T47" s="178">
        <v>291</v>
      </c>
      <c r="U47" s="172"/>
    </row>
    <row r="48" spans="1:21" ht="16.5" customHeight="1" x14ac:dyDescent="0.3">
      <c r="A48" s="147">
        <v>15</v>
      </c>
      <c r="B48" s="147">
        <v>3334</v>
      </c>
      <c r="C48" s="197" t="s">
        <v>7544</v>
      </c>
      <c r="D48" s="167"/>
      <c r="E48" s="150"/>
      <c r="F48" s="168"/>
      <c r="G48" s="167"/>
      <c r="H48" s="150"/>
      <c r="I48" s="168"/>
      <c r="J48" s="150" t="s">
        <v>16996</v>
      </c>
      <c r="K48" s="150" t="s">
        <v>1</v>
      </c>
      <c r="L48" s="151">
        <v>0.9</v>
      </c>
      <c r="M48" s="162" t="s">
        <v>5895</v>
      </c>
      <c r="N48" s="163" t="s">
        <v>1</v>
      </c>
      <c r="O48" s="214">
        <v>1</v>
      </c>
      <c r="P48" s="170"/>
      <c r="Q48" s="195"/>
      <c r="R48" s="152"/>
      <c r="S48" s="171"/>
      <c r="T48" s="178">
        <v>291</v>
      </c>
      <c r="U48" s="172"/>
    </row>
    <row r="49" spans="1:21" ht="16.5" customHeight="1" x14ac:dyDescent="0.3">
      <c r="A49" s="147">
        <v>15</v>
      </c>
      <c r="B49" s="147">
        <v>3335</v>
      </c>
      <c r="C49" s="197" t="s">
        <v>7543</v>
      </c>
      <c r="D49" s="156" t="s">
        <v>17020</v>
      </c>
      <c r="E49" s="160"/>
      <c r="F49" s="158"/>
      <c r="G49" s="156" t="s">
        <v>17010</v>
      </c>
      <c r="H49" s="160"/>
      <c r="I49" s="158"/>
      <c r="J49" s="160"/>
      <c r="K49" s="160"/>
      <c r="L49" s="161"/>
      <c r="M49" s="162"/>
      <c r="N49" s="163"/>
      <c r="O49" s="214"/>
      <c r="P49" s="170"/>
      <c r="Q49" s="153"/>
      <c r="R49" s="152"/>
      <c r="S49" s="171"/>
      <c r="T49" s="178">
        <v>299</v>
      </c>
      <c r="U49" s="172"/>
    </row>
    <row r="50" spans="1:21" ht="16.5" customHeight="1" x14ac:dyDescent="0.3">
      <c r="A50" s="147">
        <v>15</v>
      </c>
      <c r="B50" s="147">
        <v>3336</v>
      </c>
      <c r="C50" s="197" t="s">
        <v>7542</v>
      </c>
      <c r="D50" s="188" t="s">
        <v>17012</v>
      </c>
      <c r="E50" s="153"/>
      <c r="F50" s="171"/>
      <c r="G50" s="188" t="s">
        <v>17000</v>
      </c>
      <c r="H50" s="153"/>
      <c r="I50" s="171"/>
      <c r="J50" s="150"/>
      <c r="K50" s="150"/>
      <c r="L50" s="151"/>
      <c r="M50" s="162" t="s">
        <v>5895</v>
      </c>
      <c r="N50" s="163" t="s">
        <v>1</v>
      </c>
      <c r="O50" s="214">
        <v>1</v>
      </c>
      <c r="P50" s="170"/>
      <c r="Q50" s="153"/>
      <c r="R50" s="152"/>
      <c r="S50" s="171"/>
      <c r="T50" s="178">
        <v>299</v>
      </c>
      <c r="U50" s="172"/>
    </row>
    <row r="51" spans="1:21" ht="16.5" customHeight="1" x14ac:dyDescent="0.3">
      <c r="A51" s="147">
        <v>15</v>
      </c>
      <c r="B51" s="147">
        <v>3337</v>
      </c>
      <c r="C51" s="197" t="s">
        <v>7541</v>
      </c>
      <c r="D51" s="188" t="s">
        <v>17011</v>
      </c>
      <c r="E51" s="205">
        <v>200</v>
      </c>
      <c r="F51" s="171" t="s">
        <v>0</v>
      </c>
      <c r="G51" s="188"/>
      <c r="H51" s="205">
        <v>79</v>
      </c>
      <c r="I51" s="171" t="s">
        <v>0</v>
      </c>
      <c r="J51" s="160" t="s">
        <v>17693</v>
      </c>
      <c r="K51" s="160"/>
      <c r="L51" s="161"/>
      <c r="M51" s="162"/>
      <c r="N51" s="163"/>
      <c r="O51" s="214"/>
      <c r="P51" s="170"/>
      <c r="Q51" s="153"/>
      <c r="R51" s="152"/>
      <c r="S51" s="171"/>
      <c r="T51" s="178">
        <v>269</v>
      </c>
      <c r="U51" s="172"/>
    </row>
    <row r="52" spans="1:21" ht="16.5" customHeight="1" x14ac:dyDescent="0.3">
      <c r="A52" s="147">
        <v>15</v>
      </c>
      <c r="B52" s="147">
        <v>3338</v>
      </c>
      <c r="C52" s="197" t="s">
        <v>7540</v>
      </c>
      <c r="D52" s="167"/>
      <c r="E52" s="150"/>
      <c r="F52" s="168"/>
      <c r="G52" s="167"/>
      <c r="H52" s="150"/>
      <c r="I52" s="168"/>
      <c r="J52" s="150" t="s">
        <v>16996</v>
      </c>
      <c r="K52" s="150" t="s">
        <v>1</v>
      </c>
      <c r="L52" s="151">
        <v>0.9</v>
      </c>
      <c r="M52" s="162" t="s">
        <v>5895</v>
      </c>
      <c r="N52" s="163" t="s">
        <v>1</v>
      </c>
      <c r="O52" s="214">
        <v>1</v>
      </c>
      <c r="P52" s="176"/>
      <c r="Q52" s="150"/>
      <c r="R52" s="151"/>
      <c r="S52" s="168"/>
      <c r="T52" s="178">
        <v>269</v>
      </c>
      <c r="U52" s="177"/>
    </row>
    <row r="53" spans="1:21" ht="16.5" customHeight="1" x14ac:dyDescent="0.3"/>
    <row r="54" spans="1:21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theme="1" tint="0.249977111117893"/>
    <pageSetUpPr fitToPage="1"/>
  </sheetPr>
  <dimension ref="A1:W37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2.3671875" style="46" customWidth="1"/>
    <col min="5" max="5" width="15.62890625" style="45" customWidth="1"/>
    <col min="6" max="6" width="4.1015625" style="46" bestFit="1" customWidth="1"/>
    <col min="7" max="7" width="4.734375" style="46" bestFit="1" customWidth="1"/>
    <col min="8" max="8" width="2.3671875" style="46" customWidth="1"/>
    <col min="9" max="9" width="15.62890625" style="45" customWidth="1"/>
    <col min="10" max="10" width="4.1015625" style="46" bestFit="1" customWidth="1"/>
    <col min="11" max="11" width="4.734375" style="46" bestFit="1" customWidth="1"/>
    <col min="12" max="12" width="18.62890625" style="46" customWidth="1"/>
    <col min="13" max="13" width="3.1015625" style="46" bestFit="1" customWidth="1"/>
    <col min="14" max="14" width="4.1015625" style="47" bestFit="1" customWidth="1"/>
    <col min="15" max="15" width="30.62890625" style="46" customWidth="1"/>
    <col min="16" max="16" width="3.1015625" style="46" bestFit="1" customWidth="1"/>
    <col min="17" max="17" width="5" style="47" bestFit="1" customWidth="1"/>
    <col min="18" max="18" width="4.1015625" style="47" bestFit="1" customWidth="1"/>
    <col min="19" max="19" width="4.734375" style="46" bestFit="1" customWidth="1"/>
    <col min="20" max="20" width="4.1015625" style="47" bestFit="1" customWidth="1"/>
    <col min="21" max="21" width="4.734375" style="46" bestFit="1" customWidth="1"/>
    <col min="22" max="22" width="6.3671875" style="84" bestFit="1" customWidth="1"/>
    <col min="23" max="23" width="7.734375" style="48" bestFit="1" customWidth="1"/>
    <col min="24" max="16384" width="9" style="49"/>
  </cols>
  <sheetData>
    <row r="1" spans="1:23" ht="16.5" customHeight="1" x14ac:dyDescent="0.3">
      <c r="A1" s="132"/>
      <c r="B1" s="132"/>
      <c r="C1" s="133"/>
      <c r="D1" s="134"/>
      <c r="E1" s="133"/>
      <c r="F1" s="134"/>
      <c r="G1" s="134"/>
      <c r="H1" s="134"/>
      <c r="I1" s="133"/>
      <c r="J1" s="134"/>
      <c r="K1" s="134"/>
      <c r="L1" s="134"/>
      <c r="M1" s="134"/>
      <c r="N1" s="135"/>
      <c r="O1" s="134"/>
      <c r="P1" s="134"/>
      <c r="Q1" s="135"/>
      <c r="R1" s="135"/>
      <c r="S1" s="134"/>
      <c r="T1" s="135"/>
      <c r="U1" s="134"/>
      <c r="V1" s="136"/>
      <c r="W1" s="137"/>
    </row>
    <row r="2" spans="1:23" ht="16.5" customHeight="1" x14ac:dyDescent="0.3">
      <c r="A2" s="132"/>
      <c r="B2" s="132"/>
      <c r="C2" s="133"/>
      <c r="D2" s="134"/>
      <c r="E2" s="133"/>
      <c r="F2" s="134"/>
      <c r="G2" s="134"/>
      <c r="H2" s="134"/>
      <c r="I2" s="133"/>
      <c r="J2" s="134"/>
      <c r="K2" s="134"/>
      <c r="L2" s="134"/>
      <c r="M2" s="134"/>
      <c r="N2" s="135"/>
      <c r="O2" s="134"/>
      <c r="P2" s="134"/>
      <c r="Q2" s="135"/>
      <c r="R2" s="135"/>
      <c r="S2" s="134"/>
      <c r="T2" s="135"/>
      <c r="U2" s="134"/>
      <c r="V2" s="136"/>
      <c r="W2" s="137"/>
    </row>
    <row r="3" spans="1:23" ht="16.5" customHeight="1" x14ac:dyDescent="0.3">
      <c r="A3" s="132"/>
      <c r="B3" s="132"/>
      <c r="C3" s="133"/>
      <c r="D3" s="134"/>
      <c r="E3" s="133"/>
      <c r="F3" s="134"/>
      <c r="G3" s="134"/>
      <c r="H3" s="134"/>
      <c r="I3" s="133"/>
      <c r="J3" s="134"/>
      <c r="K3" s="134"/>
      <c r="L3" s="134"/>
      <c r="M3" s="134"/>
      <c r="N3" s="135"/>
      <c r="O3" s="134"/>
      <c r="P3" s="134"/>
      <c r="Q3" s="135"/>
      <c r="R3" s="135"/>
      <c r="S3" s="134"/>
      <c r="T3" s="135"/>
      <c r="U3" s="134"/>
      <c r="V3" s="136"/>
      <c r="W3" s="137"/>
    </row>
    <row r="4" spans="1:23" ht="16.5" customHeight="1" x14ac:dyDescent="0.3">
      <c r="A4" s="132"/>
      <c r="B4" s="138" t="s">
        <v>7604</v>
      </c>
      <c r="C4" s="133"/>
      <c r="D4" s="134"/>
      <c r="E4" s="139"/>
      <c r="F4" s="134"/>
      <c r="G4" s="134"/>
      <c r="H4" s="134"/>
      <c r="I4" s="133"/>
      <c r="J4" s="134"/>
      <c r="K4" s="134"/>
      <c r="L4" s="134"/>
      <c r="M4" s="134"/>
      <c r="N4" s="135"/>
      <c r="O4" s="134"/>
      <c r="P4" s="134"/>
      <c r="Q4" s="135"/>
      <c r="R4" s="135"/>
      <c r="S4" s="134"/>
      <c r="T4" s="135"/>
      <c r="U4" s="134"/>
      <c r="V4" s="136"/>
      <c r="W4" s="137"/>
    </row>
    <row r="5" spans="1:23" ht="16.5" customHeight="1" x14ac:dyDescent="0.3">
      <c r="A5" s="140" t="s">
        <v>5864</v>
      </c>
      <c r="B5" s="141"/>
      <c r="C5" s="142" t="s">
        <v>5867</v>
      </c>
      <c r="D5" s="144"/>
      <c r="E5" s="143" t="s">
        <v>5868</v>
      </c>
      <c r="F5" s="144"/>
      <c r="G5" s="144"/>
      <c r="H5" s="144"/>
      <c r="I5" s="143"/>
      <c r="J5" s="144"/>
      <c r="K5" s="144"/>
      <c r="L5" s="144"/>
      <c r="M5" s="144"/>
      <c r="N5" s="145"/>
      <c r="O5" s="144"/>
      <c r="P5" s="144"/>
      <c r="Q5" s="145"/>
      <c r="R5" s="145"/>
      <c r="S5" s="144"/>
      <c r="T5" s="145"/>
      <c r="U5" s="144"/>
      <c r="V5" s="146" t="s">
        <v>5869</v>
      </c>
      <c r="W5" s="146" t="s">
        <v>5871</v>
      </c>
    </row>
    <row r="6" spans="1:23" ht="16.5" customHeight="1" x14ac:dyDescent="0.3">
      <c r="A6" s="147" t="s">
        <v>5865</v>
      </c>
      <c r="B6" s="147" t="s">
        <v>5866</v>
      </c>
      <c r="C6" s="148"/>
      <c r="D6" s="208" t="s">
        <v>5872</v>
      </c>
      <c r="E6" s="144"/>
      <c r="F6" s="144"/>
      <c r="G6" s="206"/>
      <c r="H6" s="208" t="s">
        <v>17374</v>
      </c>
      <c r="I6" s="144"/>
      <c r="J6" s="144"/>
      <c r="K6" s="206"/>
      <c r="L6" s="150"/>
      <c r="M6" s="150"/>
      <c r="N6" s="151"/>
      <c r="O6" s="150"/>
      <c r="P6" s="150"/>
      <c r="Q6" s="151"/>
      <c r="R6" s="151"/>
      <c r="S6" s="150"/>
      <c r="T6" s="151"/>
      <c r="U6" s="150"/>
      <c r="V6" s="154" t="s">
        <v>5870</v>
      </c>
      <c r="W6" s="154" t="s">
        <v>0</v>
      </c>
    </row>
    <row r="7" spans="1:23" ht="16.5" customHeight="1" x14ac:dyDescent="0.3">
      <c r="A7" s="147">
        <v>15</v>
      </c>
      <c r="B7" s="147">
        <v>3339</v>
      </c>
      <c r="C7" s="197" t="s">
        <v>7603</v>
      </c>
      <c r="D7" s="156" t="s">
        <v>17708</v>
      </c>
      <c r="E7" s="191"/>
      <c r="F7" s="144"/>
      <c r="G7" s="206"/>
      <c r="H7" s="156" t="s">
        <v>17071</v>
      </c>
      <c r="I7" s="191"/>
      <c r="J7" s="144"/>
      <c r="K7" s="206"/>
      <c r="L7" s="160"/>
      <c r="M7" s="160"/>
      <c r="N7" s="161"/>
      <c r="O7" s="162"/>
      <c r="P7" s="163"/>
      <c r="Q7" s="164"/>
      <c r="R7" s="165"/>
      <c r="S7" s="158"/>
      <c r="T7" s="165"/>
      <c r="U7" s="158"/>
      <c r="V7" s="178">
        <v>274</v>
      </c>
      <c r="W7" s="142" t="s">
        <v>5863</v>
      </c>
    </row>
    <row r="8" spans="1:23" ht="16.5" customHeight="1" x14ac:dyDescent="0.3">
      <c r="A8" s="147">
        <v>15</v>
      </c>
      <c r="B8" s="147">
        <v>3340</v>
      </c>
      <c r="C8" s="197" t="s">
        <v>7602</v>
      </c>
      <c r="D8" s="188" t="s">
        <v>16901</v>
      </c>
      <c r="E8" s="187"/>
      <c r="F8" s="210"/>
      <c r="G8" s="211"/>
      <c r="H8" s="188" t="s">
        <v>16901</v>
      </c>
      <c r="I8" s="187"/>
      <c r="J8" s="210"/>
      <c r="K8" s="211"/>
      <c r="L8" s="150"/>
      <c r="M8" s="150"/>
      <c r="N8" s="151"/>
      <c r="O8" s="162" t="s">
        <v>5895</v>
      </c>
      <c r="P8" s="163" t="s">
        <v>1</v>
      </c>
      <c r="Q8" s="164">
        <v>1</v>
      </c>
      <c r="R8" s="170"/>
      <c r="S8" s="171"/>
      <c r="T8" s="170"/>
      <c r="U8" s="171"/>
      <c r="V8" s="178">
        <v>274</v>
      </c>
      <c r="W8" s="172"/>
    </row>
    <row r="9" spans="1:23" ht="16.5" customHeight="1" x14ac:dyDescent="0.3">
      <c r="A9" s="147">
        <v>15</v>
      </c>
      <c r="B9" s="147">
        <v>3341</v>
      </c>
      <c r="C9" s="197" t="s">
        <v>7601</v>
      </c>
      <c r="D9" s="188"/>
      <c r="E9" s="187"/>
      <c r="F9" s="205">
        <v>105</v>
      </c>
      <c r="G9" s="171" t="s">
        <v>0</v>
      </c>
      <c r="H9" s="188"/>
      <c r="I9" s="187"/>
      <c r="J9" s="205">
        <v>95</v>
      </c>
      <c r="K9" s="171" t="s">
        <v>0</v>
      </c>
      <c r="L9" s="160" t="s">
        <v>17078</v>
      </c>
      <c r="M9" s="160"/>
      <c r="N9" s="161"/>
      <c r="O9" s="162"/>
      <c r="P9" s="163"/>
      <c r="Q9" s="164"/>
      <c r="R9" s="170"/>
      <c r="S9" s="171"/>
      <c r="T9" s="170"/>
      <c r="U9" s="171"/>
      <c r="V9" s="178">
        <v>248</v>
      </c>
      <c r="W9" s="172"/>
    </row>
    <row r="10" spans="1:23" ht="16.5" customHeight="1" x14ac:dyDescent="0.3">
      <c r="A10" s="147">
        <v>15</v>
      </c>
      <c r="B10" s="147">
        <v>3342</v>
      </c>
      <c r="C10" s="197" t="s">
        <v>7600</v>
      </c>
      <c r="D10" s="188"/>
      <c r="E10" s="187"/>
      <c r="F10" s="153"/>
      <c r="G10" s="171"/>
      <c r="H10" s="167"/>
      <c r="I10" s="149"/>
      <c r="J10" s="150"/>
      <c r="K10" s="168"/>
      <c r="L10" s="150" t="s">
        <v>16812</v>
      </c>
      <c r="M10" s="150" t="s">
        <v>1</v>
      </c>
      <c r="N10" s="151">
        <v>0.9</v>
      </c>
      <c r="O10" s="162" t="s">
        <v>5895</v>
      </c>
      <c r="P10" s="163" t="s">
        <v>1</v>
      </c>
      <c r="Q10" s="164">
        <v>1</v>
      </c>
      <c r="R10" s="170" t="s">
        <v>17707</v>
      </c>
      <c r="S10" s="171"/>
      <c r="T10" s="170" t="s">
        <v>16966</v>
      </c>
      <c r="U10" s="171"/>
      <c r="V10" s="178">
        <v>248</v>
      </c>
      <c r="W10" s="172"/>
    </row>
    <row r="11" spans="1:23" ht="16.5" customHeight="1" x14ac:dyDescent="0.3">
      <c r="A11" s="147">
        <v>15</v>
      </c>
      <c r="B11" s="147">
        <v>3343</v>
      </c>
      <c r="C11" s="197" t="s">
        <v>7599</v>
      </c>
      <c r="D11" s="188"/>
      <c r="E11" s="187"/>
      <c r="F11" s="153"/>
      <c r="G11" s="171"/>
      <c r="H11" s="156" t="s">
        <v>17706</v>
      </c>
      <c r="I11" s="191"/>
      <c r="J11" s="160"/>
      <c r="K11" s="158"/>
      <c r="L11" s="160"/>
      <c r="M11" s="160"/>
      <c r="N11" s="161"/>
      <c r="O11" s="162"/>
      <c r="P11" s="163"/>
      <c r="Q11" s="164"/>
      <c r="R11" s="170"/>
      <c r="S11" s="174" t="s">
        <v>16964</v>
      </c>
      <c r="T11" s="170"/>
      <c r="U11" s="174" t="s">
        <v>17705</v>
      </c>
      <c r="V11" s="178">
        <v>392</v>
      </c>
      <c r="W11" s="172"/>
    </row>
    <row r="12" spans="1:23" ht="16.5" customHeight="1" x14ac:dyDescent="0.3">
      <c r="A12" s="147">
        <v>15</v>
      </c>
      <c r="B12" s="147">
        <v>3344</v>
      </c>
      <c r="C12" s="197" t="s">
        <v>7598</v>
      </c>
      <c r="D12" s="188"/>
      <c r="E12" s="187"/>
      <c r="F12" s="153"/>
      <c r="G12" s="171"/>
      <c r="H12" s="188" t="s">
        <v>17085</v>
      </c>
      <c r="I12" s="187"/>
      <c r="J12" s="153"/>
      <c r="K12" s="171"/>
      <c r="L12" s="150"/>
      <c r="M12" s="150"/>
      <c r="N12" s="151"/>
      <c r="O12" s="162" t="s">
        <v>5895</v>
      </c>
      <c r="P12" s="163" t="s">
        <v>1</v>
      </c>
      <c r="Q12" s="164">
        <v>1</v>
      </c>
      <c r="R12" s="170"/>
      <c r="S12" s="171"/>
      <c r="T12" s="170"/>
      <c r="U12" s="171"/>
      <c r="V12" s="178">
        <v>392</v>
      </c>
      <c r="W12" s="172"/>
    </row>
    <row r="13" spans="1:23" ht="16.5" customHeight="1" x14ac:dyDescent="0.3">
      <c r="A13" s="147">
        <v>15</v>
      </c>
      <c r="B13" s="147">
        <v>3345</v>
      </c>
      <c r="C13" s="197" t="s">
        <v>7597</v>
      </c>
      <c r="D13" s="188"/>
      <c r="E13" s="187"/>
      <c r="F13" s="153"/>
      <c r="G13" s="171"/>
      <c r="H13" s="188" t="s">
        <v>16873</v>
      </c>
      <c r="I13" s="187"/>
      <c r="J13" s="205">
        <v>174</v>
      </c>
      <c r="K13" s="171" t="s">
        <v>0</v>
      </c>
      <c r="L13" s="160" t="s">
        <v>17078</v>
      </c>
      <c r="M13" s="160"/>
      <c r="N13" s="161"/>
      <c r="O13" s="162"/>
      <c r="P13" s="163"/>
      <c r="Q13" s="164"/>
      <c r="R13" s="170" t="s">
        <v>1</v>
      </c>
      <c r="S13" s="192">
        <v>0.25</v>
      </c>
      <c r="T13" s="170" t="s">
        <v>1</v>
      </c>
      <c r="U13" s="192">
        <v>0.5</v>
      </c>
      <c r="V13" s="178">
        <v>355</v>
      </c>
      <c r="W13" s="172"/>
    </row>
    <row r="14" spans="1:23" ht="16.5" customHeight="1" x14ac:dyDescent="0.3">
      <c r="A14" s="147">
        <v>15</v>
      </c>
      <c r="B14" s="147">
        <v>3346</v>
      </c>
      <c r="C14" s="197" t="s">
        <v>7596</v>
      </c>
      <c r="D14" s="167"/>
      <c r="E14" s="149"/>
      <c r="F14" s="150"/>
      <c r="G14" s="168"/>
      <c r="H14" s="167"/>
      <c r="I14" s="149"/>
      <c r="J14" s="150"/>
      <c r="K14" s="168"/>
      <c r="L14" s="150" t="s">
        <v>16812</v>
      </c>
      <c r="M14" s="150" t="s">
        <v>1</v>
      </c>
      <c r="N14" s="151">
        <v>0.9</v>
      </c>
      <c r="O14" s="162" t="s">
        <v>5895</v>
      </c>
      <c r="P14" s="163" t="s">
        <v>1</v>
      </c>
      <c r="Q14" s="164">
        <v>1</v>
      </c>
      <c r="R14" s="170"/>
      <c r="S14" s="174" t="s">
        <v>17248</v>
      </c>
      <c r="T14" s="170"/>
      <c r="U14" s="174" t="s">
        <v>17701</v>
      </c>
      <c r="V14" s="178">
        <v>355</v>
      </c>
      <c r="W14" s="172"/>
    </row>
    <row r="15" spans="1:23" ht="16.5" customHeight="1" x14ac:dyDescent="0.3">
      <c r="A15" s="147">
        <v>15</v>
      </c>
      <c r="B15" s="147">
        <v>3347</v>
      </c>
      <c r="C15" s="197" t="s">
        <v>7595</v>
      </c>
      <c r="D15" s="156" t="s">
        <v>17704</v>
      </c>
      <c r="E15" s="191"/>
      <c r="F15" s="160"/>
      <c r="G15" s="158"/>
      <c r="H15" s="156" t="s">
        <v>17071</v>
      </c>
      <c r="I15" s="191"/>
      <c r="J15" s="160"/>
      <c r="K15" s="158"/>
      <c r="L15" s="160"/>
      <c r="M15" s="160"/>
      <c r="N15" s="161"/>
      <c r="O15" s="162"/>
      <c r="P15" s="163"/>
      <c r="Q15" s="164"/>
      <c r="R15" s="170"/>
      <c r="S15" s="171"/>
      <c r="T15" s="170"/>
      <c r="U15" s="171"/>
      <c r="V15" s="178">
        <v>369</v>
      </c>
      <c r="W15" s="172"/>
    </row>
    <row r="16" spans="1:23" ht="16.5" customHeight="1" x14ac:dyDescent="0.3">
      <c r="A16" s="147">
        <v>15</v>
      </c>
      <c r="B16" s="147">
        <v>3348</v>
      </c>
      <c r="C16" s="197" t="s">
        <v>7594</v>
      </c>
      <c r="D16" s="188" t="s">
        <v>16874</v>
      </c>
      <c r="E16" s="187"/>
      <c r="F16" s="153"/>
      <c r="G16" s="171"/>
      <c r="H16" s="188" t="s">
        <v>17079</v>
      </c>
      <c r="I16" s="187"/>
      <c r="J16" s="153"/>
      <c r="K16" s="171"/>
      <c r="L16" s="150"/>
      <c r="M16" s="150"/>
      <c r="N16" s="151"/>
      <c r="O16" s="162" t="s">
        <v>5895</v>
      </c>
      <c r="P16" s="163" t="s">
        <v>1</v>
      </c>
      <c r="Q16" s="164">
        <v>1</v>
      </c>
      <c r="R16" s="170"/>
      <c r="S16" s="171"/>
      <c r="T16" s="170"/>
      <c r="U16" s="171"/>
      <c r="V16" s="178">
        <v>369</v>
      </c>
      <c r="W16" s="172"/>
    </row>
    <row r="17" spans="1:23" ht="16.5" customHeight="1" x14ac:dyDescent="0.3">
      <c r="A17" s="147">
        <v>15</v>
      </c>
      <c r="B17" s="147">
        <v>3349</v>
      </c>
      <c r="C17" s="197" t="s">
        <v>7593</v>
      </c>
      <c r="D17" s="188" t="s">
        <v>16873</v>
      </c>
      <c r="E17" s="187"/>
      <c r="F17" s="205">
        <v>200</v>
      </c>
      <c r="G17" s="171" t="s">
        <v>0</v>
      </c>
      <c r="H17" s="188"/>
      <c r="I17" s="187"/>
      <c r="J17" s="205">
        <v>79</v>
      </c>
      <c r="K17" s="171" t="s">
        <v>0</v>
      </c>
      <c r="L17" s="160" t="s">
        <v>16823</v>
      </c>
      <c r="M17" s="160"/>
      <c r="N17" s="161"/>
      <c r="O17" s="162"/>
      <c r="P17" s="163"/>
      <c r="Q17" s="164"/>
      <c r="R17" s="170"/>
      <c r="S17" s="171"/>
      <c r="T17" s="170"/>
      <c r="U17" s="171"/>
      <c r="V17" s="178">
        <v>332</v>
      </c>
      <c r="W17" s="172"/>
    </row>
    <row r="18" spans="1:23" ht="16.5" customHeight="1" x14ac:dyDescent="0.3">
      <c r="A18" s="147">
        <v>15</v>
      </c>
      <c r="B18" s="147">
        <v>3350</v>
      </c>
      <c r="C18" s="197" t="s">
        <v>7592</v>
      </c>
      <c r="D18" s="167"/>
      <c r="E18" s="149"/>
      <c r="F18" s="150"/>
      <c r="G18" s="168"/>
      <c r="H18" s="175"/>
      <c r="I18" s="149"/>
      <c r="J18" s="150"/>
      <c r="K18" s="168"/>
      <c r="L18" s="150" t="s">
        <v>17077</v>
      </c>
      <c r="M18" s="150" t="s">
        <v>1</v>
      </c>
      <c r="N18" s="151">
        <v>0.9</v>
      </c>
      <c r="O18" s="162" t="s">
        <v>5895</v>
      </c>
      <c r="P18" s="163" t="s">
        <v>1</v>
      </c>
      <c r="Q18" s="164">
        <v>1</v>
      </c>
      <c r="R18" s="176"/>
      <c r="S18" s="168"/>
      <c r="T18" s="176"/>
      <c r="U18" s="168"/>
      <c r="V18" s="178">
        <v>332</v>
      </c>
      <c r="W18" s="177"/>
    </row>
    <row r="19" spans="1:23" ht="16.5" customHeight="1" x14ac:dyDescent="0.3">
      <c r="A19" s="132"/>
      <c r="B19" s="132"/>
      <c r="C19" s="133"/>
      <c r="D19" s="134"/>
      <c r="E19" s="133"/>
      <c r="F19" s="134"/>
      <c r="G19" s="134"/>
      <c r="H19" s="134"/>
      <c r="I19" s="133"/>
      <c r="J19" s="134"/>
      <c r="K19" s="134"/>
      <c r="L19" s="134"/>
      <c r="M19" s="134"/>
      <c r="N19" s="135"/>
      <c r="O19" s="134"/>
      <c r="P19" s="134"/>
      <c r="Q19" s="135"/>
      <c r="R19" s="135"/>
      <c r="S19" s="134"/>
      <c r="T19" s="135"/>
      <c r="U19" s="134"/>
      <c r="V19" s="136"/>
      <c r="W19" s="137"/>
    </row>
    <row r="20" spans="1:23" ht="16.5" customHeight="1" x14ac:dyDescent="0.3">
      <c r="A20" s="132"/>
      <c r="B20" s="132"/>
      <c r="C20" s="133"/>
      <c r="D20" s="134"/>
      <c r="E20" s="133"/>
      <c r="F20" s="134"/>
      <c r="G20" s="134"/>
      <c r="H20" s="134"/>
      <c r="I20" s="133"/>
      <c r="J20" s="134"/>
      <c r="K20" s="134"/>
      <c r="L20" s="134"/>
      <c r="M20" s="134"/>
      <c r="N20" s="135"/>
      <c r="O20" s="134"/>
      <c r="P20" s="134"/>
      <c r="Q20" s="135"/>
      <c r="R20" s="135"/>
      <c r="S20" s="134"/>
      <c r="T20" s="135"/>
      <c r="U20" s="134"/>
      <c r="V20" s="136"/>
      <c r="W20" s="137"/>
    </row>
    <row r="21" spans="1:23" ht="16.5" customHeight="1" x14ac:dyDescent="0.3">
      <c r="A21" s="132"/>
      <c r="B21" s="138" t="s">
        <v>7591</v>
      </c>
      <c r="C21" s="133"/>
      <c r="D21" s="134"/>
      <c r="E21" s="139"/>
      <c r="F21" s="134"/>
      <c r="G21" s="134"/>
      <c r="H21" s="134"/>
      <c r="I21" s="133"/>
      <c r="J21" s="134"/>
      <c r="K21" s="134"/>
      <c r="L21" s="134"/>
      <c r="M21" s="134"/>
      <c r="N21" s="135"/>
      <c r="O21" s="134"/>
      <c r="P21" s="134"/>
      <c r="Q21" s="135"/>
      <c r="R21" s="135"/>
      <c r="S21" s="134"/>
      <c r="T21" s="135"/>
      <c r="U21" s="134"/>
      <c r="V21" s="136"/>
      <c r="W21" s="137"/>
    </row>
    <row r="22" spans="1:23" ht="16.5" customHeight="1" x14ac:dyDescent="0.3">
      <c r="A22" s="140" t="s">
        <v>5864</v>
      </c>
      <c r="B22" s="141"/>
      <c r="C22" s="142" t="s">
        <v>5867</v>
      </c>
      <c r="D22" s="144"/>
      <c r="E22" s="143" t="s">
        <v>5868</v>
      </c>
      <c r="F22" s="144"/>
      <c r="G22" s="144"/>
      <c r="H22" s="144"/>
      <c r="I22" s="143"/>
      <c r="J22" s="144"/>
      <c r="K22" s="144"/>
      <c r="L22" s="144"/>
      <c r="M22" s="144"/>
      <c r="N22" s="145"/>
      <c r="O22" s="144"/>
      <c r="P22" s="144"/>
      <c r="Q22" s="145"/>
      <c r="R22" s="145"/>
      <c r="S22" s="144"/>
      <c r="T22" s="145"/>
      <c r="U22" s="144"/>
      <c r="V22" s="146" t="s">
        <v>5869</v>
      </c>
      <c r="W22" s="146" t="s">
        <v>5871</v>
      </c>
    </row>
    <row r="23" spans="1:23" ht="16.5" customHeight="1" x14ac:dyDescent="0.3">
      <c r="A23" s="147" t="s">
        <v>5865</v>
      </c>
      <c r="B23" s="147" t="s">
        <v>5866</v>
      </c>
      <c r="C23" s="148"/>
      <c r="D23" s="150"/>
      <c r="E23" s="149"/>
      <c r="F23" s="150"/>
      <c r="G23" s="150"/>
      <c r="H23" s="179" t="s">
        <v>5872</v>
      </c>
      <c r="I23" s="144"/>
      <c r="J23" s="144"/>
      <c r="K23" s="206"/>
      <c r="L23" s="150"/>
      <c r="M23" s="150"/>
      <c r="N23" s="151"/>
      <c r="O23" s="150"/>
      <c r="P23" s="150"/>
      <c r="Q23" s="151"/>
      <c r="R23" s="152"/>
      <c r="S23" s="153"/>
      <c r="T23" s="152"/>
      <c r="U23" s="153"/>
      <c r="V23" s="154" t="s">
        <v>5870</v>
      </c>
      <c r="W23" s="154" t="s">
        <v>0</v>
      </c>
    </row>
    <row r="24" spans="1:23" ht="16.5" customHeight="1" x14ac:dyDescent="0.3">
      <c r="A24" s="147">
        <v>15</v>
      </c>
      <c r="B24" s="147">
        <v>3351</v>
      </c>
      <c r="C24" s="155" t="s">
        <v>7590</v>
      </c>
      <c r="D24" s="287" t="s">
        <v>5876</v>
      </c>
      <c r="E24" s="156" t="s">
        <v>17703</v>
      </c>
      <c r="F24" s="160"/>
      <c r="G24" s="158"/>
      <c r="H24" s="289" t="s">
        <v>5874</v>
      </c>
      <c r="I24" s="156" t="s">
        <v>17700</v>
      </c>
      <c r="J24" s="144"/>
      <c r="K24" s="206"/>
      <c r="L24" s="160"/>
      <c r="M24" s="160"/>
      <c r="N24" s="161"/>
      <c r="O24" s="162"/>
      <c r="P24" s="163"/>
      <c r="Q24" s="164"/>
      <c r="R24" s="165"/>
      <c r="S24" s="160"/>
      <c r="T24" s="161"/>
      <c r="U24" s="158"/>
      <c r="V24" s="166">
        <v>143</v>
      </c>
      <c r="W24" s="142" t="s">
        <v>5863</v>
      </c>
    </row>
    <row r="25" spans="1:23" ht="16.5" customHeight="1" x14ac:dyDescent="0.3">
      <c r="A25" s="147">
        <v>15</v>
      </c>
      <c r="B25" s="147">
        <v>3352</v>
      </c>
      <c r="C25" s="155" t="s">
        <v>7589</v>
      </c>
      <c r="D25" s="288"/>
      <c r="E25" s="188" t="s">
        <v>17079</v>
      </c>
      <c r="F25" s="153"/>
      <c r="G25" s="171"/>
      <c r="H25" s="290"/>
      <c r="I25" s="188" t="s">
        <v>17079</v>
      </c>
      <c r="J25" s="210"/>
      <c r="K25" s="211"/>
      <c r="L25" s="150"/>
      <c r="M25" s="150"/>
      <c r="N25" s="151"/>
      <c r="O25" s="162" t="s">
        <v>5895</v>
      </c>
      <c r="P25" s="163" t="s">
        <v>1</v>
      </c>
      <c r="Q25" s="164">
        <v>1</v>
      </c>
      <c r="R25" s="170"/>
      <c r="S25" s="153"/>
      <c r="T25" s="152"/>
      <c r="U25" s="171"/>
      <c r="V25" s="166">
        <v>143</v>
      </c>
      <c r="W25" s="172"/>
    </row>
    <row r="26" spans="1:23" ht="16.5" customHeight="1" x14ac:dyDescent="0.3">
      <c r="A26" s="147">
        <v>15</v>
      </c>
      <c r="B26" s="147">
        <v>3353</v>
      </c>
      <c r="C26" s="155" t="s">
        <v>7588</v>
      </c>
      <c r="D26" s="288"/>
      <c r="E26" s="188"/>
      <c r="F26" s="153"/>
      <c r="G26" s="171"/>
      <c r="H26" s="290"/>
      <c r="I26" s="188"/>
      <c r="J26" s="205">
        <v>95</v>
      </c>
      <c r="K26" s="171" t="s">
        <v>0</v>
      </c>
      <c r="L26" s="160" t="s">
        <v>16823</v>
      </c>
      <c r="M26" s="160"/>
      <c r="N26" s="161"/>
      <c r="O26" s="162"/>
      <c r="P26" s="163"/>
      <c r="Q26" s="164"/>
      <c r="R26" s="170"/>
      <c r="S26" s="153"/>
      <c r="T26" s="152"/>
      <c r="U26" s="171"/>
      <c r="V26" s="166">
        <v>129</v>
      </c>
      <c r="W26" s="172"/>
    </row>
    <row r="27" spans="1:23" ht="16.5" customHeight="1" x14ac:dyDescent="0.3">
      <c r="A27" s="147">
        <v>15</v>
      </c>
      <c r="B27" s="147">
        <v>3354</v>
      </c>
      <c r="C27" s="155" t="s">
        <v>7587</v>
      </c>
      <c r="D27" s="288"/>
      <c r="E27" s="188"/>
      <c r="F27" s="153"/>
      <c r="G27" s="171"/>
      <c r="H27" s="290"/>
      <c r="I27" s="167"/>
      <c r="J27" s="150"/>
      <c r="K27" s="168"/>
      <c r="L27" s="150" t="s">
        <v>16812</v>
      </c>
      <c r="M27" s="150" t="s">
        <v>1</v>
      </c>
      <c r="N27" s="151">
        <v>0.9</v>
      </c>
      <c r="O27" s="162" t="s">
        <v>5895</v>
      </c>
      <c r="P27" s="163" t="s">
        <v>1</v>
      </c>
      <c r="Q27" s="164">
        <v>1</v>
      </c>
      <c r="R27" s="170"/>
      <c r="S27" s="153"/>
      <c r="T27" s="152"/>
      <c r="U27" s="171"/>
      <c r="V27" s="166">
        <v>129</v>
      </c>
      <c r="W27" s="172"/>
    </row>
    <row r="28" spans="1:23" ht="16.5" customHeight="1" x14ac:dyDescent="0.3">
      <c r="A28" s="147">
        <v>15</v>
      </c>
      <c r="B28" s="147">
        <v>3355</v>
      </c>
      <c r="C28" s="155" t="s">
        <v>7586</v>
      </c>
      <c r="D28" s="212"/>
      <c r="E28" s="188"/>
      <c r="F28" s="153"/>
      <c r="G28" s="171"/>
      <c r="H28" s="169"/>
      <c r="I28" s="156" t="s">
        <v>17038</v>
      </c>
      <c r="J28" s="160"/>
      <c r="K28" s="158"/>
      <c r="L28" s="160"/>
      <c r="M28" s="160"/>
      <c r="N28" s="161"/>
      <c r="O28" s="162"/>
      <c r="P28" s="163"/>
      <c r="Q28" s="164"/>
      <c r="R28" s="170" t="s">
        <v>17702</v>
      </c>
      <c r="S28" s="153"/>
      <c r="T28" s="152"/>
      <c r="U28" s="174"/>
      <c r="V28" s="166">
        <v>261</v>
      </c>
      <c r="W28" s="172"/>
    </row>
    <row r="29" spans="1:23" ht="16.5" customHeight="1" x14ac:dyDescent="0.3">
      <c r="A29" s="147">
        <v>15</v>
      </c>
      <c r="B29" s="147">
        <v>3356</v>
      </c>
      <c r="C29" s="155" t="s">
        <v>7585</v>
      </c>
      <c r="D29" s="212"/>
      <c r="E29" s="188"/>
      <c r="F29" s="153"/>
      <c r="G29" s="171"/>
      <c r="H29" s="169"/>
      <c r="I29" s="188" t="s">
        <v>16874</v>
      </c>
      <c r="J29" s="153"/>
      <c r="K29" s="171"/>
      <c r="L29" s="150"/>
      <c r="M29" s="150"/>
      <c r="N29" s="151"/>
      <c r="O29" s="162" t="s">
        <v>5895</v>
      </c>
      <c r="P29" s="163" t="s">
        <v>1</v>
      </c>
      <c r="Q29" s="164">
        <v>1</v>
      </c>
      <c r="R29" s="170"/>
      <c r="S29" s="153"/>
      <c r="T29" s="152" t="s">
        <v>1</v>
      </c>
      <c r="U29" s="192">
        <v>0.5</v>
      </c>
      <c r="V29" s="166">
        <v>261</v>
      </c>
      <c r="W29" s="172"/>
    </row>
    <row r="30" spans="1:23" ht="16.5" customHeight="1" x14ac:dyDescent="0.3">
      <c r="A30" s="147">
        <v>15</v>
      </c>
      <c r="B30" s="147">
        <v>3357</v>
      </c>
      <c r="C30" s="155" t="s">
        <v>7584</v>
      </c>
      <c r="D30" s="212"/>
      <c r="E30" s="188"/>
      <c r="F30" s="153"/>
      <c r="G30" s="171"/>
      <c r="H30" s="169"/>
      <c r="I30" s="188" t="s">
        <v>17084</v>
      </c>
      <c r="J30" s="205">
        <v>174</v>
      </c>
      <c r="K30" s="171" t="s">
        <v>0</v>
      </c>
      <c r="L30" s="160" t="s">
        <v>16823</v>
      </c>
      <c r="M30" s="160"/>
      <c r="N30" s="161"/>
      <c r="O30" s="162"/>
      <c r="P30" s="163"/>
      <c r="Q30" s="164"/>
      <c r="R30" s="170"/>
      <c r="S30" s="153"/>
      <c r="T30" s="152"/>
      <c r="U30" s="174" t="s">
        <v>17701</v>
      </c>
      <c r="V30" s="166">
        <v>236</v>
      </c>
      <c r="W30" s="172"/>
    </row>
    <row r="31" spans="1:23" ht="16.5" customHeight="1" x14ac:dyDescent="0.3">
      <c r="A31" s="147">
        <v>15</v>
      </c>
      <c r="B31" s="147">
        <v>3358</v>
      </c>
      <c r="C31" s="155" t="s">
        <v>7583</v>
      </c>
      <c r="D31" s="212"/>
      <c r="E31" s="167"/>
      <c r="F31" s="150"/>
      <c r="G31" s="168"/>
      <c r="H31" s="169"/>
      <c r="I31" s="167"/>
      <c r="J31" s="150"/>
      <c r="K31" s="168"/>
      <c r="L31" s="150" t="s">
        <v>17077</v>
      </c>
      <c r="M31" s="150" t="s">
        <v>1</v>
      </c>
      <c r="N31" s="151">
        <v>0.9</v>
      </c>
      <c r="O31" s="162" t="s">
        <v>5895</v>
      </c>
      <c r="P31" s="163" t="s">
        <v>1</v>
      </c>
      <c r="Q31" s="164">
        <v>1</v>
      </c>
      <c r="R31" s="170"/>
      <c r="S31" s="153"/>
      <c r="T31" s="152"/>
      <c r="U31" s="171"/>
      <c r="V31" s="166">
        <v>236</v>
      </c>
      <c r="W31" s="172"/>
    </row>
    <row r="32" spans="1:23" ht="16.5" customHeight="1" x14ac:dyDescent="0.3">
      <c r="A32" s="147">
        <v>15</v>
      </c>
      <c r="B32" s="147">
        <v>3359</v>
      </c>
      <c r="C32" s="155" t="s">
        <v>7582</v>
      </c>
      <c r="D32" s="212"/>
      <c r="E32" s="156" t="s">
        <v>16961</v>
      </c>
      <c r="F32" s="160"/>
      <c r="G32" s="158"/>
      <c r="H32" s="169"/>
      <c r="I32" s="156" t="s">
        <v>17700</v>
      </c>
      <c r="J32" s="160"/>
      <c r="K32" s="158"/>
      <c r="L32" s="160"/>
      <c r="M32" s="160"/>
      <c r="N32" s="161"/>
      <c r="O32" s="162"/>
      <c r="P32" s="163"/>
      <c r="Q32" s="164"/>
      <c r="R32" s="170"/>
      <c r="S32" s="153"/>
      <c r="T32" s="152"/>
      <c r="U32" s="171"/>
      <c r="V32" s="166">
        <v>119</v>
      </c>
      <c r="W32" s="172"/>
    </row>
    <row r="33" spans="1:23" ht="16.5" customHeight="1" x14ac:dyDescent="0.3">
      <c r="A33" s="147">
        <v>15</v>
      </c>
      <c r="B33" s="147">
        <v>3360</v>
      </c>
      <c r="C33" s="155" t="s">
        <v>7581</v>
      </c>
      <c r="D33" s="212"/>
      <c r="E33" s="188" t="s">
        <v>16874</v>
      </c>
      <c r="F33" s="153"/>
      <c r="G33" s="171"/>
      <c r="H33" s="169"/>
      <c r="I33" s="188" t="s">
        <v>17079</v>
      </c>
      <c r="J33" s="153"/>
      <c r="K33" s="171"/>
      <c r="L33" s="150"/>
      <c r="M33" s="150"/>
      <c r="N33" s="151"/>
      <c r="O33" s="162" t="s">
        <v>5895</v>
      </c>
      <c r="P33" s="163" t="s">
        <v>1</v>
      </c>
      <c r="Q33" s="164">
        <v>1</v>
      </c>
      <c r="R33" s="170"/>
      <c r="S33" s="153"/>
      <c r="T33" s="152"/>
      <c r="U33" s="171"/>
      <c r="V33" s="166">
        <v>119</v>
      </c>
      <c r="W33" s="172"/>
    </row>
    <row r="34" spans="1:23" ht="16.5" customHeight="1" x14ac:dyDescent="0.3">
      <c r="A34" s="147">
        <v>15</v>
      </c>
      <c r="B34" s="147">
        <v>3361</v>
      </c>
      <c r="C34" s="155" t="s">
        <v>7580</v>
      </c>
      <c r="D34" s="212"/>
      <c r="E34" s="188" t="s">
        <v>16873</v>
      </c>
      <c r="F34" s="153"/>
      <c r="G34" s="171"/>
      <c r="H34" s="169"/>
      <c r="I34" s="188"/>
      <c r="J34" s="205">
        <v>79</v>
      </c>
      <c r="K34" s="171" t="s">
        <v>0</v>
      </c>
      <c r="L34" s="160" t="s">
        <v>17078</v>
      </c>
      <c r="M34" s="160"/>
      <c r="N34" s="161"/>
      <c r="O34" s="162"/>
      <c r="P34" s="163"/>
      <c r="Q34" s="164"/>
      <c r="R34" s="170"/>
      <c r="S34" s="153"/>
      <c r="T34" s="152"/>
      <c r="U34" s="171"/>
      <c r="V34" s="166">
        <v>107</v>
      </c>
      <c r="W34" s="172"/>
    </row>
    <row r="35" spans="1:23" ht="16.5" customHeight="1" x14ac:dyDescent="0.3">
      <c r="A35" s="147">
        <v>15</v>
      </c>
      <c r="B35" s="147">
        <v>3362</v>
      </c>
      <c r="C35" s="155" t="s">
        <v>7579</v>
      </c>
      <c r="D35" s="213"/>
      <c r="E35" s="167"/>
      <c r="F35" s="150"/>
      <c r="G35" s="168"/>
      <c r="H35" s="175"/>
      <c r="I35" s="167"/>
      <c r="J35" s="150"/>
      <c r="K35" s="168"/>
      <c r="L35" s="150" t="s">
        <v>16812</v>
      </c>
      <c r="M35" s="150" t="s">
        <v>1</v>
      </c>
      <c r="N35" s="151">
        <v>0.9</v>
      </c>
      <c r="O35" s="162" t="s">
        <v>5895</v>
      </c>
      <c r="P35" s="163" t="s">
        <v>1</v>
      </c>
      <c r="Q35" s="164">
        <v>1</v>
      </c>
      <c r="R35" s="176"/>
      <c r="S35" s="150"/>
      <c r="T35" s="151"/>
      <c r="U35" s="168"/>
      <c r="V35" s="166">
        <v>107</v>
      </c>
      <c r="W35" s="177"/>
    </row>
    <row r="36" spans="1:23" ht="16.5" customHeight="1" x14ac:dyDescent="0.3"/>
    <row r="37" spans="1:23" ht="16.5" customHeight="1" x14ac:dyDescent="0.3"/>
  </sheetData>
  <mergeCells count="2">
    <mergeCell ref="D24:D27"/>
    <mergeCell ref="H24:H27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theme="1" tint="0.249977111117893"/>
    <pageSetUpPr fitToPage="1"/>
  </sheetPr>
  <dimension ref="A1:X3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0.62890625" style="45" customWidth="1"/>
    <col min="5" max="5" width="4.1015625" style="46" bestFit="1" customWidth="1"/>
    <col min="6" max="6" width="4.734375" style="46" bestFit="1" customWidth="1"/>
    <col min="7" max="7" width="10.62890625" style="45" customWidth="1"/>
    <col min="8" max="8" width="4.1015625" style="46" bestFit="1" customWidth="1"/>
    <col min="9" max="9" width="4.734375" style="46" bestFit="1" customWidth="1"/>
    <col min="10" max="10" width="10.62890625" style="45" customWidth="1"/>
    <col min="11" max="11" width="3.26171875" style="46" bestFit="1" customWidth="1"/>
    <col min="12" max="12" width="4.734375" style="46" bestFit="1" customWidth="1"/>
    <col min="13" max="13" width="14.62890625" style="46" customWidth="1"/>
    <col min="14" max="14" width="3.1015625" style="46" bestFit="1" customWidth="1"/>
    <col min="15" max="15" width="4.1015625" style="47" bestFit="1" customWidth="1"/>
    <col min="16" max="16" width="28.62890625" style="46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5"/>
      <c r="T1" s="134"/>
      <c r="U1" s="135"/>
      <c r="V1" s="134"/>
      <c r="W1" s="136"/>
      <c r="X1" s="137"/>
    </row>
    <row r="2" spans="1:24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5"/>
      <c r="T2" s="134"/>
      <c r="U2" s="135"/>
      <c r="V2" s="134"/>
      <c r="W2" s="136"/>
      <c r="X2" s="137"/>
    </row>
    <row r="3" spans="1:24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5"/>
      <c r="T3" s="134"/>
      <c r="U3" s="135"/>
      <c r="V3" s="134"/>
      <c r="W3" s="136"/>
      <c r="X3" s="137"/>
    </row>
    <row r="4" spans="1:24" ht="16.5" customHeight="1" x14ac:dyDescent="0.3">
      <c r="A4" s="132"/>
      <c r="B4" s="138" t="s">
        <v>7627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5"/>
      <c r="T4" s="134"/>
      <c r="U4" s="135"/>
      <c r="V4" s="134"/>
      <c r="W4" s="136"/>
      <c r="X4" s="137"/>
    </row>
    <row r="5" spans="1:2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5"/>
      <c r="T5" s="144"/>
      <c r="U5" s="145"/>
      <c r="V5" s="144"/>
      <c r="W5" s="146" t="s">
        <v>5869</v>
      </c>
      <c r="X5" s="146" t="s">
        <v>5871</v>
      </c>
    </row>
    <row r="6" spans="1:24" ht="16.5" customHeight="1" x14ac:dyDescent="0.3">
      <c r="A6" s="147" t="s">
        <v>5865</v>
      </c>
      <c r="B6" s="147" t="s">
        <v>5866</v>
      </c>
      <c r="C6" s="148"/>
      <c r="D6" s="208" t="s">
        <v>5872</v>
      </c>
      <c r="E6" s="144"/>
      <c r="F6" s="206"/>
      <c r="G6" s="208" t="s">
        <v>17717</v>
      </c>
      <c r="H6" s="144"/>
      <c r="I6" s="206"/>
      <c r="J6" s="187"/>
      <c r="K6" s="153"/>
      <c r="L6" s="153"/>
      <c r="M6" s="150"/>
      <c r="N6" s="150"/>
      <c r="O6" s="151"/>
      <c r="P6" s="150"/>
      <c r="Q6" s="150"/>
      <c r="R6" s="151"/>
      <c r="S6" s="151"/>
      <c r="T6" s="150"/>
      <c r="U6" s="151"/>
      <c r="V6" s="150"/>
      <c r="W6" s="154" t="s">
        <v>5870</v>
      </c>
      <c r="X6" s="154" t="s">
        <v>0</v>
      </c>
    </row>
    <row r="7" spans="1:24" ht="16.5" customHeight="1" x14ac:dyDescent="0.3">
      <c r="A7" s="147">
        <v>15</v>
      </c>
      <c r="B7" s="147">
        <v>3363</v>
      </c>
      <c r="C7" s="197" t="s">
        <v>7626</v>
      </c>
      <c r="D7" s="156" t="s">
        <v>17714</v>
      </c>
      <c r="E7" s="160"/>
      <c r="F7" s="158"/>
      <c r="G7" s="156" t="s">
        <v>17716</v>
      </c>
      <c r="H7" s="160"/>
      <c r="I7" s="158"/>
      <c r="J7" s="156" t="s">
        <v>1163</v>
      </c>
      <c r="K7" s="160"/>
      <c r="L7" s="158"/>
      <c r="M7" s="160"/>
      <c r="N7" s="160"/>
      <c r="O7" s="161"/>
      <c r="P7" s="162"/>
      <c r="Q7" s="163"/>
      <c r="R7" s="164"/>
      <c r="S7" s="159" t="s">
        <v>17711</v>
      </c>
      <c r="T7" s="158"/>
      <c r="U7" s="159" t="s">
        <v>16992</v>
      </c>
      <c r="V7" s="158"/>
      <c r="W7" s="178">
        <v>356</v>
      </c>
      <c r="X7" s="142" t="s">
        <v>5863</v>
      </c>
    </row>
    <row r="8" spans="1:24" ht="16.5" customHeight="1" x14ac:dyDescent="0.3">
      <c r="A8" s="147">
        <v>15</v>
      </c>
      <c r="B8" s="147">
        <v>3364</v>
      </c>
      <c r="C8" s="197" t="s">
        <v>7625</v>
      </c>
      <c r="D8" s="188" t="s">
        <v>16973</v>
      </c>
      <c r="E8" s="153"/>
      <c r="F8" s="171"/>
      <c r="G8" s="188" t="s">
        <v>16973</v>
      </c>
      <c r="H8" s="153"/>
      <c r="I8" s="171"/>
      <c r="J8" s="188"/>
      <c r="K8" s="153"/>
      <c r="L8" s="171"/>
      <c r="M8" s="150"/>
      <c r="N8" s="150"/>
      <c r="O8" s="151"/>
      <c r="P8" s="186" t="s">
        <v>5895</v>
      </c>
      <c r="Q8" s="163" t="s">
        <v>1</v>
      </c>
      <c r="R8" s="164">
        <v>1</v>
      </c>
      <c r="S8" s="170"/>
      <c r="T8" s="174" t="s">
        <v>17710</v>
      </c>
      <c r="U8" s="170"/>
      <c r="V8" s="174" t="s">
        <v>17715</v>
      </c>
      <c r="W8" s="178">
        <v>356</v>
      </c>
      <c r="X8" s="172"/>
    </row>
    <row r="9" spans="1:24" ht="16.5" customHeight="1" x14ac:dyDescent="0.3">
      <c r="A9" s="147">
        <v>15</v>
      </c>
      <c r="B9" s="147">
        <v>3365</v>
      </c>
      <c r="C9" s="197" t="s">
        <v>7624</v>
      </c>
      <c r="D9" s="188"/>
      <c r="E9" s="205">
        <v>105</v>
      </c>
      <c r="F9" s="171" t="s">
        <v>0</v>
      </c>
      <c r="G9" s="188"/>
      <c r="H9" s="205">
        <v>95</v>
      </c>
      <c r="I9" s="171" t="s">
        <v>0</v>
      </c>
      <c r="J9" s="188"/>
      <c r="K9" s="205">
        <v>79</v>
      </c>
      <c r="L9" s="171" t="s">
        <v>0</v>
      </c>
      <c r="M9" s="191" t="s">
        <v>16971</v>
      </c>
      <c r="N9" s="160"/>
      <c r="O9" s="161"/>
      <c r="P9" s="162"/>
      <c r="Q9" s="163"/>
      <c r="R9" s="164"/>
      <c r="S9" s="170" t="s">
        <v>1</v>
      </c>
      <c r="T9" s="192">
        <v>0.5</v>
      </c>
      <c r="U9" s="170" t="s">
        <v>1</v>
      </c>
      <c r="V9" s="192">
        <v>0.25</v>
      </c>
      <c r="W9" s="178">
        <v>322</v>
      </c>
      <c r="X9" s="172"/>
    </row>
    <row r="10" spans="1:24" ht="16.5" customHeight="1" x14ac:dyDescent="0.3">
      <c r="A10" s="147">
        <v>15</v>
      </c>
      <c r="B10" s="147">
        <v>3366</v>
      </c>
      <c r="C10" s="197" t="s">
        <v>7623</v>
      </c>
      <c r="D10" s="167"/>
      <c r="E10" s="150"/>
      <c r="F10" s="168"/>
      <c r="G10" s="167"/>
      <c r="H10" s="150"/>
      <c r="I10" s="168"/>
      <c r="J10" s="167"/>
      <c r="K10" s="150"/>
      <c r="L10" s="168"/>
      <c r="M10" s="207" t="s">
        <v>16970</v>
      </c>
      <c r="N10" s="150" t="s">
        <v>1</v>
      </c>
      <c r="O10" s="151">
        <v>0.9</v>
      </c>
      <c r="P10" s="186" t="s">
        <v>5895</v>
      </c>
      <c r="Q10" s="163" t="s">
        <v>1</v>
      </c>
      <c r="R10" s="164">
        <v>1</v>
      </c>
      <c r="S10" s="176"/>
      <c r="T10" s="209" t="s">
        <v>16990</v>
      </c>
      <c r="U10" s="176"/>
      <c r="V10" s="209" t="s">
        <v>16990</v>
      </c>
      <c r="W10" s="178">
        <v>322</v>
      </c>
      <c r="X10" s="177"/>
    </row>
    <row r="11" spans="1:24" ht="16.5" customHeight="1" x14ac:dyDescent="0.3">
      <c r="A11" s="132"/>
      <c r="B11" s="132"/>
      <c r="C11" s="133"/>
      <c r="D11" s="133"/>
      <c r="E11" s="134"/>
      <c r="F11" s="134"/>
      <c r="G11" s="133"/>
      <c r="H11" s="134"/>
      <c r="I11" s="134"/>
      <c r="J11" s="133"/>
      <c r="K11" s="134"/>
      <c r="L11" s="134"/>
      <c r="M11" s="134"/>
      <c r="N11" s="134"/>
      <c r="O11" s="135"/>
      <c r="P11" s="134"/>
      <c r="Q11" s="134"/>
      <c r="R11" s="135"/>
      <c r="S11" s="135"/>
      <c r="T11" s="134"/>
      <c r="U11" s="135"/>
      <c r="V11" s="134"/>
      <c r="W11" s="136"/>
      <c r="X11" s="137"/>
    </row>
    <row r="12" spans="1:24" ht="16.5" customHeight="1" x14ac:dyDescent="0.3">
      <c r="A12" s="132"/>
      <c r="B12" s="132"/>
      <c r="C12" s="133"/>
      <c r="D12" s="133"/>
      <c r="E12" s="134"/>
      <c r="F12" s="134"/>
      <c r="G12" s="133"/>
      <c r="H12" s="134"/>
      <c r="I12" s="134"/>
      <c r="J12" s="133"/>
      <c r="K12" s="134"/>
      <c r="L12" s="134"/>
      <c r="M12" s="134"/>
      <c r="N12" s="134"/>
      <c r="O12" s="135"/>
      <c r="P12" s="134"/>
      <c r="Q12" s="134"/>
      <c r="R12" s="135"/>
      <c r="S12" s="135"/>
      <c r="T12" s="134"/>
      <c r="U12" s="135"/>
      <c r="V12" s="134"/>
      <c r="W12" s="136"/>
      <c r="X12" s="137"/>
    </row>
    <row r="13" spans="1:24" ht="16.5" customHeight="1" x14ac:dyDescent="0.3">
      <c r="A13" s="132"/>
      <c r="B13" s="138" t="s">
        <v>7622</v>
      </c>
      <c r="C13" s="133"/>
      <c r="D13" s="139"/>
      <c r="E13" s="134"/>
      <c r="F13" s="134"/>
      <c r="G13" s="133"/>
      <c r="H13" s="134"/>
      <c r="I13" s="134"/>
      <c r="J13" s="133"/>
      <c r="K13" s="134"/>
      <c r="L13" s="134"/>
      <c r="M13" s="134"/>
      <c r="N13" s="134"/>
      <c r="O13" s="135"/>
      <c r="P13" s="134"/>
      <c r="Q13" s="134"/>
      <c r="R13" s="135"/>
      <c r="S13" s="135"/>
      <c r="T13" s="134"/>
      <c r="U13" s="135"/>
      <c r="V13" s="134"/>
      <c r="W13" s="136"/>
      <c r="X13" s="137"/>
    </row>
    <row r="14" spans="1:24" ht="16.5" customHeight="1" x14ac:dyDescent="0.3">
      <c r="A14" s="140" t="s">
        <v>5864</v>
      </c>
      <c r="B14" s="141"/>
      <c r="C14" s="142" t="s">
        <v>5867</v>
      </c>
      <c r="D14" s="143" t="s">
        <v>5868</v>
      </c>
      <c r="E14" s="144"/>
      <c r="F14" s="144"/>
      <c r="G14" s="143"/>
      <c r="H14" s="144"/>
      <c r="I14" s="144"/>
      <c r="J14" s="143"/>
      <c r="K14" s="144"/>
      <c r="L14" s="144"/>
      <c r="M14" s="144"/>
      <c r="N14" s="144"/>
      <c r="O14" s="145"/>
      <c r="P14" s="144"/>
      <c r="Q14" s="144"/>
      <c r="R14" s="145"/>
      <c r="S14" s="145"/>
      <c r="T14" s="144"/>
      <c r="U14" s="145"/>
      <c r="V14" s="144"/>
      <c r="W14" s="146" t="s">
        <v>5869</v>
      </c>
      <c r="X14" s="146" t="s">
        <v>5871</v>
      </c>
    </row>
    <row r="15" spans="1:24" ht="16.5" customHeight="1" x14ac:dyDescent="0.3">
      <c r="A15" s="147" t="s">
        <v>5865</v>
      </c>
      <c r="B15" s="147" t="s">
        <v>5866</v>
      </c>
      <c r="C15" s="148"/>
      <c r="D15" s="208" t="s">
        <v>5872</v>
      </c>
      <c r="E15" s="144"/>
      <c r="F15" s="206"/>
      <c r="G15" s="187"/>
      <c r="H15" s="153"/>
      <c r="I15" s="153"/>
      <c r="J15" s="187"/>
      <c r="K15" s="153"/>
      <c r="L15" s="153"/>
      <c r="M15" s="153"/>
      <c r="N15" s="153"/>
      <c r="O15" s="152"/>
      <c r="P15" s="150"/>
      <c r="Q15" s="150"/>
      <c r="R15" s="151"/>
      <c r="S15" s="152"/>
      <c r="T15" s="153"/>
      <c r="U15" s="152"/>
      <c r="V15" s="153"/>
      <c r="W15" s="154" t="s">
        <v>5870</v>
      </c>
      <c r="X15" s="154" t="s">
        <v>0</v>
      </c>
    </row>
    <row r="16" spans="1:24" ht="16.5" customHeight="1" x14ac:dyDescent="0.3">
      <c r="A16" s="147">
        <v>15</v>
      </c>
      <c r="B16" s="147">
        <v>3367</v>
      </c>
      <c r="C16" s="197" t="s">
        <v>7621</v>
      </c>
      <c r="D16" s="156" t="s">
        <v>17714</v>
      </c>
      <c r="E16" s="144"/>
      <c r="F16" s="206"/>
      <c r="G16" s="156" t="s">
        <v>16975</v>
      </c>
      <c r="H16" s="144"/>
      <c r="I16" s="144"/>
      <c r="J16" s="156"/>
      <c r="K16" s="160"/>
      <c r="L16" s="160"/>
      <c r="M16" s="160"/>
      <c r="N16" s="160"/>
      <c r="O16" s="182"/>
      <c r="P16" s="163"/>
      <c r="Q16" s="163"/>
      <c r="R16" s="164"/>
      <c r="S16" s="165"/>
      <c r="T16" s="160"/>
      <c r="U16" s="161"/>
      <c r="V16" s="158"/>
      <c r="W16" s="166">
        <v>253</v>
      </c>
      <c r="X16" s="142" t="s">
        <v>5863</v>
      </c>
    </row>
    <row r="17" spans="1:24" ht="16.5" customHeight="1" x14ac:dyDescent="0.3">
      <c r="A17" s="147">
        <v>15</v>
      </c>
      <c r="B17" s="147">
        <v>3368</v>
      </c>
      <c r="C17" s="197" t="s">
        <v>7620</v>
      </c>
      <c r="D17" s="188" t="s">
        <v>16973</v>
      </c>
      <c r="E17" s="210"/>
      <c r="F17" s="211"/>
      <c r="G17" s="188" t="s">
        <v>16973</v>
      </c>
      <c r="H17" s="153"/>
      <c r="I17" s="153"/>
      <c r="J17" s="167"/>
      <c r="K17" s="150"/>
      <c r="L17" s="150"/>
      <c r="M17" s="150"/>
      <c r="N17" s="150"/>
      <c r="O17" s="185"/>
      <c r="P17" s="190" t="s">
        <v>5895</v>
      </c>
      <c r="Q17" s="163" t="s">
        <v>1</v>
      </c>
      <c r="R17" s="164">
        <v>1</v>
      </c>
      <c r="S17" s="170"/>
      <c r="T17" s="153"/>
      <c r="U17" s="152"/>
      <c r="V17" s="171"/>
      <c r="W17" s="166">
        <v>253</v>
      </c>
      <c r="X17" s="172"/>
    </row>
    <row r="18" spans="1:24" ht="16.5" customHeight="1" x14ac:dyDescent="0.3">
      <c r="A18" s="147">
        <v>15</v>
      </c>
      <c r="B18" s="147">
        <v>3369</v>
      </c>
      <c r="C18" s="197" t="s">
        <v>7619</v>
      </c>
      <c r="D18" s="188"/>
      <c r="E18" s="205">
        <v>105</v>
      </c>
      <c r="F18" s="171" t="s">
        <v>0</v>
      </c>
      <c r="G18" s="188"/>
      <c r="H18" s="205">
        <v>95</v>
      </c>
      <c r="I18" s="171" t="s">
        <v>0</v>
      </c>
      <c r="J18" s="183" t="s">
        <v>17712</v>
      </c>
      <c r="K18" s="160"/>
      <c r="L18" s="160"/>
      <c r="M18" s="160"/>
      <c r="N18" s="160"/>
      <c r="O18" s="182"/>
      <c r="P18" s="162"/>
      <c r="Q18" s="163"/>
      <c r="R18" s="164"/>
      <c r="S18" s="170"/>
      <c r="T18" s="153"/>
      <c r="U18" s="152"/>
      <c r="V18" s="171"/>
      <c r="W18" s="166">
        <v>229</v>
      </c>
      <c r="X18" s="172"/>
    </row>
    <row r="19" spans="1:24" ht="16.5" customHeight="1" x14ac:dyDescent="0.3">
      <c r="A19" s="147">
        <v>15</v>
      </c>
      <c r="B19" s="147">
        <v>3370</v>
      </c>
      <c r="C19" s="197" t="s">
        <v>7618</v>
      </c>
      <c r="D19" s="188"/>
      <c r="E19" s="153"/>
      <c r="F19" s="171"/>
      <c r="G19" s="167"/>
      <c r="H19" s="150"/>
      <c r="I19" s="168"/>
      <c r="J19" s="167"/>
      <c r="K19" s="150"/>
      <c r="L19" s="150"/>
      <c r="M19" s="150"/>
      <c r="N19" s="150" t="s">
        <v>1</v>
      </c>
      <c r="O19" s="185">
        <v>0.9</v>
      </c>
      <c r="P19" s="186" t="s">
        <v>5895</v>
      </c>
      <c r="Q19" s="163" t="s">
        <v>1</v>
      </c>
      <c r="R19" s="164">
        <v>1</v>
      </c>
      <c r="S19" s="170"/>
      <c r="T19" s="153"/>
      <c r="U19" s="152"/>
      <c r="V19" s="171"/>
      <c r="W19" s="166">
        <v>229</v>
      </c>
      <c r="X19" s="172"/>
    </row>
    <row r="20" spans="1:24" ht="16.5" customHeight="1" x14ac:dyDescent="0.3">
      <c r="A20" s="147">
        <v>15</v>
      </c>
      <c r="B20" s="147">
        <v>3371</v>
      </c>
      <c r="C20" s="197" t="s">
        <v>7617</v>
      </c>
      <c r="D20" s="188"/>
      <c r="E20" s="153"/>
      <c r="F20" s="171"/>
      <c r="G20" s="156" t="s">
        <v>17106</v>
      </c>
      <c r="H20" s="160"/>
      <c r="I20" s="158"/>
      <c r="J20" s="156"/>
      <c r="K20" s="160"/>
      <c r="L20" s="160"/>
      <c r="M20" s="160"/>
      <c r="N20" s="160"/>
      <c r="O20" s="182"/>
      <c r="P20" s="162"/>
      <c r="Q20" s="163"/>
      <c r="R20" s="164"/>
      <c r="S20" s="170" t="s">
        <v>16810</v>
      </c>
      <c r="T20" s="153"/>
      <c r="U20" s="152"/>
      <c r="V20" s="171"/>
      <c r="W20" s="166">
        <v>332</v>
      </c>
      <c r="X20" s="172"/>
    </row>
    <row r="21" spans="1:24" ht="16.5" customHeight="1" x14ac:dyDescent="0.3">
      <c r="A21" s="147">
        <v>15</v>
      </c>
      <c r="B21" s="147">
        <v>3372</v>
      </c>
      <c r="C21" s="197" t="s">
        <v>7616</v>
      </c>
      <c r="D21" s="188"/>
      <c r="E21" s="153"/>
      <c r="F21" s="171"/>
      <c r="G21" s="188" t="s">
        <v>17067</v>
      </c>
      <c r="H21" s="153"/>
      <c r="I21" s="171"/>
      <c r="J21" s="167"/>
      <c r="K21" s="150"/>
      <c r="L21" s="150"/>
      <c r="M21" s="150"/>
      <c r="N21" s="150"/>
      <c r="O21" s="185"/>
      <c r="P21" s="186" t="s">
        <v>5895</v>
      </c>
      <c r="Q21" s="163" t="s">
        <v>1</v>
      </c>
      <c r="R21" s="164">
        <v>1</v>
      </c>
      <c r="S21" s="170"/>
      <c r="T21" s="195"/>
      <c r="U21" s="152" t="s">
        <v>1</v>
      </c>
      <c r="V21" s="192">
        <v>0.5</v>
      </c>
      <c r="W21" s="166">
        <v>332</v>
      </c>
      <c r="X21" s="172"/>
    </row>
    <row r="22" spans="1:24" ht="16.5" customHeight="1" x14ac:dyDescent="0.3">
      <c r="A22" s="147">
        <v>15</v>
      </c>
      <c r="B22" s="147">
        <v>3373</v>
      </c>
      <c r="C22" s="197" t="s">
        <v>7615</v>
      </c>
      <c r="D22" s="188"/>
      <c r="E22" s="153"/>
      <c r="F22" s="171"/>
      <c r="G22" s="188" t="s">
        <v>16977</v>
      </c>
      <c r="H22" s="205">
        <v>174</v>
      </c>
      <c r="I22" s="171" t="s">
        <v>0</v>
      </c>
      <c r="J22" s="183" t="s">
        <v>17712</v>
      </c>
      <c r="K22" s="160"/>
      <c r="L22" s="160"/>
      <c r="M22" s="160"/>
      <c r="N22" s="160"/>
      <c r="O22" s="182"/>
      <c r="P22" s="162"/>
      <c r="Q22" s="163"/>
      <c r="R22" s="164"/>
      <c r="S22" s="170"/>
      <c r="T22" s="153"/>
      <c r="U22" s="152"/>
      <c r="V22" s="174" t="s">
        <v>422</v>
      </c>
      <c r="W22" s="166">
        <v>300</v>
      </c>
      <c r="X22" s="172"/>
    </row>
    <row r="23" spans="1:24" ht="16.5" customHeight="1" x14ac:dyDescent="0.3">
      <c r="A23" s="147">
        <v>15</v>
      </c>
      <c r="B23" s="147">
        <v>3374</v>
      </c>
      <c r="C23" s="197" t="s">
        <v>7614</v>
      </c>
      <c r="D23" s="167"/>
      <c r="E23" s="150"/>
      <c r="F23" s="168"/>
      <c r="G23" s="167"/>
      <c r="H23" s="150"/>
      <c r="I23" s="168"/>
      <c r="J23" s="167"/>
      <c r="K23" s="150"/>
      <c r="L23" s="150"/>
      <c r="M23" s="150"/>
      <c r="N23" s="150" t="s">
        <v>1</v>
      </c>
      <c r="O23" s="185">
        <v>0.9</v>
      </c>
      <c r="P23" s="186" t="s">
        <v>5895</v>
      </c>
      <c r="Q23" s="163" t="s">
        <v>1</v>
      </c>
      <c r="R23" s="164">
        <v>1</v>
      </c>
      <c r="S23" s="170"/>
      <c r="T23" s="153"/>
      <c r="U23" s="152"/>
      <c r="V23" s="171"/>
      <c r="W23" s="166">
        <v>300</v>
      </c>
      <c r="X23" s="172"/>
    </row>
    <row r="24" spans="1:24" ht="16.5" customHeight="1" x14ac:dyDescent="0.3">
      <c r="A24" s="147">
        <v>15</v>
      </c>
      <c r="B24" s="147">
        <v>3375</v>
      </c>
      <c r="C24" s="197" t="s">
        <v>7613</v>
      </c>
      <c r="D24" s="156" t="s">
        <v>17713</v>
      </c>
      <c r="E24" s="160"/>
      <c r="F24" s="158"/>
      <c r="G24" s="156" t="s">
        <v>16975</v>
      </c>
      <c r="H24" s="160"/>
      <c r="I24" s="158"/>
      <c r="J24" s="156"/>
      <c r="K24" s="160"/>
      <c r="L24" s="160"/>
      <c r="M24" s="160"/>
      <c r="N24" s="160"/>
      <c r="O24" s="182"/>
      <c r="P24" s="162"/>
      <c r="Q24" s="163"/>
      <c r="R24" s="164"/>
      <c r="S24" s="170"/>
      <c r="T24" s="153"/>
      <c r="U24" s="152"/>
      <c r="V24" s="171"/>
      <c r="W24" s="166">
        <v>379</v>
      </c>
      <c r="X24" s="172"/>
    </row>
    <row r="25" spans="1:24" ht="16.5" customHeight="1" x14ac:dyDescent="0.3">
      <c r="A25" s="147">
        <v>15</v>
      </c>
      <c r="B25" s="147">
        <v>3376</v>
      </c>
      <c r="C25" s="197" t="s">
        <v>7612</v>
      </c>
      <c r="D25" s="188" t="s">
        <v>16978</v>
      </c>
      <c r="E25" s="153"/>
      <c r="F25" s="171"/>
      <c r="G25" s="188" t="s">
        <v>16973</v>
      </c>
      <c r="H25" s="153"/>
      <c r="I25" s="171"/>
      <c r="J25" s="167"/>
      <c r="K25" s="150"/>
      <c r="L25" s="150"/>
      <c r="M25" s="150"/>
      <c r="N25" s="150"/>
      <c r="O25" s="185"/>
      <c r="P25" s="186" t="s">
        <v>5895</v>
      </c>
      <c r="Q25" s="163" t="s">
        <v>1</v>
      </c>
      <c r="R25" s="164">
        <v>1</v>
      </c>
      <c r="S25" s="170"/>
      <c r="T25" s="153"/>
      <c r="U25" s="152"/>
      <c r="V25" s="171"/>
      <c r="W25" s="166">
        <v>379</v>
      </c>
      <c r="X25" s="172"/>
    </row>
    <row r="26" spans="1:24" ht="16.5" customHeight="1" x14ac:dyDescent="0.3">
      <c r="A26" s="147">
        <v>15</v>
      </c>
      <c r="B26" s="147">
        <v>3377</v>
      </c>
      <c r="C26" s="197" t="s">
        <v>7611</v>
      </c>
      <c r="D26" s="188" t="s">
        <v>16977</v>
      </c>
      <c r="E26" s="205">
        <v>200</v>
      </c>
      <c r="F26" s="171" t="s">
        <v>0</v>
      </c>
      <c r="G26" s="188"/>
      <c r="H26" s="205">
        <v>79</v>
      </c>
      <c r="I26" s="171" t="s">
        <v>0</v>
      </c>
      <c r="J26" s="183" t="s">
        <v>17712</v>
      </c>
      <c r="K26" s="160"/>
      <c r="L26" s="160"/>
      <c r="M26" s="160"/>
      <c r="N26" s="160"/>
      <c r="O26" s="182"/>
      <c r="P26" s="162"/>
      <c r="Q26" s="163"/>
      <c r="R26" s="164"/>
      <c r="S26" s="170"/>
      <c r="T26" s="153"/>
      <c r="U26" s="152"/>
      <c r="V26" s="171"/>
      <c r="W26" s="166">
        <v>341</v>
      </c>
      <c r="X26" s="172"/>
    </row>
    <row r="27" spans="1:24" ht="16.5" customHeight="1" x14ac:dyDescent="0.3">
      <c r="A27" s="147">
        <v>15</v>
      </c>
      <c r="B27" s="147">
        <v>3378</v>
      </c>
      <c r="C27" s="197" t="s">
        <v>7610</v>
      </c>
      <c r="D27" s="167"/>
      <c r="E27" s="150"/>
      <c r="F27" s="168"/>
      <c r="G27" s="167"/>
      <c r="H27" s="150"/>
      <c r="I27" s="168"/>
      <c r="J27" s="167"/>
      <c r="K27" s="150"/>
      <c r="L27" s="150"/>
      <c r="M27" s="150"/>
      <c r="N27" s="150" t="s">
        <v>1</v>
      </c>
      <c r="O27" s="185">
        <v>0.9</v>
      </c>
      <c r="P27" s="186" t="s">
        <v>5895</v>
      </c>
      <c r="Q27" s="163" t="s">
        <v>1</v>
      </c>
      <c r="R27" s="164">
        <v>1</v>
      </c>
      <c r="S27" s="176"/>
      <c r="T27" s="150"/>
      <c r="U27" s="151"/>
      <c r="V27" s="168"/>
      <c r="W27" s="166">
        <v>341</v>
      </c>
      <c r="X27" s="177"/>
    </row>
    <row r="28" spans="1:24" ht="16.5" customHeight="1" x14ac:dyDescent="0.3">
      <c r="A28" s="132"/>
      <c r="B28" s="132"/>
      <c r="C28" s="133"/>
      <c r="D28" s="133"/>
      <c r="E28" s="134"/>
      <c r="F28" s="134"/>
      <c r="G28" s="133"/>
      <c r="H28" s="134"/>
      <c r="I28" s="134"/>
      <c r="J28" s="133"/>
      <c r="K28" s="134"/>
      <c r="L28" s="134"/>
      <c r="M28" s="134"/>
      <c r="N28" s="134"/>
      <c r="O28" s="135"/>
      <c r="P28" s="134"/>
      <c r="Q28" s="134"/>
      <c r="R28" s="135"/>
      <c r="S28" s="135"/>
      <c r="T28" s="134"/>
      <c r="U28" s="135"/>
      <c r="V28" s="134"/>
      <c r="W28" s="136"/>
      <c r="X28" s="137"/>
    </row>
    <row r="29" spans="1:24" ht="16.5" customHeight="1" x14ac:dyDescent="0.3">
      <c r="A29" s="132"/>
      <c r="B29" s="132"/>
      <c r="C29" s="133"/>
      <c r="D29" s="133"/>
      <c r="E29" s="134"/>
      <c r="F29" s="134"/>
      <c r="G29" s="133"/>
      <c r="H29" s="134"/>
      <c r="I29" s="134"/>
      <c r="J29" s="133"/>
      <c r="K29" s="134"/>
      <c r="L29" s="134"/>
      <c r="M29" s="134"/>
      <c r="N29" s="134"/>
      <c r="O29" s="135"/>
      <c r="P29" s="134"/>
      <c r="Q29" s="134"/>
      <c r="R29" s="135"/>
      <c r="S29" s="135"/>
      <c r="T29" s="134"/>
      <c r="U29" s="135"/>
      <c r="V29" s="134"/>
      <c r="W29" s="136"/>
      <c r="X29" s="137"/>
    </row>
    <row r="30" spans="1:24" ht="16.5" customHeight="1" x14ac:dyDescent="0.3">
      <c r="A30" s="132"/>
      <c r="B30" s="138" t="s">
        <v>7609</v>
      </c>
      <c r="C30" s="133"/>
      <c r="D30" s="139"/>
      <c r="E30" s="134"/>
      <c r="F30" s="134"/>
      <c r="G30" s="133"/>
      <c r="H30" s="134"/>
      <c r="I30" s="134"/>
      <c r="J30" s="133"/>
      <c r="K30" s="134"/>
      <c r="L30" s="134"/>
      <c r="M30" s="134"/>
      <c r="N30" s="134"/>
      <c r="O30" s="135"/>
      <c r="P30" s="134"/>
      <c r="Q30" s="134"/>
      <c r="R30" s="135"/>
      <c r="S30" s="135"/>
      <c r="T30" s="134"/>
      <c r="U30" s="135"/>
      <c r="V30" s="134"/>
      <c r="W30" s="136"/>
      <c r="X30" s="137"/>
    </row>
    <row r="31" spans="1:24" ht="16.5" customHeight="1" x14ac:dyDescent="0.3">
      <c r="A31" s="140" t="s">
        <v>5864</v>
      </c>
      <c r="B31" s="141"/>
      <c r="C31" s="142" t="s">
        <v>5867</v>
      </c>
      <c r="D31" s="143" t="s">
        <v>5868</v>
      </c>
      <c r="E31" s="144"/>
      <c r="F31" s="144"/>
      <c r="G31" s="143"/>
      <c r="H31" s="144"/>
      <c r="I31" s="144"/>
      <c r="J31" s="143"/>
      <c r="K31" s="144"/>
      <c r="L31" s="144"/>
      <c r="M31" s="144"/>
      <c r="N31" s="144"/>
      <c r="O31" s="145"/>
      <c r="P31" s="144"/>
      <c r="Q31" s="144"/>
      <c r="R31" s="145"/>
      <c r="S31" s="145"/>
      <c r="T31" s="144"/>
      <c r="U31" s="145"/>
      <c r="V31" s="144"/>
      <c r="W31" s="146" t="s">
        <v>5869</v>
      </c>
      <c r="X31" s="146" t="s">
        <v>5871</v>
      </c>
    </row>
    <row r="32" spans="1:24" ht="16.5" customHeight="1" x14ac:dyDescent="0.3">
      <c r="A32" s="147" t="s">
        <v>5865</v>
      </c>
      <c r="B32" s="147" t="s">
        <v>5866</v>
      </c>
      <c r="C32" s="148"/>
      <c r="D32" s="187"/>
      <c r="E32" s="153"/>
      <c r="F32" s="153"/>
      <c r="G32" s="208" t="s">
        <v>5872</v>
      </c>
      <c r="H32" s="144"/>
      <c r="I32" s="206"/>
      <c r="J32" s="208" t="s">
        <v>5873</v>
      </c>
      <c r="K32" s="144"/>
      <c r="L32" s="206"/>
      <c r="M32" s="150"/>
      <c r="N32" s="150"/>
      <c r="O32" s="151"/>
      <c r="P32" s="150"/>
      <c r="Q32" s="150"/>
      <c r="R32" s="151"/>
      <c r="S32" s="151"/>
      <c r="T32" s="150"/>
      <c r="U32" s="151"/>
      <c r="V32" s="150"/>
      <c r="W32" s="154" t="s">
        <v>5870</v>
      </c>
      <c r="X32" s="154" t="s">
        <v>0</v>
      </c>
    </row>
    <row r="33" spans="1:24" ht="16.5" customHeight="1" x14ac:dyDescent="0.3">
      <c r="A33" s="147">
        <v>15</v>
      </c>
      <c r="B33" s="147">
        <v>3379</v>
      </c>
      <c r="C33" s="197" t="s">
        <v>7608</v>
      </c>
      <c r="D33" s="156" t="s">
        <v>17506</v>
      </c>
      <c r="E33" s="144"/>
      <c r="F33" s="206"/>
      <c r="G33" s="156" t="s">
        <v>17489</v>
      </c>
      <c r="H33" s="144"/>
      <c r="I33" s="206"/>
      <c r="J33" s="156" t="s">
        <v>17494</v>
      </c>
      <c r="K33" s="144"/>
      <c r="L33" s="206"/>
      <c r="M33" s="160"/>
      <c r="N33" s="160"/>
      <c r="O33" s="161"/>
      <c r="P33" s="162"/>
      <c r="Q33" s="163"/>
      <c r="R33" s="164"/>
      <c r="S33" s="159" t="s">
        <v>17220</v>
      </c>
      <c r="T33" s="158"/>
      <c r="U33" s="159" t="s">
        <v>17711</v>
      </c>
      <c r="V33" s="158"/>
      <c r="W33" s="178">
        <v>343</v>
      </c>
      <c r="X33" s="142" t="s">
        <v>5863</v>
      </c>
    </row>
    <row r="34" spans="1:24" ht="16.5" customHeight="1" x14ac:dyDescent="0.3">
      <c r="A34" s="147">
        <v>15</v>
      </c>
      <c r="B34" s="147">
        <v>3380</v>
      </c>
      <c r="C34" s="197" t="s">
        <v>7607</v>
      </c>
      <c r="D34" s="188" t="s">
        <v>16973</v>
      </c>
      <c r="E34" s="153"/>
      <c r="F34" s="171"/>
      <c r="G34" s="188" t="s">
        <v>16973</v>
      </c>
      <c r="H34" s="210"/>
      <c r="I34" s="211"/>
      <c r="J34" s="188" t="s">
        <v>16973</v>
      </c>
      <c r="K34" s="210"/>
      <c r="L34" s="211"/>
      <c r="M34" s="150"/>
      <c r="N34" s="150"/>
      <c r="O34" s="151"/>
      <c r="P34" s="197" t="s">
        <v>5895</v>
      </c>
      <c r="Q34" s="163" t="s">
        <v>1</v>
      </c>
      <c r="R34" s="164">
        <v>1</v>
      </c>
      <c r="S34" s="170"/>
      <c r="T34" s="174" t="s">
        <v>17710</v>
      </c>
      <c r="U34" s="170"/>
      <c r="V34" s="174" t="s">
        <v>17709</v>
      </c>
      <c r="W34" s="178">
        <v>343</v>
      </c>
      <c r="X34" s="172"/>
    </row>
    <row r="35" spans="1:24" ht="16.5" customHeight="1" x14ac:dyDescent="0.3">
      <c r="A35" s="147">
        <v>15</v>
      </c>
      <c r="B35" s="147">
        <v>3381</v>
      </c>
      <c r="C35" s="197" t="s">
        <v>7606</v>
      </c>
      <c r="D35" s="188"/>
      <c r="E35" s="205">
        <v>105</v>
      </c>
      <c r="F35" s="171" t="s">
        <v>0</v>
      </c>
      <c r="G35" s="188"/>
      <c r="H35" s="205">
        <v>95</v>
      </c>
      <c r="I35" s="171" t="s">
        <v>0</v>
      </c>
      <c r="J35" s="188"/>
      <c r="K35" s="205">
        <v>79</v>
      </c>
      <c r="L35" s="171" t="s">
        <v>0</v>
      </c>
      <c r="M35" s="191" t="s">
        <v>17054</v>
      </c>
      <c r="N35" s="160"/>
      <c r="O35" s="161"/>
      <c r="P35" s="162"/>
      <c r="Q35" s="163"/>
      <c r="R35" s="164"/>
      <c r="S35" s="170" t="s">
        <v>1</v>
      </c>
      <c r="T35" s="192">
        <v>0.25</v>
      </c>
      <c r="U35" s="170" t="s">
        <v>1</v>
      </c>
      <c r="V35" s="192">
        <v>0.5</v>
      </c>
      <c r="W35" s="178">
        <v>310</v>
      </c>
      <c r="X35" s="172"/>
    </row>
    <row r="36" spans="1:24" ht="16.5" customHeight="1" x14ac:dyDescent="0.3">
      <c r="A36" s="147">
        <v>15</v>
      </c>
      <c r="B36" s="147">
        <v>3382</v>
      </c>
      <c r="C36" s="197" t="s">
        <v>7605</v>
      </c>
      <c r="D36" s="167"/>
      <c r="E36" s="150"/>
      <c r="F36" s="168"/>
      <c r="G36" s="167"/>
      <c r="H36" s="150"/>
      <c r="I36" s="168"/>
      <c r="J36" s="167"/>
      <c r="K36" s="150"/>
      <c r="L36" s="168"/>
      <c r="M36" s="207" t="s">
        <v>16970</v>
      </c>
      <c r="N36" s="150" t="s">
        <v>1</v>
      </c>
      <c r="O36" s="151">
        <v>0.9</v>
      </c>
      <c r="P36" s="186" t="s">
        <v>5895</v>
      </c>
      <c r="Q36" s="163" t="s">
        <v>1</v>
      </c>
      <c r="R36" s="164">
        <v>1</v>
      </c>
      <c r="S36" s="176"/>
      <c r="T36" s="209" t="s">
        <v>16990</v>
      </c>
      <c r="U36" s="176"/>
      <c r="V36" s="209" t="s">
        <v>16990</v>
      </c>
      <c r="W36" s="178">
        <v>310</v>
      </c>
      <c r="X36" s="177"/>
    </row>
    <row r="37" spans="1:24" ht="16.5" customHeight="1" x14ac:dyDescent="0.3"/>
    <row r="38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theme="1" tint="0.249977111117893"/>
    <pageSetUpPr fitToPage="1"/>
  </sheetPr>
  <dimension ref="A1:N92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7712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3383</v>
      </c>
      <c r="C7" s="197" t="s">
        <v>7711</v>
      </c>
      <c r="D7" s="156" t="s">
        <v>17548</v>
      </c>
      <c r="E7" s="144"/>
      <c r="F7" s="206"/>
      <c r="G7" s="160"/>
      <c r="H7" s="160"/>
      <c r="I7" s="161"/>
      <c r="J7" s="162"/>
      <c r="K7" s="163"/>
      <c r="L7" s="164"/>
      <c r="M7" s="178">
        <v>70</v>
      </c>
      <c r="N7" s="142" t="s">
        <v>5863</v>
      </c>
    </row>
    <row r="8" spans="1:14" ht="16.5" customHeight="1" x14ac:dyDescent="0.3">
      <c r="A8" s="147">
        <v>15</v>
      </c>
      <c r="B8" s="147">
        <v>3384</v>
      </c>
      <c r="C8" s="197" t="s">
        <v>7710</v>
      </c>
      <c r="D8" s="188" t="s">
        <v>16952</v>
      </c>
      <c r="E8" s="153"/>
      <c r="F8" s="171"/>
      <c r="G8" s="150"/>
      <c r="H8" s="150"/>
      <c r="I8" s="151"/>
      <c r="J8" s="197" t="s">
        <v>5895</v>
      </c>
      <c r="K8" s="163" t="s">
        <v>1</v>
      </c>
      <c r="L8" s="164">
        <v>1</v>
      </c>
      <c r="M8" s="178">
        <v>70</v>
      </c>
      <c r="N8" s="172"/>
    </row>
    <row r="9" spans="1:14" ht="16.5" customHeight="1" x14ac:dyDescent="0.3">
      <c r="A9" s="147">
        <v>15</v>
      </c>
      <c r="B9" s="147">
        <v>3385</v>
      </c>
      <c r="C9" s="197" t="s">
        <v>7709</v>
      </c>
      <c r="D9" s="188"/>
      <c r="E9" s="205">
        <v>70</v>
      </c>
      <c r="F9" s="171" t="s">
        <v>0</v>
      </c>
      <c r="G9" s="191" t="s">
        <v>16912</v>
      </c>
      <c r="H9" s="160"/>
      <c r="I9" s="161"/>
      <c r="J9" s="162"/>
      <c r="K9" s="163"/>
      <c r="L9" s="164"/>
      <c r="M9" s="178">
        <v>63</v>
      </c>
      <c r="N9" s="172"/>
    </row>
    <row r="10" spans="1:14" ht="16.5" customHeight="1" x14ac:dyDescent="0.3">
      <c r="A10" s="147">
        <v>15</v>
      </c>
      <c r="B10" s="147">
        <v>3386</v>
      </c>
      <c r="C10" s="197" t="s">
        <v>7708</v>
      </c>
      <c r="D10" s="167"/>
      <c r="E10" s="150"/>
      <c r="F10" s="168"/>
      <c r="G10" s="207" t="s">
        <v>16916</v>
      </c>
      <c r="H10" s="150" t="s">
        <v>1</v>
      </c>
      <c r="I10" s="151">
        <v>0.9</v>
      </c>
      <c r="J10" s="197" t="s">
        <v>5895</v>
      </c>
      <c r="K10" s="163" t="s">
        <v>1</v>
      </c>
      <c r="L10" s="164">
        <v>1</v>
      </c>
      <c r="M10" s="178">
        <v>63</v>
      </c>
      <c r="N10" s="172"/>
    </row>
    <row r="11" spans="1:14" ht="16.5" customHeight="1" x14ac:dyDescent="0.3">
      <c r="A11" s="147">
        <v>15</v>
      </c>
      <c r="B11" s="147">
        <v>3387</v>
      </c>
      <c r="C11" s="155" t="s">
        <v>7707</v>
      </c>
      <c r="D11" s="156" t="s">
        <v>17547</v>
      </c>
      <c r="E11" s="144"/>
      <c r="F11" s="206"/>
      <c r="G11" s="160"/>
      <c r="H11" s="160"/>
      <c r="I11" s="161"/>
      <c r="J11" s="162"/>
      <c r="K11" s="163"/>
      <c r="L11" s="164"/>
      <c r="M11" s="178">
        <v>140</v>
      </c>
      <c r="N11" s="172"/>
    </row>
    <row r="12" spans="1:14" ht="16.5" customHeight="1" x14ac:dyDescent="0.3">
      <c r="A12" s="147">
        <v>15</v>
      </c>
      <c r="B12" s="147">
        <v>3388</v>
      </c>
      <c r="C12" s="155" t="s">
        <v>7706</v>
      </c>
      <c r="D12" s="188" t="s">
        <v>16949</v>
      </c>
      <c r="E12" s="153"/>
      <c r="F12" s="171"/>
      <c r="G12" s="150"/>
      <c r="H12" s="150"/>
      <c r="I12" s="151"/>
      <c r="J12" s="197" t="s">
        <v>5895</v>
      </c>
      <c r="K12" s="163" t="s">
        <v>1</v>
      </c>
      <c r="L12" s="164">
        <v>1</v>
      </c>
      <c r="M12" s="178">
        <v>140</v>
      </c>
      <c r="N12" s="172"/>
    </row>
    <row r="13" spans="1:14" ht="16.5" customHeight="1" x14ac:dyDescent="0.3">
      <c r="A13" s="147">
        <v>15</v>
      </c>
      <c r="B13" s="147">
        <v>3389</v>
      </c>
      <c r="C13" s="155" t="s">
        <v>7705</v>
      </c>
      <c r="D13" s="188" t="s">
        <v>16947</v>
      </c>
      <c r="E13" s="205">
        <v>140</v>
      </c>
      <c r="F13" s="171" t="s">
        <v>0</v>
      </c>
      <c r="G13" s="191" t="s">
        <v>16912</v>
      </c>
      <c r="H13" s="160"/>
      <c r="I13" s="161"/>
      <c r="J13" s="162"/>
      <c r="K13" s="163"/>
      <c r="L13" s="164"/>
      <c r="M13" s="178">
        <v>126</v>
      </c>
      <c r="N13" s="172"/>
    </row>
    <row r="14" spans="1:14" ht="16.5" customHeight="1" x14ac:dyDescent="0.3">
      <c r="A14" s="147">
        <v>15</v>
      </c>
      <c r="B14" s="147">
        <v>3390</v>
      </c>
      <c r="C14" s="155" t="s">
        <v>7704</v>
      </c>
      <c r="D14" s="167"/>
      <c r="E14" s="150"/>
      <c r="F14" s="168"/>
      <c r="G14" s="207" t="s">
        <v>5896</v>
      </c>
      <c r="H14" s="150" t="s">
        <v>1</v>
      </c>
      <c r="I14" s="151">
        <v>0.9</v>
      </c>
      <c r="J14" s="197" t="s">
        <v>5895</v>
      </c>
      <c r="K14" s="163" t="s">
        <v>1</v>
      </c>
      <c r="L14" s="164">
        <v>1</v>
      </c>
      <c r="M14" s="178">
        <v>126</v>
      </c>
      <c r="N14" s="172"/>
    </row>
    <row r="15" spans="1:14" ht="16.5" customHeight="1" x14ac:dyDescent="0.3">
      <c r="A15" s="147">
        <v>15</v>
      </c>
      <c r="B15" s="147">
        <v>3391</v>
      </c>
      <c r="C15" s="155" t="s">
        <v>7703</v>
      </c>
      <c r="D15" s="156" t="s">
        <v>17545</v>
      </c>
      <c r="E15" s="144"/>
      <c r="F15" s="206"/>
      <c r="G15" s="160"/>
      <c r="H15" s="160"/>
      <c r="I15" s="161"/>
      <c r="J15" s="162"/>
      <c r="K15" s="163"/>
      <c r="L15" s="164"/>
      <c r="M15" s="178">
        <v>210</v>
      </c>
      <c r="N15" s="172"/>
    </row>
    <row r="16" spans="1:14" ht="16.5" customHeight="1" x14ac:dyDescent="0.3">
      <c r="A16" s="147">
        <v>15</v>
      </c>
      <c r="B16" s="147">
        <v>3392</v>
      </c>
      <c r="C16" s="155" t="s">
        <v>7702</v>
      </c>
      <c r="D16" s="188" t="s">
        <v>16944</v>
      </c>
      <c r="E16" s="153"/>
      <c r="F16" s="171"/>
      <c r="G16" s="150"/>
      <c r="H16" s="150"/>
      <c r="I16" s="151"/>
      <c r="J16" s="197" t="s">
        <v>5895</v>
      </c>
      <c r="K16" s="163" t="s">
        <v>1</v>
      </c>
      <c r="L16" s="164">
        <v>1</v>
      </c>
      <c r="M16" s="178">
        <v>210</v>
      </c>
      <c r="N16" s="172"/>
    </row>
    <row r="17" spans="1:14" ht="16.5" customHeight="1" x14ac:dyDescent="0.3">
      <c r="A17" s="147">
        <v>15</v>
      </c>
      <c r="B17" s="147">
        <v>3393</v>
      </c>
      <c r="C17" s="155" t="s">
        <v>7701</v>
      </c>
      <c r="D17" s="188" t="s">
        <v>16942</v>
      </c>
      <c r="E17" s="205">
        <v>210</v>
      </c>
      <c r="F17" s="171" t="s">
        <v>0</v>
      </c>
      <c r="G17" s="191" t="s">
        <v>16912</v>
      </c>
      <c r="H17" s="160"/>
      <c r="I17" s="161"/>
      <c r="J17" s="162"/>
      <c r="K17" s="163"/>
      <c r="L17" s="164"/>
      <c r="M17" s="178">
        <v>189</v>
      </c>
      <c r="N17" s="172"/>
    </row>
    <row r="18" spans="1:14" ht="16.5" customHeight="1" x14ac:dyDescent="0.3">
      <c r="A18" s="147">
        <v>15</v>
      </c>
      <c r="B18" s="147">
        <v>3394</v>
      </c>
      <c r="C18" s="155" t="s">
        <v>7700</v>
      </c>
      <c r="D18" s="167"/>
      <c r="E18" s="150"/>
      <c r="F18" s="168"/>
      <c r="G18" s="207" t="s">
        <v>16916</v>
      </c>
      <c r="H18" s="150" t="s">
        <v>1</v>
      </c>
      <c r="I18" s="151">
        <v>0.9</v>
      </c>
      <c r="J18" s="197" t="s">
        <v>5895</v>
      </c>
      <c r="K18" s="163" t="s">
        <v>1</v>
      </c>
      <c r="L18" s="164">
        <v>1</v>
      </c>
      <c r="M18" s="178">
        <v>189</v>
      </c>
      <c r="N18" s="172"/>
    </row>
    <row r="19" spans="1:14" ht="16.5" customHeight="1" x14ac:dyDescent="0.3">
      <c r="A19" s="147">
        <v>15</v>
      </c>
      <c r="B19" s="147">
        <v>3395</v>
      </c>
      <c r="C19" s="155" t="s">
        <v>7699</v>
      </c>
      <c r="D19" s="156" t="s">
        <v>17542</v>
      </c>
      <c r="E19" s="144"/>
      <c r="F19" s="206"/>
      <c r="G19" s="160"/>
      <c r="H19" s="160"/>
      <c r="I19" s="161"/>
      <c r="J19" s="162"/>
      <c r="K19" s="163"/>
      <c r="L19" s="164"/>
      <c r="M19" s="178">
        <v>280</v>
      </c>
      <c r="N19" s="172"/>
    </row>
    <row r="20" spans="1:14" ht="16.5" customHeight="1" x14ac:dyDescent="0.3">
      <c r="A20" s="147">
        <v>15</v>
      </c>
      <c r="B20" s="147">
        <v>3396</v>
      </c>
      <c r="C20" s="155" t="s">
        <v>7698</v>
      </c>
      <c r="D20" s="188" t="s">
        <v>16940</v>
      </c>
      <c r="E20" s="153"/>
      <c r="F20" s="171"/>
      <c r="G20" s="150"/>
      <c r="H20" s="150"/>
      <c r="I20" s="151"/>
      <c r="J20" s="197" t="s">
        <v>5895</v>
      </c>
      <c r="K20" s="163" t="s">
        <v>1</v>
      </c>
      <c r="L20" s="164">
        <v>1</v>
      </c>
      <c r="M20" s="178">
        <v>280</v>
      </c>
      <c r="N20" s="172"/>
    </row>
    <row r="21" spans="1:14" ht="16.5" customHeight="1" x14ac:dyDescent="0.3">
      <c r="A21" s="147">
        <v>15</v>
      </c>
      <c r="B21" s="147">
        <v>3397</v>
      </c>
      <c r="C21" s="155" t="s">
        <v>7697</v>
      </c>
      <c r="D21" s="188" t="s">
        <v>16939</v>
      </c>
      <c r="E21" s="205">
        <v>280</v>
      </c>
      <c r="F21" s="171" t="s">
        <v>0</v>
      </c>
      <c r="G21" s="191" t="s">
        <v>16912</v>
      </c>
      <c r="H21" s="160"/>
      <c r="I21" s="161"/>
      <c r="J21" s="162"/>
      <c r="K21" s="163"/>
      <c r="L21" s="164"/>
      <c r="M21" s="178">
        <v>252</v>
      </c>
      <c r="N21" s="172"/>
    </row>
    <row r="22" spans="1:14" ht="16.5" customHeight="1" x14ac:dyDescent="0.3">
      <c r="A22" s="147">
        <v>15</v>
      </c>
      <c r="B22" s="147">
        <v>3398</v>
      </c>
      <c r="C22" s="155" t="s">
        <v>7696</v>
      </c>
      <c r="D22" s="167"/>
      <c r="E22" s="150"/>
      <c r="F22" s="168"/>
      <c r="G22" s="207" t="s">
        <v>16916</v>
      </c>
      <c r="H22" s="150" t="s">
        <v>1</v>
      </c>
      <c r="I22" s="151">
        <v>0.9</v>
      </c>
      <c r="J22" s="197" t="s">
        <v>5895</v>
      </c>
      <c r="K22" s="163" t="s">
        <v>1</v>
      </c>
      <c r="L22" s="164">
        <v>1</v>
      </c>
      <c r="M22" s="178">
        <v>252</v>
      </c>
      <c r="N22" s="172"/>
    </row>
    <row r="23" spans="1:14" ht="16.5" customHeight="1" x14ac:dyDescent="0.3">
      <c r="A23" s="147">
        <v>15</v>
      </c>
      <c r="B23" s="147">
        <v>3399</v>
      </c>
      <c r="C23" s="155" t="s">
        <v>7695</v>
      </c>
      <c r="D23" s="156" t="s">
        <v>17540</v>
      </c>
      <c r="E23" s="144"/>
      <c r="F23" s="206"/>
      <c r="G23" s="160"/>
      <c r="H23" s="160"/>
      <c r="I23" s="161"/>
      <c r="J23" s="162"/>
      <c r="K23" s="163"/>
      <c r="L23" s="164"/>
      <c r="M23" s="178">
        <v>350</v>
      </c>
      <c r="N23" s="172"/>
    </row>
    <row r="24" spans="1:14" ht="16.5" customHeight="1" x14ac:dyDescent="0.3">
      <c r="A24" s="147">
        <v>15</v>
      </c>
      <c r="B24" s="147">
        <v>3400</v>
      </c>
      <c r="C24" s="155" t="s">
        <v>7694</v>
      </c>
      <c r="D24" s="188" t="s">
        <v>5977</v>
      </c>
      <c r="E24" s="153"/>
      <c r="F24" s="171"/>
      <c r="G24" s="150"/>
      <c r="H24" s="150"/>
      <c r="I24" s="151"/>
      <c r="J24" s="197" t="s">
        <v>5895</v>
      </c>
      <c r="K24" s="163" t="s">
        <v>1</v>
      </c>
      <c r="L24" s="164">
        <v>1</v>
      </c>
      <c r="M24" s="178">
        <v>350</v>
      </c>
      <c r="N24" s="172"/>
    </row>
    <row r="25" spans="1:14" ht="16.5" customHeight="1" x14ac:dyDescent="0.3">
      <c r="A25" s="147">
        <v>15</v>
      </c>
      <c r="B25" s="147">
        <v>3401</v>
      </c>
      <c r="C25" s="155" t="s">
        <v>7693</v>
      </c>
      <c r="D25" s="188" t="s">
        <v>16936</v>
      </c>
      <c r="E25" s="205">
        <v>350</v>
      </c>
      <c r="F25" s="171" t="s">
        <v>0</v>
      </c>
      <c r="G25" s="191" t="s">
        <v>16912</v>
      </c>
      <c r="H25" s="160"/>
      <c r="I25" s="161"/>
      <c r="J25" s="162"/>
      <c r="K25" s="163"/>
      <c r="L25" s="164"/>
      <c r="M25" s="178">
        <v>315</v>
      </c>
      <c r="N25" s="172"/>
    </row>
    <row r="26" spans="1:14" ht="16.5" customHeight="1" x14ac:dyDescent="0.3">
      <c r="A26" s="147">
        <v>15</v>
      </c>
      <c r="B26" s="147">
        <v>3402</v>
      </c>
      <c r="C26" s="155" t="s">
        <v>7692</v>
      </c>
      <c r="D26" s="167"/>
      <c r="E26" s="150"/>
      <c r="F26" s="168"/>
      <c r="G26" s="207" t="s">
        <v>16916</v>
      </c>
      <c r="H26" s="150" t="s">
        <v>1</v>
      </c>
      <c r="I26" s="151">
        <v>0.9</v>
      </c>
      <c r="J26" s="197" t="s">
        <v>5895</v>
      </c>
      <c r="K26" s="163" t="s">
        <v>1</v>
      </c>
      <c r="L26" s="164">
        <v>1</v>
      </c>
      <c r="M26" s="178">
        <v>315</v>
      </c>
      <c r="N26" s="172"/>
    </row>
    <row r="27" spans="1:14" ht="16.5" customHeight="1" x14ac:dyDescent="0.3">
      <c r="A27" s="147">
        <v>15</v>
      </c>
      <c r="B27" s="147">
        <v>3403</v>
      </c>
      <c r="C27" s="155" t="s">
        <v>7691</v>
      </c>
      <c r="D27" s="156" t="s">
        <v>17538</v>
      </c>
      <c r="E27" s="144"/>
      <c r="F27" s="206"/>
      <c r="G27" s="160"/>
      <c r="H27" s="160"/>
      <c r="I27" s="161"/>
      <c r="J27" s="162"/>
      <c r="K27" s="163"/>
      <c r="L27" s="164"/>
      <c r="M27" s="178">
        <v>420</v>
      </c>
      <c r="N27" s="172"/>
    </row>
    <row r="28" spans="1:14" ht="16.5" customHeight="1" x14ac:dyDescent="0.3">
      <c r="A28" s="147">
        <v>15</v>
      </c>
      <c r="B28" s="147">
        <v>3404</v>
      </c>
      <c r="C28" s="155" t="s">
        <v>7690</v>
      </c>
      <c r="D28" s="188" t="s">
        <v>5972</v>
      </c>
      <c r="E28" s="153"/>
      <c r="F28" s="171"/>
      <c r="G28" s="150"/>
      <c r="H28" s="150"/>
      <c r="I28" s="151"/>
      <c r="J28" s="197" t="s">
        <v>5895</v>
      </c>
      <c r="K28" s="163" t="s">
        <v>1</v>
      </c>
      <c r="L28" s="164">
        <v>1</v>
      </c>
      <c r="M28" s="178">
        <v>420</v>
      </c>
      <c r="N28" s="172"/>
    </row>
    <row r="29" spans="1:14" ht="16.5" customHeight="1" x14ac:dyDescent="0.3">
      <c r="A29" s="147">
        <v>15</v>
      </c>
      <c r="B29" s="147">
        <v>3405</v>
      </c>
      <c r="C29" s="155" t="s">
        <v>7689</v>
      </c>
      <c r="D29" s="188" t="s">
        <v>5970</v>
      </c>
      <c r="E29" s="205">
        <v>420</v>
      </c>
      <c r="F29" s="171" t="s">
        <v>0</v>
      </c>
      <c r="G29" s="191" t="s">
        <v>16912</v>
      </c>
      <c r="H29" s="160"/>
      <c r="I29" s="161"/>
      <c r="J29" s="162"/>
      <c r="K29" s="163"/>
      <c r="L29" s="164"/>
      <c r="M29" s="178">
        <v>378</v>
      </c>
      <c r="N29" s="172"/>
    </row>
    <row r="30" spans="1:14" ht="16.5" customHeight="1" x14ac:dyDescent="0.3">
      <c r="A30" s="147">
        <v>15</v>
      </c>
      <c r="B30" s="147">
        <v>3406</v>
      </c>
      <c r="C30" s="155" t="s">
        <v>7688</v>
      </c>
      <c r="D30" s="167"/>
      <c r="E30" s="150"/>
      <c r="F30" s="168"/>
      <c r="G30" s="207" t="s">
        <v>16916</v>
      </c>
      <c r="H30" s="150" t="s">
        <v>1</v>
      </c>
      <c r="I30" s="151">
        <v>0.9</v>
      </c>
      <c r="J30" s="197" t="s">
        <v>5895</v>
      </c>
      <c r="K30" s="163" t="s">
        <v>1</v>
      </c>
      <c r="L30" s="164">
        <v>1</v>
      </c>
      <c r="M30" s="178">
        <v>378</v>
      </c>
      <c r="N30" s="172"/>
    </row>
    <row r="31" spans="1:14" ht="16.5" customHeight="1" x14ac:dyDescent="0.3">
      <c r="A31" s="147">
        <v>15</v>
      </c>
      <c r="B31" s="147">
        <v>3407</v>
      </c>
      <c r="C31" s="155" t="s">
        <v>7687</v>
      </c>
      <c r="D31" s="156" t="s">
        <v>17536</v>
      </c>
      <c r="E31" s="144"/>
      <c r="F31" s="206"/>
      <c r="G31" s="160"/>
      <c r="H31" s="160"/>
      <c r="I31" s="161"/>
      <c r="J31" s="162"/>
      <c r="K31" s="163"/>
      <c r="L31" s="164"/>
      <c r="M31" s="178">
        <v>490</v>
      </c>
      <c r="N31" s="172"/>
    </row>
    <row r="32" spans="1:14" ht="16.5" customHeight="1" x14ac:dyDescent="0.3">
      <c r="A32" s="147">
        <v>15</v>
      </c>
      <c r="B32" s="147">
        <v>3408</v>
      </c>
      <c r="C32" s="155" t="s">
        <v>7686</v>
      </c>
      <c r="D32" s="188" t="s">
        <v>16931</v>
      </c>
      <c r="E32" s="153"/>
      <c r="F32" s="171"/>
      <c r="G32" s="150"/>
      <c r="H32" s="150"/>
      <c r="I32" s="151"/>
      <c r="J32" s="197" t="s">
        <v>5895</v>
      </c>
      <c r="K32" s="163" t="s">
        <v>1</v>
      </c>
      <c r="L32" s="164">
        <v>1</v>
      </c>
      <c r="M32" s="178">
        <v>490</v>
      </c>
      <c r="N32" s="172"/>
    </row>
    <row r="33" spans="1:14" ht="16.5" customHeight="1" x14ac:dyDescent="0.3">
      <c r="A33" s="147">
        <v>15</v>
      </c>
      <c r="B33" s="147">
        <v>3409</v>
      </c>
      <c r="C33" s="155" t="s">
        <v>7685</v>
      </c>
      <c r="D33" s="188" t="s">
        <v>16930</v>
      </c>
      <c r="E33" s="205">
        <v>490</v>
      </c>
      <c r="F33" s="171" t="s">
        <v>0</v>
      </c>
      <c r="G33" s="191" t="s">
        <v>16912</v>
      </c>
      <c r="H33" s="160"/>
      <c r="I33" s="161"/>
      <c r="J33" s="162"/>
      <c r="K33" s="163"/>
      <c r="L33" s="164"/>
      <c r="M33" s="178">
        <v>441</v>
      </c>
      <c r="N33" s="172"/>
    </row>
    <row r="34" spans="1:14" ht="16.5" customHeight="1" x14ac:dyDescent="0.3">
      <c r="A34" s="147">
        <v>15</v>
      </c>
      <c r="B34" s="147">
        <v>3410</v>
      </c>
      <c r="C34" s="155" t="s">
        <v>7684</v>
      </c>
      <c r="D34" s="167"/>
      <c r="E34" s="150"/>
      <c r="F34" s="168"/>
      <c r="G34" s="207" t="s">
        <v>16916</v>
      </c>
      <c r="H34" s="150" t="s">
        <v>1</v>
      </c>
      <c r="I34" s="151">
        <v>0.9</v>
      </c>
      <c r="J34" s="197" t="s">
        <v>5895</v>
      </c>
      <c r="K34" s="163" t="s">
        <v>1</v>
      </c>
      <c r="L34" s="164">
        <v>1</v>
      </c>
      <c r="M34" s="178">
        <v>441</v>
      </c>
      <c r="N34" s="172"/>
    </row>
    <row r="35" spans="1:14" ht="16.5" customHeight="1" x14ac:dyDescent="0.3">
      <c r="A35" s="147">
        <v>15</v>
      </c>
      <c r="B35" s="147">
        <v>3411</v>
      </c>
      <c r="C35" s="155" t="s">
        <v>7683</v>
      </c>
      <c r="D35" s="156" t="s">
        <v>17534</v>
      </c>
      <c r="E35" s="144"/>
      <c r="F35" s="206"/>
      <c r="G35" s="160"/>
      <c r="H35" s="160"/>
      <c r="I35" s="161"/>
      <c r="J35" s="162"/>
      <c r="K35" s="163"/>
      <c r="L35" s="164"/>
      <c r="M35" s="178">
        <v>560</v>
      </c>
      <c r="N35" s="172"/>
    </row>
    <row r="36" spans="1:14" ht="16.5" customHeight="1" x14ac:dyDescent="0.3">
      <c r="A36" s="147">
        <v>15</v>
      </c>
      <c r="B36" s="147">
        <v>3412</v>
      </c>
      <c r="C36" s="155" t="s">
        <v>7682</v>
      </c>
      <c r="D36" s="188" t="s">
        <v>17732</v>
      </c>
      <c r="E36" s="153"/>
      <c r="F36" s="171"/>
      <c r="G36" s="150"/>
      <c r="H36" s="150"/>
      <c r="I36" s="151"/>
      <c r="J36" s="197" t="s">
        <v>5895</v>
      </c>
      <c r="K36" s="163" t="s">
        <v>1</v>
      </c>
      <c r="L36" s="164">
        <v>1</v>
      </c>
      <c r="M36" s="178">
        <v>560</v>
      </c>
      <c r="N36" s="172"/>
    </row>
    <row r="37" spans="1:14" ht="16.5" customHeight="1" x14ac:dyDescent="0.3">
      <c r="A37" s="147">
        <v>15</v>
      </c>
      <c r="B37" s="147">
        <v>3413</v>
      </c>
      <c r="C37" s="155" t="s">
        <v>7681</v>
      </c>
      <c r="D37" s="188" t="s">
        <v>16928</v>
      </c>
      <c r="E37" s="205">
        <v>560</v>
      </c>
      <c r="F37" s="171" t="s">
        <v>0</v>
      </c>
      <c r="G37" s="191" t="s">
        <v>16912</v>
      </c>
      <c r="H37" s="160"/>
      <c r="I37" s="161"/>
      <c r="J37" s="162"/>
      <c r="K37" s="163"/>
      <c r="L37" s="164"/>
      <c r="M37" s="178">
        <v>504</v>
      </c>
      <c r="N37" s="172"/>
    </row>
    <row r="38" spans="1:14" ht="16.5" customHeight="1" x14ac:dyDescent="0.3">
      <c r="A38" s="147">
        <v>15</v>
      </c>
      <c r="B38" s="147">
        <v>3414</v>
      </c>
      <c r="C38" s="155" t="s">
        <v>7680</v>
      </c>
      <c r="D38" s="167"/>
      <c r="E38" s="150"/>
      <c r="F38" s="168"/>
      <c r="G38" s="207" t="s">
        <v>16916</v>
      </c>
      <c r="H38" s="150" t="s">
        <v>1</v>
      </c>
      <c r="I38" s="151">
        <v>0.9</v>
      </c>
      <c r="J38" s="197" t="s">
        <v>5895</v>
      </c>
      <c r="K38" s="163" t="s">
        <v>1</v>
      </c>
      <c r="L38" s="164">
        <v>1</v>
      </c>
      <c r="M38" s="178">
        <v>504</v>
      </c>
      <c r="N38" s="172"/>
    </row>
    <row r="39" spans="1:14" ht="16.5" customHeight="1" x14ac:dyDescent="0.3">
      <c r="A39" s="147">
        <v>15</v>
      </c>
      <c r="B39" s="147">
        <v>3415</v>
      </c>
      <c r="C39" s="155" t="s">
        <v>7679</v>
      </c>
      <c r="D39" s="156" t="s">
        <v>17532</v>
      </c>
      <c r="E39" s="144"/>
      <c r="F39" s="206"/>
      <c r="G39" s="160"/>
      <c r="H39" s="160"/>
      <c r="I39" s="161"/>
      <c r="J39" s="162"/>
      <c r="K39" s="163"/>
      <c r="L39" s="164"/>
      <c r="M39" s="178">
        <v>630</v>
      </c>
      <c r="N39" s="172"/>
    </row>
    <row r="40" spans="1:14" ht="16.5" customHeight="1" x14ac:dyDescent="0.3">
      <c r="A40" s="147">
        <v>15</v>
      </c>
      <c r="B40" s="147">
        <v>3416</v>
      </c>
      <c r="C40" s="155" t="s">
        <v>7678</v>
      </c>
      <c r="D40" s="188" t="s">
        <v>16926</v>
      </c>
      <c r="E40" s="153"/>
      <c r="F40" s="171"/>
      <c r="G40" s="150"/>
      <c r="H40" s="150"/>
      <c r="I40" s="151"/>
      <c r="J40" s="197" t="s">
        <v>5895</v>
      </c>
      <c r="K40" s="163" t="s">
        <v>1</v>
      </c>
      <c r="L40" s="164">
        <v>1</v>
      </c>
      <c r="M40" s="178">
        <v>630</v>
      </c>
      <c r="N40" s="172"/>
    </row>
    <row r="41" spans="1:14" ht="16.5" customHeight="1" x14ac:dyDescent="0.3">
      <c r="A41" s="147">
        <v>15</v>
      </c>
      <c r="B41" s="147">
        <v>3417</v>
      </c>
      <c r="C41" s="155" t="s">
        <v>7677</v>
      </c>
      <c r="D41" s="188" t="s">
        <v>16925</v>
      </c>
      <c r="E41" s="205">
        <v>630</v>
      </c>
      <c r="F41" s="171" t="s">
        <v>0</v>
      </c>
      <c r="G41" s="191" t="s">
        <v>16912</v>
      </c>
      <c r="H41" s="160"/>
      <c r="I41" s="161"/>
      <c r="J41" s="162"/>
      <c r="K41" s="163"/>
      <c r="L41" s="164"/>
      <c r="M41" s="178">
        <v>567</v>
      </c>
      <c r="N41" s="172"/>
    </row>
    <row r="42" spans="1:14" ht="16.5" customHeight="1" x14ac:dyDescent="0.3">
      <c r="A42" s="147">
        <v>15</v>
      </c>
      <c r="B42" s="147">
        <v>3418</v>
      </c>
      <c r="C42" s="155" t="s">
        <v>7676</v>
      </c>
      <c r="D42" s="167"/>
      <c r="E42" s="150"/>
      <c r="F42" s="168"/>
      <c r="G42" s="207" t="s">
        <v>16916</v>
      </c>
      <c r="H42" s="150" t="s">
        <v>1</v>
      </c>
      <c r="I42" s="151">
        <v>0.9</v>
      </c>
      <c r="J42" s="197" t="s">
        <v>5895</v>
      </c>
      <c r="K42" s="163" t="s">
        <v>1</v>
      </c>
      <c r="L42" s="164">
        <v>1</v>
      </c>
      <c r="M42" s="178">
        <v>567</v>
      </c>
      <c r="N42" s="172"/>
    </row>
    <row r="43" spans="1:14" ht="16.5" customHeight="1" x14ac:dyDescent="0.3">
      <c r="A43" s="147">
        <v>15</v>
      </c>
      <c r="B43" s="147">
        <v>3419</v>
      </c>
      <c r="C43" s="155" t="s">
        <v>7675</v>
      </c>
      <c r="D43" s="156" t="s">
        <v>17530</v>
      </c>
      <c r="E43" s="144"/>
      <c r="F43" s="206"/>
      <c r="G43" s="160"/>
      <c r="H43" s="160"/>
      <c r="I43" s="161"/>
      <c r="J43" s="162"/>
      <c r="K43" s="163"/>
      <c r="L43" s="164"/>
      <c r="M43" s="178">
        <v>700</v>
      </c>
      <c r="N43" s="172"/>
    </row>
    <row r="44" spans="1:14" ht="16.5" customHeight="1" x14ac:dyDescent="0.3">
      <c r="A44" s="147">
        <v>15</v>
      </c>
      <c r="B44" s="147">
        <v>3420</v>
      </c>
      <c r="C44" s="155" t="s">
        <v>7674</v>
      </c>
      <c r="D44" s="188" t="s">
        <v>17731</v>
      </c>
      <c r="E44" s="153"/>
      <c r="F44" s="171"/>
      <c r="G44" s="150"/>
      <c r="H44" s="150"/>
      <c r="I44" s="151"/>
      <c r="J44" s="197" t="s">
        <v>5895</v>
      </c>
      <c r="K44" s="163" t="s">
        <v>1</v>
      </c>
      <c r="L44" s="164">
        <v>1</v>
      </c>
      <c r="M44" s="178">
        <v>700</v>
      </c>
      <c r="N44" s="172"/>
    </row>
    <row r="45" spans="1:14" ht="16.5" customHeight="1" x14ac:dyDescent="0.3">
      <c r="A45" s="147">
        <v>15</v>
      </c>
      <c r="B45" s="147">
        <v>3421</v>
      </c>
      <c r="C45" s="155" t="s">
        <v>7673</v>
      </c>
      <c r="D45" s="188" t="s">
        <v>16923</v>
      </c>
      <c r="E45" s="205">
        <v>700</v>
      </c>
      <c r="F45" s="171" t="s">
        <v>0</v>
      </c>
      <c r="G45" s="191" t="s">
        <v>16912</v>
      </c>
      <c r="H45" s="160"/>
      <c r="I45" s="161"/>
      <c r="J45" s="162"/>
      <c r="K45" s="163"/>
      <c r="L45" s="164"/>
      <c r="M45" s="178">
        <v>630</v>
      </c>
      <c r="N45" s="172"/>
    </row>
    <row r="46" spans="1:14" ht="16.5" customHeight="1" x14ac:dyDescent="0.3">
      <c r="A46" s="147">
        <v>15</v>
      </c>
      <c r="B46" s="147">
        <v>3422</v>
      </c>
      <c r="C46" s="155" t="s">
        <v>7672</v>
      </c>
      <c r="D46" s="167"/>
      <c r="E46" s="150"/>
      <c r="F46" s="168"/>
      <c r="G46" s="207" t="s">
        <v>16916</v>
      </c>
      <c r="H46" s="150" t="s">
        <v>1</v>
      </c>
      <c r="I46" s="151">
        <v>0.9</v>
      </c>
      <c r="J46" s="197" t="s">
        <v>5895</v>
      </c>
      <c r="K46" s="163" t="s">
        <v>1</v>
      </c>
      <c r="L46" s="164">
        <v>1</v>
      </c>
      <c r="M46" s="178">
        <v>630</v>
      </c>
      <c r="N46" s="172"/>
    </row>
    <row r="47" spans="1:14" ht="16.5" customHeight="1" x14ac:dyDescent="0.3">
      <c r="A47" s="147">
        <v>15</v>
      </c>
      <c r="B47" s="147">
        <v>3423</v>
      </c>
      <c r="C47" s="155" t="s">
        <v>7671</v>
      </c>
      <c r="D47" s="156" t="s">
        <v>17528</v>
      </c>
      <c r="E47" s="144"/>
      <c r="F47" s="206"/>
      <c r="G47" s="160"/>
      <c r="H47" s="160"/>
      <c r="I47" s="161"/>
      <c r="J47" s="162"/>
      <c r="K47" s="163"/>
      <c r="L47" s="164"/>
      <c r="M47" s="178">
        <v>770</v>
      </c>
      <c r="N47" s="172"/>
    </row>
    <row r="48" spans="1:14" ht="16.5" customHeight="1" x14ac:dyDescent="0.3">
      <c r="A48" s="147">
        <v>15</v>
      </c>
      <c r="B48" s="147">
        <v>3424</v>
      </c>
      <c r="C48" s="155" t="s">
        <v>7670</v>
      </c>
      <c r="D48" s="188" t="s">
        <v>16921</v>
      </c>
      <c r="E48" s="153"/>
      <c r="F48" s="171"/>
      <c r="G48" s="150"/>
      <c r="H48" s="150"/>
      <c r="I48" s="151"/>
      <c r="J48" s="197" t="s">
        <v>5895</v>
      </c>
      <c r="K48" s="163" t="s">
        <v>1</v>
      </c>
      <c r="L48" s="164">
        <v>1</v>
      </c>
      <c r="M48" s="178">
        <v>770</v>
      </c>
      <c r="N48" s="172"/>
    </row>
    <row r="49" spans="1:14" ht="16.5" customHeight="1" x14ac:dyDescent="0.3">
      <c r="A49" s="147">
        <v>15</v>
      </c>
      <c r="B49" s="147">
        <v>3425</v>
      </c>
      <c r="C49" s="155" t="s">
        <v>7669</v>
      </c>
      <c r="D49" s="188" t="s">
        <v>16920</v>
      </c>
      <c r="E49" s="205">
        <v>770</v>
      </c>
      <c r="F49" s="171" t="s">
        <v>0</v>
      </c>
      <c r="G49" s="191" t="s">
        <v>16912</v>
      </c>
      <c r="H49" s="160"/>
      <c r="I49" s="161"/>
      <c r="J49" s="162"/>
      <c r="K49" s="163"/>
      <c r="L49" s="164"/>
      <c r="M49" s="178">
        <v>693</v>
      </c>
      <c r="N49" s="172"/>
    </row>
    <row r="50" spans="1:14" ht="16.5" customHeight="1" x14ac:dyDescent="0.3">
      <c r="A50" s="147">
        <v>15</v>
      </c>
      <c r="B50" s="147">
        <v>3426</v>
      </c>
      <c r="C50" s="155" t="s">
        <v>7668</v>
      </c>
      <c r="D50" s="167"/>
      <c r="E50" s="150"/>
      <c r="F50" s="168"/>
      <c r="G50" s="207" t="s">
        <v>16916</v>
      </c>
      <c r="H50" s="150" t="s">
        <v>1</v>
      </c>
      <c r="I50" s="151">
        <v>0.9</v>
      </c>
      <c r="J50" s="197" t="s">
        <v>5895</v>
      </c>
      <c r="K50" s="163" t="s">
        <v>1</v>
      </c>
      <c r="L50" s="164">
        <v>1</v>
      </c>
      <c r="M50" s="178">
        <v>693</v>
      </c>
      <c r="N50" s="172"/>
    </row>
    <row r="51" spans="1:14" ht="16.5" customHeight="1" x14ac:dyDescent="0.3">
      <c r="A51" s="147">
        <v>15</v>
      </c>
      <c r="B51" s="147">
        <v>3427</v>
      </c>
      <c r="C51" s="155" t="s">
        <v>7667</v>
      </c>
      <c r="D51" s="156" t="s">
        <v>17526</v>
      </c>
      <c r="E51" s="144"/>
      <c r="F51" s="206"/>
      <c r="G51" s="160"/>
      <c r="H51" s="160"/>
      <c r="I51" s="161"/>
      <c r="J51" s="162"/>
      <c r="K51" s="163"/>
      <c r="L51" s="164"/>
      <c r="M51" s="178">
        <v>840</v>
      </c>
      <c r="N51" s="172"/>
    </row>
    <row r="52" spans="1:14" ht="16.5" customHeight="1" x14ac:dyDescent="0.3">
      <c r="A52" s="147">
        <v>15</v>
      </c>
      <c r="B52" s="147">
        <v>3428</v>
      </c>
      <c r="C52" s="155" t="s">
        <v>7666</v>
      </c>
      <c r="D52" s="188" t="s">
        <v>16918</v>
      </c>
      <c r="E52" s="153"/>
      <c r="F52" s="171"/>
      <c r="G52" s="150"/>
      <c r="H52" s="150"/>
      <c r="I52" s="151"/>
      <c r="J52" s="197" t="s">
        <v>5895</v>
      </c>
      <c r="K52" s="163" t="s">
        <v>1</v>
      </c>
      <c r="L52" s="164">
        <v>1</v>
      </c>
      <c r="M52" s="178">
        <v>840</v>
      </c>
      <c r="N52" s="172"/>
    </row>
    <row r="53" spans="1:14" ht="16.5" customHeight="1" x14ac:dyDescent="0.3">
      <c r="A53" s="147">
        <v>15</v>
      </c>
      <c r="B53" s="147">
        <v>3429</v>
      </c>
      <c r="C53" s="155" t="s">
        <v>7665</v>
      </c>
      <c r="D53" s="188" t="s">
        <v>16917</v>
      </c>
      <c r="E53" s="205">
        <v>840</v>
      </c>
      <c r="F53" s="171" t="s">
        <v>0</v>
      </c>
      <c r="G53" s="191" t="s">
        <v>16912</v>
      </c>
      <c r="H53" s="160"/>
      <c r="I53" s="161"/>
      <c r="J53" s="162"/>
      <c r="K53" s="163"/>
      <c r="L53" s="164"/>
      <c r="M53" s="178">
        <v>756</v>
      </c>
      <c r="N53" s="172"/>
    </row>
    <row r="54" spans="1:14" ht="16.5" customHeight="1" x14ac:dyDescent="0.3">
      <c r="A54" s="147">
        <v>15</v>
      </c>
      <c r="B54" s="147">
        <v>3430</v>
      </c>
      <c r="C54" s="155" t="s">
        <v>7664</v>
      </c>
      <c r="D54" s="167"/>
      <c r="E54" s="150"/>
      <c r="F54" s="168"/>
      <c r="G54" s="207" t="s">
        <v>16916</v>
      </c>
      <c r="H54" s="150" t="s">
        <v>1</v>
      </c>
      <c r="I54" s="151">
        <v>0.9</v>
      </c>
      <c r="J54" s="197" t="s">
        <v>5895</v>
      </c>
      <c r="K54" s="163" t="s">
        <v>1</v>
      </c>
      <c r="L54" s="164">
        <v>1</v>
      </c>
      <c r="M54" s="178">
        <v>756</v>
      </c>
      <c r="N54" s="172"/>
    </row>
    <row r="55" spans="1:14" ht="16.5" customHeight="1" x14ac:dyDescent="0.3">
      <c r="A55" s="147">
        <v>15</v>
      </c>
      <c r="B55" s="147">
        <v>3431</v>
      </c>
      <c r="C55" s="155" t="s">
        <v>7663</v>
      </c>
      <c r="D55" s="156" t="s">
        <v>17524</v>
      </c>
      <c r="E55" s="144"/>
      <c r="F55" s="206"/>
      <c r="G55" s="160"/>
      <c r="H55" s="160"/>
      <c r="I55" s="161"/>
      <c r="J55" s="162"/>
      <c r="K55" s="163"/>
      <c r="L55" s="164"/>
      <c r="M55" s="178">
        <v>910</v>
      </c>
      <c r="N55" s="172"/>
    </row>
    <row r="56" spans="1:14" ht="16.5" customHeight="1" x14ac:dyDescent="0.3">
      <c r="A56" s="147">
        <v>15</v>
      </c>
      <c r="B56" s="147">
        <v>3432</v>
      </c>
      <c r="C56" s="155" t="s">
        <v>7662</v>
      </c>
      <c r="D56" s="188" t="s">
        <v>16914</v>
      </c>
      <c r="E56" s="153"/>
      <c r="F56" s="171"/>
      <c r="G56" s="150"/>
      <c r="H56" s="150"/>
      <c r="I56" s="151"/>
      <c r="J56" s="197" t="s">
        <v>5895</v>
      </c>
      <c r="K56" s="163" t="s">
        <v>1</v>
      </c>
      <c r="L56" s="164">
        <v>1</v>
      </c>
      <c r="M56" s="178">
        <v>910</v>
      </c>
      <c r="N56" s="172"/>
    </row>
    <row r="57" spans="1:14" ht="16.5" customHeight="1" x14ac:dyDescent="0.3">
      <c r="A57" s="147">
        <v>15</v>
      </c>
      <c r="B57" s="147">
        <v>3433</v>
      </c>
      <c r="C57" s="155" t="s">
        <v>7661</v>
      </c>
      <c r="D57" s="188" t="s">
        <v>16913</v>
      </c>
      <c r="E57" s="205">
        <v>910</v>
      </c>
      <c r="F57" s="171" t="s">
        <v>0</v>
      </c>
      <c r="G57" s="191" t="s">
        <v>16912</v>
      </c>
      <c r="H57" s="160"/>
      <c r="I57" s="161"/>
      <c r="J57" s="162"/>
      <c r="K57" s="163"/>
      <c r="L57" s="164"/>
      <c r="M57" s="178">
        <v>819</v>
      </c>
      <c r="N57" s="172"/>
    </row>
    <row r="58" spans="1:14" ht="16.5" customHeight="1" x14ac:dyDescent="0.3">
      <c r="A58" s="147">
        <v>15</v>
      </c>
      <c r="B58" s="147">
        <v>3434</v>
      </c>
      <c r="C58" s="155" t="s">
        <v>7660</v>
      </c>
      <c r="D58" s="167"/>
      <c r="E58" s="150"/>
      <c r="F58" s="168"/>
      <c r="G58" s="207" t="s">
        <v>16916</v>
      </c>
      <c r="H58" s="150" t="s">
        <v>1</v>
      </c>
      <c r="I58" s="151">
        <v>0.9</v>
      </c>
      <c r="J58" s="197" t="s">
        <v>5895</v>
      </c>
      <c r="K58" s="163" t="s">
        <v>1</v>
      </c>
      <c r="L58" s="164">
        <v>1</v>
      </c>
      <c r="M58" s="178">
        <v>819</v>
      </c>
      <c r="N58" s="172"/>
    </row>
    <row r="59" spans="1:14" ht="16.5" customHeight="1" x14ac:dyDescent="0.3">
      <c r="A59" s="147">
        <v>15</v>
      </c>
      <c r="B59" s="147">
        <v>3435</v>
      </c>
      <c r="C59" s="155" t="s">
        <v>7659</v>
      </c>
      <c r="D59" s="156" t="s">
        <v>17522</v>
      </c>
      <c r="E59" s="144"/>
      <c r="F59" s="206"/>
      <c r="G59" s="160"/>
      <c r="H59" s="160"/>
      <c r="I59" s="161"/>
      <c r="J59" s="162"/>
      <c r="K59" s="163"/>
      <c r="L59" s="164"/>
      <c r="M59" s="178">
        <v>980</v>
      </c>
      <c r="N59" s="172"/>
    </row>
    <row r="60" spans="1:14" ht="16.5" customHeight="1" x14ac:dyDescent="0.3">
      <c r="A60" s="147">
        <v>15</v>
      </c>
      <c r="B60" s="147">
        <v>3436</v>
      </c>
      <c r="C60" s="155" t="s">
        <v>7658</v>
      </c>
      <c r="D60" s="188" t="s">
        <v>17730</v>
      </c>
      <c r="E60" s="153"/>
      <c r="F60" s="171"/>
      <c r="G60" s="150"/>
      <c r="H60" s="150"/>
      <c r="I60" s="151"/>
      <c r="J60" s="197" t="s">
        <v>5895</v>
      </c>
      <c r="K60" s="163" t="s">
        <v>1</v>
      </c>
      <c r="L60" s="164">
        <v>1</v>
      </c>
      <c r="M60" s="178">
        <v>980</v>
      </c>
      <c r="N60" s="172"/>
    </row>
    <row r="61" spans="1:14" ht="16.5" customHeight="1" x14ac:dyDescent="0.3">
      <c r="A61" s="147">
        <v>15</v>
      </c>
      <c r="B61" s="147">
        <v>3437</v>
      </c>
      <c r="C61" s="155" t="s">
        <v>7657</v>
      </c>
      <c r="D61" s="188" t="s">
        <v>17729</v>
      </c>
      <c r="E61" s="205">
        <v>980</v>
      </c>
      <c r="F61" s="171" t="s">
        <v>0</v>
      </c>
      <c r="G61" s="191" t="s">
        <v>16912</v>
      </c>
      <c r="H61" s="160"/>
      <c r="I61" s="161"/>
      <c r="J61" s="162"/>
      <c r="K61" s="163"/>
      <c r="L61" s="164"/>
      <c r="M61" s="178">
        <v>882</v>
      </c>
      <c r="N61" s="172"/>
    </row>
    <row r="62" spans="1:14" ht="16.5" customHeight="1" x14ac:dyDescent="0.3">
      <c r="A62" s="147">
        <v>15</v>
      </c>
      <c r="B62" s="147">
        <v>3438</v>
      </c>
      <c r="C62" s="155" t="s">
        <v>7656</v>
      </c>
      <c r="D62" s="167"/>
      <c r="E62" s="150"/>
      <c r="F62" s="168"/>
      <c r="G62" s="207" t="s">
        <v>16916</v>
      </c>
      <c r="H62" s="150" t="s">
        <v>1</v>
      </c>
      <c r="I62" s="151">
        <v>0.9</v>
      </c>
      <c r="J62" s="197" t="s">
        <v>5895</v>
      </c>
      <c r="K62" s="163" t="s">
        <v>1</v>
      </c>
      <c r="L62" s="164">
        <v>1</v>
      </c>
      <c r="M62" s="178">
        <v>882</v>
      </c>
      <c r="N62" s="172"/>
    </row>
    <row r="63" spans="1:14" ht="16.5" customHeight="1" x14ac:dyDescent="0.3">
      <c r="A63" s="147">
        <v>15</v>
      </c>
      <c r="B63" s="147">
        <v>3439</v>
      </c>
      <c r="C63" s="155" t="s">
        <v>7655</v>
      </c>
      <c r="D63" s="156" t="s">
        <v>6700</v>
      </c>
      <c r="E63" s="144"/>
      <c r="F63" s="206"/>
      <c r="G63" s="160"/>
      <c r="H63" s="160"/>
      <c r="I63" s="161"/>
      <c r="J63" s="162"/>
      <c r="K63" s="163"/>
      <c r="L63" s="164"/>
      <c r="M63" s="178">
        <v>1050</v>
      </c>
      <c r="N63" s="172"/>
    </row>
    <row r="64" spans="1:14" ht="16.5" customHeight="1" x14ac:dyDescent="0.3">
      <c r="A64" s="147">
        <v>15</v>
      </c>
      <c r="B64" s="147">
        <v>3440</v>
      </c>
      <c r="C64" s="155" t="s">
        <v>7654</v>
      </c>
      <c r="D64" s="188" t="s">
        <v>17728</v>
      </c>
      <c r="E64" s="153"/>
      <c r="F64" s="171"/>
      <c r="G64" s="150"/>
      <c r="H64" s="150"/>
      <c r="I64" s="151"/>
      <c r="J64" s="197" t="s">
        <v>5895</v>
      </c>
      <c r="K64" s="163" t="s">
        <v>1</v>
      </c>
      <c r="L64" s="164">
        <v>1</v>
      </c>
      <c r="M64" s="178">
        <v>1050</v>
      </c>
      <c r="N64" s="172"/>
    </row>
    <row r="65" spans="1:14" ht="16.5" customHeight="1" x14ac:dyDescent="0.3">
      <c r="A65" s="147">
        <v>15</v>
      </c>
      <c r="B65" s="147">
        <v>3441</v>
      </c>
      <c r="C65" s="155" t="s">
        <v>7653</v>
      </c>
      <c r="D65" s="188" t="s">
        <v>5928</v>
      </c>
      <c r="E65" s="205">
        <v>1050</v>
      </c>
      <c r="F65" s="171" t="s">
        <v>0</v>
      </c>
      <c r="G65" s="191" t="s">
        <v>16912</v>
      </c>
      <c r="H65" s="160"/>
      <c r="I65" s="161"/>
      <c r="J65" s="162"/>
      <c r="K65" s="163"/>
      <c r="L65" s="164"/>
      <c r="M65" s="178">
        <v>945</v>
      </c>
      <c r="N65" s="172"/>
    </row>
    <row r="66" spans="1:14" ht="16.5" customHeight="1" x14ac:dyDescent="0.3">
      <c r="A66" s="147">
        <v>15</v>
      </c>
      <c r="B66" s="147">
        <v>3442</v>
      </c>
      <c r="C66" s="155" t="s">
        <v>7652</v>
      </c>
      <c r="D66" s="167"/>
      <c r="E66" s="150"/>
      <c r="F66" s="168"/>
      <c r="G66" s="207" t="s">
        <v>16916</v>
      </c>
      <c r="H66" s="150" t="s">
        <v>1</v>
      </c>
      <c r="I66" s="151">
        <v>0.9</v>
      </c>
      <c r="J66" s="197" t="s">
        <v>5895</v>
      </c>
      <c r="K66" s="163" t="s">
        <v>1</v>
      </c>
      <c r="L66" s="164">
        <v>1</v>
      </c>
      <c r="M66" s="178">
        <v>945</v>
      </c>
      <c r="N66" s="172"/>
    </row>
    <row r="67" spans="1:14" ht="16.5" customHeight="1" x14ac:dyDescent="0.3">
      <c r="A67" s="147">
        <v>15</v>
      </c>
      <c r="B67" s="147">
        <v>3443</v>
      </c>
      <c r="C67" s="155" t="s">
        <v>7651</v>
      </c>
      <c r="D67" s="156" t="s">
        <v>17518</v>
      </c>
      <c r="E67" s="144"/>
      <c r="F67" s="206"/>
      <c r="G67" s="160"/>
      <c r="H67" s="160"/>
      <c r="I67" s="161"/>
      <c r="J67" s="162"/>
      <c r="K67" s="163"/>
      <c r="L67" s="164"/>
      <c r="M67" s="178">
        <v>1120</v>
      </c>
      <c r="N67" s="172"/>
    </row>
    <row r="68" spans="1:14" ht="16.5" customHeight="1" x14ac:dyDescent="0.3">
      <c r="A68" s="147">
        <v>15</v>
      </c>
      <c r="B68" s="147">
        <v>3444</v>
      </c>
      <c r="C68" s="155" t="s">
        <v>7650</v>
      </c>
      <c r="D68" s="188" t="s">
        <v>5924</v>
      </c>
      <c r="E68" s="153"/>
      <c r="F68" s="171"/>
      <c r="G68" s="150"/>
      <c r="H68" s="150"/>
      <c r="I68" s="151"/>
      <c r="J68" s="197" t="s">
        <v>5895</v>
      </c>
      <c r="K68" s="163" t="s">
        <v>1</v>
      </c>
      <c r="L68" s="164">
        <v>1</v>
      </c>
      <c r="M68" s="178">
        <v>1120</v>
      </c>
      <c r="N68" s="172"/>
    </row>
    <row r="69" spans="1:14" ht="16.5" customHeight="1" x14ac:dyDescent="0.3">
      <c r="A69" s="147">
        <v>15</v>
      </c>
      <c r="B69" s="147">
        <v>3445</v>
      </c>
      <c r="C69" s="155" t="s">
        <v>7649</v>
      </c>
      <c r="D69" s="188" t="s">
        <v>17727</v>
      </c>
      <c r="E69" s="205">
        <v>1120</v>
      </c>
      <c r="F69" s="171" t="s">
        <v>0</v>
      </c>
      <c r="G69" s="191" t="s">
        <v>16912</v>
      </c>
      <c r="H69" s="160"/>
      <c r="I69" s="161"/>
      <c r="J69" s="162"/>
      <c r="K69" s="163"/>
      <c r="L69" s="164"/>
      <c r="M69" s="178">
        <v>1008</v>
      </c>
      <c r="N69" s="172"/>
    </row>
    <row r="70" spans="1:14" ht="16.5" customHeight="1" x14ac:dyDescent="0.3">
      <c r="A70" s="147">
        <v>15</v>
      </c>
      <c r="B70" s="147">
        <v>3446</v>
      </c>
      <c r="C70" s="155" t="s">
        <v>7648</v>
      </c>
      <c r="D70" s="167"/>
      <c r="E70" s="150"/>
      <c r="F70" s="168"/>
      <c r="G70" s="207" t="s">
        <v>16916</v>
      </c>
      <c r="H70" s="150" t="s">
        <v>1</v>
      </c>
      <c r="I70" s="151">
        <v>0.9</v>
      </c>
      <c r="J70" s="197" t="s">
        <v>5895</v>
      </c>
      <c r="K70" s="163" t="s">
        <v>1</v>
      </c>
      <c r="L70" s="164">
        <v>1</v>
      </c>
      <c r="M70" s="178">
        <v>1008</v>
      </c>
      <c r="N70" s="172"/>
    </row>
    <row r="71" spans="1:14" ht="16.5" customHeight="1" x14ac:dyDescent="0.3">
      <c r="A71" s="147">
        <v>15</v>
      </c>
      <c r="B71" s="147">
        <v>3447</v>
      </c>
      <c r="C71" s="155" t="s">
        <v>7647</v>
      </c>
      <c r="D71" s="156" t="s">
        <v>17516</v>
      </c>
      <c r="E71" s="144"/>
      <c r="F71" s="206"/>
      <c r="G71" s="160"/>
      <c r="H71" s="160"/>
      <c r="I71" s="161"/>
      <c r="J71" s="162"/>
      <c r="K71" s="163"/>
      <c r="L71" s="164"/>
      <c r="M71" s="178">
        <v>1190</v>
      </c>
      <c r="N71" s="172"/>
    </row>
    <row r="72" spans="1:14" ht="16.5" customHeight="1" x14ac:dyDescent="0.3">
      <c r="A72" s="147">
        <v>15</v>
      </c>
      <c r="B72" s="147">
        <v>3448</v>
      </c>
      <c r="C72" s="155" t="s">
        <v>7646</v>
      </c>
      <c r="D72" s="188" t="s">
        <v>17726</v>
      </c>
      <c r="E72" s="153"/>
      <c r="F72" s="171"/>
      <c r="G72" s="150"/>
      <c r="H72" s="150"/>
      <c r="I72" s="151"/>
      <c r="J72" s="197" t="s">
        <v>5895</v>
      </c>
      <c r="K72" s="163" t="s">
        <v>1</v>
      </c>
      <c r="L72" s="164">
        <v>1</v>
      </c>
      <c r="M72" s="178">
        <v>1190</v>
      </c>
      <c r="N72" s="172"/>
    </row>
    <row r="73" spans="1:14" ht="16.5" customHeight="1" x14ac:dyDescent="0.3">
      <c r="A73" s="147">
        <v>15</v>
      </c>
      <c r="B73" s="147">
        <v>3449</v>
      </c>
      <c r="C73" s="155" t="s">
        <v>7645</v>
      </c>
      <c r="D73" s="188" t="s">
        <v>17725</v>
      </c>
      <c r="E73" s="205">
        <v>1190</v>
      </c>
      <c r="F73" s="171" t="s">
        <v>0</v>
      </c>
      <c r="G73" s="191" t="s">
        <v>16912</v>
      </c>
      <c r="H73" s="160"/>
      <c r="I73" s="161"/>
      <c r="J73" s="162"/>
      <c r="K73" s="163"/>
      <c r="L73" s="164"/>
      <c r="M73" s="178">
        <v>1071</v>
      </c>
      <c r="N73" s="172"/>
    </row>
    <row r="74" spans="1:14" ht="16.5" customHeight="1" x14ac:dyDescent="0.3">
      <c r="A74" s="147">
        <v>15</v>
      </c>
      <c r="B74" s="147">
        <v>3450</v>
      </c>
      <c r="C74" s="155" t="s">
        <v>7644</v>
      </c>
      <c r="D74" s="167"/>
      <c r="E74" s="150"/>
      <c r="F74" s="168"/>
      <c r="G74" s="207" t="s">
        <v>16916</v>
      </c>
      <c r="H74" s="150" t="s">
        <v>1</v>
      </c>
      <c r="I74" s="151">
        <v>0.9</v>
      </c>
      <c r="J74" s="197" t="s">
        <v>5895</v>
      </c>
      <c r="K74" s="163" t="s">
        <v>1</v>
      </c>
      <c r="L74" s="164">
        <v>1</v>
      </c>
      <c r="M74" s="178">
        <v>1071</v>
      </c>
      <c r="N74" s="172"/>
    </row>
    <row r="75" spans="1:14" ht="16.5" customHeight="1" x14ac:dyDescent="0.3">
      <c r="A75" s="147">
        <v>15</v>
      </c>
      <c r="B75" s="147">
        <v>3451</v>
      </c>
      <c r="C75" s="155" t="s">
        <v>7643</v>
      </c>
      <c r="D75" s="156" t="s">
        <v>17514</v>
      </c>
      <c r="E75" s="144"/>
      <c r="F75" s="206"/>
      <c r="G75" s="160"/>
      <c r="H75" s="160"/>
      <c r="I75" s="161"/>
      <c r="J75" s="162"/>
      <c r="K75" s="163"/>
      <c r="L75" s="164"/>
      <c r="M75" s="178">
        <v>1260</v>
      </c>
      <c r="N75" s="172"/>
    </row>
    <row r="76" spans="1:14" ht="16.5" customHeight="1" x14ac:dyDescent="0.3">
      <c r="A76" s="147">
        <v>15</v>
      </c>
      <c r="B76" s="147">
        <v>3452</v>
      </c>
      <c r="C76" s="155" t="s">
        <v>7642</v>
      </c>
      <c r="D76" s="188" t="s">
        <v>17724</v>
      </c>
      <c r="E76" s="153"/>
      <c r="F76" s="171"/>
      <c r="G76" s="150"/>
      <c r="H76" s="150"/>
      <c r="I76" s="151"/>
      <c r="J76" s="197" t="s">
        <v>5895</v>
      </c>
      <c r="K76" s="163" t="s">
        <v>1</v>
      </c>
      <c r="L76" s="164">
        <v>1</v>
      </c>
      <c r="M76" s="178">
        <v>1260</v>
      </c>
      <c r="N76" s="172"/>
    </row>
    <row r="77" spans="1:14" ht="16.5" customHeight="1" x14ac:dyDescent="0.3">
      <c r="A77" s="147">
        <v>15</v>
      </c>
      <c r="B77" s="147">
        <v>3453</v>
      </c>
      <c r="C77" s="155" t="s">
        <v>7641</v>
      </c>
      <c r="D77" s="188" t="s">
        <v>17723</v>
      </c>
      <c r="E77" s="205">
        <v>1260</v>
      </c>
      <c r="F77" s="171" t="s">
        <v>0</v>
      </c>
      <c r="G77" s="191" t="s">
        <v>16912</v>
      </c>
      <c r="H77" s="160"/>
      <c r="I77" s="161"/>
      <c r="J77" s="162"/>
      <c r="K77" s="163"/>
      <c r="L77" s="164"/>
      <c r="M77" s="178">
        <v>1134</v>
      </c>
      <c r="N77" s="172"/>
    </row>
    <row r="78" spans="1:14" ht="16.5" customHeight="1" x14ac:dyDescent="0.3">
      <c r="A78" s="147">
        <v>15</v>
      </c>
      <c r="B78" s="147">
        <v>3454</v>
      </c>
      <c r="C78" s="155" t="s">
        <v>7640</v>
      </c>
      <c r="D78" s="167"/>
      <c r="E78" s="150"/>
      <c r="F78" s="168"/>
      <c r="G78" s="207" t="s">
        <v>16916</v>
      </c>
      <c r="H78" s="150" t="s">
        <v>1</v>
      </c>
      <c r="I78" s="151">
        <v>0.9</v>
      </c>
      <c r="J78" s="197" t="s">
        <v>5895</v>
      </c>
      <c r="K78" s="163" t="s">
        <v>1</v>
      </c>
      <c r="L78" s="164">
        <v>1</v>
      </c>
      <c r="M78" s="178">
        <v>1134</v>
      </c>
      <c r="N78" s="172"/>
    </row>
    <row r="79" spans="1:14" ht="16.5" customHeight="1" x14ac:dyDescent="0.3">
      <c r="A79" s="147">
        <v>15</v>
      </c>
      <c r="B79" s="147">
        <v>3455</v>
      </c>
      <c r="C79" s="155" t="s">
        <v>7639</v>
      </c>
      <c r="D79" s="156" t="s">
        <v>6683</v>
      </c>
      <c r="E79" s="144"/>
      <c r="F79" s="206"/>
      <c r="G79" s="160"/>
      <c r="H79" s="160"/>
      <c r="I79" s="161"/>
      <c r="J79" s="162"/>
      <c r="K79" s="163"/>
      <c r="L79" s="164"/>
      <c r="M79" s="178">
        <v>1330</v>
      </c>
      <c r="N79" s="172"/>
    </row>
    <row r="80" spans="1:14" ht="16.5" customHeight="1" x14ac:dyDescent="0.3">
      <c r="A80" s="147">
        <v>15</v>
      </c>
      <c r="B80" s="147">
        <v>3456</v>
      </c>
      <c r="C80" s="155" t="s">
        <v>7638</v>
      </c>
      <c r="D80" s="188" t="s">
        <v>17722</v>
      </c>
      <c r="E80" s="153"/>
      <c r="F80" s="171"/>
      <c r="G80" s="150"/>
      <c r="H80" s="150"/>
      <c r="I80" s="151"/>
      <c r="J80" s="197" t="s">
        <v>5895</v>
      </c>
      <c r="K80" s="163" t="s">
        <v>1</v>
      </c>
      <c r="L80" s="164">
        <v>1</v>
      </c>
      <c r="M80" s="178">
        <v>1330</v>
      </c>
      <c r="N80" s="172"/>
    </row>
    <row r="81" spans="1:14" ht="16.5" customHeight="1" x14ac:dyDescent="0.3">
      <c r="A81" s="147">
        <v>15</v>
      </c>
      <c r="B81" s="147">
        <v>3457</v>
      </c>
      <c r="C81" s="155" t="s">
        <v>7637</v>
      </c>
      <c r="D81" s="188" t="s">
        <v>5908</v>
      </c>
      <c r="E81" s="205">
        <v>1330</v>
      </c>
      <c r="F81" s="171" t="s">
        <v>0</v>
      </c>
      <c r="G81" s="191" t="s">
        <v>16912</v>
      </c>
      <c r="H81" s="160"/>
      <c r="I81" s="161"/>
      <c r="J81" s="162"/>
      <c r="K81" s="163"/>
      <c r="L81" s="164"/>
      <c r="M81" s="178">
        <v>1197</v>
      </c>
      <c r="N81" s="172"/>
    </row>
    <row r="82" spans="1:14" ht="16.5" customHeight="1" x14ac:dyDescent="0.3">
      <c r="A82" s="147">
        <v>15</v>
      </c>
      <c r="B82" s="147">
        <v>3458</v>
      </c>
      <c r="C82" s="155" t="s">
        <v>7636</v>
      </c>
      <c r="D82" s="167"/>
      <c r="E82" s="150"/>
      <c r="F82" s="168"/>
      <c r="G82" s="207" t="s">
        <v>16916</v>
      </c>
      <c r="H82" s="150" t="s">
        <v>1</v>
      </c>
      <c r="I82" s="151">
        <v>0.9</v>
      </c>
      <c r="J82" s="197" t="s">
        <v>5895</v>
      </c>
      <c r="K82" s="163" t="s">
        <v>1</v>
      </c>
      <c r="L82" s="164">
        <v>1</v>
      </c>
      <c r="M82" s="178">
        <v>1197</v>
      </c>
      <c r="N82" s="172"/>
    </row>
    <row r="83" spans="1:14" ht="16.5" customHeight="1" x14ac:dyDescent="0.3">
      <c r="A83" s="147">
        <v>15</v>
      </c>
      <c r="B83" s="147">
        <v>3459</v>
      </c>
      <c r="C83" s="155" t="s">
        <v>7635</v>
      </c>
      <c r="D83" s="156" t="s">
        <v>17510</v>
      </c>
      <c r="E83" s="144"/>
      <c r="F83" s="206"/>
      <c r="G83" s="160"/>
      <c r="H83" s="160"/>
      <c r="I83" s="161"/>
      <c r="J83" s="162"/>
      <c r="K83" s="163"/>
      <c r="L83" s="164"/>
      <c r="M83" s="178">
        <v>1400</v>
      </c>
      <c r="N83" s="172"/>
    </row>
    <row r="84" spans="1:14" ht="16.5" customHeight="1" x14ac:dyDescent="0.3">
      <c r="A84" s="147">
        <v>15</v>
      </c>
      <c r="B84" s="147">
        <v>3460</v>
      </c>
      <c r="C84" s="155" t="s">
        <v>7634</v>
      </c>
      <c r="D84" s="188" t="s">
        <v>17721</v>
      </c>
      <c r="E84" s="153"/>
      <c r="F84" s="171"/>
      <c r="G84" s="150"/>
      <c r="H84" s="150"/>
      <c r="I84" s="151"/>
      <c r="J84" s="197" t="s">
        <v>5895</v>
      </c>
      <c r="K84" s="163" t="s">
        <v>1</v>
      </c>
      <c r="L84" s="164">
        <v>1</v>
      </c>
      <c r="M84" s="178">
        <v>1400</v>
      </c>
      <c r="N84" s="172"/>
    </row>
    <row r="85" spans="1:14" ht="16.5" customHeight="1" x14ac:dyDescent="0.3">
      <c r="A85" s="147">
        <v>15</v>
      </c>
      <c r="B85" s="147">
        <v>3461</v>
      </c>
      <c r="C85" s="155" t="s">
        <v>7633</v>
      </c>
      <c r="D85" s="188" t="s">
        <v>17720</v>
      </c>
      <c r="E85" s="205">
        <v>1400</v>
      </c>
      <c r="F85" s="171" t="s">
        <v>0</v>
      </c>
      <c r="G85" s="191" t="s">
        <v>16912</v>
      </c>
      <c r="H85" s="160"/>
      <c r="I85" s="161"/>
      <c r="J85" s="162"/>
      <c r="K85" s="163"/>
      <c r="L85" s="164"/>
      <c r="M85" s="178">
        <v>1260</v>
      </c>
      <c r="N85" s="172"/>
    </row>
    <row r="86" spans="1:14" ht="16.5" customHeight="1" x14ac:dyDescent="0.3">
      <c r="A86" s="147">
        <v>15</v>
      </c>
      <c r="B86" s="147">
        <v>3462</v>
      </c>
      <c r="C86" s="155" t="s">
        <v>7632</v>
      </c>
      <c r="D86" s="167"/>
      <c r="E86" s="150"/>
      <c r="F86" s="168"/>
      <c r="G86" s="207" t="s">
        <v>16916</v>
      </c>
      <c r="H86" s="150" t="s">
        <v>1</v>
      </c>
      <c r="I86" s="151">
        <v>0.9</v>
      </c>
      <c r="J86" s="197" t="s">
        <v>5895</v>
      </c>
      <c r="K86" s="163" t="s">
        <v>1</v>
      </c>
      <c r="L86" s="164">
        <v>1</v>
      </c>
      <c r="M86" s="178">
        <v>1260</v>
      </c>
      <c r="N86" s="172"/>
    </row>
    <row r="87" spans="1:14" ht="16.5" customHeight="1" x14ac:dyDescent="0.3">
      <c r="A87" s="147">
        <v>15</v>
      </c>
      <c r="B87" s="147">
        <v>3463</v>
      </c>
      <c r="C87" s="155" t="s">
        <v>7631</v>
      </c>
      <c r="D87" s="156" t="s">
        <v>17508</v>
      </c>
      <c r="E87" s="144"/>
      <c r="F87" s="206"/>
      <c r="G87" s="160"/>
      <c r="H87" s="160"/>
      <c r="I87" s="161"/>
      <c r="J87" s="162"/>
      <c r="K87" s="163"/>
      <c r="L87" s="164"/>
      <c r="M87" s="178">
        <v>1470</v>
      </c>
      <c r="N87" s="172"/>
    </row>
    <row r="88" spans="1:14" ht="16.5" customHeight="1" x14ac:dyDescent="0.3">
      <c r="A88" s="147">
        <v>15</v>
      </c>
      <c r="B88" s="147">
        <v>3464</v>
      </c>
      <c r="C88" s="155" t="s">
        <v>7630</v>
      </c>
      <c r="D88" s="188" t="s">
        <v>17719</v>
      </c>
      <c r="E88" s="153"/>
      <c r="F88" s="171"/>
      <c r="G88" s="150"/>
      <c r="H88" s="150"/>
      <c r="I88" s="151"/>
      <c r="J88" s="197" t="s">
        <v>5895</v>
      </c>
      <c r="K88" s="163" t="s">
        <v>1</v>
      </c>
      <c r="L88" s="164">
        <v>1</v>
      </c>
      <c r="M88" s="178">
        <v>1470</v>
      </c>
      <c r="N88" s="172"/>
    </row>
    <row r="89" spans="1:14" ht="16.5" customHeight="1" x14ac:dyDescent="0.3">
      <c r="A89" s="147">
        <v>15</v>
      </c>
      <c r="B89" s="147">
        <v>3465</v>
      </c>
      <c r="C89" s="155" t="s">
        <v>7629</v>
      </c>
      <c r="D89" s="188" t="s">
        <v>17718</v>
      </c>
      <c r="E89" s="205">
        <v>1470</v>
      </c>
      <c r="F89" s="171" t="s">
        <v>0</v>
      </c>
      <c r="G89" s="191" t="s">
        <v>16912</v>
      </c>
      <c r="H89" s="160"/>
      <c r="I89" s="161"/>
      <c r="J89" s="162"/>
      <c r="K89" s="163"/>
      <c r="L89" s="164"/>
      <c r="M89" s="178">
        <v>1323</v>
      </c>
      <c r="N89" s="172"/>
    </row>
    <row r="90" spans="1:14" ht="16.5" customHeight="1" x14ac:dyDescent="0.3">
      <c r="A90" s="147">
        <v>15</v>
      </c>
      <c r="B90" s="147">
        <v>3466</v>
      </c>
      <c r="C90" s="155" t="s">
        <v>7628</v>
      </c>
      <c r="D90" s="167"/>
      <c r="E90" s="150"/>
      <c r="F90" s="168"/>
      <c r="G90" s="207" t="s">
        <v>16916</v>
      </c>
      <c r="H90" s="150" t="s">
        <v>1</v>
      </c>
      <c r="I90" s="151">
        <v>0.9</v>
      </c>
      <c r="J90" s="197" t="s">
        <v>5895</v>
      </c>
      <c r="K90" s="163" t="s">
        <v>1</v>
      </c>
      <c r="L90" s="164">
        <v>1</v>
      </c>
      <c r="M90" s="178">
        <v>1323</v>
      </c>
      <c r="N90" s="177"/>
    </row>
    <row r="91" spans="1:14" ht="16.5" customHeight="1" x14ac:dyDescent="0.3"/>
    <row r="92" spans="1:1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86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theme="1" tint="0.249977111117893"/>
    <pageSetUpPr fitToPage="1"/>
  </sheetPr>
  <dimension ref="A1:P69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7772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3467</v>
      </c>
      <c r="C7" s="197" t="s">
        <v>7771</v>
      </c>
      <c r="D7" s="156" t="s">
        <v>7770</v>
      </c>
      <c r="E7" s="198"/>
      <c r="F7" s="199"/>
      <c r="G7" s="160"/>
      <c r="H7" s="160"/>
      <c r="I7" s="161"/>
      <c r="J7" s="162"/>
      <c r="K7" s="163"/>
      <c r="L7" s="164"/>
      <c r="M7" s="165"/>
      <c r="N7" s="158"/>
      <c r="O7" s="178">
        <v>88</v>
      </c>
      <c r="P7" s="142" t="s">
        <v>5863</v>
      </c>
    </row>
    <row r="8" spans="1:16" ht="16.5" customHeight="1" x14ac:dyDescent="0.3">
      <c r="A8" s="147">
        <v>15</v>
      </c>
      <c r="B8" s="147">
        <v>3468</v>
      </c>
      <c r="C8" s="197" t="s">
        <v>7769</v>
      </c>
      <c r="D8" s="188" t="s">
        <v>16952</v>
      </c>
      <c r="E8" s="200"/>
      <c r="F8" s="201"/>
      <c r="G8" s="150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178">
        <v>88</v>
      </c>
      <c r="P8" s="172"/>
    </row>
    <row r="9" spans="1:16" ht="16.5" customHeight="1" x14ac:dyDescent="0.3">
      <c r="A9" s="147">
        <v>15</v>
      </c>
      <c r="B9" s="147">
        <v>3469</v>
      </c>
      <c r="C9" s="197" t="s">
        <v>7768</v>
      </c>
      <c r="D9" s="188"/>
      <c r="E9" s="205">
        <v>70</v>
      </c>
      <c r="F9" s="171" t="s">
        <v>0</v>
      </c>
      <c r="G9" s="160" t="s">
        <v>16912</v>
      </c>
      <c r="H9" s="160"/>
      <c r="I9" s="161"/>
      <c r="J9" s="162"/>
      <c r="K9" s="163"/>
      <c r="L9" s="164"/>
      <c r="M9" s="170"/>
      <c r="N9" s="171"/>
      <c r="O9" s="178">
        <v>79</v>
      </c>
      <c r="P9" s="172"/>
    </row>
    <row r="10" spans="1:16" ht="16.5" customHeight="1" x14ac:dyDescent="0.3">
      <c r="A10" s="147">
        <v>15</v>
      </c>
      <c r="B10" s="147">
        <v>3470</v>
      </c>
      <c r="C10" s="197" t="s">
        <v>7767</v>
      </c>
      <c r="D10" s="167"/>
      <c r="E10" s="150"/>
      <c r="F10" s="168"/>
      <c r="G10" s="150" t="s">
        <v>16916</v>
      </c>
      <c r="H10" s="150" t="s">
        <v>1</v>
      </c>
      <c r="I10" s="151">
        <v>0.9</v>
      </c>
      <c r="J10" s="162" t="s">
        <v>5895</v>
      </c>
      <c r="K10" s="163" t="s">
        <v>1</v>
      </c>
      <c r="L10" s="164">
        <v>1</v>
      </c>
      <c r="M10" s="170"/>
      <c r="N10" s="171"/>
      <c r="O10" s="178">
        <v>79</v>
      </c>
      <c r="P10" s="172"/>
    </row>
    <row r="11" spans="1:16" ht="16.5" customHeight="1" x14ac:dyDescent="0.3">
      <c r="A11" s="147">
        <v>15</v>
      </c>
      <c r="B11" s="147">
        <v>3471</v>
      </c>
      <c r="C11" s="155" t="s">
        <v>7766</v>
      </c>
      <c r="D11" s="156" t="s">
        <v>17746</v>
      </c>
      <c r="E11" s="198"/>
      <c r="F11" s="199"/>
      <c r="G11" s="160"/>
      <c r="H11" s="160"/>
      <c r="I11" s="161"/>
      <c r="J11" s="162"/>
      <c r="K11" s="163"/>
      <c r="L11" s="164"/>
      <c r="M11" s="170"/>
      <c r="N11" s="171"/>
      <c r="O11" s="178">
        <v>175</v>
      </c>
      <c r="P11" s="172"/>
    </row>
    <row r="12" spans="1:16" ht="16.5" customHeight="1" x14ac:dyDescent="0.3">
      <c r="A12" s="147">
        <v>15</v>
      </c>
      <c r="B12" s="147">
        <v>3472</v>
      </c>
      <c r="C12" s="155" t="s">
        <v>7765</v>
      </c>
      <c r="D12" s="188" t="s">
        <v>16949</v>
      </c>
      <c r="E12" s="200"/>
      <c r="F12" s="20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0" t="s">
        <v>17745</v>
      </c>
      <c r="N12" s="171"/>
      <c r="O12" s="178">
        <v>175</v>
      </c>
      <c r="P12" s="172"/>
    </row>
    <row r="13" spans="1:16" ht="16.5" customHeight="1" x14ac:dyDescent="0.3">
      <c r="A13" s="147">
        <v>15</v>
      </c>
      <c r="B13" s="147">
        <v>3473</v>
      </c>
      <c r="C13" s="155" t="s">
        <v>7764</v>
      </c>
      <c r="D13" s="188" t="s">
        <v>16947</v>
      </c>
      <c r="E13" s="205">
        <v>140</v>
      </c>
      <c r="F13" s="171" t="s">
        <v>0</v>
      </c>
      <c r="G13" s="160" t="s">
        <v>16912</v>
      </c>
      <c r="H13" s="160"/>
      <c r="I13" s="161"/>
      <c r="J13" s="162"/>
      <c r="K13" s="163"/>
      <c r="L13" s="164"/>
      <c r="M13" s="170"/>
      <c r="N13" s="174" t="s">
        <v>16946</v>
      </c>
      <c r="O13" s="178">
        <v>158</v>
      </c>
      <c r="P13" s="172"/>
    </row>
    <row r="14" spans="1:16" ht="16.5" customHeight="1" x14ac:dyDescent="0.3">
      <c r="A14" s="147">
        <v>15</v>
      </c>
      <c r="B14" s="147">
        <v>3474</v>
      </c>
      <c r="C14" s="155" t="s">
        <v>7763</v>
      </c>
      <c r="D14" s="167"/>
      <c r="E14" s="150"/>
      <c r="F14" s="168"/>
      <c r="G14" s="150" t="s">
        <v>16916</v>
      </c>
      <c r="H14" s="150" t="s">
        <v>1</v>
      </c>
      <c r="I14" s="151">
        <v>0.9</v>
      </c>
      <c r="J14" s="162" t="s">
        <v>5895</v>
      </c>
      <c r="K14" s="163" t="s">
        <v>1</v>
      </c>
      <c r="L14" s="164">
        <v>1</v>
      </c>
      <c r="M14" s="170"/>
      <c r="N14" s="171"/>
      <c r="O14" s="178">
        <v>158</v>
      </c>
      <c r="P14" s="172"/>
    </row>
    <row r="15" spans="1:16" ht="16.5" customHeight="1" x14ac:dyDescent="0.3">
      <c r="A15" s="147">
        <v>15</v>
      </c>
      <c r="B15" s="147">
        <v>3475</v>
      </c>
      <c r="C15" s="155" t="s">
        <v>7762</v>
      </c>
      <c r="D15" s="156" t="s">
        <v>17744</v>
      </c>
      <c r="E15" s="198"/>
      <c r="F15" s="199"/>
      <c r="G15" s="160"/>
      <c r="H15" s="160"/>
      <c r="I15" s="161"/>
      <c r="J15" s="162"/>
      <c r="K15" s="163"/>
      <c r="L15" s="164"/>
      <c r="M15" s="170" t="s">
        <v>1</v>
      </c>
      <c r="N15" s="192">
        <v>0.25</v>
      </c>
      <c r="O15" s="178">
        <v>263</v>
      </c>
      <c r="P15" s="172"/>
    </row>
    <row r="16" spans="1:16" ht="16.5" customHeight="1" x14ac:dyDescent="0.3">
      <c r="A16" s="147">
        <v>15</v>
      </c>
      <c r="B16" s="147">
        <v>3476</v>
      </c>
      <c r="C16" s="155" t="s">
        <v>7761</v>
      </c>
      <c r="D16" s="188" t="s">
        <v>16944</v>
      </c>
      <c r="E16" s="200"/>
      <c r="F16" s="20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16943</v>
      </c>
      <c r="O16" s="178">
        <v>263</v>
      </c>
      <c r="P16" s="172"/>
    </row>
    <row r="17" spans="1:16" ht="16.5" customHeight="1" x14ac:dyDescent="0.3">
      <c r="A17" s="147">
        <v>15</v>
      </c>
      <c r="B17" s="147">
        <v>3477</v>
      </c>
      <c r="C17" s="155" t="s">
        <v>7760</v>
      </c>
      <c r="D17" s="188" t="s">
        <v>16942</v>
      </c>
      <c r="E17" s="205">
        <v>210</v>
      </c>
      <c r="F17" s="171" t="s">
        <v>0</v>
      </c>
      <c r="G17" s="160" t="s">
        <v>16912</v>
      </c>
      <c r="H17" s="160"/>
      <c r="I17" s="161"/>
      <c r="J17" s="162"/>
      <c r="K17" s="163"/>
      <c r="L17" s="164"/>
      <c r="M17" s="170"/>
      <c r="N17" s="171"/>
      <c r="O17" s="178">
        <v>236</v>
      </c>
      <c r="P17" s="172"/>
    </row>
    <row r="18" spans="1:16" ht="16.5" customHeight="1" x14ac:dyDescent="0.3">
      <c r="A18" s="147">
        <v>15</v>
      </c>
      <c r="B18" s="147">
        <v>3478</v>
      </c>
      <c r="C18" s="155" t="s">
        <v>7759</v>
      </c>
      <c r="D18" s="167"/>
      <c r="E18" s="150"/>
      <c r="F18" s="168"/>
      <c r="G18" s="150" t="s">
        <v>16916</v>
      </c>
      <c r="H18" s="150" t="s">
        <v>1</v>
      </c>
      <c r="I18" s="151">
        <v>0.9</v>
      </c>
      <c r="J18" s="162" t="s">
        <v>5895</v>
      </c>
      <c r="K18" s="163" t="s">
        <v>1</v>
      </c>
      <c r="L18" s="164">
        <v>1</v>
      </c>
      <c r="M18" s="170"/>
      <c r="N18" s="171"/>
      <c r="O18" s="178">
        <v>236</v>
      </c>
      <c r="P18" s="172"/>
    </row>
    <row r="19" spans="1:16" ht="16.5" customHeight="1" x14ac:dyDescent="0.3">
      <c r="A19" s="147">
        <v>15</v>
      </c>
      <c r="B19" s="147">
        <v>3479</v>
      </c>
      <c r="C19" s="155" t="s">
        <v>7758</v>
      </c>
      <c r="D19" s="156" t="s">
        <v>17743</v>
      </c>
      <c r="E19" s="198"/>
      <c r="F19" s="199"/>
      <c r="G19" s="160"/>
      <c r="H19" s="160"/>
      <c r="I19" s="161"/>
      <c r="J19" s="162"/>
      <c r="K19" s="163"/>
      <c r="L19" s="164"/>
      <c r="M19" s="170"/>
      <c r="N19" s="171"/>
      <c r="O19" s="178">
        <v>350</v>
      </c>
      <c r="P19" s="172"/>
    </row>
    <row r="20" spans="1:16" ht="16.5" customHeight="1" x14ac:dyDescent="0.3">
      <c r="A20" s="147">
        <v>15</v>
      </c>
      <c r="B20" s="147">
        <v>3480</v>
      </c>
      <c r="C20" s="155" t="s">
        <v>7757</v>
      </c>
      <c r="D20" s="188" t="s">
        <v>16940</v>
      </c>
      <c r="E20" s="200"/>
      <c r="F20" s="20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178">
        <v>350</v>
      </c>
      <c r="P20" s="172"/>
    </row>
    <row r="21" spans="1:16" ht="16.5" customHeight="1" x14ac:dyDescent="0.3">
      <c r="A21" s="147">
        <v>15</v>
      </c>
      <c r="B21" s="147">
        <v>3481</v>
      </c>
      <c r="C21" s="155" t="s">
        <v>7756</v>
      </c>
      <c r="D21" s="188" t="s">
        <v>16939</v>
      </c>
      <c r="E21" s="205">
        <v>280</v>
      </c>
      <c r="F21" s="171" t="s">
        <v>0</v>
      </c>
      <c r="G21" s="160" t="s">
        <v>16912</v>
      </c>
      <c r="H21" s="160"/>
      <c r="I21" s="161"/>
      <c r="J21" s="162"/>
      <c r="K21" s="163"/>
      <c r="L21" s="164"/>
      <c r="M21" s="170"/>
      <c r="N21" s="171"/>
      <c r="O21" s="178">
        <v>315</v>
      </c>
      <c r="P21" s="172"/>
    </row>
    <row r="22" spans="1:16" ht="16.5" customHeight="1" x14ac:dyDescent="0.3">
      <c r="A22" s="147">
        <v>15</v>
      </c>
      <c r="B22" s="147">
        <v>3482</v>
      </c>
      <c r="C22" s="155" t="s">
        <v>7755</v>
      </c>
      <c r="D22" s="167"/>
      <c r="E22" s="150"/>
      <c r="F22" s="168"/>
      <c r="G22" s="150" t="s">
        <v>16916</v>
      </c>
      <c r="H22" s="150" t="s">
        <v>1</v>
      </c>
      <c r="I22" s="151">
        <v>0.9</v>
      </c>
      <c r="J22" s="162" t="s">
        <v>5895</v>
      </c>
      <c r="K22" s="163" t="s">
        <v>1</v>
      </c>
      <c r="L22" s="164">
        <v>1</v>
      </c>
      <c r="M22" s="170"/>
      <c r="N22" s="171"/>
      <c r="O22" s="178">
        <v>315</v>
      </c>
      <c r="P22" s="172"/>
    </row>
    <row r="23" spans="1:16" ht="16.5" customHeight="1" x14ac:dyDescent="0.3">
      <c r="A23" s="147">
        <v>15</v>
      </c>
      <c r="B23" s="147">
        <v>3483</v>
      </c>
      <c r="C23" s="155" t="s">
        <v>7754</v>
      </c>
      <c r="D23" s="156" t="s">
        <v>17742</v>
      </c>
      <c r="E23" s="198"/>
      <c r="F23" s="199"/>
      <c r="G23" s="160"/>
      <c r="H23" s="160"/>
      <c r="I23" s="161"/>
      <c r="J23" s="162"/>
      <c r="K23" s="163"/>
      <c r="L23" s="164"/>
      <c r="M23" s="170"/>
      <c r="N23" s="171"/>
      <c r="O23" s="178">
        <v>438</v>
      </c>
      <c r="P23" s="172"/>
    </row>
    <row r="24" spans="1:16" ht="16.5" customHeight="1" x14ac:dyDescent="0.3">
      <c r="A24" s="147">
        <v>15</v>
      </c>
      <c r="B24" s="147">
        <v>3484</v>
      </c>
      <c r="C24" s="155" t="s">
        <v>7753</v>
      </c>
      <c r="D24" s="188" t="s">
        <v>16937</v>
      </c>
      <c r="E24" s="200"/>
      <c r="F24" s="20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178">
        <v>438</v>
      </c>
      <c r="P24" s="172"/>
    </row>
    <row r="25" spans="1:16" ht="16.5" customHeight="1" x14ac:dyDescent="0.3">
      <c r="A25" s="147">
        <v>15</v>
      </c>
      <c r="B25" s="147">
        <v>3485</v>
      </c>
      <c r="C25" s="155" t="s">
        <v>7752</v>
      </c>
      <c r="D25" s="188" t="s">
        <v>16936</v>
      </c>
      <c r="E25" s="205">
        <v>350</v>
      </c>
      <c r="F25" s="171" t="s">
        <v>0</v>
      </c>
      <c r="G25" s="160" t="s">
        <v>16912</v>
      </c>
      <c r="H25" s="160"/>
      <c r="I25" s="161"/>
      <c r="J25" s="162"/>
      <c r="K25" s="163"/>
      <c r="L25" s="164"/>
      <c r="M25" s="170"/>
      <c r="N25" s="171"/>
      <c r="O25" s="178">
        <v>394</v>
      </c>
      <c r="P25" s="172"/>
    </row>
    <row r="26" spans="1:16" ht="16.5" customHeight="1" x14ac:dyDescent="0.3">
      <c r="A26" s="147">
        <v>15</v>
      </c>
      <c r="B26" s="147">
        <v>3486</v>
      </c>
      <c r="C26" s="155" t="s">
        <v>7751</v>
      </c>
      <c r="D26" s="167"/>
      <c r="E26" s="150"/>
      <c r="F26" s="168"/>
      <c r="G26" s="150" t="s">
        <v>16916</v>
      </c>
      <c r="H26" s="150" t="s">
        <v>1</v>
      </c>
      <c r="I26" s="151">
        <v>0.9</v>
      </c>
      <c r="J26" s="162" t="s">
        <v>5895</v>
      </c>
      <c r="K26" s="163" t="s">
        <v>1</v>
      </c>
      <c r="L26" s="164">
        <v>1</v>
      </c>
      <c r="M26" s="176"/>
      <c r="N26" s="168"/>
      <c r="O26" s="178">
        <v>394</v>
      </c>
      <c r="P26" s="177"/>
    </row>
    <row r="27" spans="1:16" ht="16.5" customHeight="1" x14ac:dyDescent="0.3">
      <c r="A27" s="132"/>
      <c r="B27" s="132"/>
      <c r="C27" s="133"/>
      <c r="D27" s="133"/>
      <c r="E27" s="134"/>
      <c r="F27" s="134"/>
      <c r="G27" s="134"/>
      <c r="H27" s="134"/>
      <c r="I27" s="135"/>
      <c r="J27" s="134"/>
      <c r="K27" s="134"/>
      <c r="L27" s="135"/>
      <c r="M27" s="135"/>
      <c r="N27" s="134"/>
      <c r="O27" s="136"/>
      <c r="P27" s="137"/>
    </row>
    <row r="28" spans="1:16" ht="16.5" customHeight="1" x14ac:dyDescent="0.3">
      <c r="A28" s="132"/>
      <c r="B28" s="132"/>
      <c r="C28" s="133"/>
      <c r="D28" s="133"/>
      <c r="E28" s="134"/>
      <c r="F28" s="134"/>
      <c r="G28" s="134"/>
      <c r="H28" s="134"/>
      <c r="I28" s="135"/>
      <c r="J28" s="134"/>
      <c r="K28" s="134"/>
      <c r="L28" s="135"/>
      <c r="M28" s="135"/>
      <c r="N28" s="134"/>
      <c r="O28" s="136"/>
      <c r="P28" s="137"/>
    </row>
    <row r="29" spans="1:16" ht="16.5" customHeight="1" x14ac:dyDescent="0.3">
      <c r="A29" s="132"/>
      <c r="B29" s="138" t="s">
        <v>7750</v>
      </c>
      <c r="C29" s="133"/>
      <c r="D29" s="139"/>
      <c r="E29" s="134"/>
      <c r="F29" s="134"/>
      <c r="G29" s="134"/>
      <c r="H29" s="134"/>
      <c r="I29" s="135"/>
      <c r="J29" s="134"/>
      <c r="K29" s="134"/>
      <c r="L29" s="135"/>
      <c r="M29" s="135"/>
      <c r="N29" s="134"/>
      <c r="O29" s="136"/>
      <c r="P29" s="137"/>
    </row>
    <row r="30" spans="1:16" ht="16.5" customHeight="1" x14ac:dyDescent="0.3">
      <c r="A30" s="140" t="s">
        <v>5864</v>
      </c>
      <c r="B30" s="141"/>
      <c r="C30" s="142" t="s">
        <v>5867</v>
      </c>
      <c r="D30" s="143" t="s">
        <v>5868</v>
      </c>
      <c r="E30" s="144"/>
      <c r="F30" s="144"/>
      <c r="G30" s="144"/>
      <c r="H30" s="144"/>
      <c r="I30" s="145"/>
      <c r="J30" s="144"/>
      <c r="K30" s="144"/>
      <c r="L30" s="145"/>
      <c r="M30" s="145"/>
      <c r="N30" s="144"/>
      <c r="O30" s="146" t="s">
        <v>5869</v>
      </c>
      <c r="P30" s="146" t="s">
        <v>5871</v>
      </c>
    </row>
    <row r="31" spans="1:16" ht="16.5" customHeight="1" x14ac:dyDescent="0.3">
      <c r="A31" s="147" t="s">
        <v>5865</v>
      </c>
      <c r="B31" s="147" t="s">
        <v>5866</v>
      </c>
      <c r="C31" s="148"/>
      <c r="D31" s="149"/>
      <c r="E31" s="150"/>
      <c r="F31" s="150"/>
      <c r="G31" s="150"/>
      <c r="H31" s="150"/>
      <c r="I31" s="151"/>
      <c r="J31" s="150"/>
      <c r="K31" s="150"/>
      <c r="L31" s="151"/>
      <c r="M31" s="151"/>
      <c r="N31" s="150"/>
      <c r="O31" s="154" t="s">
        <v>5870</v>
      </c>
      <c r="P31" s="154" t="s">
        <v>0</v>
      </c>
    </row>
    <row r="32" spans="1:16" ht="16.5" customHeight="1" x14ac:dyDescent="0.3">
      <c r="A32" s="147">
        <v>15</v>
      </c>
      <c r="B32" s="147">
        <v>3487</v>
      </c>
      <c r="C32" s="155" t="s">
        <v>7749</v>
      </c>
      <c r="D32" s="156" t="s">
        <v>17741</v>
      </c>
      <c r="E32" s="198"/>
      <c r="F32" s="199"/>
      <c r="G32" s="160"/>
      <c r="H32" s="160"/>
      <c r="I32" s="161"/>
      <c r="J32" s="162"/>
      <c r="K32" s="163"/>
      <c r="L32" s="164"/>
      <c r="M32" s="165"/>
      <c r="N32" s="158"/>
      <c r="O32" s="178">
        <v>88</v>
      </c>
      <c r="P32" s="142" t="s">
        <v>5863</v>
      </c>
    </row>
    <row r="33" spans="1:16" ht="16.5" customHeight="1" x14ac:dyDescent="0.3">
      <c r="A33" s="147">
        <v>15</v>
      </c>
      <c r="B33" s="147">
        <v>3488</v>
      </c>
      <c r="C33" s="155" t="s">
        <v>7748</v>
      </c>
      <c r="D33" s="188" t="s">
        <v>16952</v>
      </c>
      <c r="E33" s="200"/>
      <c r="F33" s="201"/>
      <c r="G33" s="150"/>
      <c r="H33" s="150"/>
      <c r="I33" s="151"/>
      <c r="J33" s="162" t="s">
        <v>5895</v>
      </c>
      <c r="K33" s="163" t="s">
        <v>1</v>
      </c>
      <c r="L33" s="164">
        <v>1</v>
      </c>
      <c r="M33" s="170"/>
      <c r="N33" s="171"/>
      <c r="O33" s="178">
        <v>88</v>
      </c>
      <c r="P33" s="172"/>
    </row>
    <row r="34" spans="1:16" ht="16.5" customHeight="1" x14ac:dyDescent="0.3">
      <c r="A34" s="147">
        <v>15</v>
      </c>
      <c r="B34" s="147">
        <v>3489</v>
      </c>
      <c r="C34" s="155" t="s">
        <v>7747</v>
      </c>
      <c r="D34" s="188"/>
      <c r="E34" s="205">
        <v>70</v>
      </c>
      <c r="F34" s="171" t="s">
        <v>0</v>
      </c>
      <c r="G34" s="160" t="s">
        <v>16912</v>
      </c>
      <c r="H34" s="160"/>
      <c r="I34" s="161"/>
      <c r="J34" s="162"/>
      <c r="K34" s="163"/>
      <c r="L34" s="164"/>
      <c r="M34" s="170"/>
      <c r="N34" s="171"/>
      <c r="O34" s="178">
        <v>79</v>
      </c>
      <c r="P34" s="172"/>
    </row>
    <row r="35" spans="1:16" ht="16.5" customHeight="1" x14ac:dyDescent="0.3">
      <c r="A35" s="147">
        <v>15</v>
      </c>
      <c r="B35" s="147">
        <v>3490</v>
      </c>
      <c r="C35" s="155" t="s">
        <v>7746</v>
      </c>
      <c r="D35" s="167"/>
      <c r="E35" s="150"/>
      <c r="F35" s="168"/>
      <c r="G35" s="150" t="s">
        <v>16916</v>
      </c>
      <c r="H35" s="150" t="s">
        <v>1</v>
      </c>
      <c r="I35" s="151">
        <v>0.9</v>
      </c>
      <c r="J35" s="162" t="s">
        <v>5895</v>
      </c>
      <c r="K35" s="163" t="s">
        <v>1</v>
      </c>
      <c r="L35" s="164">
        <v>1</v>
      </c>
      <c r="M35" s="170"/>
      <c r="N35" s="171"/>
      <c r="O35" s="178">
        <v>79</v>
      </c>
      <c r="P35" s="172"/>
    </row>
    <row r="36" spans="1:16" ht="16.5" customHeight="1" x14ac:dyDescent="0.3">
      <c r="A36" s="147">
        <v>15</v>
      </c>
      <c r="B36" s="147">
        <v>3491</v>
      </c>
      <c r="C36" s="155" t="s">
        <v>7745</v>
      </c>
      <c r="D36" s="156" t="s">
        <v>17740</v>
      </c>
      <c r="E36" s="198"/>
      <c r="F36" s="199"/>
      <c r="G36" s="160"/>
      <c r="H36" s="160"/>
      <c r="I36" s="161"/>
      <c r="J36" s="162"/>
      <c r="K36" s="163"/>
      <c r="L36" s="164"/>
      <c r="M36" s="170"/>
      <c r="N36" s="171"/>
      <c r="O36" s="178">
        <v>175</v>
      </c>
      <c r="P36" s="172"/>
    </row>
    <row r="37" spans="1:16" ht="16.5" customHeight="1" x14ac:dyDescent="0.3">
      <c r="A37" s="147">
        <v>15</v>
      </c>
      <c r="B37" s="147">
        <v>3492</v>
      </c>
      <c r="C37" s="155" t="s">
        <v>7744</v>
      </c>
      <c r="D37" s="188" t="s">
        <v>16949</v>
      </c>
      <c r="E37" s="200"/>
      <c r="F37" s="201"/>
      <c r="G37" s="150"/>
      <c r="H37" s="150"/>
      <c r="I37" s="151"/>
      <c r="J37" s="162" t="s">
        <v>5895</v>
      </c>
      <c r="K37" s="163" t="s">
        <v>1</v>
      </c>
      <c r="L37" s="164">
        <v>1</v>
      </c>
      <c r="M37" s="170" t="s">
        <v>7743</v>
      </c>
      <c r="N37" s="171"/>
      <c r="O37" s="178">
        <v>175</v>
      </c>
      <c r="P37" s="172"/>
    </row>
    <row r="38" spans="1:16" ht="16.5" customHeight="1" x14ac:dyDescent="0.3">
      <c r="A38" s="147">
        <v>15</v>
      </c>
      <c r="B38" s="147">
        <v>3493</v>
      </c>
      <c r="C38" s="155" t="s">
        <v>7742</v>
      </c>
      <c r="D38" s="188" t="s">
        <v>16947</v>
      </c>
      <c r="E38" s="205">
        <v>140</v>
      </c>
      <c r="F38" s="171" t="s">
        <v>0</v>
      </c>
      <c r="G38" s="160" t="s">
        <v>16912</v>
      </c>
      <c r="H38" s="160"/>
      <c r="I38" s="161"/>
      <c r="J38" s="162"/>
      <c r="K38" s="163"/>
      <c r="L38" s="164"/>
      <c r="M38" s="170"/>
      <c r="N38" s="174" t="s">
        <v>16946</v>
      </c>
      <c r="O38" s="178">
        <v>158</v>
      </c>
      <c r="P38" s="172"/>
    </row>
    <row r="39" spans="1:16" ht="16.5" customHeight="1" x14ac:dyDescent="0.3">
      <c r="A39" s="147">
        <v>15</v>
      </c>
      <c r="B39" s="147">
        <v>3494</v>
      </c>
      <c r="C39" s="155" t="s">
        <v>7741</v>
      </c>
      <c r="D39" s="167"/>
      <c r="E39" s="150"/>
      <c r="F39" s="168"/>
      <c r="G39" s="150" t="s">
        <v>16916</v>
      </c>
      <c r="H39" s="150" t="s">
        <v>1</v>
      </c>
      <c r="I39" s="151">
        <v>0.9</v>
      </c>
      <c r="J39" s="162" t="s">
        <v>5895</v>
      </c>
      <c r="K39" s="163" t="s">
        <v>1</v>
      </c>
      <c r="L39" s="164">
        <v>1</v>
      </c>
      <c r="M39" s="170"/>
      <c r="N39" s="171"/>
      <c r="O39" s="178">
        <v>158</v>
      </c>
      <c r="P39" s="172"/>
    </row>
    <row r="40" spans="1:16" ht="16.5" customHeight="1" x14ac:dyDescent="0.3">
      <c r="A40" s="147">
        <v>15</v>
      </c>
      <c r="B40" s="147">
        <v>3495</v>
      </c>
      <c r="C40" s="155" t="s">
        <v>7740</v>
      </c>
      <c r="D40" s="156" t="s">
        <v>17739</v>
      </c>
      <c r="E40" s="198"/>
      <c r="F40" s="199"/>
      <c r="G40" s="160"/>
      <c r="H40" s="160"/>
      <c r="I40" s="161"/>
      <c r="J40" s="162"/>
      <c r="K40" s="163"/>
      <c r="L40" s="164"/>
      <c r="M40" s="170" t="s">
        <v>1</v>
      </c>
      <c r="N40" s="192">
        <v>0.25</v>
      </c>
      <c r="O40" s="178">
        <v>263</v>
      </c>
      <c r="P40" s="172"/>
    </row>
    <row r="41" spans="1:16" ht="16.5" customHeight="1" x14ac:dyDescent="0.3">
      <c r="A41" s="147">
        <v>15</v>
      </c>
      <c r="B41" s="147">
        <v>3496</v>
      </c>
      <c r="C41" s="155" t="s">
        <v>7739</v>
      </c>
      <c r="D41" s="188" t="s">
        <v>16944</v>
      </c>
      <c r="E41" s="200"/>
      <c r="F41" s="201"/>
      <c r="G41" s="150"/>
      <c r="H41" s="150"/>
      <c r="I41" s="151"/>
      <c r="J41" s="162" t="s">
        <v>5895</v>
      </c>
      <c r="K41" s="163" t="s">
        <v>1</v>
      </c>
      <c r="L41" s="164">
        <v>1</v>
      </c>
      <c r="M41" s="170"/>
      <c r="N41" s="174" t="s">
        <v>16943</v>
      </c>
      <c r="O41" s="178">
        <v>263</v>
      </c>
      <c r="P41" s="172"/>
    </row>
    <row r="42" spans="1:16" ht="16.5" customHeight="1" x14ac:dyDescent="0.3">
      <c r="A42" s="147">
        <v>15</v>
      </c>
      <c r="B42" s="147">
        <v>3497</v>
      </c>
      <c r="C42" s="155" t="s">
        <v>7738</v>
      </c>
      <c r="D42" s="188" t="s">
        <v>16942</v>
      </c>
      <c r="E42" s="205">
        <v>210</v>
      </c>
      <c r="F42" s="171" t="s">
        <v>0</v>
      </c>
      <c r="G42" s="160" t="s">
        <v>16912</v>
      </c>
      <c r="H42" s="160"/>
      <c r="I42" s="161"/>
      <c r="J42" s="162"/>
      <c r="K42" s="163"/>
      <c r="L42" s="164"/>
      <c r="M42" s="170"/>
      <c r="N42" s="171"/>
      <c r="O42" s="178">
        <v>236</v>
      </c>
      <c r="P42" s="172"/>
    </row>
    <row r="43" spans="1:16" ht="16.5" customHeight="1" x14ac:dyDescent="0.3">
      <c r="A43" s="147">
        <v>15</v>
      </c>
      <c r="B43" s="147">
        <v>3498</v>
      </c>
      <c r="C43" s="155" t="s">
        <v>7737</v>
      </c>
      <c r="D43" s="167"/>
      <c r="E43" s="150"/>
      <c r="F43" s="168"/>
      <c r="G43" s="150" t="s">
        <v>16916</v>
      </c>
      <c r="H43" s="150" t="s">
        <v>1</v>
      </c>
      <c r="I43" s="151">
        <v>0.9</v>
      </c>
      <c r="J43" s="162" t="s">
        <v>5895</v>
      </c>
      <c r="K43" s="163" t="s">
        <v>1</v>
      </c>
      <c r="L43" s="164">
        <v>1</v>
      </c>
      <c r="M43" s="170"/>
      <c r="N43" s="171"/>
      <c r="O43" s="178">
        <v>236</v>
      </c>
      <c r="P43" s="172"/>
    </row>
    <row r="44" spans="1:16" ht="16.5" customHeight="1" x14ac:dyDescent="0.3">
      <c r="A44" s="147">
        <v>15</v>
      </c>
      <c r="B44" s="147">
        <v>3499</v>
      </c>
      <c r="C44" s="155" t="s">
        <v>7736</v>
      </c>
      <c r="D44" s="156" t="s">
        <v>17738</v>
      </c>
      <c r="E44" s="198"/>
      <c r="F44" s="199"/>
      <c r="G44" s="160"/>
      <c r="H44" s="160"/>
      <c r="I44" s="161"/>
      <c r="J44" s="162"/>
      <c r="K44" s="163"/>
      <c r="L44" s="164"/>
      <c r="M44" s="170"/>
      <c r="N44" s="171"/>
      <c r="O44" s="178">
        <v>350</v>
      </c>
      <c r="P44" s="172"/>
    </row>
    <row r="45" spans="1:16" ht="16.5" customHeight="1" x14ac:dyDescent="0.3">
      <c r="A45" s="147">
        <v>15</v>
      </c>
      <c r="B45" s="147">
        <v>3500</v>
      </c>
      <c r="C45" s="155" t="s">
        <v>7735</v>
      </c>
      <c r="D45" s="188" t="s">
        <v>16940</v>
      </c>
      <c r="E45" s="200"/>
      <c r="F45" s="201"/>
      <c r="G45" s="150"/>
      <c r="H45" s="150"/>
      <c r="I45" s="151"/>
      <c r="J45" s="162" t="s">
        <v>5895</v>
      </c>
      <c r="K45" s="163" t="s">
        <v>1</v>
      </c>
      <c r="L45" s="164">
        <v>1</v>
      </c>
      <c r="M45" s="170"/>
      <c r="N45" s="171"/>
      <c r="O45" s="178">
        <v>350</v>
      </c>
      <c r="P45" s="172"/>
    </row>
    <row r="46" spans="1:16" ht="16.5" customHeight="1" x14ac:dyDescent="0.3">
      <c r="A46" s="147">
        <v>15</v>
      </c>
      <c r="B46" s="147">
        <v>3501</v>
      </c>
      <c r="C46" s="155" t="s">
        <v>7734</v>
      </c>
      <c r="D46" s="188" t="s">
        <v>16939</v>
      </c>
      <c r="E46" s="205">
        <v>280</v>
      </c>
      <c r="F46" s="171" t="s">
        <v>0</v>
      </c>
      <c r="G46" s="160" t="s">
        <v>16912</v>
      </c>
      <c r="H46" s="160"/>
      <c r="I46" s="161"/>
      <c r="J46" s="162"/>
      <c r="K46" s="163"/>
      <c r="L46" s="164"/>
      <c r="M46" s="170"/>
      <c r="N46" s="171"/>
      <c r="O46" s="178">
        <v>315</v>
      </c>
      <c r="P46" s="172"/>
    </row>
    <row r="47" spans="1:16" ht="16.5" customHeight="1" x14ac:dyDescent="0.3">
      <c r="A47" s="147">
        <v>15</v>
      </c>
      <c r="B47" s="147">
        <v>3502</v>
      </c>
      <c r="C47" s="155" t="s">
        <v>7733</v>
      </c>
      <c r="D47" s="167"/>
      <c r="E47" s="150"/>
      <c r="F47" s="168"/>
      <c r="G47" s="150" t="s">
        <v>16916</v>
      </c>
      <c r="H47" s="150" t="s">
        <v>1</v>
      </c>
      <c r="I47" s="151">
        <v>0.9</v>
      </c>
      <c r="J47" s="162" t="s">
        <v>5895</v>
      </c>
      <c r="K47" s="163" t="s">
        <v>1</v>
      </c>
      <c r="L47" s="164">
        <v>1</v>
      </c>
      <c r="M47" s="170"/>
      <c r="N47" s="171"/>
      <c r="O47" s="178">
        <v>315</v>
      </c>
      <c r="P47" s="172"/>
    </row>
    <row r="48" spans="1:16" ht="16.5" customHeight="1" x14ac:dyDescent="0.3">
      <c r="A48" s="147">
        <v>15</v>
      </c>
      <c r="B48" s="147">
        <v>3503</v>
      </c>
      <c r="C48" s="155" t="s">
        <v>7732</v>
      </c>
      <c r="D48" s="156" t="s">
        <v>17737</v>
      </c>
      <c r="E48" s="198"/>
      <c r="F48" s="199"/>
      <c r="G48" s="160"/>
      <c r="H48" s="160"/>
      <c r="I48" s="161"/>
      <c r="J48" s="162"/>
      <c r="K48" s="163"/>
      <c r="L48" s="164"/>
      <c r="M48" s="170"/>
      <c r="N48" s="171"/>
      <c r="O48" s="178">
        <v>438</v>
      </c>
      <c r="P48" s="172"/>
    </row>
    <row r="49" spans="1:16" ht="16.5" customHeight="1" x14ac:dyDescent="0.3">
      <c r="A49" s="147">
        <v>15</v>
      </c>
      <c r="B49" s="147">
        <v>3504</v>
      </c>
      <c r="C49" s="155" t="s">
        <v>7731</v>
      </c>
      <c r="D49" s="188" t="s">
        <v>16937</v>
      </c>
      <c r="E49" s="200"/>
      <c r="F49" s="201"/>
      <c r="G49" s="150"/>
      <c r="H49" s="150"/>
      <c r="I49" s="151"/>
      <c r="J49" s="162" t="s">
        <v>5895</v>
      </c>
      <c r="K49" s="163" t="s">
        <v>1</v>
      </c>
      <c r="L49" s="164">
        <v>1</v>
      </c>
      <c r="M49" s="170"/>
      <c r="N49" s="171"/>
      <c r="O49" s="178">
        <v>438</v>
      </c>
      <c r="P49" s="172"/>
    </row>
    <row r="50" spans="1:16" ht="16.5" customHeight="1" x14ac:dyDescent="0.3">
      <c r="A50" s="147">
        <v>15</v>
      </c>
      <c r="B50" s="147">
        <v>3505</v>
      </c>
      <c r="C50" s="155" t="s">
        <v>7730</v>
      </c>
      <c r="D50" s="188" t="s">
        <v>16936</v>
      </c>
      <c r="E50" s="205">
        <v>350</v>
      </c>
      <c r="F50" s="171" t="s">
        <v>0</v>
      </c>
      <c r="G50" s="160" t="s">
        <v>16912</v>
      </c>
      <c r="H50" s="160"/>
      <c r="I50" s="161"/>
      <c r="J50" s="162"/>
      <c r="K50" s="163"/>
      <c r="L50" s="164"/>
      <c r="M50" s="170"/>
      <c r="N50" s="171"/>
      <c r="O50" s="178">
        <v>394</v>
      </c>
      <c r="P50" s="172"/>
    </row>
    <row r="51" spans="1:16" ht="16.5" customHeight="1" x14ac:dyDescent="0.3">
      <c r="A51" s="147">
        <v>15</v>
      </c>
      <c r="B51" s="147">
        <v>3506</v>
      </c>
      <c r="C51" s="155" t="s">
        <v>7729</v>
      </c>
      <c r="D51" s="167"/>
      <c r="E51" s="150"/>
      <c r="F51" s="168"/>
      <c r="G51" s="150" t="s">
        <v>16916</v>
      </c>
      <c r="H51" s="150" t="s">
        <v>1</v>
      </c>
      <c r="I51" s="151">
        <v>0.9</v>
      </c>
      <c r="J51" s="162" t="s">
        <v>5895</v>
      </c>
      <c r="K51" s="163" t="s">
        <v>1</v>
      </c>
      <c r="L51" s="164">
        <v>1</v>
      </c>
      <c r="M51" s="170"/>
      <c r="N51" s="171"/>
      <c r="O51" s="178">
        <v>394</v>
      </c>
      <c r="P51" s="172"/>
    </row>
    <row r="52" spans="1:16" ht="16.5" customHeight="1" x14ac:dyDescent="0.3">
      <c r="A52" s="147">
        <v>15</v>
      </c>
      <c r="B52" s="147">
        <v>3507</v>
      </c>
      <c r="C52" s="155" t="s">
        <v>7728</v>
      </c>
      <c r="D52" s="156" t="s">
        <v>17736</v>
      </c>
      <c r="E52" s="198"/>
      <c r="F52" s="199"/>
      <c r="G52" s="160"/>
      <c r="H52" s="160"/>
      <c r="I52" s="161"/>
      <c r="J52" s="162"/>
      <c r="K52" s="163"/>
      <c r="L52" s="164"/>
      <c r="M52" s="170"/>
      <c r="N52" s="171"/>
      <c r="O52" s="178">
        <v>525</v>
      </c>
      <c r="P52" s="172"/>
    </row>
    <row r="53" spans="1:16" ht="16.5" customHeight="1" x14ac:dyDescent="0.3">
      <c r="A53" s="147">
        <v>15</v>
      </c>
      <c r="B53" s="147">
        <v>3508</v>
      </c>
      <c r="C53" s="155" t="s">
        <v>7727</v>
      </c>
      <c r="D53" s="188" t="s">
        <v>16934</v>
      </c>
      <c r="E53" s="200"/>
      <c r="F53" s="201"/>
      <c r="G53" s="150"/>
      <c r="H53" s="150"/>
      <c r="I53" s="151"/>
      <c r="J53" s="162" t="s">
        <v>5895</v>
      </c>
      <c r="K53" s="163" t="s">
        <v>1</v>
      </c>
      <c r="L53" s="164">
        <v>1</v>
      </c>
      <c r="M53" s="170"/>
      <c r="N53" s="171"/>
      <c r="O53" s="178">
        <v>525</v>
      </c>
      <c r="P53" s="172"/>
    </row>
    <row r="54" spans="1:16" ht="16.5" customHeight="1" x14ac:dyDescent="0.3">
      <c r="A54" s="147">
        <v>15</v>
      </c>
      <c r="B54" s="147">
        <v>3509</v>
      </c>
      <c r="C54" s="155" t="s">
        <v>7726</v>
      </c>
      <c r="D54" s="188" t="s">
        <v>16933</v>
      </c>
      <c r="E54" s="205">
        <v>420</v>
      </c>
      <c r="F54" s="171" t="s">
        <v>0</v>
      </c>
      <c r="G54" s="160" t="s">
        <v>16912</v>
      </c>
      <c r="H54" s="160"/>
      <c r="I54" s="161"/>
      <c r="J54" s="162"/>
      <c r="K54" s="163"/>
      <c r="L54" s="164"/>
      <c r="M54" s="170"/>
      <c r="N54" s="171"/>
      <c r="O54" s="178">
        <v>473</v>
      </c>
      <c r="P54" s="172"/>
    </row>
    <row r="55" spans="1:16" ht="16.5" customHeight="1" x14ac:dyDescent="0.3">
      <c r="A55" s="147">
        <v>15</v>
      </c>
      <c r="B55" s="147">
        <v>3510</v>
      </c>
      <c r="C55" s="155" t="s">
        <v>7725</v>
      </c>
      <c r="D55" s="167"/>
      <c r="E55" s="150"/>
      <c r="F55" s="168"/>
      <c r="G55" s="150" t="s">
        <v>16916</v>
      </c>
      <c r="H55" s="150" t="s">
        <v>1</v>
      </c>
      <c r="I55" s="151">
        <v>0.9</v>
      </c>
      <c r="J55" s="162" t="s">
        <v>5895</v>
      </c>
      <c r="K55" s="163" t="s">
        <v>1</v>
      </c>
      <c r="L55" s="164">
        <v>1</v>
      </c>
      <c r="M55" s="170"/>
      <c r="N55" s="171"/>
      <c r="O55" s="178">
        <v>473</v>
      </c>
      <c r="P55" s="172"/>
    </row>
    <row r="56" spans="1:16" ht="16.5" customHeight="1" x14ac:dyDescent="0.3">
      <c r="A56" s="147">
        <v>15</v>
      </c>
      <c r="B56" s="147">
        <v>3511</v>
      </c>
      <c r="C56" s="155" t="s">
        <v>7724</v>
      </c>
      <c r="D56" s="156" t="s">
        <v>17735</v>
      </c>
      <c r="E56" s="198"/>
      <c r="F56" s="199"/>
      <c r="G56" s="160"/>
      <c r="H56" s="160"/>
      <c r="I56" s="161"/>
      <c r="J56" s="162"/>
      <c r="K56" s="163"/>
      <c r="L56" s="164"/>
      <c r="M56" s="170"/>
      <c r="N56" s="171"/>
      <c r="O56" s="178">
        <v>613</v>
      </c>
      <c r="P56" s="172"/>
    </row>
    <row r="57" spans="1:16" ht="16.5" customHeight="1" x14ac:dyDescent="0.3">
      <c r="A57" s="147">
        <v>15</v>
      </c>
      <c r="B57" s="147">
        <v>3512</v>
      </c>
      <c r="C57" s="155" t="s">
        <v>7723</v>
      </c>
      <c r="D57" s="188" t="s">
        <v>16931</v>
      </c>
      <c r="E57" s="200"/>
      <c r="F57" s="201"/>
      <c r="G57" s="150"/>
      <c r="H57" s="150"/>
      <c r="I57" s="151"/>
      <c r="J57" s="162" t="s">
        <v>5895</v>
      </c>
      <c r="K57" s="163" t="s">
        <v>1</v>
      </c>
      <c r="L57" s="164">
        <v>1</v>
      </c>
      <c r="M57" s="170"/>
      <c r="N57" s="171"/>
      <c r="O57" s="178">
        <v>613</v>
      </c>
      <c r="P57" s="172"/>
    </row>
    <row r="58" spans="1:16" ht="16.5" customHeight="1" x14ac:dyDescent="0.3">
      <c r="A58" s="147">
        <v>15</v>
      </c>
      <c r="B58" s="147">
        <v>3513</v>
      </c>
      <c r="C58" s="155" t="s">
        <v>7722</v>
      </c>
      <c r="D58" s="188" t="s">
        <v>16930</v>
      </c>
      <c r="E58" s="205">
        <v>490</v>
      </c>
      <c r="F58" s="171" t="s">
        <v>0</v>
      </c>
      <c r="G58" s="160" t="s">
        <v>16912</v>
      </c>
      <c r="H58" s="160"/>
      <c r="I58" s="161"/>
      <c r="J58" s="162"/>
      <c r="K58" s="163"/>
      <c r="L58" s="164"/>
      <c r="M58" s="170"/>
      <c r="N58" s="171"/>
      <c r="O58" s="178">
        <v>551</v>
      </c>
      <c r="P58" s="172"/>
    </row>
    <row r="59" spans="1:16" ht="16.5" customHeight="1" x14ac:dyDescent="0.3">
      <c r="A59" s="147">
        <v>15</v>
      </c>
      <c r="B59" s="147">
        <v>3514</v>
      </c>
      <c r="C59" s="155" t="s">
        <v>7721</v>
      </c>
      <c r="D59" s="167"/>
      <c r="E59" s="150"/>
      <c r="F59" s="168"/>
      <c r="G59" s="150" t="s">
        <v>16916</v>
      </c>
      <c r="H59" s="150" t="s">
        <v>1</v>
      </c>
      <c r="I59" s="151">
        <v>0.9</v>
      </c>
      <c r="J59" s="162" t="s">
        <v>5895</v>
      </c>
      <c r="K59" s="163" t="s">
        <v>1</v>
      </c>
      <c r="L59" s="164">
        <v>1</v>
      </c>
      <c r="M59" s="170"/>
      <c r="N59" s="171"/>
      <c r="O59" s="178">
        <v>551</v>
      </c>
      <c r="P59" s="172"/>
    </row>
    <row r="60" spans="1:16" ht="16.5" customHeight="1" x14ac:dyDescent="0.3">
      <c r="A60" s="147">
        <v>15</v>
      </c>
      <c r="B60" s="147">
        <v>3515</v>
      </c>
      <c r="C60" s="155" t="s">
        <v>7720</v>
      </c>
      <c r="D60" s="156" t="s">
        <v>17734</v>
      </c>
      <c r="E60" s="198"/>
      <c r="F60" s="199"/>
      <c r="G60" s="160"/>
      <c r="H60" s="160"/>
      <c r="I60" s="161"/>
      <c r="J60" s="162"/>
      <c r="K60" s="163"/>
      <c r="L60" s="164"/>
      <c r="M60" s="170"/>
      <c r="N60" s="171"/>
      <c r="O60" s="178">
        <v>700</v>
      </c>
      <c r="P60" s="172"/>
    </row>
    <row r="61" spans="1:16" ht="16.5" customHeight="1" x14ac:dyDescent="0.3">
      <c r="A61" s="147">
        <v>15</v>
      </c>
      <c r="B61" s="147">
        <v>3516</v>
      </c>
      <c r="C61" s="155" t="s">
        <v>7719</v>
      </c>
      <c r="D61" s="188" t="s">
        <v>17732</v>
      </c>
      <c r="E61" s="200"/>
      <c r="F61" s="201"/>
      <c r="G61" s="150"/>
      <c r="H61" s="150"/>
      <c r="I61" s="151"/>
      <c r="J61" s="162" t="s">
        <v>5895</v>
      </c>
      <c r="K61" s="163" t="s">
        <v>1</v>
      </c>
      <c r="L61" s="164">
        <v>1</v>
      </c>
      <c r="M61" s="170"/>
      <c r="N61" s="171"/>
      <c r="O61" s="178">
        <v>700</v>
      </c>
      <c r="P61" s="172"/>
    </row>
    <row r="62" spans="1:16" ht="16.5" customHeight="1" x14ac:dyDescent="0.3">
      <c r="A62" s="147">
        <v>15</v>
      </c>
      <c r="B62" s="147">
        <v>3517</v>
      </c>
      <c r="C62" s="155" t="s">
        <v>7718</v>
      </c>
      <c r="D62" s="188" t="s">
        <v>16928</v>
      </c>
      <c r="E62" s="205">
        <v>560</v>
      </c>
      <c r="F62" s="171" t="s">
        <v>0</v>
      </c>
      <c r="G62" s="160" t="s">
        <v>16912</v>
      </c>
      <c r="H62" s="160"/>
      <c r="I62" s="161"/>
      <c r="J62" s="162"/>
      <c r="K62" s="163"/>
      <c r="L62" s="164"/>
      <c r="M62" s="170"/>
      <c r="N62" s="171"/>
      <c r="O62" s="178">
        <v>630</v>
      </c>
      <c r="P62" s="172"/>
    </row>
    <row r="63" spans="1:16" ht="16.5" customHeight="1" x14ac:dyDescent="0.3">
      <c r="A63" s="147">
        <v>15</v>
      </c>
      <c r="B63" s="147">
        <v>3518</v>
      </c>
      <c r="C63" s="155" t="s">
        <v>7717</v>
      </c>
      <c r="D63" s="167"/>
      <c r="E63" s="150"/>
      <c r="F63" s="168"/>
      <c r="G63" s="150" t="s">
        <v>16916</v>
      </c>
      <c r="H63" s="150" t="s">
        <v>1</v>
      </c>
      <c r="I63" s="151">
        <v>0.9</v>
      </c>
      <c r="J63" s="162" t="s">
        <v>5895</v>
      </c>
      <c r="K63" s="163" t="s">
        <v>1</v>
      </c>
      <c r="L63" s="164">
        <v>1</v>
      </c>
      <c r="M63" s="170"/>
      <c r="N63" s="171"/>
      <c r="O63" s="178">
        <v>630</v>
      </c>
      <c r="P63" s="172"/>
    </row>
    <row r="64" spans="1:16" ht="16.5" customHeight="1" x14ac:dyDescent="0.3">
      <c r="A64" s="147">
        <v>15</v>
      </c>
      <c r="B64" s="147">
        <v>3519</v>
      </c>
      <c r="C64" s="155" t="s">
        <v>7716</v>
      </c>
      <c r="D64" s="156" t="s">
        <v>17733</v>
      </c>
      <c r="E64" s="198"/>
      <c r="F64" s="199"/>
      <c r="G64" s="160"/>
      <c r="H64" s="160"/>
      <c r="I64" s="161"/>
      <c r="J64" s="162"/>
      <c r="K64" s="163"/>
      <c r="L64" s="164"/>
      <c r="M64" s="170"/>
      <c r="N64" s="171"/>
      <c r="O64" s="178">
        <v>788</v>
      </c>
      <c r="P64" s="172"/>
    </row>
    <row r="65" spans="1:16" ht="16.5" customHeight="1" x14ac:dyDescent="0.3">
      <c r="A65" s="147">
        <v>15</v>
      </c>
      <c r="B65" s="147">
        <v>3520</v>
      </c>
      <c r="C65" s="155" t="s">
        <v>7715</v>
      </c>
      <c r="D65" s="188" t="s">
        <v>16926</v>
      </c>
      <c r="E65" s="200"/>
      <c r="F65" s="201"/>
      <c r="G65" s="150"/>
      <c r="H65" s="150"/>
      <c r="I65" s="151"/>
      <c r="J65" s="162" t="s">
        <v>5895</v>
      </c>
      <c r="K65" s="163" t="s">
        <v>1</v>
      </c>
      <c r="L65" s="164">
        <v>1</v>
      </c>
      <c r="M65" s="170"/>
      <c r="N65" s="171"/>
      <c r="O65" s="178">
        <v>788</v>
      </c>
      <c r="P65" s="172"/>
    </row>
    <row r="66" spans="1:16" ht="16.5" customHeight="1" x14ac:dyDescent="0.3">
      <c r="A66" s="147">
        <v>15</v>
      </c>
      <c r="B66" s="147">
        <v>3521</v>
      </c>
      <c r="C66" s="155" t="s">
        <v>7714</v>
      </c>
      <c r="D66" s="188" t="s">
        <v>16925</v>
      </c>
      <c r="E66" s="205">
        <v>630</v>
      </c>
      <c r="F66" s="171" t="s">
        <v>0</v>
      </c>
      <c r="G66" s="160" t="s">
        <v>16912</v>
      </c>
      <c r="H66" s="160"/>
      <c r="I66" s="161"/>
      <c r="J66" s="162"/>
      <c r="K66" s="163"/>
      <c r="L66" s="164"/>
      <c r="M66" s="170"/>
      <c r="N66" s="171"/>
      <c r="O66" s="178">
        <v>709</v>
      </c>
      <c r="P66" s="172"/>
    </row>
    <row r="67" spans="1:16" ht="16.5" customHeight="1" x14ac:dyDescent="0.3">
      <c r="A67" s="147">
        <v>15</v>
      </c>
      <c r="B67" s="147">
        <v>3522</v>
      </c>
      <c r="C67" s="155" t="s">
        <v>7713</v>
      </c>
      <c r="D67" s="167"/>
      <c r="E67" s="150"/>
      <c r="F67" s="168"/>
      <c r="G67" s="150" t="s">
        <v>16916</v>
      </c>
      <c r="H67" s="150" t="s">
        <v>1</v>
      </c>
      <c r="I67" s="151">
        <v>0.9</v>
      </c>
      <c r="J67" s="162" t="s">
        <v>5895</v>
      </c>
      <c r="K67" s="163" t="s">
        <v>1</v>
      </c>
      <c r="L67" s="164">
        <v>1</v>
      </c>
      <c r="M67" s="176"/>
      <c r="N67" s="168"/>
      <c r="O67" s="178">
        <v>709</v>
      </c>
      <c r="P67" s="177"/>
    </row>
    <row r="68" spans="1:16" ht="16.5" customHeight="1" x14ac:dyDescent="0.3"/>
    <row r="69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theme="1" tint="0.249977111117893"/>
    <pageSetUpPr fitToPage="1"/>
  </sheetPr>
  <dimension ref="A1:P6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7825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87"/>
      <c r="E6" s="153"/>
      <c r="F6" s="153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3523</v>
      </c>
      <c r="C7" s="197" t="s">
        <v>7824</v>
      </c>
      <c r="D7" s="156" t="s">
        <v>17779</v>
      </c>
      <c r="E7" s="198"/>
      <c r="F7" s="199"/>
      <c r="G7" s="160"/>
      <c r="H7" s="160"/>
      <c r="I7" s="161"/>
      <c r="J7" s="162"/>
      <c r="K7" s="163"/>
      <c r="L7" s="164"/>
      <c r="M7" s="165"/>
      <c r="N7" s="158"/>
      <c r="O7" s="178">
        <v>105</v>
      </c>
      <c r="P7" s="142" t="s">
        <v>5863</v>
      </c>
    </row>
    <row r="8" spans="1:16" ht="16.5" customHeight="1" x14ac:dyDescent="0.3">
      <c r="A8" s="147">
        <v>15</v>
      </c>
      <c r="B8" s="147">
        <v>3524</v>
      </c>
      <c r="C8" s="197" t="s">
        <v>7823</v>
      </c>
      <c r="D8" s="188" t="s">
        <v>17397</v>
      </c>
      <c r="E8" s="200"/>
      <c r="F8" s="201"/>
      <c r="G8" s="150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178">
        <v>105</v>
      </c>
      <c r="P8" s="172"/>
    </row>
    <row r="9" spans="1:16" ht="16.5" customHeight="1" x14ac:dyDescent="0.3">
      <c r="A9" s="147">
        <v>15</v>
      </c>
      <c r="B9" s="147">
        <v>3525</v>
      </c>
      <c r="C9" s="197" t="s">
        <v>7822</v>
      </c>
      <c r="D9" s="188"/>
      <c r="E9" s="202">
        <v>70</v>
      </c>
      <c r="F9" s="201" t="s">
        <v>0</v>
      </c>
      <c r="G9" s="160" t="s">
        <v>17747</v>
      </c>
      <c r="H9" s="160"/>
      <c r="I9" s="161"/>
      <c r="J9" s="162"/>
      <c r="K9" s="163"/>
      <c r="L9" s="164"/>
      <c r="M9" s="170"/>
      <c r="N9" s="171"/>
      <c r="O9" s="178">
        <v>95</v>
      </c>
      <c r="P9" s="172"/>
    </row>
    <row r="10" spans="1:16" ht="16.5" customHeight="1" x14ac:dyDescent="0.3">
      <c r="A10" s="147">
        <v>15</v>
      </c>
      <c r="B10" s="147">
        <v>3526</v>
      </c>
      <c r="C10" s="197" t="s">
        <v>7821</v>
      </c>
      <c r="D10" s="167"/>
      <c r="E10" s="203"/>
      <c r="F10" s="204"/>
      <c r="G10" s="150" t="s">
        <v>17420</v>
      </c>
      <c r="H10" s="150" t="s">
        <v>1</v>
      </c>
      <c r="I10" s="151">
        <v>0.9</v>
      </c>
      <c r="J10" s="162" t="s">
        <v>5895</v>
      </c>
      <c r="K10" s="163" t="s">
        <v>1</v>
      </c>
      <c r="L10" s="164">
        <v>1</v>
      </c>
      <c r="M10" s="170"/>
      <c r="N10" s="171"/>
      <c r="O10" s="178">
        <v>95</v>
      </c>
      <c r="P10" s="172"/>
    </row>
    <row r="11" spans="1:16" ht="16.5" customHeight="1" x14ac:dyDescent="0.3">
      <c r="A11" s="147">
        <v>15</v>
      </c>
      <c r="B11" s="147">
        <v>3527</v>
      </c>
      <c r="C11" s="155" t="s">
        <v>7820</v>
      </c>
      <c r="D11" s="156" t="s">
        <v>17778</v>
      </c>
      <c r="E11" s="198"/>
      <c r="F11" s="199"/>
      <c r="G11" s="160"/>
      <c r="H11" s="160"/>
      <c r="I11" s="161"/>
      <c r="J11" s="162"/>
      <c r="K11" s="163"/>
      <c r="L11" s="164"/>
      <c r="M11" s="170"/>
      <c r="N11" s="171"/>
      <c r="O11" s="178">
        <v>210</v>
      </c>
      <c r="P11" s="172"/>
    </row>
    <row r="12" spans="1:16" ht="16.5" customHeight="1" x14ac:dyDescent="0.3">
      <c r="A12" s="147">
        <v>15</v>
      </c>
      <c r="B12" s="147">
        <v>3528</v>
      </c>
      <c r="C12" s="155" t="s">
        <v>7819</v>
      </c>
      <c r="D12" s="188" t="s">
        <v>17414</v>
      </c>
      <c r="E12" s="200"/>
      <c r="F12" s="201"/>
      <c r="G12" s="150"/>
      <c r="H12" s="150"/>
      <c r="I12" s="151"/>
      <c r="J12" s="162" t="s">
        <v>5895</v>
      </c>
      <c r="K12" s="163" t="s">
        <v>1</v>
      </c>
      <c r="L12" s="164">
        <v>1</v>
      </c>
      <c r="M12" s="170" t="s">
        <v>17421</v>
      </c>
      <c r="N12" s="171"/>
      <c r="O12" s="178">
        <v>210</v>
      </c>
      <c r="P12" s="172"/>
    </row>
    <row r="13" spans="1:16" ht="16.5" customHeight="1" x14ac:dyDescent="0.3">
      <c r="A13" s="147">
        <v>15</v>
      </c>
      <c r="B13" s="147">
        <v>3529</v>
      </c>
      <c r="C13" s="155" t="s">
        <v>7818</v>
      </c>
      <c r="D13" s="188" t="s">
        <v>17413</v>
      </c>
      <c r="E13" s="202">
        <v>140</v>
      </c>
      <c r="F13" s="201" t="s">
        <v>0</v>
      </c>
      <c r="G13" s="160" t="s">
        <v>17747</v>
      </c>
      <c r="H13" s="160"/>
      <c r="I13" s="161"/>
      <c r="J13" s="162"/>
      <c r="K13" s="163"/>
      <c r="L13" s="164"/>
      <c r="M13" s="170"/>
      <c r="N13" s="174" t="s">
        <v>17777</v>
      </c>
      <c r="O13" s="178">
        <v>189</v>
      </c>
      <c r="P13" s="172"/>
    </row>
    <row r="14" spans="1:16" ht="16.5" customHeight="1" x14ac:dyDescent="0.3">
      <c r="A14" s="147">
        <v>15</v>
      </c>
      <c r="B14" s="147">
        <v>3530</v>
      </c>
      <c r="C14" s="155" t="s">
        <v>7817</v>
      </c>
      <c r="D14" s="167"/>
      <c r="E14" s="203"/>
      <c r="F14" s="204"/>
      <c r="G14" s="150" t="s">
        <v>17420</v>
      </c>
      <c r="H14" s="150" t="s">
        <v>1</v>
      </c>
      <c r="I14" s="151">
        <v>0.9</v>
      </c>
      <c r="J14" s="162" t="s">
        <v>5895</v>
      </c>
      <c r="K14" s="163" t="s">
        <v>1</v>
      </c>
      <c r="L14" s="164">
        <v>1</v>
      </c>
      <c r="M14" s="170"/>
      <c r="N14" s="171"/>
      <c r="O14" s="178">
        <v>189</v>
      </c>
      <c r="P14" s="172"/>
    </row>
    <row r="15" spans="1:16" ht="16.5" customHeight="1" x14ac:dyDescent="0.3">
      <c r="A15" s="147">
        <v>15</v>
      </c>
      <c r="B15" s="147">
        <v>3531</v>
      </c>
      <c r="C15" s="155" t="s">
        <v>7816</v>
      </c>
      <c r="D15" s="156" t="s">
        <v>17776</v>
      </c>
      <c r="E15" s="198"/>
      <c r="F15" s="199"/>
      <c r="G15" s="160"/>
      <c r="H15" s="160"/>
      <c r="I15" s="161"/>
      <c r="J15" s="162"/>
      <c r="K15" s="163"/>
      <c r="L15" s="164"/>
      <c r="M15" s="170" t="s">
        <v>1</v>
      </c>
      <c r="N15" s="192">
        <v>0.5</v>
      </c>
      <c r="O15" s="178">
        <v>315</v>
      </c>
      <c r="P15" s="172"/>
    </row>
    <row r="16" spans="1:16" ht="16.5" customHeight="1" x14ac:dyDescent="0.3">
      <c r="A16" s="147">
        <v>15</v>
      </c>
      <c r="B16" s="147">
        <v>3532</v>
      </c>
      <c r="C16" s="155" t="s">
        <v>7815</v>
      </c>
      <c r="D16" s="188" t="s">
        <v>17409</v>
      </c>
      <c r="E16" s="200"/>
      <c r="F16" s="201"/>
      <c r="G16" s="150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17416</v>
      </c>
      <c r="O16" s="178">
        <v>315</v>
      </c>
      <c r="P16" s="172"/>
    </row>
    <row r="17" spans="1:16" ht="16.5" customHeight="1" x14ac:dyDescent="0.3">
      <c r="A17" s="147">
        <v>15</v>
      </c>
      <c r="B17" s="147">
        <v>3533</v>
      </c>
      <c r="C17" s="155" t="s">
        <v>7814</v>
      </c>
      <c r="D17" s="188" t="s">
        <v>17408</v>
      </c>
      <c r="E17" s="202">
        <v>210</v>
      </c>
      <c r="F17" s="201" t="s">
        <v>0</v>
      </c>
      <c r="G17" s="160" t="s">
        <v>17747</v>
      </c>
      <c r="H17" s="160"/>
      <c r="I17" s="161"/>
      <c r="J17" s="162"/>
      <c r="K17" s="163"/>
      <c r="L17" s="164"/>
      <c r="M17" s="170"/>
      <c r="N17" s="171"/>
      <c r="O17" s="178">
        <v>284</v>
      </c>
      <c r="P17" s="172"/>
    </row>
    <row r="18" spans="1:16" ht="16.5" customHeight="1" x14ac:dyDescent="0.3">
      <c r="A18" s="147">
        <v>15</v>
      </c>
      <c r="B18" s="147">
        <v>3534</v>
      </c>
      <c r="C18" s="155" t="s">
        <v>7813</v>
      </c>
      <c r="D18" s="167"/>
      <c r="E18" s="203"/>
      <c r="F18" s="204"/>
      <c r="G18" s="150" t="s">
        <v>17420</v>
      </c>
      <c r="H18" s="150" t="s">
        <v>1</v>
      </c>
      <c r="I18" s="151">
        <v>0.9</v>
      </c>
      <c r="J18" s="162" t="s">
        <v>5895</v>
      </c>
      <c r="K18" s="163" t="s">
        <v>1</v>
      </c>
      <c r="L18" s="164">
        <v>1</v>
      </c>
      <c r="M18" s="170"/>
      <c r="N18" s="171"/>
      <c r="O18" s="178">
        <v>284</v>
      </c>
      <c r="P18" s="172"/>
    </row>
    <row r="19" spans="1:16" ht="16.5" customHeight="1" x14ac:dyDescent="0.3">
      <c r="A19" s="147">
        <v>15</v>
      </c>
      <c r="B19" s="147">
        <v>3535</v>
      </c>
      <c r="C19" s="155" t="s">
        <v>7812</v>
      </c>
      <c r="D19" s="156" t="s">
        <v>17775</v>
      </c>
      <c r="E19" s="198"/>
      <c r="F19" s="199"/>
      <c r="G19" s="160"/>
      <c r="H19" s="160"/>
      <c r="I19" s="161"/>
      <c r="J19" s="162"/>
      <c r="K19" s="163"/>
      <c r="L19" s="164"/>
      <c r="M19" s="170"/>
      <c r="N19" s="171"/>
      <c r="O19" s="178">
        <v>420</v>
      </c>
      <c r="P19" s="172"/>
    </row>
    <row r="20" spans="1:16" ht="16.5" customHeight="1" x14ac:dyDescent="0.3">
      <c r="A20" s="147">
        <v>15</v>
      </c>
      <c r="B20" s="147">
        <v>3536</v>
      </c>
      <c r="C20" s="155" t="s">
        <v>7811</v>
      </c>
      <c r="D20" s="188" t="s">
        <v>17404</v>
      </c>
      <c r="E20" s="200"/>
      <c r="F20" s="201"/>
      <c r="G20" s="150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178">
        <v>420</v>
      </c>
      <c r="P20" s="172"/>
    </row>
    <row r="21" spans="1:16" ht="16.5" customHeight="1" x14ac:dyDescent="0.3">
      <c r="A21" s="147">
        <v>15</v>
      </c>
      <c r="B21" s="147">
        <v>3537</v>
      </c>
      <c r="C21" s="155" t="s">
        <v>7810</v>
      </c>
      <c r="D21" s="188" t="s">
        <v>17403</v>
      </c>
      <c r="E21" s="202">
        <v>280</v>
      </c>
      <c r="F21" s="201" t="s">
        <v>0</v>
      </c>
      <c r="G21" s="160" t="s">
        <v>17747</v>
      </c>
      <c r="H21" s="160"/>
      <c r="I21" s="161"/>
      <c r="J21" s="162"/>
      <c r="K21" s="163"/>
      <c r="L21" s="164"/>
      <c r="M21" s="170"/>
      <c r="N21" s="171"/>
      <c r="O21" s="178">
        <v>378</v>
      </c>
      <c r="P21" s="172"/>
    </row>
    <row r="22" spans="1:16" ht="16.5" customHeight="1" x14ac:dyDescent="0.3">
      <c r="A22" s="147">
        <v>15</v>
      </c>
      <c r="B22" s="147">
        <v>3538</v>
      </c>
      <c r="C22" s="155" t="s">
        <v>7809</v>
      </c>
      <c r="D22" s="167"/>
      <c r="E22" s="203"/>
      <c r="F22" s="204"/>
      <c r="G22" s="150" t="s">
        <v>17420</v>
      </c>
      <c r="H22" s="150" t="s">
        <v>1</v>
      </c>
      <c r="I22" s="151">
        <v>0.9</v>
      </c>
      <c r="J22" s="162" t="s">
        <v>5895</v>
      </c>
      <c r="K22" s="163" t="s">
        <v>1</v>
      </c>
      <c r="L22" s="164">
        <v>1</v>
      </c>
      <c r="M22" s="170"/>
      <c r="N22" s="171"/>
      <c r="O22" s="178">
        <v>378</v>
      </c>
      <c r="P22" s="172"/>
    </row>
    <row r="23" spans="1:16" ht="16.5" customHeight="1" x14ac:dyDescent="0.3">
      <c r="A23" s="147">
        <v>15</v>
      </c>
      <c r="B23" s="147">
        <v>3539</v>
      </c>
      <c r="C23" s="155" t="s">
        <v>7808</v>
      </c>
      <c r="D23" s="156" t="s">
        <v>17774</v>
      </c>
      <c r="E23" s="198"/>
      <c r="F23" s="199"/>
      <c r="G23" s="160"/>
      <c r="H23" s="160"/>
      <c r="I23" s="161"/>
      <c r="J23" s="162"/>
      <c r="K23" s="163"/>
      <c r="L23" s="164"/>
      <c r="M23" s="170"/>
      <c r="N23" s="171"/>
      <c r="O23" s="178">
        <v>525</v>
      </c>
      <c r="P23" s="172"/>
    </row>
    <row r="24" spans="1:16" ht="16.5" customHeight="1" x14ac:dyDescent="0.3">
      <c r="A24" s="147">
        <v>15</v>
      </c>
      <c r="B24" s="147">
        <v>3540</v>
      </c>
      <c r="C24" s="155" t="s">
        <v>7807</v>
      </c>
      <c r="D24" s="188" t="s">
        <v>17773</v>
      </c>
      <c r="E24" s="200"/>
      <c r="F24" s="201"/>
      <c r="G24" s="150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178">
        <v>525</v>
      </c>
      <c r="P24" s="172"/>
    </row>
    <row r="25" spans="1:16" ht="16.5" customHeight="1" x14ac:dyDescent="0.3">
      <c r="A25" s="147">
        <v>15</v>
      </c>
      <c r="B25" s="147">
        <v>3541</v>
      </c>
      <c r="C25" s="155" t="s">
        <v>7806</v>
      </c>
      <c r="D25" s="188" t="s">
        <v>17772</v>
      </c>
      <c r="E25" s="202">
        <v>350</v>
      </c>
      <c r="F25" s="201" t="s">
        <v>0</v>
      </c>
      <c r="G25" s="160" t="s">
        <v>17747</v>
      </c>
      <c r="H25" s="160"/>
      <c r="I25" s="161"/>
      <c r="J25" s="162"/>
      <c r="K25" s="163"/>
      <c r="L25" s="164"/>
      <c r="M25" s="170"/>
      <c r="N25" s="171"/>
      <c r="O25" s="178">
        <v>473</v>
      </c>
      <c r="P25" s="172"/>
    </row>
    <row r="26" spans="1:16" ht="16.5" customHeight="1" x14ac:dyDescent="0.3">
      <c r="A26" s="147">
        <v>15</v>
      </c>
      <c r="B26" s="147">
        <v>3542</v>
      </c>
      <c r="C26" s="155" t="s">
        <v>7805</v>
      </c>
      <c r="D26" s="167"/>
      <c r="E26" s="203"/>
      <c r="F26" s="204"/>
      <c r="G26" s="150" t="s">
        <v>17420</v>
      </c>
      <c r="H26" s="150" t="s">
        <v>1</v>
      </c>
      <c r="I26" s="151">
        <v>0.9</v>
      </c>
      <c r="J26" s="162" t="s">
        <v>5895</v>
      </c>
      <c r="K26" s="163" t="s">
        <v>1</v>
      </c>
      <c r="L26" s="164">
        <v>1</v>
      </c>
      <c r="M26" s="170"/>
      <c r="N26" s="171"/>
      <c r="O26" s="178">
        <v>473</v>
      </c>
      <c r="P26" s="172"/>
    </row>
    <row r="27" spans="1:16" ht="16.5" customHeight="1" x14ac:dyDescent="0.3">
      <c r="A27" s="147">
        <v>15</v>
      </c>
      <c r="B27" s="147">
        <v>3543</v>
      </c>
      <c r="C27" s="155" t="s">
        <v>7804</v>
      </c>
      <c r="D27" s="156" t="s">
        <v>17771</v>
      </c>
      <c r="E27" s="198"/>
      <c r="F27" s="199"/>
      <c r="G27" s="160"/>
      <c r="H27" s="160"/>
      <c r="I27" s="161"/>
      <c r="J27" s="162"/>
      <c r="K27" s="163"/>
      <c r="L27" s="164"/>
      <c r="M27" s="170"/>
      <c r="N27" s="171"/>
      <c r="O27" s="178">
        <v>630</v>
      </c>
      <c r="P27" s="172"/>
    </row>
    <row r="28" spans="1:16" ht="16.5" customHeight="1" x14ac:dyDescent="0.3">
      <c r="A28" s="147">
        <v>15</v>
      </c>
      <c r="B28" s="147">
        <v>3544</v>
      </c>
      <c r="C28" s="155" t="s">
        <v>7803</v>
      </c>
      <c r="D28" s="188" t="s">
        <v>17770</v>
      </c>
      <c r="E28" s="200"/>
      <c r="F28" s="201"/>
      <c r="G28" s="150"/>
      <c r="H28" s="150"/>
      <c r="I28" s="151"/>
      <c r="J28" s="162" t="s">
        <v>5895</v>
      </c>
      <c r="K28" s="163" t="s">
        <v>1</v>
      </c>
      <c r="L28" s="164">
        <v>1</v>
      </c>
      <c r="M28" s="170"/>
      <c r="N28" s="171"/>
      <c r="O28" s="178">
        <v>630</v>
      </c>
      <c r="P28" s="172"/>
    </row>
    <row r="29" spans="1:16" ht="16.5" customHeight="1" x14ac:dyDescent="0.3">
      <c r="A29" s="147">
        <v>15</v>
      </c>
      <c r="B29" s="147">
        <v>3545</v>
      </c>
      <c r="C29" s="155" t="s">
        <v>7802</v>
      </c>
      <c r="D29" s="188" t="s">
        <v>17769</v>
      </c>
      <c r="E29" s="202">
        <v>420</v>
      </c>
      <c r="F29" s="201" t="s">
        <v>0</v>
      </c>
      <c r="G29" s="160" t="s">
        <v>17747</v>
      </c>
      <c r="H29" s="160"/>
      <c r="I29" s="161"/>
      <c r="J29" s="162"/>
      <c r="K29" s="163"/>
      <c r="L29" s="164"/>
      <c r="M29" s="170"/>
      <c r="N29" s="171"/>
      <c r="O29" s="178">
        <v>567</v>
      </c>
      <c r="P29" s="172"/>
    </row>
    <row r="30" spans="1:16" ht="16.5" customHeight="1" x14ac:dyDescent="0.3">
      <c r="A30" s="147">
        <v>15</v>
      </c>
      <c r="B30" s="147">
        <v>3546</v>
      </c>
      <c r="C30" s="155" t="s">
        <v>7801</v>
      </c>
      <c r="D30" s="167"/>
      <c r="E30" s="203"/>
      <c r="F30" s="204"/>
      <c r="G30" s="150" t="s">
        <v>17420</v>
      </c>
      <c r="H30" s="150" t="s">
        <v>1</v>
      </c>
      <c r="I30" s="151">
        <v>0.9</v>
      </c>
      <c r="J30" s="162" t="s">
        <v>5895</v>
      </c>
      <c r="K30" s="163" t="s">
        <v>1</v>
      </c>
      <c r="L30" s="164">
        <v>1</v>
      </c>
      <c r="M30" s="170"/>
      <c r="N30" s="171"/>
      <c r="O30" s="178">
        <v>567</v>
      </c>
      <c r="P30" s="172"/>
    </row>
    <row r="31" spans="1:16" ht="16.5" customHeight="1" x14ac:dyDescent="0.3">
      <c r="A31" s="147">
        <v>15</v>
      </c>
      <c r="B31" s="147">
        <v>3547</v>
      </c>
      <c r="C31" s="155" t="s">
        <v>7800</v>
      </c>
      <c r="D31" s="156" t="s">
        <v>17768</v>
      </c>
      <c r="E31" s="198"/>
      <c r="F31" s="199"/>
      <c r="G31" s="160"/>
      <c r="H31" s="160"/>
      <c r="I31" s="161"/>
      <c r="J31" s="162"/>
      <c r="K31" s="163"/>
      <c r="L31" s="164"/>
      <c r="M31" s="170"/>
      <c r="N31" s="171"/>
      <c r="O31" s="178">
        <v>735</v>
      </c>
      <c r="P31" s="172"/>
    </row>
    <row r="32" spans="1:16" ht="16.5" customHeight="1" x14ac:dyDescent="0.3">
      <c r="A32" s="147">
        <v>15</v>
      </c>
      <c r="B32" s="147">
        <v>3548</v>
      </c>
      <c r="C32" s="155" t="s">
        <v>7799</v>
      </c>
      <c r="D32" s="188" t="s">
        <v>17767</v>
      </c>
      <c r="E32" s="200"/>
      <c r="F32" s="201"/>
      <c r="G32" s="150"/>
      <c r="H32" s="150"/>
      <c r="I32" s="151"/>
      <c r="J32" s="162" t="s">
        <v>5895</v>
      </c>
      <c r="K32" s="163" t="s">
        <v>1</v>
      </c>
      <c r="L32" s="164">
        <v>1</v>
      </c>
      <c r="M32" s="170"/>
      <c r="N32" s="171"/>
      <c r="O32" s="178">
        <v>735</v>
      </c>
      <c r="P32" s="172"/>
    </row>
    <row r="33" spans="1:16" ht="16.5" customHeight="1" x14ac:dyDescent="0.3">
      <c r="A33" s="147">
        <v>15</v>
      </c>
      <c r="B33" s="147">
        <v>3549</v>
      </c>
      <c r="C33" s="155" t="s">
        <v>7798</v>
      </c>
      <c r="D33" s="188" t="s">
        <v>17766</v>
      </c>
      <c r="E33" s="202">
        <v>490</v>
      </c>
      <c r="F33" s="201" t="s">
        <v>0</v>
      </c>
      <c r="G33" s="160" t="s">
        <v>17747</v>
      </c>
      <c r="H33" s="160"/>
      <c r="I33" s="161"/>
      <c r="J33" s="162"/>
      <c r="K33" s="163"/>
      <c r="L33" s="164"/>
      <c r="M33" s="170"/>
      <c r="N33" s="171"/>
      <c r="O33" s="178">
        <v>662</v>
      </c>
      <c r="P33" s="172"/>
    </row>
    <row r="34" spans="1:16" ht="16.5" customHeight="1" x14ac:dyDescent="0.3">
      <c r="A34" s="147">
        <v>15</v>
      </c>
      <c r="B34" s="147">
        <v>3550</v>
      </c>
      <c r="C34" s="155" t="s">
        <v>7797</v>
      </c>
      <c r="D34" s="167"/>
      <c r="E34" s="203"/>
      <c r="F34" s="204"/>
      <c r="G34" s="150" t="s">
        <v>17420</v>
      </c>
      <c r="H34" s="150" t="s">
        <v>1</v>
      </c>
      <c r="I34" s="151">
        <v>0.9</v>
      </c>
      <c r="J34" s="162" t="s">
        <v>5895</v>
      </c>
      <c r="K34" s="163" t="s">
        <v>1</v>
      </c>
      <c r="L34" s="164">
        <v>1</v>
      </c>
      <c r="M34" s="170"/>
      <c r="N34" s="171"/>
      <c r="O34" s="178">
        <v>662</v>
      </c>
      <c r="P34" s="172"/>
    </row>
    <row r="35" spans="1:16" ht="16.5" customHeight="1" x14ac:dyDescent="0.3">
      <c r="A35" s="147">
        <v>15</v>
      </c>
      <c r="B35" s="147">
        <v>3551</v>
      </c>
      <c r="C35" s="155" t="s">
        <v>7796</v>
      </c>
      <c r="D35" s="156" t="s">
        <v>17765</v>
      </c>
      <c r="E35" s="198"/>
      <c r="F35" s="199"/>
      <c r="G35" s="160"/>
      <c r="H35" s="160"/>
      <c r="I35" s="161"/>
      <c r="J35" s="162"/>
      <c r="K35" s="163"/>
      <c r="L35" s="164"/>
      <c r="M35" s="170"/>
      <c r="N35" s="171"/>
      <c r="O35" s="178">
        <v>840</v>
      </c>
      <c r="P35" s="172"/>
    </row>
    <row r="36" spans="1:16" ht="16.5" customHeight="1" x14ac:dyDescent="0.3">
      <c r="A36" s="147">
        <v>15</v>
      </c>
      <c r="B36" s="147">
        <v>3552</v>
      </c>
      <c r="C36" s="155" t="s">
        <v>7795</v>
      </c>
      <c r="D36" s="188" t="s">
        <v>17764</v>
      </c>
      <c r="E36" s="200"/>
      <c r="F36" s="201"/>
      <c r="G36" s="150"/>
      <c r="H36" s="150"/>
      <c r="I36" s="151"/>
      <c r="J36" s="162" t="s">
        <v>5895</v>
      </c>
      <c r="K36" s="163" t="s">
        <v>1</v>
      </c>
      <c r="L36" s="164">
        <v>1</v>
      </c>
      <c r="M36" s="170"/>
      <c r="N36" s="171"/>
      <c r="O36" s="178">
        <v>840</v>
      </c>
      <c r="P36" s="172"/>
    </row>
    <row r="37" spans="1:16" ht="16.5" customHeight="1" x14ac:dyDescent="0.3">
      <c r="A37" s="147">
        <v>15</v>
      </c>
      <c r="B37" s="147">
        <v>3553</v>
      </c>
      <c r="C37" s="155" t="s">
        <v>7794</v>
      </c>
      <c r="D37" s="188" t="s">
        <v>17763</v>
      </c>
      <c r="E37" s="202">
        <v>560</v>
      </c>
      <c r="F37" s="201" t="s">
        <v>0</v>
      </c>
      <c r="G37" s="160" t="s">
        <v>17747</v>
      </c>
      <c r="H37" s="160"/>
      <c r="I37" s="161"/>
      <c r="J37" s="162"/>
      <c r="K37" s="163"/>
      <c r="L37" s="164"/>
      <c r="M37" s="170"/>
      <c r="N37" s="171"/>
      <c r="O37" s="178">
        <v>756</v>
      </c>
      <c r="P37" s="172"/>
    </row>
    <row r="38" spans="1:16" ht="16.5" customHeight="1" x14ac:dyDescent="0.3">
      <c r="A38" s="147">
        <v>15</v>
      </c>
      <c r="B38" s="147">
        <v>3554</v>
      </c>
      <c r="C38" s="155" t="s">
        <v>7793</v>
      </c>
      <c r="D38" s="167"/>
      <c r="E38" s="203"/>
      <c r="F38" s="204"/>
      <c r="G38" s="150" t="s">
        <v>17420</v>
      </c>
      <c r="H38" s="150" t="s">
        <v>1</v>
      </c>
      <c r="I38" s="151">
        <v>0.9</v>
      </c>
      <c r="J38" s="162" t="s">
        <v>5895</v>
      </c>
      <c r="K38" s="163" t="s">
        <v>1</v>
      </c>
      <c r="L38" s="164">
        <v>1</v>
      </c>
      <c r="M38" s="170"/>
      <c r="N38" s="171"/>
      <c r="O38" s="178">
        <v>756</v>
      </c>
      <c r="P38" s="172"/>
    </row>
    <row r="39" spans="1:16" ht="16.5" customHeight="1" x14ac:dyDescent="0.3">
      <c r="A39" s="147">
        <v>15</v>
      </c>
      <c r="B39" s="147">
        <v>3555</v>
      </c>
      <c r="C39" s="155" t="s">
        <v>7792</v>
      </c>
      <c r="D39" s="156" t="s">
        <v>17762</v>
      </c>
      <c r="E39" s="198"/>
      <c r="F39" s="199"/>
      <c r="G39" s="160"/>
      <c r="H39" s="160"/>
      <c r="I39" s="161"/>
      <c r="J39" s="162"/>
      <c r="K39" s="163"/>
      <c r="L39" s="164"/>
      <c r="M39" s="170"/>
      <c r="N39" s="171"/>
      <c r="O39" s="178">
        <v>945</v>
      </c>
      <c r="P39" s="172"/>
    </row>
    <row r="40" spans="1:16" ht="16.5" customHeight="1" x14ac:dyDescent="0.3">
      <c r="A40" s="147">
        <v>15</v>
      </c>
      <c r="B40" s="147">
        <v>3556</v>
      </c>
      <c r="C40" s="155" t="s">
        <v>7791</v>
      </c>
      <c r="D40" s="188" t="s">
        <v>17761</v>
      </c>
      <c r="E40" s="200"/>
      <c r="F40" s="201"/>
      <c r="G40" s="150"/>
      <c r="H40" s="150"/>
      <c r="I40" s="151"/>
      <c r="J40" s="162" t="s">
        <v>5895</v>
      </c>
      <c r="K40" s="163" t="s">
        <v>1</v>
      </c>
      <c r="L40" s="164">
        <v>1</v>
      </c>
      <c r="M40" s="170"/>
      <c r="N40" s="171"/>
      <c r="O40" s="178">
        <v>945</v>
      </c>
      <c r="P40" s="172"/>
    </row>
    <row r="41" spans="1:16" ht="16.5" customHeight="1" x14ac:dyDescent="0.3">
      <c r="A41" s="147">
        <v>15</v>
      </c>
      <c r="B41" s="147">
        <v>3557</v>
      </c>
      <c r="C41" s="155" t="s">
        <v>7790</v>
      </c>
      <c r="D41" s="188" t="s">
        <v>17760</v>
      </c>
      <c r="E41" s="202">
        <v>630</v>
      </c>
      <c r="F41" s="201" t="s">
        <v>0</v>
      </c>
      <c r="G41" s="160" t="s">
        <v>17747</v>
      </c>
      <c r="H41" s="160"/>
      <c r="I41" s="161"/>
      <c r="J41" s="162"/>
      <c r="K41" s="163"/>
      <c r="L41" s="164"/>
      <c r="M41" s="170"/>
      <c r="N41" s="171"/>
      <c r="O41" s="178">
        <v>851</v>
      </c>
      <c r="P41" s="172"/>
    </row>
    <row r="42" spans="1:16" ht="16.5" customHeight="1" x14ac:dyDescent="0.3">
      <c r="A42" s="147">
        <v>15</v>
      </c>
      <c r="B42" s="147">
        <v>3558</v>
      </c>
      <c r="C42" s="155" t="s">
        <v>7789</v>
      </c>
      <c r="D42" s="167"/>
      <c r="E42" s="203"/>
      <c r="F42" s="204"/>
      <c r="G42" s="150" t="s">
        <v>17420</v>
      </c>
      <c r="H42" s="150" t="s">
        <v>1</v>
      </c>
      <c r="I42" s="151">
        <v>0.9</v>
      </c>
      <c r="J42" s="162" t="s">
        <v>5895</v>
      </c>
      <c r="K42" s="163" t="s">
        <v>1</v>
      </c>
      <c r="L42" s="164">
        <v>1</v>
      </c>
      <c r="M42" s="170"/>
      <c r="N42" s="171"/>
      <c r="O42" s="178">
        <v>851</v>
      </c>
      <c r="P42" s="172"/>
    </row>
    <row r="43" spans="1:16" ht="16.5" customHeight="1" x14ac:dyDescent="0.3">
      <c r="A43" s="147">
        <v>15</v>
      </c>
      <c r="B43" s="147">
        <v>3559</v>
      </c>
      <c r="C43" s="155" t="s">
        <v>7788</v>
      </c>
      <c r="D43" s="156" t="s">
        <v>17759</v>
      </c>
      <c r="E43" s="198"/>
      <c r="F43" s="199"/>
      <c r="G43" s="160"/>
      <c r="H43" s="160"/>
      <c r="I43" s="161"/>
      <c r="J43" s="162"/>
      <c r="K43" s="163"/>
      <c r="L43" s="164"/>
      <c r="M43" s="170"/>
      <c r="N43" s="171"/>
      <c r="O43" s="178">
        <v>1050</v>
      </c>
      <c r="P43" s="172"/>
    </row>
    <row r="44" spans="1:16" ht="16.5" customHeight="1" x14ac:dyDescent="0.3">
      <c r="A44" s="147">
        <v>15</v>
      </c>
      <c r="B44" s="147">
        <v>3560</v>
      </c>
      <c r="C44" s="155" t="s">
        <v>7787</v>
      </c>
      <c r="D44" s="188" t="s">
        <v>17758</v>
      </c>
      <c r="E44" s="200"/>
      <c r="F44" s="201"/>
      <c r="G44" s="150"/>
      <c r="H44" s="150"/>
      <c r="I44" s="151"/>
      <c r="J44" s="162" t="s">
        <v>5895</v>
      </c>
      <c r="K44" s="163" t="s">
        <v>1</v>
      </c>
      <c r="L44" s="164">
        <v>1</v>
      </c>
      <c r="M44" s="170"/>
      <c r="N44" s="171"/>
      <c r="O44" s="178">
        <v>1050</v>
      </c>
      <c r="P44" s="172"/>
    </row>
    <row r="45" spans="1:16" ht="16.5" customHeight="1" x14ac:dyDescent="0.3">
      <c r="A45" s="147">
        <v>15</v>
      </c>
      <c r="B45" s="147">
        <v>3561</v>
      </c>
      <c r="C45" s="155" t="s">
        <v>7786</v>
      </c>
      <c r="D45" s="188" t="s">
        <v>17757</v>
      </c>
      <c r="E45" s="202">
        <v>700</v>
      </c>
      <c r="F45" s="201" t="s">
        <v>0</v>
      </c>
      <c r="G45" s="160" t="s">
        <v>17747</v>
      </c>
      <c r="H45" s="160"/>
      <c r="I45" s="161"/>
      <c r="J45" s="162"/>
      <c r="K45" s="163"/>
      <c r="L45" s="164"/>
      <c r="M45" s="170"/>
      <c r="N45" s="171"/>
      <c r="O45" s="178">
        <v>945</v>
      </c>
      <c r="P45" s="172"/>
    </row>
    <row r="46" spans="1:16" ht="16.5" customHeight="1" x14ac:dyDescent="0.3">
      <c r="A46" s="147">
        <v>15</v>
      </c>
      <c r="B46" s="147">
        <v>3562</v>
      </c>
      <c r="C46" s="155" t="s">
        <v>7785</v>
      </c>
      <c r="D46" s="167"/>
      <c r="E46" s="203"/>
      <c r="F46" s="204"/>
      <c r="G46" s="150" t="s">
        <v>17420</v>
      </c>
      <c r="H46" s="150" t="s">
        <v>1</v>
      </c>
      <c r="I46" s="151">
        <v>0.9</v>
      </c>
      <c r="J46" s="162" t="s">
        <v>5895</v>
      </c>
      <c r="K46" s="163" t="s">
        <v>1</v>
      </c>
      <c r="L46" s="164">
        <v>1</v>
      </c>
      <c r="M46" s="170"/>
      <c r="N46" s="171"/>
      <c r="O46" s="178">
        <v>945</v>
      </c>
      <c r="P46" s="172"/>
    </row>
    <row r="47" spans="1:16" ht="16.5" customHeight="1" x14ac:dyDescent="0.3">
      <c r="A47" s="147">
        <v>15</v>
      </c>
      <c r="B47" s="147">
        <v>3563</v>
      </c>
      <c r="C47" s="155" t="s">
        <v>7784</v>
      </c>
      <c r="D47" s="156" t="s">
        <v>17756</v>
      </c>
      <c r="E47" s="198"/>
      <c r="F47" s="199"/>
      <c r="G47" s="160"/>
      <c r="H47" s="160"/>
      <c r="I47" s="161"/>
      <c r="J47" s="162"/>
      <c r="K47" s="163"/>
      <c r="L47" s="164"/>
      <c r="M47" s="170"/>
      <c r="N47" s="171"/>
      <c r="O47" s="178">
        <v>1155</v>
      </c>
      <c r="P47" s="172"/>
    </row>
    <row r="48" spans="1:16" ht="16.5" customHeight="1" x14ac:dyDescent="0.3">
      <c r="A48" s="147">
        <v>15</v>
      </c>
      <c r="B48" s="147">
        <v>3564</v>
      </c>
      <c r="C48" s="155" t="s">
        <v>7783</v>
      </c>
      <c r="D48" s="188" t="s">
        <v>17755</v>
      </c>
      <c r="E48" s="200"/>
      <c r="F48" s="201"/>
      <c r="G48" s="150"/>
      <c r="H48" s="150"/>
      <c r="I48" s="151"/>
      <c r="J48" s="162" t="s">
        <v>5895</v>
      </c>
      <c r="K48" s="163" t="s">
        <v>1</v>
      </c>
      <c r="L48" s="164">
        <v>1</v>
      </c>
      <c r="M48" s="170"/>
      <c r="N48" s="171"/>
      <c r="O48" s="178">
        <v>1155</v>
      </c>
      <c r="P48" s="172"/>
    </row>
    <row r="49" spans="1:16" ht="16.5" customHeight="1" x14ac:dyDescent="0.3">
      <c r="A49" s="147">
        <v>15</v>
      </c>
      <c r="B49" s="147">
        <v>3565</v>
      </c>
      <c r="C49" s="155" t="s">
        <v>7782</v>
      </c>
      <c r="D49" s="188" t="s">
        <v>17754</v>
      </c>
      <c r="E49" s="202">
        <v>770</v>
      </c>
      <c r="F49" s="201" t="s">
        <v>0</v>
      </c>
      <c r="G49" s="160" t="s">
        <v>17747</v>
      </c>
      <c r="H49" s="160"/>
      <c r="I49" s="161"/>
      <c r="J49" s="162"/>
      <c r="K49" s="163"/>
      <c r="L49" s="164"/>
      <c r="M49" s="170"/>
      <c r="N49" s="171"/>
      <c r="O49" s="178">
        <v>1040</v>
      </c>
      <c r="P49" s="172"/>
    </row>
    <row r="50" spans="1:16" ht="16.5" customHeight="1" x14ac:dyDescent="0.3">
      <c r="A50" s="147">
        <v>15</v>
      </c>
      <c r="B50" s="147">
        <v>3566</v>
      </c>
      <c r="C50" s="155" t="s">
        <v>7781</v>
      </c>
      <c r="D50" s="167"/>
      <c r="E50" s="203"/>
      <c r="F50" s="204"/>
      <c r="G50" s="150" t="s">
        <v>17420</v>
      </c>
      <c r="H50" s="150" t="s">
        <v>1</v>
      </c>
      <c r="I50" s="151">
        <v>0.9</v>
      </c>
      <c r="J50" s="162" t="s">
        <v>5895</v>
      </c>
      <c r="K50" s="163" t="s">
        <v>1</v>
      </c>
      <c r="L50" s="164">
        <v>1</v>
      </c>
      <c r="M50" s="170"/>
      <c r="N50" s="171"/>
      <c r="O50" s="178">
        <v>1040</v>
      </c>
      <c r="P50" s="172"/>
    </row>
    <row r="51" spans="1:16" ht="16.5" customHeight="1" x14ac:dyDescent="0.3">
      <c r="A51" s="147">
        <v>15</v>
      </c>
      <c r="B51" s="147">
        <v>3567</v>
      </c>
      <c r="C51" s="155" t="s">
        <v>7780</v>
      </c>
      <c r="D51" s="156" t="s">
        <v>17753</v>
      </c>
      <c r="E51" s="198"/>
      <c r="F51" s="199"/>
      <c r="G51" s="160"/>
      <c r="H51" s="160"/>
      <c r="I51" s="161"/>
      <c r="J51" s="162"/>
      <c r="K51" s="163"/>
      <c r="L51" s="164"/>
      <c r="M51" s="170"/>
      <c r="N51" s="171"/>
      <c r="O51" s="178">
        <v>1260</v>
      </c>
      <c r="P51" s="172"/>
    </row>
    <row r="52" spans="1:16" ht="16.5" customHeight="1" x14ac:dyDescent="0.3">
      <c r="A52" s="147">
        <v>15</v>
      </c>
      <c r="B52" s="147">
        <v>3568</v>
      </c>
      <c r="C52" s="155" t="s">
        <v>7779</v>
      </c>
      <c r="D52" s="188" t="s">
        <v>17752</v>
      </c>
      <c r="E52" s="200"/>
      <c r="F52" s="201"/>
      <c r="G52" s="150"/>
      <c r="H52" s="150"/>
      <c r="I52" s="151"/>
      <c r="J52" s="162" t="s">
        <v>5895</v>
      </c>
      <c r="K52" s="163" t="s">
        <v>1</v>
      </c>
      <c r="L52" s="164">
        <v>1</v>
      </c>
      <c r="M52" s="170"/>
      <c r="N52" s="171"/>
      <c r="O52" s="178">
        <v>1260</v>
      </c>
      <c r="P52" s="172"/>
    </row>
    <row r="53" spans="1:16" ht="16.5" customHeight="1" x14ac:dyDescent="0.3">
      <c r="A53" s="147">
        <v>15</v>
      </c>
      <c r="B53" s="147">
        <v>3569</v>
      </c>
      <c r="C53" s="155" t="s">
        <v>7778</v>
      </c>
      <c r="D53" s="188" t="s">
        <v>17751</v>
      </c>
      <c r="E53" s="202">
        <v>840</v>
      </c>
      <c r="F53" s="201" t="s">
        <v>0</v>
      </c>
      <c r="G53" s="160" t="s">
        <v>17747</v>
      </c>
      <c r="H53" s="160"/>
      <c r="I53" s="161"/>
      <c r="J53" s="162"/>
      <c r="K53" s="163"/>
      <c r="L53" s="164"/>
      <c r="M53" s="170"/>
      <c r="N53" s="171"/>
      <c r="O53" s="178">
        <v>1134</v>
      </c>
      <c r="P53" s="172"/>
    </row>
    <row r="54" spans="1:16" ht="16.5" customHeight="1" x14ac:dyDescent="0.3">
      <c r="A54" s="147">
        <v>15</v>
      </c>
      <c r="B54" s="147">
        <v>3570</v>
      </c>
      <c r="C54" s="155" t="s">
        <v>7777</v>
      </c>
      <c r="D54" s="167"/>
      <c r="E54" s="203"/>
      <c r="F54" s="204"/>
      <c r="G54" s="150" t="s">
        <v>17420</v>
      </c>
      <c r="H54" s="150" t="s">
        <v>1</v>
      </c>
      <c r="I54" s="151">
        <v>0.9</v>
      </c>
      <c r="J54" s="162" t="s">
        <v>5895</v>
      </c>
      <c r="K54" s="163" t="s">
        <v>1</v>
      </c>
      <c r="L54" s="164">
        <v>1</v>
      </c>
      <c r="M54" s="170"/>
      <c r="N54" s="171"/>
      <c r="O54" s="178">
        <v>1134</v>
      </c>
      <c r="P54" s="172"/>
    </row>
    <row r="55" spans="1:16" ht="16.5" customHeight="1" x14ac:dyDescent="0.3">
      <c r="A55" s="147">
        <v>15</v>
      </c>
      <c r="B55" s="147">
        <v>3571</v>
      </c>
      <c r="C55" s="155" t="s">
        <v>7776</v>
      </c>
      <c r="D55" s="156" t="s">
        <v>17750</v>
      </c>
      <c r="E55" s="198"/>
      <c r="F55" s="199"/>
      <c r="G55" s="160"/>
      <c r="H55" s="160"/>
      <c r="I55" s="161"/>
      <c r="J55" s="162"/>
      <c r="K55" s="163"/>
      <c r="L55" s="164"/>
      <c r="M55" s="170"/>
      <c r="N55" s="171"/>
      <c r="O55" s="178">
        <v>1365</v>
      </c>
      <c r="P55" s="172"/>
    </row>
    <row r="56" spans="1:16" ht="16.5" customHeight="1" x14ac:dyDescent="0.3">
      <c r="A56" s="147">
        <v>15</v>
      </c>
      <c r="B56" s="147">
        <v>3572</v>
      </c>
      <c r="C56" s="155" t="s">
        <v>7775</v>
      </c>
      <c r="D56" s="188" t="s">
        <v>17749</v>
      </c>
      <c r="E56" s="200"/>
      <c r="F56" s="201"/>
      <c r="G56" s="150"/>
      <c r="H56" s="150"/>
      <c r="I56" s="151"/>
      <c r="J56" s="162" t="s">
        <v>5895</v>
      </c>
      <c r="K56" s="163" t="s">
        <v>1</v>
      </c>
      <c r="L56" s="164">
        <v>1</v>
      </c>
      <c r="M56" s="170"/>
      <c r="N56" s="171"/>
      <c r="O56" s="178">
        <v>1365</v>
      </c>
      <c r="P56" s="172"/>
    </row>
    <row r="57" spans="1:16" ht="16.5" customHeight="1" x14ac:dyDescent="0.3">
      <c r="A57" s="147">
        <v>15</v>
      </c>
      <c r="B57" s="147">
        <v>3573</v>
      </c>
      <c r="C57" s="155" t="s">
        <v>7774</v>
      </c>
      <c r="D57" s="188" t="s">
        <v>17748</v>
      </c>
      <c r="E57" s="202">
        <v>910</v>
      </c>
      <c r="F57" s="201" t="s">
        <v>0</v>
      </c>
      <c r="G57" s="160" t="s">
        <v>17747</v>
      </c>
      <c r="H57" s="160"/>
      <c r="I57" s="161"/>
      <c r="J57" s="162"/>
      <c r="K57" s="163"/>
      <c r="L57" s="164"/>
      <c r="M57" s="170"/>
      <c r="N57" s="171"/>
      <c r="O57" s="178">
        <v>1229</v>
      </c>
      <c r="P57" s="172"/>
    </row>
    <row r="58" spans="1:16" ht="16.5" customHeight="1" x14ac:dyDescent="0.3">
      <c r="A58" s="147">
        <v>15</v>
      </c>
      <c r="B58" s="147">
        <v>3574</v>
      </c>
      <c r="C58" s="155" t="s">
        <v>7773</v>
      </c>
      <c r="D58" s="167"/>
      <c r="E58" s="203"/>
      <c r="F58" s="204"/>
      <c r="G58" s="150" t="s">
        <v>17420</v>
      </c>
      <c r="H58" s="150" t="s">
        <v>1</v>
      </c>
      <c r="I58" s="151">
        <v>0.9</v>
      </c>
      <c r="J58" s="162" t="s">
        <v>5895</v>
      </c>
      <c r="K58" s="163" t="s">
        <v>1</v>
      </c>
      <c r="L58" s="164">
        <v>1</v>
      </c>
      <c r="M58" s="176"/>
      <c r="N58" s="168"/>
      <c r="O58" s="178">
        <v>1229</v>
      </c>
      <c r="P58" s="177"/>
    </row>
    <row r="59" spans="1:16" ht="16.5" customHeight="1" x14ac:dyDescent="0.3"/>
    <row r="60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1" tint="0.249977111117893"/>
    <pageSetUpPr fitToPage="1"/>
  </sheetPr>
  <dimension ref="A1:P69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8.62890625" style="45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2.62890625" style="46" customWidth="1"/>
    <col min="14" max="14" width="4.1015625" style="47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4"/>
      <c r="N1" s="135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4"/>
      <c r="N2" s="135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4"/>
      <c r="N3" s="135"/>
      <c r="O3" s="136"/>
      <c r="P3" s="137"/>
    </row>
    <row r="4" spans="1:16" ht="16.5" customHeight="1" x14ac:dyDescent="0.3">
      <c r="A4" s="132"/>
      <c r="B4" s="138" t="s">
        <v>6070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4"/>
      <c r="N4" s="135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4"/>
      <c r="N5" s="145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0"/>
      <c r="N6" s="151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1195</v>
      </c>
      <c r="C7" s="155" t="s">
        <v>6069</v>
      </c>
      <c r="D7" s="156" t="s">
        <v>16911</v>
      </c>
      <c r="E7" s="160"/>
      <c r="F7" s="158"/>
      <c r="G7" s="159"/>
      <c r="H7" s="160"/>
      <c r="I7" s="161"/>
      <c r="J7" s="162"/>
      <c r="K7" s="163"/>
      <c r="L7" s="164"/>
      <c r="M7" s="159"/>
      <c r="N7" s="182"/>
      <c r="O7" s="225">
        <v>321</v>
      </c>
      <c r="P7" s="142" t="s">
        <v>5863</v>
      </c>
    </row>
    <row r="8" spans="1:16" ht="16.5" customHeight="1" x14ac:dyDescent="0.3">
      <c r="A8" s="147">
        <v>15</v>
      </c>
      <c r="B8" s="147">
        <v>1196</v>
      </c>
      <c r="C8" s="155" t="s">
        <v>6067</v>
      </c>
      <c r="D8" s="188" t="s">
        <v>16910</v>
      </c>
      <c r="E8" s="153"/>
      <c r="F8" s="171"/>
      <c r="G8" s="175"/>
      <c r="H8" s="150"/>
      <c r="I8" s="151"/>
      <c r="J8" s="162" t="s">
        <v>5895</v>
      </c>
      <c r="K8" s="163" t="s">
        <v>1</v>
      </c>
      <c r="L8" s="164">
        <v>1</v>
      </c>
      <c r="M8" s="169"/>
      <c r="N8" s="226"/>
      <c r="O8" s="225">
        <v>321</v>
      </c>
      <c r="P8" s="172"/>
    </row>
    <row r="9" spans="1:16" ht="16.5" customHeight="1" x14ac:dyDescent="0.3">
      <c r="A9" s="147">
        <v>15</v>
      </c>
      <c r="B9" s="147">
        <v>1197</v>
      </c>
      <c r="C9" s="155" t="s">
        <v>6066</v>
      </c>
      <c r="D9" s="188"/>
      <c r="E9" s="205">
        <v>257</v>
      </c>
      <c r="F9" s="171" t="s">
        <v>0</v>
      </c>
      <c r="G9" s="160" t="s">
        <v>16886</v>
      </c>
      <c r="H9" s="160"/>
      <c r="I9" s="161"/>
      <c r="J9" s="162"/>
      <c r="K9" s="163"/>
      <c r="L9" s="164"/>
      <c r="M9" s="169"/>
      <c r="N9" s="173"/>
      <c r="O9" s="225">
        <v>225</v>
      </c>
      <c r="P9" s="172"/>
    </row>
    <row r="10" spans="1:16" ht="16.5" customHeight="1" x14ac:dyDescent="0.3">
      <c r="A10" s="147">
        <v>15</v>
      </c>
      <c r="B10" s="147">
        <v>1198</v>
      </c>
      <c r="C10" s="155" t="s">
        <v>6065</v>
      </c>
      <c r="D10" s="167"/>
      <c r="E10" s="150"/>
      <c r="F10" s="168"/>
      <c r="G10" s="150" t="s">
        <v>16884</v>
      </c>
      <c r="H10" s="150" t="s">
        <v>1</v>
      </c>
      <c r="I10" s="151">
        <v>0.7</v>
      </c>
      <c r="J10" s="162" t="s">
        <v>5895</v>
      </c>
      <c r="K10" s="163" t="s">
        <v>1</v>
      </c>
      <c r="L10" s="164">
        <v>1</v>
      </c>
      <c r="M10" s="169"/>
      <c r="N10" s="173"/>
      <c r="O10" s="225">
        <v>225</v>
      </c>
      <c r="P10" s="172"/>
    </row>
    <row r="11" spans="1:16" ht="16.5" customHeight="1" x14ac:dyDescent="0.3">
      <c r="A11" s="147">
        <v>15</v>
      </c>
      <c r="B11" s="147">
        <v>1199</v>
      </c>
      <c r="C11" s="155" t="s">
        <v>6064</v>
      </c>
      <c r="D11" s="156" t="s">
        <v>16909</v>
      </c>
      <c r="E11" s="160"/>
      <c r="F11" s="158"/>
      <c r="G11" s="159"/>
      <c r="H11" s="160"/>
      <c r="I11" s="161"/>
      <c r="J11" s="162"/>
      <c r="K11" s="163"/>
      <c r="L11" s="164"/>
      <c r="M11" s="169"/>
      <c r="N11" s="173"/>
      <c r="O11" s="225">
        <v>508</v>
      </c>
      <c r="P11" s="172"/>
    </row>
    <row r="12" spans="1:16" ht="16.5" customHeight="1" x14ac:dyDescent="0.3">
      <c r="A12" s="147">
        <v>15</v>
      </c>
      <c r="B12" s="147">
        <v>1200</v>
      </c>
      <c r="C12" s="155" t="s">
        <v>6062</v>
      </c>
      <c r="D12" s="188" t="s">
        <v>16874</v>
      </c>
      <c r="E12" s="153"/>
      <c r="F12" s="171"/>
      <c r="G12" s="175"/>
      <c r="H12" s="150"/>
      <c r="I12" s="151"/>
      <c r="J12" s="162" t="s">
        <v>5895</v>
      </c>
      <c r="K12" s="163" t="s">
        <v>1</v>
      </c>
      <c r="L12" s="164">
        <v>1</v>
      </c>
      <c r="M12" s="169" t="s">
        <v>16908</v>
      </c>
      <c r="N12" s="173"/>
      <c r="O12" s="225">
        <v>508</v>
      </c>
      <c r="P12" s="172"/>
    </row>
    <row r="13" spans="1:16" ht="16.5" customHeight="1" x14ac:dyDescent="0.3">
      <c r="A13" s="147">
        <v>15</v>
      </c>
      <c r="B13" s="147">
        <v>1201</v>
      </c>
      <c r="C13" s="155" t="s">
        <v>6060</v>
      </c>
      <c r="D13" s="188" t="s">
        <v>16873</v>
      </c>
      <c r="E13" s="205">
        <v>406</v>
      </c>
      <c r="F13" s="171" t="s">
        <v>0</v>
      </c>
      <c r="G13" s="160" t="s">
        <v>16823</v>
      </c>
      <c r="H13" s="160"/>
      <c r="I13" s="161"/>
      <c r="J13" s="162"/>
      <c r="K13" s="163"/>
      <c r="L13" s="164"/>
      <c r="M13" s="169"/>
      <c r="N13" s="226" t="s">
        <v>16897</v>
      </c>
      <c r="O13" s="225">
        <v>355</v>
      </c>
      <c r="P13" s="172"/>
    </row>
    <row r="14" spans="1:16" ht="16.5" customHeight="1" x14ac:dyDescent="0.3">
      <c r="A14" s="147">
        <v>15</v>
      </c>
      <c r="B14" s="147">
        <v>1202</v>
      </c>
      <c r="C14" s="155" t="s">
        <v>6059</v>
      </c>
      <c r="D14" s="167"/>
      <c r="E14" s="150"/>
      <c r="F14" s="168"/>
      <c r="G14" s="150" t="s">
        <v>16812</v>
      </c>
      <c r="H14" s="150" t="s">
        <v>1</v>
      </c>
      <c r="I14" s="151">
        <v>0.7</v>
      </c>
      <c r="J14" s="162" t="s">
        <v>5895</v>
      </c>
      <c r="K14" s="163" t="s">
        <v>1</v>
      </c>
      <c r="L14" s="164">
        <v>1</v>
      </c>
      <c r="M14" s="169"/>
      <c r="N14" s="173"/>
      <c r="O14" s="225">
        <v>355</v>
      </c>
      <c r="P14" s="172"/>
    </row>
    <row r="15" spans="1:16" ht="16.5" customHeight="1" x14ac:dyDescent="0.3">
      <c r="A15" s="147">
        <v>15</v>
      </c>
      <c r="B15" s="147">
        <v>1203</v>
      </c>
      <c r="C15" s="155" t="s">
        <v>6058</v>
      </c>
      <c r="D15" s="156" t="s">
        <v>16907</v>
      </c>
      <c r="E15" s="160"/>
      <c r="F15" s="158"/>
      <c r="G15" s="159"/>
      <c r="H15" s="160"/>
      <c r="I15" s="161"/>
      <c r="J15" s="162"/>
      <c r="K15" s="163"/>
      <c r="L15" s="164"/>
      <c r="M15" s="169" t="s">
        <v>1</v>
      </c>
      <c r="N15" s="173">
        <v>0.25</v>
      </c>
      <c r="O15" s="225">
        <v>739</v>
      </c>
      <c r="P15" s="172"/>
    </row>
    <row r="16" spans="1:16" ht="16.5" customHeight="1" x14ac:dyDescent="0.3">
      <c r="A16" s="147">
        <v>15</v>
      </c>
      <c r="B16" s="147">
        <v>1204</v>
      </c>
      <c r="C16" s="155" t="s">
        <v>6057</v>
      </c>
      <c r="D16" s="188" t="s">
        <v>16895</v>
      </c>
      <c r="E16" s="153"/>
      <c r="F16" s="171"/>
      <c r="G16" s="175"/>
      <c r="H16" s="150"/>
      <c r="I16" s="151"/>
      <c r="J16" s="162" t="s">
        <v>5895</v>
      </c>
      <c r="K16" s="163" t="s">
        <v>1</v>
      </c>
      <c r="L16" s="164">
        <v>1</v>
      </c>
      <c r="M16" s="169"/>
      <c r="N16" s="173" t="s">
        <v>422</v>
      </c>
      <c r="O16" s="225">
        <v>739</v>
      </c>
      <c r="P16" s="172"/>
    </row>
    <row r="17" spans="1:16" ht="16.5" customHeight="1" x14ac:dyDescent="0.3">
      <c r="A17" s="147">
        <v>15</v>
      </c>
      <c r="B17" s="147">
        <v>1205</v>
      </c>
      <c r="C17" s="155" t="s">
        <v>6056</v>
      </c>
      <c r="D17" s="188" t="s">
        <v>16870</v>
      </c>
      <c r="E17" s="205">
        <v>591</v>
      </c>
      <c r="F17" s="171" t="s">
        <v>0</v>
      </c>
      <c r="G17" s="160" t="s">
        <v>16886</v>
      </c>
      <c r="H17" s="160"/>
      <c r="I17" s="161"/>
      <c r="J17" s="162"/>
      <c r="K17" s="163"/>
      <c r="L17" s="164"/>
      <c r="M17" s="169"/>
      <c r="N17" s="173"/>
      <c r="O17" s="225">
        <v>518</v>
      </c>
      <c r="P17" s="172"/>
    </row>
    <row r="18" spans="1:16" ht="16.5" customHeight="1" x14ac:dyDescent="0.3">
      <c r="A18" s="147">
        <v>15</v>
      </c>
      <c r="B18" s="147">
        <v>1206</v>
      </c>
      <c r="C18" s="155" t="s">
        <v>6055</v>
      </c>
      <c r="D18" s="167"/>
      <c r="E18" s="150"/>
      <c r="F18" s="168"/>
      <c r="G18" s="150" t="s">
        <v>16812</v>
      </c>
      <c r="H18" s="150" t="s">
        <v>1</v>
      </c>
      <c r="I18" s="151">
        <v>0.7</v>
      </c>
      <c r="J18" s="162" t="s">
        <v>5895</v>
      </c>
      <c r="K18" s="163" t="s">
        <v>1</v>
      </c>
      <c r="L18" s="164">
        <v>1</v>
      </c>
      <c r="M18" s="169"/>
      <c r="N18" s="173"/>
      <c r="O18" s="225">
        <v>518</v>
      </c>
      <c r="P18" s="172"/>
    </row>
    <row r="19" spans="1:16" ht="16.5" customHeight="1" x14ac:dyDescent="0.3">
      <c r="A19" s="147">
        <v>15</v>
      </c>
      <c r="B19" s="147">
        <v>1207</v>
      </c>
      <c r="C19" s="155" t="s">
        <v>6054</v>
      </c>
      <c r="D19" s="156" t="s">
        <v>16906</v>
      </c>
      <c r="E19" s="160"/>
      <c r="F19" s="158"/>
      <c r="G19" s="159"/>
      <c r="H19" s="160"/>
      <c r="I19" s="161"/>
      <c r="J19" s="162"/>
      <c r="K19" s="163"/>
      <c r="L19" s="164"/>
      <c r="M19" s="169"/>
      <c r="N19" s="173"/>
      <c r="O19" s="225">
        <v>843</v>
      </c>
      <c r="P19" s="172"/>
    </row>
    <row r="20" spans="1:16" ht="16.5" customHeight="1" x14ac:dyDescent="0.3">
      <c r="A20" s="147">
        <v>15</v>
      </c>
      <c r="B20" s="147">
        <v>1208</v>
      </c>
      <c r="C20" s="155" t="s">
        <v>6052</v>
      </c>
      <c r="D20" s="188" t="s">
        <v>16905</v>
      </c>
      <c r="E20" s="153"/>
      <c r="F20" s="171"/>
      <c r="G20" s="175"/>
      <c r="H20" s="150"/>
      <c r="I20" s="151"/>
      <c r="J20" s="162" t="s">
        <v>5895</v>
      </c>
      <c r="K20" s="163" t="s">
        <v>1</v>
      </c>
      <c r="L20" s="164">
        <v>1</v>
      </c>
      <c r="M20" s="169"/>
      <c r="N20" s="173"/>
      <c r="O20" s="225">
        <v>843</v>
      </c>
      <c r="P20" s="172"/>
    </row>
    <row r="21" spans="1:16" ht="16.5" customHeight="1" x14ac:dyDescent="0.3">
      <c r="A21" s="147">
        <v>15</v>
      </c>
      <c r="B21" s="147">
        <v>1209</v>
      </c>
      <c r="C21" s="155" t="s">
        <v>6051</v>
      </c>
      <c r="D21" s="188" t="s">
        <v>16867</v>
      </c>
      <c r="E21" s="205">
        <v>674</v>
      </c>
      <c r="F21" s="171" t="s">
        <v>0</v>
      </c>
      <c r="G21" s="160" t="s">
        <v>16823</v>
      </c>
      <c r="H21" s="160"/>
      <c r="I21" s="161"/>
      <c r="J21" s="162"/>
      <c r="K21" s="163"/>
      <c r="L21" s="164"/>
      <c r="M21" s="169"/>
      <c r="N21" s="173"/>
      <c r="O21" s="225">
        <v>590</v>
      </c>
      <c r="P21" s="172"/>
    </row>
    <row r="22" spans="1:16" ht="16.5" customHeight="1" x14ac:dyDescent="0.3">
      <c r="A22" s="147">
        <v>15</v>
      </c>
      <c r="B22" s="147">
        <v>1210</v>
      </c>
      <c r="C22" s="155" t="s">
        <v>6050</v>
      </c>
      <c r="D22" s="167"/>
      <c r="E22" s="150"/>
      <c r="F22" s="168"/>
      <c r="G22" s="150" t="s">
        <v>16884</v>
      </c>
      <c r="H22" s="150" t="s">
        <v>1</v>
      </c>
      <c r="I22" s="151">
        <v>0.7</v>
      </c>
      <c r="J22" s="162" t="s">
        <v>5895</v>
      </c>
      <c r="K22" s="163" t="s">
        <v>1</v>
      </c>
      <c r="L22" s="164">
        <v>1</v>
      </c>
      <c r="M22" s="169"/>
      <c r="N22" s="173"/>
      <c r="O22" s="225">
        <v>590</v>
      </c>
      <c r="P22" s="172"/>
    </row>
    <row r="23" spans="1:16" ht="16.5" customHeight="1" x14ac:dyDescent="0.3">
      <c r="A23" s="147">
        <v>15</v>
      </c>
      <c r="B23" s="147">
        <v>1211</v>
      </c>
      <c r="C23" s="155" t="s">
        <v>6049</v>
      </c>
      <c r="D23" s="156" t="s">
        <v>16904</v>
      </c>
      <c r="E23" s="160"/>
      <c r="F23" s="158"/>
      <c r="G23" s="159"/>
      <c r="H23" s="160"/>
      <c r="I23" s="161"/>
      <c r="J23" s="162"/>
      <c r="K23" s="163"/>
      <c r="L23" s="164"/>
      <c r="M23" s="169"/>
      <c r="N23" s="173"/>
      <c r="O23" s="225">
        <v>948</v>
      </c>
      <c r="P23" s="172"/>
    </row>
    <row r="24" spans="1:16" ht="16.5" customHeight="1" x14ac:dyDescent="0.3">
      <c r="A24" s="147">
        <v>15</v>
      </c>
      <c r="B24" s="147">
        <v>1212</v>
      </c>
      <c r="C24" s="155" t="s">
        <v>6048</v>
      </c>
      <c r="D24" s="188" t="s">
        <v>16865</v>
      </c>
      <c r="E24" s="153"/>
      <c r="F24" s="171"/>
      <c r="G24" s="175"/>
      <c r="H24" s="150"/>
      <c r="I24" s="151"/>
      <c r="J24" s="162" t="s">
        <v>5895</v>
      </c>
      <c r="K24" s="163" t="s">
        <v>1</v>
      </c>
      <c r="L24" s="164">
        <v>1</v>
      </c>
      <c r="M24" s="169"/>
      <c r="N24" s="173"/>
      <c r="O24" s="225">
        <v>948</v>
      </c>
      <c r="P24" s="172"/>
    </row>
    <row r="25" spans="1:16" ht="16.5" customHeight="1" x14ac:dyDescent="0.3">
      <c r="A25" s="147">
        <v>15</v>
      </c>
      <c r="B25" s="147">
        <v>1213</v>
      </c>
      <c r="C25" s="155" t="s">
        <v>6047</v>
      </c>
      <c r="D25" s="188" t="s">
        <v>16903</v>
      </c>
      <c r="E25" s="205">
        <v>758</v>
      </c>
      <c r="F25" s="171" t="s">
        <v>0</v>
      </c>
      <c r="G25" s="160" t="s">
        <v>16823</v>
      </c>
      <c r="H25" s="160"/>
      <c r="I25" s="161"/>
      <c r="J25" s="162"/>
      <c r="K25" s="163"/>
      <c r="L25" s="164"/>
      <c r="M25" s="169"/>
      <c r="N25" s="173"/>
      <c r="O25" s="225">
        <v>664</v>
      </c>
      <c r="P25" s="172"/>
    </row>
    <row r="26" spans="1:16" ht="16.5" customHeight="1" x14ac:dyDescent="0.3">
      <c r="A26" s="147">
        <v>15</v>
      </c>
      <c r="B26" s="147">
        <v>1214</v>
      </c>
      <c r="C26" s="155" t="s">
        <v>6046</v>
      </c>
      <c r="D26" s="167"/>
      <c r="E26" s="150"/>
      <c r="F26" s="168"/>
      <c r="G26" s="150" t="s">
        <v>16812</v>
      </c>
      <c r="H26" s="150" t="s">
        <v>1</v>
      </c>
      <c r="I26" s="151">
        <v>0.7</v>
      </c>
      <c r="J26" s="162" t="s">
        <v>5895</v>
      </c>
      <c r="K26" s="163" t="s">
        <v>1</v>
      </c>
      <c r="L26" s="164">
        <v>1</v>
      </c>
      <c r="M26" s="175"/>
      <c r="N26" s="185"/>
      <c r="O26" s="225">
        <v>664</v>
      </c>
      <c r="P26" s="177"/>
    </row>
    <row r="27" spans="1:16" ht="16.5" customHeight="1" x14ac:dyDescent="0.3">
      <c r="A27" s="132"/>
      <c r="B27" s="132"/>
      <c r="C27" s="133"/>
      <c r="D27" s="133"/>
      <c r="E27" s="134"/>
      <c r="F27" s="134"/>
      <c r="G27" s="134"/>
      <c r="H27" s="134"/>
      <c r="I27" s="135"/>
      <c r="J27" s="134"/>
      <c r="K27" s="134"/>
      <c r="L27" s="135"/>
      <c r="M27" s="134"/>
      <c r="N27" s="135"/>
      <c r="O27" s="136"/>
      <c r="P27" s="137"/>
    </row>
    <row r="28" spans="1:16" ht="16.5" customHeight="1" x14ac:dyDescent="0.3">
      <c r="A28" s="132"/>
      <c r="B28" s="132"/>
      <c r="C28" s="133"/>
      <c r="D28" s="133"/>
      <c r="E28" s="134"/>
      <c r="F28" s="134"/>
      <c r="G28" s="134"/>
      <c r="H28" s="134"/>
      <c r="I28" s="135"/>
      <c r="J28" s="134"/>
      <c r="K28" s="134"/>
      <c r="L28" s="135"/>
      <c r="M28" s="134"/>
      <c r="N28" s="135"/>
      <c r="O28" s="136"/>
      <c r="P28" s="137"/>
    </row>
    <row r="29" spans="1:16" ht="16.5" customHeight="1" x14ac:dyDescent="0.3">
      <c r="A29" s="132"/>
      <c r="B29" s="138" t="s">
        <v>6045</v>
      </c>
      <c r="C29" s="133"/>
      <c r="D29" s="139"/>
      <c r="E29" s="134"/>
      <c r="F29" s="134"/>
      <c r="G29" s="134"/>
      <c r="H29" s="134"/>
      <c r="I29" s="135"/>
      <c r="J29" s="134"/>
      <c r="K29" s="134"/>
      <c r="L29" s="135"/>
      <c r="M29" s="134"/>
      <c r="N29" s="135"/>
      <c r="O29" s="136"/>
      <c r="P29" s="137"/>
    </row>
    <row r="30" spans="1:16" ht="16.5" customHeight="1" x14ac:dyDescent="0.3">
      <c r="A30" s="140" t="s">
        <v>5864</v>
      </c>
      <c r="B30" s="141"/>
      <c r="C30" s="142" t="s">
        <v>5867</v>
      </c>
      <c r="D30" s="143" t="s">
        <v>5868</v>
      </c>
      <c r="E30" s="144"/>
      <c r="F30" s="144"/>
      <c r="G30" s="144"/>
      <c r="H30" s="144"/>
      <c r="I30" s="145"/>
      <c r="J30" s="144"/>
      <c r="K30" s="144"/>
      <c r="L30" s="145"/>
      <c r="M30" s="144"/>
      <c r="N30" s="145"/>
      <c r="O30" s="146" t="s">
        <v>5869</v>
      </c>
      <c r="P30" s="146" t="s">
        <v>5871</v>
      </c>
    </row>
    <row r="31" spans="1:16" ht="16.5" customHeight="1" x14ac:dyDescent="0.3">
      <c r="A31" s="147" t="s">
        <v>5865</v>
      </c>
      <c r="B31" s="147" t="s">
        <v>5866</v>
      </c>
      <c r="C31" s="148"/>
      <c r="D31" s="149"/>
      <c r="E31" s="150"/>
      <c r="F31" s="150"/>
      <c r="G31" s="150"/>
      <c r="H31" s="150"/>
      <c r="I31" s="151"/>
      <c r="J31" s="150"/>
      <c r="K31" s="150"/>
      <c r="L31" s="151"/>
      <c r="M31" s="150"/>
      <c r="N31" s="151"/>
      <c r="O31" s="154" t="s">
        <v>5870</v>
      </c>
      <c r="P31" s="154" t="s">
        <v>0</v>
      </c>
    </row>
    <row r="32" spans="1:16" ht="16.5" customHeight="1" x14ac:dyDescent="0.3">
      <c r="A32" s="147">
        <v>15</v>
      </c>
      <c r="B32" s="147">
        <v>1215</v>
      </c>
      <c r="C32" s="155" t="s">
        <v>6044</v>
      </c>
      <c r="D32" s="156" t="s">
        <v>16902</v>
      </c>
      <c r="E32" s="160"/>
      <c r="F32" s="158"/>
      <c r="G32" s="159"/>
      <c r="H32" s="160"/>
      <c r="I32" s="161"/>
      <c r="J32" s="162"/>
      <c r="K32" s="163"/>
      <c r="L32" s="164"/>
      <c r="M32" s="159"/>
      <c r="N32" s="182"/>
      <c r="O32" s="225">
        <v>321</v>
      </c>
      <c r="P32" s="142" t="s">
        <v>5863</v>
      </c>
    </row>
    <row r="33" spans="1:16" ht="16.5" customHeight="1" x14ac:dyDescent="0.3">
      <c r="A33" s="147">
        <v>15</v>
      </c>
      <c r="B33" s="147">
        <v>1216</v>
      </c>
      <c r="C33" s="155" t="s">
        <v>6042</v>
      </c>
      <c r="D33" s="188" t="s">
        <v>16901</v>
      </c>
      <c r="E33" s="153"/>
      <c r="F33" s="171"/>
      <c r="G33" s="175"/>
      <c r="H33" s="150"/>
      <c r="I33" s="151"/>
      <c r="J33" s="162" t="s">
        <v>5895</v>
      </c>
      <c r="K33" s="163" t="s">
        <v>1</v>
      </c>
      <c r="L33" s="164">
        <v>1</v>
      </c>
      <c r="M33" s="169"/>
      <c r="N33" s="173"/>
      <c r="O33" s="225">
        <v>321</v>
      </c>
      <c r="P33" s="172"/>
    </row>
    <row r="34" spans="1:16" ht="16.5" customHeight="1" x14ac:dyDescent="0.3">
      <c r="A34" s="147">
        <v>15</v>
      </c>
      <c r="B34" s="147">
        <v>1217</v>
      </c>
      <c r="C34" s="155" t="s">
        <v>6041</v>
      </c>
      <c r="D34" s="188"/>
      <c r="E34" s="205">
        <v>257</v>
      </c>
      <c r="F34" s="171" t="s">
        <v>0</v>
      </c>
      <c r="G34" s="160" t="s">
        <v>16900</v>
      </c>
      <c r="H34" s="160"/>
      <c r="I34" s="161"/>
      <c r="J34" s="162"/>
      <c r="K34" s="163"/>
      <c r="L34" s="164"/>
      <c r="M34" s="169"/>
      <c r="N34" s="173"/>
      <c r="O34" s="225">
        <v>225</v>
      </c>
      <c r="P34" s="172"/>
    </row>
    <row r="35" spans="1:16" ht="16.5" customHeight="1" x14ac:dyDescent="0.3">
      <c r="A35" s="147">
        <v>15</v>
      </c>
      <c r="B35" s="147">
        <v>1218</v>
      </c>
      <c r="C35" s="155" t="s">
        <v>6040</v>
      </c>
      <c r="D35" s="167"/>
      <c r="E35" s="150"/>
      <c r="F35" s="168"/>
      <c r="G35" s="150" t="s">
        <v>16812</v>
      </c>
      <c r="H35" s="150" t="s">
        <v>1</v>
      </c>
      <c r="I35" s="151">
        <v>0.7</v>
      </c>
      <c r="J35" s="162" t="s">
        <v>5895</v>
      </c>
      <c r="K35" s="163" t="s">
        <v>1</v>
      </c>
      <c r="L35" s="164">
        <v>1</v>
      </c>
      <c r="M35" s="169"/>
      <c r="N35" s="173"/>
      <c r="O35" s="225">
        <v>225</v>
      </c>
      <c r="P35" s="172"/>
    </row>
    <row r="36" spans="1:16" ht="16.5" customHeight="1" x14ac:dyDescent="0.3">
      <c r="A36" s="147">
        <v>15</v>
      </c>
      <c r="B36" s="147">
        <v>1219</v>
      </c>
      <c r="C36" s="155" t="s">
        <v>6039</v>
      </c>
      <c r="D36" s="156" t="s">
        <v>16899</v>
      </c>
      <c r="E36" s="160"/>
      <c r="F36" s="158"/>
      <c r="G36" s="159"/>
      <c r="H36" s="160"/>
      <c r="I36" s="161"/>
      <c r="J36" s="162"/>
      <c r="K36" s="163"/>
      <c r="L36" s="164"/>
      <c r="M36" s="169"/>
      <c r="N36" s="173"/>
      <c r="O36" s="225">
        <v>508</v>
      </c>
      <c r="P36" s="172"/>
    </row>
    <row r="37" spans="1:16" ht="16.5" customHeight="1" x14ac:dyDescent="0.3">
      <c r="A37" s="147">
        <v>15</v>
      </c>
      <c r="B37" s="147">
        <v>1220</v>
      </c>
      <c r="C37" s="155" t="s">
        <v>6037</v>
      </c>
      <c r="D37" s="188" t="s">
        <v>16898</v>
      </c>
      <c r="E37" s="153"/>
      <c r="F37" s="171"/>
      <c r="G37" s="175"/>
      <c r="H37" s="150"/>
      <c r="I37" s="151"/>
      <c r="J37" s="162" t="s">
        <v>5895</v>
      </c>
      <c r="K37" s="163" t="s">
        <v>1</v>
      </c>
      <c r="L37" s="164">
        <v>1</v>
      </c>
      <c r="M37" s="169" t="s">
        <v>6036</v>
      </c>
      <c r="N37" s="173"/>
      <c r="O37" s="225">
        <v>508</v>
      </c>
      <c r="P37" s="172"/>
    </row>
    <row r="38" spans="1:16" ht="16.5" customHeight="1" x14ac:dyDescent="0.3">
      <c r="A38" s="147">
        <v>15</v>
      </c>
      <c r="B38" s="147">
        <v>1221</v>
      </c>
      <c r="C38" s="155" t="s">
        <v>6035</v>
      </c>
      <c r="D38" s="188" t="s">
        <v>16873</v>
      </c>
      <c r="E38" s="205">
        <v>406</v>
      </c>
      <c r="F38" s="171" t="s">
        <v>0</v>
      </c>
      <c r="G38" s="160" t="s">
        <v>16823</v>
      </c>
      <c r="H38" s="160"/>
      <c r="I38" s="161"/>
      <c r="J38" s="162"/>
      <c r="K38" s="163"/>
      <c r="L38" s="164"/>
      <c r="M38" s="169"/>
      <c r="N38" s="226" t="s">
        <v>16897</v>
      </c>
      <c r="O38" s="225">
        <v>355</v>
      </c>
      <c r="P38" s="172"/>
    </row>
    <row r="39" spans="1:16" ht="16.5" customHeight="1" x14ac:dyDescent="0.3">
      <c r="A39" s="147">
        <v>15</v>
      </c>
      <c r="B39" s="147">
        <v>1222</v>
      </c>
      <c r="C39" s="155" t="s">
        <v>6034</v>
      </c>
      <c r="D39" s="167"/>
      <c r="E39" s="150"/>
      <c r="F39" s="168"/>
      <c r="G39" s="150" t="s">
        <v>16884</v>
      </c>
      <c r="H39" s="150" t="s">
        <v>1</v>
      </c>
      <c r="I39" s="151">
        <v>0.7</v>
      </c>
      <c r="J39" s="162" t="s">
        <v>5895</v>
      </c>
      <c r="K39" s="163" t="s">
        <v>1</v>
      </c>
      <c r="L39" s="164">
        <v>1</v>
      </c>
      <c r="M39" s="169"/>
      <c r="N39" s="173"/>
      <c r="O39" s="225">
        <v>355</v>
      </c>
      <c r="P39" s="172"/>
    </row>
    <row r="40" spans="1:16" ht="16.5" customHeight="1" x14ac:dyDescent="0.3">
      <c r="A40" s="147">
        <v>15</v>
      </c>
      <c r="B40" s="147">
        <v>1223</v>
      </c>
      <c r="C40" s="155" t="s">
        <v>6033</v>
      </c>
      <c r="D40" s="156" t="s">
        <v>16896</v>
      </c>
      <c r="E40" s="160"/>
      <c r="F40" s="158"/>
      <c r="G40" s="159"/>
      <c r="H40" s="160"/>
      <c r="I40" s="161"/>
      <c r="J40" s="162"/>
      <c r="K40" s="163"/>
      <c r="L40" s="164"/>
      <c r="M40" s="169" t="s">
        <v>1</v>
      </c>
      <c r="N40" s="173">
        <v>0.25</v>
      </c>
      <c r="O40" s="225">
        <v>739</v>
      </c>
      <c r="P40" s="172"/>
    </row>
    <row r="41" spans="1:16" ht="16.5" customHeight="1" x14ac:dyDescent="0.3">
      <c r="A41" s="147">
        <v>15</v>
      </c>
      <c r="B41" s="147">
        <v>1224</v>
      </c>
      <c r="C41" s="155" t="s">
        <v>6031</v>
      </c>
      <c r="D41" s="188" t="s">
        <v>16895</v>
      </c>
      <c r="E41" s="153"/>
      <c r="F41" s="171"/>
      <c r="G41" s="175"/>
      <c r="H41" s="150"/>
      <c r="I41" s="151"/>
      <c r="J41" s="162" t="s">
        <v>5895</v>
      </c>
      <c r="K41" s="163" t="s">
        <v>1</v>
      </c>
      <c r="L41" s="164">
        <v>1</v>
      </c>
      <c r="M41" s="169"/>
      <c r="N41" s="173" t="s">
        <v>422</v>
      </c>
      <c r="O41" s="225">
        <v>739</v>
      </c>
      <c r="P41" s="172"/>
    </row>
    <row r="42" spans="1:16" ht="16.5" customHeight="1" x14ac:dyDescent="0.3">
      <c r="A42" s="147">
        <v>15</v>
      </c>
      <c r="B42" s="147">
        <v>1225</v>
      </c>
      <c r="C42" s="155" t="s">
        <v>6030</v>
      </c>
      <c r="D42" s="188" t="s">
        <v>16894</v>
      </c>
      <c r="E42" s="205">
        <v>591</v>
      </c>
      <c r="F42" s="171" t="s">
        <v>0</v>
      </c>
      <c r="G42" s="160" t="s">
        <v>16823</v>
      </c>
      <c r="H42" s="160"/>
      <c r="I42" s="161"/>
      <c r="J42" s="162"/>
      <c r="K42" s="163"/>
      <c r="L42" s="164"/>
      <c r="M42" s="169"/>
      <c r="N42" s="173"/>
      <c r="O42" s="225">
        <v>518</v>
      </c>
      <c r="P42" s="172"/>
    </row>
    <row r="43" spans="1:16" ht="16.5" customHeight="1" x14ac:dyDescent="0.3">
      <c r="A43" s="147">
        <v>15</v>
      </c>
      <c r="B43" s="147">
        <v>1226</v>
      </c>
      <c r="C43" s="155" t="s">
        <v>6029</v>
      </c>
      <c r="D43" s="167"/>
      <c r="E43" s="150"/>
      <c r="F43" s="168"/>
      <c r="G43" s="150" t="s">
        <v>16884</v>
      </c>
      <c r="H43" s="150" t="s">
        <v>1</v>
      </c>
      <c r="I43" s="151">
        <v>0.7</v>
      </c>
      <c r="J43" s="162" t="s">
        <v>5895</v>
      </c>
      <c r="K43" s="163" t="s">
        <v>1</v>
      </c>
      <c r="L43" s="164">
        <v>1</v>
      </c>
      <c r="M43" s="169"/>
      <c r="N43" s="173"/>
      <c r="O43" s="225">
        <v>518</v>
      </c>
      <c r="P43" s="172"/>
    </row>
    <row r="44" spans="1:16" ht="16.5" customHeight="1" x14ac:dyDescent="0.3">
      <c r="A44" s="147">
        <v>15</v>
      </c>
      <c r="B44" s="147">
        <v>1227</v>
      </c>
      <c r="C44" s="155" t="s">
        <v>6028</v>
      </c>
      <c r="D44" s="156" t="s">
        <v>16893</v>
      </c>
      <c r="E44" s="160"/>
      <c r="F44" s="158"/>
      <c r="G44" s="159"/>
      <c r="H44" s="160"/>
      <c r="I44" s="161"/>
      <c r="J44" s="162"/>
      <c r="K44" s="163"/>
      <c r="L44" s="164"/>
      <c r="M44" s="169"/>
      <c r="N44" s="173"/>
      <c r="O44" s="225">
        <v>843</v>
      </c>
      <c r="P44" s="172"/>
    </row>
    <row r="45" spans="1:16" ht="16.5" customHeight="1" x14ac:dyDescent="0.3">
      <c r="A45" s="147">
        <v>15</v>
      </c>
      <c r="B45" s="147">
        <v>1228</v>
      </c>
      <c r="C45" s="155" t="s">
        <v>6026</v>
      </c>
      <c r="D45" s="188" t="s">
        <v>16892</v>
      </c>
      <c r="E45" s="153"/>
      <c r="F45" s="171"/>
      <c r="G45" s="175"/>
      <c r="H45" s="150"/>
      <c r="I45" s="151"/>
      <c r="J45" s="162" t="s">
        <v>5895</v>
      </c>
      <c r="K45" s="163" t="s">
        <v>1</v>
      </c>
      <c r="L45" s="164">
        <v>1</v>
      </c>
      <c r="M45" s="169"/>
      <c r="N45" s="173"/>
      <c r="O45" s="225">
        <v>843</v>
      </c>
      <c r="P45" s="172"/>
    </row>
    <row r="46" spans="1:16" ht="16.5" customHeight="1" x14ac:dyDescent="0.3">
      <c r="A46" s="147">
        <v>15</v>
      </c>
      <c r="B46" s="147">
        <v>1229</v>
      </c>
      <c r="C46" s="155" t="s">
        <v>6025</v>
      </c>
      <c r="D46" s="188" t="s">
        <v>16891</v>
      </c>
      <c r="E46" s="205">
        <v>674</v>
      </c>
      <c r="F46" s="171" t="s">
        <v>0</v>
      </c>
      <c r="G46" s="160" t="s">
        <v>16886</v>
      </c>
      <c r="H46" s="160"/>
      <c r="I46" s="161"/>
      <c r="J46" s="162"/>
      <c r="K46" s="163"/>
      <c r="L46" s="164"/>
      <c r="M46" s="169"/>
      <c r="N46" s="173"/>
      <c r="O46" s="225">
        <v>590</v>
      </c>
      <c r="P46" s="172"/>
    </row>
    <row r="47" spans="1:16" ht="16.5" customHeight="1" x14ac:dyDescent="0.3">
      <c r="A47" s="147">
        <v>15</v>
      </c>
      <c r="B47" s="147">
        <v>1230</v>
      </c>
      <c r="C47" s="155" t="s">
        <v>6024</v>
      </c>
      <c r="D47" s="167"/>
      <c r="E47" s="150"/>
      <c r="F47" s="168"/>
      <c r="G47" s="150" t="s">
        <v>16812</v>
      </c>
      <c r="H47" s="150" t="s">
        <v>1</v>
      </c>
      <c r="I47" s="151">
        <v>0.7</v>
      </c>
      <c r="J47" s="162" t="s">
        <v>5895</v>
      </c>
      <c r="K47" s="163" t="s">
        <v>1</v>
      </c>
      <c r="L47" s="164">
        <v>1</v>
      </c>
      <c r="M47" s="169"/>
      <c r="N47" s="173"/>
      <c r="O47" s="225">
        <v>590</v>
      </c>
      <c r="P47" s="172"/>
    </row>
    <row r="48" spans="1:16" ht="16.5" customHeight="1" x14ac:dyDescent="0.3">
      <c r="A48" s="147">
        <v>15</v>
      </c>
      <c r="B48" s="147">
        <v>1231</v>
      </c>
      <c r="C48" s="155" t="s">
        <v>6023</v>
      </c>
      <c r="D48" s="156" t="s">
        <v>16890</v>
      </c>
      <c r="E48" s="160"/>
      <c r="F48" s="158"/>
      <c r="G48" s="159"/>
      <c r="H48" s="160"/>
      <c r="I48" s="161"/>
      <c r="J48" s="162"/>
      <c r="K48" s="163"/>
      <c r="L48" s="164"/>
      <c r="M48" s="169"/>
      <c r="N48" s="173"/>
      <c r="O48" s="225">
        <v>948</v>
      </c>
      <c r="P48" s="172"/>
    </row>
    <row r="49" spans="1:16" ht="16.5" customHeight="1" x14ac:dyDescent="0.3">
      <c r="A49" s="147">
        <v>15</v>
      </c>
      <c r="B49" s="147">
        <v>1232</v>
      </c>
      <c r="C49" s="155" t="s">
        <v>6022</v>
      </c>
      <c r="D49" s="188" t="s">
        <v>16865</v>
      </c>
      <c r="E49" s="153"/>
      <c r="F49" s="171"/>
      <c r="G49" s="175"/>
      <c r="H49" s="150"/>
      <c r="I49" s="151"/>
      <c r="J49" s="162" t="s">
        <v>5895</v>
      </c>
      <c r="K49" s="163" t="s">
        <v>1</v>
      </c>
      <c r="L49" s="164">
        <v>1</v>
      </c>
      <c r="M49" s="169"/>
      <c r="N49" s="173"/>
      <c r="O49" s="225">
        <v>948</v>
      </c>
      <c r="P49" s="172"/>
    </row>
    <row r="50" spans="1:16" ht="16.5" customHeight="1" x14ac:dyDescent="0.3">
      <c r="A50" s="147">
        <v>15</v>
      </c>
      <c r="B50" s="147">
        <v>1233</v>
      </c>
      <c r="C50" s="155" t="s">
        <v>6021</v>
      </c>
      <c r="D50" s="188" t="s">
        <v>16889</v>
      </c>
      <c r="E50" s="205">
        <v>758</v>
      </c>
      <c r="F50" s="171" t="s">
        <v>0</v>
      </c>
      <c r="G50" s="160" t="s">
        <v>16823</v>
      </c>
      <c r="H50" s="160"/>
      <c r="I50" s="161"/>
      <c r="J50" s="162"/>
      <c r="K50" s="163"/>
      <c r="L50" s="164"/>
      <c r="M50" s="169"/>
      <c r="N50" s="173"/>
      <c r="O50" s="225">
        <v>664</v>
      </c>
      <c r="P50" s="172"/>
    </row>
    <row r="51" spans="1:16" ht="16.5" customHeight="1" x14ac:dyDescent="0.3">
      <c r="A51" s="147">
        <v>15</v>
      </c>
      <c r="B51" s="147">
        <v>1234</v>
      </c>
      <c r="C51" s="155" t="s">
        <v>6020</v>
      </c>
      <c r="D51" s="167"/>
      <c r="E51" s="150"/>
      <c r="F51" s="168"/>
      <c r="G51" s="150" t="s">
        <v>16812</v>
      </c>
      <c r="H51" s="150" t="s">
        <v>1</v>
      </c>
      <c r="I51" s="151">
        <v>0.7</v>
      </c>
      <c r="J51" s="162" t="s">
        <v>5895</v>
      </c>
      <c r="K51" s="163" t="s">
        <v>1</v>
      </c>
      <c r="L51" s="164">
        <v>1</v>
      </c>
      <c r="M51" s="169"/>
      <c r="N51" s="173"/>
      <c r="O51" s="225">
        <v>664</v>
      </c>
      <c r="P51" s="172"/>
    </row>
    <row r="52" spans="1:16" ht="16.5" customHeight="1" x14ac:dyDescent="0.3">
      <c r="A52" s="147">
        <v>15</v>
      </c>
      <c r="B52" s="147">
        <v>1235</v>
      </c>
      <c r="C52" s="155" t="s">
        <v>6019</v>
      </c>
      <c r="D52" s="156" t="s">
        <v>16888</v>
      </c>
      <c r="E52" s="160"/>
      <c r="F52" s="158"/>
      <c r="G52" s="159"/>
      <c r="H52" s="160"/>
      <c r="I52" s="161"/>
      <c r="J52" s="162"/>
      <c r="K52" s="163"/>
      <c r="L52" s="164"/>
      <c r="M52" s="169"/>
      <c r="N52" s="173"/>
      <c r="O52" s="225">
        <v>1053</v>
      </c>
      <c r="P52" s="172"/>
    </row>
    <row r="53" spans="1:16" ht="16.5" customHeight="1" x14ac:dyDescent="0.3">
      <c r="A53" s="147">
        <v>15</v>
      </c>
      <c r="B53" s="147">
        <v>1236</v>
      </c>
      <c r="C53" s="155" t="s">
        <v>6018</v>
      </c>
      <c r="D53" s="188" t="s">
        <v>16887</v>
      </c>
      <c r="E53" s="153"/>
      <c r="F53" s="171"/>
      <c r="G53" s="175"/>
      <c r="H53" s="150"/>
      <c r="I53" s="151"/>
      <c r="J53" s="162" t="s">
        <v>5895</v>
      </c>
      <c r="K53" s="163" t="s">
        <v>1</v>
      </c>
      <c r="L53" s="164">
        <v>1</v>
      </c>
      <c r="M53" s="169"/>
      <c r="N53" s="173"/>
      <c r="O53" s="225">
        <v>1053</v>
      </c>
      <c r="P53" s="172"/>
    </row>
    <row r="54" spans="1:16" ht="16.5" customHeight="1" x14ac:dyDescent="0.3">
      <c r="A54" s="147">
        <v>15</v>
      </c>
      <c r="B54" s="147">
        <v>1237</v>
      </c>
      <c r="C54" s="155" t="s">
        <v>6017</v>
      </c>
      <c r="D54" s="188" t="s">
        <v>16861</v>
      </c>
      <c r="E54" s="205">
        <v>842</v>
      </c>
      <c r="F54" s="171" t="s">
        <v>0</v>
      </c>
      <c r="G54" s="160" t="s">
        <v>16886</v>
      </c>
      <c r="H54" s="160"/>
      <c r="I54" s="161"/>
      <c r="J54" s="162"/>
      <c r="K54" s="163"/>
      <c r="L54" s="164"/>
      <c r="M54" s="169"/>
      <c r="N54" s="173"/>
      <c r="O54" s="225">
        <v>736</v>
      </c>
      <c r="P54" s="172"/>
    </row>
    <row r="55" spans="1:16" ht="16.5" customHeight="1" x14ac:dyDescent="0.3">
      <c r="A55" s="147">
        <v>15</v>
      </c>
      <c r="B55" s="147">
        <v>1238</v>
      </c>
      <c r="C55" s="155" t="s">
        <v>6016</v>
      </c>
      <c r="D55" s="167"/>
      <c r="E55" s="150"/>
      <c r="F55" s="168"/>
      <c r="G55" s="150" t="s">
        <v>16812</v>
      </c>
      <c r="H55" s="150" t="s">
        <v>1</v>
      </c>
      <c r="I55" s="151">
        <v>0.7</v>
      </c>
      <c r="J55" s="162" t="s">
        <v>5895</v>
      </c>
      <c r="K55" s="163" t="s">
        <v>1</v>
      </c>
      <c r="L55" s="164">
        <v>1</v>
      </c>
      <c r="M55" s="169"/>
      <c r="N55" s="173"/>
      <c r="O55" s="225">
        <v>736</v>
      </c>
      <c r="P55" s="172"/>
    </row>
    <row r="56" spans="1:16" ht="16.5" customHeight="1" x14ac:dyDescent="0.3">
      <c r="A56" s="147">
        <v>15</v>
      </c>
      <c r="B56" s="147">
        <v>1239</v>
      </c>
      <c r="C56" s="155" t="s">
        <v>6015</v>
      </c>
      <c r="D56" s="156" t="s">
        <v>16885</v>
      </c>
      <c r="E56" s="160"/>
      <c r="F56" s="158"/>
      <c r="G56" s="159"/>
      <c r="H56" s="160"/>
      <c r="I56" s="161"/>
      <c r="J56" s="162"/>
      <c r="K56" s="163"/>
      <c r="L56" s="164"/>
      <c r="M56" s="169"/>
      <c r="N56" s="173"/>
      <c r="O56" s="225">
        <v>1156</v>
      </c>
      <c r="P56" s="172"/>
    </row>
    <row r="57" spans="1:16" ht="16.5" customHeight="1" x14ac:dyDescent="0.3">
      <c r="A57" s="147">
        <v>15</v>
      </c>
      <c r="B57" s="147">
        <v>1240</v>
      </c>
      <c r="C57" s="155" t="s">
        <v>6014</v>
      </c>
      <c r="D57" s="188" t="s">
        <v>16859</v>
      </c>
      <c r="E57" s="153"/>
      <c r="F57" s="171"/>
      <c r="G57" s="175"/>
      <c r="H57" s="150"/>
      <c r="I57" s="151"/>
      <c r="J57" s="162" t="s">
        <v>5895</v>
      </c>
      <c r="K57" s="163" t="s">
        <v>1</v>
      </c>
      <c r="L57" s="164">
        <v>1</v>
      </c>
      <c r="M57" s="169"/>
      <c r="N57" s="173"/>
      <c r="O57" s="225">
        <v>1156</v>
      </c>
      <c r="P57" s="172"/>
    </row>
    <row r="58" spans="1:16" ht="16.5" customHeight="1" x14ac:dyDescent="0.3">
      <c r="A58" s="147">
        <v>15</v>
      </c>
      <c r="B58" s="147">
        <v>1241</v>
      </c>
      <c r="C58" s="155" t="s">
        <v>6013</v>
      </c>
      <c r="D58" s="188" t="s">
        <v>16858</v>
      </c>
      <c r="E58" s="205">
        <v>925</v>
      </c>
      <c r="F58" s="171" t="s">
        <v>0</v>
      </c>
      <c r="G58" s="160" t="s">
        <v>16823</v>
      </c>
      <c r="H58" s="160"/>
      <c r="I58" s="161"/>
      <c r="J58" s="162"/>
      <c r="K58" s="163"/>
      <c r="L58" s="164"/>
      <c r="M58" s="169"/>
      <c r="N58" s="173"/>
      <c r="O58" s="225">
        <v>810</v>
      </c>
      <c r="P58" s="172"/>
    </row>
    <row r="59" spans="1:16" ht="16.5" customHeight="1" x14ac:dyDescent="0.3">
      <c r="A59" s="147">
        <v>15</v>
      </c>
      <c r="B59" s="147">
        <v>1242</v>
      </c>
      <c r="C59" s="155" t="s">
        <v>6012</v>
      </c>
      <c r="D59" s="167"/>
      <c r="E59" s="150"/>
      <c r="F59" s="168"/>
      <c r="G59" s="150" t="s">
        <v>16884</v>
      </c>
      <c r="H59" s="150" t="s">
        <v>1</v>
      </c>
      <c r="I59" s="151">
        <v>0.7</v>
      </c>
      <c r="J59" s="162" t="s">
        <v>5895</v>
      </c>
      <c r="K59" s="163" t="s">
        <v>1</v>
      </c>
      <c r="L59" s="164">
        <v>1</v>
      </c>
      <c r="M59" s="169"/>
      <c r="N59" s="173"/>
      <c r="O59" s="225">
        <v>810</v>
      </c>
      <c r="P59" s="172"/>
    </row>
    <row r="60" spans="1:16" ht="16.5" customHeight="1" x14ac:dyDescent="0.3">
      <c r="A60" s="147">
        <v>15</v>
      </c>
      <c r="B60" s="147">
        <v>1243</v>
      </c>
      <c r="C60" s="155" t="s">
        <v>6011</v>
      </c>
      <c r="D60" s="156" t="s">
        <v>16883</v>
      </c>
      <c r="E60" s="160"/>
      <c r="F60" s="158"/>
      <c r="G60" s="159"/>
      <c r="H60" s="160"/>
      <c r="I60" s="161"/>
      <c r="J60" s="162"/>
      <c r="K60" s="163"/>
      <c r="L60" s="164"/>
      <c r="M60" s="169"/>
      <c r="N60" s="173"/>
      <c r="O60" s="225">
        <v>1260</v>
      </c>
      <c r="P60" s="172"/>
    </row>
    <row r="61" spans="1:16" ht="16.5" customHeight="1" x14ac:dyDescent="0.3">
      <c r="A61" s="147">
        <v>15</v>
      </c>
      <c r="B61" s="147">
        <v>1244</v>
      </c>
      <c r="C61" s="155" t="s">
        <v>6010</v>
      </c>
      <c r="D61" s="188" t="s">
        <v>16882</v>
      </c>
      <c r="E61" s="153"/>
      <c r="F61" s="171"/>
      <c r="G61" s="175"/>
      <c r="H61" s="150"/>
      <c r="I61" s="151"/>
      <c r="J61" s="162" t="s">
        <v>5895</v>
      </c>
      <c r="K61" s="163" t="s">
        <v>1</v>
      </c>
      <c r="L61" s="164">
        <v>1</v>
      </c>
      <c r="M61" s="169"/>
      <c r="N61" s="173"/>
      <c r="O61" s="225">
        <v>1260</v>
      </c>
      <c r="P61" s="172"/>
    </row>
    <row r="62" spans="1:16" ht="16.5" customHeight="1" x14ac:dyDescent="0.3">
      <c r="A62" s="147">
        <v>15</v>
      </c>
      <c r="B62" s="147">
        <v>1245</v>
      </c>
      <c r="C62" s="155" t="s">
        <v>6009</v>
      </c>
      <c r="D62" s="188" t="s">
        <v>16881</v>
      </c>
      <c r="E62" s="205">
        <v>1008</v>
      </c>
      <c r="F62" s="171" t="s">
        <v>0</v>
      </c>
      <c r="G62" s="160" t="s">
        <v>16823</v>
      </c>
      <c r="H62" s="160"/>
      <c r="I62" s="161"/>
      <c r="J62" s="162"/>
      <c r="K62" s="163"/>
      <c r="L62" s="164"/>
      <c r="M62" s="169"/>
      <c r="N62" s="173"/>
      <c r="O62" s="225">
        <v>883</v>
      </c>
      <c r="P62" s="172"/>
    </row>
    <row r="63" spans="1:16" ht="16.5" customHeight="1" x14ac:dyDescent="0.3">
      <c r="A63" s="147">
        <v>15</v>
      </c>
      <c r="B63" s="147">
        <v>1246</v>
      </c>
      <c r="C63" s="155" t="s">
        <v>6008</v>
      </c>
      <c r="D63" s="167"/>
      <c r="E63" s="150"/>
      <c r="F63" s="168"/>
      <c r="G63" s="150" t="s">
        <v>16812</v>
      </c>
      <c r="H63" s="150" t="s">
        <v>1</v>
      </c>
      <c r="I63" s="151">
        <v>0.7</v>
      </c>
      <c r="J63" s="162" t="s">
        <v>5895</v>
      </c>
      <c r="K63" s="163" t="s">
        <v>1</v>
      </c>
      <c r="L63" s="164">
        <v>1</v>
      </c>
      <c r="M63" s="169"/>
      <c r="N63" s="173"/>
      <c r="O63" s="225">
        <v>883</v>
      </c>
      <c r="P63" s="172"/>
    </row>
    <row r="64" spans="1:16" ht="16.5" customHeight="1" x14ac:dyDescent="0.3">
      <c r="A64" s="147">
        <v>15</v>
      </c>
      <c r="B64" s="147">
        <v>1247</v>
      </c>
      <c r="C64" s="155" t="s">
        <v>6007</v>
      </c>
      <c r="D64" s="156" t="s">
        <v>16880</v>
      </c>
      <c r="E64" s="160"/>
      <c r="F64" s="158"/>
      <c r="G64" s="159"/>
      <c r="H64" s="160"/>
      <c r="I64" s="161"/>
      <c r="J64" s="162"/>
      <c r="K64" s="163"/>
      <c r="L64" s="164"/>
      <c r="M64" s="169"/>
      <c r="N64" s="173"/>
      <c r="O64" s="225">
        <v>1364</v>
      </c>
      <c r="P64" s="172"/>
    </row>
    <row r="65" spans="1:16" ht="16.5" customHeight="1" x14ac:dyDescent="0.3">
      <c r="A65" s="147">
        <v>15</v>
      </c>
      <c r="B65" s="147">
        <v>1248</v>
      </c>
      <c r="C65" s="155" t="s">
        <v>6006</v>
      </c>
      <c r="D65" s="188" t="s">
        <v>16853</v>
      </c>
      <c r="E65" s="153"/>
      <c r="F65" s="171"/>
      <c r="G65" s="175"/>
      <c r="H65" s="150"/>
      <c r="I65" s="151"/>
      <c r="J65" s="162" t="s">
        <v>5895</v>
      </c>
      <c r="K65" s="163" t="s">
        <v>1</v>
      </c>
      <c r="L65" s="164">
        <v>1</v>
      </c>
      <c r="M65" s="169"/>
      <c r="N65" s="173"/>
      <c r="O65" s="225">
        <v>1364</v>
      </c>
      <c r="P65" s="172"/>
    </row>
    <row r="66" spans="1:16" ht="16.5" customHeight="1" x14ac:dyDescent="0.3">
      <c r="A66" s="147">
        <v>15</v>
      </c>
      <c r="B66" s="147">
        <v>1249</v>
      </c>
      <c r="C66" s="155" t="s">
        <v>6005</v>
      </c>
      <c r="D66" s="188" t="s">
        <v>16879</v>
      </c>
      <c r="E66" s="205">
        <v>1091</v>
      </c>
      <c r="F66" s="171" t="s">
        <v>0</v>
      </c>
      <c r="G66" s="160" t="s">
        <v>16823</v>
      </c>
      <c r="H66" s="160"/>
      <c r="I66" s="161"/>
      <c r="J66" s="162"/>
      <c r="K66" s="163"/>
      <c r="L66" s="164"/>
      <c r="M66" s="169"/>
      <c r="N66" s="173"/>
      <c r="O66" s="225">
        <v>955</v>
      </c>
      <c r="P66" s="172"/>
    </row>
    <row r="67" spans="1:16" ht="16.5" customHeight="1" x14ac:dyDescent="0.3">
      <c r="A67" s="147">
        <v>15</v>
      </c>
      <c r="B67" s="147">
        <v>1250</v>
      </c>
      <c r="C67" s="155" t="s">
        <v>6004</v>
      </c>
      <c r="D67" s="167"/>
      <c r="E67" s="150"/>
      <c r="F67" s="168"/>
      <c r="G67" s="150" t="s">
        <v>16812</v>
      </c>
      <c r="H67" s="150" t="s">
        <v>1</v>
      </c>
      <c r="I67" s="151">
        <v>0.7</v>
      </c>
      <c r="J67" s="162" t="s">
        <v>5895</v>
      </c>
      <c r="K67" s="163" t="s">
        <v>1</v>
      </c>
      <c r="L67" s="164">
        <v>1</v>
      </c>
      <c r="M67" s="175"/>
      <c r="N67" s="185"/>
      <c r="O67" s="225">
        <v>955</v>
      </c>
      <c r="P67" s="177"/>
    </row>
    <row r="68" spans="1:16" ht="16.5" customHeight="1" x14ac:dyDescent="0.3"/>
    <row r="69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5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theme="1" tint="0.249977111117893"/>
    <pageSetUpPr fitToPage="1"/>
  </sheetPr>
  <dimension ref="A1:N5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7868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7455</v>
      </c>
      <c r="C7" s="155" t="s">
        <v>7867</v>
      </c>
      <c r="D7" s="156" t="s">
        <v>16877</v>
      </c>
      <c r="E7" s="157">
        <v>105</v>
      </c>
      <c r="F7" s="158" t="s">
        <v>0</v>
      </c>
      <c r="G7" s="159"/>
      <c r="H7" s="160"/>
      <c r="I7" s="161"/>
      <c r="J7" s="162"/>
      <c r="K7" s="163"/>
      <c r="L7" s="164"/>
      <c r="M7" s="178">
        <v>95</v>
      </c>
      <c r="N7" s="142" t="s">
        <v>5863</v>
      </c>
    </row>
    <row r="8" spans="1:14" ht="16.5" customHeight="1" x14ac:dyDescent="0.3">
      <c r="A8" s="147">
        <v>15</v>
      </c>
      <c r="B8" s="147">
        <v>7456</v>
      </c>
      <c r="C8" s="155" t="s">
        <v>7866</v>
      </c>
      <c r="D8" s="167" t="s">
        <v>16901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8">
        <v>95</v>
      </c>
      <c r="N8" s="172"/>
    </row>
    <row r="9" spans="1:14" ht="16.5" customHeight="1" x14ac:dyDescent="0.3">
      <c r="A9" s="147">
        <v>15</v>
      </c>
      <c r="B9" s="147">
        <v>7457</v>
      </c>
      <c r="C9" s="155" t="s">
        <v>7865</v>
      </c>
      <c r="D9" s="156" t="s">
        <v>16875</v>
      </c>
      <c r="E9" s="157">
        <v>200</v>
      </c>
      <c r="F9" s="158" t="s">
        <v>0</v>
      </c>
      <c r="G9" s="169"/>
      <c r="H9" s="153"/>
      <c r="I9" s="152"/>
      <c r="J9" s="162"/>
      <c r="K9" s="163"/>
      <c r="L9" s="164"/>
      <c r="M9" s="178">
        <v>180</v>
      </c>
      <c r="N9" s="172"/>
    </row>
    <row r="10" spans="1:14" ht="16.5" customHeight="1" x14ac:dyDescent="0.3">
      <c r="A10" s="147">
        <v>15</v>
      </c>
      <c r="B10" s="147">
        <v>7458</v>
      </c>
      <c r="C10" s="155" t="s">
        <v>7864</v>
      </c>
      <c r="D10" s="167" t="s">
        <v>17362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8">
        <v>180</v>
      </c>
      <c r="N10" s="172"/>
    </row>
    <row r="11" spans="1:14" ht="16.5" customHeight="1" x14ac:dyDescent="0.3">
      <c r="A11" s="147">
        <v>15</v>
      </c>
      <c r="B11" s="147">
        <v>7459</v>
      </c>
      <c r="C11" s="155" t="s">
        <v>7863</v>
      </c>
      <c r="D11" s="156" t="s">
        <v>17804</v>
      </c>
      <c r="E11" s="157">
        <v>279</v>
      </c>
      <c r="F11" s="158" t="s">
        <v>0</v>
      </c>
      <c r="G11" s="169"/>
      <c r="H11" s="153"/>
      <c r="I11" s="152"/>
      <c r="J11" s="162"/>
      <c r="K11" s="163"/>
      <c r="L11" s="164"/>
      <c r="M11" s="178">
        <v>251</v>
      </c>
      <c r="N11" s="172"/>
    </row>
    <row r="12" spans="1:14" ht="16.5" customHeight="1" x14ac:dyDescent="0.3">
      <c r="A12" s="147">
        <v>15</v>
      </c>
      <c r="B12" s="147">
        <v>7460</v>
      </c>
      <c r="C12" s="155" t="s">
        <v>7862</v>
      </c>
      <c r="D12" s="167" t="s">
        <v>17572</v>
      </c>
      <c r="E12" s="150"/>
      <c r="F12" s="168"/>
      <c r="G12" s="169" t="s">
        <v>17372</v>
      </c>
      <c r="H12" s="153"/>
      <c r="I12" s="152"/>
      <c r="J12" s="162" t="s">
        <v>5895</v>
      </c>
      <c r="K12" s="163" t="s">
        <v>1</v>
      </c>
      <c r="L12" s="164">
        <v>1</v>
      </c>
      <c r="M12" s="178">
        <v>251</v>
      </c>
      <c r="N12" s="172"/>
    </row>
    <row r="13" spans="1:14" ht="16.5" customHeight="1" x14ac:dyDescent="0.3">
      <c r="A13" s="147">
        <v>15</v>
      </c>
      <c r="B13" s="147">
        <v>7461</v>
      </c>
      <c r="C13" s="155" t="s">
        <v>7861</v>
      </c>
      <c r="D13" s="156" t="s">
        <v>16869</v>
      </c>
      <c r="E13" s="157">
        <v>349</v>
      </c>
      <c r="F13" s="158" t="s">
        <v>0</v>
      </c>
      <c r="G13" s="169" t="s">
        <v>16812</v>
      </c>
      <c r="H13" s="153" t="s">
        <v>1</v>
      </c>
      <c r="I13" s="152">
        <v>0.9</v>
      </c>
      <c r="J13" s="162"/>
      <c r="K13" s="163"/>
      <c r="L13" s="164"/>
      <c r="M13" s="178">
        <v>314</v>
      </c>
      <c r="N13" s="172"/>
    </row>
    <row r="14" spans="1:14" ht="16.5" customHeight="1" x14ac:dyDescent="0.3">
      <c r="A14" s="147">
        <v>15</v>
      </c>
      <c r="B14" s="147">
        <v>7462</v>
      </c>
      <c r="C14" s="155" t="s">
        <v>7860</v>
      </c>
      <c r="D14" s="167" t="s">
        <v>17364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8">
        <v>314</v>
      </c>
      <c r="N14" s="172"/>
    </row>
    <row r="15" spans="1:14" ht="16.5" customHeight="1" x14ac:dyDescent="0.3">
      <c r="A15" s="147">
        <v>15</v>
      </c>
      <c r="B15" s="147">
        <v>7463</v>
      </c>
      <c r="C15" s="155" t="s">
        <v>7859</v>
      </c>
      <c r="D15" s="156" t="s">
        <v>16866</v>
      </c>
      <c r="E15" s="157">
        <v>419</v>
      </c>
      <c r="F15" s="158" t="s">
        <v>0</v>
      </c>
      <c r="G15" s="169"/>
      <c r="H15" s="153"/>
      <c r="I15" s="152"/>
      <c r="J15" s="162"/>
      <c r="K15" s="163"/>
      <c r="L15" s="164"/>
      <c r="M15" s="178">
        <v>377</v>
      </c>
      <c r="N15" s="172"/>
    </row>
    <row r="16" spans="1:14" ht="16.5" customHeight="1" x14ac:dyDescent="0.3">
      <c r="A16" s="147">
        <v>15</v>
      </c>
      <c r="B16" s="147">
        <v>7464</v>
      </c>
      <c r="C16" s="155" t="s">
        <v>7858</v>
      </c>
      <c r="D16" s="167" t="s">
        <v>17367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8">
        <v>377</v>
      </c>
      <c r="N16" s="172"/>
    </row>
    <row r="17" spans="1:14" ht="16.5" customHeight="1" x14ac:dyDescent="0.3">
      <c r="A17" s="147">
        <v>15</v>
      </c>
      <c r="B17" s="147">
        <v>7465</v>
      </c>
      <c r="C17" s="155" t="s">
        <v>7857</v>
      </c>
      <c r="D17" s="156" t="s">
        <v>16863</v>
      </c>
      <c r="E17" s="157">
        <v>489</v>
      </c>
      <c r="F17" s="158" t="s">
        <v>0</v>
      </c>
      <c r="G17" s="169"/>
      <c r="H17" s="153"/>
      <c r="I17" s="152"/>
      <c r="J17" s="162"/>
      <c r="K17" s="163"/>
      <c r="L17" s="164"/>
      <c r="M17" s="178">
        <v>440</v>
      </c>
      <c r="N17" s="172"/>
    </row>
    <row r="18" spans="1:14" ht="16.5" customHeight="1" x14ac:dyDescent="0.3">
      <c r="A18" s="147">
        <v>15</v>
      </c>
      <c r="B18" s="147">
        <v>7466</v>
      </c>
      <c r="C18" s="155" t="s">
        <v>7856</v>
      </c>
      <c r="D18" s="167" t="s">
        <v>17803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8">
        <v>440</v>
      </c>
      <c r="N18" s="172"/>
    </row>
    <row r="19" spans="1:14" ht="16.5" customHeight="1" x14ac:dyDescent="0.3">
      <c r="A19" s="147">
        <v>15</v>
      </c>
      <c r="B19" s="147">
        <v>7467</v>
      </c>
      <c r="C19" s="155" t="s">
        <v>7855</v>
      </c>
      <c r="D19" s="156" t="s">
        <v>16860</v>
      </c>
      <c r="E19" s="157">
        <v>559</v>
      </c>
      <c r="F19" s="158" t="s">
        <v>0</v>
      </c>
      <c r="G19" s="169"/>
      <c r="H19" s="153"/>
      <c r="I19" s="152"/>
      <c r="J19" s="162"/>
      <c r="K19" s="163"/>
      <c r="L19" s="164"/>
      <c r="M19" s="178">
        <v>503</v>
      </c>
      <c r="N19" s="172"/>
    </row>
    <row r="20" spans="1:14" ht="16.5" customHeight="1" x14ac:dyDescent="0.3">
      <c r="A20" s="147">
        <v>15</v>
      </c>
      <c r="B20" s="147">
        <v>7468</v>
      </c>
      <c r="C20" s="155" t="s">
        <v>7854</v>
      </c>
      <c r="D20" s="167" t="s">
        <v>17802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8">
        <v>503</v>
      </c>
      <c r="N20" s="172"/>
    </row>
    <row r="21" spans="1:14" ht="16.5" customHeight="1" x14ac:dyDescent="0.3">
      <c r="A21" s="147">
        <v>15</v>
      </c>
      <c r="B21" s="147">
        <v>7469</v>
      </c>
      <c r="C21" s="155" t="s">
        <v>7853</v>
      </c>
      <c r="D21" s="156" t="s">
        <v>17801</v>
      </c>
      <c r="E21" s="157">
        <v>629</v>
      </c>
      <c r="F21" s="158" t="s">
        <v>0</v>
      </c>
      <c r="G21" s="169"/>
      <c r="H21" s="153"/>
      <c r="I21" s="152"/>
      <c r="J21" s="162"/>
      <c r="K21" s="163"/>
      <c r="L21" s="164"/>
      <c r="M21" s="178">
        <v>566</v>
      </c>
      <c r="N21" s="172"/>
    </row>
    <row r="22" spans="1:14" ht="16.5" customHeight="1" x14ac:dyDescent="0.3">
      <c r="A22" s="147">
        <v>15</v>
      </c>
      <c r="B22" s="147">
        <v>7470</v>
      </c>
      <c r="C22" s="155" t="s">
        <v>7852</v>
      </c>
      <c r="D22" s="167" t="s">
        <v>17800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8">
        <v>566</v>
      </c>
      <c r="N22" s="172"/>
    </row>
    <row r="23" spans="1:14" ht="16.5" customHeight="1" x14ac:dyDescent="0.3">
      <c r="A23" s="147">
        <v>15</v>
      </c>
      <c r="B23" s="147">
        <v>7471</v>
      </c>
      <c r="C23" s="155" t="s">
        <v>7851</v>
      </c>
      <c r="D23" s="156" t="s">
        <v>16854</v>
      </c>
      <c r="E23" s="157">
        <v>699</v>
      </c>
      <c r="F23" s="158" t="s">
        <v>0</v>
      </c>
      <c r="G23" s="169"/>
      <c r="H23" s="153"/>
      <c r="I23" s="152"/>
      <c r="J23" s="162"/>
      <c r="K23" s="163"/>
      <c r="L23" s="164"/>
      <c r="M23" s="178">
        <v>629</v>
      </c>
      <c r="N23" s="172"/>
    </row>
    <row r="24" spans="1:14" ht="16.5" customHeight="1" x14ac:dyDescent="0.3">
      <c r="A24" s="147">
        <v>15</v>
      </c>
      <c r="B24" s="147">
        <v>7472</v>
      </c>
      <c r="C24" s="155" t="s">
        <v>7850</v>
      </c>
      <c r="D24" s="167" t="s">
        <v>17799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8">
        <v>629</v>
      </c>
      <c r="N24" s="172"/>
    </row>
    <row r="25" spans="1:14" ht="16.5" customHeight="1" x14ac:dyDescent="0.3">
      <c r="A25" s="147">
        <v>15</v>
      </c>
      <c r="B25" s="147">
        <v>7473</v>
      </c>
      <c r="C25" s="155" t="s">
        <v>7849</v>
      </c>
      <c r="D25" s="156" t="s">
        <v>16851</v>
      </c>
      <c r="E25" s="157">
        <v>769</v>
      </c>
      <c r="F25" s="158" t="s">
        <v>0</v>
      </c>
      <c r="G25" s="169"/>
      <c r="H25" s="153"/>
      <c r="I25" s="152"/>
      <c r="J25" s="162"/>
      <c r="K25" s="163"/>
      <c r="L25" s="164"/>
      <c r="M25" s="178">
        <v>692</v>
      </c>
      <c r="N25" s="172"/>
    </row>
    <row r="26" spans="1:14" ht="16.5" customHeight="1" x14ac:dyDescent="0.3">
      <c r="A26" s="147">
        <v>15</v>
      </c>
      <c r="B26" s="147">
        <v>7474</v>
      </c>
      <c r="C26" s="155" t="s">
        <v>7848</v>
      </c>
      <c r="D26" s="167" t="s">
        <v>17798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8">
        <v>692</v>
      </c>
      <c r="N26" s="172"/>
    </row>
    <row r="27" spans="1:14" ht="16.5" customHeight="1" x14ac:dyDescent="0.3">
      <c r="A27" s="147">
        <v>15</v>
      </c>
      <c r="B27" s="147">
        <v>7475</v>
      </c>
      <c r="C27" s="155" t="s">
        <v>7847</v>
      </c>
      <c r="D27" s="156" t="s">
        <v>17797</v>
      </c>
      <c r="E27" s="157">
        <v>839</v>
      </c>
      <c r="F27" s="158" t="s">
        <v>0</v>
      </c>
      <c r="G27" s="169"/>
      <c r="H27" s="153"/>
      <c r="I27" s="152"/>
      <c r="J27" s="162"/>
      <c r="K27" s="163"/>
      <c r="L27" s="164"/>
      <c r="M27" s="178">
        <v>755</v>
      </c>
      <c r="N27" s="172"/>
    </row>
    <row r="28" spans="1:14" ht="16.5" customHeight="1" x14ac:dyDescent="0.3">
      <c r="A28" s="147">
        <v>15</v>
      </c>
      <c r="B28" s="147">
        <v>7476</v>
      </c>
      <c r="C28" s="155" t="s">
        <v>7846</v>
      </c>
      <c r="D28" s="167" t="s">
        <v>17796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8">
        <v>755</v>
      </c>
      <c r="N28" s="172"/>
    </row>
    <row r="29" spans="1:14" ht="16.5" customHeight="1" x14ac:dyDescent="0.3">
      <c r="A29" s="147">
        <v>15</v>
      </c>
      <c r="B29" s="147">
        <v>7477</v>
      </c>
      <c r="C29" s="155" t="s">
        <v>7845</v>
      </c>
      <c r="D29" s="156" t="s">
        <v>17795</v>
      </c>
      <c r="E29" s="157">
        <v>909</v>
      </c>
      <c r="F29" s="158" t="s">
        <v>0</v>
      </c>
      <c r="G29" s="169"/>
      <c r="H29" s="153"/>
      <c r="I29" s="152"/>
      <c r="J29" s="162"/>
      <c r="K29" s="163"/>
      <c r="L29" s="164"/>
      <c r="M29" s="178">
        <v>818</v>
      </c>
      <c r="N29" s="172"/>
    </row>
    <row r="30" spans="1:14" ht="16.5" customHeight="1" x14ac:dyDescent="0.3">
      <c r="A30" s="147">
        <v>15</v>
      </c>
      <c r="B30" s="147">
        <v>7478</v>
      </c>
      <c r="C30" s="155" t="s">
        <v>7844</v>
      </c>
      <c r="D30" s="167" t="s">
        <v>17794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8">
        <v>818</v>
      </c>
      <c r="N30" s="172"/>
    </row>
    <row r="31" spans="1:14" ht="16.5" customHeight="1" x14ac:dyDescent="0.3">
      <c r="A31" s="147">
        <v>15</v>
      </c>
      <c r="B31" s="147">
        <v>7479</v>
      </c>
      <c r="C31" s="155" t="s">
        <v>7843</v>
      </c>
      <c r="D31" s="156" t="s">
        <v>17793</v>
      </c>
      <c r="E31" s="157">
        <v>979</v>
      </c>
      <c r="F31" s="158" t="s">
        <v>0</v>
      </c>
      <c r="G31" s="169"/>
      <c r="H31" s="153"/>
      <c r="I31" s="152"/>
      <c r="J31" s="162"/>
      <c r="K31" s="163"/>
      <c r="L31" s="164"/>
      <c r="M31" s="178">
        <v>881</v>
      </c>
      <c r="N31" s="172"/>
    </row>
    <row r="32" spans="1:14" ht="16.5" customHeight="1" x14ac:dyDescent="0.3">
      <c r="A32" s="147">
        <v>15</v>
      </c>
      <c r="B32" s="147">
        <v>7480</v>
      </c>
      <c r="C32" s="155" t="s">
        <v>7842</v>
      </c>
      <c r="D32" s="167" t="s">
        <v>17792</v>
      </c>
      <c r="E32" s="150"/>
      <c r="F32" s="168"/>
      <c r="G32" s="169"/>
      <c r="H32" s="153"/>
      <c r="I32" s="152"/>
      <c r="J32" s="162" t="s">
        <v>5895</v>
      </c>
      <c r="K32" s="163" t="s">
        <v>1</v>
      </c>
      <c r="L32" s="164">
        <v>1</v>
      </c>
      <c r="M32" s="178">
        <v>881</v>
      </c>
      <c r="N32" s="172"/>
    </row>
    <row r="33" spans="1:14" ht="16.5" customHeight="1" x14ac:dyDescent="0.3">
      <c r="A33" s="147">
        <v>15</v>
      </c>
      <c r="B33" s="147">
        <v>7481</v>
      </c>
      <c r="C33" s="155" t="s">
        <v>7841</v>
      </c>
      <c r="D33" s="156" t="s">
        <v>16838</v>
      </c>
      <c r="E33" s="157">
        <v>1049</v>
      </c>
      <c r="F33" s="158" t="s">
        <v>0</v>
      </c>
      <c r="G33" s="169"/>
      <c r="H33" s="153"/>
      <c r="I33" s="152"/>
      <c r="J33" s="162"/>
      <c r="K33" s="163"/>
      <c r="L33" s="164"/>
      <c r="M33" s="178">
        <v>944</v>
      </c>
      <c r="N33" s="172"/>
    </row>
    <row r="34" spans="1:14" ht="16.5" customHeight="1" x14ac:dyDescent="0.3">
      <c r="A34" s="147">
        <v>15</v>
      </c>
      <c r="B34" s="147">
        <v>7482</v>
      </c>
      <c r="C34" s="155" t="s">
        <v>7840</v>
      </c>
      <c r="D34" s="167" t="s">
        <v>17791</v>
      </c>
      <c r="E34" s="150"/>
      <c r="F34" s="168"/>
      <c r="G34" s="169"/>
      <c r="H34" s="153"/>
      <c r="I34" s="152"/>
      <c r="J34" s="162" t="s">
        <v>5895</v>
      </c>
      <c r="K34" s="163" t="s">
        <v>1</v>
      </c>
      <c r="L34" s="164">
        <v>1</v>
      </c>
      <c r="M34" s="178">
        <v>944</v>
      </c>
      <c r="N34" s="172"/>
    </row>
    <row r="35" spans="1:14" ht="16.5" customHeight="1" x14ac:dyDescent="0.3">
      <c r="A35" s="147">
        <v>15</v>
      </c>
      <c r="B35" s="147">
        <v>7483</v>
      </c>
      <c r="C35" s="155" t="s">
        <v>7839</v>
      </c>
      <c r="D35" s="156" t="s">
        <v>17790</v>
      </c>
      <c r="E35" s="157">
        <v>1119</v>
      </c>
      <c r="F35" s="158" t="s">
        <v>0</v>
      </c>
      <c r="G35" s="169"/>
      <c r="H35" s="153"/>
      <c r="I35" s="152"/>
      <c r="J35" s="162"/>
      <c r="K35" s="163"/>
      <c r="L35" s="164"/>
      <c r="M35" s="178">
        <v>1007</v>
      </c>
      <c r="N35" s="172"/>
    </row>
    <row r="36" spans="1:14" ht="16.5" customHeight="1" x14ac:dyDescent="0.3">
      <c r="A36" s="147">
        <v>15</v>
      </c>
      <c r="B36" s="147">
        <v>7484</v>
      </c>
      <c r="C36" s="155" t="s">
        <v>7838</v>
      </c>
      <c r="D36" s="167" t="s">
        <v>17789</v>
      </c>
      <c r="E36" s="150"/>
      <c r="F36" s="168"/>
      <c r="G36" s="169"/>
      <c r="H36" s="153"/>
      <c r="I36" s="152"/>
      <c r="J36" s="162" t="s">
        <v>5895</v>
      </c>
      <c r="K36" s="163" t="s">
        <v>1</v>
      </c>
      <c r="L36" s="164">
        <v>1</v>
      </c>
      <c r="M36" s="178">
        <v>1007</v>
      </c>
      <c r="N36" s="172"/>
    </row>
    <row r="37" spans="1:14" ht="16.5" customHeight="1" x14ac:dyDescent="0.3">
      <c r="A37" s="147">
        <v>15</v>
      </c>
      <c r="B37" s="147">
        <v>7485</v>
      </c>
      <c r="C37" s="155" t="s">
        <v>7837</v>
      </c>
      <c r="D37" s="156" t="s">
        <v>16832</v>
      </c>
      <c r="E37" s="157">
        <v>1189</v>
      </c>
      <c r="F37" s="158" t="s">
        <v>0</v>
      </c>
      <c r="G37" s="169"/>
      <c r="H37" s="153"/>
      <c r="I37" s="152"/>
      <c r="J37" s="162"/>
      <c r="K37" s="163"/>
      <c r="L37" s="164"/>
      <c r="M37" s="178">
        <v>1070</v>
      </c>
      <c r="N37" s="172"/>
    </row>
    <row r="38" spans="1:14" ht="16.5" customHeight="1" x14ac:dyDescent="0.3">
      <c r="A38" s="147">
        <v>15</v>
      </c>
      <c r="B38" s="147">
        <v>7486</v>
      </c>
      <c r="C38" s="155" t="s">
        <v>7836</v>
      </c>
      <c r="D38" s="167" t="s">
        <v>17788</v>
      </c>
      <c r="E38" s="150"/>
      <c r="F38" s="168"/>
      <c r="G38" s="169"/>
      <c r="H38" s="153"/>
      <c r="I38" s="152"/>
      <c r="J38" s="162" t="s">
        <v>5895</v>
      </c>
      <c r="K38" s="163" t="s">
        <v>1</v>
      </c>
      <c r="L38" s="164">
        <v>1</v>
      </c>
      <c r="M38" s="178">
        <v>1070</v>
      </c>
      <c r="N38" s="172"/>
    </row>
    <row r="39" spans="1:14" ht="16.5" customHeight="1" x14ac:dyDescent="0.3">
      <c r="A39" s="147">
        <v>15</v>
      </c>
      <c r="B39" s="147">
        <v>7487</v>
      </c>
      <c r="C39" s="155" t="s">
        <v>7835</v>
      </c>
      <c r="D39" s="156" t="s">
        <v>16829</v>
      </c>
      <c r="E39" s="157">
        <v>1259</v>
      </c>
      <c r="F39" s="158" t="s">
        <v>0</v>
      </c>
      <c r="G39" s="169"/>
      <c r="H39" s="153"/>
      <c r="I39" s="152"/>
      <c r="J39" s="162"/>
      <c r="K39" s="163"/>
      <c r="L39" s="164"/>
      <c r="M39" s="178">
        <v>1133</v>
      </c>
      <c r="N39" s="172"/>
    </row>
    <row r="40" spans="1:14" ht="16.5" customHeight="1" x14ac:dyDescent="0.3">
      <c r="A40" s="147">
        <v>15</v>
      </c>
      <c r="B40" s="147">
        <v>7488</v>
      </c>
      <c r="C40" s="155" t="s">
        <v>7834</v>
      </c>
      <c r="D40" s="167" t="s">
        <v>17787</v>
      </c>
      <c r="E40" s="150"/>
      <c r="F40" s="168"/>
      <c r="G40" s="169"/>
      <c r="H40" s="153"/>
      <c r="I40" s="152"/>
      <c r="J40" s="162" t="s">
        <v>5895</v>
      </c>
      <c r="K40" s="163" t="s">
        <v>1</v>
      </c>
      <c r="L40" s="164">
        <v>1</v>
      </c>
      <c r="M40" s="178">
        <v>1133</v>
      </c>
      <c r="N40" s="172"/>
    </row>
    <row r="41" spans="1:14" ht="16.5" customHeight="1" x14ac:dyDescent="0.3">
      <c r="A41" s="147">
        <v>15</v>
      </c>
      <c r="B41" s="147">
        <v>7489</v>
      </c>
      <c r="C41" s="155" t="s">
        <v>7833</v>
      </c>
      <c r="D41" s="156" t="s">
        <v>16826</v>
      </c>
      <c r="E41" s="157">
        <v>1329</v>
      </c>
      <c r="F41" s="158" t="s">
        <v>0</v>
      </c>
      <c r="G41" s="169"/>
      <c r="H41" s="153"/>
      <c r="I41" s="152"/>
      <c r="J41" s="162"/>
      <c r="K41" s="163"/>
      <c r="L41" s="164"/>
      <c r="M41" s="178">
        <v>1196</v>
      </c>
      <c r="N41" s="172"/>
    </row>
    <row r="42" spans="1:14" ht="16.5" customHeight="1" x14ac:dyDescent="0.3">
      <c r="A42" s="147">
        <v>15</v>
      </c>
      <c r="B42" s="147">
        <v>7490</v>
      </c>
      <c r="C42" s="155" t="s">
        <v>7832</v>
      </c>
      <c r="D42" s="167" t="s">
        <v>17786</v>
      </c>
      <c r="E42" s="150"/>
      <c r="F42" s="168"/>
      <c r="G42" s="169"/>
      <c r="H42" s="153"/>
      <c r="I42" s="152"/>
      <c r="J42" s="162" t="s">
        <v>5895</v>
      </c>
      <c r="K42" s="163" t="s">
        <v>1</v>
      </c>
      <c r="L42" s="164">
        <v>1</v>
      </c>
      <c r="M42" s="178">
        <v>1196</v>
      </c>
      <c r="N42" s="172"/>
    </row>
    <row r="43" spans="1:14" ht="16.5" customHeight="1" x14ac:dyDescent="0.3">
      <c r="A43" s="147">
        <v>15</v>
      </c>
      <c r="B43" s="147">
        <v>7491</v>
      </c>
      <c r="C43" s="155" t="s">
        <v>7831</v>
      </c>
      <c r="D43" s="156" t="s">
        <v>17785</v>
      </c>
      <c r="E43" s="157">
        <v>1399</v>
      </c>
      <c r="F43" s="158" t="s">
        <v>0</v>
      </c>
      <c r="G43" s="169"/>
      <c r="H43" s="153"/>
      <c r="I43" s="152"/>
      <c r="J43" s="162"/>
      <c r="K43" s="163"/>
      <c r="L43" s="164"/>
      <c r="M43" s="178">
        <v>1259</v>
      </c>
      <c r="N43" s="172"/>
    </row>
    <row r="44" spans="1:14" ht="16.5" customHeight="1" x14ac:dyDescent="0.3">
      <c r="A44" s="147">
        <v>15</v>
      </c>
      <c r="B44" s="147">
        <v>7492</v>
      </c>
      <c r="C44" s="155" t="s">
        <v>7830</v>
      </c>
      <c r="D44" s="167" t="s">
        <v>17784</v>
      </c>
      <c r="E44" s="150"/>
      <c r="F44" s="168"/>
      <c r="G44" s="169"/>
      <c r="H44" s="153"/>
      <c r="I44" s="152"/>
      <c r="J44" s="162" t="s">
        <v>5895</v>
      </c>
      <c r="K44" s="163" t="s">
        <v>1</v>
      </c>
      <c r="L44" s="164">
        <v>1</v>
      </c>
      <c r="M44" s="178">
        <v>1259</v>
      </c>
      <c r="N44" s="172"/>
    </row>
    <row r="45" spans="1:14" ht="16.5" customHeight="1" x14ac:dyDescent="0.3">
      <c r="A45" s="147">
        <v>15</v>
      </c>
      <c r="B45" s="147">
        <v>7493</v>
      </c>
      <c r="C45" s="155" t="s">
        <v>7829</v>
      </c>
      <c r="D45" s="156" t="s">
        <v>17783</v>
      </c>
      <c r="E45" s="157">
        <v>1469</v>
      </c>
      <c r="F45" s="158" t="s">
        <v>0</v>
      </c>
      <c r="G45" s="169"/>
      <c r="H45" s="153"/>
      <c r="I45" s="152"/>
      <c r="J45" s="162"/>
      <c r="K45" s="163"/>
      <c r="L45" s="164"/>
      <c r="M45" s="178">
        <v>1322</v>
      </c>
      <c r="N45" s="172"/>
    </row>
    <row r="46" spans="1:14" ht="16.5" customHeight="1" x14ac:dyDescent="0.3">
      <c r="A46" s="147">
        <v>15</v>
      </c>
      <c r="B46" s="147">
        <v>7494</v>
      </c>
      <c r="C46" s="155" t="s">
        <v>7828</v>
      </c>
      <c r="D46" s="167" t="s">
        <v>17782</v>
      </c>
      <c r="E46" s="150"/>
      <c r="F46" s="168"/>
      <c r="G46" s="169"/>
      <c r="H46" s="153"/>
      <c r="I46" s="152"/>
      <c r="J46" s="162" t="s">
        <v>5895</v>
      </c>
      <c r="K46" s="163" t="s">
        <v>1</v>
      </c>
      <c r="L46" s="164">
        <v>1</v>
      </c>
      <c r="M46" s="178">
        <v>1322</v>
      </c>
      <c r="N46" s="172"/>
    </row>
    <row r="47" spans="1:14" ht="16.5" customHeight="1" x14ac:dyDescent="0.3">
      <c r="A47" s="147">
        <v>15</v>
      </c>
      <c r="B47" s="147">
        <v>7495</v>
      </c>
      <c r="C47" s="155" t="s">
        <v>7827</v>
      </c>
      <c r="D47" s="156" t="s">
        <v>17781</v>
      </c>
      <c r="E47" s="157">
        <v>1539</v>
      </c>
      <c r="F47" s="158" t="s">
        <v>0</v>
      </c>
      <c r="G47" s="169"/>
      <c r="H47" s="153"/>
      <c r="I47" s="152"/>
      <c r="J47" s="162"/>
      <c r="K47" s="163"/>
      <c r="L47" s="164"/>
      <c r="M47" s="178">
        <v>1385</v>
      </c>
      <c r="N47" s="172"/>
    </row>
    <row r="48" spans="1:14" ht="16.5" customHeight="1" x14ac:dyDescent="0.3">
      <c r="A48" s="147">
        <v>15</v>
      </c>
      <c r="B48" s="147">
        <v>7496</v>
      </c>
      <c r="C48" s="155" t="s">
        <v>7826</v>
      </c>
      <c r="D48" s="167" t="s">
        <v>17780</v>
      </c>
      <c r="E48" s="150"/>
      <c r="F48" s="168"/>
      <c r="G48" s="175"/>
      <c r="H48" s="150"/>
      <c r="I48" s="151"/>
      <c r="J48" s="162" t="s">
        <v>5895</v>
      </c>
      <c r="K48" s="163" t="s">
        <v>1</v>
      </c>
      <c r="L48" s="164">
        <v>1</v>
      </c>
      <c r="M48" s="178">
        <v>1385</v>
      </c>
      <c r="N48" s="177"/>
    </row>
    <row r="49" spans="3:14" s="44" customFormat="1" ht="16.5" customHeight="1" x14ac:dyDescent="0.3">
      <c r="C49" s="45"/>
      <c r="D49" s="45"/>
      <c r="E49" s="46"/>
      <c r="F49" s="46"/>
      <c r="G49" s="46"/>
      <c r="H49" s="46"/>
      <c r="I49" s="47"/>
      <c r="J49" s="46"/>
      <c r="K49" s="46"/>
      <c r="L49" s="47"/>
      <c r="M49" s="84"/>
      <c r="N49" s="48"/>
    </row>
    <row r="50" spans="3:14" s="44" customFormat="1" ht="16.5" customHeight="1" x14ac:dyDescent="0.3">
      <c r="C50" s="45"/>
      <c r="D50" s="45"/>
      <c r="E50" s="46"/>
      <c r="F50" s="46"/>
      <c r="G50" s="46"/>
      <c r="H50" s="46"/>
      <c r="I50" s="47"/>
      <c r="J50" s="46"/>
      <c r="K50" s="46"/>
      <c r="L50" s="47"/>
      <c r="M50" s="84"/>
      <c r="N50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theme="1" tint="0.249977111117893"/>
    <pageSetUpPr fitToPage="1"/>
  </sheetPr>
  <dimension ref="A1:P41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7899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7497</v>
      </c>
      <c r="C7" s="155" t="s">
        <v>7898</v>
      </c>
      <c r="D7" s="156" t="s">
        <v>17825</v>
      </c>
      <c r="E7" s="157">
        <v>105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78">
        <v>119</v>
      </c>
      <c r="P7" s="142" t="s">
        <v>5863</v>
      </c>
    </row>
    <row r="8" spans="1:16" ht="16.5" customHeight="1" x14ac:dyDescent="0.3">
      <c r="A8" s="147">
        <v>15</v>
      </c>
      <c r="B8" s="147">
        <v>7498</v>
      </c>
      <c r="C8" s="155" t="s">
        <v>7897</v>
      </c>
      <c r="D8" s="167" t="s">
        <v>17824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78">
        <v>119</v>
      </c>
      <c r="P8" s="172"/>
    </row>
    <row r="9" spans="1:16" ht="16.5" customHeight="1" x14ac:dyDescent="0.3">
      <c r="A9" s="147">
        <v>15</v>
      </c>
      <c r="B9" s="147">
        <v>7499</v>
      </c>
      <c r="C9" s="155" t="s">
        <v>7896</v>
      </c>
      <c r="D9" s="156" t="s">
        <v>17823</v>
      </c>
      <c r="E9" s="157">
        <v>200</v>
      </c>
      <c r="F9" s="158" t="s">
        <v>0</v>
      </c>
      <c r="G9" s="169"/>
      <c r="H9" s="153"/>
      <c r="I9" s="152"/>
      <c r="J9" s="162"/>
      <c r="K9" s="163"/>
      <c r="L9" s="164"/>
      <c r="M9" s="170" t="s">
        <v>7895</v>
      </c>
      <c r="N9" s="171"/>
      <c r="O9" s="178">
        <v>225</v>
      </c>
      <c r="P9" s="172"/>
    </row>
    <row r="10" spans="1:16" ht="16.5" customHeight="1" x14ac:dyDescent="0.3">
      <c r="A10" s="147">
        <v>15</v>
      </c>
      <c r="B10" s="147">
        <v>7500</v>
      </c>
      <c r="C10" s="155" t="s">
        <v>7894</v>
      </c>
      <c r="D10" s="167" t="s">
        <v>17817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4" t="s">
        <v>17691</v>
      </c>
      <c r="O10" s="178">
        <v>225</v>
      </c>
      <c r="P10" s="172"/>
    </row>
    <row r="11" spans="1:16" ht="16.5" customHeight="1" x14ac:dyDescent="0.3">
      <c r="A11" s="147">
        <v>15</v>
      </c>
      <c r="B11" s="147">
        <v>7501</v>
      </c>
      <c r="C11" s="155" t="s">
        <v>7893</v>
      </c>
      <c r="D11" s="156" t="s">
        <v>17822</v>
      </c>
      <c r="E11" s="157">
        <v>279</v>
      </c>
      <c r="F11" s="158" t="s">
        <v>0</v>
      </c>
      <c r="G11" s="169" t="s">
        <v>17815</v>
      </c>
      <c r="H11" s="153"/>
      <c r="I11" s="152"/>
      <c r="J11" s="162"/>
      <c r="K11" s="163"/>
      <c r="L11" s="164"/>
      <c r="M11" s="170"/>
      <c r="N11" s="171"/>
      <c r="O11" s="178">
        <v>314</v>
      </c>
      <c r="P11" s="172"/>
    </row>
    <row r="12" spans="1:16" ht="16.5" customHeight="1" x14ac:dyDescent="0.3">
      <c r="A12" s="147">
        <v>15</v>
      </c>
      <c r="B12" s="147">
        <v>7502</v>
      </c>
      <c r="C12" s="155" t="s">
        <v>7892</v>
      </c>
      <c r="D12" s="167" t="s">
        <v>17816</v>
      </c>
      <c r="E12" s="150"/>
      <c r="F12" s="168"/>
      <c r="G12" s="169" t="s">
        <v>16812</v>
      </c>
      <c r="H12" s="153" t="s">
        <v>1</v>
      </c>
      <c r="I12" s="152">
        <v>0.9</v>
      </c>
      <c r="J12" s="162" t="s">
        <v>5895</v>
      </c>
      <c r="K12" s="163" t="s">
        <v>1</v>
      </c>
      <c r="L12" s="164">
        <v>1</v>
      </c>
      <c r="M12" s="170" t="s">
        <v>1</v>
      </c>
      <c r="N12" s="192">
        <v>0.25</v>
      </c>
      <c r="O12" s="178">
        <v>314</v>
      </c>
      <c r="P12" s="172"/>
    </row>
    <row r="13" spans="1:16" ht="16.5" customHeight="1" x14ac:dyDescent="0.3">
      <c r="A13" s="147">
        <v>15</v>
      </c>
      <c r="B13" s="147">
        <v>7503</v>
      </c>
      <c r="C13" s="155" t="s">
        <v>7891</v>
      </c>
      <c r="D13" s="156" t="s">
        <v>17821</v>
      </c>
      <c r="E13" s="157">
        <v>349</v>
      </c>
      <c r="F13" s="158" t="s">
        <v>0</v>
      </c>
      <c r="G13" s="169"/>
      <c r="H13" s="153"/>
      <c r="I13" s="152"/>
      <c r="J13" s="162"/>
      <c r="K13" s="163"/>
      <c r="L13" s="164"/>
      <c r="M13" s="170"/>
      <c r="N13" s="174" t="s">
        <v>17048</v>
      </c>
      <c r="O13" s="178">
        <v>393</v>
      </c>
      <c r="P13" s="172"/>
    </row>
    <row r="14" spans="1:16" ht="16.5" customHeight="1" x14ac:dyDescent="0.3">
      <c r="A14" s="147">
        <v>15</v>
      </c>
      <c r="B14" s="147">
        <v>7504</v>
      </c>
      <c r="C14" s="155" t="s">
        <v>7890</v>
      </c>
      <c r="D14" s="167" t="s">
        <v>17814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78">
        <v>393</v>
      </c>
      <c r="P14" s="172"/>
    </row>
    <row r="15" spans="1:16" ht="16.5" customHeight="1" x14ac:dyDescent="0.3">
      <c r="A15" s="147">
        <v>15</v>
      </c>
      <c r="B15" s="147">
        <v>7505</v>
      </c>
      <c r="C15" s="155" t="s">
        <v>7889</v>
      </c>
      <c r="D15" s="156" t="s">
        <v>17820</v>
      </c>
      <c r="E15" s="157">
        <v>419</v>
      </c>
      <c r="F15" s="158" t="s">
        <v>0</v>
      </c>
      <c r="G15" s="169"/>
      <c r="H15" s="153"/>
      <c r="I15" s="152"/>
      <c r="J15" s="162"/>
      <c r="K15" s="163"/>
      <c r="L15" s="164"/>
      <c r="M15" s="170"/>
      <c r="N15" s="171"/>
      <c r="O15" s="178">
        <v>471</v>
      </c>
      <c r="P15" s="172"/>
    </row>
    <row r="16" spans="1:16" ht="16.5" customHeight="1" x14ac:dyDescent="0.3">
      <c r="A16" s="147">
        <v>15</v>
      </c>
      <c r="B16" s="147">
        <v>7506</v>
      </c>
      <c r="C16" s="155" t="s">
        <v>7888</v>
      </c>
      <c r="D16" s="167" t="s">
        <v>17819</v>
      </c>
      <c r="E16" s="150"/>
      <c r="F16" s="168"/>
      <c r="G16" s="175"/>
      <c r="H16" s="150"/>
      <c r="I16" s="151"/>
      <c r="J16" s="162" t="s">
        <v>5895</v>
      </c>
      <c r="K16" s="163" t="s">
        <v>1</v>
      </c>
      <c r="L16" s="164">
        <v>1</v>
      </c>
      <c r="M16" s="176"/>
      <c r="N16" s="168"/>
      <c r="O16" s="178">
        <v>471</v>
      </c>
      <c r="P16" s="177"/>
    </row>
    <row r="17" spans="1:16" ht="16.5" customHeight="1" x14ac:dyDescent="0.3">
      <c r="A17" s="132"/>
      <c r="B17" s="132"/>
      <c r="C17" s="133"/>
      <c r="D17" s="133"/>
      <c r="E17" s="134"/>
      <c r="F17" s="134"/>
      <c r="G17" s="134"/>
      <c r="H17" s="134"/>
      <c r="I17" s="135"/>
      <c r="J17" s="134"/>
      <c r="K17" s="134"/>
      <c r="L17" s="135"/>
      <c r="M17" s="135"/>
      <c r="N17" s="134"/>
      <c r="O17" s="136"/>
      <c r="P17" s="137"/>
    </row>
    <row r="18" spans="1:16" ht="16.5" customHeight="1" x14ac:dyDescent="0.3">
      <c r="A18" s="132"/>
      <c r="B18" s="132"/>
      <c r="C18" s="133"/>
      <c r="D18" s="133"/>
      <c r="E18" s="134"/>
      <c r="F18" s="134"/>
      <c r="G18" s="134"/>
      <c r="H18" s="134"/>
      <c r="I18" s="135"/>
      <c r="J18" s="134"/>
      <c r="K18" s="134"/>
      <c r="L18" s="135"/>
      <c r="M18" s="135"/>
      <c r="N18" s="134"/>
      <c r="O18" s="136"/>
      <c r="P18" s="137"/>
    </row>
    <row r="19" spans="1:16" ht="16.5" customHeight="1" x14ac:dyDescent="0.3">
      <c r="A19" s="132"/>
      <c r="B19" s="138" t="s">
        <v>7887</v>
      </c>
      <c r="C19" s="133"/>
      <c r="D19" s="139"/>
      <c r="E19" s="134"/>
      <c r="F19" s="134"/>
      <c r="G19" s="134"/>
      <c r="H19" s="134"/>
      <c r="I19" s="135"/>
      <c r="J19" s="134"/>
      <c r="K19" s="134"/>
      <c r="L19" s="135"/>
      <c r="M19" s="135"/>
      <c r="N19" s="134"/>
      <c r="O19" s="136"/>
      <c r="P19" s="137"/>
    </row>
    <row r="20" spans="1:16" ht="16.5" customHeight="1" x14ac:dyDescent="0.3">
      <c r="A20" s="140" t="s">
        <v>5864</v>
      </c>
      <c r="B20" s="141"/>
      <c r="C20" s="142" t="s">
        <v>5867</v>
      </c>
      <c r="D20" s="143" t="s">
        <v>5868</v>
      </c>
      <c r="E20" s="144"/>
      <c r="F20" s="144"/>
      <c r="G20" s="144"/>
      <c r="H20" s="144"/>
      <c r="I20" s="145"/>
      <c r="J20" s="144"/>
      <c r="K20" s="144"/>
      <c r="L20" s="145"/>
      <c r="M20" s="145"/>
      <c r="N20" s="144"/>
      <c r="O20" s="146" t="s">
        <v>5869</v>
      </c>
      <c r="P20" s="146" t="s">
        <v>5871</v>
      </c>
    </row>
    <row r="21" spans="1:16" ht="16.5" customHeight="1" x14ac:dyDescent="0.3">
      <c r="A21" s="147" t="s">
        <v>5865</v>
      </c>
      <c r="B21" s="147" t="s">
        <v>5866</v>
      </c>
      <c r="C21" s="148"/>
      <c r="D21" s="149"/>
      <c r="E21" s="150"/>
      <c r="F21" s="150"/>
      <c r="G21" s="150"/>
      <c r="H21" s="150"/>
      <c r="I21" s="151"/>
      <c r="J21" s="150"/>
      <c r="K21" s="150"/>
      <c r="L21" s="151"/>
      <c r="M21" s="151"/>
      <c r="N21" s="150"/>
      <c r="O21" s="154" t="s">
        <v>5870</v>
      </c>
      <c r="P21" s="154" t="s">
        <v>0</v>
      </c>
    </row>
    <row r="22" spans="1:16" ht="16.5" customHeight="1" x14ac:dyDescent="0.3">
      <c r="A22" s="147">
        <v>15</v>
      </c>
      <c r="B22" s="147">
        <v>7507</v>
      </c>
      <c r="C22" s="155" t="s">
        <v>7886</v>
      </c>
      <c r="D22" s="156" t="s">
        <v>17818</v>
      </c>
      <c r="E22" s="157">
        <v>105</v>
      </c>
      <c r="F22" s="158" t="s">
        <v>0</v>
      </c>
      <c r="G22" s="159"/>
      <c r="H22" s="160"/>
      <c r="I22" s="161"/>
      <c r="J22" s="162"/>
      <c r="K22" s="163"/>
      <c r="L22" s="164"/>
      <c r="M22" s="165"/>
      <c r="N22" s="158"/>
      <c r="O22" s="178">
        <v>119</v>
      </c>
      <c r="P22" s="142" t="s">
        <v>5863</v>
      </c>
    </row>
    <row r="23" spans="1:16" ht="16.5" customHeight="1" x14ac:dyDescent="0.3">
      <c r="A23" s="147">
        <v>15</v>
      </c>
      <c r="B23" s="147">
        <v>7508</v>
      </c>
      <c r="C23" s="155" t="s">
        <v>7885</v>
      </c>
      <c r="D23" s="167" t="s">
        <v>17033</v>
      </c>
      <c r="E23" s="150"/>
      <c r="F23" s="168"/>
      <c r="G23" s="169"/>
      <c r="H23" s="153"/>
      <c r="I23" s="152"/>
      <c r="J23" s="162" t="s">
        <v>5895</v>
      </c>
      <c r="K23" s="163" t="s">
        <v>1</v>
      </c>
      <c r="L23" s="164">
        <v>1</v>
      </c>
      <c r="M23" s="170"/>
      <c r="N23" s="171"/>
      <c r="O23" s="178">
        <v>119</v>
      </c>
      <c r="P23" s="172"/>
    </row>
    <row r="24" spans="1:16" ht="16.5" customHeight="1" x14ac:dyDescent="0.3">
      <c r="A24" s="147">
        <v>15</v>
      </c>
      <c r="B24" s="147">
        <v>7509</v>
      </c>
      <c r="C24" s="155" t="s">
        <v>7884</v>
      </c>
      <c r="D24" s="156" t="s">
        <v>17045</v>
      </c>
      <c r="E24" s="157">
        <v>200</v>
      </c>
      <c r="F24" s="158" t="s">
        <v>0</v>
      </c>
      <c r="G24" s="169"/>
      <c r="H24" s="153"/>
      <c r="I24" s="152"/>
      <c r="J24" s="162"/>
      <c r="K24" s="163"/>
      <c r="L24" s="164"/>
      <c r="M24" s="170"/>
      <c r="N24" s="171"/>
      <c r="O24" s="178">
        <v>225</v>
      </c>
      <c r="P24" s="172"/>
    </row>
    <row r="25" spans="1:16" ht="16.5" customHeight="1" x14ac:dyDescent="0.3">
      <c r="A25" s="147">
        <v>15</v>
      </c>
      <c r="B25" s="147">
        <v>7510</v>
      </c>
      <c r="C25" s="155" t="s">
        <v>7883</v>
      </c>
      <c r="D25" s="167" t="s">
        <v>17817</v>
      </c>
      <c r="E25" s="150"/>
      <c r="F25" s="168"/>
      <c r="G25" s="169"/>
      <c r="H25" s="153"/>
      <c r="I25" s="152"/>
      <c r="J25" s="162" t="s">
        <v>5895</v>
      </c>
      <c r="K25" s="163" t="s">
        <v>1</v>
      </c>
      <c r="L25" s="164">
        <v>1</v>
      </c>
      <c r="M25" s="170"/>
      <c r="N25" s="171"/>
      <c r="O25" s="178">
        <v>225</v>
      </c>
      <c r="P25" s="172"/>
    </row>
    <row r="26" spans="1:16" ht="16.5" customHeight="1" x14ac:dyDescent="0.3">
      <c r="A26" s="147">
        <v>15</v>
      </c>
      <c r="B26" s="147">
        <v>7511</v>
      </c>
      <c r="C26" s="155" t="s">
        <v>7882</v>
      </c>
      <c r="D26" s="156" t="s">
        <v>17041</v>
      </c>
      <c r="E26" s="157">
        <v>279</v>
      </c>
      <c r="F26" s="158" t="s">
        <v>0</v>
      </c>
      <c r="G26" s="169"/>
      <c r="H26" s="153"/>
      <c r="I26" s="152"/>
      <c r="J26" s="162"/>
      <c r="K26" s="163"/>
      <c r="L26" s="164"/>
      <c r="M26" s="170"/>
      <c r="N26" s="171"/>
      <c r="O26" s="178">
        <v>314</v>
      </c>
      <c r="P26" s="172"/>
    </row>
    <row r="27" spans="1:16" ht="16.5" customHeight="1" x14ac:dyDescent="0.3">
      <c r="A27" s="147">
        <v>15</v>
      </c>
      <c r="B27" s="147">
        <v>7512</v>
      </c>
      <c r="C27" s="155" t="s">
        <v>7881</v>
      </c>
      <c r="D27" s="167" t="s">
        <v>17816</v>
      </c>
      <c r="E27" s="150"/>
      <c r="F27" s="168"/>
      <c r="G27" s="169" t="s">
        <v>17815</v>
      </c>
      <c r="H27" s="153"/>
      <c r="I27" s="152"/>
      <c r="J27" s="162" t="s">
        <v>5895</v>
      </c>
      <c r="K27" s="163" t="s">
        <v>1</v>
      </c>
      <c r="L27" s="164">
        <v>1</v>
      </c>
      <c r="M27" s="170" t="s">
        <v>7743</v>
      </c>
      <c r="N27" s="171"/>
      <c r="O27" s="178">
        <v>314</v>
      </c>
      <c r="P27" s="172"/>
    </row>
    <row r="28" spans="1:16" ht="16.5" customHeight="1" x14ac:dyDescent="0.3">
      <c r="A28" s="147">
        <v>15</v>
      </c>
      <c r="B28" s="147">
        <v>7513</v>
      </c>
      <c r="C28" s="155" t="s">
        <v>7880</v>
      </c>
      <c r="D28" s="156" t="s">
        <v>17036</v>
      </c>
      <c r="E28" s="157">
        <v>349</v>
      </c>
      <c r="F28" s="158" t="s">
        <v>0</v>
      </c>
      <c r="G28" s="169" t="s">
        <v>17025</v>
      </c>
      <c r="H28" s="153" t="s">
        <v>1</v>
      </c>
      <c r="I28" s="152">
        <v>0.9</v>
      </c>
      <c r="J28" s="162"/>
      <c r="K28" s="163"/>
      <c r="L28" s="164"/>
      <c r="M28" s="170"/>
      <c r="N28" s="174" t="s">
        <v>17691</v>
      </c>
      <c r="O28" s="178">
        <v>393</v>
      </c>
      <c r="P28" s="172"/>
    </row>
    <row r="29" spans="1:16" ht="16.5" customHeight="1" x14ac:dyDescent="0.3">
      <c r="A29" s="147">
        <v>15</v>
      </c>
      <c r="B29" s="147">
        <v>7514</v>
      </c>
      <c r="C29" s="155" t="s">
        <v>7879</v>
      </c>
      <c r="D29" s="167" t="s">
        <v>17814</v>
      </c>
      <c r="E29" s="150"/>
      <c r="F29" s="168"/>
      <c r="G29" s="169"/>
      <c r="H29" s="153"/>
      <c r="I29" s="152"/>
      <c r="J29" s="162" t="s">
        <v>5895</v>
      </c>
      <c r="K29" s="163" t="s">
        <v>1</v>
      </c>
      <c r="L29" s="164">
        <v>1</v>
      </c>
      <c r="M29" s="170"/>
      <c r="N29" s="171"/>
      <c r="O29" s="178">
        <v>393</v>
      </c>
      <c r="P29" s="172"/>
    </row>
    <row r="30" spans="1:16" ht="16.5" customHeight="1" x14ac:dyDescent="0.3">
      <c r="A30" s="147">
        <v>15</v>
      </c>
      <c r="B30" s="147">
        <v>7515</v>
      </c>
      <c r="C30" s="155" t="s">
        <v>7878</v>
      </c>
      <c r="D30" s="156" t="s">
        <v>17029</v>
      </c>
      <c r="E30" s="157">
        <v>419</v>
      </c>
      <c r="F30" s="158" t="s">
        <v>0</v>
      </c>
      <c r="G30" s="169"/>
      <c r="H30" s="153"/>
      <c r="I30" s="152"/>
      <c r="J30" s="162"/>
      <c r="K30" s="163"/>
      <c r="L30" s="164"/>
      <c r="M30" s="170" t="s">
        <v>1</v>
      </c>
      <c r="N30" s="192">
        <v>0.25</v>
      </c>
      <c r="O30" s="178">
        <v>471</v>
      </c>
      <c r="P30" s="172"/>
    </row>
    <row r="31" spans="1:16" ht="16.5" customHeight="1" x14ac:dyDescent="0.3">
      <c r="A31" s="147">
        <v>15</v>
      </c>
      <c r="B31" s="147">
        <v>7516</v>
      </c>
      <c r="C31" s="155" t="s">
        <v>7877</v>
      </c>
      <c r="D31" s="167" t="s">
        <v>17813</v>
      </c>
      <c r="E31" s="150"/>
      <c r="F31" s="168"/>
      <c r="G31" s="169"/>
      <c r="H31" s="153"/>
      <c r="I31" s="152"/>
      <c r="J31" s="162" t="s">
        <v>5895</v>
      </c>
      <c r="K31" s="163" t="s">
        <v>1</v>
      </c>
      <c r="L31" s="164">
        <v>1</v>
      </c>
      <c r="M31" s="170"/>
      <c r="N31" s="174" t="s">
        <v>17048</v>
      </c>
      <c r="O31" s="178">
        <v>471</v>
      </c>
      <c r="P31" s="172"/>
    </row>
    <row r="32" spans="1:16" ht="16.5" customHeight="1" x14ac:dyDescent="0.3">
      <c r="A32" s="147">
        <v>15</v>
      </c>
      <c r="B32" s="147">
        <v>7517</v>
      </c>
      <c r="C32" s="155" t="s">
        <v>7876</v>
      </c>
      <c r="D32" s="156" t="s">
        <v>17812</v>
      </c>
      <c r="E32" s="157">
        <v>489</v>
      </c>
      <c r="F32" s="158" t="s">
        <v>0</v>
      </c>
      <c r="G32" s="169"/>
      <c r="H32" s="153"/>
      <c r="I32" s="152"/>
      <c r="J32" s="162"/>
      <c r="K32" s="163"/>
      <c r="L32" s="164"/>
      <c r="M32" s="170"/>
      <c r="N32" s="171"/>
      <c r="O32" s="178">
        <v>550</v>
      </c>
      <c r="P32" s="172"/>
    </row>
    <row r="33" spans="1:16" ht="16.5" customHeight="1" x14ac:dyDescent="0.3">
      <c r="A33" s="147">
        <v>15</v>
      </c>
      <c r="B33" s="147">
        <v>7518</v>
      </c>
      <c r="C33" s="155" t="s">
        <v>7875</v>
      </c>
      <c r="D33" s="167" t="s">
        <v>17811</v>
      </c>
      <c r="E33" s="150"/>
      <c r="F33" s="168"/>
      <c r="G33" s="169"/>
      <c r="H33" s="153"/>
      <c r="I33" s="152"/>
      <c r="J33" s="162" t="s">
        <v>5895</v>
      </c>
      <c r="K33" s="163" t="s">
        <v>1</v>
      </c>
      <c r="L33" s="164">
        <v>1</v>
      </c>
      <c r="M33" s="170"/>
      <c r="N33" s="171"/>
      <c r="O33" s="178">
        <v>550</v>
      </c>
      <c r="P33" s="172"/>
    </row>
    <row r="34" spans="1:16" ht="16.5" customHeight="1" x14ac:dyDescent="0.3">
      <c r="A34" s="147">
        <v>15</v>
      </c>
      <c r="B34" s="147">
        <v>7519</v>
      </c>
      <c r="C34" s="155" t="s">
        <v>7874</v>
      </c>
      <c r="D34" s="156" t="s">
        <v>17810</v>
      </c>
      <c r="E34" s="157">
        <v>559</v>
      </c>
      <c r="F34" s="158" t="s">
        <v>0</v>
      </c>
      <c r="G34" s="169"/>
      <c r="H34" s="153"/>
      <c r="I34" s="152"/>
      <c r="J34" s="162"/>
      <c r="K34" s="163"/>
      <c r="L34" s="164"/>
      <c r="M34" s="170"/>
      <c r="N34" s="171"/>
      <c r="O34" s="178">
        <v>629</v>
      </c>
      <c r="P34" s="172"/>
    </row>
    <row r="35" spans="1:16" ht="16.5" customHeight="1" x14ac:dyDescent="0.3">
      <c r="A35" s="147">
        <v>15</v>
      </c>
      <c r="B35" s="147">
        <v>7520</v>
      </c>
      <c r="C35" s="155" t="s">
        <v>7873</v>
      </c>
      <c r="D35" s="167" t="s">
        <v>17809</v>
      </c>
      <c r="E35" s="150"/>
      <c r="F35" s="168"/>
      <c r="G35" s="169"/>
      <c r="H35" s="153"/>
      <c r="I35" s="152"/>
      <c r="J35" s="162" t="s">
        <v>5895</v>
      </c>
      <c r="K35" s="163" t="s">
        <v>1</v>
      </c>
      <c r="L35" s="164">
        <v>1</v>
      </c>
      <c r="M35" s="170"/>
      <c r="N35" s="171"/>
      <c r="O35" s="178">
        <v>629</v>
      </c>
      <c r="P35" s="172"/>
    </row>
    <row r="36" spans="1:16" ht="16.5" customHeight="1" x14ac:dyDescent="0.3">
      <c r="A36" s="147">
        <v>15</v>
      </c>
      <c r="B36" s="147">
        <v>7521</v>
      </c>
      <c r="C36" s="155" t="s">
        <v>7872</v>
      </c>
      <c r="D36" s="156" t="s">
        <v>17808</v>
      </c>
      <c r="E36" s="157">
        <v>629</v>
      </c>
      <c r="F36" s="158" t="s">
        <v>0</v>
      </c>
      <c r="G36" s="169"/>
      <c r="H36" s="153"/>
      <c r="I36" s="152"/>
      <c r="J36" s="162"/>
      <c r="K36" s="163"/>
      <c r="L36" s="164"/>
      <c r="M36" s="170"/>
      <c r="N36" s="171"/>
      <c r="O36" s="178">
        <v>708</v>
      </c>
      <c r="P36" s="172"/>
    </row>
    <row r="37" spans="1:16" ht="16.5" customHeight="1" x14ac:dyDescent="0.3">
      <c r="A37" s="147">
        <v>15</v>
      </c>
      <c r="B37" s="147">
        <v>7522</v>
      </c>
      <c r="C37" s="155" t="s">
        <v>7871</v>
      </c>
      <c r="D37" s="167" t="s">
        <v>17807</v>
      </c>
      <c r="E37" s="150"/>
      <c r="F37" s="168"/>
      <c r="G37" s="169"/>
      <c r="H37" s="153"/>
      <c r="I37" s="152"/>
      <c r="J37" s="162" t="s">
        <v>5895</v>
      </c>
      <c r="K37" s="163" t="s">
        <v>1</v>
      </c>
      <c r="L37" s="164">
        <v>1</v>
      </c>
      <c r="M37" s="170"/>
      <c r="N37" s="171"/>
      <c r="O37" s="178">
        <v>708</v>
      </c>
      <c r="P37" s="172"/>
    </row>
    <row r="38" spans="1:16" ht="16.5" customHeight="1" x14ac:dyDescent="0.3">
      <c r="A38" s="147">
        <v>15</v>
      </c>
      <c r="B38" s="147">
        <v>7523</v>
      </c>
      <c r="C38" s="155" t="s">
        <v>7870</v>
      </c>
      <c r="D38" s="156" t="s">
        <v>17806</v>
      </c>
      <c r="E38" s="157">
        <v>699</v>
      </c>
      <c r="F38" s="158" t="s">
        <v>0</v>
      </c>
      <c r="G38" s="169"/>
      <c r="H38" s="153"/>
      <c r="I38" s="152"/>
      <c r="J38" s="162"/>
      <c r="K38" s="163"/>
      <c r="L38" s="164"/>
      <c r="M38" s="170"/>
      <c r="N38" s="171"/>
      <c r="O38" s="178">
        <v>786</v>
      </c>
      <c r="P38" s="172"/>
    </row>
    <row r="39" spans="1:16" ht="16.5" customHeight="1" x14ac:dyDescent="0.3">
      <c r="A39" s="147">
        <v>15</v>
      </c>
      <c r="B39" s="147">
        <v>7524</v>
      </c>
      <c r="C39" s="155" t="s">
        <v>7869</v>
      </c>
      <c r="D39" s="167" t="s">
        <v>17805</v>
      </c>
      <c r="E39" s="150"/>
      <c r="F39" s="168"/>
      <c r="G39" s="175"/>
      <c r="H39" s="150"/>
      <c r="I39" s="151"/>
      <c r="J39" s="162" t="s">
        <v>5895</v>
      </c>
      <c r="K39" s="163" t="s">
        <v>1</v>
      </c>
      <c r="L39" s="164">
        <v>1</v>
      </c>
      <c r="M39" s="176"/>
      <c r="N39" s="168"/>
      <c r="O39" s="178">
        <v>786</v>
      </c>
      <c r="P39" s="177"/>
    </row>
    <row r="40" spans="1:16" ht="16.5" customHeight="1" x14ac:dyDescent="0.3"/>
    <row r="41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theme="1" tint="0.249977111117893"/>
    <pageSetUpPr fitToPage="1"/>
  </sheetPr>
  <dimension ref="A1:P34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7927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7525</v>
      </c>
      <c r="C7" s="155" t="s">
        <v>7926</v>
      </c>
      <c r="D7" s="156" t="s">
        <v>17703</v>
      </c>
      <c r="E7" s="157">
        <v>105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78">
        <v>143</v>
      </c>
      <c r="P7" s="142" t="s">
        <v>5863</v>
      </c>
    </row>
    <row r="8" spans="1:16" ht="16.5" customHeight="1" x14ac:dyDescent="0.3">
      <c r="A8" s="147">
        <v>15</v>
      </c>
      <c r="B8" s="147">
        <v>7526</v>
      </c>
      <c r="C8" s="155" t="s">
        <v>7925</v>
      </c>
      <c r="D8" s="167" t="s">
        <v>16901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78">
        <v>143</v>
      </c>
      <c r="P8" s="172"/>
    </row>
    <row r="9" spans="1:16" ht="16.5" customHeight="1" x14ac:dyDescent="0.3">
      <c r="A9" s="147">
        <v>15</v>
      </c>
      <c r="B9" s="147">
        <v>7527</v>
      </c>
      <c r="C9" s="155" t="s">
        <v>7924</v>
      </c>
      <c r="D9" s="156" t="s">
        <v>16961</v>
      </c>
      <c r="E9" s="157">
        <v>200</v>
      </c>
      <c r="F9" s="158" t="s">
        <v>0</v>
      </c>
      <c r="G9" s="169"/>
      <c r="H9" s="153"/>
      <c r="I9" s="152"/>
      <c r="J9" s="162"/>
      <c r="K9" s="163"/>
      <c r="L9" s="164"/>
      <c r="M9" s="170"/>
      <c r="N9" s="171"/>
      <c r="O9" s="178">
        <v>270</v>
      </c>
      <c r="P9" s="172"/>
    </row>
    <row r="10" spans="1:16" ht="16.5" customHeight="1" x14ac:dyDescent="0.3">
      <c r="A10" s="147">
        <v>15</v>
      </c>
      <c r="B10" s="147">
        <v>7528</v>
      </c>
      <c r="C10" s="155" t="s">
        <v>7923</v>
      </c>
      <c r="D10" s="167" t="s">
        <v>17362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1"/>
      <c r="O10" s="178">
        <v>270</v>
      </c>
      <c r="P10" s="172"/>
    </row>
    <row r="11" spans="1:16" ht="16.5" customHeight="1" x14ac:dyDescent="0.3">
      <c r="A11" s="147">
        <v>15</v>
      </c>
      <c r="B11" s="147">
        <v>7529</v>
      </c>
      <c r="C11" s="155" t="s">
        <v>7922</v>
      </c>
      <c r="D11" s="156" t="s">
        <v>16958</v>
      </c>
      <c r="E11" s="157">
        <v>279</v>
      </c>
      <c r="F11" s="158" t="s">
        <v>0</v>
      </c>
      <c r="G11" s="169"/>
      <c r="H11" s="153"/>
      <c r="I11" s="152"/>
      <c r="J11" s="162"/>
      <c r="K11" s="163"/>
      <c r="L11" s="164"/>
      <c r="M11" s="170"/>
      <c r="N11" s="171"/>
      <c r="O11" s="178">
        <v>377</v>
      </c>
      <c r="P11" s="172"/>
    </row>
    <row r="12" spans="1:16" ht="16.5" customHeight="1" x14ac:dyDescent="0.3">
      <c r="A12" s="147">
        <v>15</v>
      </c>
      <c r="B12" s="147">
        <v>7530</v>
      </c>
      <c r="C12" s="155" t="s">
        <v>7921</v>
      </c>
      <c r="D12" s="167" t="s">
        <v>17840</v>
      </c>
      <c r="E12" s="150"/>
      <c r="F12" s="168"/>
      <c r="G12" s="169" t="s">
        <v>17372</v>
      </c>
      <c r="H12" s="153"/>
      <c r="I12" s="152"/>
      <c r="J12" s="162" t="s">
        <v>5895</v>
      </c>
      <c r="K12" s="163" t="s">
        <v>1</v>
      </c>
      <c r="L12" s="164">
        <v>1</v>
      </c>
      <c r="M12" s="170" t="s">
        <v>7920</v>
      </c>
      <c r="N12" s="171"/>
      <c r="O12" s="178">
        <v>377</v>
      </c>
      <c r="P12" s="172"/>
    </row>
    <row r="13" spans="1:16" ht="16.5" customHeight="1" x14ac:dyDescent="0.3">
      <c r="A13" s="147">
        <v>15</v>
      </c>
      <c r="B13" s="147">
        <v>7531</v>
      </c>
      <c r="C13" s="155" t="s">
        <v>7919</v>
      </c>
      <c r="D13" s="156" t="s">
        <v>17839</v>
      </c>
      <c r="E13" s="157">
        <v>349</v>
      </c>
      <c r="F13" s="158" t="s">
        <v>0</v>
      </c>
      <c r="G13" s="169" t="s">
        <v>16812</v>
      </c>
      <c r="H13" s="153" t="s">
        <v>1</v>
      </c>
      <c r="I13" s="152">
        <v>0.9</v>
      </c>
      <c r="J13" s="162"/>
      <c r="K13" s="163"/>
      <c r="L13" s="164"/>
      <c r="M13" s="170"/>
      <c r="N13" s="174" t="s">
        <v>17838</v>
      </c>
      <c r="O13" s="178">
        <v>471</v>
      </c>
      <c r="P13" s="172"/>
    </row>
    <row r="14" spans="1:16" ht="16.5" customHeight="1" x14ac:dyDescent="0.3">
      <c r="A14" s="147">
        <v>15</v>
      </c>
      <c r="B14" s="147">
        <v>7532</v>
      </c>
      <c r="C14" s="155" t="s">
        <v>7918</v>
      </c>
      <c r="D14" s="167" t="s">
        <v>17837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78">
        <v>471</v>
      </c>
      <c r="P14" s="172"/>
    </row>
    <row r="15" spans="1:16" ht="16.5" customHeight="1" x14ac:dyDescent="0.3">
      <c r="A15" s="147">
        <v>15</v>
      </c>
      <c r="B15" s="147">
        <v>7533</v>
      </c>
      <c r="C15" s="155" t="s">
        <v>7917</v>
      </c>
      <c r="D15" s="156" t="s">
        <v>16954</v>
      </c>
      <c r="E15" s="157">
        <v>419</v>
      </c>
      <c r="F15" s="158" t="s">
        <v>0</v>
      </c>
      <c r="G15" s="169"/>
      <c r="H15" s="153"/>
      <c r="I15" s="152"/>
      <c r="J15" s="162"/>
      <c r="K15" s="163"/>
      <c r="L15" s="164"/>
      <c r="M15" s="170" t="s">
        <v>1</v>
      </c>
      <c r="N15" s="192">
        <v>0.5</v>
      </c>
      <c r="O15" s="178">
        <v>566</v>
      </c>
      <c r="P15" s="172"/>
    </row>
    <row r="16" spans="1:16" ht="16.5" customHeight="1" x14ac:dyDescent="0.3">
      <c r="A16" s="147">
        <v>15</v>
      </c>
      <c r="B16" s="147">
        <v>7534</v>
      </c>
      <c r="C16" s="155" t="s">
        <v>7916</v>
      </c>
      <c r="D16" s="167" t="s">
        <v>17367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0"/>
      <c r="N16" s="174" t="s">
        <v>17701</v>
      </c>
      <c r="O16" s="178">
        <v>566</v>
      </c>
      <c r="P16" s="172"/>
    </row>
    <row r="17" spans="1:16" ht="16.5" customHeight="1" x14ac:dyDescent="0.3">
      <c r="A17" s="147">
        <v>15</v>
      </c>
      <c r="B17" s="147">
        <v>7535</v>
      </c>
      <c r="C17" s="155" t="s">
        <v>7915</v>
      </c>
      <c r="D17" s="156" t="s">
        <v>17688</v>
      </c>
      <c r="E17" s="157">
        <v>489</v>
      </c>
      <c r="F17" s="158" t="s">
        <v>0</v>
      </c>
      <c r="G17" s="169"/>
      <c r="H17" s="153"/>
      <c r="I17" s="152"/>
      <c r="J17" s="162"/>
      <c r="K17" s="163"/>
      <c r="L17" s="164"/>
      <c r="M17" s="170"/>
      <c r="N17" s="171"/>
      <c r="O17" s="178">
        <v>660</v>
      </c>
      <c r="P17" s="172"/>
    </row>
    <row r="18" spans="1:16" ht="16.5" customHeight="1" x14ac:dyDescent="0.3">
      <c r="A18" s="147">
        <v>15</v>
      </c>
      <c r="B18" s="147">
        <v>7536</v>
      </c>
      <c r="C18" s="155" t="s">
        <v>7914</v>
      </c>
      <c r="D18" s="167" t="s">
        <v>17803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0"/>
      <c r="N18" s="171"/>
      <c r="O18" s="178">
        <v>660</v>
      </c>
      <c r="P18" s="172"/>
    </row>
    <row r="19" spans="1:16" ht="16.5" customHeight="1" x14ac:dyDescent="0.3">
      <c r="A19" s="147">
        <v>15</v>
      </c>
      <c r="B19" s="147">
        <v>7537</v>
      </c>
      <c r="C19" s="155" t="s">
        <v>7913</v>
      </c>
      <c r="D19" s="156" t="s">
        <v>17836</v>
      </c>
      <c r="E19" s="157">
        <v>559</v>
      </c>
      <c r="F19" s="158" t="s">
        <v>0</v>
      </c>
      <c r="G19" s="169"/>
      <c r="H19" s="153"/>
      <c r="I19" s="152"/>
      <c r="J19" s="162"/>
      <c r="K19" s="163"/>
      <c r="L19" s="164"/>
      <c r="M19" s="170"/>
      <c r="N19" s="171"/>
      <c r="O19" s="178">
        <v>755</v>
      </c>
      <c r="P19" s="172"/>
    </row>
    <row r="20" spans="1:16" ht="16.5" customHeight="1" x14ac:dyDescent="0.3">
      <c r="A20" s="147">
        <v>15</v>
      </c>
      <c r="B20" s="147">
        <v>7538</v>
      </c>
      <c r="C20" s="155" t="s">
        <v>7912</v>
      </c>
      <c r="D20" s="167" t="s">
        <v>17835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0"/>
      <c r="N20" s="171"/>
      <c r="O20" s="178">
        <v>755</v>
      </c>
      <c r="P20" s="172"/>
    </row>
    <row r="21" spans="1:16" ht="16.5" customHeight="1" x14ac:dyDescent="0.3">
      <c r="A21" s="147">
        <v>15</v>
      </c>
      <c r="B21" s="147">
        <v>7539</v>
      </c>
      <c r="C21" s="155" t="s">
        <v>7911</v>
      </c>
      <c r="D21" s="156" t="s">
        <v>17834</v>
      </c>
      <c r="E21" s="157">
        <v>629</v>
      </c>
      <c r="F21" s="158" t="s">
        <v>0</v>
      </c>
      <c r="G21" s="169"/>
      <c r="H21" s="153"/>
      <c r="I21" s="152"/>
      <c r="J21" s="162"/>
      <c r="K21" s="163"/>
      <c r="L21" s="164"/>
      <c r="M21" s="170"/>
      <c r="N21" s="171"/>
      <c r="O21" s="178">
        <v>849</v>
      </c>
      <c r="P21" s="172"/>
    </row>
    <row r="22" spans="1:16" ht="16.5" customHeight="1" x14ac:dyDescent="0.3">
      <c r="A22" s="147">
        <v>15</v>
      </c>
      <c r="B22" s="147">
        <v>7540</v>
      </c>
      <c r="C22" s="155" t="s">
        <v>7910</v>
      </c>
      <c r="D22" s="167" t="s">
        <v>17800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0"/>
      <c r="N22" s="171"/>
      <c r="O22" s="178">
        <v>849</v>
      </c>
      <c r="P22" s="172"/>
    </row>
    <row r="23" spans="1:16" ht="16.5" customHeight="1" x14ac:dyDescent="0.3">
      <c r="A23" s="147">
        <v>15</v>
      </c>
      <c r="B23" s="147">
        <v>7541</v>
      </c>
      <c r="C23" s="155" t="s">
        <v>7909</v>
      </c>
      <c r="D23" s="156" t="s">
        <v>17833</v>
      </c>
      <c r="E23" s="157">
        <v>699</v>
      </c>
      <c r="F23" s="158" t="s">
        <v>0</v>
      </c>
      <c r="G23" s="169"/>
      <c r="H23" s="153"/>
      <c r="I23" s="152"/>
      <c r="J23" s="162"/>
      <c r="K23" s="163"/>
      <c r="L23" s="164"/>
      <c r="M23" s="170"/>
      <c r="N23" s="171"/>
      <c r="O23" s="178">
        <v>944</v>
      </c>
      <c r="P23" s="172"/>
    </row>
    <row r="24" spans="1:16" ht="16.5" customHeight="1" x14ac:dyDescent="0.3">
      <c r="A24" s="147">
        <v>15</v>
      </c>
      <c r="B24" s="147">
        <v>7542</v>
      </c>
      <c r="C24" s="155" t="s">
        <v>7908</v>
      </c>
      <c r="D24" s="167" t="s">
        <v>17832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0"/>
      <c r="N24" s="171"/>
      <c r="O24" s="178">
        <v>944</v>
      </c>
      <c r="P24" s="172"/>
    </row>
    <row r="25" spans="1:16" ht="16.5" customHeight="1" x14ac:dyDescent="0.3">
      <c r="A25" s="147">
        <v>15</v>
      </c>
      <c r="B25" s="147">
        <v>7543</v>
      </c>
      <c r="C25" s="155" t="s">
        <v>7907</v>
      </c>
      <c r="D25" s="156" t="s">
        <v>17831</v>
      </c>
      <c r="E25" s="157">
        <v>769</v>
      </c>
      <c r="F25" s="158" t="s">
        <v>0</v>
      </c>
      <c r="G25" s="169"/>
      <c r="H25" s="153"/>
      <c r="I25" s="152"/>
      <c r="J25" s="162"/>
      <c r="K25" s="163"/>
      <c r="L25" s="164"/>
      <c r="M25" s="170"/>
      <c r="N25" s="171"/>
      <c r="O25" s="178">
        <v>1038</v>
      </c>
      <c r="P25" s="172"/>
    </row>
    <row r="26" spans="1:16" ht="16.5" customHeight="1" x14ac:dyDescent="0.3">
      <c r="A26" s="147">
        <v>15</v>
      </c>
      <c r="B26" s="147">
        <v>7544</v>
      </c>
      <c r="C26" s="155" t="s">
        <v>7906</v>
      </c>
      <c r="D26" s="167" t="s">
        <v>17830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0"/>
      <c r="N26" s="171"/>
      <c r="O26" s="178">
        <v>1038</v>
      </c>
      <c r="P26" s="172"/>
    </row>
    <row r="27" spans="1:16" ht="16.5" customHeight="1" x14ac:dyDescent="0.3">
      <c r="A27" s="147">
        <v>15</v>
      </c>
      <c r="B27" s="147">
        <v>7545</v>
      </c>
      <c r="C27" s="155" t="s">
        <v>7905</v>
      </c>
      <c r="D27" s="156" t="s">
        <v>17829</v>
      </c>
      <c r="E27" s="157">
        <v>839</v>
      </c>
      <c r="F27" s="158" t="s">
        <v>0</v>
      </c>
      <c r="G27" s="169"/>
      <c r="H27" s="153"/>
      <c r="I27" s="152"/>
      <c r="J27" s="162"/>
      <c r="K27" s="163"/>
      <c r="L27" s="164"/>
      <c r="M27" s="170"/>
      <c r="N27" s="171"/>
      <c r="O27" s="178">
        <v>1133</v>
      </c>
      <c r="P27" s="172"/>
    </row>
    <row r="28" spans="1:16" ht="16.5" customHeight="1" x14ac:dyDescent="0.3">
      <c r="A28" s="147">
        <v>15</v>
      </c>
      <c r="B28" s="147">
        <v>7546</v>
      </c>
      <c r="C28" s="155" t="s">
        <v>7904</v>
      </c>
      <c r="D28" s="167" t="s">
        <v>17828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0"/>
      <c r="N28" s="171"/>
      <c r="O28" s="178">
        <v>1133</v>
      </c>
      <c r="P28" s="172"/>
    </row>
    <row r="29" spans="1:16" ht="16.5" customHeight="1" x14ac:dyDescent="0.3">
      <c r="A29" s="147">
        <v>15</v>
      </c>
      <c r="B29" s="147">
        <v>7547</v>
      </c>
      <c r="C29" s="155" t="s">
        <v>7903</v>
      </c>
      <c r="D29" s="156" t="s">
        <v>17827</v>
      </c>
      <c r="E29" s="157">
        <v>909</v>
      </c>
      <c r="F29" s="158" t="s">
        <v>0</v>
      </c>
      <c r="G29" s="169"/>
      <c r="H29" s="153"/>
      <c r="I29" s="152"/>
      <c r="J29" s="162"/>
      <c r="K29" s="163"/>
      <c r="L29" s="164"/>
      <c r="M29" s="170"/>
      <c r="N29" s="171"/>
      <c r="O29" s="178">
        <v>1227</v>
      </c>
      <c r="P29" s="172"/>
    </row>
    <row r="30" spans="1:16" ht="16.5" customHeight="1" x14ac:dyDescent="0.3">
      <c r="A30" s="147">
        <v>15</v>
      </c>
      <c r="B30" s="147">
        <v>7548</v>
      </c>
      <c r="C30" s="155" t="s">
        <v>7902</v>
      </c>
      <c r="D30" s="167" t="s">
        <v>17794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0"/>
      <c r="N30" s="171"/>
      <c r="O30" s="178">
        <v>1227</v>
      </c>
      <c r="P30" s="172"/>
    </row>
    <row r="31" spans="1:16" ht="16.5" customHeight="1" x14ac:dyDescent="0.3">
      <c r="A31" s="147">
        <v>15</v>
      </c>
      <c r="B31" s="147">
        <v>7549</v>
      </c>
      <c r="C31" s="155" t="s">
        <v>7901</v>
      </c>
      <c r="D31" s="156" t="s">
        <v>17681</v>
      </c>
      <c r="E31" s="157">
        <v>979</v>
      </c>
      <c r="F31" s="158" t="s">
        <v>0</v>
      </c>
      <c r="G31" s="169"/>
      <c r="H31" s="153"/>
      <c r="I31" s="152"/>
      <c r="J31" s="162"/>
      <c r="K31" s="163"/>
      <c r="L31" s="164"/>
      <c r="M31" s="170"/>
      <c r="N31" s="171"/>
      <c r="O31" s="178">
        <v>1322</v>
      </c>
      <c r="P31" s="172"/>
    </row>
    <row r="32" spans="1:16" ht="16.5" customHeight="1" x14ac:dyDescent="0.3">
      <c r="A32" s="147">
        <v>15</v>
      </c>
      <c r="B32" s="147">
        <v>7550</v>
      </c>
      <c r="C32" s="155" t="s">
        <v>7900</v>
      </c>
      <c r="D32" s="167" t="s">
        <v>17826</v>
      </c>
      <c r="E32" s="150"/>
      <c r="F32" s="168"/>
      <c r="G32" s="175"/>
      <c r="H32" s="150"/>
      <c r="I32" s="151"/>
      <c r="J32" s="162" t="s">
        <v>5895</v>
      </c>
      <c r="K32" s="163" t="s">
        <v>1</v>
      </c>
      <c r="L32" s="164">
        <v>1</v>
      </c>
      <c r="M32" s="176"/>
      <c r="N32" s="168"/>
      <c r="O32" s="178">
        <v>1322</v>
      </c>
      <c r="P32" s="177"/>
    </row>
    <row r="33" spans="3:16" s="44" customFormat="1" ht="16.5" customHeight="1" x14ac:dyDescent="0.3">
      <c r="C33" s="45"/>
      <c r="D33" s="45"/>
      <c r="E33" s="46"/>
      <c r="F33" s="46"/>
      <c r="G33" s="46"/>
      <c r="H33" s="46"/>
      <c r="I33" s="47"/>
      <c r="J33" s="46"/>
      <c r="K33" s="46"/>
      <c r="L33" s="47"/>
      <c r="M33" s="47"/>
      <c r="N33" s="46"/>
      <c r="O33" s="84"/>
      <c r="P33" s="48"/>
    </row>
    <row r="34" spans="3:16" s="44" customFormat="1" ht="16.5" customHeight="1" x14ac:dyDescent="0.3">
      <c r="C34" s="45"/>
      <c r="D34" s="45"/>
      <c r="E34" s="46"/>
      <c r="F34" s="46"/>
      <c r="G34" s="46"/>
      <c r="H34" s="46"/>
      <c r="I34" s="47"/>
      <c r="J34" s="46"/>
      <c r="K34" s="46"/>
      <c r="L34" s="47"/>
      <c r="M34" s="47"/>
      <c r="N34" s="46"/>
      <c r="O34" s="84"/>
      <c r="P34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theme="1" tint="0.249977111117893"/>
    <pageSetUpPr fitToPage="1"/>
  </sheetPr>
  <dimension ref="A1:U36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4.1015625" style="47" bestFit="1" customWidth="1"/>
    <col min="19" max="19" width="4.734375" style="46" bestFit="1" customWidth="1"/>
    <col min="20" max="20" width="6.3671875" style="84" bestFit="1" customWidth="1"/>
    <col min="21" max="21" width="7.734375" style="48" bestFit="1" customWidth="1"/>
    <col min="22" max="16384" width="9" style="49"/>
  </cols>
  <sheetData>
    <row r="1" spans="1:21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5"/>
      <c r="S1" s="134"/>
      <c r="T1" s="136"/>
      <c r="U1" s="137"/>
    </row>
    <row r="2" spans="1:21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5"/>
      <c r="S2" s="134"/>
      <c r="T2" s="136"/>
      <c r="U2" s="137"/>
    </row>
    <row r="3" spans="1:21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5"/>
      <c r="S3" s="134"/>
      <c r="T3" s="136"/>
      <c r="U3" s="137"/>
    </row>
    <row r="4" spans="1:21" ht="16.5" customHeight="1" x14ac:dyDescent="0.3">
      <c r="A4" s="132"/>
      <c r="B4" s="138" t="s">
        <v>7952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5"/>
      <c r="S4" s="134"/>
      <c r="T4" s="136"/>
      <c r="U4" s="137"/>
    </row>
    <row r="5" spans="1:21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5"/>
      <c r="S5" s="144"/>
      <c r="T5" s="146" t="s">
        <v>5869</v>
      </c>
      <c r="U5" s="146" t="s">
        <v>5871</v>
      </c>
    </row>
    <row r="6" spans="1:21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79" t="s">
        <v>17860</v>
      </c>
      <c r="H6" s="180"/>
      <c r="I6" s="181"/>
      <c r="J6" s="150"/>
      <c r="K6" s="150"/>
      <c r="L6" s="151"/>
      <c r="M6" s="150"/>
      <c r="N6" s="150"/>
      <c r="O6" s="151"/>
      <c r="P6" s="151"/>
      <c r="Q6" s="150"/>
      <c r="R6" s="151"/>
      <c r="S6" s="150"/>
      <c r="T6" s="154" t="s">
        <v>5870</v>
      </c>
      <c r="U6" s="154" t="s">
        <v>0</v>
      </c>
    </row>
    <row r="7" spans="1:21" ht="16.5" customHeight="1" x14ac:dyDescent="0.3">
      <c r="A7" s="147">
        <v>15</v>
      </c>
      <c r="B7" s="147">
        <v>7551</v>
      </c>
      <c r="C7" s="155" t="s">
        <v>7951</v>
      </c>
      <c r="D7" s="156" t="s">
        <v>17859</v>
      </c>
      <c r="E7" s="157">
        <v>105</v>
      </c>
      <c r="F7" s="158" t="s">
        <v>0</v>
      </c>
      <c r="G7" s="156" t="s">
        <v>17855</v>
      </c>
      <c r="H7" s="157">
        <v>95</v>
      </c>
      <c r="I7" s="158" t="s">
        <v>0</v>
      </c>
      <c r="J7" s="159"/>
      <c r="K7" s="160"/>
      <c r="L7" s="161"/>
      <c r="M7" s="162"/>
      <c r="N7" s="163"/>
      <c r="O7" s="164"/>
      <c r="P7" s="165"/>
      <c r="Q7" s="158"/>
      <c r="R7" s="165"/>
      <c r="S7" s="158"/>
      <c r="T7" s="178">
        <v>251</v>
      </c>
      <c r="U7" s="142" t="s">
        <v>5863</v>
      </c>
    </row>
    <row r="8" spans="1:21" ht="16.5" customHeight="1" x14ac:dyDescent="0.3">
      <c r="A8" s="147">
        <v>15</v>
      </c>
      <c r="B8" s="147">
        <v>7552</v>
      </c>
      <c r="C8" s="155" t="s">
        <v>7950</v>
      </c>
      <c r="D8" s="188" t="s">
        <v>17858</v>
      </c>
      <c r="E8" s="153"/>
      <c r="F8" s="171"/>
      <c r="G8" s="167" t="s">
        <v>7928</v>
      </c>
      <c r="H8" s="150"/>
      <c r="I8" s="168"/>
      <c r="J8" s="169"/>
      <c r="K8" s="153"/>
      <c r="L8" s="152"/>
      <c r="M8" s="162" t="s">
        <v>5895</v>
      </c>
      <c r="N8" s="163" t="s">
        <v>1</v>
      </c>
      <c r="O8" s="164">
        <v>1</v>
      </c>
      <c r="P8" s="170" t="s">
        <v>7920</v>
      </c>
      <c r="Q8" s="171"/>
      <c r="R8" s="170" t="s">
        <v>7895</v>
      </c>
      <c r="S8" s="171"/>
      <c r="T8" s="178">
        <v>251</v>
      </c>
      <c r="U8" s="172"/>
    </row>
    <row r="9" spans="1:21" ht="16.5" customHeight="1" x14ac:dyDescent="0.3">
      <c r="A9" s="147">
        <v>15</v>
      </c>
      <c r="B9" s="147">
        <v>7553</v>
      </c>
      <c r="C9" s="155" t="s">
        <v>7949</v>
      </c>
      <c r="D9" s="188"/>
      <c r="E9" s="153"/>
      <c r="F9" s="171"/>
      <c r="G9" s="156" t="s">
        <v>17857</v>
      </c>
      <c r="H9" s="157">
        <v>174</v>
      </c>
      <c r="I9" s="158" t="s">
        <v>0</v>
      </c>
      <c r="J9" s="169" t="s">
        <v>17843</v>
      </c>
      <c r="K9" s="153"/>
      <c r="L9" s="152"/>
      <c r="M9" s="162"/>
      <c r="N9" s="163"/>
      <c r="O9" s="164"/>
      <c r="P9" s="170"/>
      <c r="Q9" s="174" t="s">
        <v>7948</v>
      </c>
      <c r="R9" s="170"/>
      <c r="S9" s="174" t="s">
        <v>7947</v>
      </c>
      <c r="T9" s="178">
        <v>339</v>
      </c>
      <c r="U9" s="172"/>
    </row>
    <row r="10" spans="1:21" ht="16.5" customHeight="1" x14ac:dyDescent="0.3">
      <c r="A10" s="147">
        <v>15</v>
      </c>
      <c r="B10" s="147">
        <v>7554</v>
      </c>
      <c r="C10" s="155" t="s">
        <v>7946</v>
      </c>
      <c r="D10" s="167"/>
      <c r="E10" s="150"/>
      <c r="F10" s="168"/>
      <c r="G10" s="167" t="s">
        <v>7929</v>
      </c>
      <c r="H10" s="150"/>
      <c r="I10" s="168"/>
      <c r="J10" s="169" t="s">
        <v>17850</v>
      </c>
      <c r="K10" s="153" t="s">
        <v>1</v>
      </c>
      <c r="L10" s="152">
        <v>0.9</v>
      </c>
      <c r="M10" s="162" t="s">
        <v>5895</v>
      </c>
      <c r="N10" s="163" t="s">
        <v>1</v>
      </c>
      <c r="O10" s="164">
        <v>1</v>
      </c>
      <c r="P10" s="170" t="s">
        <v>1</v>
      </c>
      <c r="Q10" s="192">
        <v>0.5</v>
      </c>
      <c r="R10" s="170" t="s">
        <v>1</v>
      </c>
      <c r="S10" s="192">
        <v>0.25</v>
      </c>
      <c r="T10" s="178">
        <v>339</v>
      </c>
      <c r="U10" s="172"/>
    </row>
    <row r="11" spans="1:21" ht="16.5" customHeight="1" x14ac:dyDescent="0.3">
      <c r="A11" s="147">
        <v>15</v>
      </c>
      <c r="B11" s="147">
        <v>7555</v>
      </c>
      <c r="C11" s="155" t="s">
        <v>7945</v>
      </c>
      <c r="D11" s="156" t="s">
        <v>17856</v>
      </c>
      <c r="E11" s="157">
        <v>200</v>
      </c>
      <c r="F11" s="158" t="s">
        <v>0</v>
      </c>
      <c r="G11" s="156" t="s">
        <v>17855</v>
      </c>
      <c r="H11" s="157">
        <v>79</v>
      </c>
      <c r="I11" s="158" t="s">
        <v>0</v>
      </c>
      <c r="J11" s="169"/>
      <c r="K11" s="153"/>
      <c r="L11" s="152"/>
      <c r="M11" s="162"/>
      <c r="N11" s="163"/>
      <c r="O11" s="164"/>
      <c r="P11" s="170"/>
      <c r="Q11" s="174" t="s">
        <v>17854</v>
      </c>
      <c r="R11" s="170"/>
      <c r="S11" s="174" t="s">
        <v>17854</v>
      </c>
      <c r="T11" s="178">
        <v>359</v>
      </c>
      <c r="U11" s="172"/>
    </row>
    <row r="12" spans="1:21" ht="16.5" customHeight="1" x14ac:dyDescent="0.3">
      <c r="A12" s="147">
        <v>15</v>
      </c>
      <c r="B12" s="147">
        <v>7556</v>
      </c>
      <c r="C12" s="155" t="s">
        <v>7944</v>
      </c>
      <c r="D12" s="167" t="s">
        <v>17853</v>
      </c>
      <c r="E12" s="150"/>
      <c r="F12" s="168"/>
      <c r="G12" s="167" t="s">
        <v>7928</v>
      </c>
      <c r="H12" s="150"/>
      <c r="I12" s="168"/>
      <c r="J12" s="175"/>
      <c r="K12" s="150"/>
      <c r="L12" s="151"/>
      <c r="M12" s="162" t="s">
        <v>5895</v>
      </c>
      <c r="N12" s="163" t="s">
        <v>1</v>
      </c>
      <c r="O12" s="164">
        <v>1</v>
      </c>
      <c r="P12" s="176"/>
      <c r="Q12" s="168"/>
      <c r="R12" s="176"/>
      <c r="S12" s="168"/>
      <c r="T12" s="178">
        <v>359</v>
      </c>
      <c r="U12" s="177"/>
    </row>
    <row r="13" spans="1:21" ht="16.5" customHeight="1" x14ac:dyDescent="0.3">
      <c r="A13" s="132"/>
      <c r="B13" s="132"/>
      <c r="C13" s="133"/>
      <c r="D13" s="133"/>
      <c r="E13" s="134"/>
      <c r="F13" s="134"/>
      <c r="G13" s="133"/>
      <c r="H13" s="134"/>
      <c r="I13" s="134"/>
      <c r="J13" s="134"/>
      <c r="K13" s="134"/>
      <c r="L13" s="135"/>
      <c r="M13" s="134"/>
      <c r="N13" s="134"/>
      <c r="O13" s="135"/>
      <c r="P13" s="135"/>
      <c r="Q13" s="134"/>
      <c r="R13" s="135"/>
      <c r="S13" s="134"/>
      <c r="T13" s="136"/>
      <c r="U13" s="137"/>
    </row>
    <row r="14" spans="1:21" ht="16.5" customHeight="1" x14ac:dyDescent="0.3">
      <c r="A14" s="132"/>
      <c r="B14" s="132"/>
      <c r="C14" s="133"/>
      <c r="D14" s="133"/>
      <c r="E14" s="134"/>
      <c r="F14" s="134"/>
      <c r="G14" s="133"/>
      <c r="H14" s="134"/>
      <c r="I14" s="134"/>
      <c r="J14" s="134"/>
      <c r="K14" s="134"/>
      <c r="L14" s="135"/>
      <c r="M14" s="134"/>
      <c r="N14" s="134"/>
      <c r="O14" s="135"/>
      <c r="P14" s="135"/>
      <c r="Q14" s="134"/>
      <c r="R14" s="135"/>
      <c r="S14" s="134"/>
      <c r="T14" s="136"/>
      <c r="U14" s="137"/>
    </row>
    <row r="15" spans="1:21" ht="16.5" customHeight="1" x14ac:dyDescent="0.3">
      <c r="A15" s="132"/>
      <c r="B15" s="138" t="s">
        <v>7943</v>
      </c>
      <c r="C15" s="133"/>
      <c r="D15" s="139"/>
      <c r="E15" s="134"/>
      <c r="F15" s="134"/>
      <c r="G15" s="133"/>
      <c r="H15" s="134"/>
      <c r="I15" s="134"/>
      <c r="J15" s="134"/>
      <c r="K15" s="134"/>
      <c r="L15" s="135"/>
      <c r="M15" s="134"/>
      <c r="N15" s="134"/>
      <c r="O15" s="135"/>
      <c r="P15" s="135"/>
      <c r="Q15" s="134"/>
      <c r="R15" s="135"/>
      <c r="S15" s="134"/>
      <c r="T15" s="136"/>
      <c r="U15" s="137"/>
    </row>
    <row r="16" spans="1:21" ht="16.5" customHeight="1" x14ac:dyDescent="0.3">
      <c r="A16" s="140" t="s">
        <v>5864</v>
      </c>
      <c r="B16" s="141"/>
      <c r="C16" s="142" t="s">
        <v>5867</v>
      </c>
      <c r="D16" s="143" t="s">
        <v>5868</v>
      </c>
      <c r="E16" s="144"/>
      <c r="F16" s="144"/>
      <c r="G16" s="143"/>
      <c r="H16" s="144"/>
      <c r="I16" s="144"/>
      <c r="J16" s="144"/>
      <c r="K16" s="144"/>
      <c r="L16" s="145"/>
      <c r="M16" s="144"/>
      <c r="N16" s="144"/>
      <c r="O16" s="145"/>
      <c r="P16" s="145"/>
      <c r="Q16" s="144"/>
      <c r="R16" s="145"/>
      <c r="S16" s="144"/>
      <c r="T16" s="146" t="s">
        <v>5869</v>
      </c>
      <c r="U16" s="146" t="s">
        <v>5871</v>
      </c>
    </row>
    <row r="17" spans="1:21" ht="16.5" customHeight="1" x14ac:dyDescent="0.3">
      <c r="A17" s="147" t="s">
        <v>5865</v>
      </c>
      <c r="B17" s="147" t="s">
        <v>5866</v>
      </c>
      <c r="C17" s="148"/>
      <c r="D17" s="179" t="s">
        <v>5872</v>
      </c>
      <c r="E17" s="180"/>
      <c r="F17" s="181"/>
      <c r="G17" s="149"/>
      <c r="H17" s="150"/>
      <c r="I17" s="150"/>
      <c r="J17" s="150"/>
      <c r="K17" s="150"/>
      <c r="L17" s="151"/>
      <c r="M17" s="150"/>
      <c r="N17" s="150"/>
      <c r="O17" s="151"/>
      <c r="P17" s="152"/>
      <c r="Q17" s="153"/>
      <c r="R17" s="152"/>
      <c r="S17" s="153"/>
      <c r="T17" s="154" t="s">
        <v>5870</v>
      </c>
      <c r="U17" s="154" t="s">
        <v>0</v>
      </c>
    </row>
    <row r="18" spans="1:21" ht="16.5" customHeight="1" x14ac:dyDescent="0.3">
      <c r="A18" s="147">
        <v>15</v>
      </c>
      <c r="B18" s="147">
        <v>7557</v>
      </c>
      <c r="C18" s="155" t="s">
        <v>7942</v>
      </c>
      <c r="D18" s="156" t="s">
        <v>17852</v>
      </c>
      <c r="E18" s="157">
        <v>105</v>
      </c>
      <c r="F18" s="158" t="s">
        <v>0</v>
      </c>
      <c r="G18" s="156" t="s">
        <v>17848</v>
      </c>
      <c r="H18" s="157">
        <v>95</v>
      </c>
      <c r="I18" s="158" t="s">
        <v>0</v>
      </c>
      <c r="J18" s="159"/>
      <c r="K18" s="160"/>
      <c r="L18" s="161"/>
      <c r="M18" s="162"/>
      <c r="N18" s="163"/>
      <c r="O18" s="164"/>
      <c r="P18" s="165"/>
      <c r="Q18" s="160"/>
      <c r="R18" s="161"/>
      <c r="S18" s="158"/>
      <c r="T18" s="166">
        <v>205</v>
      </c>
      <c r="U18" s="142" t="s">
        <v>5863</v>
      </c>
    </row>
    <row r="19" spans="1:21" ht="16.5" customHeight="1" x14ac:dyDescent="0.3">
      <c r="A19" s="147">
        <v>15</v>
      </c>
      <c r="B19" s="147">
        <v>7558</v>
      </c>
      <c r="C19" s="155" t="s">
        <v>7941</v>
      </c>
      <c r="D19" s="188" t="s">
        <v>7928</v>
      </c>
      <c r="E19" s="153"/>
      <c r="F19" s="171"/>
      <c r="G19" s="167" t="s">
        <v>7928</v>
      </c>
      <c r="H19" s="150"/>
      <c r="I19" s="168"/>
      <c r="J19" s="169"/>
      <c r="K19" s="153"/>
      <c r="L19" s="152"/>
      <c r="M19" s="162" t="s">
        <v>5895</v>
      </c>
      <c r="N19" s="163" t="s">
        <v>1</v>
      </c>
      <c r="O19" s="164">
        <v>1</v>
      </c>
      <c r="P19" s="170" t="s">
        <v>5875</v>
      </c>
      <c r="Q19" s="153"/>
      <c r="R19" s="152"/>
      <c r="S19" s="171"/>
      <c r="T19" s="166">
        <v>205</v>
      </c>
      <c r="U19" s="172"/>
    </row>
    <row r="20" spans="1:21" ht="16.5" customHeight="1" x14ac:dyDescent="0.3">
      <c r="A20" s="147">
        <v>15</v>
      </c>
      <c r="B20" s="147">
        <v>7559</v>
      </c>
      <c r="C20" s="155" t="s">
        <v>7940</v>
      </c>
      <c r="D20" s="188"/>
      <c r="E20" s="153"/>
      <c r="F20" s="171"/>
      <c r="G20" s="156" t="s">
        <v>17851</v>
      </c>
      <c r="H20" s="157">
        <v>174</v>
      </c>
      <c r="I20" s="158" t="s">
        <v>0</v>
      </c>
      <c r="J20" s="169" t="s">
        <v>17843</v>
      </c>
      <c r="K20" s="153"/>
      <c r="L20" s="152"/>
      <c r="M20" s="162"/>
      <c r="N20" s="163"/>
      <c r="O20" s="164"/>
      <c r="P20" s="170"/>
      <c r="Q20" s="195"/>
      <c r="R20" s="152" t="s">
        <v>1</v>
      </c>
      <c r="S20" s="192">
        <v>0.25</v>
      </c>
      <c r="T20" s="166">
        <v>276</v>
      </c>
      <c r="U20" s="172"/>
    </row>
    <row r="21" spans="1:21" ht="16.5" customHeight="1" x14ac:dyDescent="0.3">
      <c r="A21" s="147">
        <v>15</v>
      </c>
      <c r="B21" s="147">
        <v>7560</v>
      </c>
      <c r="C21" s="155" t="s">
        <v>7939</v>
      </c>
      <c r="D21" s="167"/>
      <c r="E21" s="150"/>
      <c r="F21" s="168"/>
      <c r="G21" s="167" t="s">
        <v>7929</v>
      </c>
      <c r="H21" s="150"/>
      <c r="I21" s="168"/>
      <c r="J21" s="169" t="s">
        <v>17850</v>
      </c>
      <c r="K21" s="153" t="s">
        <v>1</v>
      </c>
      <c r="L21" s="152">
        <v>0.9</v>
      </c>
      <c r="M21" s="162" t="s">
        <v>5895</v>
      </c>
      <c r="N21" s="163" t="s">
        <v>1</v>
      </c>
      <c r="O21" s="164">
        <v>1</v>
      </c>
      <c r="P21" s="170"/>
      <c r="Q21" s="196"/>
      <c r="R21" s="152"/>
      <c r="S21" s="174" t="s">
        <v>422</v>
      </c>
      <c r="T21" s="166">
        <v>276</v>
      </c>
      <c r="U21" s="172"/>
    </row>
    <row r="22" spans="1:21" ht="16.5" customHeight="1" x14ac:dyDescent="0.3">
      <c r="A22" s="147">
        <v>15</v>
      </c>
      <c r="B22" s="147">
        <v>7561</v>
      </c>
      <c r="C22" s="155" t="s">
        <v>7938</v>
      </c>
      <c r="D22" s="156" t="s">
        <v>17849</v>
      </c>
      <c r="E22" s="157">
        <v>200</v>
      </c>
      <c r="F22" s="158" t="s">
        <v>0</v>
      </c>
      <c r="G22" s="156" t="s">
        <v>17848</v>
      </c>
      <c r="H22" s="157">
        <v>79</v>
      </c>
      <c r="I22" s="158" t="s">
        <v>0</v>
      </c>
      <c r="J22" s="169"/>
      <c r="K22" s="153"/>
      <c r="L22" s="152"/>
      <c r="M22" s="162"/>
      <c r="N22" s="163"/>
      <c r="O22" s="164"/>
      <c r="P22" s="170"/>
      <c r="Q22" s="195"/>
      <c r="R22" s="152"/>
      <c r="S22" s="171"/>
      <c r="T22" s="166">
        <v>296</v>
      </c>
      <c r="U22" s="172"/>
    </row>
    <row r="23" spans="1:21" ht="16.5" customHeight="1" x14ac:dyDescent="0.3">
      <c r="A23" s="147">
        <v>15</v>
      </c>
      <c r="B23" s="147">
        <v>7562</v>
      </c>
      <c r="C23" s="155" t="s">
        <v>7937</v>
      </c>
      <c r="D23" s="167" t="s">
        <v>7929</v>
      </c>
      <c r="E23" s="150"/>
      <c r="F23" s="168"/>
      <c r="G23" s="167" t="s">
        <v>7928</v>
      </c>
      <c r="H23" s="150"/>
      <c r="I23" s="168"/>
      <c r="J23" s="175"/>
      <c r="K23" s="150"/>
      <c r="L23" s="151"/>
      <c r="M23" s="162" t="s">
        <v>5895</v>
      </c>
      <c r="N23" s="163" t="s">
        <v>1</v>
      </c>
      <c r="O23" s="164">
        <v>1</v>
      </c>
      <c r="P23" s="176"/>
      <c r="Q23" s="150"/>
      <c r="R23" s="151"/>
      <c r="S23" s="168"/>
      <c r="T23" s="166">
        <v>296</v>
      </c>
      <c r="U23" s="177"/>
    </row>
    <row r="24" spans="1:21" ht="16.5" customHeight="1" x14ac:dyDescent="0.3">
      <c r="A24" s="132"/>
      <c r="B24" s="132"/>
      <c r="C24" s="133"/>
      <c r="D24" s="133"/>
      <c r="E24" s="134"/>
      <c r="F24" s="134"/>
      <c r="G24" s="133"/>
      <c r="H24" s="134"/>
      <c r="I24" s="134"/>
      <c r="J24" s="134"/>
      <c r="K24" s="134"/>
      <c r="L24" s="135"/>
      <c r="M24" s="134"/>
      <c r="N24" s="134"/>
      <c r="O24" s="135"/>
      <c r="P24" s="135"/>
      <c r="Q24" s="134"/>
      <c r="R24" s="135"/>
      <c r="S24" s="134"/>
      <c r="T24" s="136"/>
      <c r="U24" s="137"/>
    </row>
    <row r="25" spans="1:21" ht="16.5" customHeight="1" x14ac:dyDescent="0.3">
      <c r="A25" s="132"/>
      <c r="B25" s="132"/>
      <c r="C25" s="133"/>
      <c r="D25" s="133"/>
      <c r="E25" s="134"/>
      <c r="F25" s="134"/>
      <c r="G25" s="133"/>
      <c r="H25" s="134"/>
      <c r="I25" s="134"/>
      <c r="J25" s="134"/>
      <c r="K25" s="134"/>
      <c r="L25" s="135"/>
      <c r="M25" s="134"/>
      <c r="N25" s="134"/>
      <c r="O25" s="135"/>
      <c r="P25" s="135"/>
      <c r="Q25" s="134"/>
      <c r="R25" s="135"/>
      <c r="S25" s="134"/>
      <c r="T25" s="136"/>
      <c r="U25" s="137"/>
    </row>
    <row r="26" spans="1:21" ht="16.5" customHeight="1" x14ac:dyDescent="0.3">
      <c r="A26" s="132"/>
      <c r="B26" s="138" t="s">
        <v>7936</v>
      </c>
      <c r="C26" s="133"/>
      <c r="D26" s="139"/>
      <c r="E26" s="134"/>
      <c r="F26" s="134"/>
      <c r="G26" s="133"/>
      <c r="H26" s="134"/>
      <c r="I26" s="134"/>
      <c r="J26" s="134"/>
      <c r="K26" s="134"/>
      <c r="L26" s="135"/>
      <c r="M26" s="134"/>
      <c r="N26" s="134"/>
      <c r="O26" s="135"/>
      <c r="P26" s="135"/>
      <c r="Q26" s="134"/>
      <c r="R26" s="135"/>
      <c r="S26" s="134"/>
      <c r="T26" s="136"/>
      <c r="U26" s="137"/>
    </row>
    <row r="27" spans="1:21" ht="16.5" customHeight="1" x14ac:dyDescent="0.3">
      <c r="A27" s="140" t="s">
        <v>5864</v>
      </c>
      <c r="B27" s="141"/>
      <c r="C27" s="142" t="s">
        <v>5867</v>
      </c>
      <c r="D27" s="143" t="s">
        <v>5868</v>
      </c>
      <c r="E27" s="144"/>
      <c r="F27" s="144"/>
      <c r="G27" s="143"/>
      <c r="H27" s="144"/>
      <c r="I27" s="144"/>
      <c r="J27" s="144"/>
      <c r="K27" s="144"/>
      <c r="L27" s="145"/>
      <c r="M27" s="144"/>
      <c r="N27" s="144"/>
      <c r="O27" s="145"/>
      <c r="P27" s="145"/>
      <c r="Q27" s="144"/>
      <c r="R27" s="145"/>
      <c r="S27" s="144"/>
      <c r="T27" s="146" t="s">
        <v>5869</v>
      </c>
      <c r="U27" s="146" t="s">
        <v>5871</v>
      </c>
    </row>
    <row r="28" spans="1:21" ht="16.5" customHeight="1" x14ac:dyDescent="0.3">
      <c r="A28" s="147" t="s">
        <v>5865</v>
      </c>
      <c r="B28" s="147" t="s">
        <v>5866</v>
      </c>
      <c r="C28" s="148"/>
      <c r="D28" s="149"/>
      <c r="E28" s="150"/>
      <c r="F28" s="150"/>
      <c r="G28" s="179" t="s">
        <v>5872</v>
      </c>
      <c r="H28" s="180"/>
      <c r="I28" s="181"/>
      <c r="J28" s="150"/>
      <c r="K28" s="150"/>
      <c r="L28" s="151"/>
      <c r="M28" s="150"/>
      <c r="N28" s="150"/>
      <c r="O28" s="151"/>
      <c r="P28" s="151"/>
      <c r="Q28" s="150"/>
      <c r="R28" s="151"/>
      <c r="S28" s="150"/>
      <c r="T28" s="154" t="s">
        <v>5870</v>
      </c>
      <c r="U28" s="154" t="s">
        <v>0</v>
      </c>
    </row>
    <row r="29" spans="1:21" ht="16.5" customHeight="1" x14ac:dyDescent="0.3">
      <c r="A29" s="147">
        <v>15</v>
      </c>
      <c r="B29" s="147">
        <v>7563</v>
      </c>
      <c r="C29" s="155" t="s">
        <v>7935</v>
      </c>
      <c r="D29" s="156" t="s">
        <v>17847</v>
      </c>
      <c r="E29" s="157">
        <v>105</v>
      </c>
      <c r="F29" s="158" t="s">
        <v>0</v>
      </c>
      <c r="G29" s="156" t="s">
        <v>17846</v>
      </c>
      <c r="H29" s="157">
        <v>95</v>
      </c>
      <c r="I29" s="158" t="s">
        <v>0</v>
      </c>
      <c r="J29" s="159"/>
      <c r="K29" s="160"/>
      <c r="L29" s="161"/>
      <c r="M29" s="162"/>
      <c r="N29" s="163"/>
      <c r="O29" s="164"/>
      <c r="P29" s="165"/>
      <c r="Q29" s="160"/>
      <c r="R29" s="161"/>
      <c r="S29" s="158"/>
      <c r="T29" s="178">
        <v>203</v>
      </c>
      <c r="U29" s="142" t="s">
        <v>5863</v>
      </c>
    </row>
    <row r="30" spans="1:21" ht="16.5" customHeight="1" x14ac:dyDescent="0.3">
      <c r="A30" s="147">
        <v>15</v>
      </c>
      <c r="B30" s="147">
        <v>7564</v>
      </c>
      <c r="C30" s="155" t="s">
        <v>7934</v>
      </c>
      <c r="D30" s="188" t="s">
        <v>7928</v>
      </c>
      <c r="E30" s="153"/>
      <c r="F30" s="171"/>
      <c r="G30" s="167" t="s">
        <v>7928</v>
      </c>
      <c r="H30" s="150"/>
      <c r="I30" s="168"/>
      <c r="J30" s="169"/>
      <c r="K30" s="153"/>
      <c r="L30" s="152"/>
      <c r="M30" s="162" t="s">
        <v>5895</v>
      </c>
      <c r="N30" s="163" t="s">
        <v>1</v>
      </c>
      <c r="O30" s="164">
        <v>1</v>
      </c>
      <c r="P30" s="170" t="s">
        <v>17845</v>
      </c>
      <c r="Q30" s="153"/>
      <c r="R30" s="152"/>
      <c r="S30" s="171"/>
      <c r="T30" s="178">
        <v>203</v>
      </c>
      <c r="U30" s="172"/>
    </row>
    <row r="31" spans="1:21" ht="16.5" customHeight="1" x14ac:dyDescent="0.3">
      <c r="A31" s="147">
        <v>15</v>
      </c>
      <c r="B31" s="147">
        <v>7565</v>
      </c>
      <c r="C31" s="155" t="s">
        <v>7933</v>
      </c>
      <c r="D31" s="188"/>
      <c r="E31" s="153"/>
      <c r="F31" s="171"/>
      <c r="G31" s="156" t="s">
        <v>17844</v>
      </c>
      <c r="H31" s="157">
        <v>174</v>
      </c>
      <c r="I31" s="158" t="s">
        <v>0</v>
      </c>
      <c r="J31" s="169" t="s">
        <v>17843</v>
      </c>
      <c r="K31" s="153"/>
      <c r="L31" s="152"/>
      <c r="M31" s="162"/>
      <c r="N31" s="163"/>
      <c r="O31" s="164"/>
      <c r="P31" s="170"/>
      <c r="Q31" s="195"/>
      <c r="R31" s="152" t="s">
        <v>1</v>
      </c>
      <c r="S31" s="192">
        <v>0.25</v>
      </c>
      <c r="T31" s="178">
        <v>291</v>
      </c>
      <c r="U31" s="172"/>
    </row>
    <row r="32" spans="1:21" ht="16.5" customHeight="1" x14ac:dyDescent="0.3">
      <c r="A32" s="147">
        <v>15</v>
      </c>
      <c r="B32" s="147">
        <v>7566</v>
      </c>
      <c r="C32" s="155" t="s">
        <v>7932</v>
      </c>
      <c r="D32" s="167"/>
      <c r="E32" s="150"/>
      <c r="F32" s="168"/>
      <c r="G32" s="167" t="s">
        <v>7929</v>
      </c>
      <c r="H32" s="150"/>
      <c r="I32" s="168"/>
      <c r="J32" s="169" t="s">
        <v>16812</v>
      </c>
      <c r="K32" s="153" t="s">
        <v>1</v>
      </c>
      <c r="L32" s="152">
        <v>0.9</v>
      </c>
      <c r="M32" s="162" t="s">
        <v>5895</v>
      </c>
      <c r="N32" s="163" t="s">
        <v>1</v>
      </c>
      <c r="O32" s="164">
        <v>1</v>
      </c>
      <c r="P32" s="170"/>
      <c r="Q32" s="196"/>
      <c r="R32" s="152"/>
      <c r="S32" s="174" t="s">
        <v>422</v>
      </c>
      <c r="T32" s="178">
        <v>291</v>
      </c>
      <c r="U32" s="172"/>
    </row>
    <row r="33" spans="1:21" ht="16.5" customHeight="1" x14ac:dyDescent="0.3">
      <c r="A33" s="147">
        <v>15</v>
      </c>
      <c r="B33" s="147">
        <v>7567</v>
      </c>
      <c r="C33" s="155" t="s">
        <v>7931</v>
      </c>
      <c r="D33" s="156" t="s">
        <v>17842</v>
      </c>
      <c r="E33" s="157">
        <v>200</v>
      </c>
      <c r="F33" s="158" t="s">
        <v>0</v>
      </c>
      <c r="G33" s="156" t="s">
        <v>17841</v>
      </c>
      <c r="H33" s="157">
        <v>79</v>
      </c>
      <c r="I33" s="158" t="s">
        <v>0</v>
      </c>
      <c r="J33" s="169"/>
      <c r="K33" s="153"/>
      <c r="L33" s="152"/>
      <c r="M33" s="162"/>
      <c r="N33" s="163"/>
      <c r="O33" s="164"/>
      <c r="P33" s="170"/>
      <c r="Q33" s="195"/>
      <c r="R33" s="152"/>
      <c r="S33" s="171"/>
      <c r="T33" s="178">
        <v>269</v>
      </c>
      <c r="U33" s="172"/>
    </row>
    <row r="34" spans="1:21" ht="16.5" customHeight="1" x14ac:dyDescent="0.3">
      <c r="A34" s="147">
        <v>15</v>
      </c>
      <c r="B34" s="147">
        <v>7568</v>
      </c>
      <c r="C34" s="155" t="s">
        <v>7930</v>
      </c>
      <c r="D34" s="167" t="s">
        <v>7929</v>
      </c>
      <c r="E34" s="150"/>
      <c r="F34" s="168"/>
      <c r="G34" s="167" t="s">
        <v>7928</v>
      </c>
      <c r="H34" s="150"/>
      <c r="I34" s="168"/>
      <c r="J34" s="175"/>
      <c r="K34" s="150"/>
      <c r="L34" s="151"/>
      <c r="M34" s="162" t="s">
        <v>5895</v>
      </c>
      <c r="N34" s="163" t="s">
        <v>1</v>
      </c>
      <c r="O34" s="164">
        <v>1</v>
      </c>
      <c r="P34" s="176"/>
      <c r="Q34" s="150"/>
      <c r="R34" s="151"/>
      <c r="S34" s="168"/>
      <c r="T34" s="178">
        <v>269</v>
      </c>
      <c r="U34" s="177"/>
    </row>
    <row r="35" spans="1:21" ht="16.5" customHeight="1" x14ac:dyDescent="0.3"/>
    <row r="36" spans="1:21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theme="1" tint="0.249977111117893"/>
    <pageSetUpPr fitToPage="1"/>
  </sheetPr>
  <dimension ref="A1:W25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2.3671875" style="46" customWidth="1"/>
    <col min="5" max="5" width="15.62890625" style="45" customWidth="1"/>
    <col min="6" max="6" width="4.1015625" style="46" bestFit="1" customWidth="1"/>
    <col min="7" max="7" width="4.734375" style="46" bestFit="1" customWidth="1"/>
    <col min="8" max="8" width="2.3671875" style="46" customWidth="1"/>
    <col min="9" max="9" width="15.62890625" style="45" customWidth="1"/>
    <col min="10" max="10" width="4.1015625" style="46" bestFit="1" customWidth="1"/>
    <col min="11" max="11" width="4.734375" style="46" bestFit="1" customWidth="1"/>
    <col min="12" max="12" width="18.62890625" style="46" customWidth="1"/>
    <col min="13" max="13" width="3.1015625" style="46" bestFit="1" customWidth="1"/>
    <col min="14" max="14" width="4.1015625" style="47" bestFit="1" customWidth="1"/>
    <col min="15" max="15" width="30.62890625" style="46" customWidth="1"/>
    <col min="16" max="16" width="3.1015625" style="46" bestFit="1" customWidth="1"/>
    <col min="17" max="17" width="5" style="47" bestFit="1" customWidth="1"/>
    <col min="18" max="18" width="4.1015625" style="47" bestFit="1" customWidth="1"/>
    <col min="19" max="19" width="4.734375" style="46" bestFit="1" customWidth="1"/>
    <col min="20" max="20" width="4.1015625" style="47" bestFit="1" customWidth="1"/>
    <col min="21" max="21" width="4.734375" style="46" bestFit="1" customWidth="1"/>
    <col min="22" max="22" width="6.3671875" style="84" bestFit="1" customWidth="1"/>
    <col min="23" max="23" width="7.734375" style="48" bestFit="1" customWidth="1"/>
    <col min="24" max="16384" width="9" style="49"/>
  </cols>
  <sheetData>
    <row r="1" spans="1:23" ht="16.5" customHeight="1" x14ac:dyDescent="0.3">
      <c r="A1" s="132"/>
      <c r="B1" s="132"/>
      <c r="C1" s="133"/>
      <c r="D1" s="134"/>
      <c r="E1" s="133"/>
      <c r="F1" s="134"/>
      <c r="G1" s="134"/>
      <c r="H1" s="134"/>
      <c r="I1" s="133"/>
      <c r="J1" s="134"/>
      <c r="K1" s="134"/>
      <c r="L1" s="134"/>
      <c r="M1" s="134"/>
      <c r="N1" s="135"/>
      <c r="O1" s="134"/>
      <c r="P1" s="134"/>
      <c r="Q1" s="135"/>
      <c r="R1" s="135"/>
      <c r="S1" s="134"/>
      <c r="T1" s="135"/>
      <c r="U1" s="134"/>
      <c r="V1" s="136"/>
      <c r="W1" s="137"/>
    </row>
    <row r="2" spans="1:23" ht="16.5" customHeight="1" x14ac:dyDescent="0.3">
      <c r="A2" s="132"/>
      <c r="B2" s="132"/>
      <c r="C2" s="133"/>
      <c r="D2" s="134"/>
      <c r="E2" s="133"/>
      <c r="F2" s="134"/>
      <c r="G2" s="134"/>
      <c r="H2" s="134"/>
      <c r="I2" s="133"/>
      <c r="J2" s="134"/>
      <c r="K2" s="134"/>
      <c r="L2" s="134"/>
      <c r="M2" s="134"/>
      <c r="N2" s="135"/>
      <c r="O2" s="134"/>
      <c r="P2" s="134"/>
      <c r="Q2" s="135"/>
      <c r="R2" s="135"/>
      <c r="S2" s="134"/>
      <c r="T2" s="135"/>
      <c r="U2" s="134"/>
      <c r="V2" s="136"/>
      <c r="W2" s="137"/>
    </row>
    <row r="3" spans="1:23" ht="16.5" customHeight="1" x14ac:dyDescent="0.3">
      <c r="A3" s="132"/>
      <c r="B3" s="132"/>
      <c r="C3" s="133"/>
      <c r="D3" s="134"/>
      <c r="E3" s="133"/>
      <c r="F3" s="134"/>
      <c r="G3" s="134"/>
      <c r="H3" s="134"/>
      <c r="I3" s="133"/>
      <c r="J3" s="134"/>
      <c r="K3" s="134"/>
      <c r="L3" s="134"/>
      <c r="M3" s="134"/>
      <c r="N3" s="135"/>
      <c r="O3" s="134"/>
      <c r="P3" s="134"/>
      <c r="Q3" s="135"/>
      <c r="R3" s="135"/>
      <c r="S3" s="134"/>
      <c r="T3" s="135"/>
      <c r="U3" s="134"/>
      <c r="V3" s="136"/>
      <c r="W3" s="137"/>
    </row>
    <row r="4" spans="1:23" ht="16.5" customHeight="1" x14ac:dyDescent="0.3">
      <c r="A4" s="132"/>
      <c r="B4" s="138" t="s">
        <v>7966</v>
      </c>
      <c r="C4" s="133"/>
      <c r="D4" s="134"/>
      <c r="E4" s="139"/>
      <c r="F4" s="134"/>
      <c r="G4" s="134"/>
      <c r="H4" s="134"/>
      <c r="I4" s="133"/>
      <c r="J4" s="134"/>
      <c r="K4" s="134"/>
      <c r="L4" s="134"/>
      <c r="M4" s="134"/>
      <c r="N4" s="135"/>
      <c r="O4" s="134"/>
      <c r="P4" s="134"/>
      <c r="Q4" s="135"/>
      <c r="R4" s="135"/>
      <c r="S4" s="134"/>
      <c r="T4" s="135"/>
      <c r="U4" s="134"/>
      <c r="V4" s="136"/>
      <c r="W4" s="137"/>
    </row>
    <row r="5" spans="1:23" ht="16.5" customHeight="1" x14ac:dyDescent="0.3">
      <c r="A5" s="140" t="s">
        <v>5864</v>
      </c>
      <c r="B5" s="141"/>
      <c r="C5" s="142" t="s">
        <v>5867</v>
      </c>
      <c r="D5" s="144"/>
      <c r="E5" s="143" t="s">
        <v>5868</v>
      </c>
      <c r="F5" s="144"/>
      <c r="G5" s="144"/>
      <c r="H5" s="144"/>
      <c r="I5" s="143"/>
      <c r="J5" s="144"/>
      <c r="K5" s="144"/>
      <c r="L5" s="144"/>
      <c r="M5" s="144"/>
      <c r="N5" s="145"/>
      <c r="O5" s="144"/>
      <c r="P5" s="144"/>
      <c r="Q5" s="145"/>
      <c r="R5" s="145"/>
      <c r="S5" s="144"/>
      <c r="T5" s="145"/>
      <c r="U5" s="144"/>
      <c r="V5" s="146" t="s">
        <v>5869</v>
      </c>
      <c r="W5" s="146" t="s">
        <v>5871</v>
      </c>
    </row>
    <row r="6" spans="1:23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0"/>
      <c r="G6" s="181"/>
      <c r="H6" s="179" t="s">
        <v>17870</v>
      </c>
      <c r="I6" s="180"/>
      <c r="J6" s="180"/>
      <c r="K6" s="181"/>
      <c r="L6" s="150"/>
      <c r="M6" s="150"/>
      <c r="N6" s="151"/>
      <c r="O6" s="150"/>
      <c r="P6" s="150"/>
      <c r="Q6" s="151"/>
      <c r="R6" s="151"/>
      <c r="S6" s="150"/>
      <c r="T6" s="151"/>
      <c r="U6" s="150"/>
      <c r="V6" s="154" t="s">
        <v>5870</v>
      </c>
      <c r="W6" s="154" t="s">
        <v>0</v>
      </c>
    </row>
    <row r="7" spans="1:23" ht="16.5" customHeight="1" x14ac:dyDescent="0.3">
      <c r="A7" s="147">
        <v>15</v>
      </c>
      <c r="B7" s="147">
        <v>7569</v>
      </c>
      <c r="C7" s="155" t="s">
        <v>7965</v>
      </c>
      <c r="D7" s="156" t="s">
        <v>17869</v>
      </c>
      <c r="E7" s="191"/>
      <c r="F7" s="157">
        <v>105</v>
      </c>
      <c r="G7" s="158" t="s">
        <v>0</v>
      </c>
      <c r="H7" s="156" t="s">
        <v>17867</v>
      </c>
      <c r="I7" s="191"/>
      <c r="J7" s="157">
        <v>95</v>
      </c>
      <c r="K7" s="158" t="s">
        <v>0</v>
      </c>
      <c r="L7" s="159"/>
      <c r="M7" s="160"/>
      <c r="N7" s="161"/>
      <c r="O7" s="162"/>
      <c r="P7" s="163"/>
      <c r="Q7" s="164"/>
      <c r="R7" s="165"/>
      <c r="S7" s="158"/>
      <c r="T7" s="165"/>
      <c r="U7" s="158"/>
      <c r="V7" s="178">
        <v>248</v>
      </c>
      <c r="W7" s="142" t="s">
        <v>5863</v>
      </c>
    </row>
    <row r="8" spans="1:23" ht="16.5" customHeight="1" x14ac:dyDescent="0.3">
      <c r="A8" s="147">
        <v>15</v>
      </c>
      <c r="B8" s="147">
        <v>7570</v>
      </c>
      <c r="C8" s="155" t="s">
        <v>7964</v>
      </c>
      <c r="D8" s="188" t="s">
        <v>7928</v>
      </c>
      <c r="E8" s="187"/>
      <c r="F8" s="153"/>
      <c r="G8" s="171"/>
      <c r="H8" s="167" t="s">
        <v>7928</v>
      </c>
      <c r="I8" s="149"/>
      <c r="J8" s="150"/>
      <c r="K8" s="168"/>
      <c r="L8" s="169"/>
      <c r="M8" s="153"/>
      <c r="N8" s="152"/>
      <c r="O8" s="162" t="s">
        <v>5895</v>
      </c>
      <c r="P8" s="163" t="s">
        <v>1</v>
      </c>
      <c r="Q8" s="164">
        <v>1</v>
      </c>
      <c r="R8" s="170" t="s">
        <v>7743</v>
      </c>
      <c r="S8" s="171"/>
      <c r="T8" s="170" t="s">
        <v>7920</v>
      </c>
      <c r="U8" s="171"/>
      <c r="V8" s="178">
        <v>248</v>
      </c>
      <c r="W8" s="172"/>
    </row>
    <row r="9" spans="1:23" ht="16.5" customHeight="1" x14ac:dyDescent="0.3">
      <c r="A9" s="147">
        <v>15</v>
      </c>
      <c r="B9" s="147">
        <v>7571</v>
      </c>
      <c r="C9" s="155" t="s">
        <v>7963</v>
      </c>
      <c r="D9" s="188"/>
      <c r="E9" s="187"/>
      <c r="F9" s="153"/>
      <c r="G9" s="171"/>
      <c r="H9" s="156" t="s">
        <v>17866</v>
      </c>
      <c r="I9" s="191"/>
      <c r="J9" s="157">
        <v>174</v>
      </c>
      <c r="K9" s="158" t="s">
        <v>0</v>
      </c>
      <c r="L9" s="169" t="s">
        <v>17865</v>
      </c>
      <c r="M9" s="153"/>
      <c r="N9" s="152"/>
      <c r="O9" s="162"/>
      <c r="P9" s="163"/>
      <c r="Q9" s="164"/>
      <c r="R9" s="170"/>
      <c r="S9" s="174" t="s">
        <v>7948</v>
      </c>
      <c r="T9" s="170"/>
      <c r="U9" s="174" t="s">
        <v>7947</v>
      </c>
      <c r="V9" s="178">
        <v>355</v>
      </c>
      <c r="W9" s="172"/>
    </row>
    <row r="10" spans="1:23" ht="16.5" customHeight="1" x14ac:dyDescent="0.3">
      <c r="A10" s="147">
        <v>15</v>
      </c>
      <c r="B10" s="147">
        <v>7572</v>
      </c>
      <c r="C10" s="155" t="s">
        <v>7962</v>
      </c>
      <c r="D10" s="167"/>
      <c r="E10" s="149"/>
      <c r="F10" s="150"/>
      <c r="G10" s="168"/>
      <c r="H10" s="167" t="s">
        <v>7929</v>
      </c>
      <c r="I10" s="149"/>
      <c r="J10" s="150"/>
      <c r="K10" s="168"/>
      <c r="L10" s="169" t="s">
        <v>17864</v>
      </c>
      <c r="M10" s="153" t="s">
        <v>1</v>
      </c>
      <c r="N10" s="152">
        <v>0.9</v>
      </c>
      <c r="O10" s="162" t="s">
        <v>5895</v>
      </c>
      <c r="P10" s="163" t="s">
        <v>1</v>
      </c>
      <c r="Q10" s="164">
        <v>1</v>
      </c>
      <c r="R10" s="170" t="s">
        <v>1</v>
      </c>
      <c r="S10" s="192">
        <v>0.25</v>
      </c>
      <c r="T10" s="170" t="s">
        <v>1</v>
      </c>
      <c r="U10" s="192">
        <v>0.5</v>
      </c>
      <c r="V10" s="178">
        <v>355</v>
      </c>
      <c r="W10" s="172"/>
    </row>
    <row r="11" spans="1:23" ht="16.5" customHeight="1" x14ac:dyDescent="0.3">
      <c r="A11" s="147">
        <v>15</v>
      </c>
      <c r="B11" s="147">
        <v>7573</v>
      </c>
      <c r="C11" s="155" t="s">
        <v>7961</v>
      </c>
      <c r="D11" s="156" t="s">
        <v>17868</v>
      </c>
      <c r="E11" s="191"/>
      <c r="F11" s="157">
        <v>200</v>
      </c>
      <c r="G11" s="158" t="s">
        <v>0</v>
      </c>
      <c r="H11" s="156" t="s">
        <v>17867</v>
      </c>
      <c r="I11" s="191"/>
      <c r="J11" s="157">
        <v>79</v>
      </c>
      <c r="K11" s="158" t="s">
        <v>0</v>
      </c>
      <c r="L11" s="169"/>
      <c r="M11" s="153"/>
      <c r="N11" s="152"/>
      <c r="O11" s="162"/>
      <c r="P11" s="163"/>
      <c r="Q11" s="164"/>
      <c r="R11" s="170"/>
      <c r="S11" s="174" t="s">
        <v>17861</v>
      </c>
      <c r="T11" s="170"/>
      <c r="U11" s="174" t="s">
        <v>17861</v>
      </c>
      <c r="V11" s="178">
        <v>332</v>
      </c>
      <c r="W11" s="172"/>
    </row>
    <row r="12" spans="1:23" ht="16.5" customHeight="1" x14ac:dyDescent="0.3">
      <c r="A12" s="147">
        <v>15</v>
      </c>
      <c r="B12" s="147">
        <v>7574</v>
      </c>
      <c r="C12" s="155" t="s">
        <v>7960</v>
      </c>
      <c r="D12" s="167" t="s">
        <v>7929</v>
      </c>
      <c r="E12" s="149"/>
      <c r="F12" s="150"/>
      <c r="G12" s="168"/>
      <c r="H12" s="167" t="s">
        <v>7928</v>
      </c>
      <c r="I12" s="149"/>
      <c r="J12" s="150"/>
      <c r="K12" s="168"/>
      <c r="L12" s="175"/>
      <c r="M12" s="150"/>
      <c r="N12" s="151"/>
      <c r="O12" s="162" t="s">
        <v>5895</v>
      </c>
      <c r="P12" s="163" t="s">
        <v>1</v>
      </c>
      <c r="Q12" s="164">
        <v>1</v>
      </c>
      <c r="R12" s="176"/>
      <c r="S12" s="168"/>
      <c r="T12" s="176"/>
      <c r="U12" s="168"/>
      <c r="V12" s="178">
        <v>332</v>
      </c>
      <c r="W12" s="177"/>
    </row>
    <row r="13" spans="1:23" ht="16.5" customHeight="1" x14ac:dyDescent="0.3">
      <c r="A13" s="132"/>
      <c r="B13" s="132"/>
      <c r="C13" s="133"/>
      <c r="D13" s="134"/>
      <c r="E13" s="133"/>
      <c r="F13" s="134"/>
      <c r="G13" s="134"/>
      <c r="H13" s="134"/>
      <c r="I13" s="133"/>
      <c r="J13" s="134"/>
      <c r="K13" s="134"/>
      <c r="L13" s="134"/>
      <c r="M13" s="134"/>
      <c r="N13" s="135"/>
      <c r="O13" s="134"/>
      <c r="P13" s="134"/>
      <c r="Q13" s="135"/>
      <c r="R13" s="135"/>
      <c r="S13" s="134"/>
      <c r="T13" s="135"/>
      <c r="U13" s="134"/>
      <c r="V13" s="136"/>
      <c r="W13" s="137"/>
    </row>
    <row r="14" spans="1:23" ht="16.5" customHeight="1" x14ac:dyDescent="0.3">
      <c r="A14" s="132"/>
      <c r="B14" s="132"/>
      <c r="C14" s="133"/>
      <c r="D14" s="134"/>
      <c r="E14" s="133"/>
      <c r="F14" s="134"/>
      <c r="G14" s="134"/>
      <c r="H14" s="134"/>
      <c r="I14" s="133"/>
      <c r="J14" s="134"/>
      <c r="K14" s="134"/>
      <c r="L14" s="134"/>
      <c r="M14" s="134"/>
      <c r="N14" s="135"/>
      <c r="O14" s="134"/>
      <c r="P14" s="134"/>
      <c r="Q14" s="135"/>
      <c r="R14" s="135"/>
      <c r="S14" s="134"/>
      <c r="T14" s="135"/>
      <c r="U14" s="134"/>
      <c r="V14" s="136"/>
      <c r="W14" s="137"/>
    </row>
    <row r="15" spans="1:23" ht="16.5" customHeight="1" x14ac:dyDescent="0.3">
      <c r="A15" s="132"/>
      <c r="B15" s="138" t="s">
        <v>7959</v>
      </c>
      <c r="C15" s="133"/>
      <c r="D15" s="134"/>
      <c r="E15" s="139"/>
      <c r="F15" s="134"/>
      <c r="G15" s="134"/>
      <c r="H15" s="134"/>
      <c r="I15" s="133"/>
      <c r="J15" s="134"/>
      <c r="K15" s="134"/>
      <c r="L15" s="134"/>
      <c r="M15" s="134"/>
      <c r="N15" s="135"/>
      <c r="O15" s="134"/>
      <c r="P15" s="134"/>
      <c r="Q15" s="135"/>
      <c r="R15" s="135"/>
      <c r="S15" s="134"/>
      <c r="T15" s="135"/>
      <c r="U15" s="134"/>
      <c r="V15" s="136"/>
      <c r="W15" s="137"/>
    </row>
    <row r="16" spans="1:23" ht="16.5" customHeight="1" x14ac:dyDescent="0.3">
      <c r="A16" s="140" t="s">
        <v>5864</v>
      </c>
      <c r="B16" s="141"/>
      <c r="C16" s="142" t="s">
        <v>5867</v>
      </c>
      <c r="D16" s="144"/>
      <c r="E16" s="143" t="s">
        <v>5868</v>
      </c>
      <c r="F16" s="144"/>
      <c r="G16" s="144"/>
      <c r="H16" s="144"/>
      <c r="I16" s="143"/>
      <c r="J16" s="144"/>
      <c r="K16" s="144"/>
      <c r="L16" s="144"/>
      <c r="M16" s="144"/>
      <c r="N16" s="145"/>
      <c r="O16" s="144"/>
      <c r="P16" s="144"/>
      <c r="Q16" s="145"/>
      <c r="R16" s="145"/>
      <c r="S16" s="144"/>
      <c r="T16" s="145"/>
      <c r="U16" s="144"/>
      <c r="V16" s="146" t="s">
        <v>5869</v>
      </c>
      <c r="W16" s="146" t="s">
        <v>5871</v>
      </c>
    </row>
    <row r="17" spans="1:23" ht="16.5" customHeight="1" x14ac:dyDescent="0.3">
      <c r="A17" s="147" t="s">
        <v>5865</v>
      </c>
      <c r="B17" s="147" t="s">
        <v>5866</v>
      </c>
      <c r="C17" s="148"/>
      <c r="D17" s="150"/>
      <c r="E17" s="150"/>
      <c r="F17" s="149"/>
      <c r="G17" s="150"/>
      <c r="H17" s="179" t="s">
        <v>5872</v>
      </c>
      <c r="I17" s="180"/>
      <c r="J17" s="180"/>
      <c r="K17" s="181"/>
      <c r="L17" s="150"/>
      <c r="M17" s="150"/>
      <c r="N17" s="151"/>
      <c r="O17" s="150"/>
      <c r="P17" s="150"/>
      <c r="Q17" s="151"/>
      <c r="R17" s="151"/>
      <c r="S17" s="150"/>
      <c r="T17" s="151"/>
      <c r="U17" s="150"/>
      <c r="V17" s="154" t="s">
        <v>5870</v>
      </c>
      <c r="W17" s="154" t="s">
        <v>0</v>
      </c>
    </row>
    <row r="18" spans="1:23" ht="16.5" customHeight="1" x14ac:dyDescent="0.3">
      <c r="A18" s="147">
        <v>15</v>
      </c>
      <c r="B18" s="147">
        <v>7575</v>
      </c>
      <c r="C18" s="155" t="s">
        <v>7958</v>
      </c>
      <c r="D18" s="287" t="s">
        <v>5876</v>
      </c>
      <c r="E18" s="156" t="s">
        <v>17859</v>
      </c>
      <c r="F18" s="160"/>
      <c r="G18" s="158"/>
      <c r="H18" s="287" t="s">
        <v>5874</v>
      </c>
      <c r="I18" s="156" t="s">
        <v>17867</v>
      </c>
      <c r="J18" s="157">
        <v>95</v>
      </c>
      <c r="K18" s="158" t="s">
        <v>0</v>
      </c>
      <c r="L18" s="159"/>
      <c r="M18" s="160"/>
      <c r="N18" s="161"/>
      <c r="O18" s="162"/>
      <c r="P18" s="163"/>
      <c r="Q18" s="164"/>
      <c r="R18" s="193"/>
      <c r="S18" s="194"/>
      <c r="T18" s="165"/>
      <c r="U18" s="158"/>
      <c r="V18" s="178">
        <v>129</v>
      </c>
      <c r="W18" s="142" t="s">
        <v>5863</v>
      </c>
    </row>
    <row r="19" spans="1:23" ht="16.5" customHeight="1" x14ac:dyDescent="0.3">
      <c r="A19" s="147">
        <v>15</v>
      </c>
      <c r="B19" s="147">
        <v>7576</v>
      </c>
      <c r="C19" s="155" t="s">
        <v>7957</v>
      </c>
      <c r="D19" s="288"/>
      <c r="E19" s="188" t="s">
        <v>7928</v>
      </c>
      <c r="F19" s="153"/>
      <c r="G19" s="171"/>
      <c r="H19" s="288"/>
      <c r="I19" s="167" t="s">
        <v>7928</v>
      </c>
      <c r="J19" s="150"/>
      <c r="K19" s="168"/>
      <c r="L19" s="169"/>
      <c r="M19" s="153"/>
      <c r="N19" s="152"/>
      <c r="O19" s="162" t="s">
        <v>5895</v>
      </c>
      <c r="P19" s="163" t="s">
        <v>1</v>
      </c>
      <c r="Q19" s="164">
        <v>1</v>
      </c>
      <c r="R19" s="193"/>
      <c r="S19" s="194"/>
      <c r="T19" s="170" t="s">
        <v>7920</v>
      </c>
      <c r="U19" s="171"/>
      <c r="V19" s="178">
        <v>129</v>
      </c>
      <c r="W19" s="172"/>
    </row>
    <row r="20" spans="1:23" ht="16.5" customHeight="1" x14ac:dyDescent="0.3">
      <c r="A20" s="147">
        <v>15</v>
      </c>
      <c r="B20" s="147">
        <v>7577</v>
      </c>
      <c r="C20" s="155" t="s">
        <v>7956</v>
      </c>
      <c r="D20" s="288"/>
      <c r="E20" s="188"/>
      <c r="F20" s="153"/>
      <c r="G20" s="171"/>
      <c r="H20" s="288"/>
      <c r="I20" s="156" t="s">
        <v>17866</v>
      </c>
      <c r="J20" s="157">
        <v>174</v>
      </c>
      <c r="K20" s="158" t="s">
        <v>0</v>
      </c>
      <c r="L20" s="169" t="s">
        <v>17865</v>
      </c>
      <c r="M20" s="153"/>
      <c r="N20" s="152"/>
      <c r="O20" s="162"/>
      <c r="P20" s="163"/>
      <c r="Q20" s="164"/>
      <c r="R20" s="193"/>
      <c r="S20" s="194"/>
      <c r="T20" s="170"/>
      <c r="U20" s="174" t="s">
        <v>7948</v>
      </c>
      <c r="V20" s="178">
        <v>236</v>
      </c>
      <c r="W20" s="172"/>
    </row>
    <row r="21" spans="1:23" ht="16.5" customHeight="1" x14ac:dyDescent="0.3">
      <c r="A21" s="147">
        <v>15</v>
      </c>
      <c r="B21" s="147">
        <v>7578</v>
      </c>
      <c r="C21" s="155" t="s">
        <v>7955</v>
      </c>
      <c r="D21" s="288"/>
      <c r="E21" s="167"/>
      <c r="F21" s="150"/>
      <c r="G21" s="168"/>
      <c r="H21" s="288"/>
      <c r="I21" s="167" t="s">
        <v>7929</v>
      </c>
      <c r="J21" s="150"/>
      <c r="K21" s="168"/>
      <c r="L21" s="169" t="s">
        <v>17864</v>
      </c>
      <c r="M21" s="153" t="s">
        <v>1</v>
      </c>
      <c r="N21" s="152">
        <v>0.9</v>
      </c>
      <c r="O21" s="162" t="s">
        <v>5895</v>
      </c>
      <c r="P21" s="163" t="s">
        <v>1</v>
      </c>
      <c r="Q21" s="164">
        <v>1</v>
      </c>
      <c r="R21" s="193"/>
      <c r="S21" s="194"/>
      <c r="T21" s="170" t="s">
        <v>1</v>
      </c>
      <c r="U21" s="192">
        <v>0.5</v>
      </c>
      <c r="V21" s="178">
        <v>236</v>
      </c>
      <c r="W21" s="172"/>
    </row>
    <row r="22" spans="1:23" ht="16.5" customHeight="1" x14ac:dyDescent="0.3">
      <c r="A22" s="147">
        <v>15</v>
      </c>
      <c r="B22" s="147">
        <v>7579</v>
      </c>
      <c r="C22" s="155" t="s">
        <v>7954</v>
      </c>
      <c r="D22" s="153"/>
      <c r="E22" s="156" t="s">
        <v>17863</v>
      </c>
      <c r="F22" s="160"/>
      <c r="G22" s="158"/>
      <c r="H22" s="153"/>
      <c r="I22" s="156" t="s">
        <v>17862</v>
      </c>
      <c r="J22" s="157">
        <v>79</v>
      </c>
      <c r="K22" s="158" t="s">
        <v>0</v>
      </c>
      <c r="L22" s="169"/>
      <c r="M22" s="153"/>
      <c r="N22" s="152"/>
      <c r="O22" s="162"/>
      <c r="P22" s="163"/>
      <c r="Q22" s="164"/>
      <c r="R22" s="193"/>
      <c r="S22" s="194"/>
      <c r="T22" s="170"/>
      <c r="U22" s="174" t="s">
        <v>17861</v>
      </c>
      <c r="V22" s="178">
        <v>107</v>
      </c>
      <c r="W22" s="172"/>
    </row>
    <row r="23" spans="1:23" ht="16.5" customHeight="1" x14ac:dyDescent="0.3">
      <c r="A23" s="147">
        <v>15</v>
      </c>
      <c r="B23" s="147">
        <v>7580</v>
      </c>
      <c r="C23" s="155" t="s">
        <v>7953</v>
      </c>
      <c r="D23" s="150"/>
      <c r="E23" s="167" t="s">
        <v>7929</v>
      </c>
      <c r="F23" s="150"/>
      <c r="G23" s="168"/>
      <c r="H23" s="150"/>
      <c r="I23" s="167" t="s">
        <v>7928</v>
      </c>
      <c r="J23" s="150"/>
      <c r="K23" s="168"/>
      <c r="L23" s="175"/>
      <c r="M23" s="150"/>
      <c r="N23" s="151"/>
      <c r="O23" s="162" t="s">
        <v>5895</v>
      </c>
      <c r="P23" s="163" t="s">
        <v>1</v>
      </c>
      <c r="Q23" s="164">
        <v>1</v>
      </c>
      <c r="R23" s="193"/>
      <c r="S23" s="194"/>
      <c r="T23" s="176"/>
      <c r="U23" s="168"/>
      <c r="V23" s="178">
        <v>107</v>
      </c>
      <c r="W23" s="177"/>
    </row>
    <row r="24" spans="1:23" ht="16.5" customHeight="1" x14ac:dyDescent="0.3"/>
    <row r="25" spans="1:23" ht="16.5" customHeight="1" x14ac:dyDescent="0.3"/>
  </sheetData>
  <mergeCells count="2">
    <mergeCell ref="D18:D21"/>
    <mergeCell ref="H18:H21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theme="1" tint="0.249977111117893"/>
    <pageSetUpPr fitToPage="1"/>
  </sheetPr>
  <dimension ref="A1:Z2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9.62890625" style="45" customWidth="1"/>
    <col min="5" max="5" width="4.1015625" style="46" bestFit="1" customWidth="1"/>
    <col min="6" max="6" width="4.734375" style="46" bestFit="1" customWidth="1"/>
    <col min="7" max="7" width="9.62890625" style="45" customWidth="1"/>
    <col min="8" max="8" width="4.1015625" style="46" bestFit="1" customWidth="1"/>
    <col min="9" max="9" width="4.734375" style="46" bestFit="1" customWidth="1"/>
    <col min="10" max="10" width="9.62890625" style="45" customWidth="1"/>
    <col min="11" max="11" width="3.26171875" style="46" bestFit="1" customWidth="1"/>
    <col min="12" max="12" width="4.734375" style="46" bestFit="1" customWidth="1"/>
    <col min="13" max="13" width="16.62890625" style="46" customWidth="1"/>
    <col min="14" max="14" width="3.1015625" style="46" bestFit="1" customWidth="1"/>
    <col min="15" max="15" width="4.1015625" style="47" bestFit="1" customWidth="1"/>
    <col min="16" max="16" width="26.62890625" style="46" customWidth="1"/>
    <col min="17" max="17" width="3.1015625" style="46" bestFit="1" customWidth="1"/>
    <col min="18" max="18" width="5" style="47" bestFit="1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3.1015625" style="46" bestFit="1" customWidth="1"/>
    <col min="23" max="23" width="4.1015625" style="47" bestFit="1" customWidth="1"/>
    <col min="24" max="24" width="4.734375" style="46" bestFit="1" customWidth="1"/>
    <col min="25" max="25" width="6.3671875" style="84" bestFit="1" customWidth="1"/>
    <col min="26" max="26" width="7.734375" style="48" bestFit="1" customWidth="1"/>
    <col min="27" max="16384" width="9" style="49"/>
  </cols>
  <sheetData>
    <row r="1" spans="1:26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4"/>
      <c r="T1" s="135"/>
      <c r="U1" s="134"/>
      <c r="V1" s="134"/>
      <c r="W1" s="135"/>
      <c r="X1" s="134"/>
      <c r="Y1" s="136"/>
      <c r="Z1" s="137"/>
    </row>
    <row r="2" spans="1:26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4"/>
      <c r="T2" s="135"/>
      <c r="U2" s="134"/>
      <c r="V2" s="134"/>
      <c r="W2" s="135"/>
      <c r="X2" s="134"/>
      <c r="Y2" s="136"/>
      <c r="Z2" s="137"/>
    </row>
    <row r="3" spans="1:26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4"/>
      <c r="T3" s="135"/>
      <c r="U3" s="134"/>
      <c r="V3" s="134"/>
      <c r="W3" s="135"/>
      <c r="X3" s="134"/>
      <c r="Y3" s="136"/>
      <c r="Z3" s="137"/>
    </row>
    <row r="4" spans="1:26" ht="16.5" customHeight="1" x14ac:dyDescent="0.3">
      <c r="A4" s="132"/>
      <c r="B4" s="138" t="s">
        <v>7979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4"/>
      <c r="T4" s="135"/>
      <c r="U4" s="134"/>
      <c r="V4" s="134"/>
      <c r="W4" s="135"/>
      <c r="X4" s="134"/>
      <c r="Y4" s="136"/>
      <c r="Z4" s="137"/>
    </row>
    <row r="5" spans="1:2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4"/>
      <c r="T5" s="145"/>
      <c r="U5" s="144"/>
      <c r="V5" s="144"/>
      <c r="W5" s="145"/>
      <c r="X5" s="144"/>
      <c r="Y5" s="146" t="s">
        <v>5869</v>
      </c>
      <c r="Z5" s="146" t="s">
        <v>5871</v>
      </c>
    </row>
    <row r="6" spans="1:26" ht="16.5" customHeight="1" x14ac:dyDescent="0.3">
      <c r="A6" s="147" t="s">
        <v>5865</v>
      </c>
      <c r="B6" s="147" t="s">
        <v>5866</v>
      </c>
      <c r="C6" s="148"/>
      <c r="D6" s="179" t="s">
        <v>5872</v>
      </c>
      <c r="E6" s="180"/>
      <c r="F6" s="181"/>
      <c r="G6" s="179" t="s">
        <v>17425</v>
      </c>
      <c r="H6" s="180"/>
      <c r="I6" s="181"/>
      <c r="J6" s="149"/>
      <c r="K6" s="150"/>
      <c r="L6" s="150"/>
      <c r="M6" s="150"/>
      <c r="N6" s="150"/>
      <c r="O6" s="151"/>
      <c r="P6" s="150"/>
      <c r="Q6" s="150"/>
      <c r="R6" s="151"/>
      <c r="S6" s="153"/>
      <c r="T6" s="152"/>
      <c r="U6" s="153"/>
      <c r="V6" s="153"/>
      <c r="W6" s="152"/>
      <c r="X6" s="153"/>
      <c r="Y6" s="154" t="s">
        <v>5870</v>
      </c>
      <c r="Z6" s="154" t="s">
        <v>0</v>
      </c>
    </row>
    <row r="7" spans="1:26" ht="16.5" customHeight="1" x14ac:dyDescent="0.3">
      <c r="A7" s="147">
        <v>15</v>
      </c>
      <c r="B7" s="147">
        <v>7581</v>
      </c>
      <c r="C7" s="155" t="s">
        <v>7978</v>
      </c>
      <c r="D7" s="156" t="s">
        <v>17880</v>
      </c>
      <c r="E7" s="157">
        <v>105</v>
      </c>
      <c r="F7" s="158" t="s">
        <v>0</v>
      </c>
      <c r="G7" s="156" t="s">
        <v>17882</v>
      </c>
      <c r="H7" s="157">
        <v>95</v>
      </c>
      <c r="I7" s="158" t="s">
        <v>0</v>
      </c>
      <c r="J7" s="156" t="s">
        <v>17875</v>
      </c>
      <c r="K7" s="157">
        <v>79</v>
      </c>
      <c r="L7" s="158" t="s">
        <v>0</v>
      </c>
      <c r="M7" s="156" t="s">
        <v>17423</v>
      </c>
      <c r="N7" s="160"/>
      <c r="O7" s="182"/>
      <c r="P7" s="162"/>
      <c r="Q7" s="163"/>
      <c r="R7" s="164"/>
      <c r="S7" s="156" t="s">
        <v>17877</v>
      </c>
      <c r="T7" s="161"/>
      <c r="U7" s="158"/>
      <c r="V7" s="183" t="s">
        <v>17881</v>
      </c>
      <c r="W7" s="161"/>
      <c r="X7" s="158"/>
      <c r="Y7" s="178">
        <v>322</v>
      </c>
      <c r="Z7" s="142" t="s">
        <v>5863</v>
      </c>
    </row>
    <row r="8" spans="1:26" ht="16.5" customHeight="1" x14ac:dyDescent="0.3">
      <c r="A8" s="147">
        <v>15</v>
      </c>
      <c r="B8" s="147">
        <v>7582</v>
      </c>
      <c r="C8" s="155" t="s">
        <v>7977</v>
      </c>
      <c r="D8" s="167" t="s">
        <v>17397</v>
      </c>
      <c r="E8" s="150"/>
      <c r="F8" s="168"/>
      <c r="G8" s="167" t="s">
        <v>17397</v>
      </c>
      <c r="H8" s="150"/>
      <c r="I8" s="168"/>
      <c r="J8" s="167" t="s">
        <v>17397</v>
      </c>
      <c r="K8" s="150"/>
      <c r="L8" s="168"/>
      <c r="M8" s="184" t="s">
        <v>17420</v>
      </c>
      <c r="N8" s="150" t="s">
        <v>1</v>
      </c>
      <c r="O8" s="185">
        <v>0.9</v>
      </c>
      <c r="P8" s="186" t="s">
        <v>5895</v>
      </c>
      <c r="Q8" s="163" t="s">
        <v>1</v>
      </c>
      <c r="R8" s="164">
        <v>1</v>
      </c>
      <c r="S8" s="175" t="s">
        <v>1</v>
      </c>
      <c r="T8" s="151">
        <v>0.5</v>
      </c>
      <c r="U8" s="168" t="s">
        <v>422</v>
      </c>
      <c r="V8" s="175" t="s">
        <v>1</v>
      </c>
      <c r="W8" s="151">
        <v>0.25</v>
      </c>
      <c r="X8" s="168" t="s">
        <v>422</v>
      </c>
      <c r="Y8" s="178">
        <v>322</v>
      </c>
      <c r="Z8" s="177"/>
    </row>
    <row r="9" spans="1:26" ht="16.5" customHeight="1" x14ac:dyDescent="0.3">
      <c r="A9" s="132"/>
      <c r="B9" s="132"/>
      <c r="C9" s="133"/>
      <c r="D9" s="133"/>
      <c r="E9" s="134"/>
      <c r="F9" s="134"/>
      <c r="G9" s="133"/>
      <c r="H9" s="134"/>
      <c r="I9" s="134"/>
      <c r="J9" s="133"/>
      <c r="K9" s="134"/>
      <c r="L9" s="134"/>
      <c r="M9" s="134"/>
      <c r="N9" s="134"/>
      <c r="O9" s="135"/>
      <c r="P9" s="134"/>
      <c r="Q9" s="134"/>
      <c r="R9" s="135"/>
      <c r="S9" s="134"/>
      <c r="T9" s="135"/>
      <c r="U9" s="134"/>
      <c r="V9" s="134"/>
      <c r="W9" s="135"/>
      <c r="X9" s="134"/>
      <c r="Y9" s="136"/>
      <c r="Z9" s="137"/>
    </row>
    <row r="10" spans="1:26" ht="16.5" customHeight="1" x14ac:dyDescent="0.3">
      <c r="A10" s="132"/>
      <c r="B10" s="132"/>
      <c r="C10" s="133"/>
      <c r="D10" s="133"/>
      <c r="E10" s="134"/>
      <c r="F10" s="134"/>
      <c r="G10" s="133"/>
      <c r="H10" s="134"/>
      <c r="I10" s="134"/>
      <c r="J10" s="133"/>
      <c r="K10" s="134"/>
      <c r="L10" s="134"/>
      <c r="M10" s="134"/>
      <c r="N10" s="134"/>
      <c r="O10" s="135"/>
      <c r="P10" s="134"/>
      <c r="Q10" s="134"/>
      <c r="R10" s="135"/>
      <c r="S10" s="134"/>
      <c r="T10" s="135"/>
      <c r="U10" s="134"/>
      <c r="V10" s="134"/>
      <c r="W10" s="135"/>
      <c r="X10" s="134"/>
      <c r="Y10" s="136"/>
      <c r="Z10" s="137"/>
    </row>
    <row r="11" spans="1:26" ht="16.5" customHeight="1" x14ac:dyDescent="0.3">
      <c r="A11" s="132"/>
      <c r="B11" s="138" t="s">
        <v>7976</v>
      </c>
      <c r="C11" s="133"/>
      <c r="D11" s="139"/>
      <c r="E11" s="134"/>
      <c r="F11" s="134"/>
      <c r="G11" s="133"/>
      <c r="H11" s="134"/>
      <c r="I11" s="134"/>
      <c r="J11" s="133"/>
      <c r="K11" s="134"/>
      <c r="L11" s="134"/>
      <c r="M11" s="134"/>
      <c r="N11" s="134"/>
      <c r="O11" s="135"/>
      <c r="P11" s="134"/>
      <c r="Q11" s="134"/>
      <c r="R11" s="135"/>
      <c r="S11" s="134"/>
      <c r="T11" s="135"/>
      <c r="U11" s="134"/>
      <c r="V11" s="134"/>
      <c r="W11" s="135"/>
      <c r="X11" s="134"/>
      <c r="Y11" s="136"/>
      <c r="Z11" s="137"/>
    </row>
    <row r="12" spans="1:26" ht="16.5" customHeight="1" x14ac:dyDescent="0.3">
      <c r="A12" s="140" t="s">
        <v>5864</v>
      </c>
      <c r="B12" s="141"/>
      <c r="C12" s="142" t="s">
        <v>5867</v>
      </c>
      <c r="D12" s="143" t="s">
        <v>5868</v>
      </c>
      <c r="E12" s="144"/>
      <c r="F12" s="144"/>
      <c r="G12" s="143"/>
      <c r="H12" s="144"/>
      <c r="I12" s="144"/>
      <c r="J12" s="143"/>
      <c r="K12" s="144"/>
      <c r="L12" s="144"/>
      <c r="M12" s="144"/>
      <c r="N12" s="144"/>
      <c r="O12" s="145"/>
      <c r="P12" s="144"/>
      <c r="Q12" s="144"/>
      <c r="R12" s="145"/>
      <c r="S12" s="144"/>
      <c r="T12" s="145"/>
      <c r="U12" s="144"/>
      <c r="V12" s="144"/>
      <c r="W12" s="145"/>
      <c r="X12" s="144"/>
      <c r="Y12" s="146" t="s">
        <v>5869</v>
      </c>
      <c r="Z12" s="146" t="s">
        <v>5871</v>
      </c>
    </row>
    <row r="13" spans="1:26" ht="16.5" customHeight="1" x14ac:dyDescent="0.3">
      <c r="A13" s="147" t="s">
        <v>5865</v>
      </c>
      <c r="B13" s="147" t="s">
        <v>5866</v>
      </c>
      <c r="C13" s="148"/>
      <c r="D13" s="179" t="s">
        <v>5872</v>
      </c>
      <c r="E13" s="180"/>
      <c r="F13" s="181"/>
      <c r="G13" s="149"/>
      <c r="H13" s="150"/>
      <c r="I13" s="150"/>
      <c r="J13" s="187"/>
      <c r="K13" s="153"/>
      <c r="L13" s="153"/>
      <c r="M13" s="153"/>
      <c r="N13" s="153"/>
      <c r="O13" s="152"/>
      <c r="P13" s="150"/>
      <c r="Q13" s="150"/>
      <c r="R13" s="151"/>
      <c r="S13" s="153"/>
      <c r="T13" s="152"/>
      <c r="U13" s="153"/>
      <c r="V13" s="153"/>
      <c r="W13" s="152"/>
      <c r="X13" s="153"/>
      <c r="Y13" s="154" t="s">
        <v>5870</v>
      </c>
      <c r="Z13" s="154" t="s">
        <v>0</v>
      </c>
    </row>
    <row r="14" spans="1:26" ht="16.5" customHeight="1" x14ac:dyDescent="0.3">
      <c r="A14" s="147">
        <v>15</v>
      </c>
      <c r="B14" s="147">
        <v>7583</v>
      </c>
      <c r="C14" s="155" t="s">
        <v>7975</v>
      </c>
      <c r="D14" s="156" t="s">
        <v>17880</v>
      </c>
      <c r="E14" s="157">
        <v>105</v>
      </c>
      <c r="F14" s="158" t="s">
        <v>0</v>
      </c>
      <c r="G14" s="156" t="s">
        <v>17875</v>
      </c>
      <c r="H14" s="157">
        <v>95</v>
      </c>
      <c r="I14" s="160" t="s">
        <v>0</v>
      </c>
      <c r="J14" s="156"/>
      <c r="K14" s="160"/>
      <c r="L14" s="160"/>
      <c r="M14" s="160"/>
      <c r="N14" s="160"/>
      <c r="O14" s="182"/>
      <c r="P14" s="163"/>
      <c r="Q14" s="163"/>
      <c r="R14" s="164"/>
      <c r="S14" s="159"/>
      <c r="T14" s="161"/>
      <c r="U14" s="160"/>
      <c r="V14" s="160"/>
      <c r="W14" s="161"/>
      <c r="X14" s="158"/>
      <c r="Y14" s="166">
        <v>229</v>
      </c>
      <c r="Z14" s="142" t="s">
        <v>5863</v>
      </c>
    </row>
    <row r="15" spans="1:26" ht="16.5" customHeight="1" x14ac:dyDescent="0.3">
      <c r="A15" s="147">
        <v>15</v>
      </c>
      <c r="B15" s="147">
        <v>7584</v>
      </c>
      <c r="C15" s="155" t="s">
        <v>7974</v>
      </c>
      <c r="D15" s="188" t="s">
        <v>17397</v>
      </c>
      <c r="E15" s="153"/>
      <c r="F15" s="171"/>
      <c r="G15" s="167" t="s">
        <v>17397</v>
      </c>
      <c r="H15" s="150"/>
      <c r="I15" s="150"/>
      <c r="J15" s="188"/>
      <c r="K15" s="153"/>
      <c r="L15" s="153"/>
      <c r="M15" s="153"/>
      <c r="N15" s="153"/>
      <c r="O15" s="173"/>
      <c r="P15" s="189" t="s">
        <v>5895</v>
      </c>
      <c r="Q15" s="163" t="s">
        <v>1</v>
      </c>
      <c r="R15" s="164">
        <v>1</v>
      </c>
      <c r="S15" s="169"/>
      <c r="T15" s="152"/>
      <c r="U15" s="153"/>
      <c r="V15" s="153"/>
      <c r="W15" s="152"/>
      <c r="X15" s="171"/>
      <c r="Y15" s="166">
        <v>229</v>
      </c>
      <c r="Z15" s="172"/>
    </row>
    <row r="16" spans="1:26" ht="16.5" customHeight="1" x14ac:dyDescent="0.3">
      <c r="A16" s="147">
        <v>15</v>
      </c>
      <c r="B16" s="147">
        <v>7585</v>
      </c>
      <c r="C16" s="155" t="s">
        <v>7973</v>
      </c>
      <c r="D16" s="188"/>
      <c r="E16" s="153"/>
      <c r="F16" s="171"/>
      <c r="G16" s="156" t="s">
        <v>17879</v>
      </c>
      <c r="H16" s="157">
        <v>174</v>
      </c>
      <c r="I16" s="160" t="s">
        <v>0</v>
      </c>
      <c r="J16" s="188" t="s">
        <v>17878</v>
      </c>
      <c r="K16" s="153"/>
      <c r="L16" s="153"/>
      <c r="M16" s="153"/>
      <c r="N16" s="153" t="s">
        <v>1</v>
      </c>
      <c r="O16" s="173">
        <v>0.9</v>
      </c>
      <c r="P16" s="163"/>
      <c r="Q16" s="163"/>
      <c r="R16" s="164"/>
      <c r="S16" s="188" t="s">
        <v>17877</v>
      </c>
      <c r="T16" s="152"/>
      <c r="U16" s="153"/>
      <c r="V16" s="153"/>
      <c r="W16" s="152"/>
      <c r="X16" s="171"/>
      <c r="Y16" s="166">
        <v>300</v>
      </c>
      <c r="Z16" s="172"/>
    </row>
    <row r="17" spans="1:26" ht="16.5" customHeight="1" x14ac:dyDescent="0.3">
      <c r="A17" s="147">
        <v>15</v>
      </c>
      <c r="B17" s="147">
        <v>7586</v>
      </c>
      <c r="C17" s="155" t="s">
        <v>7972</v>
      </c>
      <c r="D17" s="167"/>
      <c r="E17" s="150"/>
      <c r="F17" s="168"/>
      <c r="G17" s="167" t="s">
        <v>17401</v>
      </c>
      <c r="H17" s="150"/>
      <c r="I17" s="150"/>
      <c r="J17" s="188"/>
      <c r="K17" s="153"/>
      <c r="L17" s="153"/>
      <c r="M17" s="153"/>
      <c r="N17" s="153"/>
      <c r="O17" s="173"/>
      <c r="P17" s="190" t="s">
        <v>5895</v>
      </c>
      <c r="Q17" s="163" t="s">
        <v>1</v>
      </c>
      <c r="R17" s="164">
        <v>1</v>
      </c>
      <c r="S17" s="169"/>
      <c r="T17" s="152"/>
      <c r="U17" s="153"/>
      <c r="V17" s="153" t="s">
        <v>1</v>
      </c>
      <c r="W17" s="152">
        <v>0.5</v>
      </c>
      <c r="X17" s="171" t="s">
        <v>422</v>
      </c>
      <c r="Y17" s="166">
        <v>300</v>
      </c>
      <c r="Z17" s="172"/>
    </row>
    <row r="18" spans="1:26" ht="16.5" customHeight="1" x14ac:dyDescent="0.3">
      <c r="A18" s="147">
        <v>15</v>
      </c>
      <c r="B18" s="147">
        <v>7587</v>
      </c>
      <c r="C18" s="155" t="s">
        <v>7971</v>
      </c>
      <c r="D18" s="156" t="s">
        <v>17876</v>
      </c>
      <c r="E18" s="157">
        <v>200</v>
      </c>
      <c r="F18" s="158" t="s">
        <v>0</v>
      </c>
      <c r="G18" s="156" t="s">
        <v>17875</v>
      </c>
      <c r="H18" s="157">
        <v>79</v>
      </c>
      <c r="I18" s="160" t="s">
        <v>0</v>
      </c>
      <c r="J18" s="188"/>
      <c r="K18" s="153"/>
      <c r="L18" s="153"/>
      <c r="M18" s="153"/>
      <c r="N18" s="153"/>
      <c r="O18" s="173"/>
      <c r="P18" s="163"/>
      <c r="Q18" s="163"/>
      <c r="R18" s="164"/>
      <c r="S18" s="169"/>
      <c r="T18" s="152"/>
      <c r="U18" s="153"/>
      <c r="V18" s="153"/>
      <c r="W18" s="152"/>
      <c r="X18" s="171"/>
      <c r="Y18" s="166">
        <v>341</v>
      </c>
      <c r="Z18" s="172"/>
    </row>
    <row r="19" spans="1:26" ht="16.5" customHeight="1" x14ac:dyDescent="0.3">
      <c r="A19" s="147">
        <v>15</v>
      </c>
      <c r="B19" s="147">
        <v>7588</v>
      </c>
      <c r="C19" s="155" t="s">
        <v>7970</v>
      </c>
      <c r="D19" s="167" t="s">
        <v>17401</v>
      </c>
      <c r="E19" s="150"/>
      <c r="F19" s="168"/>
      <c r="G19" s="167" t="s">
        <v>17397</v>
      </c>
      <c r="H19" s="150"/>
      <c r="I19" s="150"/>
      <c r="J19" s="167"/>
      <c r="K19" s="150"/>
      <c r="L19" s="150"/>
      <c r="M19" s="150"/>
      <c r="N19" s="150"/>
      <c r="O19" s="185"/>
      <c r="P19" s="190" t="s">
        <v>5895</v>
      </c>
      <c r="Q19" s="163" t="s">
        <v>1</v>
      </c>
      <c r="R19" s="164">
        <v>1</v>
      </c>
      <c r="S19" s="175"/>
      <c r="T19" s="151"/>
      <c r="U19" s="150"/>
      <c r="V19" s="150"/>
      <c r="W19" s="151"/>
      <c r="X19" s="168"/>
      <c r="Y19" s="166">
        <v>341</v>
      </c>
      <c r="Z19" s="177"/>
    </row>
    <row r="20" spans="1:26" ht="16.5" customHeight="1" x14ac:dyDescent="0.3">
      <c r="A20" s="132"/>
      <c r="B20" s="132"/>
      <c r="C20" s="133"/>
      <c r="D20" s="133"/>
      <c r="E20" s="134"/>
      <c r="F20" s="134"/>
      <c r="G20" s="133"/>
      <c r="H20" s="134"/>
      <c r="I20" s="134"/>
      <c r="J20" s="133"/>
      <c r="K20" s="134"/>
      <c r="L20" s="134"/>
      <c r="M20" s="134"/>
      <c r="N20" s="134"/>
      <c r="O20" s="135"/>
      <c r="P20" s="134"/>
      <c r="Q20" s="134"/>
      <c r="R20" s="135"/>
      <c r="S20" s="134"/>
      <c r="T20" s="135"/>
      <c r="U20" s="134"/>
      <c r="V20" s="134"/>
      <c r="W20" s="135"/>
      <c r="X20" s="134"/>
      <c r="Y20" s="136"/>
      <c r="Z20" s="137"/>
    </row>
    <row r="21" spans="1:26" ht="16.5" customHeight="1" x14ac:dyDescent="0.3">
      <c r="A21" s="132"/>
      <c r="B21" s="132"/>
      <c r="C21" s="133"/>
      <c r="D21" s="133"/>
      <c r="E21" s="134"/>
      <c r="F21" s="134"/>
      <c r="G21" s="133"/>
      <c r="H21" s="134"/>
      <c r="I21" s="134"/>
      <c r="J21" s="133"/>
      <c r="K21" s="134"/>
      <c r="L21" s="134"/>
      <c r="M21" s="134"/>
      <c r="N21" s="134"/>
      <c r="O21" s="135"/>
      <c r="P21" s="134"/>
      <c r="Q21" s="134"/>
      <c r="R21" s="135"/>
      <c r="S21" s="134"/>
      <c r="T21" s="135"/>
      <c r="U21" s="134"/>
      <c r="V21" s="134"/>
      <c r="W21" s="135"/>
      <c r="X21" s="134"/>
      <c r="Y21" s="136"/>
      <c r="Z21" s="137"/>
    </row>
    <row r="22" spans="1:26" ht="16.5" customHeight="1" x14ac:dyDescent="0.3">
      <c r="A22" s="132"/>
      <c r="B22" s="138" t="s">
        <v>7969</v>
      </c>
      <c r="C22" s="133"/>
      <c r="D22" s="139"/>
      <c r="E22" s="134"/>
      <c r="F22" s="134"/>
      <c r="G22" s="133"/>
      <c r="H22" s="134"/>
      <c r="I22" s="134"/>
      <c r="J22" s="133"/>
      <c r="K22" s="134"/>
      <c r="L22" s="134"/>
      <c r="M22" s="134"/>
      <c r="N22" s="134"/>
      <c r="O22" s="135"/>
      <c r="P22" s="134"/>
      <c r="Q22" s="134"/>
      <c r="R22" s="135"/>
      <c r="S22" s="134"/>
      <c r="T22" s="135"/>
      <c r="U22" s="134"/>
      <c r="V22" s="134"/>
      <c r="W22" s="135"/>
      <c r="X22" s="134"/>
      <c r="Y22" s="136"/>
      <c r="Z22" s="137"/>
    </row>
    <row r="23" spans="1:26" ht="16.5" customHeight="1" x14ac:dyDescent="0.3">
      <c r="A23" s="140" t="s">
        <v>5864</v>
      </c>
      <c r="B23" s="141"/>
      <c r="C23" s="142" t="s">
        <v>5867</v>
      </c>
      <c r="D23" s="143" t="s">
        <v>5868</v>
      </c>
      <c r="E23" s="144"/>
      <c r="F23" s="144"/>
      <c r="G23" s="143"/>
      <c r="H23" s="144"/>
      <c r="I23" s="144"/>
      <c r="J23" s="143"/>
      <c r="K23" s="144"/>
      <c r="L23" s="144"/>
      <c r="M23" s="144"/>
      <c r="N23" s="144"/>
      <c r="O23" s="145"/>
      <c r="P23" s="144"/>
      <c r="Q23" s="144"/>
      <c r="R23" s="145"/>
      <c r="S23" s="144"/>
      <c r="T23" s="145"/>
      <c r="U23" s="144"/>
      <c r="V23" s="144"/>
      <c r="W23" s="145"/>
      <c r="X23" s="144"/>
      <c r="Y23" s="146" t="s">
        <v>5869</v>
      </c>
      <c r="Z23" s="146" t="s">
        <v>5871</v>
      </c>
    </row>
    <row r="24" spans="1:26" ht="16.5" customHeight="1" x14ac:dyDescent="0.3">
      <c r="A24" s="147" t="s">
        <v>5865</v>
      </c>
      <c r="B24" s="147" t="s">
        <v>5866</v>
      </c>
      <c r="C24" s="148"/>
      <c r="D24" s="149"/>
      <c r="E24" s="150"/>
      <c r="F24" s="150"/>
      <c r="G24" s="179" t="s">
        <v>5872</v>
      </c>
      <c r="H24" s="180"/>
      <c r="I24" s="181"/>
      <c r="J24" s="179" t="s">
        <v>5873</v>
      </c>
      <c r="K24" s="180"/>
      <c r="L24" s="181"/>
      <c r="M24" s="150"/>
      <c r="N24" s="150"/>
      <c r="O24" s="151"/>
      <c r="P24" s="150"/>
      <c r="Q24" s="150"/>
      <c r="R24" s="151"/>
      <c r="S24" s="150"/>
      <c r="T24" s="151"/>
      <c r="U24" s="150"/>
      <c r="V24" s="153"/>
      <c r="W24" s="152"/>
      <c r="X24" s="153"/>
      <c r="Y24" s="154" t="s">
        <v>5870</v>
      </c>
      <c r="Z24" s="154" t="s">
        <v>0</v>
      </c>
    </row>
    <row r="25" spans="1:26" ht="16.5" customHeight="1" x14ac:dyDescent="0.3">
      <c r="A25" s="147">
        <v>15</v>
      </c>
      <c r="B25" s="147">
        <v>7589</v>
      </c>
      <c r="C25" s="155" t="s">
        <v>7968</v>
      </c>
      <c r="D25" s="156" t="s">
        <v>17874</v>
      </c>
      <c r="E25" s="157">
        <v>105</v>
      </c>
      <c r="F25" s="158" t="s">
        <v>0</v>
      </c>
      <c r="G25" s="156" t="s">
        <v>17873</v>
      </c>
      <c r="H25" s="157">
        <v>95</v>
      </c>
      <c r="I25" s="158" t="s">
        <v>0</v>
      </c>
      <c r="J25" s="156" t="s">
        <v>17399</v>
      </c>
      <c r="K25" s="157">
        <v>79</v>
      </c>
      <c r="L25" s="158" t="s">
        <v>0</v>
      </c>
      <c r="M25" s="156" t="s">
        <v>17423</v>
      </c>
      <c r="N25" s="160"/>
      <c r="O25" s="182"/>
      <c r="P25" s="162"/>
      <c r="Q25" s="163"/>
      <c r="R25" s="164"/>
      <c r="S25" s="183" t="s">
        <v>17872</v>
      </c>
      <c r="T25" s="161"/>
      <c r="U25" s="158"/>
      <c r="V25" s="183" t="s">
        <v>17871</v>
      </c>
      <c r="W25" s="161"/>
      <c r="X25" s="158"/>
      <c r="Y25" s="166">
        <v>310</v>
      </c>
      <c r="Z25" s="142" t="s">
        <v>5863</v>
      </c>
    </row>
    <row r="26" spans="1:26" ht="16.5" customHeight="1" x14ac:dyDescent="0.3">
      <c r="A26" s="147">
        <v>15</v>
      </c>
      <c r="B26" s="147">
        <v>7590</v>
      </c>
      <c r="C26" s="155" t="s">
        <v>7967</v>
      </c>
      <c r="D26" s="167" t="s">
        <v>17397</v>
      </c>
      <c r="E26" s="150"/>
      <c r="F26" s="168"/>
      <c r="G26" s="167" t="s">
        <v>17397</v>
      </c>
      <c r="H26" s="150"/>
      <c r="I26" s="168"/>
      <c r="J26" s="167" t="s">
        <v>17397</v>
      </c>
      <c r="K26" s="150"/>
      <c r="L26" s="168"/>
      <c r="M26" s="184" t="s">
        <v>17420</v>
      </c>
      <c r="N26" s="150" t="s">
        <v>1</v>
      </c>
      <c r="O26" s="185">
        <v>0.9</v>
      </c>
      <c r="P26" s="186" t="s">
        <v>5895</v>
      </c>
      <c r="Q26" s="163" t="s">
        <v>1</v>
      </c>
      <c r="R26" s="164">
        <v>1</v>
      </c>
      <c r="S26" s="175" t="s">
        <v>1</v>
      </c>
      <c r="T26" s="151">
        <v>0.25</v>
      </c>
      <c r="U26" s="168" t="s">
        <v>422</v>
      </c>
      <c r="V26" s="175" t="s">
        <v>1</v>
      </c>
      <c r="W26" s="151">
        <v>0.5</v>
      </c>
      <c r="X26" s="168" t="s">
        <v>422</v>
      </c>
      <c r="Y26" s="166">
        <v>310</v>
      </c>
      <c r="Z26" s="177"/>
    </row>
    <row r="27" spans="1:26" ht="16.5" customHeight="1" x14ac:dyDescent="0.3"/>
    <row r="28" spans="1:2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theme="1" tint="0.249977111117893"/>
    <pageSetUpPr fitToPage="1"/>
  </sheetPr>
  <dimension ref="A1:N5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6.3671875" style="84" bestFit="1" customWidth="1"/>
    <col min="14" max="14" width="7.734375" style="48" bestFit="1" customWidth="1"/>
    <col min="15" max="16384" width="9" style="49"/>
  </cols>
  <sheetData>
    <row r="1" spans="1:14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6"/>
      <c r="N1" s="137"/>
    </row>
    <row r="2" spans="1:14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6"/>
      <c r="N2" s="137"/>
    </row>
    <row r="3" spans="1:14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6"/>
      <c r="N3" s="137"/>
    </row>
    <row r="4" spans="1:14" ht="16.5" customHeight="1" x14ac:dyDescent="0.3">
      <c r="A4" s="132"/>
      <c r="B4" s="138" t="s">
        <v>8022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6"/>
      <c r="N4" s="137"/>
    </row>
    <row r="5" spans="1:1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6" t="s">
        <v>5869</v>
      </c>
      <c r="N5" s="146" t="s">
        <v>5871</v>
      </c>
    </row>
    <row r="6" spans="1:14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4" t="s">
        <v>5870</v>
      </c>
      <c r="N6" s="154" t="s">
        <v>0</v>
      </c>
    </row>
    <row r="7" spans="1:14" ht="16.5" customHeight="1" x14ac:dyDescent="0.3">
      <c r="A7" s="147">
        <v>15</v>
      </c>
      <c r="B7" s="147">
        <v>7591</v>
      </c>
      <c r="C7" s="155" t="s">
        <v>8021</v>
      </c>
      <c r="D7" s="156" t="s">
        <v>17906</v>
      </c>
      <c r="E7" s="157">
        <v>70</v>
      </c>
      <c r="F7" s="158" t="s">
        <v>0</v>
      </c>
      <c r="G7" s="159"/>
      <c r="H7" s="160"/>
      <c r="I7" s="161"/>
      <c r="J7" s="162"/>
      <c r="K7" s="163"/>
      <c r="L7" s="164"/>
      <c r="M7" s="178">
        <v>63</v>
      </c>
      <c r="N7" s="142" t="s">
        <v>5863</v>
      </c>
    </row>
    <row r="8" spans="1:14" ht="16.5" customHeight="1" x14ac:dyDescent="0.3">
      <c r="A8" s="147">
        <v>15</v>
      </c>
      <c r="B8" s="147">
        <v>7592</v>
      </c>
      <c r="C8" s="155" t="s">
        <v>8020</v>
      </c>
      <c r="D8" s="167" t="s">
        <v>16901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8">
        <v>63</v>
      </c>
      <c r="N8" s="172"/>
    </row>
    <row r="9" spans="1:14" ht="16.5" customHeight="1" x14ac:dyDescent="0.3">
      <c r="A9" s="147">
        <v>15</v>
      </c>
      <c r="B9" s="147">
        <v>7593</v>
      </c>
      <c r="C9" s="155" t="s">
        <v>8019</v>
      </c>
      <c r="D9" s="156" t="s">
        <v>17905</v>
      </c>
      <c r="E9" s="157">
        <v>140</v>
      </c>
      <c r="F9" s="158" t="s">
        <v>0</v>
      </c>
      <c r="G9" s="169"/>
      <c r="H9" s="153"/>
      <c r="I9" s="152"/>
      <c r="J9" s="162"/>
      <c r="K9" s="163"/>
      <c r="L9" s="164"/>
      <c r="M9" s="178">
        <v>126</v>
      </c>
      <c r="N9" s="172"/>
    </row>
    <row r="10" spans="1:14" ht="16.5" customHeight="1" x14ac:dyDescent="0.3">
      <c r="A10" s="147">
        <v>15</v>
      </c>
      <c r="B10" s="147">
        <v>7594</v>
      </c>
      <c r="C10" s="155" t="s">
        <v>8018</v>
      </c>
      <c r="D10" s="167" t="s">
        <v>17362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8">
        <v>126</v>
      </c>
      <c r="N10" s="172"/>
    </row>
    <row r="11" spans="1:14" ht="16.5" customHeight="1" x14ac:dyDescent="0.3">
      <c r="A11" s="147">
        <v>15</v>
      </c>
      <c r="B11" s="147">
        <v>7595</v>
      </c>
      <c r="C11" s="155" t="s">
        <v>8017</v>
      </c>
      <c r="D11" s="156" t="s">
        <v>17904</v>
      </c>
      <c r="E11" s="157">
        <v>210</v>
      </c>
      <c r="F11" s="158" t="s">
        <v>0</v>
      </c>
      <c r="G11" s="169"/>
      <c r="H11" s="153"/>
      <c r="I11" s="152"/>
      <c r="J11" s="162"/>
      <c r="K11" s="163"/>
      <c r="L11" s="164"/>
      <c r="M11" s="178">
        <v>189</v>
      </c>
      <c r="N11" s="172"/>
    </row>
    <row r="12" spans="1:14" ht="16.5" customHeight="1" x14ac:dyDescent="0.3">
      <c r="A12" s="147">
        <v>15</v>
      </c>
      <c r="B12" s="147">
        <v>7596</v>
      </c>
      <c r="C12" s="155" t="s">
        <v>8016</v>
      </c>
      <c r="D12" s="167" t="s">
        <v>17572</v>
      </c>
      <c r="E12" s="150"/>
      <c r="F12" s="168"/>
      <c r="G12" s="169" t="s">
        <v>17372</v>
      </c>
      <c r="H12" s="153"/>
      <c r="I12" s="173"/>
      <c r="J12" s="162" t="s">
        <v>5895</v>
      </c>
      <c r="K12" s="163" t="s">
        <v>1</v>
      </c>
      <c r="L12" s="164">
        <v>1</v>
      </c>
      <c r="M12" s="178">
        <v>189</v>
      </c>
      <c r="N12" s="172"/>
    </row>
    <row r="13" spans="1:14" ht="16.5" customHeight="1" x14ac:dyDescent="0.3">
      <c r="A13" s="147">
        <v>15</v>
      </c>
      <c r="B13" s="147">
        <v>7597</v>
      </c>
      <c r="C13" s="155" t="s">
        <v>8015</v>
      </c>
      <c r="D13" s="156" t="s">
        <v>17903</v>
      </c>
      <c r="E13" s="157">
        <v>280</v>
      </c>
      <c r="F13" s="158" t="s">
        <v>0</v>
      </c>
      <c r="G13" s="169" t="s">
        <v>16812</v>
      </c>
      <c r="H13" s="153" t="s">
        <v>1</v>
      </c>
      <c r="I13" s="173">
        <v>0.9</v>
      </c>
      <c r="J13" s="162"/>
      <c r="K13" s="163"/>
      <c r="L13" s="164"/>
      <c r="M13" s="178">
        <v>252</v>
      </c>
      <c r="N13" s="172"/>
    </row>
    <row r="14" spans="1:14" ht="16.5" customHeight="1" x14ac:dyDescent="0.3">
      <c r="A14" s="147">
        <v>15</v>
      </c>
      <c r="B14" s="147">
        <v>7598</v>
      </c>
      <c r="C14" s="155" t="s">
        <v>8014</v>
      </c>
      <c r="D14" s="167" t="s">
        <v>17364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8">
        <v>252</v>
      </c>
      <c r="N14" s="172"/>
    </row>
    <row r="15" spans="1:14" ht="16.5" customHeight="1" x14ac:dyDescent="0.3">
      <c r="A15" s="147">
        <v>15</v>
      </c>
      <c r="B15" s="147">
        <v>7599</v>
      </c>
      <c r="C15" s="155" t="s">
        <v>8013</v>
      </c>
      <c r="D15" s="156" t="s">
        <v>17902</v>
      </c>
      <c r="E15" s="157">
        <v>350</v>
      </c>
      <c r="F15" s="158" t="s">
        <v>0</v>
      </c>
      <c r="G15" s="169"/>
      <c r="H15" s="153"/>
      <c r="I15" s="152"/>
      <c r="J15" s="162"/>
      <c r="K15" s="163"/>
      <c r="L15" s="164"/>
      <c r="M15" s="178">
        <v>315</v>
      </c>
      <c r="N15" s="172"/>
    </row>
    <row r="16" spans="1:14" ht="16.5" customHeight="1" x14ac:dyDescent="0.3">
      <c r="A16" s="147">
        <v>15</v>
      </c>
      <c r="B16" s="147">
        <v>7600</v>
      </c>
      <c r="C16" s="155" t="s">
        <v>8012</v>
      </c>
      <c r="D16" s="167" t="s">
        <v>17901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8">
        <v>315</v>
      </c>
      <c r="N16" s="172"/>
    </row>
    <row r="17" spans="1:14" ht="16.5" customHeight="1" x14ac:dyDescent="0.3">
      <c r="A17" s="147">
        <v>15</v>
      </c>
      <c r="B17" s="147">
        <v>7601</v>
      </c>
      <c r="C17" s="155" t="s">
        <v>8011</v>
      </c>
      <c r="D17" s="156" t="s">
        <v>17900</v>
      </c>
      <c r="E17" s="157">
        <v>420</v>
      </c>
      <c r="F17" s="158" t="s">
        <v>0</v>
      </c>
      <c r="G17" s="169"/>
      <c r="H17" s="153"/>
      <c r="I17" s="152"/>
      <c r="J17" s="162"/>
      <c r="K17" s="163"/>
      <c r="L17" s="164"/>
      <c r="M17" s="178">
        <v>378</v>
      </c>
      <c r="N17" s="172"/>
    </row>
    <row r="18" spans="1:14" ht="16.5" customHeight="1" x14ac:dyDescent="0.3">
      <c r="A18" s="147">
        <v>15</v>
      </c>
      <c r="B18" s="147">
        <v>7602</v>
      </c>
      <c r="C18" s="155" t="s">
        <v>8010</v>
      </c>
      <c r="D18" s="167" t="s">
        <v>17803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8">
        <v>378</v>
      </c>
      <c r="N18" s="172"/>
    </row>
    <row r="19" spans="1:14" ht="16.5" customHeight="1" x14ac:dyDescent="0.3">
      <c r="A19" s="147">
        <v>15</v>
      </c>
      <c r="B19" s="147">
        <v>7603</v>
      </c>
      <c r="C19" s="155" t="s">
        <v>8009</v>
      </c>
      <c r="D19" s="156" t="s">
        <v>17899</v>
      </c>
      <c r="E19" s="157">
        <v>490</v>
      </c>
      <c r="F19" s="158" t="s">
        <v>0</v>
      </c>
      <c r="G19" s="169"/>
      <c r="H19" s="153"/>
      <c r="I19" s="152"/>
      <c r="J19" s="162"/>
      <c r="K19" s="163"/>
      <c r="L19" s="164"/>
      <c r="M19" s="178">
        <v>441</v>
      </c>
      <c r="N19" s="172"/>
    </row>
    <row r="20" spans="1:14" ht="16.5" customHeight="1" x14ac:dyDescent="0.3">
      <c r="A20" s="147">
        <v>15</v>
      </c>
      <c r="B20" s="147">
        <v>7604</v>
      </c>
      <c r="C20" s="155" t="s">
        <v>8008</v>
      </c>
      <c r="D20" s="167" t="s">
        <v>17802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8">
        <v>441</v>
      </c>
      <c r="N20" s="172"/>
    </row>
    <row r="21" spans="1:14" ht="16.5" customHeight="1" x14ac:dyDescent="0.3">
      <c r="A21" s="147">
        <v>15</v>
      </c>
      <c r="B21" s="147">
        <v>7605</v>
      </c>
      <c r="C21" s="155" t="s">
        <v>8007</v>
      </c>
      <c r="D21" s="156" t="s">
        <v>17898</v>
      </c>
      <c r="E21" s="157">
        <v>560</v>
      </c>
      <c r="F21" s="158" t="s">
        <v>0</v>
      </c>
      <c r="G21" s="169"/>
      <c r="H21" s="153"/>
      <c r="I21" s="152"/>
      <c r="J21" s="162"/>
      <c r="K21" s="163"/>
      <c r="L21" s="164"/>
      <c r="M21" s="178">
        <v>504</v>
      </c>
      <c r="N21" s="172"/>
    </row>
    <row r="22" spans="1:14" ht="16.5" customHeight="1" x14ac:dyDescent="0.3">
      <c r="A22" s="147">
        <v>15</v>
      </c>
      <c r="B22" s="147">
        <v>7606</v>
      </c>
      <c r="C22" s="155" t="s">
        <v>8006</v>
      </c>
      <c r="D22" s="167" t="s">
        <v>17800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8">
        <v>504</v>
      </c>
      <c r="N22" s="172"/>
    </row>
    <row r="23" spans="1:14" ht="16.5" customHeight="1" x14ac:dyDescent="0.3">
      <c r="A23" s="147">
        <v>15</v>
      </c>
      <c r="B23" s="147">
        <v>7607</v>
      </c>
      <c r="C23" s="155" t="s">
        <v>8005</v>
      </c>
      <c r="D23" s="156" t="s">
        <v>17897</v>
      </c>
      <c r="E23" s="157">
        <v>630</v>
      </c>
      <c r="F23" s="158" t="s">
        <v>0</v>
      </c>
      <c r="G23" s="169"/>
      <c r="H23" s="153"/>
      <c r="I23" s="152"/>
      <c r="J23" s="162"/>
      <c r="K23" s="163"/>
      <c r="L23" s="164"/>
      <c r="M23" s="178">
        <v>567</v>
      </c>
      <c r="N23" s="172"/>
    </row>
    <row r="24" spans="1:14" ht="16.5" customHeight="1" x14ac:dyDescent="0.3">
      <c r="A24" s="147">
        <v>15</v>
      </c>
      <c r="B24" s="147">
        <v>7608</v>
      </c>
      <c r="C24" s="155" t="s">
        <v>8004</v>
      </c>
      <c r="D24" s="167" t="s">
        <v>17799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8">
        <v>567</v>
      </c>
      <c r="N24" s="172"/>
    </row>
    <row r="25" spans="1:14" ht="16.5" customHeight="1" x14ac:dyDescent="0.3">
      <c r="A25" s="147">
        <v>15</v>
      </c>
      <c r="B25" s="147">
        <v>7609</v>
      </c>
      <c r="C25" s="155" t="s">
        <v>8003</v>
      </c>
      <c r="D25" s="156" t="s">
        <v>17896</v>
      </c>
      <c r="E25" s="157">
        <v>700</v>
      </c>
      <c r="F25" s="158" t="s">
        <v>0</v>
      </c>
      <c r="G25" s="169"/>
      <c r="H25" s="153"/>
      <c r="I25" s="152"/>
      <c r="J25" s="162"/>
      <c r="K25" s="163"/>
      <c r="L25" s="164"/>
      <c r="M25" s="178">
        <v>630</v>
      </c>
      <c r="N25" s="172"/>
    </row>
    <row r="26" spans="1:14" ht="16.5" customHeight="1" x14ac:dyDescent="0.3">
      <c r="A26" s="147">
        <v>15</v>
      </c>
      <c r="B26" s="147">
        <v>7610</v>
      </c>
      <c r="C26" s="155" t="s">
        <v>8002</v>
      </c>
      <c r="D26" s="167" t="s">
        <v>17798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8">
        <v>630</v>
      </c>
      <c r="N26" s="172"/>
    </row>
    <row r="27" spans="1:14" ht="16.5" customHeight="1" x14ac:dyDescent="0.3">
      <c r="A27" s="147">
        <v>15</v>
      </c>
      <c r="B27" s="147">
        <v>7611</v>
      </c>
      <c r="C27" s="155" t="s">
        <v>8001</v>
      </c>
      <c r="D27" s="156" t="s">
        <v>17182</v>
      </c>
      <c r="E27" s="157">
        <v>770</v>
      </c>
      <c r="F27" s="158" t="s">
        <v>0</v>
      </c>
      <c r="G27" s="169"/>
      <c r="H27" s="153"/>
      <c r="I27" s="152"/>
      <c r="J27" s="162"/>
      <c r="K27" s="163"/>
      <c r="L27" s="164"/>
      <c r="M27" s="178">
        <v>693</v>
      </c>
      <c r="N27" s="172"/>
    </row>
    <row r="28" spans="1:14" ht="16.5" customHeight="1" x14ac:dyDescent="0.3">
      <c r="A28" s="147">
        <v>15</v>
      </c>
      <c r="B28" s="147">
        <v>7612</v>
      </c>
      <c r="C28" s="155" t="s">
        <v>8000</v>
      </c>
      <c r="D28" s="167" t="s">
        <v>17895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8">
        <v>693</v>
      </c>
      <c r="N28" s="172"/>
    </row>
    <row r="29" spans="1:14" ht="16.5" customHeight="1" x14ac:dyDescent="0.3">
      <c r="A29" s="147">
        <v>15</v>
      </c>
      <c r="B29" s="147">
        <v>7613</v>
      </c>
      <c r="C29" s="155" t="s">
        <v>7999</v>
      </c>
      <c r="D29" s="156" t="s">
        <v>17894</v>
      </c>
      <c r="E29" s="157">
        <v>840</v>
      </c>
      <c r="F29" s="158" t="s">
        <v>0</v>
      </c>
      <c r="G29" s="169"/>
      <c r="H29" s="153"/>
      <c r="I29" s="152"/>
      <c r="J29" s="162"/>
      <c r="K29" s="163"/>
      <c r="L29" s="164"/>
      <c r="M29" s="178">
        <v>756</v>
      </c>
      <c r="N29" s="172"/>
    </row>
    <row r="30" spans="1:14" ht="16.5" customHeight="1" x14ac:dyDescent="0.3">
      <c r="A30" s="147">
        <v>15</v>
      </c>
      <c r="B30" s="147">
        <v>7614</v>
      </c>
      <c r="C30" s="155" t="s">
        <v>7998</v>
      </c>
      <c r="D30" s="167" t="s">
        <v>17794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8">
        <v>756</v>
      </c>
      <c r="N30" s="172"/>
    </row>
    <row r="31" spans="1:14" ht="16.5" customHeight="1" x14ac:dyDescent="0.3">
      <c r="A31" s="147">
        <v>15</v>
      </c>
      <c r="B31" s="147">
        <v>7615</v>
      </c>
      <c r="C31" s="155" t="s">
        <v>7997</v>
      </c>
      <c r="D31" s="156" t="s">
        <v>17893</v>
      </c>
      <c r="E31" s="157">
        <v>910</v>
      </c>
      <c r="F31" s="158" t="s">
        <v>0</v>
      </c>
      <c r="G31" s="169"/>
      <c r="H31" s="153"/>
      <c r="I31" s="152"/>
      <c r="J31" s="162"/>
      <c r="K31" s="163"/>
      <c r="L31" s="164"/>
      <c r="M31" s="178">
        <v>819</v>
      </c>
      <c r="N31" s="172"/>
    </row>
    <row r="32" spans="1:14" ht="16.5" customHeight="1" x14ac:dyDescent="0.3">
      <c r="A32" s="147">
        <v>15</v>
      </c>
      <c r="B32" s="147">
        <v>7616</v>
      </c>
      <c r="C32" s="155" t="s">
        <v>7996</v>
      </c>
      <c r="D32" s="167" t="s">
        <v>17792</v>
      </c>
      <c r="E32" s="150"/>
      <c r="F32" s="168"/>
      <c r="G32" s="169"/>
      <c r="H32" s="153"/>
      <c r="I32" s="152"/>
      <c r="J32" s="162" t="s">
        <v>5895</v>
      </c>
      <c r="K32" s="163" t="s">
        <v>1</v>
      </c>
      <c r="L32" s="164">
        <v>1</v>
      </c>
      <c r="M32" s="178">
        <v>819</v>
      </c>
      <c r="N32" s="172"/>
    </row>
    <row r="33" spans="1:14" ht="16.5" customHeight="1" x14ac:dyDescent="0.3">
      <c r="A33" s="147">
        <v>15</v>
      </c>
      <c r="B33" s="147">
        <v>7617</v>
      </c>
      <c r="C33" s="155" t="s">
        <v>7995</v>
      </c>
      <c r="D33" s="156" t="s">
        <v>17892</v>
      </c>
      <c r="E33" s="157">
        <v>980</v>
      </c>
      <c r="F33" s="158" t="s">
        <v>0</v>
      </c>
      <c r="G33" s="169"/>
      <c r="H33" s="153"/>
      <c r="I33" s="152"/>
      <c r="J33" s="162"/>
      <c r="K33" s="163"/>
      <c r="L33" s="164"/>
      <c r="M33" s="178">
        <v>882</v>
      </c>
      <c r="N33" s="172"/>
    </row>
    <row r="34" spans="1:14" ht="16.5" customHeight="1" x14ac:dyDescent="0.3">
      <c r="A34" s="147">
        <v>15</v>
      </c>
      <c r="B34" s="147">
        <v>7618</v>
      </c>
      <c r="C34" s="155" t="s">
        <v>7994</v>
      </c>
      <c r="D34" s="167" t="s">
        <v>17791</v>
      </c>
      <c r="E34" s="150"/>
      <c r="F34" s="168"/>
      <c r="G34" s="169"/>
      <c r="H34" s="153"/>
      <c r="I34" s="152"/>
      <c r="J34" s="162" t="s">
        <v>5895</v>
      </c>
      <c r="K34" s="163" t="s">
        <v>1</v>
      </c>
      <c r="L34" s="164">
        <v>1</v>
      </c>
      <c r="M34" s="178">
        <v>882</v>
      </c>
      <c r="N34" s="172"/>
    </row>
    <row r="35" spans="1:14" ht="16.5" customHeight="1" x14ac:dyDescent="0.3">
      <c r="A35" s="147">
        <v>15</v>
      </c>
      <c r="B35" s="147">
        <v>7619</v>
      </c>
      <c r="C35" s="155" t="s">
        <v>7993</v>
      </c>
      <c r="D35" s="156" t="s">
        <v>17891</v>
      </c>
      <c r="E35" s="157">
        <v>1050</v>
      </c>
      <c r="F35" s="158" t="s">
        <v>0</v>
      </c>
      <c r="G35" s="169"/>
      <c r="H35" s="153"/>
      <c r="I35" s="152"/>
      <c r="J35" s="162"/>
      <c r="K35" s="163"/>
      <c r="L35" s="164"/>
      <c r="M35" s="178">
        <v>945</v>
      </c>
      <c r="N35" s="172"/>
    </row>
    <row r="36" spans="1:14" ht="16.5" customHeight="1" x14ac:dyDescent="0.3">
      <c r="A36" s="147">
        <v>15</v>
      </c>
      <c r="B36" s="147">
        <v>7620</v>
      </c>
      <c r="C36" s="155" t="s">
        <v>7992</v>
      </c>
      <c r="D36" s="167" t="s">
        <v>17890</v>
      </c>
      <c r="E36" s="150"/>
      <c r="F36" s="168"/>
      <c r="G36" s="169"/>
      <c r="H36" s="153"/>
      <c r="I36" s="152"/>
      <c r="J36" s="162" t="s">
        <v>5895</v>
      </c>
      <c r="K36" s="163" t="s">
        <v>1</v>
      </c>
      <c r="L36" s="164">
        <v>1</v>
      </c>
      <c r="M36" s="178">
        <v>945</v>
      </c>
      <c r="N36" s="172"/>
    </row>
    <row r="37" spans="1:14" ht="16.5" customHeight="1" x14ac:dyDescent="0.3">
      <c r="A37" s="147">
        <v>15</v>
      </c>
      <c r="B37" s="147">
        <v>7621</v>
      </c>
      <c r="C37" s="155" t="s">
        <v>7991</v>
      </c>
      <c r="D37" s="156" t="s">
        <v>17889</v>
      </c>
      <c r="E37" s="157">
        <v>1120</v>
      </c>
      <c r="F37" s="158" t="s">
        <v>0</v>
      </c>
      <c r="G37" s="169"/>
      <c r="H37" s="153"/>
      <c r="I37" s="152"/>
      <c r="J37" s="162"/>
      <c r="K37" s="163"/>
      <c r="L37" s="164"/>
      <c r="M37" s="178">
        <v>1008</v>
      </c>
      <c r="N37" s="172"/>
    </row>
    <row r="38" spans="1:14" ht="16.5" customHeight="1" x14ac:dyDescent="0.3">
      <c r="A38" s="147">
        <v>15</v>
      </c>
      <c r="B38" s="147">
        <v>7622</v>
      </c>
      <c r="C38" s="155" t="s">
        <v>7990</v>
      </c>
      <c r="D38" s="167" t="s">
        <v>17788</v>
      </c>
      <c r="E38" s="150"/>
      <c r="F38" s="168"/>
      <c r="G38" s="169"/>
      <c r="H38" s="153"/>
      <c r="I38" s="152"/>
      <c r="J38" s="162" t="s">
        <v>5895</v>
      </c>
      <c r="K38" s="163" t="s">
        <v>1</v>
      </c>
      <c r="L38" s="164">
        <v>1</v>
      </c>
      <c r="M38" s="178">
        <v>1008</v>
      </c>
      <c r="N38" s="172"/>
    </row>
    <row r="39" spans="1:14" ht="16.5" customHeight="1" x14ac:dyDescent="0.3">
      <c r="A39" s="147">
        <v>15</v>
      </c>
      <c r="B39" s="147">
        <v>7623</v>
      </c>
      <c r="C39" s="155" t="s">
        <v>7989</v>
      </c>
      <c r="D39" s="156" t="s">
        <v>17888</v>
      </c>
      <c r="E39" s="157">
        <v>1190</v>
      </c>
      <c r="F39" s="158" t="s">
        <v>0</v>
      </c>
      <c r="G39" s="169"/>
      <c r="H39" s="153"/>
      <c r="I39" s="152"/>
      <c r="J39" s="162"/>
      <c r="K39" s="163"/>
      <c r="L39" s="164"/>
      <c r="M39" s="178">
        <v>1071</v>
      </c>
      <c r="N39" s="172"/>
    </row>
    <row r="40" spans="1:14" ht="16.5" customHeight="1" x14ac:dyDescent="0.3">
      <c r="A40" s="147">
        <v>15</v>
      </c>
      <c r="B40" s="147">
        <v>7624</v>
      </c>
      <c r="C40" s="155" t="s">
        <v>7988</v>
      </c>
      <c r="D40" s="167" t="s">
        <v>17887</v>
      </c>
      <c r="E40" s="150"/>
      <c r="F40" s="168"/>
      <c r="G40" s="169"/>
      <c r="H40" s="153"/>
      <c r="I40" s="152"/>
      <c r="J40" s="162" t="s">
        <v>5895</v>
      </c>
      <c r="K40" s="163" t="s">
        <v>1</v>
      </c>
      <c r="L40" s="164">
        <v>1</v>
      </c>
      <c r="M40" s="178">
        <v>1071</v>
      </c>
      <c r="N40" s="172"/>
    </row>
    <row r="41" spans="1:14" ht="16.5" customHeight="1" x14ac:dyDescent="0.3">
      <c r="A41" s="147">
        <v>15</v>
      </c>
      <c r="B41" s="147">
        <v>7625</v>
      </c>
      <c r="C41" s="155" t="s">
        <v>7987</v>
      </c>
      <c r="D41" s="156" t="s">
        <v>17886</v>
      </c>
      <c r="E41" s="157">
        <v>1260</v>
      </c>
      <c r="F41" s="158" t="s">
        <v>0</v>
      </c>
      <c r="G41" s="169"/>
      <c r="H41" s="153"/>
      <c r="I41" s="152"/>
      <c r="J41" s="162"/>
      <c r="K41" s="163"/>
      <c r="L41" s="164"/>
      <c r="M41" s="178">
        <v>1134</v>
      </c>
      <c r="N41" s="172"/>
    </row>
    <row r="42" spans="1:14" ht="16.5" customHeight="1" x14ac:dyDescent="0.3">
      <c r="A42" s="147">
        <v>15</v>
      </c>
      <c r="B42" s="147">
        <v>7626</v>
      </c>
      <c r="C42" s="155" t="s">
        <v>7986</v>
      </c>
      <c r="D42" s="167" t="s">
        <v>17786</v>
      </c>
      <c r="E42" s="150"/>
      <c r="F42" s="168"/>
      <c r="G42" s="169"/>
      <c r="H42" s="153"/>
      <c r="I42" s="152"/>
      <c r="J42" s="162" t="s">
        <v>5895</v>
      </c>
      <c r="K42" s="163" t="s">
        <v>1</v>
      </c>
      <c r="L42" s="164">
        <v>1</v>
      </c>
      <c r="M42" s="178">
        <v>1134</v>
      </c>
      <c r="N42" s="172"/>
    </row>
    <row r="43" spans="1:14" ht="16.5" customHeight="1" x14ac:dyDescent="0.3">
      <c r="A43" s="147">
        <v>15</v>
      </c>
      <c r="B43" s="147">
        <v>7627</v>
      </c>
      <c r="C43" s="155" t="s">
        <v>7985</v>
      </c>
      <c r="D43" s="156" t="s">
        <v>17885</v>
      </c>
      <c r="E43" s="157">
        <v>1330</v>
      </c>
      <c r="F43" s="158" t="s">
        <v>0</v>
      </c>
      <c r="G43" s="169"/>
      <c r="H43" s="153"/>
      <c r="I43" s="152"/>
      <c r="J43" s="162"/>
      <c r="K43" s="163"/>
      <c r="L43" s="164"/>
      <c r="M43" s="178">
        <v>1197</v>
      </c>
      <c r="N43" s="172"/>
    </row>
    <row r="44" spans="1:14" ht="16.5" customHeight="1" x14ac:dyDescent="0.3">
      <c r="A44" s="147">
        <v>15</v>
      </c>
      <c r="B44" s="147">
        <v>7628</v>
      </c>
      <c r="C44" s="155" t="s">
        <v>7984</v>
      </c>
      <c r="D44" s="167" t="s">
        <v>17784</v>
      </c>
      <c r="E44" s="150"/>
      <c r="F44" s="168"/>
      <c r="G44" s="169"/>
      <c r="H44" s="153"/>
      <c r="I44" s="152"/>
      <c r="J44" s="162" t="s">
        <v>5895</v>
      </c>
      <c r="K44" s="163" t="s">
        <v>1</v>
      </c>
      <c r="L44" s="164">
        <v>1</v>
      </c>
      <c r="M44" s="178">
        <v>1197</v>
      </c>
      <c r="N44" s="172"/>
    </row>
    <row r="45" spans="1:14" ht="16.5" customHeight="1" x14ac:dyDescent="0.3">
      <c r="A45" s="147">
        <v>15</v>
      </c>
      <c r="B45" s="147">
        <v>7629</v>
      </c>
      <c r="C45" s="155" t="s">
        <v>7983</v>
      </c>
      <c r="D45" s="156" t="s">
        <v>17884</v>
      </c>
      <c r="E45" s="157">
        <v>1400</v>
      </c>
      <c r="F45" s="158" t="s">
        <v>0</v>
      </c>
      <c r="G45" s="169"/>
      <c r="H45" s="153"/>
      <c r="I45" s="152"/>
      <c r="J45" s="162"/>
      <c r="K45" s="163"/>
      <c r="L45" s="164"/>
      <c r="M45" s="178">
        <v>1260</v>
      </c>
      <c r="N45" s="172"/>
    </row>
    <row r="46" spans="1:14" ht="16.5" customHeight="1" x14ac:dyDescent="0.3">
      <c r="A46" s="147">
        <v>15</v>
      </c>
      <c r="B46" s="147">
        <v>7630</v>
      </c>
      <c r="C46" s="155" t="s">
        <v>7982</v>
      </c>
      <c r="D46" s="167" t="s">
        <v>17782</v>
      </c>
      <c r="E46" s="150"/>
      <c r="F46" s="168"/>
      <c r="G46" s="169"/>
      <c r="H46" s="153"/>
      <c r="I46" s="152"/>
      <c r="J46" s="162" t="s">
        <v>5895</v>
      </c>
      <c r="K46" s="163" t="s">
        <v>1</v>
      </c>
      <c r="L46" s="164">
        <v>1</v>
      </c>
      <c r="M46" s="178">
        <v>1260</v>
      </c>
      <c r="N46" s="172"/>
    </row>
    <row r="47" spans="1:14" ht="16.5" customHeight="1" x14ac:dyDescent="0.3">
      <c r="A47" s="147">
        <v>15</v>
      </c>
      <c r="B47" s="147">
        <v>7631</v>
      </c>
      <c r="C47" s="155" t="s">
        <v>7981</v>
      </c>
      <c r="D47" s="156" t="s">
        <v>17883</v>
      </c>
      <c r="E47" s="157">
        <v>1470</v>
      </c>
      <c r="F47" s="158" t="s">
        <v>0</v>
      </c>
      <c r="G47" s="169"/>
      <c r="H47" s="153"/>
      <c r="I47" s="152"/>
      <c r="J47" s="162"/>
      <c r="K47" s="163"/>
      <c r="L47" s="164"/>
      <c r="M47" s="178">
        <v>1323</v>
      </c>
      <c r="N47" s="172"/>
    </row>
    <row r="48" spans="1:14" ht="16.5" customHeight="1" x14ac:dyDescent="0.3">
      <c r="A48" s="147">
        <v>15</v>
      </c>
      <c r="B48" s="147">
        <v>7632</v>
      </c>
      <c r="C48" s="155" t="s">
        <v>7980</v>
      </c>
      <c r="D48" s="167" t="s">
        <v>17780</v>
      </c>
      <c r="E48" s="150"/>
      <c r="F48" s="168"/>
      <c r="G48" s="175"/>
      <c r="H48" s="150"/>
      <c r="I48" s="151"/>
      <c r="J48" s="162" t="s">
        <v>5895</v>
      </c>
      <c r="K48" s="163" t="s">
        <v>1</v>
      </c>
      <c r="L48" s="164">
        <v>1</v>
      </c>
      <c r="M48" s="178">
        <v>1323</v>
      </c>
      <c r="N48" s="177"/>
    </row>
    <row r="49" spans="3:14" s="44" customFormat="1" ht="16.5" customHeight="1" x14ac:dyDescent="0.3">
      <c r="C49" s="45"/>
      <c r="D49" s="45"/>
      <c r="E49" s="46"/>
      <c r="F49" s="46"/>
      <c r="G49" s="46"/>
      <c r="H49" s="46"/>
      <c r="I49" s="47"/>
      <c r="J49" s="46"/>
      <c r="K49" s="46"/>
      <c r="L49" s="47"/>
      <c r="M49" s="84"/>
      <c r="N49" s="48"/>
    </row>
    <row r="50" spans="3:14" s="44" customFormat="1" ht="16.5" customHeight="1" x14ac:dyDescent="0.3">
      <c r="C50" s="45"/>
      <c r="D50" s="45"/>
      <c r="E50" s="46"/>
      <c r="F50" s="46"/>
      <c r="G50" s="46"/>
      <c r="H50" s="46"/>
      <c r="I50" s="47"/>
      <c r="J50" s="46"/>
      <c r="K50" s="46"/>
      <c r="L50" s="47"/>
      <c r="M50" s="84"/>
      <c r="N50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theme="1" tint="0.249977111117893"/>
    <pageSetUpPr fitToPage="1"/>
  </sheetPr>
  <dimension ref="A1:P41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8053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2"/>
      <c r="N6" s="153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7633</v>
      </c>
      <c r="C7" s="155" t="s">
        <v>8052</v>
      </c>
      <c r="D7" s="156" t="s">
        <v>17924</v>
      </c>
      <c r="E7" s="157">
        <v>70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66">
        <v>79</v>
      </c>
      <c r="P7" s="142" t="s">
        <v>5863</v>
      </c>
    </row>
    <row r="8" spans="1:16" ht="16.5" customHeight="1" x14ac:dyDescent="0.3">
      <c r="A8" s="147">
        <v>15</v>
      </c>
      <c r="B8" s="147">
        <v>7634</v>
      </c>
      <c r="C8" s="155" t="s">
        <v>8051</v>
      </c>
      <c r="D8" s="167" t="s">
        <v>17397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66">
        <v>79</v>
      </c>
      <c r="P8" s="172"/>
    </row>
    <row r="9" spans="1:16" ht="16.5" customHeight="1" x14ac:dyDescent="0.3">
      <c r="A9" s="147">
        <v>15</v>
      </c>
      <c r="B9" s="147">
        <v>7635</v>
      </c>
      <c r="C9" s="155" t="s">
        <v>8050</v>
      </c>
      <c r="D9" s="156" t="s">
        <v>17923</v>
      </c>
      <c r="E9" s="157">
        <v>140</v>
      </c>
      <c r="F9" s="158" t="s">
        <v>0</v>
      </c>
      <c r="G9" s="169"/>
      <c r="H9" s="153"/>
      <c r="I9" s="152"/>
      <c r="J9" s="162"/>
      <c r="K9" s="163"/>
      <c r="L9" s="164"/>
      <c r="M9" s="170" t="s">
        <v>7895</v>
      </c>
      <c r="N9" s="171"/>
      <c r="O9" s="166">
        <v>158</v>
      </c>
      <c r="P9" s="172"/>
    </row>
    <row r="10" spans="1:16" ht="16.5" customHeight="1" x14ac:dyDescent="0.3">
      <c r="A10" s="147">
        <v>15</v>
      </c>
      <c r="B10" s="147">
        <v>7636</v>
      </c>
      <c r="C10" s="155" t="s">
        <v>8049</v>
      </c>
      <c r="D10" s="167" t="s">
        <v>17401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4" t="s">
        <v>8034</v>
      </c>
      <c r="O10" s="166">
        <v>158</v>
      </c>
      <c r="P10" s="172"/>
    </row>
    <row r="11" spans="1:16" ht="16.5" customHeight="1" x14ac:dyDescent="0.3">
      <c r="A11" s="147">
        <v>15</v>
      </c>
      <c r="B11" s="147">
        <v>7637</v>
      </c>
      <c r="C11" s="155" t="s">
        <v>8048</v>
      </c>
      <c r="D11" s="156" t="s">
        <v>17922</v>
      </c>
      <c r="E11" s="157">
        <v>210</v>
      </c>
      <c r="F11" s="158" t="s">
        <v>0</v>
      </c>
      <c r="G11" s="169" t="s">
        <v>17423</v>
      </c>
      <c r="H11" s="153"/>
      <c r="I11" s="173"/>
      <c r="J11" s="162"/>
      <c r="K11" s="163"/>
      <c r="L11" s="164"/>
      <c r="M11" s="170"/>
      <c r="N11" s="171"/>
      <c r="O11" s="166">
        <v>236</v>
      </c>
      <c r="P11" s="172"/>
    </row>
    <row r="12" spans="1:16" ht="16.5" customHeight="1" x14ac:dyDescent="0.3">
      <c r="A12" s="147">
        <v>15</v>
      </c>
      <c r="B12" s="147">
        <v>7638</v>
      </c>
      <c r="C12" s="155" t="s">
        <v>8047</v>
      </c>
      <c r="D12" s="167" t="s">
        <v>17406</v>
      </c>
      <c r="E12" s="150"/>
      <c r="F12" s="168"/>
      <c r="G12" s="169" t="s">
        <v>17420</v>
      </c>
      <c r="H12" s="153" t="s">
        <v>1</v>
      </c>
      <c r="I12" s="173">
        <v>0.9</v>
      </c>
      <c r="J12" s="162" t="s">
        <v>5895</v>
      </c>
      <c r="K12" s="163" t="s">
        <v>1</v>
      </c>
      <c r="L12" s="164">
        <v>1</v>
      </c>
      <c r="M12" s="169" t="s">
        <v>1</v>
      </c>
      <c r="N12" s="173">
        <v>0.25</v>
      </c>
      <c r="O12" s="166">
        <v>236</v>
      </c>
      <c r="P12" s="172"/>
    </row>
    <row r="13" spans="1:16" ht="16.5" customHeight="1" x14ac:dyDescent="0.3">
      <c r="A13" s="147">
        <v>15</v>
      </c>
      <c r="B13" s="147">
        <v>7639</v>
      </c>
      <c r="C13" s="155" t="s">
        <v>8046</v>
      </c>
      <c r="D13" s="156" t="s">
        <v>17921</v>
      </c>
      <c r="E13" s="157">
        <v>280</v>
      </c>
      <c r="F13" s="158" t="s">
        <v>0</v>
      </c>
      <c r="G13" s="169"/>
      <c r="H13" s="153"/>
      <c r="I13" s="152"/>
      <c r="J13" s="162"/>
      <c r="K13" s="163"/>
      <c r="L13" s="164"/>
      <c r="M13" s="170"/>
      <c r="N13" s="174" t="s">
        <v>422</v>
      </c>
      <c r="O13" s="166">
        <v>315</v>
      </c>
      <c r="P13" s="172"/>
    </row>
    <row r="14" spans="1:16" ht="16.5" customHeight="1" x14ac:dyDescent="0.3">
      <c r="A14" s="147">
        <v>15</v>
      </c>
      <c r="B14" s="147">
        <v>7640</v>
      </c>
      <c r="C14" s="155" t="s">
        <v>8045</v>
      </c>
      <c r="D14" s="167" t="s">
        <v>17411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66">
        <v>315</v>
      </c>
      <c r="P14" s="172"/>
    </row>
    <row r="15" spans="1:16" ht="16.5" customHeight="1" x14ac:dyDescent="0.3">
      <c r="A15" s="147">
        <v>15</v>
      </c>
      <c r="B15" s="147">
        <v>7641</v>
      </c>
      <c r="C15" s="155" t="s">
        <v>8044</v>
      </c>
      <c r="D15" s="156" t="s">
        <v>17920</v>
      </c>
      <c r="E15" s="157">
        <v>350</v>
      </c>
      <c r="F15" s="158" t="s">
        <v>0</v>
      </c>
      <c r="G15" s="169"/>
      <c r="H15" s="153"/>
      <c r="I15" s="152"/>
      <c r="J15" s="162"/>
      <c r="K15" s="163"/>
      <c r="L15" s="164"/>
      <c r="M15" s="170"/>
      <c r="N15" s="171"/>
      <c r="O15" s="166">
        <v>394</v>
      </c>
      <c r="P15" s="172"/>
    </row>
    <row r="16" spans="1:16" ht="16.5" customHeight="1" x14ac:dyDescent="0.3">
      <c r="A16" s="147">
        <v>15</v>
      </c>
      <c r="B16" s="147">
        <v>7642</v>
      </c>
      <c r="C16" s="155" t="s">
        <v>8043</v>
      </c>
      <c r="D16" s="167" t="s">
        <v>17398</v>
      </c>
      <c r="E16" s="150"/>
      <c r="F16" s="168"/>
      <c r="G16" s="175"/>
      <c r="H16" s="150"/>
      <c r="I16" s="151"/>
      <c r="J16" s="162" t="s">
        <v>5895</v>
      </c>
      <c r="K16" s="163" t="s">
        <v>1</v>
      </c>
      <c r="L16" s="164">
        <v>1</v>
      </c>
      <c r="M16" s="176"/>
      <c r="N16" s="168"/>
      <c r="O16" s="166">
        <v>394</v>
      </c>
      <c r="P16" s="177"/>
    </row>
    <row r="17" spans="1:16" ht="16.5" customHeight="1" x14ac:dyDescent="0.3">
      <c r="A17" s="132"/>
      <c r="B17" s="132"/>
      <c r="C17" s="133"/>
      <c r="D17" s="133"/>
      <c r="E17" s="134"/>
      <c r="F17" s="134"/>
      <c r="G17" s="134"/>
      <c r="H17" s="134"/>
      <c r="I17" s="135"/>
      <c r="J17" s="134"/>
      <c r="K17" s="134"/>
      <c r="L17" s="135"/>
      <c r="M17" s="135"/>
      <c r="N17" s="134"/>
      <c r="O17" s="136"/>
      <c r="P17" s="137"/>
    </row>
    <row r="18" spans="1:16" ht="16.5" customHeight="1" x14ac:dyDescent="0.3">
      <c r="A18" s="132"/>
      <c r="B18" s="132"/>
      <c r="C18" s="133"/>
      <c r="D18" s="133"/>
      <c r="E18" s="134"/>
      <c r="F18" s="134"/>
      <c r="G18" s="134"/>
      <c r="H18" s="134"/>
      <c r="I18" s="135"/>
      <c r="J18" s="134"/>
      <c r="K18" s="134"/>
      <c r="L18" s="135"/>
      <c r="M18" s="135"/>
      <c r="N18" s="134"/>
      <c r="O18" s="136"/>
      <c r="P18" s="137"/>
    </row>
    <row r="19" spans="1:16" ht="16.5" customHeight="1" x14ac:dyDescent="0.3">
      <c r="A19" s="132"/>
      <c r="B19" s="138" t="s">
        <v>8042</v>
      </c>
      <c r="C19" s="133"/>
      <c r="D19" s="139"/>
      <c r="E19" s="134"/>
      <c r="F19" s="134"/>
      <c r="G19" s="134"/>
      <c r="H19" s="134"/>
      <c r="I19" s="135"/>
      <c r="J19" s="134"/>
      <c r="K19" s="134"/>
      <c r="L19" s="135"/>
      <c r="M19" s="135"/>
      <c r="N19" s="134"/>
      <c r="O19" s="136"/>
      <c r="P19" s="137"/>
    </row>
    <row r="20" spans="1:16" ht="16.5" customHeight="1" x14ac:dyDescent="0.3">
      <c r="A20" s="140" t="s">
        <v>5864</v>
      </c>
      <c r="B20" s="141"/>
      <c r="C20" s="142" t="s">
        <v>5867</v>
      </c>
      <c r="D20" s="143" t="s">
        <v>5868</v>
      </c>
      <c r="E20" s="144"/>
      <c r="F20" s="144"/>
      <c r="G20" s="144"/>
      <c r="H20" s="144"/>
      <c r="I20" s="145"/>
      <c r="J20" s="144"/>
      <c r="K20" s="144"/>
      <c r="L20" s="145"/>
      <c r="M20" s="145"/>
      <c r="N20" s="144"/>
      <c r="O20" s="146" t="s">
        <v>5869</v>
      </c>
      <c r="P20" s="146" t="s">
        <v>5871</v>
      </c>
    </row>
    <row r="21" spans="1:16" ht="16.5" customHeight="1" x14ac:dyDescent="0.3">
      <c r="A21" s="147" t="s">
        <v>5865</v>
      </c>
      <c r="B21" s="147" t="s">
        <v>5866</v>
      </c>
      <c r="C21" s="148"/>
      <c r="D21" s="149"/>
      <c r="E21" s="150"/>
      <c r="F21" s="150"/>
      <c r="G21" s="150"/>
      <c r="H21" s="150"/>
      <c r="I21" s="151"/>
      <c r="J21" s="150"/>
      <c r="K21" s="150"/>
      <c r="L21" s="151"/>
      <c r="M21" s="152"/>
      <c r="N21" s="153"/>
      <c r="O21" s="154" t="s">
        <v>5870</v>
      </c>
      <c r="P21" s="154" t="s">
        <v>0</v>
      </c>
    </row>
    <row r="22" spans="1:16" ht="16.5" customHeight="1" x14ac:dyDescent="0.3">
      <c r="A22" s="147">
        <v>15</v>
      </c>
      <c r="B22" s="147">
        <v>7643</v>
      </c>
      <c r="C22" s="155" t="s">
        <v>8041</v>
      </c>
      <c r="D22" s="156" t="s">
        <v>17919</v>
      </c>
      <c r="E22" s="157">
        <v>70</v>
      </c>
      <c r="F22" s="158" t="s">
        <v>0</v>
      </c>
      <c r="G22" s="159"/>
      <c r="H22" s="160"/>
      <c r="I22" s="161"/>
      <c r="J22" s="162"/>
      <c r="K22" s="163"/>
      <c r="L22" s="164"/>
      <c r="M22" s="165"/>
      <c r="N22" s="158"/>
      <c r="O22" s="166">
        <v>79</v>
      </c>
      <c r="P22" s="142" t="s">
        <v>5863</v>
      </c>
    </row>
    <row r="23" spans="1:16" ht="16.5" customHeight="1" x14ac:dyDescent="0.3">
      <c r="A23" s="147">
        <v>15</v>
      </c>
      <c r="B23" s="147">
        <v>7644</v>
      </c>
      <c r="C23" s="155" t="s">
        <v>8040</v>
      </c>
      <c r="D23" s="167" t="s">
        <v>17397</v>
      </c>
      <c r="E23" s="150"/>
      <c r="F23" s="168"/>
      <c r="G23" s="169"/>
      <c r="H23" s="153"/>
      <c r="I23" s="152"/>
      <c r="J23" s="162" t="s">
        <v>5895</v>
      </c>
      <c r="K23" s="163" t="s">
        <v>1</v>
      </c>
      <c r="L23" s="164">
        <v>1</v>
      </c>
      <c r="M23" s="170"/>
      <c r="N23" s="171"/>
      <c r="O23" s="166">
        <v>79</v>
      </c>
      <c r="P23" s="172"/>
    </row>
    <row r="24" spans="1:16" ht="16.5" customHeight="1" x14ac:dyDescent="0.3">
      <c r="A24" s="147">
        <v>15</v>
      </c>
      <c r="B24" s="147">
        <v>7645</v>
      </c>
      <c r="C24" s="155" t="s">
        <v>8039</v>
      </c>
      <c r="D24" s="156" t="s">
        <v>17918</v>
      </c>
      <c r="E24" s="157">
        <v>140</v>
      </c>
      <c r="F24" s="158" t="s">
        <v>0</v>
      </c>
      <c r="G24" s="169"/>
      <c r="H24" s="153"/>
      <c r="I24" s="152"/>
      <c r="J24" s="162"/>
      <c r="K24" s="163"/>
      <c r="L24" s="164"/>
      <c r="M24" s="170"/>
      <c r="N24" s="171"/>
      <c r="O24" s="166">
        <v>158</v>
      </c>
      <c r="P24" s="172"/>
    </row>
    <row r="25" spans="1:16" ht="16.5" customHeight="1" x14ac:dyDescent="0.3">
      <c r="A25" s="147">
        <v>15</v>
      </c>
      <c r="B25" s="147">
        <v>7646</v>
      </c>
      <c r="C25" s="155" t="s">
        <v>8038</v>
      </c>
      <c r="D25" s="167" t="s">
        <v>17401</v>
      </c>
      <c r="E25" s="150"/>
      <c r="F25" s="168"/>
      <c r="G25" s="169"/>
      <c r="H25" s="153"/>
      <c r="I25" s="152"/>
      <c r="J25" s="162" t="s">
        <v>5895</v>
      </c>
      <c r="K25" s="163" t="s">
        <v>1</v>
      </c>
      <c r="L25" s="164">
        <v>1</v>
      </c>
      <c r="M25" s="170"/>
      <c r="N25" s="171"/>
      <c r="O25" s="166">
        <v>158</v>
      </c>
      <c r="P25" s="172"/>
    </row>
    <row r="26" spans="1:16" ht="16.5" customHeight="1" x14ac:dyDescent="0.3">
      <c r="A26" s="147">
        <v>15</v>
      </c>
      <c r="B26" s="147">
        <v>7647</v>
      </c>
      <c r="C26" s="155" t="s">
        <v>8037</v>
      </c>
      <c r="D26" s="156" t="s">
        <v>17917</v>
      </c>
      <c r="E26" s="157">
        <v>210</v>
      </c>
      <c r="F26" s="158" t="s">
        <v>0</v>
      </c>
      <c r="G26" s="169"/>
      <c r="H26" s="153"/>
      <c r="I26" s="152"/>
      <c r="J26" s="162"/>
      <c r="K26" s="163"/>
      <c r="L26" s="164"/>
      <c r="M26" s="170"/>
      <c r="N26" s="171"/>
      <c r="O26" s="166">
        <v>236</v>
      </c>
      <c r="P26" s="172"/>
    </row>
    <row r="27" spans="1:16" ht="16.5" customHeight="1" x14ac:dyDescent="0.3">
      <c r="A27" s="147">
        <v>15</v>
      </c>
      <c r="B27" s="147">
        <v>7648</v>
      </c>
      <c r="C27" s="155" t="s">
        <v>8036</v>
      </c>
      <c r="D27" s="167" t="s">
        <v>17406</v>
      </c>
      <c r="E27" s="150"/>
      <c r="F27" s="168"/>
      <c r="G27" s="169" t="s">
        <v>17423</v>
      </c>
      <c r="H27" s="153"/>
      <c r="I27" s="173"/>
      <c r="J27" s="162" t="s">
        <v>5895</v>
      </c>
      <c r="K27" s="163" t="s">
        <v>1</v>
      </c>
      <c r="L27" s="164">
        <v>1</v>
      </c>
      <c r="M27" s="170" t="s">
        <v>7743</v>
      </c>
      <c r="N27" s="171"/>
      <c r="O27" s="166">
        <v>236</v>
      </c>
      <c r="P27" s="172"/>
    </row>
    <row r="28" spans="1:16" ht="16.5" customHeight="1" x14ac:dyDescent="0.3">
      <c r="A28" s="147">
        <v>15</v>
      </c>
      <c r="B28" s="147">
        <v>7649</v>
      </c>
      <c r="C28" s="155" t="s">
        <v>8035</v>
      </c>
      <c r="D28" s="156" t="s">
        <v>17916</v>
      </c>
      <c r="E28" s="157">
        <v>280</v>
      </c>
      <c r="F28" s="158" t="s">
        <v>0</v>
      </c>
      <c r="G28" s="169" t="s">
        <v>17420</v>
      </c>
      <c r="H28" s="153" t="s">
        <v>1</v>
      </c>
      <c r="I28" s="173">
        <v>0.9</v>
      </c>
      <c r="J28" s="162"/>
      <c r="K28" s="163"/>
      <c r="L28" s="164"/>
      <c r="M28" s="170"/>
      <c r="N28" s="174" t="s">
        <v>8034</v>
      </c>
      <c r="O28" s="166">
        <v>315</v>
      </c>
      <c r="P28" s="172"/>
    </row>
    <row r="29" spans="1:16" ht="16.5" customHeight="1" x14ac:dyDescent="0.3">
      <c r="A29" s="147">
        <v>15</v>
      </c>
      <c r="B29" s="147">
        <v>7650</v>
      </c>
      <c r="C29" s="155" t="s">
        <v>8033</v>
      </c>
      <c r="D29" s="167" t="s">
        <v>17411</v>
      </c>
      <c r="E29" s="150"/>
      <c r="F29" s="168"/>
      <c r="G29" s="169"/>
      <c r="H29" s="153"/>
      <c r="I29" s="152"/>
      <c r="J29" s="162" t="s">
        <v>5895</v>
      </c>
      <c r="K29" s="163" t="s">
        <v>1</v>
      </c>
      <c r="L29" s="164">
        <v>1</v>
      </c>
      <c r="M29" s="170"/>
      <c r="N29" s="171"/>
      <c r="O29" s="166">
        <v>315</v>
      </c>
      <c r="P29" s="172"/>
    </row>
    <row r="30" spans="1:16" ht="16.5" customHeight="1" x14ac:dyDescent="0.3">
      <c r="A30" s="147">
        <v>15</v>
      </c>
      <c r="B30" s="147">
        <v>7651</v>
      </c>
      <c r="C30" s="155" t="s">
        <v>8032</v>
      </c>
      <c r="D30" s="156" t="s">
        <v>17915</v>
      </c>
      <c r="E30" s="157">
        <v>350</v>
      </c>
      <c r="F30" s="158" t="s">
        <v>0</v>
      </c>
      <c r="G30" s="169"/>
      <c r="H30" s="153"/>
      <c r="I30" s="152"/>
      <c r="J30" s="162"/>
      <c r="K30" s="163"/>
      <c r="L30" s="164"/>
      <c r="M30" s="169" t="s">
        <v>1</v>
      </c>
      <c r="N30" s="173">
        <v>0.25</v>
      </c>
      <c r="O30" s="166">
        <v>394</v>
      </c>
      <c r="P30" s="172"/>
    </row>
    <row r="31" spans="1:16" ht="16.5" customHeight="1" x14ac:dyDescent="0.3">
      <c r="A31" s="147">
        <v>15</v>
      </c>
      <c r="B31" s="147">
        <v>7652</v>
      </c>
      <c r="C31" s="155" t="s">
        <v>8031</v>
      </c>
      <c r="D31" s="167" t="s">
        <v>17398</v>
      </c>
      <c r="E31" s="150"/>
      <c r="F31" s="168"/>
      <c r="G31" s="169"/>
      <c r="H31" s="153"/>
      <c r="I31" s="152"/>
      <c r="J31" s="162" t="s">
        <v>5895</v>
      </c>
      <c r="K31" s="163" t="s">
        <v>1</v>
      </c>
      <c r="L31" s="164">
        <v>1</v>
      </c>
      <c r="M31" s="170"/>
      <c r="N31" s="174" t="s">
        <v>422</v>
      </c>
      <c r="O31" s="166">
        <v>394</v>
      </c>
      <c r="P31" s="172"/>
    </row>
    <row r="32" spans="1:16" ht="16.5" customHeight="1" x14ac:dyDescent="0.3">
      <c r="A32" s="147">
        <v>15</v>
      </c>
      <c r="B32" s="147">
        <v>7653</v>
      </c>
      <c r="C32" s="155" t="s">
        <v>8030</v>
      </c>
      <c r="D32" s="156" t="s">
        <v>17914</v>
      </c>
      <c r="E32" s="157">
        <v>420</v>
      </c>
      <c r="F32" s="158" t="s">
        <v>0</v>
      </c>
      <c r="G32" s="169"/>
      <c r="H32" s="153"/>
      <c r="I32" s="152"/>
      <c r="J32" s="162"/>
      <c r="K32" s="163"/>
      <c r="L32" s="164"/>
      <c r="M32" s="170"/>
      <c r="N32" s="171"/>
      <c r="O32" s="166">
        <v>473</v>
      </c>
      <c r="P32" s="172"/>
    </row>
    <row r="33" spans="1:16" ht="16.5" customHeight="1" x14ac:dyDescent="0.3">
      <c r="A33" s="147">
        <v>15</v>
      </c>
      <c r="B33" s="147">
        <v>7654</v>
      </c>
      <c r="C33" s="155" t="s">
        <v>8029</v>
      </c>
      <c r="D33" s="167" t="s">
        <v>17913</v>
      </c>
      <c r="E33" s="150"/>
      <c r="F33" s="168"/>
      <c r="G33" s="169"/>
      <c r="H33" s="153"/>
      <c r="I33" s="152"/>
      <c r="J33" s="162" t="s">
        <v>5895</v>
      </c>
      <c r="K33" s="163" t="s">
        <v>1</v>
      </c>
      <c r="L33" s="164">
        <v>1</v>
      </c>
      <c r="M33" s="170"/>
      <c r="N33" s="171"/>
      <c r="O33" s="166">
        <v>473</v>
      </c>
      <c r="P33" s="172"/>
    </row>
    <row r="34" spans="1:16" ht="16.5" customHeight="1" x14ac:dyDescent="0.3">
      <c r="A34" s="147">
        <v>15</v>
      </c>
      <c r="B34" s="147">
        <v>7655</v>
      </c>
      <c r="C34" s="155" t="s">
        <v>8028</v>
      </c>
      <c r="D34" s="156" t="s">
        <v>17912</v>
      </c>
      <c r="E34" s="157">
        <v>490</v>
      </c>
      <c r="F34" s="158" t="s">
        <v>0</v>
      </c>
      <c r="G34" s="169"/>
      <c r="H34" s="153"/>
      <c r="I34" s="152"/>
      <c r="J34" s="162"/>
      <c r="K34" s="163"/>
      <c r="L34" s="164"/>
      <c r="M34" s="170"/>
      <c r="N34" s="171"/>
      <c r="O34" s="166">
        <v>551</v>
      </c>
      <c r="P34" s="172"/>
    </row>
    <row r="35" spans="1:16" ht="16.5" customHeight="1" x14ac:dyDescent="0.3">
      <c r="A35" s="147">
        <v>15</v>
      </c>
      <c r="B35" s="147">
        <v>7656</v>
      </c>
      <c r="C35" s="155" t="s">
        <v>8027</v>
      </c>
      <c r="D35" s="167" t="s">
        <v>17911</v>
      </c>
      <c r="E35" s="150"/>
      <c r="F35" s="168"/>
      <c r="G35" s="169"/>
      <c r="H35" s="153"/>
      <c r="I35" s="152"/>
      <c r="J35" s="162" t="s">
        <v>5895</v>
      </c>
      <c r="K35" s="163" t="s">
        <v>1</v>
      </c>
      <c r="L35" s="164">
        <v>1</v>
      </c>
      <c r="M35" s="170"/>
      <c r="N35" s="171"/>
      <c r="O35" s="166">
        <v>551</v>
      </c>
      <c r="P35" s="172"/>
    </row>
    <row r="36" spans="1:16" ht="16.5" customHeight="1" x14ac:dyDescent="0.3">
      <c r="A36" s="147">
        <v>15</v>
      </c>
      <c r="B36" s="147">
        <v>7657</v>
      </c>
      <c r="C36" s="155" t="s">
        <v>8026</v>
      </c>
      <c r="D36" s="156" t="s">
        <v>17910</v>
      </c>
      <c r="E36" s="157">
        <v>560</v>
      </c>
      <c r="F36" s="158" t="s">
        <v>0</v>
      </c>
      <c r="G36" s="169"/>
      <c r="H36" s="153"/>
      <c r="I36" s="152"/>
      <c r="J36" s="162"/>
      <c r="K36" s="163"/>
      <c r="L36" s="164"/>
      <c r="M36" s="170"/>
      <c r="N36" s="171"/>
      <c r="O36" s="166">
        <v>630</v>
      </c>
      <c r="P36" s="172"/>
    </row>
    <row r="37" spans="1:16" ht="16.5" customHeight="1" x14ac:dyDescent="0.3">
      <c r="A37" s="147">
        <v>15</v>
      </c>
      <c r="B37" s="147">
        <v>7658</v>
      </c>
      <c r="C37" s="155" t="s">
        <v>8025</v>
      </c>
      <c r="D37" s="167" t="s">
        <v>17909</v>
      </c>
      <c r="E37" s="150"/>
      <c r="F37" s="168"/>
      <c r="G37" s="169"/>
      <c r="H37" s="153"/>
      <c r="I37" s="152"/>
      <c r="J37" s="162" t="s">
        <v>5895</v>
      </c>
      <c r="K37" s="163" t="s">
        <v>1</v>
      </c>
      <c r="L37" s="164">
        <v>1</v>
      </c>
      <c r="M37" s="170"/>
      <c r="N37" s="171"/>
      <c r="O37" s="166">
        <v>630</v>
      </c>
      <c r="P37" s="172"/>
    </row>
    <row r="38" spans="1:16" ht="16.5" customHeight="1" x14ac:dyDescent="0.3">
      <c r="A38" s="147">
        <v>15</v>
      </c>
      <c r="B38" s="147">
        <v>7659</v>
      </c>
      <c r="C38" s="155" t="s">
        <v>8024</v>
      </c>
      <c r="D38" s="156" t="s">
        <v>17908</v>
      </c>
      <c r="E38" s="157">
        <v>630</v>
      </c>
      <c r="F38" s="158" t="s">
        <v>0</v>
      </c>
      <c r="G38" s="169"/>
      <c r="H38" s="153"/>
      <c r="I38" s="152"/>
      <c r="J38" s="162"/>
      <c r="K38" s="163"/>
      <c r="L38" s="164"/>
      <c r="M38" s="170"/>
      <c r="N38" s="171"/>
      <c r="O38" s="166">
        <v>709</v>
      </c>
      <c r="P38" s="172"/>
    </row>
    <row r="39" spans="1:16" ht="16.5" customHeight="1" x14ac:dyDescent="0.3">
      <c r="A39" s="147">
        <v>15</v>
      </c>
      <c r="B39" s="147">
        <v>7660</v>
      </c>
      <c r="C39" s="155" t="s">
        <v>8023</v>
      </c>
      <c r="D39" s="167" t="s">
        <v>17907</v>
      </c>
      <c r="E39" s="150"/>
      <c r="F39" s="168"/>
      <c r="G39" s="175"/>
      <c r="H39" s="150"/>
      <c r="I39" s="151"/>
      <c r="J39" s="162" t="s">
        <v>5895</v>
      </c>
      <c r="K39" s="163" t="s">
        <v>1</v>
      </c>
      <c r="L39" s="164">
        <v>1</v>
      </c>
      <c r="M39" s="176"/>
      <c r="N39" s="168"/>
      <c r="O39" s="166">
        <v>709</v>
      </c>
      <c r="P39" s="177"/>
    </row>
    <row r="40" spans="1:16" ht="16.5" customHeight="1" x14ac:dyDescent="0.3"/>
    <row r="41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theme="1" tint="0.249977111117893"/>
    <pageSetUpPr fitToPage="1"/>
  </sheetPr>
  <dimension ref="A1:P34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8080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2"/>
      <c r="N6" s="153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7661</v>
      </c>
      <c r="C7" s="155" t="s">
        <v>8079</v>
      </c>
      <c r="D7" s="156" t="s">
        <v>17703</v>
      </c>
      <c r="E7" s="157">
        <v>70</v>
      </c>
      <c r="F7" s="158" t="s">
        <v>0</v>
      </c>
      <c r="G7" s="159"/>
      <c r="H7" s="160"/>
      <c r="I7" s="161"/>
      <c r="J7" s="162"/>
      <c r="K7" s="163"/>
      <c r="L7" s="164"/>
      <c r="M7" s="165"/>
      <c r="N7" s="158"/>
      <c r="O7" s="166">
        <v>95</v>
      </c>
      <c r="P7" s="142" t="s">
        <v>5863</v>
      </c>
    </row>
    <row r="8" spans="1:16" ht="16.5" customHeight="1" x14ac:dyDescent="0.3">
      <c r="A8" s="147">
        <v>15</v>
      </c>
      <c r="B8" s="147">
        <v>7662</v>
      </c>
      <c r="C8" s="155" t="s">
        <v>8078</v>
      </c>
      <c r="D8" s="167" t="s">
        <v>16901</v>
      </c>
      <c r="E8" s="150"/>
      <c r="F8" s="168"/>
      <c r="G8" s="169"/>
      <c r="H8" s="153"/>
      <c r="I8" s="152"/>
      <c r="J8" s="162" t="s">
        <v>5895</v>
      </c>
      <c r="K8" s="163" t="s">
        <v>1</v>
      </c>
      <c r="L8" s="164">
        <v>1</v>
      </c>
      <c r="M8" s="170"/>
      <c r="N8" s="171"/>
      <c r="O8" s="166">
        <v>95</v>
      </c>
      <c r="P8" s="172"/>
    </row>
    <row r="9" spans="1:16" ht="16.5" customHeight="1" x14ac:dyDescent="0.3">
      <c r="A9" s="147">
        <v>15</v>
      </c>
      <c r="B9" s="147">
        <v>7663</v>
      </c>
      <c r="C9" s="155" t="s">
        <v>8077</v>
      </c>
      <c r="D9" s="156" t="s">
        <v>16961</v>
      </c>
      <c r="E9" s="157">
        <v>140</v>
      </c>
      <c r="F9" s="158" t="s">
        <v>0</v>
      </c>
      <c r="G9" s="169"/>
      <c r="H9" s="153"/>
      <c r="I9" s="152"/>
      <c r="J9" s="162"/>
      <c r="K9" s="163"/>
      <c r="L9" s="164"/>
      <c r="M9" s="170"/>
      <c r="N9" s="171"/>
      <c r="O9" s="166">
        <v>189</v>
      </c>
      <c r="P9" s="172"/>
    </row>
    <row r="10" spans="1:16" ht="16.5" customHeight="1" x14ac:dyDescent="0.3">
      <c r="A10" s="147">
        <v>15</v>
      </c>
      <c r="B10" s="147">
        <v>7664</v>
      </c>
      <c r="C10" s="155" t="s">
        <v>8076</v>
      </c>
      <c r="D10" s="167" t="s">
        <v>17362</v>
      </c>
      <c r="E10" s="150"/>
      <c r="F10" s="168"/>
      <c r="G10" s="169"/>
      <c r="H10" s="153"/>
      <c r="I10" s="152"/>
      <c r="J10" s="162" t="s">
        <v>5895</v>
      </c>
      <c r="K10" s="163" t="s">
        <v>1</v>
      </c>
      <c r="L10" s="164">
        <v>1</v>
      </c>
      <c r="M10" s="170"/>
      <c r="N10" s="171"/>
      <c r="O10" s="166">
        <v>189</v>
      </c>
      <c r="P10" s="172"/>
    </row>
    <row r="11" spans="1:16" ht="16.5" customHeight="1" x14ac:dyDescent="0.3">
      <c r="A11" s="147">
        <v>15</v>
      </c>
      <c r="B11" s="147">
        <v>7665</v>
      </c>
      <c r="C11" s="155" t="s">
        <v>8075</v>
      </c>
      <c r="D11" s="156" t="s">
        <v>16958</v>
      </c>
      <c r="E11" s="157">
        <v>210</v>
      </c>
      <c r="F11" s="158" t="s">
        <v>0</v>
      </c>
      <c r="G11" s="169"/>
      <c r="H11" s="153"/>
      <c r="I11" s="152"/>
      <c r="J11" s="162"/>
      <c r="K11" s="163"/>
      <c r="L11" s="164"/>
      <c r="M11" s="170"/>
      <c r="N11" s="171"/>
      <c r="O11" s="166">
        <v>284</v>
      </c>
      <c r="P11" s="172"/>
    </row>
    <row r="12" spans="1:16" ht="16.5" customHeight="1" x14ac:dyDescent="0.3">
      <c r="A12" s="147">
        <v>15</v>
      </c>
      <c r="B12" s="147">
        <v>7666</v>
      </c>
      <c r="C12" s="155" t="s">
        <v>8074</v>
      </c>
      <c r="D12" s="167" t="s">
        <v>17572</v>
      </c>
      <c r="E12" s="150"/>
      <c r="F12" s="168"/>
      <c r="G12" s="169" t="s">
        <v>17931</v>
      </c>
      <c r="H12" s="153"/>
      <c r="I12" s="173"/>
      <c r="J12" s="162" t="s">
        <v>5895</v>
      </c>
      <c r="K12" s="163" t="s">
        <v>1</v>
      </c>
      <c r="L12" s="164">
        <v>1</v>
      </c>
      <c r="M12" s="170" t="s">
        <v>7920</v>
      </c>
      <c r="N12" s="171"/>
      <c r="O12" s="166">
        <v>284</v>
      </c>
      <c r="P12" s="172"/>
    </row>
    <row r="13" spans="1:16" ht="16.5" customHeight="1" x14ac:dyDescent="0.3">
      <c r="A13" s="147">
        <v>15</v>
      </c>
      <c r="B13" s="147">
        <v>7667</v>
      </c>
      <c r="C13" s="155" t="s">
        <v>8073</v>
      </c>
      <c r="D13" s="156" t="s">
        <v>17839</v>
      </c>
      <c r="E13" s="157">
        <v>280</v>
      </c>
      <c r="F13" s="158" t="s">
        <v>0</v>
      </c>
      <c r="G13" s="169" t="s">
        <v>16812</v>
      </c>
      <c r="H13" s="153" t="s">
        <v>1</v>
      </c>
      <c r="I13" s="173">
        <v>0.9</v>
      </c>
      <c r="J13" s="162"/>
      <c r="K13" s="163"/>
      <c r="L13" s="164"/>
      <c r="M13" s="170"/>
      <c r="N13" s="174" t="s">
        <v>8034</v>
      </c>
      <c r="O13" s="166">
        <v>378</v>
      </c>
      <c r="P13" s="172"/>
    </row>
    <row r="14" spans="1:16" ht="16.5" customHeight="1" x14ac:dyDescent="0.3">
      <c r="A14" s="147">
        <v>15</v>
      </c>
      <c r="B14" s="147">
        <v>7668</v>
      </c>
      <c r="C14" s="155" t="s">
        <v>8072</v>
      </c>
      <c r="D14" s="167" t="s">
        <v>17837</v>
      </c>
      <c r="E14" s="150"/>
      <c r="F14" s="168"/>
      <c r="G14" s="169"/>
      <c r="H14" s="153"/>
      <c r="I14" s="152"/>
      <c r="J14" s="162" t="s">
        <v>5895</v>
      </c>
      <c r="K14" s="163" t="s">
        <v>1</v>
      </c>
      <c r="L14" s="164">
        <v>1</v>
      </c>
      <c r="M14" s="170"/>
      <c r="N14" s="171"/>
      <c r="O14" s="166">
        <v>378</v>
      </c>
      <c r="P14" s="172"/>
    </row>
    <row r="15" spans="1:16" ht="16.5" customHeight="1" x14ac:dyDescent="0.3">
      <c r="A15" s="147">
        <v>15</v>
      </c>
      <c r="B15" s="147">
        <v>7669</v>
      </c>
      <c r="C15" s="155" t="s">
        <v>8071</v>
      </c>
      <c r="D15" s="156" t="s">
        <v>17930</v>
      </c>
      <c r="E15" s="157">
        <v>350</v>
      </c>
      <c r="F15" s="158" t="s">
        <v>0</v>
      </c>
      <c r="G15" s="169"/>
      <c r="H15" s="153"/>
      <c r="I15" s="152"/>
      <c r="J15" s="162"/>
      <c r="K15" s="163"/>
      <c r="L15" s="164"/>
      <c r="M15" s="169" t="s">
        <v>1</v>
      </c>
      <c r="N15" s="173">
        <v>0.5</v>
      </c>
      <c r="O15" s="166">
        <v>473</v>
      </c>
      <c r="P15" s="172"/>
    </row>
    <row r="16" spans="1:16" ht="16.5" customHeight="1" x14ac:dyDescent="0.3">
      <c r="A16" s="147">
        <v>15</v>
      </c>
      <c r="B16" s="147">
        <v>7670</v>
      </c>
      <c r="C16" s="155" t="s">
        <v>8070</v>
      </c>
      <c r="D16" s="167" t="s">
        <v>17367</v>
      </c>
      <c r="E16" s="150"/>
      <c r="F16" s="168"/>
      <c r="G16" s="169"/>
      <c r="H16" s="153"/>
      <c r="I16" s="152"/>
      <c r="J16" s="162" t="s">
        <v>5895</v>
      </c>
      <c r="K16" s="163" t="s">
        <v>1</v>
      </c>
      <c r="L16" s="164">
        <v>1</v>
      </c>
      <c r="M16" s="170"/>
      <c r="N16" s="174" t="s">
        <v>422</v>
      </c>
      <c r="O16" s="166">
        <v>473</v>
      </c>
      <c r="P16" s="172"/>
    </row>
    <row r="17" spans="1:16" ht="16.5" customHeight="1" x14ac:dyDescent="0.3">
      <c r="A17" s="147">
        <v>15</v>
      </c>
      <c r="B17" s="147">
        <v>7671</v>
      </c>
      <c r="C17" s="155" t="s">
        <v>8069</v>
      </c>
      <c r="D17" s="156" t="s">
        <v>17929</v>
      </c>
      <c r="E17" s="157">
        <v>420</v>
      </c>
      <c r="F17" s="158" t="s">
        <v>0</v>
      </c>
      <c r="G17" s="169"/>
      <c r="H17" s="153"/>
      <c r="I17" s="152"/>
      <c r="J17" s="162"/>
      <c r="K17" s="163"/>
      <c r="L17" s="164"/>
      <c r="M17" s="170"/>
      <c r="N17" s="171"/>
      <c r="O17" s="166">
        <v>567</v>
      </c>
      <c r="P17" s="172"/>
    </row>
    <row r="18" spans="1:16" ht="16.5" customHeight="1" x14ac:dyDescent="0.3">
      <c r="A18" s="147">
        <v>15</v>
      </c>
      <c r="B18" s="147">
        <v>7672</v>
      </c>
      <c r="C18" s="155" t="s">
        <v>8068</v>
      </c>
      <c r="D18" s="167" t="s">
        <v>17928</v>
      </c>
      <c r="E18" s="150"/>
      <c r="F18" s="168"/>
      <c r="G18" s="169"/>
      <c r="H18" s="153"/>
      <c r="I18" s="152"/>
      <c r="J18" s="162" t="s">
        <v>5895</v>
      </c>
      <c r="K18" s="163" t="s">
        <v>1</v>
      </c>
      <c r="L18" s="164">
        <v>1</v>
      </c>
      <c r="M18" s="170"/>
      <c r="N18" s="171"/>
      <c r="O18" s="166">
        <v>567</v>
      </c>
      <c r="P18" s="172"/>
    </row>
    <row r="19" spans="1:16" ht="16.5" customHeight="1" x14ac:dyDescent="0.3">
      <c r="A19" s="147">
        <v>15</v>
      </c>
      <c r="B19" s="147">
        <v>7673</v>
      </c>
      <c r="C19" s="155" t="s">
        <v>8067</v>
      </c>
      <c r="D19" s="156" t="s">
        <v>17836</v>
      </c>
      <c r="E19" s="157">
        <v>490</v>
      </c>
      <c r="F19" s="158" t="s">
        <v>0</v>
      </c>
      <c r="G19" s="169"/>
      <c r="H19" s="153"/>
      <c r="I19" s="152"/>
      <c r="J19" s="162"/>
      <c r="K19" s="163"/>
      <c r="L19" s="164"/>
      <c r="M19" s="170"/>
      <c r="N19" s="171"/>
      <c r="O19" s="166">
        <v>662</v>
      </c>
      <c r="P19" s="172"/>
    </row>
    <row r="20" spans="1:16" ht="16.5" customHeight="1" x14ac:dyDescent="0.3">
      <c r="A20" s="147">
        <v>15</v>
      </c>
      <c r="B20" s="147">
        <v>7674</v>
      </c>
      <c r="C20" s="155" t="s">
        <v>8066</v>
      </c>
      <c r="D20" s="167" t="s">
        <v>17835</v>
      </c>
      <c r="E20" s="150"/>
      <c r="F20" s="168"/>
      <c r="G20" s="169"/>
      <c r="H20" s="153"/>
      <c r="I20" s="152"/>
      <c r="J20" s="162" t="s">
        <v>5895</v>
      </c>
      <c r="K20" s="163" t="s">
        <v>1</v>
      </c>
      <c r="L20" s="164">
        <v>1</v>
      </c>
      <c r="M20" s="170"/>
      <c r="N20" s="171"/>
      <c r="O20" s="166">
        <v>662</v>
      </c>
      <c r="P20" s="172"/>
    </row>
    <row r="21" spans="1:16" ht="16.5" customHeight="1" x14ac:dyDescent="0.3">
      <c r="A21" s="147">
        <v>15</v>
      </c>
      <c r="B21" s="147">
        <v>7675</v>
      </c>
      <c r="C21" s="155" t="s">
        <v>8065</v>
      </c>
      <c r="D21" s="156" t="s">
        <v>17834</v>
      </c>
      <c r="E21" s="157">
        <v>560</v>
      </c>
      <c r="F21" s="158" t="s">
        <v>0</v>
      </c>
      <c r="G21" s="169"/>
      <c r="H21" s="153"/>
      <c r="I21" s="152"/>
      <c r="J21" s="162"/>
      <c r="K21" s="163"/>
      <c r="L21" s="164"/>
      <c r="M21" s="170"/>
      <c r="N21" s="171"/>
      <c r="O21" s="166">
        <v>756</v>
      </c>
      <c r="P21" s="172"/>
    </row>
    <row r="22" spans="1:16" ht="16.5" customHeight="1" x14ac:dyDescent="0.3">
      <c r="A22" s="147">
        <v>15</v>
      </c>
      <c r="B22" s="147">
        <v>7676</v>
      </c>
      <c r="C22" s="155" t="s">
        <v>8064</v>
      </c>
      <c r="D22" s="167" t="s">
        <v>17800</v>
      </c>
      <c r="E22" s="150"/>
      <c r="F22" s="168"/>
      <c r="G22" s="169"/>
      <c r="H22" s="153"/>
      <c r="I22" s="152"/>
      <c r="J22" s="162" t="s">
        <v>5895</v>
      </c>
      <c r="K22" s="163" t="s">
        <v>1</v>
      </c>
      <c r="L22" s="164">
        <v>1</v>
      </c>
      <c r="M22" s="170"/>
      <c r="N22" s="171"/>
      <c r="O22" s="166">
        <v>756</v>
      </c>
      <c r="P22" s="172"/>
    </row>
    <row r="23" spans="1:16" ht="16.5" customHeight="1" x14ac:dyDescent="0.3">
      <c r="A23" s="147">
        <v>15</v>
      </c>
      <c r="B23" s="147">
        <v>7677</v>
      </c>
      <c r="C23" s="155" t="s">
        <v>8063</v>
      </c>
      <c r="D23" s="156" t="s">
        <v>17927</v>
      </c>
      <c r="E23" s="157">
        <v>630</v>
      </c>
      <c r="F23" s="158" t="s">
        <v>0</v>
      </c>
      <c r="G23" s="169"/>
      <c r="H23" s="153"/>
      <c r="I23" s="152"/>
      <c r="J23" s="162"/>
      <c r="K23" s="163"/>
      <c r="L23" s="164"/>
      <c r="M23" s="170"/>
      <c r="N23" s="171"/>
      <c r="O23" s="166">
        <v>851</v>
      </c>
      <c r="P23" s="172"/>
    </row>
    <row r="24" spans="1:16" ht="16.5" customHeight="1" x14ac:dyDescent="0.3">
      <c r="A24" s="147">
        <v>15</v>
      </c>
      <c r="B24" s="147">
        <v>7678</v>
      </c>
      <c r="C24" s="155" t="s">
        <v>8062</v>
      </c>
      <c r="D24" s="167" t="s">
        <v>17832</v>
      </c>
      <c r="E24" s="150"/>
      <c r="F24" s="168"/>
      <c r="G24" s="169"/>
      <c r="H24" s="153"/>
      <c r="I24" s="152"/>
      <c r="J24" s="162" t="s">
        <v>5895</v>
      </c>
      <c r="K24" s="163" t="s">
        <v>1</v>
      </c>
      <c r="L24" s="164">
        <v>1</v>
      </c>
      <c r="M24" s="170"/>
      <c r="N24" s="171"/>
      <c r="O24" s="166">
        <v>851</v>
      </c>
      <c r="P24" s="172"/>
    </row>
    <row r="25" spans="1:16" ht="16.5" customHeight="1" x14ac:dyDescent="0.3">
      <c r="A25" s="147">
        <v>15</v>
      </c>
      <c r="B25" s="147">
        <v>7679</v>
      </c>
      <c r="C25" s="155" t="s">
        <v>8061</v>
      </c>
      <c r="D25" s="156" t="s">
        <v>17831</v>
      </c>
      <c r="E25" s="157">
        <v>700</v>
      </c>
      <c r="F25" s="158" t="s">
        <v>0</v>
      </c>
      <c r="G25" s="169"/>
      <c r="H25" s="153"/>
      <c r="I25" s="152"/>
      <c r="J25" s="162"/>
      <c r="K25" s="163"/>
      <c r="L25" s="164"/>
      <c r="M25" s="170"/>
      <c r="N25" s="171"/>
      <c r="O25" s="166">
        <v>945</v>
      </c>
      <c r="P25" s="172"/>
    </row>
    <row r="26" spans="1:16" ht="16.5" customHeight="1" x14ac:dyDescent="0.3">
      <c r="A26" s="147">
        <v>15</v>
      </c>
      <c r="B26" s="147">
        <v>7680</v>
      </c>
      <c r="C26" s="155" t="s">
        <v>8060</v>
      </c>
      <c r="D26" s="167" t="s">
        <v>17830</v>
      </c>
      <c r="E26" s="150"/>
      <c r="F26" s="168"/>
      <c r="G26" s="169"/>
      <c r="H26" s="153"/>
      <c r="I26" s="152"/>
      <c r="J26" s="162" t="s">
        <v>5895</v>
      </c>
      <c r="K26" s="163" t="s">
        <v>1</v>
      </c>
      <c r="L26" s="164">
        <v>1</v>
      </c>
      <c r="M26" s="170"/>
      <c r="N26" s="171"/>
      <c r="O26" s="166">
        <v>945</v>
      </c>
      <c r="P26" s="172"/>
    </row>
    <row r="27" spans="1:16" ht="16.5" customHeight="1" x14ac:dyDescent="0.3">
      <c r="A27" s="147">
        <v>15</v>
      </c>
      <c r="B27" s="147">
        <v>7681</v>
      </c>
      <c r="C27" s="155" t="s">
        <v>8059</v>
      </c>
      <c r="D27" s="156" t="s">
        <v>17829</v>
      </c>
      <c r="E27" s="157">
        <v>770</v>
      </c>
      <c r="F27" s="158" t="s">
        <v>0</v>
      </c>
      <c r="G27" s="169"/>
      <c r="H27" s="153"/>
      <c r="I27" s="152"/>
      <c r="J27" s="162"/>
      <c r="K27" s="163"/>
      <c r="L27" s="164"/>
      <c r="M27" s="170"/>
      <c r="N27" s="171"/>
      <c r="O27" s="166">
        <v>1040</v>
      </c>
      <c r="P27" s="172"/>
    </row>
    <row r="28" spans="1:16" ht="16.5" customHeight="1" x14ac:dyDescent="0.3">
      <c r="A28" s="147">
        <v>15</v>
      </c>
      <c r="B28" s="147">
        <v>7682</v>
      </c>
      <c r="C28" s="155" t="s">
        <v>8058</v>
      </c>
      <c r="D28" s="167" t="s">
        <v>17828</v>
      </c>
      <c r="E28" s="150"/>
      <c r="F28" s="168"/>
      <c r="G28" s="169"/>
      <c r="H28" s="153"/>
      <c r="I28" s="152"/>
      <c r="J28" s="162" t="s">
        <v>5895</v>
      </c>
      <c r="K28" s="163" t="s">
        <v>1</v>
      </c>
      <c r="L28" s="164">
        <v>1</v>
      </c>
      <c r="M28" s="170"/>
      <c r="N28" s="171"/>
      <c r="O28" s="166">
        <v>1040</v>
      </c>
      <c r="P28" s="172"/>
    </row>
    <row r="29" spans="1:16" ht="16.5" customHeight="1" x14ac:dyDescent="0.3">
      <c r="A29" s="147">
        <v>15</v>
      </c>
      <c r="B29" s="147">
        <v>7683</v>
      </c>
      <c r="C29" s="155" t="s">
        <v>8057</v>
      </c>
      <c r="D29" s="156" t="s">
        <v>17926</v>
      </c>
      <c r="E29" s="157">
        <v>840</v>
      </c>
      <c r="F29" s="158" t="s">
        <v>0</v>
      </c>
      <c r="G29" s="169"/>
      <c r="H29" s="153"/>
      <c r="I29" s="152"/>
      <c r="J29" s="162"/>
      <c r="K29" s="163"/>
      <c r="L29" s="164"/>
      <c r="M29" s="170"/>
      <c r="N29" s="171"/>
      <c r="O29" s="166">
        <v>1134</v>
      </c>
      <c r="P29" s="172"/>
    </row>
    <row r="30" spans="1:16" ht="16.5" customHeight="1" x14ac:dyDescent="0.3">
      <c r="A30" s="147">
        <v>15</v>
      </c>
      <c r="B30" s="147">
        <v>7684</v>
      </c>
      <c r="C30" s="155" t="s">
        <v>8056</v>
      </c>
      <c r="D30" s="167" t="s">
        <v>17925</v>
      </c>
      <c r="E30" s="150"/>
      <c r="F30" s="168"/>
      <c r="G30" s="169"/>
      <c r="H30" s="153"/>
      <c r="I30" s="152"/>
      <c r="J30" s="162" t="s">
        <v>5895</v>
      </c>
      <c r="K30" s="163" t="s">
        <v>1</v>
      </c>
      <c r="L30" s="164">
        <v>1</v>
      </c>
      <c r="M30" s="170"/>
      <c r="N30" s="171"/>
      <c r="O30" s="166">
        <v>1134</v>
      </c>
      <c r="P30" s="172"/>
    </row>
    <row r="31" spans="1:16" ht="16.5" customHeight="1" x14ac:dyDescent="0.3">
      <c r="A31" s="147">
        <v>15</v>
      </c>
      <c r="B31" s="147">
        <v>7685</v>
      </c>
      <c r="C31" s="155" t="s">
        <v>8055</v>
      </c>
      <c r="D31" s="156" t="s">
        <v>17681</v>
      </c>
      <c r="E31" s="157">
        <v>910</v>
      </c>
      <c r="F31" s="158" t="s">
        <v>0</v>
      </c>
      <c r="G31" s="169"/>
      <c r="H31" s="153"/>
      <c r="I31" s="152"/>
      <c r="J31" s="162"/>
      <c r="K31" s="163"/>
      <c r="L31" s="164"/>
      <c r="M31" s="170"/>
      <c r="N31" s="171"/>
      <c r="O31" s="166">
        <v>1229</v>
      </c>
      <c r="P31" s="172"/>
    </row>
    <row r="32" spans="1:16" ht="16.5" customHeight="1" x14ac:dyDescent="0.3">
      <c r="A32" s="147">
        <v>15</v>
      </c>
      <c r="B32" s="147">
        <v>7686</v>
      </c>
      <c r="C32" s="155" t="s">
        <v>8054</v>
      </c>
      <c r="D32" s="167" t="s">
        <v>17792</v>
      </c>
      <c r="E32" s="150"/>
      <c r="F32" s="168"/>
      <c r="G32" s="175"/>
      <c r="H32" s="150"/>
      <c r="I32" s="151"/>
      <c r="J32" s="162" t="s">
        <v>5895</v>
      </c>
      <c r="K32" s="163" t="s">
        <v>1</v>
      </c>
      <c r="L32" s="164">
        <v>1</v>
      </c>
      <c r="M32" s="176"/>
      <c r="N32" s="168"/>
      <c r="O32" s="166">
        <v>1229</v>
      </c>
      <c r="P32" s="177"/>
    </row>
    <row r="33" spans="3:16" s="44" customFormat="1" ht="16.5" customHeight="1" x14ac:dyDescent="0.3">
      <c r="C33" s="45"/>
      <c r="D33" s="45"/>
      <c r="E33" s="46"/>
      <c r="F33" s="46"/>
      <c r="G33" s="46"/>
      <c r="H33" s="46"/>
      <c r="I33" s="47"/>
      <c r="J33" s="46"/>
      <c r="K33" s="46"/>
      <c r="L33" s="47"/>
      <c r="M33" s="47"/>
      <c r="N33" s="46"/>
      <c r="O33" s="84"/>
      <c r="P33" s="48"/>
    </row>
    <row r="34" spans="3:16" s="44" customFormat="1" ht="16.5" customHeight="1" x14ac:dyDescent="0.3">
      <c r="C34" s="45"/>
      <c r="D34" s="45"/>
      <c r="E34" s="46"/>
      <c r="F34" s="46"/>
      <c r="G34" s="46"/>
      <c r="H34" s="46"/>
      <c r="I34" s="47"/>
      <c r="J34" s="46"/>
      <c r="K34" s="46"/>
      <c r="L34" s="47"/>
      <c r="M34" s="47"/>
      <c r="N34" s="46"/>
      <c r="O34" s="84"/>
      <c r="P34" s="48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0000"/>
    <pageSetUpPr fitToPage="1"/>
  </sheetPr>
  <dimension ref="A1:V512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367187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15.62890625" style="46" customWidth="1"/>
    <col min="14" max="14" width="3.1015625" style="46" bestFit="1" customWidth="1"/>
    <col min="15" max="15" width="4.1015625" style="47" bestFit="1" customWidth="1"/>
    <col min="16" max="16" width="4.734375" style="46" bestFit="1" customWidth="1"/>
    <col min="17" max="17" width="12.62890625" style="46" customWidth="1"/>
    <col min="18" max="18" width="3.1015625" style="46" bestFit="1" customWidth="1"/>
    <col min="19" max="19" width="4.1015625" style="47" bestFit="1" customWidth="1"/>
    <col min="20" max="20" width="4.734375" style="46" bestFit="1" customWidth="1"/>
    <col min="21" max="21" width="6.3671875" style="84" bestFit="1" customWidth="1"/>
    <col min="22" max="22" width="7.734375" style="48" bestFit="1" customWidth="1"/>
    <col min="23" max="16384" width="9" style="49"/>
  </cols>
  <sheetData>
    <row r="1" spans="1:22" ht="16.5" customHeight="1" x14ac:dyDescent="0.3"/>
    <row r="2" spans="1:22" ht="16.5" customHeight="1" x14ac:dyDescent="0.3">
      <c r="A2" s="129" t="s">
        <v>17967</v>
      </c>
      <c r="B2" s="130"/>
      <c r="C2" s="131"/>
    </row>
    <row r="3" spans="1:22" ht="16.5" customHeight="1" x14ac:dyDescent="0.3"/>
    <row r="4" spans="1:22" ht="16.5" customHeight="1" x14ac:dyDescent="0.3">
      <c r="B4" s="229" t="s">
        <v>17966</v>
      </c>
      <c r="C4" s="131"/>
      <c r="D4" s="72"/>
    </row>
    <row r="5" spans="1:2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3"/>
      <c r="N5" s="53"/>
      <c r="O5" s="54"/>
      <c r="P5" s="53"/>
      <c r="Q5" s="53"/>
      <c r="R5" s="53"/>
      <c r="S5" s="54"/>
      <c r="T5" s="53"/>
      <c r="U5" s="55" t="s">
        <v>5869</v>
      </c>
      <c r="V5" s="55" t="s">
        <v>5871</v>
      </c>
    </row>
    <row r="6" spans="1:2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7"/>
      <c r="N6" s="57"/>
      <c r="O6" s="58"/>
      <c r="P6" s="57"/>
      <c r="Q6" s="57"/>
      <c r="R6" s="57"/>
      <c r="S6" s="58"/>
      <c r="T6" s="57"/>
      <c r="U6" s="59" t="s">
        <v>5870</v>
      </c>
      <c r="V6" s="59" t="s">
        <v>0</v>
      </c>
    </row>
    <row r="7" spans="1:22" ht="16.5" customHeight="1" x14ac:dyDescent="0.3">
      <c r="A7" s="2">
        <v>15</v>
      </c>
      <c r="B7" s="2">
        <v>7687</v>
      </c>
      <c r="C7" s="60" t="s">
        <v>8599</v>
      </c>
      <c r="D7" s="233" t="s">
        <v>17965</v>
      </c>
      <c r="E7" s="62"/>
      <c r="F7" s="75"/>
      <c r="G7" s="61"/>
      <c r="H7" s="62"/>
      <c r="I7" s="63"/>
      <c r="J7" s="85"/>
      <c r="K7" s="64"/>
      <c r="L7" s="65"/>
      <c r="M7" s="61"/>
      <c r="N7" s="62"/>
      <c r="O7" s="63"/>
      <c r="P7" s="75"/>
      <c r="Q7" s="61"/>
      <c r="R7" s="62"/>
      <c r="S7" s="63"/>
      <c r="T7" s="75"/>
      <c r="U7" s="120">
        <f>_15_同援日０．５</f>
        <v>184</v>
      </c>
      <c r="V7" s="52" t="s">
        <v>5863</v>
      </c>
    </row>
    <row r="8" spans="1:22" ht="16.5" customHeight="1" x14ac:dyDescent="0.3">
      <c r="A8" s="2">
        <v>15</v>
      </c>
      <c r="B8" s="2">
        <v>7688</v>
      </c>
      <c r="C8" s="60" t="s">
        <v>8598</v>
      </c>
      <c r="D8" s="234" t="s">
        <v>17397</v>
      </c>
      <c r="E8" s="68"/>
      <c r="F8" s="70"/>
      <c r="G8" s="66"/>
      <c r="H8" s="57"/>
      <c r="I8" s="58"/>
      <c r="J8" s="85" t="s">
        <v>5895</v>
      </c>
      <c r="K8" s="64" t="s">
        <v>1</v>
      </c>
      <c r="L8" s="65">
        <v>1</v>
      </c>
      <c r="M8" s="67"/>
      <c r="N8" s="68"/>
      <c r="O8" s="76"/>
      <c r="P8" s="70"/>
      <c r="Q8" s="67"/>
      <c r="R8" s="68"/>
      <c r="S8" s="76"/>
      <c r="T8" s="70"/>
      <c r="U8" s="120">
        <f>ROUND((_15_同援日０．５*_15・２人),0)</f>
        <v>184</v>
      </c>
      <c r="V8" s="69"/>
    </row>
    <row r="9" spans="1:22" ht="16.5" customHeight="1" x14ac:dyDescent="0.3">
      <c r="A9" s="2">
        <v>15</v>
      </c>
      <c r="B9" s="2">
        <v>7689</v>
      </c>
      <c r="C9" s="60" t="s">
        <v>8597</v>
      </c>
      <c r="D9" s="1"/>
      <c r="E9" s="68"/>
      <c r="F9" s="70"/>
      <c r="G9" s="61" t="s">
        <v>17747</v>
      </c>
      <c r="H9" s="62"/>
      <c r="I9" s="63"/>
      <c r="J9" s="85"/>
      <c r="K9" s="64"/>
      <c r="L9" s="65"/>
      <c r="M9" s="67"/>
      <c r="N9" s="68"/>
      <c r="O9" s="76"/>
      <c r="P9" s="70"/>
      <c r="Q9" s="67"/>
      <c r="R9" s="68"/>
      <c r="S9" s="76"/>
      <c r="T9" s="70"/>
      <c r="U9" s="120">
        <f>ROUND((_15_同援日０．５*_15・基礎２),0)</f>
        <v>166</v>
      </c>
      <c r="V9" s="69"/>
    </row>
    <row r="10" spans="1:22" ht="16.5" customHeight="1" x14ac:dyDescent="0.3">
      <c r="A10" s="2">
        <v>15</v>
      </c>
      <c r="B10" s="2">
        <v>7690</v>
      </c>
      <c r="C10" s="60" t="s">
        <v>8596</v>
      </c>
      <c r="D10" s="1"/>
      <c r="E10" s="119">
        <v>184</v>
      </c>
      <c r="F10" s="70" t="s">
        <v>0</v>
      </c>
      <c r="G10" s="66" t="s">
        <v>17420</v>
      </c>
      <c r="H10" s="57" t="s">
        <v>1</v>
      </c>
      <c r="I10" s="58">
        <v>0.9</v>
      </c>
      <c r="J10" s="85" t="s">
        <v>5895</v>
      </c>
      <c r="K10" s="64" t="s">
        <v>1</v>
      </c>
      <c r="L10" s="65">
        <v>1</v>
      </c>
      <c r="M10" s="66"/>
      <c r="N10" s="57"/>
      <c r="O10" s="58"/>
      <c r="P10" s="77"/>
      <c r="Q10" s="67"/>
      <c r="R10" s="68"/>
      <c r="S10" s="76"/>
      <c r="T10" s="70"/>
      <c r="U10" s="120">
        <f>ROUND((ROUND((_15_同援日０．５*_15・基礎２),0)*_15・２人),0)</f>
        <v>166</v>
      </c>
      <c r="V10" s="69"/>
    </row>
    <row r="11" spans="1:22" ht="16.5" customHeight="1" x14ac:dyDescent="0.3">
      <c r="A11" s="2">
        <v>15</v>
      </c>
      <c r="B11" s="2">
        <v>7691</v>
      </c>
      <c r="C11" s="60" t="s">
        <v>8595</v>
      </c>
      <c r="D11" s="1"/>
      <c r="E11" s="68"/>
      <c r="F11" s="70"/>
      <c r="G11" s="61"/>
      <c r="H11" s="62"/>
      <c r="I11" s="63"/>
      <c r="J11" s="85"/>
      <c r="K11" s="64"/>
      <c r="L11" s="65"/>
      <c r="M11" s="61" t="s">
        <v>17933</v>
      </c>
      <c r="N11" s="62"/>
      <c r="O11" s="63"/>
      <c r="P11" s="75"/>
      <c r="Q11" s="67"/>
      <c r="R11" s="68"/>
      <c r="S11" s="76"/>
      <c r="T11" s="70"/>
      <c r="U11" s="120">
        <f>ROUND((_15_同援日０．５*(1+_15・盲ろう)),0)</f>
        <v>230</v>
      </c>
      <c r="V11" s="69"/>
    </row>
    <row r="12" spans="1:22" ht="16.5" customHeight="1" x14ac:dyDescent="0.3">
      <c r="A12" s="2">
        <v>15</v>
      </c>
      <c r="B12" s="2">
        <v>7692</v>
      </c>
      <c r="C12" s="60" t="s">
        <v>8594</v>
      </c>
      <c r="D12" s="1"/>
      <c r="E12" s="68"/>
      <c r="F12" s="70"/>
      <c r="G12" s="66"/>
      <c r="H12" s="57"/>
      <c r="I12" s="58"/>
      <c r="J12" s="85" t="s">
        <v>5895</v>
      </c>
      <c r="K12" s="64" t="s">
        <v>1</v>
      </c>
      <c r="L12" s="65">
        <v>1</v>
      </c>
      <c r="M12" s="67" t="s">
        <v>17932</v>
      </c>
      <c r="N12" s="68"/>
      <c r="O12" s="76"/>
      <c r="P12" s="70"/>
      <c r="Q12" s="67"/>
      <c r="R12" s="68"/>
      <c r="S12" s="76"/>
      <c r="T12" s="70"/>
      <c r="U12" s="120">
        <f>ROUND((ROUND((_15_同援日０．５*_15・２人),0)*(1+_15・盲ろう)),0)</f>
        <v>230</v>
      </c>
      <c r="V12" s="69"/>
    </row>
    <row r="13" spans="1:22" ht="16.5" customHeight="1" x14ac:dyDescent="0.3">
      <c r="A13" s="2">
        <v>15</v>
      </c>
      <c r="B13" s="2">
        <v>7693</v>
      </c>
      <c r="C13" s="60" t="s">
        <v>8593</v>
      </c>
      <c r="D13" s="1"/>
      <c r="E13" s="68"/>
      <c r="F13" s="70"/>
      <c r="G13" s="61" t="s">
        <v>17747</v>
      </c>
      <c r="H13" s="62"/>
      <c r="I13" s="63"/>
      <c r="J13" s="85"/>
      <c r="K13" s="64"/>
      <c r="L13" s="65"/>
      <c r="M13" s="67"/>
      <c r="N13" s="68" t="s">
        <v>1</v>
      </c>
      <c r="O13" s="76">
        <v>0.25</v>
      </c>
      <c r="P13" s="70" t="s">
        <v>422</v>
      </c>
      <c r="Q13" s="67"/>
      <c r="R13" s="68"/>
      <c r="S13" s="76"/>
      <c r="T13" s="70"/>
      <c r="U13" s="120">
        <f>ROUND((ROUND((_15_同援日０．５*_15・基礎２),0)*(1+_15・盲ろう)),0)</f>
        <v>208</v>
      </c>
      <c r="V13" s="69"/>
    </row>
    <row r="14" spans="1:22" ht="16.5" customHeight="1" x14ac:dyDescent="0.3">
      <c r="A14" s="2">
        <v>15</v>
      </c>
      <c r="B14" s="2">
        <v>7694</v>
      </c>
      <c r="C14" s="60" t="s">
        <v>8592</v>
      </c>
      <c r="D14" s="1"/>
      <c r="E14" s="68"/>
      <c r="F14" s="70"/>
      <c r="G14" s="66" t="s">
        <v>17420</v>
      </c>
      <c r="H14" s="57" t="s">
        <v>1</v>
      </c>
      <c r="I14" s="58">
        <v>0.9</v>
      </c>
      <c r="J14" s="85" t="s">
        <v>5895</v>
      </c>
      <c r="K14" s="64" t="s">
        <v>1</v>
      </c>
      <c r="L14" s="65">
        <v>1</v>
      </c>
      <c r="M14" s="66"/>
      <c r="N14" s="57"/>
      <c r="O14" s="58"/>
      <c r="P14" s="77"/>
      <c r="Q14" s="66"/>
      <c r="R14" s="57"/>
      <c r="S14" s="58"/>
      <c r="T14" s="77"/>
      <c r="U14" s="120">
        <f>ROUND((ROUND((ROUND((_15_同援日０．５*_15・基礎２),0)*_15・２人),0)*(1+_15・盲ろう)),0)</f>
        <v>208</v>
      </c>
      <c r="V14" s="69"/>
    </row>
    <row r="15" spans="1:22" ht="16.5" customHeight="1" x14ac:dyDescent="0.3">
      <c r="A15" s="2">
        <v>15</v>
      </c>
      <c r="B15" s="2">
        <v>7695</v>
      </c>
      <c r="C15" s="60" t="s">
        <v>8591</v>
      </c>
      <c r="D15" s="1"/>
      <c r="E15" s="68"/>
      <c r="F15" s="70"/>
      <c r="G15" s="61"/>
      <c r="H15" s="62"/>
      <c r="I15" s="63"/>
      <c r="J15" s="85"/>
      <c r="K15" s="64"/>
      <c r="L15" s="65"/>
      <c r="M15" s="61"/>
      <c r="N15" s="62"/>
      <c r="O15" s="63"/>
      <c r="P15" s="75"/>
      <c r="Q15" s="61"/>
      <c r="R15" s="62"/>
      <c r="S15" s="63"/>
      <c r="T15" s="75"/>
      <c r="U15" s="120">
        <f>ROUND((_15_同援日０．５*(1+_15・区３)),0)</f>
        <v>221</v>
      </c>
      <c r="V15" s="69"/>
    </row>
    <row r="16" spans="1:22" ht="16.5" customHeight="1" x14ac:dyDescent="0.3">
      <c r="A16" s="2">
        <v>15</v>
      </c>
      <c r="B16" s="2">
        <v>7696</v>
      </c>
      <c r="C16" s="60" t="s">
        <v>8590</v>
      </c>
      <c r="D16" s="1"/>
      <c r="E16" s="68"/>
      <c r="F16" s="70"/>
      <c r="G16" s="66"/>
      <c r="H16" s="57"/>
      <c r="I16" s="58"/>
      <c r="J16" s="85" t="s">
        <v>5895</v>
      </c>
      <c r="K16" s="64" t="s">
        <v>1</v>
      </c>
      <c r="L16" s="65">
        <v>1</v>
      </c>
      <c r="M16" s="67"/>
      <c r="N16" s="68"/>
      <c r="O16" s="76"/>
      <c r="P16" s="70"/>
      <c r="Q16" s="67"/>
      <c r="R16" s="68"/>
      <c r="S16" s="76"/>
      <c r="T16" s="70"/>
      <c r="U16" s="120">
        <f>ROUND((ROUND((_15_同援日０．５*_15・２人),0)*(1+_15・区３)),0)</f>
        <v>221</v>
      </c>
      <c r="V16" s="69"/>
    </row>
    <row r="17" spans="1:22" ht="16.5" customHeight="1" x14ac:dyDescent="0.3">
      <c r="A17" s="2">
        <v>15</v>
      </c>
      <c r="B17" s="2">
        <v>7697</v>
      </c>
      <c r="C17" s="60" t="s">
        <v>8589</v>
      </c>
      <c r="D17" s="1"/>
      <c r="E17" s="68"/>
      <c r="F17" s="70"/>
      <c r="G17" s="61" t="s">
        <v>17747</v>
      </c>
      <c r="H17" s="62"/>
      <c r="I17" s="63"/>
      <c r="J17" s="85"/>
      <c r="K17" s="64"/>
      <c r="L17" s="65"/>
      <c r="M17" s="67"/>
      <c r="N17" s="68"/>
      <c r="O17" s="76"/>
      <c r="P17" s="70"/>
      <c r="Q17" s="67" t="s">
        <v>8098</v>
      </c>
      <c r="R17" s="68"/>
      <c r="S17" s="76"/>
      <c r="T17" s="70"/>
      <c r="U17" s="120">
        <f>ROUND((ROUND((_15_同援日０．５*_15・基礎２),0)*(1+_15・区３)),0)</f>
        <v>199</v>
      </c>
      <c r="V17" s="69"/>
    </row>
    <row r="18" spans="1:22" ht="16.5" customHeight="1" x14ac:dyDescent="0.3">
      <c r="A18" s="2">
        <v>15</v>
      </c>
      <c r="B18" s="2">
        <v>7698</v>
      </c>
      <c r="C18" s="60" t="s">
        <v>8588</v>
      </c>
      <c r="D18" s="1"/>
      <c r="E18" s="68"/>
      <c r="F18" s="70"/>
      <c r="G18" s="66" t="s">
        <v>17420</v>
      </c>
      <c r="H18" s="57" t="s">
        <v>1</v>
      </c>
      <c r="I18" s="58">
        <v>0.9</v>
      </c>
      <c r="J18" s="85" t="s">
        <v>5895</v>
      </c>
      <c r="K18" s="64" t="s">
        <v>1</v>
      </c>
      <c r="L18" s="65">
        <v>1</v>
      </c>
      <c r="M18" s="66"/>
      <c r="N18" s="57"/>
      <c r="O18" s="58"/>
      <c r="P18" s="77"/>
      <c r="Q18" s="67" t="s">
        <v>17934</v>
      </c>
      <c r="R18" s="68"/>
      <c r="S18" s="76"/>
      <c r="T18" s="70"/>
      <c r="U18" s="120">
        <f>ROUND((ROUND((ROUND((_15_同援日０．５*_15・基礎２),0)*_15・２人),0)*(1+_15・区３)),0)</f>
        <v>199</v>
      </c>
      <c r="V18" s="69"/>
    </row>
    <row r="19" spans="1:22" ht="16.5" customHeight="1" x14ac:dyDescent="0.3">
      <c r="A19" s="2">
        <v>15</v>
      </c>
      <c r="B19" s="2">
        <v>7699</v>
      </c>
      <c r="C19" s="60" t="s">
        <v>8587</v>
      </c>
      <c r="D19" s="1"/>
      <c r="E19" s="68"/>
      <c r="F19" s="70"/>
      <c r="G19" s="61"/>
      <c r="H19" s="62"/>
      <c r="I19" s="63"/>
      <c r="J19" s="85"/>
      <c r="K19" s="64"/>
      <c r="L19" s="65"/>
      <c r="M19" s="61" t="s">
        <v>17933</v>
      </c>
      <c r="N19" s="62"/>
      <c r="O19" s="63"/>
      <c r="P19" s="75"/>
      <c r="Q19" s="67"/>
      <c r="R19" s="68" t="s">
        <v>1</v>
      </c>
      <c r="S19" s="76">
        <v>0.2</v>
      </c>
      <c r="T19" s="70" t="s">
        <v>422</v>
      </c>
      <c r="U19" s="120">
        <f>ROUND((ROUND((_15_同援日０．５*(1+_15・盲ろう)),0)*(1+_15・区３)),0)</f>
        <v>276</v>
      </c>
      <c r="V19" s="69"/>
    </row>
    <row r="20" spans="1:22" ht="16.5" customHeight="1" x14ac:dyDescent="0.3">
      <c r="A20" s="2">
        <v>15</v>
      </c>
      <c r="B20" s="2">
        <v>7700</v>
      </c>
      <c r="C20" s="60" t="s">
        <v>8586</v>
      </c>
      <c r="D20" s="1"/>
      <c r="E20" s="68"/>
      <c r="F20" s="70"/>
      <c r="G20" s="66"/>
      <c r="H20" s="57"/>
      <c r="I20" s="58"/>
      <c r="J20" s="85" t="s">
        <v>5895</v>
      </c>
      <c r="K20" s="64" t="s">
        <v>1</v>
      </c>
      <c r="L20" s="65">
        <v>1</v>
      </c>
      <c r="M20" s="67" t="s">
        <v>17932</v>
      </c>
      <c r="N20" s="68"/>
      <c r="O20" s="76"/>
      <c r="P20" s="70"/>
      <c r="Q20" s="67"/>
      <c r="R20" s="68"/>
      <c r="S20" s="76"/>
      <c r="T20" s="70"/>
      <c r="U20" s="120">
        <f>ROUND((ROUND((ROUND((_15_同援日０．５*_15・２人),0)*(1+_15・盲ろう)),0)*(1+_15・区３)),0)</f>
        <v>276</v>
      </c>
      <c r="V20" s="69"/>
    </row>
    <row r="21" spans="1:22" ht="16.5" customHeight="1" x14ac:dyDescent="0.3">
      <c r="A21" s="2">
        <v>15</v>
      </c>
      <c r="B21" s="2">
        <v>7701</v>
      </c>
      <c r="C21" s="60" t="s">
        <v>8585</v>
      </c>
      <c r="D21" s="1"/>
      <c r="E21" s="68"/>
      <c r="F21" s="70"/>
      <c r="G21" s="61" t="s">
        <v>17747</v>
      </c>
      <c r="H21" s="62"/>
      <c r="I21" s="63"/>
      <c r="J21" s="85"/>
      <c r="K21" s="64"/>
      <c r="L21" s="65"/>
      <c r="M21" s="67"/>
      <c r="N21" s="68" t="s">
        <v>1</v>
      </c>
      <c r="O21" s="76">
        <v>0.25</v>
      </c>
      <c r="P21" s="70" t="s">
        <v>422</v>
      </c>
      <c r="Q21" s="67"/>
      <c r="R21" s="68"/>
      <c r="S21" s="76"/>
      <c r="T21" s="70"/>
      <c r="U21" s="120">
        <f>ROUND((ROUND((ROUND((_15_同援日０．５*_15・基礎２),0)*(1+_15・盲ろう)),0)*(1+_15・区３)),0)</f>
        <v>250</v>
      </c>
      <c r="V21" s="69"/>
    </row>
    <row r="22" spans="1:22" ht="16.5" customHeight="1" x14ac:dyDescent="0.3">
      <c r="A22" s="2">
        <v>15</v>
      </c>
      <c r="B22" s="2">
        <v>7702</v>
      </c>
      <c r="C22" s="60" t="s">
        <v>8584</v>
      </c>
      <c r="D22" s="1"/>
      <c r="E22" s="68"/>
      <c r="F22" s="70"/>
      <c r="G22" s="66" t="s">
        <v>17420</v>
      </c>
      <c r="H22" s="57" t="s">
        <v>1</v>
      </c>
      <c r="I22" s="58">
        <v>0.9</v>
      </c>
      <c r="J22" s="85" t="s">
        <v>5895</v>
      </c>
      <c r="K22" s="64" t="s">
        <v>1</v>
      </c>
      <c r="L22" s="65">
        <v>1</v>
      </c>
      <c r="M22" s="66"/>
      <c r="N22" s="57"/>
      <c r="O22" s="58"/>
      <c r="P22" s="77"/>
      <c r="Q22" s="66"/>
      <c r="R22" s="57"/>
      <c r="S22" s="58"/>
      <c r="T22" s="77"/>
      <c r="U22" s="120">
        <f>ROUND((ROUND((ROUND((ROUND((_15_同援日０．５*_15・基礎２),0)*_15・２人),0)*(1+_15・盲ろう)),0)*(1+_15・区３)),0)</f>
        <v>250</v>
      </c>
      <c r="V22" s="69"/>
    </row>
    <row r="23" spans="1:22" ht="16.5" customHeight="1" x14ac:dyDescent="0.3">
      <c r="A23" s="2">
        <v>15</v>
      </c>
      <c r="B23" s="2">
        <v>7703</v>
      </c>
      <c r="C23" s="60" t="s">
        <v>8583</v>
      </c>
      <c r="D23" s="1"/>
      <c r="E23" s="68"/>
      <c r="F23" s="70"/>
      <c r="G23" s="61"/>
      <c r="H23" s="62"/>
      <c r="I23" s="63"/>
      <c r="J23" s="85"/>
      <c r="K23" s="64"/>
      <c r="L23" s="65"/>
      <c r="M23" s="61"/>
      <c r="N23" s="62"/>
      <c r="O23" s="63"/>
      <c r="P23" s="75"/>
      <c r="Q23" s="61"/>
      <c r="R23" s="62"/>
      <c r="S23" s="63"/>
      <c r="T23" s="75"/>
      <c r="U23" s="120">
        <f>ROUND((_15_同援日０．５*(1+_15・区４)),0)</f>
        <v>258</v>
      </c>
      <c r="V23" s="69"/>
    </row>
    <row r="24" spans="1:22" ht="16.5" customHeight="1" x14ac:dyDescent="0.3">
      <c r="A24" s="2">
        <v>15</v>
      </c>
      <c r="B24" s="2">
        <v>7704</v>
      </c>
      <c r="C24" s="60" t="s">
        <v>8582</v>
      </c>
      <c r="D24" s="1"/>
      <c r="E24" s="68"/>
      <c r="F24" s="70"/>
      <c r="G24" s="66"/>
      <c r="H24" s="57"/>
      <c r="I24" s="58"/>
      <c r="J24" s="85" t="s">
        <v>5895</v>
      </c>
      <c r="K24" s="64" t="s">
        <v>1</v>
      </c>
      <c r="L24" s="65">
        <v>1</v>
      </c>
      <c r="M24" s="67"/>
      <c r="N24" s="68"/>
      <c r="O24" s="76"/>
      <c r="P24" s="70"/>
      <c r="Q24" s="67"/>
      <c r="R24" s="68"/>
      <c r="S24" s="76"/>
      <c r="T24" s="70"/>
      <c r="U24" s="120">
        <f>ROUND((ROUND((_15_同援日０．５*_15・２人),0)*(1+_15・区４)),0)</f>
        <v>258</v>
      </c>
      <c r="V24" s="69"/>
    </row>
    <row r="25" spans="1:22" ht="16.5" customHeight="1" x14ac:dyDescent="0.3">
      <c r="A25" s="2">
        <v>15</v>
      </c>
      <c r="B25" s="2">
        <v>7705</v>
      </c>
      <c r="C25" s="60" t="s">
        <v>8581</v>
      </c>
      <c r="D25" s="1"/>
      <c r="E25" s="68"/>
      <c r="F25" s="70"/>
      <c r="G25" s="61" t="s">
        <v>17747</v>
      </c>
      <c r="H25" s="62"/>
      <c r="I25" s="63"/>
      <c r="J25" s="85"/>
      <c r="K25" s="64"/>
      <c r="L25" s="65"/>
      <c r="M25" s="67"/>
      <c r="N25" s="68"/>
      <c r="O25" s="76"/>
      <c r="P25" s="70"/>
      <c r="Q25" s="67" t="s">
        <v>17935</v>
      </c>
      <c r="R25" s="68"/>
      <c r="S25" s="76"/>
      <c r="T25" s="70"/>
      <c r="U25" s="120">
        <f>ROUND((ROUND((_15_同援日０．５*_15・基礎２),0)*(1+_15・区４)),0)</f>
        <v>232</v>
      </c>
      <c r="V25" s="69"/>
    </row>
    <row r="26" spans="1:22" ht="16.5" customHeight="1" x14ac:dyDescent="0.3">
      <c r="A26" s="2">
        <v>15</v>
      </c>
      <c r="B26" s="2">
        <v>7706</v>
      </c>
      <c r="C26" s="60" t="s">
        <v>8580</v>
      </c>
      <c r="D26" s="1"/>
      <c r="E26" s="68"/>
      <c r="F26" s="70"/>
      <c r="G26" s="66" t="s">
        <v>17420</v>
      </c>
      <c r="H26" s="57" t="s">
        <v>1</v>
      </c>
      <c r="I26" s="58">
        <v>0.9</v>
      </c>
      <c r="J26" s="85" t="s">
        <v>5895</v>
      </c>
      <c r="K26" s="64" t="s">
        <v>1</v>
      </c>
      <c r="L26" s="65">
        <v>1</v>
      </c>
      <c r="M26" s="66"/>
      <c r="N26" s="57"/>
      <c r="O26" s="58"/>
      <c r="P26" s="77"/>
      <c r="Q26" s="67" t="s">
        <v>17934</v>
      </c>
      <c r="R26" s="68"/>
      <c r="S26" s="76"/>
      <c r="T26" s="70"/>
      <c r="U26" s="120">
        <f>ROUND((ROUND((ROUND((_15_同援日０．５*_15・基礎２),0)*_15・２人),0)*(1+_15・区４)),0)</f>
        <v>232</v>
      </c>
      <c r="V26" s="69"/>
    </row>
    <row r="27" spans="1:22" ht="16.5" customHeight="1" x14ac:dyDescent="0.3">
      <c r="A27" s="2">
        <v>15</v>
      </c>
      <c r="B27" s="2">
        <v>7707</v>
      </c>
      <c r="C27" s="60" t="s">
        <v>8579</v>
      </c>
      <c r="D27" s="1"/>
      <c r="E27" s="68"/>
      <c r="F27" s="70"/>
      <c r="G27" s="61"/>
      <c r="H27" s="62"/>
      <c r="I27" s="63"/>
      <c r="J27" s="85"/>
      <c r="K27" s="64"/>
      <c r="L27" s="65"/>
      <c r="M27" s="61" t="s">
        <v>17933</v>
      </c>
      <c r="N27" s="62"/>
      <c r="O27" s="63"/>
      <c r="P27" s="75"/>
      <c r="Q27" s="67"/>
      <c r="R27" s="68" t="s">
        <v>1</v>
      </c>
      <c r="S27" s="76">
        <v>0.4</v>
      </c>
      <c r="T27" s="70" t="s">
        <v>422</v>
      </c>
      <c r="U27" s="120">
        <f>ROUND((ROUND((_15_同援日０．５*(1+_15・盲ろう)),0)*(1+_15・区４)),0)</f>
        <v>322</v>
      </c>
      <c r="V27" s="69"/>
    </row>
    <row r="28" spans="1:22" ht="16.5" customHeight="1" x14ac:dyDescent="0.3">
      <c r="A28" s="2">
        <v>15</v>
      </c>
      <c r="B28" s="2">
        <v>7708</v>
      </c>
      <c r="C28" s="60" t="s">
        <v>8578</v>
      </c>
      <c r="D28" s="1"/>
      <c r="E28" s="68"/>
      <c r="F28" s="70"/>
      <c r="G28" s="66"/>
      <c r="H28" s="57"/>
      <c r="I28" s="58"/>
      <c r="J28" s="85" t="s">
        <v>5895</v>
      </c>
      <c r="K28" s="64" t="s">
        <v>1</v>
      </c>
      <c r="L28" s="65">
        <v>1</v>
      </c>
      <c r="M28" s="67" t="s">
        <v>17932</v>
      </c>
      <c r="N28" s="68"/>
      <c r="O28" s="76"/>
      <c r="P28" s="70"/>
      <c r="Q28" s="67"/>
      <c r="R28" s="68"/>
      <c r="S28" s="76"/>
      <c r="T28" s="70"/>
      <c r="U28" s="120">
        <f>ROUND((ROUND((ROUND((_15_同援日０．５*_15・２人),0)*(1+_15・盲ろう)),0)*(1+_15・区４)),0)</f>
        <v>322</v>
      </c>
      <c r="V28" s="69"/>
    </row>
    <row r="29" spans="1:22" ht="16.5" customHeight="1" x14ac:dyDescent="0.3">
      <c r="A29" s="2">
        <v>15</v>
      </c>
      <c r="B29" s="2">
        <v>7709</v>
      </c>
      <c r="C29" s="60" t="s">
        <v>8577</v>
      </c>
      <c r="D29" s="1"/>
      <c r="E29" s="68"/>
      <c r="F29" s="70"/>
      <c r="G29" s="61" t="s">
        <v>17747</v>
      </c>
      <c r="H29" s="62"/>
      <c r="I29" s="63"/>
      <c r="J29" s="85"/>
      <c r="K29" s="64"/>
      <c r="L29" s="65"/>
      <c r="M29" s="67"/>
      <c r="N29" s="68" t="s">
        <v>1</v>
      </c>
      <c r="O29" s="76">
        <v>0.25</v>
      </c>
      <c r="P29" s="70" t="s">
        <v>422</v>
      </c>
      <c r="Q29" s="67"/>
      <c r="R29" s="68"/>
      <c r="S29" s="76"/>
      <c r="T29" s="70"/>
      <c r="U29" s="120">
        <f>ROUND((ROUND((ROUND((_15_同援日０．５*_15・基礎２),0)*(1+_15・盲ろう)),0)*(1+_15・区４)),0)</f>
        <v>291</v>
      </c>
      <c r="V29" s="69"/>
    </row>
    <row r="30" spans="1:22" ht="16.5" customHeight="1" x14ac:dyDescent="0.3">
      <c r="A30" s="2">
        <v>15</v>
      </c>
      <c r="B30" s="2">
        <v>7710</v>
      </c>
      <c r="C30" s="60" t="s">
        <v>8576</v>
      </c>
      <c r="D30" s="81"/>
      <c r="E30" s="57"/>
      <c r="F30" s="77"/>
      <c r="G30" s="66" t="s">
        <v>17420</v>
      </c>
      <c r="H30" s="57" t="s">
        <v>1</v>
      </c>
      <c r="I30" s="58">
        <v>0.9</v>
      </c>
      <c r="J30" s="85" t="s">
        <v>5895</v>
      </c>
      <c r="K30" s="64" t="s">
        <v>1</v>
      </c>
      <c r="L30" s="65">
        <v>1</v>
      </c>
      <c r="M30" s="66"/>
      <c r="N30" s="57"/>
      <c r="O30" s="58"/>
      <c r="P30" s="77"/>
      <c r="Q30" s="66"/>
      <c r="R30" s="57"/>
      <c r="S30" s="58"/>
      <c r="T30" s="77"/>
      <c r="U30" s="120">
        <f>ROUND((ROUND((ROUND((ROUND((_15_同援日０．５*_15・基礎２),0)*_15・２人),0)*(1+_15・盲ろう)),0)*(1+_15・区４)),0)</f>
        <v>291</v>
      </c>
      <c r="V30" s="69"/>
    </row>
    <row r="31" spans="1:22" ht="16.5" customHeight="1" x14ac:dyDescent="0.3">
      <c r="A31" s="2">
        <v>15</v>
      </c>
      <c r="B31" s="2">
        <v>7711</v>
      </c>
      <c r="C31" s="60" t="s">
        <v>8575</v>
      </c>
      <c r="D31" s="233" t="s">
        <v>17964</v>
      </c>
      <c r="E31" s="62"/>
      <c r="F31" s="75"/>
      <c r="G31" s="61"/>
      <c r="H31" s="62"/>
      <c r="I31" s="63"/>
      <c r="J31" s="85"/>
      <c r="K31" s="64"/>
      <c r="L31" s="65"/>
      <c r="M31" s="61"/>
      <c r="N31" s="62"/>
      <c r="O31" s="63"/>
      <c r="P31" s="75"/>
      <c r="Q31" s="61"/>
      <c r="R31" s="62"/>
      <c r="S31" s="63"/>
      <c r="T31" s="75"/>
      <c r="U31" s="228">
        <f>_15_同援日１．０</f>
        <v>292</v>
      </c>
      <c r="V31" s="69"/>
    </row>
    <row r="32" spans="1:22" ht="16.5" customHeight="1" x14ac:dyDescent="0.3">
      <c r="A32" s="2">
        <v>15</v>
      </c>
      <c r="B32" s="2">
        <v>7712</v>
      </c>
      <c r="C32" s="60" t="s">
        <v>8574</v>
      </c>
      <c r="D32" s="1" t="s">
        <v>17414</v>
      </c>
      <c r="E32" s="68"/>
      <c r="F32" s="70"/>
      <c r="G32" s="66"/>
      <c r="H32" s="57"/>
      <c r="I32" s="58"/>
      <c r="J32" s="85" t="s">
        <v>5895</v>
      </c>
      <c r="K32" s="64" t="s">
        <v>1</v>
      </c>
      <c r="L32" s="65">
        <v>1</v>
      </c>
      <c r="M32" s="67"/>
      <c r="N32" s="68"/>
      <c r="O32" s="76"/>
      <c r="P32" s="70"/>
      <c r="Q32" s="67"/>
      <c r="R32" s="68"/>
      <c r="S32" s="76"/>
      <c r="T32" s="70"/>
      <c r="U32" s="228">
        <f>ROUND((_15_同援日１．０*_15・２人),0)</f>
        <v>292</v>
      </c>
      <c r="V32" s="69"/>
    </row>
    <row r="33" spans="1:22" ht="16.5" customHeight="1" x14ac:dyDescent="0.3">
      <c r="A33" s="2">
        <v>15</v>
      </c>
      <c r="B33" s="2">
        <v>7713</v>
      </c>
      <c r="C33" s="60" t="s">
        <v>8573</v>
      </c>
      <c r="D33" s="1" t="s">
        <v>8572</v>
      </c>
      <c r="E33" s="68"/>
      <c r="F33" s="70"/>
      <c r="G33" s="61" t="s">
        <v>17747</v>
      </c>
      <c r="H33" s="62"/>
      <c r="I33" s="63"/>
      <c r="J33" s="85"/>
      <c r="K33" s="64"/>
      <c r="L33" s="65"/>
      <c r="M33" s="67"/>
      <c r="N33" s="68"/>
      <c r="O33" s="76"/>
      <c r="P33" s="70"/>
      <c r="Q33" s="67"/>
      <c r="R33" s="68"/>
      <c r="S33" s="76"/>
      <c r="T33" s="70"/>
      <c r="U33" s="228">
        <f>ROUND((_15_同援日１．０*_15・基礎２),0)</f>
        <v>263</v>
      </c>
      <c r="V33" s="69"/>
    </row>
    <row r="34" spans="1:22" ht="16.5" customHeight="1" x14ac:dyDescent="0.3">
      <c r="A34" s="2">
        <v>15</v>
      </c>
      <c r="B34" s="2">
        <v>7714</v>
      </c>
      <c r="C34" s="60" t="s">
        <v>8571</v>
      </c>
      <c r="D34" s="1"/>
      <c r="E34" s="227">
        <v>292</v>
      </c>
      <c r="F34" s="70" t="s">
        <v>0</v>
      </c>
      <c r="G34" s="66" t="s">
        <v>17420</v>
      </c>
      <c r="H34" s="57" t="s">
        <v>1</v>
      </c>
      <c r="I34" s="58">
        <v>0.9</v>
      </c>
      <c r="J34" s="85" t="s">
        <v>5895</v>
      </c>
      <c r="K34" s="64" t="s">
        <v>1</v>
      </c>
      <c r="L34" s="65">
        <v>1</v>
      </c>
      <c r="M34" s="66"/>
      <c r="N34" s="57"/>
      <c r="O34" s="58"/>
      <c r="P34" s="77"/>
      <c r="Q34" s="67"/>
      <c r="R34" s="68"/>
      <c r="S34" s="76"/>
      <c r="T34" s="70"/>
      <c r="U34" s="228">
        <f>ROUND((ROUND((_15_同援日１．０*_15・基礎２),0)*_15・２人),0)</f>
        <v>263</v>
      </c>
      <c r="V34" s="69"/>
    </row>
    <row r="35" spans="1:22" ht="16.5" customHeight="1" x14ac:dyDescent="0.3">
      <c r="A35" s="2">
        <v>15</v>
      </c>
      <c r="B35" s="2">
        <v>7715</v>
      </c>
      <c r="C35" s="60" t="s">
        <v>8570</v>
      </c>
      <c r="D35" s="1"/>
      <c r="E35" s="68"/>
      <c r="F35" s="70"/>
      <c r="G35" s="61"/>
      <c r="H35" s="62"/>
      <c r="I35" s="63"/>
      <c r="J35" s="85"/>
      <c r="K35" s="64"/>
      <c r="L35" s="65"/>
      <c r="M35" s="61" t="s">
        <v>8085</v>
      </c>
      <c r="N35" s="62"/>
      <c r="O35" s="63"/>
      <c r="P35" s="75"/>
      <c r="Q35" s="67"/>
      <c r="R35" s="68"/>
      <c r="S35" s="76"/>
      <c r="T35" s="70"/>
      <c r="U35" s="228">
        <f>ROUND((_15_同援日１．０*(1+_15・盲ろう)),0)</f>
        <v>365</v>
      </c>
      <c r="V35" s="69"/>
    </row>
    <row r="36" spans="1:22" ht="16.5" customHeight="1" x14ac:dyDescent="0.3">
      <c r="A36" s="2">
        <v>15</v>
      </c>
      <c r="B36" s="2">
        <v>7716</v>
      </c>
      <c r="C36" s="60" t="s">
        <v>8569</v>
      </c>
      <c r="D36" s="1"/>
      <c r="E36" s="68"/>
      <c r="F36" s="70"/>
      <c r="G36" s="66"/>
      <c r="H36" s="57"/>
      <c r="I36" s="58"/>
      <c r="J36" s="85" t="s">
        <v>5895</v>
      </c>
      <c r="K36" s="64" t="s">
        <v>1</v>
      </c>
      <c r="L36" s="65">
        <v>1</v>
      </c>
      <c r="M36" s="67" t="s">
        <v>17932</v>
      </c>
      <c r="N36" s="68"/>
      <c r="O36" s="76"/>
      <c r="P36" s="70"/>
      <c r="Q36" s="67"/>
      <c r="R36" s="68"/>
      <c r="S36" s="76"/>
      <c r="T36" s="70"/>
      <c r="U36" s="228">
        <f>ROUND((ROUND((_15_同援日１．０*_15・２人),0)*(1+_15・盲ろう)),0)</f>
        <v>365</v>
      </c>
      <c r="V36" s="69"/>
    </row>
    <row r="37" spans="1:22" ht="16.5" customHeight="1" x14ac:dyDescent="0.3">
      <c r="A37" s="2">
        <v>15</v>
      </c>
      <c r="B37" s="2">
        <v>7717</v>
      </c>
      <c r="C37" s="60" t="s">
        <v>8568</v>
      </c>
      <c r="D37" s="1"/>
      <c r="E37" s="68"/>
      <c r="F37" s="70"/>
      <c r="G37" s="61" t="s">
        <v>17747</v>
      </c>
      <c r="H37" s="62"/>
      <c r="I37" s="63"/>
      <c r="J37" s="85"/>
      <c r="K37" s="64"/>
      <c r="L37" s="65"/>
      <c r="M37" s="67"/>
      <c r="N37" s="68" t="s">
        <v>1</v>
      </c>
      <c r="O37" s="76">
        <v>0.25</v>
      </c>
      <c r="P37" s="70" t="s">
        <v>422</v>
      </c>
      <c r="Q37" s="67"/>
      <c r="R37" s="68"/>
      <c r="S37" s="76"/>
      <c r="T37" s="70"/>
      <c r="U37" s="228">
        <f>ROUND((ROUND((_15_同援日１．０*_15・基礎２),0)*(1+_15・盲ろう)),0)</f>
        <v>329</v>
      </c>
      <c r="V37" s="69"/>
    </row>
    <row r="38" spans="1:22" ht="16.5" customHeight="1" x14ac:dyDescent="0.3">
      <c r="A38" s="2">
        <v>15</v>
      </c>
      <c r="B38" s="2">
        <v>7718</v>
      </c>
      <c r="C38" s="60" t="s">
        <v>8567</v>
      </c>
      <c r="D38" s="1"/>
      <c r="E38" s="68"/>
      <c r="F38" s="70"/>
      <c r="G38" s="66" t="s">
        <v>17420</v>
      </c>
      <c r="H38" s="57" t="s">
        <v>1</v>
      </c>
      <c r="I38" s="58">
        <v>0.9</v>
      </c>
      <c r="J38" s="85" t="s">
        <v>5895</v>
      </c>
      <c r="K38" s="64" t="s">
        <v>1</v>
      </c>
      <c r="L38" s="65">
        <v>1</v>
      </c>
      <c r="M38" s="66"/>
      <c r="N38" s="57"/>
      <c r="O38" s="58"/>
      <c r="P38" s="77"/>
      <c r="Q38" s="66"/>
      <c r="R38" s="57"/>
      <c r="S38" s="58"/>
      <c r="T38" s="77"/>
      <c r="U38" s="228">
        <f>ROUND((ROUND((ROUND((_15_同援日１．０*_15・基礎２),0)*_15・２人),0)*(1+_15・盲ろう)),0)</f>
        <v>329</v>
      </c>
      <c r="V38" s="69"/>
    </row>
    <row r="39" spans="1:22" ht="16.5" customHeight="1" x14ac:dyDescent="0.3">
      <c r="A39" s="2">
        <v>15</v>
      </c>
      <c r="B39" s="2">
        <v>7719</v>
      </c>
      <c r="C39" s="60" t="s">
        <v>8566</v>
      </c>
      <c r="D39" s="1"/>
      <c r="E39" s="68"/>
      <c r="F39" s="70"/>
      <c r="G39" s="61"/>
      <c r="H39" s="62"/>
      <c r="I39" s="63"/>
      <c r="J39" s="85"/>
      <c r="K39" s="64"/>
      <c r="L39" s="65"/>
      <c r="M39" s="61"/>
      <c r="N39" s="62"/>
      <c r="O39" s="63"/>
      <c r="P39" s="75"/>
      <c r="Q39" s="61"/>
      <c r="R39" s="62"/>
      <c r="S39" s="63"/>
      <c r="T39" s="75"/>
      <c r="U39" s="228">
        <f>ROUND((_15_同援日１．０*(1+_15・区３)),0)</f>
        <v>350</v>
      </c>
      <c r="V39" s="69"/>
    </row>
    <row r="40" spans="1:22" ht="16.5" customHeight="1" x14ac:dyDescent="0.3">
      <c r="A40" s="2">
        <v>15</v>
      </c>
      <c r="B40" s="2">
        <v>7720</v>
      </c>
      <c r="C40" s="60" t="s">
        <v>8565</v>
      </c>
      <c r="D40" s="1"/>
      <c r="E40" s="68"/>
      <c r="F40" s="70"/>
      <c r="G40" s="66"/>
      <c r="H40" s="57"/>
      <c r="I40" s="58"/>
      <c r="J40" s="85" t="s">
        <v>5895</v>
      </c>
      <c r="K40" s="64" t="s">
        <v>1</v>
      </c>
      <c r="L40" s="65">
        <v>1</v>
      </c>
      <c r="M40" s="67"/>
      <c r="N40" s="68"/>
      <c r="O40" s="76"/>
      <c r="P40" s="70"/>
      <c r="Q40" s="67"/>
      <c r="R40" s="68"/>
      <c r="S40" s="76"/>
      <c r="T40" s="70"/>
      <c r="U40" s="228">
        <f>ROUND((ROUND((_15_同援日１．０*_15・２人),0)*(1+_15・区３)),0)</f>
        <v>350</v>
      </c>
      <c r="V40" s="69"/>
    </row>
    <row r="41" spans="1:22" ht="16.5" customHeight="1" x14ac:dyDescent="0.3">
      <c r="A41" s="2">
        <v>15</v>
      </c>
      <c r="B41" s="2">
        <v>7721</v>
      </c>
      <c r="C41" s="60" t="s">
        <v>8564</v>
      </c>
      <c r="D41" s="1"/>
      <c r="E41" s="68"/>
      <c r="F41" s="70"/>
      <c r="G41" s="61" t="s">
        <v>17747</v>
      </c>
      <c r="H41" s="62"/>
      <c r="I41" s="63"/>
      <c r="J41" s="85"/>
      <c r="K41" s="64"/>
      <c r="L41" s="65"/>
      <c r="M41" s="67"/>
      <c r="N41" s="68"/>
      <c r="O41" s="76"/>
      <c r="P41" s="70"/>
      <c r="Q41" s="67" t="s">
        <v>17936</v>
      </c>
      <c r="R41" s="68"/>
      <c r="S41" s="76"/>
      <c r="T41" s="70"/>
      <c r="U41" s="228">
        <f>ROUND((ROUND((_15_同援日１．０*_15・基礎２),0)*(1+_15・区３)),0)</f>
        <v>316</v>
      </c>
      <c r="V41" s="69"/>
    </row>
    <row r="42" spans="1:22" ht="16.5" customHeight="1" x14ac:dyDescent="0.3">
      <c r="A42" s="2">
        <v>15</v>
      </c>
      <c r="B42" s="2">
        <v>7722</v>
      </c>
      <c r="C42" s="60" t="s">
        <v>8563</v>
      </c>
      <c r="D42" s="1"/>
      <c r="E42" s="68"/>
      <c r="F42" s="70"/>
      <c r="G42" s="66" t="s">
        <v>17420</v>
      </c>
      <c r="H42" s="57" t="s">
        <v>1</v>
      </c>
      <c r="I42" s="58">
        <v>0.9</v>
      </c>
      <c r="J42" s="85" t="s">
        <v>5895</v>
      </c>
      <c r="K42" s="64" t="s">
        <v>1</v>
      </c>
      <c r="L42" s="65">
        <v>1</v>
      </c>
      <c r="M42" s="66"/>
      <c r="N42" s="57"/>
      <c r="O42" s="58"/>
      <c r="P42" s="77"/>
      <c r="Q42" s="67" t="s">
        <v>17934</v>
      </c>
      <c r="R42" s="68"/>
      <c r="S42" s="76"/>
      <c r="T42" s="70"/>
      <c r="U42" s="228">
        <f>ROUND((ROUND((ROUND((_15_同援日１．０*_15・基礎２),0)*_15・２人),0)*(1+_15・区３)),0)</f>
        <v>316</v>
      </c>
      <c r="V42" s="69"/>
    </row>
    <row r="43" spans="1:22" ht="16.5" customHeight="1" x14ac:dyDescent="0.3">
      <c r="A43" s="2">
        <v>15</v>
      </c>
      <c r="B43" s="2">
        <v>7723</v>
      </c>
      <c r="C43" s="60" t="s">
        <v>8562</v>
      </c>
      <c r="D43" s="1"/>
      <c r="E43" s="68"/>
      <c r="F43" s="70"/>
      <c r="G43" s="61"/>
      <c r="H43" s="62"/>
      <c r="I43" s="63"/>
      <c r="J43" s="85"/>
      <c r="K43" s="64"/>
      <c r="L43" s="65"/>
      <c r="M43" s="61" t="s">
        <v>17933</v>
      </c>
      <c r="N43" s="62"/>
      <c r="O43" s="63"/>
      <c r="P43" s="75"/>
      <c r="Q43" s="67"/>
      <c r="R43" s="68" t="s">
        <v>1</v>
      </c>
      <c r="S43" s="76">
        <v>0.2</v>
      </c>
      <c r="T43" s="70" t="s">
        <v>422</v>
      </c>
      <c r="U43" s="228">
        <f>ROUND((ROUND((_15_同援日１．０*(1+_15・盲ろう)),0)*(1+_15・区３)),0)</f>
        <v>438</v>
      </c>
      <c r="V43" s="69"/>
    </row>
    <row r="44" spans="1:22" ht="16.5" customHeight="1" x14ac:dyDescent="0.3">
      <c r="A44" s="2">
        <v>15</v>
      </c>
      <c r="B44" s="2">
        <v>7724</v>
      </c>
      <c r="C44" s="60" t="s">
        <v>8561</v>
      </c>
      <c r="D44" s="1"/>
      <c r="E44" s="68"/>
      <c r="F44" s="70"/>
      <c r="G44" s="66"/>
      <c r="H44" s="57"/>
      <c r="I44" s="58"/>
      <c r="J44" s="85" t="s">
        <v>5895</v>
      </c>
      <c r="K44" s="64" t="s">
        <v>1</v>
      </c>
      <c r="L44" s="65">
        <v>1</v>
      </c>
      <c r="M44" s="67" t="s">
        <v>17932</v>
      </c>
      <c r="N44" s="68"/>
      <c r="O44" s="76"/>
      <c r="P44" s="70"/>
      <c r="Q44" s="67"/>
      <c r="R44" s="68"/>
      <c r="S44" s="76"/>
      <c r="T44" s="70"/>
      <c r="U44" s="228">
        <f>ROUND((ROUND((ROUND((_15_同援日１．０*_15・２人),0)*(1+_15・盲ろう)),0)*(1+_15・区３)),0)</f>
        <v>438</v>
      </c>
      <c r="V44" s="69"/>
    </row>
    <row r="45" spans="1:22" ht="16.5" customHeight="1" x14ac:dyDescent="0.3">
      <c r="A45" s="2">
        <v>15</v>
      </c>
      <c r="B45" s="2">
        <v>7725</v>
      </c>
      <c r="C45" s="60" t="s">
        <v>8560</v>
      </c>
      <c r="D45" s="1"/>
      <c r="E45" s="68"/>
      <c r="F45" s="70"/>
      <c r="G45" s="61" t="s">
        <v>17747</v>
      </c>
      <c r="H45" s="62"/>
      <c r="I45" s="63"/>
      <c r="J45" s="85"/>
      <c r="K45" s="64"/>
      <c r="L45" s="65"/>
      <c r="M45" s="67"/>
      <c r="N45" s="68" t="s">
        <v>1</v>
      </c>
      <c r="O45" s="76">
        <v>0.25</v>
      </c>
      <c r="P45" s="70" t="s">
        <v>422</v>
      </c>
      <c r="Q45" s="67"/>
      <c r="R45" s="68"/>
      <c r="S45" s="76"/>
      <c r="T45" s="70"/>
      <c r="U45" s="228">
        <f>ROUND((ROUND((ROUND((_15_同援日１．０*_15・基礎２),0)*(1+_15・盲ろう)),0)*(1+_15・区３)),0)</f>
        <v>395</v>
      </c>
      <c r="V45" s="69"/>
    </row>
    <row r="46" spans="1:22" ht="16.5" customHeight="1" x14ac:dyDescent="0.3">
      <c r="A46" s="2">
        <v>15</v>
      </c>
      <c r="B46" s="2">
        <v>7726</v>
      </c>
      <c r="C46" s="60" t="s">
        <v>8559</v>
      </c>
      <c r="D46" s="1"/>
      <c r="E46" s="68"/>
      <c r="F46" s="70"/>
      <c r="G46" s="66" t="s">
        <v>17420</v>
      </c>
      <c r="H46" s="57" t="s">
        <v>1</v>
      </c>
      <c r="I46" s="58">
        <v>0.9</v>
      </c>
      <c r="J46" s="85" t="s">
        <v>5895</v>
      </c>
      <c r="K46" s="64" t="s">
        <v>1</v>
      </c>
      <c r="L46" s="65">
        <v>1</v>
      </c>
      <c r="M46" s="66"/>
      <c r="N46" s="57"/>
      <c r="O46" s="58"/>
      <c r="P46" s="77"/>
      <c r="Q46" s="66"/>
      <c r="R46" s="57"/>
      <c r="S46" s="58"/>
      <c r="T46" s="77"/>
      <c r="U46" s="228">
        <f>ROUND((ROUND((ROUND((ROUND((_15_同援日１．０*_15・基礎２),0)*_15・２人),0)*(1+_15・盲ろう)),0)*(1+_15・区３)),0)</f>
        <v>395</v>
      </c>
      <c r="V46" s="69"/>
    </row>
    <row r="47" spans="1:22" ht="16.5" customHeight="1" x14ac:dyDescent="0.3">
      <c r="A47" s="2">
        <v>15</v>
      </c>
      <c r="B47" s="2">
        <v>7727</v>
      </c>
      <c r="C47" s="60" t="s">
        <v>8558</v>
      </c>
      <c r="D47" s="1"/>
      <c r="E47" s="68"/>
      <c r="F47" s="70"/>
      <c r="G47" s="61"/>
      <c r="H47" s="62"/>
      <c r="I47" s="63"/>
      <c r="J47" s="85"/>
      <c r="K47" s="64"/>
      <c r="L47" s="65"/>
      <c r="M47" s="61"/>
      <c r="N47" s="62"/>
      <c r="O47" s="63"/>
      <c r="P47" s="75"/>
      <c r="Q47" s="61"/>
      <c r="R47" s="62"/>
      <c r="S47" s="63"/>
      <c r="T47" s="75"/>
      <c r="U47" s="228">
        <f>ROUND((_15_同援日１．０*(1+_15・区４)),0)</f>
        <v>409</v>
      </c>
      <c r="V47" s="69"/>
    </row>
    <row r="48" spans="1:22" ht="16.5" customHeight="1" x14ac:dyDescent="0.3">
      <c r="A48" s="2">
        <v>15</v>
      </c>
      <c r="B48" s="2">
        <v>7728</v>
      </c>
      <c r="C48" s="60" t="s">
        <v>8557</v>
      </c>
      <c r="D48" s="1"/>
      <c r="E48" s="68"/>
      <c r="F48" s="70"/>
      <c r="G48" s="66"/>
      <c r="H48" s="57"/>
      <c r="I48" s="58"/>
      <c r="J48" s="85" t="s">
        <v>5895</v>
      </c>
      <c r="K48" s="64" t="s">
        <v>1</v>
      </c>
      <c r="L48" s="65">
        <v>1</v>
      </c>
      <c r="M48" s="67"/>
      <c r="N48" s="68"/>
      <c r="O48" s="76"/>
      <c r="P48" s="70"/>
      <c r="Q48" s="67"/>
      <c r="R48" s="68"/>
      <c r="S48" s="76"/>
      <c r="T48" s="70"/>
      <c r="U48" s="228">
        <f>ROUND((ROUND((_15_同援日１．０*_15・２人),0)*(1+_15・区４)),0)</f>
        <v>409</v>
      </c>
      <c r="V48" s="69"/>
    </row>
    <row r="49" spans="1:22" ht="16.5" customHeight="1" x14ac:dyDescent="0.3">
      <c r="A49" s="2">
        <v>15</v>
      </c>
      <c r="B49" s="2">
        <v>7729</v>
      </c>
      <c r="C49" s="60" t="s">
        <v>8556</v>
      </c>
      <c r="D49" s="1"/>
      <c r="E49" s="68"/>
      <c r="F49" s="70"/>
      <c r="G49" s="61" t="s">
        <v>17747</v>
      </c>
      <c r="H49" s="62"/>
      <c r="I49" s="63"/>
      <c r="J49" s="85"/>
      <c r="K49" s="64"/>
      <c r="L49" s="65"/>
      <c r="M49" s="67"/>
      <c r="N49" s="68"/>
      <c r="O49" s="76"/>
      <c r="P49" s="70"/>
      <c r="Q49" s="67" t="s">
        <v>17935</v>
      </c>
      <c r="R49" s="68"/>
      <c r="S49" s="76"/>
      <c r="T49" s="70"/>
      <c r="U49" s="228">
        <f>ROUND((ROUND((_15_同援日１．０*_15・基礎２),0)*(1+_15・区４)),0)</f>
        <v>368</v>
      </c>
      <c r="V49" s="69"/>
    </row>
    <row r="50" spans="1:22" ht="16.5" customHeight="1" x14ac:dyDescent="0.3">
      <c r="A50" s="2">
        <v>15</v>
      </c>
      <c r="B50" s="2">
        <v>7730</v>
      </c>
      <c r="C50" s="60" t="s">
        <v>8555</v>
      </c>
      <c r="D50" s="1"/>
      <c r="E50" s="68"/>
      <c r="F50" s="70"/>
      <c r="G50" s="66" t="s">
        <v>17420</v>
      </c>
      <c r="H50" s="57" t="s">
        <v>1</v>
      </c>
      <c r="I50" s="58">
        <v>0.9</v>
      </c>
      <c r="J50" s="85" t="s">
        <v>5895</v>
      </c>
      <c r="K50" s="64" t="s">
        <v>1</v>
      </c>
      <c r="L50" s="65">
        <v>1</v>
      </c>
      <c r="M50" s="66"/>
      <c r="N50" s="57"/>
      <c r="O50" s="58"/>
      <c r="P50" s="77"/>
      <c r="Q50" s="67" t="s">
        <v>17934</v>
      </c>
      <c r="R50" s="68"/>
      <c r="S50" s="76"/>
      <c r="T50" s="70"/>
      <c r="U50" s="228">
        <f>ROUND((ROUND((ROUND((_15_同援日１．０*_15・基礎２),0)*_15・２人),0)*(1+_15・区４)),0)</f>
        <v>368</v>
      </c>
      <c r="V50" s="69"/>
    </row>
    <row r="51" spans="1:22" ht="16.5" customHeight="1" x14ac:dyDescent="0.3">
      <c r="A51" s="2">
        <v>15</v>
      </c>
      <c r="B51" s="2">
        <v>7731</v>
      </c>
      <c r="C51" s="60" t="s">
        <v>8554</v>
      </c>
      <c r="D51" s="1"/>
      <c r="E51" s="68"/>
      <c r="F51" s="70"/>
      <c r="G51" s="61"/>
      <c r="H51" s="62"/>
      <c r="I51" s="63"/>
      <c r="J51" s="85"/>
      <c r="K51" s="64"/>
      <c r="L51" s="65"/>
      <c r="M51" s="61" t="s">
        <v>17933</v>
      </c>
      <c r="N51" s="62"/>
      <c r="O51" s="63"/>
      <c r="P51" s="75"/>
      <c r="Q51" s="67"/>
      <c r="R51" s="68" t="s">
        <v>1</v>
      </c>
      <c r="S51" s="76">
        <v>0.4</v>
      </c>
      <c r="T51" s="70" t="s">
        <v>422</v>
      </c>
      <c r="U51" s="228">
        <f>ROUND((ROUND((_15_同援日１．０*(1+_15・盲ろう)),0)*(1+_15・区４)),0)</f>
        <v>511</v>
      </c>
      <c r="V51" s="69"/>
    </row>
    <row r="52" spans="1:22" ht="16.5" customHeight="1" x14ac:dyDescent="0.3">
      <c r="A52" s="2">
        <v>15</v>
      </c>
      <c r="B52" s="2">
        <v>7732</v>
      </c>
      <c r="C52" s="60" t="s">
        <v>8553</v>
      </c>
      <c r="D52" s="1"/>
      <c r="E52" s="68"/>
      <c r="F52" s="70"/>
      <c r="G52" s="66"/>
      <c r="H52" s="57"/>
      <c r="I52" s="58"/>
      <c r="J52" s="85" t="s">
        <v>5895</v>
      </c>
      <c r="K52" s="64" t="s">
        <v>1</v>
      </c>
      <c r="L52" s="65">
        <v>1</v>
      </c>
      <c r="M52" s="67" t="s">
        <v>17932</v>
      </c>
      <c r="N52" s="68"/>
      <c r="O52" s="76"/>
      <c r="P52" s="70"/>
      <c r="Q52" s="67"/>
      <c r="R52" s="68"/>
      <c r="S52" s="76"/>
      <c r="T52" s="70"/>
      <c r="U52" s="228">
        <f>ROUND((ROUND((ROUND((_15_同援日１．０*_15・２人),0)*(1+_15・盲ろう)),0)*(1+_15・区４)),0)</f>
        <v>511</v>
      </c>
      <c r="V52" s="69"/>
    </row>
    <row r="53" spans="1:22" ht="16.5" customHeight="1" x14ac:dyDescent="0.3">
      <c r="A53" s="2">
        <v>15</v>
      </c>
      <c r="B53" s="2">
        <v>7733</v>
      </c>
      <c r="C53" s="60" t="s">
        <v>8552</v>
      </c>
      <c r="D53" s="1"/>
      <c r="E53" s="68"/>
      <c r="F53" s="70"/>
      <c r="G53" s="61" t="s">
        <v>17747</v>
      </c>
      <c r="H53" s="62"/>
      <c r="I53" s="63"/>
      <c r="J53" s="85"/>
      <c r="K53" s="64"/>
      <c r="L53" s="65"/>
      <c r="M53" s="67"/>
      <c r="N53" s="68" t="s">
        <v>1</v>
      </c>
      <c r="O53" s="76">
        <v>0.25</v>
      </c>
      <c r="P53" s="70" t="s">
        <v>422</v>
      </c>
      <c r="Q53" s="67"/>
      <c r="R53" s="68"/>
      <c r="S53" s="76"/>
      <c r="T53" s="70"/>
      <c r="U53" s="228">
        <f>ROUND((ROUND((ROUND((_15_同援日１．０*_15・基礎２),0)*(1+_15・盲ろう)),0)*(1+_15・区４)),0)</f>
        <v>461</v>
      </c>
      <c r="V53" s="69"/>
    </row>
    <row r="54" spans="1:22" ht="16.5" customHeight="1" x14ac:dyDescent="0.3">
      <c r="A54" s="2">
        <v>15</v>
      </c>
      <c r="B54" s="2">
        <v>7734</v>
      </c>
      <c r="C54" s="60" t="s">
        <v>8551</v>
      </c>
      <c r="D54" s="81"/>
      <c r="E54" s="57"/>
      <c r="F54" s="77"/>
      <c r="G54" s="66" t="s">
        <v>17420</v>
      </c>
      <c r="H54" s="57" t="s">
        <v>1</v>
      </c>
      <c r="I54" s="58">
        <v>0.9</v>
      </c>
      <c r="J54" s="85" t="s">
        <v>5895</v>
      </c>
      <c r="K54" s="64" t="s">
        <v>1</v>
      </c>
      <c r="L54" s="65">
        <v>1</v>
      </c>
      <c r="M54" s="66"/>
      <c r="N54" s="57"/>
      <c r="O54" s="58"/>
      <c r="P54" s="77"/>
      <c r="Q54" s="66"/>
      <c r="R54" s="57"/>
      <c r="S54" s="58"/>
      <c r="T54" s="77"/>
      <c r="U54" s="228">
        <f>ROUND((ROUND((ROUND((ROUND((_15_同援日１．０*_15・基礎２),0)*_15・２人),0)*(1+_15・盲ろう)),0)*(1+_15・区４)),0)</f>
        <v>461</v>
      </c>
      <c r="V54" s="69"/>
    </row>
    <row r="55" spans="1:22" ht="16.5" customHeight="1" x14ac:dyDescent="0.3">
      <c r="A55" s="2">
        <v>15</v>
      </c>
      <c r="B55" s="2">
        <v>7735</v>
      </c>
      <c r="C55" s="60" t="s">
        <v>8550</v>
      </c>
      <c r="D55" s="233" t="s">
        <v>17963</v>
      </c>
      <c r="E55" s="62"/>
      <c r="F55" s="75"/>
      <c r="G55" s="61"/>
      <c r="H55" s="62"/>
      <c r="I55" s="63"/>
      <c r="J55" s="85"/>
      <c r="K55" s="64"/>
      <c r="L55" s="65"/>
      <c r="M55" s="61"/>
      <c r="N55" s="62"/>
      <c r="O55" s="63"/>
      <c r="P55" s="75"/>
      <c r="Q55" s="61"/>
      <c r="R55" s="62"/>
      <c r="S55" s="63"/>
      <c r="T55" s="75"/>
      <c r="U55" s="228">
        <f>_15_同援日１．５</f>
        <v>421</v>
      </c>
      <c r="V55" s="69"/>
    </row>
    <row r="56" spans="1:22" ht="16.5" customHeight="1" x14ac:dyDescent="0.3">
      <c r="A56" s="2">
        <v>15</v>
      </c>
      <c r="B56" s="2">
        <v>7736</v>
      </c>
      <c r="C56" s="60" t="s">
        <v>8549</v>
      </c>
      <c r="D56" s="1" t="s">
        <v>17409</v>
      </c>
      <c r="E56" s="68"/>
      <c r="F56" s="70"/>
      <c r="G56" s="66"/>
      <c r="H56" s="57"/>
      <c r="I56" s="58"/>
      <c r="J56" s="85" t="s">
        <v>5895</v>
      </c>
      <c r="K56" s="64" t="s">
        <v>1</v>
      </c>
      <c r="L56" s="65">
        <v>1</v>
      </c>
      <c r="M56" s="67"/>
      <c r="N56" s="68"/>
      <c r="O56" s="76"/>
      <c r="P56" s="70"/>
      <c r="Q56" s="67"/>
      <c r="R56" s="68"/>
      <c r="S56" s="76"/>
      <c r="T56" s="70"/>
      <c r="U56" s="228">
        <f>ROUND((_15_同援日１．５*_15・２人),0)</f>
        <v>421</v>
      </c>
      <c r="V56" s="69"/>
    </row>
    <row r="57" spans="1:22" ht="16.5" customHeight="1" x14ac:dyDescent="0.3">
      <c r="A57" s="2">
        <v>15</v>
      </c>
      <c r="B57" s="2">
        <v>7737</v>
      </c>
      <c r="C57" s="60" t="s">
        <v>8548</v>
      </c>
      <c r="D57" s="1" t="s">
        <v>17408</v>
      </c>
      <c r="E57" s="68"/>
      <c r="F57" s="70"/>
      <c r="G57" s="61" t="s">
        <v>5898</v>
      </c>
      <c r="H57" s="62"/>
      <c r="I57" s="63"/>
      <c r="J57" s="85"/>
      <c r="K57" s="64"/>
      <c r="L57" s="65"/>
      <c r="M57" s="67"/>
      <c r="N57" s="68"/>
      <c r="O57" s="76"/>
      <c r="P57" s="70"/>
      <c r="Q57" s="67"/>
      <c r="R57" s="68"/>
      <c r="S57" s="76"/>
      <c r="T57" s="70"/>
      <c r="U57" s="228">
        <f>ROUND((_15_同援日１．５*_15・基礎２),0)</f>
        <v>379</v>
      </c>
      <c r="V57" s="69"/>
    </row>
    <row r="58" spans="1:22" ht="16.5" customHeight="1" x14ac:dyDescent="0.3">
      <c r="A58" s="2">
        <v>15</v>
      </c>
      <c r="B58" s="2">
        <v>7738</v>
      </c>
      <c r="C58" s="60" t="s">
        <v>8547</v>
      </c>
      <c r="D58" s="1"/>
      <c r="E58" s="227">
        <v>421</v>
      </c>
      <c r="F58" s="70" t="s">
        <v>0</v>
      </c>
      <c r="G58" s="66" t="s">
        <v>17420</v>
      </c>
      <c r="H58" s="57" t="s">
        <v>1</v>
      </c>
      <c r="I58" s="58">
        <v>0.9</v>
      </c>
      <c r="J58" s="85" t="s">
        <v>5895</v>
      </c>
      <c r="K58" s="64" t="s">
        <v>1</v>
      </c>
      <c r="L58" s="65">
        <v>1</v>
      </c>
      <c r="M58" s="66"/>
      <c r="N58" s="57"/>
      <c r="O58" s="58"/>
      <c r="P58" s="77"/>
      <c r="Q58" s="67"/>
      <c r="R58" s="68"/>
      <c r="S58" s="76"/>
      <c r="T58" s="70"/>
      <c r="U58" s="228">
        <f>ROUND((ROUND((_15_同援日１．５*_15・基礎２),0)*_15・２人),0)</f>
        <v>379</v>
      </c>
      <c r="V58" s="69"/>
    </row>
    <row r="59" spans="1:22" ht="16.5" customHeight="1" x14ac:dyDescent="0.3">
      <c r="A59" s="2">
        <v>15</v>
      </c>
      <c r="B59" s="2">
        <v>7739</v>
      </c>
      <c r="C59" s="60" t="s">
        <v>8546</v>
      </c>
      <c r="D59" s="1"/>
      <c r="E59" s="68"/>
      <c r="F59" s="70"/>
      <c r="G59" s="61"/>
      <c r="H59" s="62"/>
      <c r="I59" s="63"/>
      <c r="J59" s="85"/>
      <c r="K59" s="64"/>
      <c r="L59" s="65"/>
      <c r="M59" s="61" t="s">
        <v>17933</v>
      </c>
      <c r="N59" s="62"/>
      <c r="O59" s="63"/>
      <c r="P59" s="75"/>
      <c r="Q59" s="67"/>
      <c r="R59" s="68"/>
      <c r="S59" s="76"/>
      <c r="T59" s="70"/>
      <c r="U59" s="228">
        <f>ROUND((_15_同援日１．５*(1+_15・盲ろう)),0)</f>
        <v>526</v>
      </c>
      <c r="V59" s="69"/>
    </row>
    <row r="60" spans="1:22" ht="16.5" customHeight="1" x14ac:dyDescent="0.3">
      <c r="A60" s="2">
        <v>15</v>
      </c>
      <c r="B60" s="2">
        <v>7740</v>
      </c>
      <c r="C60" s="60" t="s">
        <v>8545</v>
      </c>
      <c r="D60" s="1"/>
      <c r="E60" s="68"/>
      <c r="F60" s="70"/>
      <c r="G60" s="66"/>
      <c r="H60" s="57"/>
      <c r="I60" s="58"/>
      <c r="J60" s="85" t="s">
        <v>5895</v>
      </c>
      <c r="K60" s="64" t="s">
        <v>1</v>
      </c>
      <c r="L60" s="65">
        <v>1</v>
      </c>
      <c r="M60" s="67" t="s">
        <v>17932</v>
      </c>
      <c r="N60" s="68"/>
      <c r="O60" s="76"/>
      <c r="P60" s="70"/>
      <c r="Q60" s="67"/>
      <c r="R60" s="68"/>
      <c r="S60" s="76"/>
      <c r="T60" s="70"/>
      <c r="U60" s="228">
        <f>ROUND((ROUND((_15_同援日１．５*_15・２人),0)*(1+_15・盲ろう)),0)</f>
        <v>526</v>
      </c>
      <c r="V60" s="69"/>
    </row>
    <row r="61" spans="1:22" ht="16.5" customHeight="1" x14ac:dyDescent="0.3">
      <c r="A61" s="2">
        <v>15</v>
      </c>
      <c r="B61" s="2">
        <v>7741</v>
      </c>
      <c r="C61" s="60" t="s">
        <v>8544</v>
      </c>
      <c r="D61" s="1"/>
      <c r="E61" s="68"/>
      <c r="F61" s="70"/>
      <c r="G61" s="61" t="s">
        <v>17747</v>
      </c>
      <c r="H61" s="62"/>
      <c r="I61" s="63"/>
      <c r="J61" s="85"/>
      <c r="K61" s="64"/>
      <c r="L61" s="65"/>
      <c r="M61" s="67"/>
      <c r="N61" s="68" t="s">
        <v>1</v>
      </c>
      <c r="O61" s="76">
        <v>0.25</v>
      </c>
      <c r="P61" s="70" t="s">
        <v>422</v>
      </c>
      <c r="Q61" s="67"/>
      <c r="R61" s="68"/>
      <c r="S61" s="76"/>
      <c r="T61" s="70"/>
      <c r="U61" s="228">
        <f>ROUND((ROUND((_15_同援日１．５*_15・基礎２),0)*(1+_15・盲ろう)),0)</f>
        <v>474</v>
      </c>
      <c r="V61" s="69"/>
    </row>
    <row r="62" spans="1:22" ht="16.5" customHeight="1" x14ac:dyDescent="0.3">
      <c r="A62" s="2">
        <v>15</v>
      </c>
      <c r="B62" s="2">
        <v>7742</v>
      </c>
      <c r="C62" s="60" t="s">
        <v>8543</v>
      </c>
      <c r="D62" s="1"/>
      <c r="E62" s="68"/>
      <c r="F62" s="70"/>
      <c r="G62" s="66" t="s">
        <v>17420</v>
      </c>
      <c r="H62" s="57" t="s">
        <v>1</v>
      </c>
      <c r="I62" s="58">
        <v>0.9</v>
      </c>
      <c r="J62" s="85" t="s">
        <v>5895</v>
      </c>
      <c r="K62" s="64" t="s">
        <v>1</v>
      </c>
      <c r="L62" s="65">
        <v>1</v>
      </c>
      <c r="M62" s="66"/>
      <c r="N62" s="57"/>
      <c r="O62" s="58"/>
      <c r="P62" s="77"/>
      <c r="Q62" s="66"/>
      <c r="R62" s="57"/>
      <c r="S62" s="58"/>
      <c r="T62" s="77"/>
      <c r="U62" s="228">
        <f>ROUND((ROUND((ROUND((_15_同援日１．５*_15・基礎２),0)*_15・２人),0)*(1+_15・盲ろう)),0)</f>
        <v>474</v>
      </c>
      <c r="V62" s="69"/>
    </row>
    <row r="63" spans="1:22" ht="16.5" customHeight="1" x14ac:dyDescent="0.3">
      <c r="A63" s="2">
        <v>15</v>
      </c>
      <c r="B63" s="2">
        <v>7743</v>
      </c>
      <c r="C63" s="60" t="s">
        <v>8542</v>
      </c>
      <c r="D63" s="1"/>
      <c r="E63" s="68"/>
      <c r="F63" s="70"/>
      <c r="G63" s="61"/>
      <c r="H63" s="62"/>
      <c r="I63" s="63"/>
      <c r="J63" s="85"/>
      <c r="K63" s="64"/>
      <c r="L63" s="65"/>
      <c r="M63" s="61"/>
      <c r="N63" s="62"/>
      <c r="O63" s="63"/>
      <c r="P63" s="75"/>
      <c r="Q63" s="61"/>
      <c r="R63" s="62"/>
      <c r="S63" s="63"/>
      <c r="T63" s="75"/>
      <c r="U63" s="228">
        <f>ROUND((_15_同援日１．５*(1+_15・区３)),0)</f>
        <v>505</v>
      </c>
      <c r="V63" s="69"/>
    </row>
    <row r="64" spans="1:22" ht="16.5" customHeight="1" x14ac:dyDescent="0.3">
      <c r="A64" s="2">
        <v>15</v>
      </c>
      <c r="B64" s="2">
        <v>7744</v>
      </c>
      <c r="C64" s="60" t="s">
        <v>8541</v>
      </c>
      <c r="D64" s="1"/>
      <c r="E64" s="68"/>
      <c r="F64" s="70"/>
      <c r="G64" s="66"/>
      <c r="H64" s="57"/>
      <c r="I64" s="58"/>
      <c r="J64" s="85" t="s">
        <v>5895</v>
      </c>
      <c r="K64" s="64" t="s">
        <v>1</v>
      </c>
      <c r="L64" s="65">
        <v>1</v>
      </c>
      <c r="M64" s="67"/>
      <c r="N64" s="68"/>
      <c r="O64" s="76"/>
      <c r="P64" s="70"/>
      <c r="Q64" s="67"/>
      <c r="R64" s="68"/>
      <c r="S64" s="76"/>
      <c r="T64" s="70"/>
      <c r="U64" s="228">
        <f>ROUND((ROUND((_15_同援日１．５*_15・２人),0)*(1+_15・区３)),0)</f>
        <v>505</v>
      </c>
      <c r="V64" s="69"/>
    </row>
    <row r="65" spans="1:22" ht="16.5" customHeight="1" x14ac:dyDescent="0.3">
      <c r="A65" s="2">
        <v>15</v>
      </c>
      <c r="B65" s="2">
        <v>7745</v>
      </c>
      <c r="C65" s="60" t="s">
        <v>8540</v>
      </c>
      <c r="D65" s="1"/>
      <c r="E65" s="68"/>
      <c r="F65" s="70"/>
      <c r="G65" s="61" t="s">
        <v>17747</v>
      </c>
      <c r="H65" s="62"/>
      <c r="I65" s="63"/>
      <c r="J65" s="85"/>
      <c r="K65" s="64"/>
      <c r="L65" s="65"/>
      <c r="M65" s="67"/>
      <c r="N65" s="68"/>
      <c r="O65" s="76"/>
      <c r="P65" s="70"/>
      <c r="Q65" s="67" t="s">
        <v>17936</v>
      </c>
      <c r="R65" s="68"/>
      <c r="S65" s="76"/>
      <c r="T65" s="70"/>
      <c r="U65" s="228">
        <f>ROUND((ROUND((_15_同援日１．５*_15・基礎２),0)*(1+_15・区３)),0)</f>
        <v>455</v>
      </c>
      <c r="V65" s="69"/>
    </row>
    <row r="66" spans="1:22" ht="16.5" customHeight="1" x14ac:dyDescent="0.3">
      <c r="A66" s="2">
        <v>15</v>
      </c>
      <c r="B66" s="2">
        <v>7746</v>
      </c>
      <c r="C66" s="60" t="s">
        <v>8539</v>
      </c>
      <c r="D66" s="1"/>
      <c r="E66" s="68"/>
      <c r="F66" s="70"/>
      <c r="G66" s="66" t="s">
        <v>17420</v>
      </c>
      <c r="H66" s="57" t="s">
        <v>1</v>
      </c>
      <c r="I66" s="58">
        <v>0.9</v>
      </c>
      <c r="J66" s="85" t="s">
        <v>5895</v>
      </c>
      <c r="K66" s="64" t="s">
        <v>1</v>
      </c>
      <c r="L66" s="65">
        <v>1</v>
      </c>
      <c r="M66" s="66"/>
      <c r="N66" s="57"/>
      <c r="O66" s="58"/>
      <c r="P66" s="77"/>
      <c r="Q66" s="67" t="s">
        <v>17934</v>
      </c>
      <c r="R66" s="68"/>
      <c r="S66" s="76"/>
      <c r="T66" s="70"/>
      <c r="U66" s="228">
        <f>ROUND((ROUND((ROUND((_15_同援日１．５*_15・基礎２),0)*_15・２人),0)*(1+_15・区３)),0)</f>
        <v>455</v>
      </c>
      <c r="V66" s="69"/>
    </row>
    <row r="67" spans="1:22" ht="16.5" customHeight="1" x14ac:dyDescent="0.3">
      <c r="A67" s="2">
        <v>15</v>
      </c>
      <c r="B67" s="2">
        <v>7747</v>
      </c>
      <c r="C67" s="60" t="s">
        <v>8538</v>
      </c>
      <c r="D67" s="1"/>
      <c r="E67" s="68"/>
      <c r="F67" s="70"/>
      <c r="G67" s="61"/>
      <c r="H67" s="62"/>
      <c r="I67" s="63"/>
      <c r="J67" s="85"/>
      <c r="K67" s="64"/>
      <c r="L67" s="65"/>
      <c r="M67" s="61" t="s">
        <v>17933</v>
      </c>
      <c r="N67" s="62"/>
      <c r="O67" s="63"/>
      <c r="P67" s="75"/>
      <c r="Q67" s="67"/>
      <c r="R67" s="68" t="s">
        <v>1</v>
      </c>
      <c r="S67" s="76">
        <v>0.2</v>
      </c>
      <c r="T67" s="70" t="s">
        <v>422</v>
      </c>
      <c r="U67" s="228">
        <f>ROUND((ROUND((_15_同援日１．５*(1+_15・盲ろう)),0)*(1+_15・区３)),0)</f>
        <v>631</v>
      </c>
      <c r="V67" s="69"/>
    </row>
    <row r="68" spans="1:22" ht="16.5" customHeight="1" x14ac:dyDescent="0.3">
      <c r="A68" s="2">
        <v>15</v>
      </c>
      <c r="B68" s="2">
        <v>7748</v>
      </c>
      <c r="C68" s="60" t="s">
        <v>8537</v>
      </c>
      <c r="D68" s="1"/>
      <c r="E68" s="68"/>
      <c r="F68" s="70"/>
      <c r="G68" s="66"/>
      <c r="H68" s="57"/>
      <c r="I68" s="58"/>
      <c r="J68" s="85" t="s">
        <v>5895</v>
      </c>
      <c r="K68" s="64" t="s">
        <v>1</v>
      </c>
      <c r="L68" s="65">
        <v>1</v>
      </c>
      <c r="M68" s="67" t="s">
        <v>17932</v>
      </c>
      <c r="N68" s="68"/>
      <c r="O68" s="76"/>
      <c r="P68" s="70"/>
      <c r="Q68" s="67"/>
      <c r="R68" s="68"/>
      <c r="S68" s="76"/>
      <c r="T68" s="70"/>
      <c r="U68" s="228">
        <f>ROUND((ROUND((ROUND((_15_同援日１．５*_15・２人),0)*(1+_15・盲ろう)),0)*(1+_15・区３)),0)</f>
        <v>631</v>
      </c>
      <c r="V68" s="69"/>
    </row>
    <row r="69" spans="1:22" ht="16.5" customHeight="1" x14ac:dyDescent="0.3">
      <c r="A69" s="2">
        <v>15</v>
      </c>
      <c r="B69" s="2">
        <v>7749</v>
      </c>
      <c r="C69" s="60" t="s">
        <v>8536</v>
      </c>
      <c r="D69" s="1"/>
      <c r="E69" s="68"/>
      <c r="F69" s="70"/>
      <c r="G69" s="61" t="s">
        <v>17747</v>
      </c>
      <c r="H69" s="62"/>
      <c r="I69" s="63"/>
      <c r="J69" s="85"/>
      <c r="K69" s="64"/>
      <c r="L69" s="65"/>
      <c r="M69" s="67"/>
      <c r="N69" s="68" t="s">
        <v>1</v>
      </c>
      <c r="O69" s="76">
        <v>0.25</v>
      </c>
      <c r="P69" s="70" t="s">
        <v>422</v>
      </c>
      <c r="Q69" s="67"/>
      <c r="R69" s="68"/>
      <c r="S69" s="76"/>
      <c r="T69" s="70"/>
      <c r="U69" s="228">
        <f>ROUND((ROUND((ROUND((_15_同援日１．５*_15・基礎２),0)*(1+_15・盲ろう)),0)*(1+_15・区３)),0)</f>
        <v>569</v>
      </c>
      <c r="V69" s="69"/>
    </row>
    <row r="70" spans="1:22" ht="16.5" customHeight="1" x14ac:dyDescent="0.3">
      <c r="A70" s="2">
        <v>15</v>
      </c>
      <c r="B70" s="2">
        <v>7750</v>
      </c>
      <c r="C70" s="60" t="s">
        <v>8535</v>
      </c>
      <c r="D70" s="1"/>
      <c r="E70" s="68"/>
      <c r="F70" s="70"/>
      <c r="G70" s="66" t="s">
        <v>17420</v>
      </c>
      <c r="H70" s="57" t="s">
        <v>1</v>
      </c>
      <c r="I70" s="58">
        <v>0.9</v>
      </c>
      <c r="J70" s="85" t="s">
        <v>5895</v>
      </c>
      <c r="K70" s="64" t="s">
        <v>1</v>
      </c>
      <c r="L70" s="65">
        <v>1</v>
      </c>
      <c r="M70" s="66"/>
      <c r="N70" s="57"/>
      <c r="O70" s="58"/>
      <c r="P70" s="77"/>
      <c r="Q70" s="66"/>
      <c r="R70" s="57"/>
      <c r="S70" s="58"/>
      <c r="T70" s="77"/>
      <c r="U70" s="228">
        <f>ROUND((ROUND((ROUND((ROUND((_15_同援日１．５*_15・基礎２),0)*_15・２人),0)*(1+_15・盲ろう)),0)*(1+_15・区３)),0)</f>
        <v>569</v>
      </c>
      <c r="V70" s="69"/>
    </row>
    <row r="71" spans="1:22" ht="16.5" customHeight="1" x14ac:dyDescent="0.3">
      <c r="A71" s="2">
        <v>15</v>
      </c>
      <c r="B71" s="2">
        <v>7751</v>
      </c>
      <c r="C71" s="60" t="s">
        <v>8534</v>
      </c>
      <c r="D71" s="1"/>
      <c r="E71" s="68"/>
      <c r="F71" s="70"/>
      <c r="G71" s="61"/>
      <c r="H71" s="62"/>
      <c r="I71" s="63"/>
      <c r="J71" s="85"/>
      <c r="K71" s="64"/>
      <c r="L71" s="65"/>
      <c r="M71" s="61"/>
      <c r="N71" s="62"/>
      <c r="O71" s="63"/>
      <c r="P71" s="75"/>
      <c r="Q71" s="61"/>
      <c r="R71" s="62"/>
      <c r="S71" s="63"/>
      <c r="T71" s="75"/>
      <c r="U71" s="228">
        <f>ROUND((_15_同援日１．５*(1+_15・区４)),0)</f>
        <v>589</v>
      </c>
      <c r="V71" s="69"/>
    </row>
    <row r="72" spans="1:22" ht="16.5" customHeight="1" x14ac:dyDescent="0.3">
      <c r="A72" s="2">
        <v>15</v>
      </c>
      <c r="B72" s="2">
        <v>7752</v>
      </c>
      <c r="C72" s="60" t="s">
        <v>8533</v>
      </c>
      <c r="D72" s="1"/>
      <c r="E72" s="68"/>
      <c r="F72" s="70"/>
      <c r="G72" s="66"/>
      <c r="H72" s="57"/>
      <c r="I72" s="58"/>
      <c r="J72" s="85" t="s">
        <v>5895</v>
      </c>
      <c r="K72" s="64" t="s">
        <v>1</v>
      </c>
      <c r="L72" s="65">
        <v>1</v>
      </c>
      <c r="M72" s="67"/>
      <c r="N72" s="68"/>
      <c r="O72" s="76"/>
      <c r="P72" s="70"/>
      <c r="Q72" s="67"/>
      <c r="R72" s="68"/>
      <c r="S72" s="76"/>
      <c r="T72" s="70"/>
      <c r="U72" s="228">
        <f>ROUND((ROUND((_15_同援日１．５*_15・２人),0)*(1+_15・区４)),0)</f>
        <v>589</v>
      </c>
      <c r="V72" s="69"/>
    </row>
    <row r="73" spans="1:22" ht="16.5" customHeight="1" x14ac:dyDescent="0.3">
      <c r="A73" s="2">
        <v>15</v>
      </c>
      <c r="B73" s="2">
        <v>7753</v>
      </c>
      <c r="C73" s="60" t="s">
        <v>8532</v>
      </c>
      <c r="D73" s="1"/>
      <c r="E73" s="68"/>
      <c r="F73" s="70"/>
      <c r="G73" s="61" t="s">
        <v>17747</v>
      </c>
      <c r="H73" s="62"/>
      <c r="I73" s="63"/>
      <c r="J73" s="85"/>
      <c r="K73" s="64"/>
      <c r="L73" s="65"/>
      <c r="M73" s="67"/>
      <c r="N73" s="68"/>
      <c r="O73" s="76"/>
      <c r="P73" s="70"/>
      <c r="Q73" s="67" t="s">
        <v>17935</v>
      </c>
      <c r="R73" s="68"/>
      <c r="S73" s="76"/>
      <c r="T73" s="70"/>
      <c r="U73" s="228">
        <f>ROUND((ROUND((_15_同援日１．５*_15・基礎２),0)*(1+_15・区４)),0)</f>
        <v>531</v>
      </c>
      <c r="V73" s="69"/>
    </row>
    <row r="74" spans="1:22" ht="16.5" customHeight="1" x14ac:dyDescent="0.3">
      <c r="A74" s="2">
        <v>15</v>
      </c>
      <c r="B74" s="2">
        <v>7754</v>
      </c>
      <c r="C74" s="60" t="s">
        <v>8531</v>
      </c>
      <c r="D74" s="1"/>
      <c r="E74" s="68"/>
      <c r="F74" s="70"/>
      <c r="G74" s="66" t="s">
        <v>17420</v>
      </c>
      <c r="H74" s="57" t="s">
        <v>1</v>
      </c>
      <c r="I74" s="58">
        <v>0.9</v>
      </c>
      <c r="J74" s="85" t="s">
        <v>5895</v>
      </c>
      <c r="K74" s="64" t="s">
        <v>1</v>
      </c>
      <c r="L74" s="65">
        <v>1</v>
      </c>
      <c r="M74" s="66"/>
      <c r="N74" s="57"/>
      <c r="O74" s="58"/>
      <c r="P74" s="77"/>
      <c r="Q74" s="67" t="s">
        <v>17934</v>
      </c>
      <c r="R74" s="68"/>
      <c r="S74" s="76"/>
      <c r="T74" s="70"/>
      <c r="U74" s="228">
        <f>ROUND((ROUND((ROUND((_15_同援日１．５*_15・基礎２),0)*_15・２人),0)*(1+_15・区４)),0)</f>
        <v>531</v>
      </c>
      <c r="V74" s="69"/>
    </row>
    <row r="75" spans="1:22" ht="16.5" customHeight="1" x14ac:dyDescent="0.3">
      <c r="A75" s="2">
        <v>15</v>
      </c>
      <c r="B75" s="2">
        <v>7755</v>
      </c>
      <c r="C75" s="60" t="s">
        <v>8530</v>
      </c>
      <c r="D75" s="1"/>
      <c r="E75" s="68"/>
      <c r="F75" s="70"/>
      <c r="G75" s="61"/>
      <c r="H75" s="62"/>
      <c r="I75" s="63"/>
      <c r="J75" s="85"/>
      <c r="K75" s="64"/>
      <c r="L75" s="65"/>
      <c r="M75" s="61" t="s">
        <v>17933</v>
      </c>
      <c r="N75" s="62"/>
      <c r="O75" s="63"/>
      <c r="P75" s="75"/>
      <c r="Q75" s="67"/>
      <c r="R75" s="68" t="s">
        <v>1</v>
      </c>
      <c r="S75" s="76">
        <v>0.4</v>
      </c>
      <c r="T75" s="70" t="s">
        <v>422</v>
      </c>
      <c r="U75" s="228">
        <f>ROUND((ROUND((_15_同援日１．５*(1+_15・盲ろう)),0)*(1+_15・区４)),0)</f>
        <v>736</v>
      </c>
      <c r="V75" s="69"/>
    </row>
    <row r="76" spans="1:22" ht="16.5" customHeight="1" x14ac:dyDescent="0.3">
      <c r="A76" s="2">
        <v>15</v>
      </c>
      <c r="B76" s="2">
        <v>7756</v>
      </c>
      <c r="C76" s="60" t="s">
        <v>8529</v>
      </c>
      <c r="D76" s="1"/>
      <c r="E76" s="68"/>
      <c r="F76" s="70"/>
      <c r="G76" s="66"/>
      <c r="H76" s="57"/>
      <c r="I76" s="58"/>
      <c r="J76" s="85" t="s">
        <v>5895</v>
      </c>
      <c r="K76" s="64" t="s">
        <v>1</v>
      </c>
      <c r="L76" s="65">
        <v>1</v>
      </c>
      <c r="M76" s="67" t="s">
        <v>17932</v>
      </c>
      <c r="N76" s="68"/>
      <c r="O76" s="76"/>
      <c r="P76" s="70"/>
      <c r="Q76" s="67"/>
      <c r="R76" s="68"/>
      <c r="S76" s="76"/>
      <c r="T76" s="70"/>
      <c r="U76" s="228">
        <f>ROUND((ROUND((ROUND((_15_同援日１．５*_15・２人),0)*(1+_15・盲ろう)),0)*(1+_15・区４)),0)</f>
        <v>736</v>
      </c>
      <c r="V76" s="69"/>
    </row>
    <row r="77" spans="1:22" ht="16.5" customHeight="1" x14ac:dyDescent="0.3">
      <c r="A77" s="2">
        <v>15</v>
      </c>
      <c r="B77" s="2">
        <v>7757</v>
      </c>
      <c r="C77" s="60" t="s">
        <v>8528</v>
      </c>
      <c r="D77" s="1"/>
      <c r="E77" s="68"/>
      <c r="F77" s="70"/>
      <c r="G77" s="61" t="s">
        <v>17747</v>
      </c>
      <c r="H77" s="62"/>
      <c r="I77" s="63"/>
      <c r="J77" s="85"/>
      <c r="K77" s="64"/>
      <c r="L77" s="65"/>
      <c r="M77" s="67"/>
      <c r="N77" s="68" t="s">
        <v>1</v>
      </c>
      <c r="O77" s="76">
        <v>0.25</v>
      </c>
      <c r="P77" s="70" t="s">
        <v>422</v>
      </c>
      <c r="Q77" s="67"/>
      <c r="R77" s="68"/>
      <c r="S77" s="76"/>
      <c r="T77" s="70"/>
      <c r="U77" s="228">
        <f>ROUND((ROUND((ROUND((_15_同援日１．５*_15・基礎２),0)*(1+_15・盲ろう)),0)*(1+_15・区４)),0)</f>
        <v>664</v>
      </c>
      <c r="V77" s="69"/>
    </row>
    <row r="78" spans="1:22" ht="16.5" customHeight="1" x14ac:dyDescent="0.3">
      <c r="A78" s="2">
        <v>15</v>
      </c>
      <c r="B78" s="2">
        <v>7758</v>
      </c>
      <c r="C78" s="60" t="s">
        <v>8527</v>
      </c>
      <c r="D78" s="81"/>
      <c r="E78" s="57"/>
      <c r="F78" s="77"/>
      <c r="G78" s="66" t="s">
        <v>17420</v>
      </c>
      <c r="H78" s="57" t="s">
        <v>1</v>
      </c>
      <c r="I78" s="58">
        <v>0.9</v>
      </c>
      <c r="J78" s="85" t="s">
        <v>5895</v>
      </c>
      <c r="K78" s="64" t="s">
        <v>1</v>
      </c>
      <c r="L78" s="65">
        <v>1</v>
      </c>
      <c r="M78" s="66"/>
      <c r="N78" s="57"/>
      <c r="O78" s="58"/>
      <c r="P78" s="77"/>
      <c r="Q78" s="66"/>
      <c r="R78" s="57"/>
      <c r="S78" s="58"/>
      <c r="T78" s="77"/>
      <c r="U78" s="228">
        <f>ROUND((ROUND((ROUND((ROUND((_15_同援日１．５*_15・基礎２),0)*_15・２人),0)*(1+_15・盲ろう)),0)*(1+_15・区４)),0)</f>
        <v>664</v>
      </c>
      <c r="V78" s="69"/>
    </row>
    <row r="79" spans="1:22" ht="16.5" customHeight="1" x14ac:dyDescent="0.3">
      <c r="A79" s="2">
        <v>15</v>
      </c>
      <c r="B79" s="2">
        <v>7759</v>
      </c>
      <c r="C79" s="60" t="s">
        <v>8526</v>
      </c>
      <c r="D79" s="233" t="s">
        <v>17962</v>
      </c>
      <c r="E79" s="62"/>
      <c r="F79" s="75"/>
      <c r="G79" s="61"/>
      <c r="H79" s="62"/>
      <c r="I79" s="63"/>
      <c r="J79" s="85"/>
      <c r="K79" s="64"/>
      <c r="L79" s="65"/>
      <c r="M79" s="61"/>
      <c r="N79" s="62"/>
      <c r="O79" s="63"/>
      <c r="P79" s="75"/>
      <c r="Q79" s="61"/>
      <c r="R79" s="62"/>
      <c r="S79" s="63"/>
      <c r="T79" s="75"/>
      <c r="U79" s="228">
        <f>_15_同援日２．０</f>
        <v>485</v>
      </c>
      <c r="V79" s="69"/>
    </row>
    <row r="80" spans="1:22" ht="16.5" customHeight="1" x14ac:dyDescent="0.3">
      <c r="A80" s="2">
        <v>15</v>
      </c>
      <c r="B80" s="2">
        <v>7760</v>
      </c>
      <c r="C80" s="60" t="s">
        <v>8525</v>
      </c>
      <c r="D80" s="1" t="s">
        <v>17404</v>
      </c>
      <c r="E80" s="68"/>
      <c r="F80" s="70"/>
      <c r="G80" s="66"/>
      <c r="H80" s="57"/>
      <c r="I80" s="58"/>
      <c r="J80" s="85" t="s">
        <v>5895</v>
      </c>
      <c r="K80" s="64" t="s">
        <v>1</v>
      </c>
      <c r="L80" s="65">
        <v>1</v>
      </c>
      <c r="M80" s="67"/>
      <c r="N80" s="68"/>
      <c r="O80" s="76"/>
      <c r="P80" s="70"/>
      <c r="Q80" s="67"/>
      <c r="R80" s="68"/>
      <c r="S80" s="76"/>
      <c r="T80" s="70"/>
      <c r="U80" s="228">
        <f>ROUND((_15_同援日２．０*_15・２人),0)</f>
        <v>485</v>
      </c>
      <c r="V80" s="69"/>
    </row>
    <row r="81" spans="1:22" ht="16.5" customHeight="1" x14ac:dyDescent="0.3">
      <c r="A81" s="2">
        <v>15</v>
      </c>
      <c r="B81" s="2">
        <v>7761</v>
      </c>
      <c r="C81" s="60" t="s">
        <v>8524</v>
      </c>
      <c r="D81" s="1" t="s">
        <v>6448</v>
      </c>
      <c r="E81" s="68"/>
      <c r="F81" s="70"/>
      <c r="G81" s="61" t="s">
        <v>17747</v>
      </c>
      <c r="H81" s="62"/>
      <c r="I81" s="63"/>
      <c r="J81" s="85"/>
      <c r="K81" s="64"/>
      <c r="L81" s="65"/>
      <c r="M81" s="67"/>
      <c r="N81" s="68"/>
      <c r="O81" s="76"/>
      <c r="P81" s="70"/>
      <c r="Q81" s="67"/>
      <c r="R81" s="68"/>
      <c r="S81" s="76"/>
      <c r="T81" s="70"/>
      <c r="U81" s="228">
        <f>ROUND((_15_同援日２．０*_15・基礎２),0)</f>
        <v>437</v>
      </c>
      <c r="V81" s="69"/>
    </row>
    <row r="82" spans="1:22" ht="16.5" customHeight="1" x14ac:dyDescent="0.3">
      <c r="A82" s="2">
        <v>15</v>
      </c>
      <c r="B82" s="2">
        <v>7762</v>
      </c>
      <c r="C82" s="60" t="s">
        <v>8523</v>
      </c>
      <c r="D82" s="1"/>
      <c r="E82" s="227">
        <v>485</v>
      </c>
      <c r="F82" s="70" t="s">
        <v>0</v>
      </c>
      <c r="G82" s="66" t="s">
        <v>17420</v>
      </c>
      <c r="H82" s="57" t="s">
        <v>1</v>
      </c>
      <c r="I82" s="58">
        <v>0.9</v>
      </c>
      <c r="J82" s="85" t="s">
        <v>5895</v>
      </c>
      <c r="K82" s="64" t="s">
        <v>1</v>
      </c>
      <c r="L82" s="65">
        <v>1</v>
      </c>
      <c r="M82" s="66"/>
      <c r="N82" s="57"/>
      <c r="O82" s="58"/>
      <c r="P82" s="77"/>
      <c r="Q82" s="67"/>
      <c r="R82" s="68"/>
      <c r="S82" s="76"/>
      <c r="T82" s="70"/>
      <c r="U82" s="228">
        <f>ROUND((ROUND((_15_同援日２．０*_15・基礎２),0)*_15・２人),0)</f>
        <v>437</v>
      </c>
      <c r="V82" s="69"/>
    </row>
    <row r="83" spans="1:22" ht="16.5" customHeight="1" x14ac:dyDescent="0.3">
      <c r="A83" s="2">
        <v>15</v>
      </c>
      <c r="B83" s="2">
        <v>7763</v>
      </c>
      <c r="C83" s="60" t="s">
        <v>8522</v>
      </c>
      <c r="D83" s="1"/>
      <c r="E83" s="68"/>
      <c r="F83" s="70"/>
      <c r="G83" s="61"/>
      <c r="H83" s="62"/>
      <c r="I83" s="63"/>
      <c r="J83" s="85"/>
      <c r="K83" s="64"/>
      <c r="L83" s="65"/>
      <c r="M83" s="61" t="s">
        <v>17933</v>
      </c>
      <c r="N83" s="62"/>
      <c r="O83" s="63"/>
      <c r="P83" s="75"/>
      <c r="Q83" s="67"/>
      <c r="R83" s="68"/>
      <c r="S83" s="76"/>
      <c r="T83" s="70"/>
      <c r="U83" s="228">
        <f>ROUND((_15_同援日２．０*(1+_15・盲ろう)),0)</f>
        <v>606</v>
      </c>
      <c r="V83" s="69"/>
    </row>
    <row r="84" spans="1:22" ht="16.5" customHeight="1" x14ac:dyDescent="0.3">
      <c r="A84" s="2">
        <v>15</v>
      </c>
      <c r="B84" s="2">
        <v>7764</v>
      </c>
      <c r="C84" s="60" t="s">
        <v>8521</v>
      </c>
      <c r="D84" s="1"/>
      <c r="E84" s="68"/>
      <c r="F84" s="70"/>
      <c r="G84" s="66"/>
      <c r="H84" s="57"/>
      <c r="I84" s="58"/>
      <c r="J84" s="85" t="s">
        <v>5895</v>
      </c>
      <c r="K84" s="64" t="s">
        <v>1</v>
      </c>
      <c r="L84" s="65">
        <v>1</v>
      </c>
      <c r="M84" s="67" t="s">
        <v>17932</v>
      </c>
      <c r="N84" s="68"/>
      <c r="O84" s="76"/>
      <c r="P84" s="70"/>
      <c r="Q84" s="67"/>
      <c r="R84" s="68"/>
      <c r="S84" s="76"/>
      <c r="T84" s="70"/>
      <c r="U84" s="228">
        <f>ROUND((ROUND((_15_同援日２．０*_15・２人),0)*(1+_15・盲ろう)),0)</f>
        <v>606</v>
      </c>
      <c r="V84" s="69"/>
    </row>
    <row r="85" spans="1:22" ht="16.5" customHeight="1" x14ac:dyDescent="0.3">
      <c r="A85" s="2">
        <v>15</v>
      </c>
      <c r="B85" s="2">
        <v>7765</v>
      </c>
      <c r="C85" s="60" t="s">
        <v>8520</v>
      </c>
      <c r="D85" s="1"/>
      <c r="E85" s="68"/>
      <c r="F85" s="70"/>
      <c r="G85" s="61" t="s">
        <v>17747</v>
      </c>
      <c r="H85" s="62"/>
      <c r="I85" s="63"/>
      <c r="J85" s="85"/>
      <c r="K85" s="64"/>
      <c r="L85" s="65"/>
      <c r="M85" s="67"/>
      <c r="N85" s="68" t="s">
        <v>1</v>
      </c>
      <c r="O85" s="76">
        <v>0.25</v>
      </c>
      <c r="P85" s="70" t="s">
        <v>422</v>
      </c>
      <c r="Q85" s="67"/>
      <c r="R85" s="68"/>
      <c r="S85" s="76"/>
      <c r="T85" s="70"/>
      <c r="U85" s="228">
        <f>ROUND((ROUND((_15_同援日２．０*_15・基礎２),0)*(1+_15・盲ろう)),0)</f>
        <v>546</v>
      </c>
      <c r="V85" s="69"/>
    </row>
    <row r="86" spans="1:22" ht="16.5" customHeight="1" x14ac:dyDescent="0.3">
      <c r="A86" s="2">
        <v>15</v>
      </c>
      <c r="B86" s="2">
        <v>7766</v>
      </c>
      <c r="C86" s="60" t="s">
        <v>8519</v>
      </c>
      <c r="D86" s="1"/>
      <c r="E86" s="68"/>
      <c r="F86" s="70"/>
      <c r="G86" s="66" t="s">
        <v>17420</v>
      </c>
      <c r="H86" s="57" t="s">
        <v>1</v>
      </c>
      <c r="I86" s="58">
        <v>0.9</v>
      </c>
      <c r="J86" s="85" t="s">
        <v>5895</v>
      </c>
      <c r="K86" s="64" t="s">
        <v>1</v>
      </c>
      <c r="L86" s="65">
        <v>1</v>
      </c>
      <c r="M86" s="66"/>
      <c r="N86" s="57"/>
      <c r="O86" s="58"/>
      <c r="P86" s="77"/>
      <c r="Q86" s="66"/>
      <c r="R86" s="57"/>
      <c r="S86" s="58"/>
      <c r="T86" s="77"/>
      <c r="U86" s="228">
        <f>ROUND((ROUND((ROUND((_15_同援日２．０*_15・基礎２),0)*_15・２人),0)*(1+_15・盲ろう)),0)</f>
        <v>546</v>
      </c>
      <c r="V86" s="69"/>
    </row>
    <row r="87" spans="1:22" ht="16.5" customHeight="1" x14ac:dyDescent="0.3">
      <c r="A87" s="2">
        <v>15</v>
      </c>
      <c r="B87" s="2">
        <v>7767</v>
      </c>
      <c r="C87" s="60" t="s">
        <v>8518</v>
      </c>
      <c r="D87" s="1"/>
      <c r="E87" s="68"/>
      <c r="F87" s="70"/>
      <c r="G87" s="61"/>
      <c r="H87" s="62"/>
      <c r="I87" s="63"/>
      <c r="J87" s="85"/>
      <c r="K87" s="64"/>
      <c r="L87" s="65"/>
      <c r="M87" s="61"/>
      <c r="N87" s="62"/>
      <c r="O87" s="63"/>
      <c r="P87" s="75"/>
      <c r="Q87" s="61"/>
      <c r="R87" s="62"/>
      <c r="S87" s="63"/>
      <c r="T87" s="75"/>
      <c r="U87" s="228">
        <f>ROUND((_15_同援日２．０*(1+_15・区３)),0)</f>
        <v>582</v>
      </c>
      <c r="V87" s="69"/>
    </row>
    <row r="88" spans="1:22" ht="16.5" customHeight="1" x14ac:dyDescent="0.3">
      <c r="A88" s="2">
        <v>15</v>
      </c>
      <c r="B88" s="2">
        <v>7768</v>
      </c>
      <c r="C88" s="60" t="s">
        <v>8517</v>
      </c>
      <c r="D88" s="1"/>
      <c r="E88" s="68"/>
      <c r="F88" s="70"/>
      <c r="G88" s="66"/>
      <c r="H88" s="57"/>
      <c r="I88" s="58"/>
      <c r="J88" s="85" t="s">
        <v>5895</v>
      </c>
      <c r="K88" s="64" t="s">
        <v>1</v>
      </c>
      <c r="L88" s="65">
        <v>1</v>
      </c>
      <c r="M88" s="67"/>
      <c r="N88" s="68"/>
      <c r="O88" s="76"/>
      <c r="P88" s="70"/>
      <c r="Q88" s="67"/>
      <c r="R88" s="68"/>
      <c r="S88" s="76"/>
      <c r="T88" s="70"/>
      <c r="U88" s="228">
        <f>ROUND((ROUND((_15_同援日２．０*_15・２人),0)*(1+_15・区３)),0)</f>
        <v>582</v>
      </c>
      <c r="V88" s="69"/>
    </row>
    <row r="89" spans="1:22" ht="16.5" customHeight="1" x14ac:dyDescent="0.3">
      <c r="A89" s="2">
        <v>15</v>
      </c>
      <c r="B89" s="2">
        <v>7769</v>
      </c>
      <c r="C89" s="60" t="s">
        <v>8516</v>
      </c>
      <c r="D89" s="1"/>
      <c r="E89" s="68"/>
      <c r="F89" s="70"/>
      <c r="G89" s="61" t="s">
        <v>17747</v>
      </c>
      <c r="H89" s="62"/>
      <c r="I89" s="63"/>
      <c r="J89" s="85"/>
      <c r="K89" s="64"/>
      <c r="L89" s="65"/>
      <c r="M89" s="67"/>
      <c r="N89" s="68"/>
      <c r="O89" s="76"/>
      <c r="P89" s="70"/>
      <c r="Q89" s="67" t="s">
        <v>17936</v>
      </c>
      <c r="R89" s="68"/>
      <c r="S89" s="76"/>
      <c r="T89" s="70"/>
      <c r="U89" s="228">
        <f>ROUND((ROUND((_15_同援日２．０*_15・基礎２),0)*(1+_15・区３)),0)</f>
        <v>524</v>
      </c>
      <c r="V89" s="69"/>
    </row>
    <row r="90" spans="1:22" ht="16.5" customHeight="1" x14ac:dyDescent="0.3">
      <c r="A90" s="2">
        <v>15</v>
      </c>
      <c r="B90" s="2">
        <v>7770</v>
      </c>
      <c r="C90" s="60" t="s">
        <v>8515</v>
      </c>
      <c r="D90" s="1"/>
      <c r="E90" s="68"/>
      <c r="F90" s="70"/>
      <c r="G90" s="66" t="s">
        <v>17420</v>
      </c>
      <c r="H90" s="57" t="s">
        <v>1</v>
      </c>
      <c r="I90" s="58">
        <v>0.9</v>
      </c>
      <c r="J90" s="85" t="s">
        <v>5895</v>
      </c>
      <c r="K90" s="64" t="s">
        <v>1</v>
      </c>
      <c r="L90" s="65">
        <v>1</v>
      </c>
      <c r="M90" s="66"/>
      <c r="N90" s="57"/>
      <c r="O90" s="58"/>
      <c r="P90" s="77"/>
      <c r="Q90" s="67" t="s">
        <v>17934</v>
      </c>
      <c r="R90" s="68"/>
      <c r="S90" s="76"/>
      <c r="T90" s="70"/>
      <c r="U90" s="228">
        <f>ROUND((ROUND((ROUND((_15_同援日２．０*_15・基礎２),0)*_15・２人),0)*(1+_15・区３)),0)</f>
        <v>524</v>
      </c>
      <c r="V90" s="69"/>
    </row>
    <row r="91" spans="1:22" ht="16.5" customHeight="1" x14ac:dyDescent="0.3">
      <c r="A91" s="2">
        <v>15</v>
      </c>
      <c r="B91" s="2">
        <v>7771</v>
      </c>
      <c r="C91" s="60" t="s">
        <v>8514</v>
      </c>
      <c r="D91" s="1"/>
      <c r="E91" s="68"/>
      <c r="F91" s="70"/>
      <c r="G91" s="61"/>
      <c r="H91" s="62"/>
      <c r="I91" s="63"/>
      <c r="J91" s="85"/>
      <c r="K91" s="64"/>
      <c r="L91" s="65"/>
      <c r="M91" s="61" t="s">
        <v>8085</v>
      </c>
      <c r="N91" s="62"/>
      <c r="O91" s="63"/>
      <c r="P91" s="75"/>
      <c r="Q91" s="67"/>
      <c r="R91" s="68" t="s">
        <v>1</v>
      </c>
      <c r="S91" s="76">
        <v>0.2</v>
      </c>
      <c r="T91" s="70" t="s">
        <v>422</v>
      </c>
      <c r="U91" s="228">
        <f>ROUND((ROUND((_15_同援日２．０*(1+_15・盲ろう)),0)*(1+_15・区３)),0)</f>
        <v>727</v>
      </c>
      <c r="V91" s="69"/>
    </row>
    <row r="92" spans="1:22" ht="16.5" customHeight="1" x14ac:dyDescent="0.3">
      <c r="A92" s="2">
        <v>15</v>
      </c>
      <c r="B92" s="2">
        <v>7772</v>
      </c>
      <c r="C92" s="60" t="s">
        <v>8513</v>
      </c>
      <c r="D92" s="1"/>
      <c r="E92" s="68"/>
      <c r="F92" s="70"/>
      <c r="G92" s="66"/>
      <c r="H92" s="57"/>
      <c r="I92" s="58"/>
      <c r="J92" s="85" t="s">
        <v>5895</v>
      </c>
      <c r="K92" s="64" t="s">
        <v>1</v>
      </c>
      <c r="L92" s="65">
        <v>1</v>
      </c>
      <c r="M92" s="67" t="s">
        <v>17932</v>
      </c>
      <c r="N92" s="68"/>
      <c r="O92" s="76"/>
      <c r="P92" s="70"/>
      <c r="Q92" s="67"/>
      <c r="R92" s="68"/>
      <c r="S92" s="76"/>
      <c r="T92" s="70"/>
      <c r="U92" s="228">
        <f>ROUND((ROUND((ROUND((_15_同援日２．０*_15・２人),0)*(1+_15・盲ろう)),0)*(1+_15・区３)),0)</f>
        <v>727</v>
      </c>
      <c r="V92" s="69"/>
    </row>
    <row r="93" spans="1:22" ht="16.5" customHeight="1" x14ac:dyDescent="0.3">
      <c r="A93" s="2">
        <v>15</v>
      </c>
      <c r="B93" s="2">
        <v>7773</v>
      </c>
      <c r="C93" s="60" t="s">
        <v>8512</v>
      </c>
      <c r="D93" s="1"/>
      <c r="E93" s="68"/>
      <c r="F93" s="70"/>
      <c r="G93" s="61" t="s">
        <v>17747</v>
      </c>
      <c r="H93" s="62"/>
      <c r="I93" s="63"/>
      <c r="J93" s="85"/>
      <c r="K93" s="64"/>
      <c r="L93" s="65"/>
      <c r="M93" s="67"/>
      <c r="N93" s="68" t="s">
        <v>1</v>
      </c>
      <c r="O93" s="76">
        <v>0.25</v>
      </c>
      <c r="P93" s="70" t="s">
        <v>422</v>
      </c>
      <c r="Q93" s="67"/>
      <c r="R93" s="68"/>
      <c r="S93" s="76"/>
      <c r="T93" s="70"/>
      <c r="U93" s="228">
        <f>ROUND((ROUND((ROUND((_15_同援日２．０*_15・基礎２),0)*(1+_15・盲ろう)),0)*(1+_15・区３)),0)</f>
        <v>655</v>
      </c>
      <c r="V93" s="69"/>
    </row>
    <row r="94" spans="1:22" ht="16.5" customHeight="1" x14ac:dyDescent="0.3">
      <c r="A94" s="2">
        <v>15</v>
      </c>
      <c r="B94" s="2">
        <v>7774</v>
      </c>
      <c r="C94" s="60" t="s">
        <v>8511</v>
      </c>
      <c r="D94" s="1"/>
      <c r="E94" s="68"/>
      <c r="F94" s="70"/>
      <c r="G94" s="66" t="s">
        <v>17420</v>
      </c>
      <c r="H94" s="57" t="s">
        <v>1</v>
      </c>
      <c r="I94" s="58">
        <v>0.9</v>
      </c>
      <c r="J94" s="85" t="s">
        <v>5895</v>
      </c>
      <c r="K94" s="64" t="s">
        <v>1</v>
      </c>
      <c r="L94" s="65">
        <v>1</v>
      </c>
      <c r="M94" s="66"/>
      <c r="N94" s="57"/>
      <c r="O94" s="58"/>
      <c r="P94" s="77"/>
      <c r="Q94" s="66"/>
      <c r="R94" s="57"/>
      <c r="S94" s="58"/>
      <c r="T94" s="77"/>
      <c r="U94" s="228">
        <f>ROUND((ROUND((ROUND((ROUND((_15_同援日２．０*_15・基礎２),0)*_15・２人),0)*(1+_15・盲ろう)),0)*(1+_15・区３)),0)</f>
        <v>655</v>
      </c>
      <c r="V94" s="69"/>
    </row>
    <row r="95" spans="1:22" ht="16.5" customHeight="1" x14ac:dyDescent="0.3">
      <c r="A95" s="2">
        <v>15</v>
      </c>
      <c r="B95" s="2">
        <v>7775</v>
      </c>
      <c r="C95" s="60" t="s">
        <v>8510</v>
      </c>
      <c r="D95" s="1"/>
      <c r="E95" s="68"/>
      <c r="F95" s="70"/>
      <c r="G95" s="61"/>
      <c r="H95" s="62"/>
      <c r="I95" s="63"/>
      <c r="J95" s="85"/>
      <c r="K95" s="64"/>
      <c r="L95" s="65"/>
      <c r="M95" s="61"/>
      <c r="N95" s="62"/>
      <c r="O95" s="63"/>
      <c r="P95" s="75"/>
      <c r="Q95" s="61"/>
      <c r="R95" s="62"/>
      <c r="S95" s="63"/>
      <c r="T95" s="75"/>
      <c r="U95" s="228">
        <f>ROUND((_15_同援日２．０*(1+_15・区４)),0)</f>
        <v>679</v>
      </c>
      <c r="V95" s="69"/>
    </row>
    <row r="96" spans="1:22" ht="16.5" customHeight="1" x14ac:dyDescent="0.3">
      <c r="A96" s="2">
        <v>15</v>
      </c>
      <c r="B96" s="2">
        <v>7776</v>
      </c>
      <c r="C96" s="60" t="s">
        <v>8509</v>
      </c>
      <c r="D96" s="1"/>
      <c r="E96" s="68"/>
      <c r="F96" s="70"/>
      <c r="G96" s="66"/>
      <c r="H96" s="57"/>
      <c r="I96" s="58"/>
      <c r="J96" s="85" t="s">
        <v>5895</v>
      </c>
      <c r="K96" s="64" t="s">
        <v>1</v>
      </c>
      <c r="L96" s="65">
        <v>1</v>
      </c>
      <c r="M96" s="67"/>
      <c r="N96" s="68"/>
      <c r="O96" s="76"/>
      <c r="P96" s="70"/>
      <c r="Q96" s="67"/>
      <c r="R96" s="68"/>
      <c r="S96" s="76"/>
      <c r="T96" s="70"/>
      <c r="U96" s="228">
        <f>ROUND((ROUND((_15_同援日２．０*_15・２人),0)*(1+_15・区４)),0)</f>
        <v>679</v>
      </c>
      <c r="V96" s="69"/>
    </row>
    <row r="97" spans="1:22" ht="16.5" customHeight="1" x14ac:dyDescent="0.3">
      <c r="A97" s="2">
        <v>15</v>
      </c>
      <c r="B97" s="2">
        <v>7777</v>
      </c>
      <c r="C97" s="60" t="s">
        <v>8508</v>
      </c>
      <c r="D97" s="1"/>
      <c r="E97" s="68"/>
      <c r="F97" s="70"/>
      <c r="G97" s="61" t="s">
        <v>17747</v>
      </c>
      <c r="H97" s="62"/>
      <c r="I97" s="63"/>
      <c r="J97" s="85"/>
      <c r="K97" s="64"/>
      <c r="L97" s="65"/>
      <c r="M97" s="67"/>
      <c r="N97" s="68"/>
      <c r="O97" s="76"/>
      <c r="P97" s="70"/>
      <c r="Q97" s="67" t="s">
        <v>17935</v>
      </c>
      <c r="R97" s="68"/>
      <c r="S97" s="76"/>
      <c r="T97" s="70"/>
      <c r="U97" s="228">
        <f>ROUND((ROUND((_15_同援日２．０*_15・基礎２),0)*(1+_15・区４)),0)</f>
        <v>612</v>
      </c>
      <c r="V97" s="69"/>
    </row>
    <row r="98" spans="1:22" ht="16.5" customHeight="1" x14ac:dyDescent="0.3">
      <c r="A98" s="2">
        <v>15</v>
      </c>
      <c r="B98" s="2">
        <v>7778</v>
      </c>
      <c r="C98" s="60" t="s">
        <v>8507</v>
      </c>
      <c r="D98" s="1"/>
      <c r="E98" s="68"/>
      <c r="F98" s="70"/>
      <c r="G98" s="66" t="s">
        <v>17420</v>
      </c>
      <c r="H98" s="57" t="s">
        <v>1</v>
      </c>
      <c r="I98" s="58">
        <v>0.9</v>
      </c>
      <c r="J98" s="85" t="s">
        <v>5895</v>
      </c>
      <c r="K98" s="64" t="s">
        <v>1</v>
      </c>
      <c r="L98" s="65">
        <v>1</v>
      </c>
      <c r="M98" s="66"/>
      <c r="N98" s="57"/>
      <c r="O98" s="58"/>
      <c r="P98" s="77"/>
      <c r="Q98" s="67" t="s">
        <v>17934</v>
      </c>
      <c r="R98" s="68"/>
      <c r="S98" s="76"/>
      <c r="T98" s="70"/>
      <c r="U98" s="228">
        <f>ROUND((ROUND((ROUND((_15_同援日２．０*_15・基礎２),0)*_15・２人),0)*(1+_15・区４)),0)</f>
        <v>612</v>
      </c>
      <c r="V98" s="69"/>
    </row>
    <row r="99" spans="1:22" ht="16.5" customHeight="1" x14ac:dyDescent="0.3">
      <c r="A99" s="2">
        <v>15</v>
      </c>
      <c r="B99" s="2">
        <v>7779</v>
      </c>
      <c r="C99" s="60" t="s">
        <v>8506</v>
      </c>
      <c r="D99" s="1"/>
      <c r="E99" s="68"/>
      <c r="F99" s="70"/>
      <c r="G99" s="61"/>
      <c r="H99" s="62"/>
      <c r="I99" s="63"/>
      <c r="J99" s="85"/>
      <c r="K99" s="64"/>
      <c r="L99" s="65"/>
      <c r="M99" s="61" t="s">
        <v>17933</v>
      </c>
      <c r="N99" s="62"/>
      <c r="O99" s="63"/>
      <c r="P99" s="75"/>
      <c r="Q99" s="67"/>
      <c r="R99" s="68" t="s">
        <v>1</v>
      </c>
      <c r="S99" s="76">
        <v>0.4</v>
      </c>
      <c r="T99" s="70" t="s">
        <v>422</v>
      </c>
      <c r="U99" s="228">
        <f>ROUND((ROUND((_15_同援日２．０*(1+_15・盲ろう)),0)*(1+_15・区４)),0)</f>
        <v>848</v>
      </c>
      <c r="V99" s="69"/>
    </row>
    <row r="100" spans="1:22" ht="16.5" customHeight="1" x14ac:dyDescent="0.3">
      <c r="A100" s="2">
        <v>15</v>
      </c>
      <c r="B100" s="2">
        <v>7780</v>
      </c>
      <c r="C100" s="60" t="s">
        <v>8505</v>
      </c>
      <c r="D100" s="1"/>
      <c r="E100" s="68"/>
      <c r="F100" s="70"/>
      <c r="G100" s="66"/>
      <c r="H100" s="57"/>
      <c r="I100" s="58"/>
      <c r="J100" s="85" t="s">
        <v>5895</v>
      </c>
      <c r="K100" s="64" t="s">
        <v>1</v>
      </c>
      <c r="L100" s="65">
        <v>1</v>
      </c>
      <c r="M100" s="67" t="s">
        <v>17932</v>
      </c>
      <c r="N100" s="68"/>
      <c r="O100" s="76"/>
      <c r="P100" s="70"/>
      <c r="Q100" s="67"/>
      <c r="R100" s="68"/>
      <c r="S100" s="76"/>
      <c r="T100" s="70"/>
      <c r="U100" s="228">
        <f>ROUND((ROUND((ROUND((_15_同援日２．０*_15・２人),0)*(1+_15・盲ろう)),0)*(1+_15・区４)),0)</f>
        <v>848</v>
      </c>
      <c r="V100" s="69"/>
    </row>
    <row r="101" spans="1:22" ht="16.5" customHeight="1" x14ac:dyDescent="0.3">
      <c r="A101" s="2">
        <v>15</v>
      </c>
      <c r="B101" s="2">
        <v>7781</v>
      </c>
      <c r="C101" s="60" t="s">
        <v>8504</v>
      </c>
      <c r="D101" s="1"/>
      <c r="E101" s="68"/>
      <c r="F101" s="70"/>
      <c r="G101" s="61" t="s">
        <v>17747</v>
      </c>
      <c r="H101" s="62"/>
      <c r="I101" s="63"/>
      <c r="J101" s="85"/>
      <c r="K101" s="64"/>
      <c r="L101" s="65"/>
      <c r="M101" s="67"/>
      <c r="N101" s="68" t="s">
        <v>1</v>
      </c>
      <c r="O101" s="76">
        <v>0.25</v>
      </c>
      <c r="P101" s="70" t="s">
        <v>422</v>
      </c>
      <c r="Q101" s="67"/>
      <c r="R101" s="68"/>
      <c r="S101" s="76"/>
      <c r="T101" s="70"/>
      <c r="U101" s="228">
        <f>ROUND((ROUND((ROUND((_15_同援日２．０*_15・基礎２),0)*(1+_15・盲ろう)),0)*(1+_15・区４)),0)</f>
        <v>764</v>
      </c>
      <c r="V101" s="69"/>
    </row>
    <row r="102" spans="1:22" ht="16.5" customHeight="1" x14ac:dyDescent="0.3">
      <c r="A102" s="2">
        <v>15</v>
      </c>
      <c r="B102" s="2">
        <v>7782</v>
      </c>
      <c r="C102" s="60" t="s">
        <v>8503</v>
      </c>
      <c r="D102" s="81"/>
      <c r="E102" s="57"/>
      <c r="F102" s="77"/>
      <c r="G102" s="66" t="s">
        <v>17420</v>
      </c>
      <c r="H102" s="57" t="s">
        <v>1</v>
      </c>
      <c r="I102" s="58">
        <v>0.9</v>
      </c>
      <c r="J102" s="85" t="s">
        <v>5895</v>
      </c>
      <c r="K102" s="64" t="s">
        <v>1</v>
      </c>
      <c r="L102" s="65">
        <v>1</v>
      </c>
      <c r="M102" s="66"/>
      <c r="N102" s="57"/>
      <c r="O102" s="58"/>
      <c r="P102" s="77"/>
      <c r="Q102" s="66"/>
      <c r="R102" s="57"/>
      <c r="S102" s="58"/>
      <c r="T102" s="77"/>
      <c r="U102" s="228">
        <f>ROUND((ROUND((ROUND((ROUND((_15_同援日２．０*_15・基礎２),0)*_15・２人),0)*(1+_15・盲ろう)),0)*(1+_15・区４)),0)</f>
        <v>764</v>
      </c>
      <c r="V102" s="69"/>
    </row>
    <row r="103" spans="1:22" ht="16.5" customHeight="1" x14ac:dyDescent="0.3">
      <c r="A103" s="2">
        <v>15</v>
      </c>
      <c r="B103" s="2">
        <v>7783</v>
      </c>
      <c r="C103" s="60" t="s">
        <v>8502</v>
      </c>
      <c r="D103" s="233" t="s">
        <v>17961</v>
      </c>
      <c r="E103" s="62"/>
      <c r="F103" s="75"/>
      <c r="G103" s="61"/>
      <c r="H103" s="62"/>
      <c r="I103" s="63"/>
      <c r="J103" s="85"/>
      <c r="K103" s="64"/>
      <c r="L103" s="65"/>
      <c r="M103" s="61"/>
      <c r="N103" s="62"/>
      <c r="O103" s="63"/>
      <c r="P103" s="75"/>
      <c r="Q103" s="61"/>
      <c r="R103" s="62"/>
      <c r="S103" s="63"/>
      <c r="T103" s="75"/>
      <c r="U103" s="228">
        <f>_15_同援日２．５</f>
        <v>548</v>
      </c>
      <c r="V103" s="69"/>
    </row>
    <row r="104" spans="1:22" ht="16.5" customHeight="1" x14ac:dyDescent="0.3">
      <c r="A104" s="2">
        <v>15</v>
      </c>
      <c r="B104" s="2">
        <v>7784</v>
      </c>
      <c r="C104" s="60" t="s">
        <v>8501</v>
      </c>
      <c r="D104" s="1" t="s">
        <v>17773</v>
      </c>
      <c r="E104" s="68"/>
      <c r="F104" s="70"/>
      <c r="G104" s="66"/>
      <c r="H104" s="57"/>
      <c r="I104" s="58"/>
      <c r="J104" s="85" t="s">
        <v>5895</v>
      </c>
      <c r="K104" s="64" t="s">
        <v>1</v>
      </c>
      <c r="L104" s="65">
        <v>1</v>
      </c>
      <c r="M104" s="67"/>
      <c r="N104" s="68"/>
      <c r="O104" s="76"/>
      <c r="P104" s="70"/>
      <c r="Q104" s="67"/>
      <c r="R104" s="68"/>
      <c r="S104" s="76"/>
      <c r="T104" s="70"/>
      <c r="U104" s="228">
        <f>ROUND((_15_同援日２．５*_15・２人),0)</f>
        <v>548</v>
      </c>
      <c r="V104" s="69"/>
    </row>
    <row r="105" spans="1:22" ht="16.5" customHeight="1" x14ac:dyDescent="0.3">
      <c r="A105" s="2">
        <v>15</v>
      </c>
      <c r="B105" s="2">
        <v>7785</v>
      </c>
      <c r="C105" s="60" t="s">
        <v>8500</v>
      </c>
      <c r="D105" s="1" t="s">
        <v>8499</v>
      </c>
      <c r="E105" s="68"/>
      <c r="F105" s="70"/>
      <c r="G105" s="61" t="s">
        <v>17747</v>
      </c>
      <c r="H105" s="62"/>
      <c r="I105" s="63"/>
      <c r="J105" s="85"/>
      <c r="K105" s="64"/>
      <c r="L105" s="65"/>
      <c r="M105" s="67"/>
      <c r="N105" s="68"/>
      <c r="O105" s="76"/>
      <c r="P105" s="70"/>
      <c r="Q105" s="67"/>
      <c r="R105" s="68"/>
      <c r="S105" s="76"/>
      <c r="T105" s="70"/>
      <c r="U105" s="228">
        <f>ROUND((_15_同援日２．５*_15・基礎２),0)</f>
        <v>493</v>
      </c>
      <c r="V105" s="69"/>
    </row>
    <row r="106" spans="1:22" ht="16.5" customHeight="1" x14ac:dyDescent="0.3">
      <c r="A106" s="2">
        <v>15</v>
      </c>
      <c r="B106" s="2">
        <v>7786</v>
      </c>
      <c r="C106" s="60" t="s">
        <v>8498</v>
      </c>
      <c r="D106" s="1"/>
      <c r="E106" s="227">
        <v>548</v>
      </c>
      <c r="F106" s="70" t="s">
        <v>0</v>
      </c>
      <c r="G106" s="66" t="s">
        <v>17420</v>
      </c>
      <c r="H106" s="57" t="s">
        <v>1</v>
      </c>
      <c r="I106" s="58">
        <v>0.9</v>
      </c>
      <c r="J106" s="85" t="s">
        <v>5895</v>
      </c>
      <c r="K106" s="64" t="s">
        <v>1</v>
      </c>
      <c r="L106" s="65">
        <v>1</v>
      </c>
      <c r="M106" s="66"/>
      <c r="N106" s="57"/>
      <c r="O106" s="58"/>
      <c r="P106" s="77"/>
      <c r="Q106" s="67"/>
      <c r="R106" s="68"/>
      <c r="S106" s="76"/>
      <c r="T106" s="70"/>
      <c r="U106" s="228">
        <f>ROUND((ROUND((_15_同援日２．５*_15・基礎２),0)*_15・２人),0)</f>
        <v>493</v>
      </c>
      <c r="V106" s="69"/>
    </row>
    <row r="107" spans="1:22" ht="16.5" customHeight="1" x14ac:dyDescent="0.3">
      <c r="A107" s="2">
        <v>15</v>
      </c>
      <c r="B107" s="2">
        <v>7787</v>
      </c>
      <c r="C107" s="60" t="s">
        <v>8497</v>
      </c>
      <c r="D107" s="1"/>
      <c r="E107" s="68"/>
      <c r="F107" s="70"/>
      <c r="G107" s="61"/>
      <c r="H107" s="62"/>
      <c r="I107" s="63"/>
      <c r="J107" s="85"/>
      <c r="K107" s="64"/>
      <c r="L107" s="65"/>
      <c r="M107" s="61" t="s">
        <v>17933</v>
      </c>
      <c r="N107" s="62"/>
      <c r="O107" s="63"/>
      <c r="P107" s="75"/>
      <c r="Q107" s="67"/>
      <c r="R107" s="68"/>
      <c r="S107" s="76"/>
      <c r="T107" s="70"/>
      <c r="U107" s="228">
        <f>ROUND((_15_同援日２．５*(1+_15・盲ろう)),0)</f>
        <v>685</v>
      </c>
      <c r="V107" s="69"/>
    </row>
    <row r="108" spans="1:22" ht="16.5" customHeight="1" x14ac:dyDescent="0.3">
      <c r="A108" s="2">
        <v>15</v>
      </c>
      <c r="B108" s="2">
        <v>7788</v>
      </c>
      <c r="C108" s="60" t="s">
        <v>8496</v>
      </c>
      <c r="D108" s="1"/>
      <c r="E108" s="68"/>
      <c r="F108" s="70"/>
      <c r="G108" s="66"/>
      <c r="H108" s="57"/>
      <c r="I108" s="58"/>
      <c r="J108" s="85" t="s">
        <v>5895</v>
      </c>
      <c r="K108" s="64" t="s">
        <v>1</v>
      </c>
      <c r="L108" s="65">
        <v>1</v>
      </c>
      <c r="M108" s="67" t="s">
        <v>17932</v>
      </c>
      <c r="N108" s="68"/>
      <c r="O108" s="76"/>
      <c r="P108" s="70"/>
      <c r="Q108" s="67"/>
      <c r="R108" s="68"/>
      <c r="S108" s="76"/>
      <c r="T108" s="70"/>
      <c r="U108" s="228">
        <f>ROUND((ROUND((_15_同援日２．５*_15・２人),0)*(1+_15・盲ろう)),0)</f>
        <v>685</v>
      </c>
      <c r="V108" s="69"/>
    </row>
    <row r="109" spans="1:22" ht="16.5" customHeight="1" x14ac:dyDescent="0.3">
      <c r="A109" s="2">
        <v>15</v>
      </c>
      <c r="B109" s="2">
        <v>7789</v>
      </c>
      <c r="C109" s="60" t="s">
        <v>8495</v>
      </c>
      <c r="D109" s="1"/>
      <c r="E109" s="68"/>
      <c r="F109" s="70"/>
      <c r="G109" s="61" t="s">
        <v>17747</v>
      </c>
      <c r="H109" s="62"/>
      <c r="I109" s="63"/>
      <c r="J109" s="85"/>
      <c r="K109" s="64"/>
      <c r="L109" s="65"/>
      <c r="M109" s="67"/>
      <c r="N109" s="68" t="s">
        <v>1</v>
      </c>
      <c r="O109" s="76">
        <v>0.25</v>
      </c>
      <c r="P109" s="70" t="s">
        <v>422</v>
      </c>
      <c r="Q109" s="67"/>
      <c r="R109" s="68"/>
      <c r="S109" s="76"/>
      <c r="T109" s="70"/>
      <c r="U109" s="228">
        <f>ROUND((ROUND((_15_同援日２．５*_15・基礎２),0)*(1+_15・盲ろう)),0)</f>
        <v>616</v>
      </c>
      <c r="V109" s="69"/>
    </row>
    <row r="110" spans="1:22" ht="16.5" customHeight="1" x14ac:dyDescent="0.3">
      <c r="A110" s="2">
        <v>15</v>
      </c>
      <c r="B110" s="2">
        <v>7790</v>
      </c>
      <c r="C110" s="60" t="s">
        <v>8494</v>
      </c>
      <c r="D110" s="1"/>
      <c r="E110" s="68"/>
      <c r="F110" s="70"/>
      <c r="G110" s="66" t="s">
        <v>17420</v>
      </c>
      <c r="H110" s="57" t="s">
        <v>1</v>
      </c>
      <c r="I110" s="58">
        <v>0.9</v>
      </c>
      <c r="J110" s="85" t="s">
        <v>5895</v>
      </c>
      <c r="K110" s="64" t="s">
        <v>1</v>
      </c>
      <c r="L110" s="65">
        <v>1</v>
      </c>
      <c r="M110" s="66"/>
      <c r="N110" s="57"/>
      <c r="O110" s="58"/>
      <c r="P110" s="77"/>
      <c r="Q110" s="66"/>
      <c r="R110" s="57"/>
      <c r="S110" s="58"/>
      <c r="T110" s="77"/>
      <c r="U110" s="228">
        <f>ROUND((ROUND((ROUND((_15_同援日２．５*_15・基礎２),0)*_15・２人),0)*(1+_15・盲ろう)),0)</f>
        <v>616</v>
      </c>
      <c r="V110" s="69"/>
    </row>
    <row r="111" spans="1:22" ht="16.5" customHeight="1" x14ac:dyDescent="0.3">
      <c r="A111" s="2">
        <v>15</v>
      </c>
      <c r="B111" s="2">
        <v>7791</v>
      </c>
      <c r="C111" s="60" t="s">
        <v>8493</v>
      </c>
      <c r="D111" s="1"/>
      <c r="E111" s="68"/>
      <c r="F111" s="70"/>
      <c r="G111" s="61"/>
      <c r="H111" s="62"/>
      <c r="I111" s="63"/>
      <c r="J111" s="85"/>
      <c r="K111" s="64"/>
      <c r="L111" s="65"/>
      <c r="M111" s="61"/>
      <c r="N111" s="62"/>
      <c r="O111" s="63"/>
      <c r="P111" s="75"/>
      <c r="Q111" s="61"/>
      <c r="R111" s="62"/>
      <c r="S111" s="63"/>
      <c r="T111" s="75"/>
      <c r="U111" s="228">
        <f>ROUND((_15_同援日２．５*(1+_15・区３)),0)</f>
        <v>658</v>
      </c>
      <c r="V111" s="69"/>
    </row>
    <row r="112" spans="1:22" ht="16.5" customHeight="1" x14ac:dyDescent="0.3">
      <c r="A112" s="2">
        <v>15</v>
      </c>
      <c r="B112" s="2">
        <v>7792</v>
      </c>
      <c r="C112" s="60" t="s">
        <v>8492</v>
      </c>
      <c r="D112" s="1"/>
      <c r="E112" s="68"/>
      <c r="F112" s="70"/>
      <c r="G112" s="66"/>
      <c r="H112" s="57"/>
      <c r="I112" s="58"/>
      <c r="J112" s="85" t="s">
        <v>5895</v>
      </c>
      <c r="K112" s="64" t="s">
        <v>1</v>
      </c>
      <c r="L112" s="65">
        <v>1</v>
      </c>
      <c r="M112" s="67"/>
      <c r="N112" s="68"/>
      <c r="O112" s="76"/>
      <c r="P112" s="70"/>
      <c r="Q112" s="67"/>
      <c r="R112" s="68"/>
      <c r="S112" s="76"/>
      <c r="T112" s="70"/>
      <c r="U112" s="228">
        <f>ROUND((ROUND((_15_同援日２．５*_15・２人),0)*(1+_15・区３)),0)</f>
        <v>658</v>
      </c>
      <c r="V112" s="69"/>
    </row>
    <row r="113" spans="1:22" ht="16.5" customHeight="1" x14ac:dyDescent="0.3">
      <c r="A113" s="2">
        <v>15</v>
      </c>
      <c r="B113" s="2">
        <v>7793</v>
      </c>
      <c r="C113" s="60" t="s">
        <v>8491</v>
      </c>
      <c r="D113" s="1"/>
      <c r="E113" s="68"/>
      <c r="F113" s="70"/>
      <c r="G113" s="61" t="s">
        <v>17747</v>
      </c>
      <c r="H113" s="62"/>
      <c r="I113" s="63"/>
      <c r="J113" s="85"/>
      <c r="K113" s="64"/>
      <c r="L113" s="65"/>
      <c r="M113" s="67"/>
      <c r="N113" s="68"/>
      <c r="O113" s="76"/>
      <c r="P113" s="70"/>
      <c r="Q113" s="67" t="s">
        <v>17936</v>
      </c>
      <c r="R113" s="68"/>
      <c r="S113" s="76"/>
      <c r="T113" s="70"/>
      <c r="U113" s="228">
        <f>ROUND((ROUND((_15_同援日２．５*_15・基礎２),0)*(1+_15・区３)),0)</f>
        <v>592</v>
      </c>
      <c r="V113" s="69"/>
    </row>
    <row r="114" spans="1:22" ht="16.5" customHeight="1" x14ac:dyDescent="0.3">
      <c r="A114" s="2">
        <v>15</v>
      </c>
      <c r="B114" s="2">
        <v>7794</v>
      </c>
      <c r="C114" s="60" t="s">
        <v>8490</v>
      </c>
      <c r="D114" s="1"/>
      <c r="E114" s="68"/>
      <c r="F114" s="70"/>
      <c r="G114" s="66" t="s">
        <v>17420</v>
      </c>
      <c r="H114" s="57" t="s">
        <v>1</v>
      </c>
      <c r="I114" s="58">
        <v>0.9</v>
      </c>
      <c r="J114" s="85" t="s">
        <v>5895</v>
      </c>
      <c r="K114" s="64" t="s">
        <v>1</v>
      </c>
      <c r="L114" s="65">
        <v>1</v>
      </c>
      <c r="M114" s="66"/>
      <c r="N114" s="57"/>
      <c r="O114" s="58"/>
      <c r="P114" s="77"/>
      <c r="Q114" s="67" t="s">
        <v>17934</v>
      </c>
      <c r="R114" s="68"/>
      <c r="S114" s="76"/>
      <c r="T114" s="70"/>
      <c r="U114" s="228">
        <f>ROUND((ROUND((ROUND((_15_同援日２．５*_15・基礎２),0)*_15・２人),0)*(1+_15・区３)),0)</f>
        <v>592</v>
      </c>
      <c r="V114" s="69"/>
    </row>
    <row r="115" spans="1:22" ht="16.5" customHeight="1" x14ac:dyDescent="0.3">
      <c r="A115" s="2">
        <v>15</v>
      </c>
      <c r="B115" s="2">
        <v>7795</v>
      </c>
      <c r="C115" s="60" t="s">
        <v>8489</v>
      </c>
      <c r="D115" s="1"/>
      <c r="E115" s="68"/>
      <c r="F115" s="70"/>
      <c r="G115" s="61"/>
      <c r="H115" s="62"/>
      <c r="I115" s="63"/>
      <c r="J115" s="85"/>
      <c r="K115" s="64"/>
      <c r="L115" s="65"/>
      <c r="M115" s="61" t="s">
        <v>17933</v>
      </c>
      <c r="N115" s="62"/>
      <c r="O115" s="63"/>
      <c r="P115" s="75"/>
      <c r="Q115" s="67"/>
      <c r="R115" s="68" t="s">
        <v>1</v>
      </c>
      <c r="S115" s="76">
        <v>0.2</v>
      </c>
      <c r="T115" s="70" t="s">
        <v>422</v>
      </c>
      <c r="U115" s="228">
        <f>ROUND((ROUND((_15_同援日２．５*(1+_15・盲ろう)),0)*(1+_15・区３)),0)</f>
        <v>822</v>
      </c>
      <c r="V115" s="69"/>
    </row>
    <row r="116" spans="1:22" ht="16.5" customHeight="1" x14ac:dyDescent="0.3">
      <c r="A116" s="2">
        <v>15</v>
      </c>
      <c r="B116" s="2">
        <v>7796</v>
      </c>
      <c r="C116" s="60" t="s">
        <v>8488</v>
      </c>
      <c r="D116" s="1"/>
      <c r="E116" s="68"/>
      <c r="F116" s="70"/>
      <c r="G116" s="66"/>
      <c r="H116" s="57"/>
      <c r="I116" s="58"/>
      <c r="J116" s="85" t="s">
        <v>5895</v>
      </c>
      <c r="K116" s="64" t="s">
        <v>1</v>
      </c>
      <c r="L116" s="65">
        <v>1</v>
      </c>
      <c r="M116" s="67" t="s">
        <v>17932</v>
      </c>
      <c r="N116" s="68"/>
      <c r="O116" s="76"/>
      <c r="P116" s="70"/>
      <c r="Q116" s="67"/>
      <c r="R116" s="68"/>
      <c r="S116" s="76"/>
      <c r="T116" s="70"/>
      <c r="U116" s="228">
        <f>ROUND((ROUND((ROUND((_15_同援日２．５*_15・２人),0)*(1+_15・盲ろう)),0)*(1+_15・区３)),0)</f>
        <v>822</v>
      </c>
      <c r="V116" s="69"/>
    </row>
    <row r="117" spans="1:22" ht="16.5" customHeight="1" x14ac:dyDescent="0.3">
      <c r="A117" s="2">
        <v>15</v>
      </c>
      <c r="B117" s="2">
        <v>7797</v>
      </c>
      <c r="C117" s="60" t="s">
        <v>8487</v>
      </c>
      <c r="D117" s="1"/>
      <c r="E117" s="68"/>
      <c r="F117" s="70"/>
      <c r="G117" s="61" t="s">
        <v>17747</v>
      </c>
      <c r="H117" s="62"/>
      <c r="I117" s="63"/>
      <c r="J117" s="85"/>
      <c r="K117" s="64"/>
      <c r="L117" s="65"/>
      <c r="M117" s="67"/>
      <c r="N117" s="68" t="s">
        <v>1</v>
      </c>
      <c r="O117" s="76">
        <v>0.25</v>
      </c>
      <c r="P117" s="70" t="s">
        <v>422</v>
      </c>
      <c r="Q117" s="67"/>
      <c r="R117" s="68"/>
      <c r="S117" s="76"/>
      <c r="T117" s="70"/>
      <c r="U117" s="228">
        <f>ROUND((ROUND((ROUND((_15_同援日２．５*_15・基礎２),0)*(1+_15・盲ろう)),0)*(1+_15・区３)),0)</f>
        <v>739</v>
      </c>
      <c r="V117" s="69"/>
    </row>
    <row r="118" spans="1:22" ht="16.5" customHeight="1" x14ac:dyDescent="0.3">
      <c r="A118" s="2">
        <v>15</v>
      </c>
      <c r="B118" s="2">
        <v>7798</v>
      </c>
      <c r="C118" s="60" t="s">
        <v>8486</v>
      </c>
      <c r="D118" s="1"/>
      <c r="E118" s="68"/>
      <c r="F118" s="70"/>
      <c r="G118" s="66" t="s">
        <v>17420</v>
      </c>
      <c r="H118" s="57" t="s">
        <v>1</v>
      </c>
      <c r="I118" s="58">
        <v>0.9</v>
      </c>
      <c r="J118" s="85" t="s">
        <v>5895</v>
      </c>
      <c r="K118" s="64" t="s">
        <v>1</v>
      </c>
      <c r="L118" s="65">
        <v>1</v>
      </c>
      <c r="M118" s="66"/>
      <c r="N118" s="57"/>
      <c r="O118" s="58"/>
      <c r="P118" s="77"/>
      <c r="Q118" s="66"/>
      <c r="R118" s="57"/>
      <c r="S118" s="58"/>
      <c r="T118" s="77"/>
      <c r="U118" s="228">
        <f>ROUND((ROUND((ROUND((ROUND((_15_同援日２．５*_15・基礎２),0)*_15・２人),0)*(1+_15・盲ろう)),0)*(1+_15・区３)),0)</f>
        <v>739</v>
      </c>
      <c r="V118" s="69"/>
    </row>
    <row r="119" spans="1:22" ht="16.5" customHeight="1" x14ac:dyDescent="0.3">
      <c r="A119" s="2">
        <v>15</v>
      </c>
      <c r="B119" s="2">
        <v>7799</v>
      </c>
      <c r="C119" s="60" t="s">
        <v>8485</v>
      </c>
      <c r="D119" s="1"/>
      <c r="E119" s="68"/>
      <c r="F119" s="70"/>
      <c r="G119" s="61"/>
      <c r="H119" s="62"/>
      <c r="I119" s="63"/>
      <c r="J119" s="85"/>
      <c r="K119" s="64"/>
      <c r="L119" s="65"/>
      <c r="M119" s="61"/>
      <c r="N119" s="62"/>
      <c r="O119" s="63"/>
      <c r="P119" s="75"/>
      <c r="Q119" s="61"/>
      <c r="R119" s="62"/>
      <c r="S119" s="63"/>
      <c r="T119" s="75"/>
      <c r="U119" s="228">
        <f>ROUND((_15_同援日２．５*(1+_15・区４)),0)</f>
        <v>767</v>
      </c>
      <c r="V119" s="69"/>
    </row>
    <row r="120" spans="1:22" ht="16.5" customHeight="1" x14ac:dyDescent="0.3">
      <c r="A120" s="2">
        <v>15</v>
      </c>
      <c r="B120" s="2">
        <v>7800</v>
      </c>
      <c r="C120" s="60" t="s">
        <v>8484</v>
      </c>
      <c r="D120" s="1"/>
      <c r="E120" s="68"/>
      <c r="F120" s="70"/>
      <c r="G120" s="66"/>
      <c r="H120" s="57"/>
      <c r="I120" s="58"/>
      <c r="J120" s="85" t="s">
        <v>5895</v>
      </c>
      <c r="K120" s="64" t="s">
        <v>1</v>
      </c>
      <c r="L120" s="65">
        <v>1</v>
      </c>
      <c r="M120" s="67"/>
      <c r="N120" s="68"/>
      <c r="O120" s="76"/>
      <c r="P120" s="70"/>
      <c r="Q120" s="67"/>
      <c r="R120" s="68"/>
      <c r="S120" s="76"/>
      <c r="T120" s="70"/>
      <c r="U120" s="228">
        <f>ROUND((ROUND((_15_同援日２．５*_15・２人),0)*(1+_15・区４)),0)</f>
        <v>767</v>
      </c>
      <c r="V120" s="69"/>
    </row>
    <row r="121" spans="1:22" ht="16.5" customHeight="1" x14ac:dyDescent="0.3">
      <c r="A121" s="2">
        <v>15</v>
      </c>
      <c r="B121" s="2">
        <v>7801</v>
      </c>
      <c r="C121" s="60" t="s">
        <v>8483</v>
      </c>
      <c r="D121" s="1"/>
      <c r="E121" s="68"/>
      <c r="F121" s="70"/>
      <c r="G121" s="61" t="s">
        <v>17747</v>
      </c>
      <c r="H121" s="62"/>
      <c r="I121" s="63"/>
      <c r="J121" s="85"/>
      <c r="K121" s="64"/>
      <c r="L121" s="65"/>
      <c r="M121" s="67"/>
      <c r="N121" s="68"/>
      <c r="O121" s="76"/>
      <c r="P121" s="70"/>
      <c r="Q121" s="67" t="s">
        <v>17935</v>
      </c>
      <c r="R121" s="68"/>
      <c r="S121" s="76"/>
      <c r="T121" s="70"/>
      <c r="U121" s="228">
        <f>ROUND((ROUND((_15_同援日２．５*_15・基礎２),0)*(1+_15・区４)),0)</f>
        <v>690</v>
      </c>
      <c r="V121" s="69"/>
    </row>
    <row r="122" spans="1:22" ht="16.5" customHeight="1" x14ac:dyDescent="0.3">
      <c r="A122" s="2">
        <v>15</v>
      </c>
      <c r="B122" s="2">
        <v>7802</v>
      </c>
      <c r="C122" s="60" t="s">
        <v>8482</v>
      </c>
      <c r="D122" s="1"/>
      <c r="E122" s="68"/>
      <c r="F122" s="70"/>
      <c r="G122" s="66" t="s">
        <v>17420</v>
      </c>
      <c r="H122" s="57" t="s">
        <v>1</v>
      </c>
      <c r="I122" s="58">
        <v>0.9</v>
      </c>
      <c r="J122" s="85" t="s">
        <v>5895</v>
      </c>
      <c r="K122" s="64" t="s">
        <v>1</v>
      </c>
      <c r="L122" s="65">
        <v>1</v>
      </c>
      <c r="M122" s="66"/>
      <c r="N122" s="57"/>
      <c r="O122" s="58"/>
      <c r="P122" s="77"/>
      <c r="Q122" s="67" t="s">
        <v>17934</v>
      </c>
      <c r="R122" s="68"/>
      <c r="S122" s="76"/>
      <c r="T122" s="70"/>
      <c r="U122" s="228">
        <f>ROUND((ROUND((ROUND((_15_同援日２．５*_15・基礎２),0)*_15・２人),0)*(1+_15・区４)),0)</f>
        <v>690</v>
      </c>
      <c r="V122" s="69"/>
    </row>
    <row r="123" spans="1:22" ht="16.5" customHeight="1" x14ac:dyDescent="0.3">
      <c r="A123" s="2">
        <v>15</v>
      </c>
      <c r="B123" s="2">
        <v>7803</v>
      </c>
      <c r="C123" s="60" t="s">
        <v>8481</v>
      </c>
      <c r="D123" s="1"/>
      <c r="E123" s="68"/>
      <c r="F123" s="70"/>
      <c r="G123" s="61"/>
      <c r="H123" s="62"/>
      <c r="I123" s="63"/>
      <c r="J123" s="85"/>
      <c r="K123" s="64"/>
      <c r="L123" s="65"/>
      <c r="M123" s="61" t="s">
        <v>17933</v>
      </c>
      <c r="N123" s="62"/>
      <c r="O123" s="63"/>
      <c r="P123" s="75"/>
      <c r="Q123" s="67"/>
      <c r="R123" s="68" t="s">
        <v>1</v>
      </c>
      <c r="S123" s="76">
        <v>0.4</v>
      </c>
      <c r="T123" s="70" t="s">
        <v>422</v>
      </c>
      <c r="U123" s="228">
        <f>ROUND((ROUND((_15_同援日２．５*(1+_15・盲ろう)),0)*(1+_15・区４)),0)</f>
        <v>959</v>
      </c>
      <c r="V123" s="69"/>
    </row>
    <row r="124" spans="1:22" ht="16.5" customHeight="1" x14ac:dyDescent="0.3">
      <c r="A124" s="2">
        <v>15</v>
      </c>
      <c r="B124" s="2">
        <v>7804</v>
      </c>
      <c r="C124" s="60" t="s">
        <v>8480</v>
      </c>
      <c r="D124" s="1"/>
      <c r="E124" s="68"/>
      <c r="F124" s="70"/>
      <c r="G124" s="66"/>
      <c r="H124" s="57"/>
      <c r="I124" s="58"/>
      <c r="J124" s="85" t="s">
        <v>5895</v>
      </c>
      <c r="K124" s="64" t="s">
        <v>1</v>
      </c>
      <c r="L124" s="65">
        <v>1</v>
      </c>
      <c r="M124" s="67" t="s">
        <v>17932</v>
      </c>
      <c r="N124" s="68"/>
      <c r="O124" s="76"/>
      <c r="P124" s="70"/>
      <c r="Q124" s="67"/>
      <c r="R124" s="68"/>
      <c r="S124" s="76"/>
      <c r="T124" s="70"/>
      <c r="U124" s="228">
        <f>ROUND((ROUND((ROUND((_15_同援日２．５*_15・２人),0)*(1+_15・盲ろう)),0)*(1+_15・区４)),0)</f>
        <v>959</v>
      </c>
      <c r="V124" s="69"/>
    </row>
    <row r="125" spans="1:22" ht="16.5" customHeight="1" x14ac:dyDescent="0.3">
      <c r="A125" s="2">
        <v>15</v>
      </c>
      <c r="B125" s="2">
        <v>7805</v>
      </c>
      <c r="C125" s="60" t="s">
        <v>8479</v>
      </c>
      <c r="D125" s="1"/>
      <c r="E125" s="68"/>
      <c r="F125" s="70"/>
      <c r="G125" s="61" t="s">
        <v>17747</v>
      </c>
      <c r="H125" s="62"/>
      <c r="I125" s="63"/>
      <c r="J125" s="85"/>
      <c r="K125" s="64"/>
      <c r="L125" s="65"/>
      <c r="M125" s="67"/>
      <c r="N125" s="68" t="s">
        <v>1</v>
      </c>
      <c r="O125" s="76">
        <v>0.25</v>
      </c>
      <c r="P125" s="70" t="s">
        <v>422</v>
      </c>
      <c r="Q125" s="67"/>
      <c r="R125" s="68"/>
      <c r="S125" s="76"/>
      <c r="T125" s="70"/>
      <c r="U125" s="228">
        <f>ROUND((ROUND((ROUND((_15_同援日２．５*_15・基礎２),0)*(1+_15・盲ろう)),0)*(1+_15・区４)),0)</f>
        <v>862</v>
      </c>
      <c r="V125" s="69"/>
    </row>
    <row r="126" spans="1:22" ht="16.5" customHeight="1" x14ac:dyDescent="0.3">
      <c r="A126" s="2">
        <v>15</v>
      </c>
      <c r="B126" s="2">
        <v>7806</v>
      </c>
      <c r="C126" s="60" t="s">
        <v>8478</v>
      </c>
      <c r="D126" s="81"/>
      <c r="E126" s="57"/>
      <c r="F126" s="77"/>
      <c r="G126" s="66" t="s">
        <v>17420</v>
      </c>
      <c r="H126" s="57" t="s">
        <v>1</v>
      </c>
      <c r="I126" s="58">
        <v>0.9</v>
      </c>
      <c r="J126" s="85" t="s">
        <v>5895</v>
      </c>
      <c r="K126" s="64" t="s">
        <v>1</v>
      </c>
      <c r="L126" s="65">
        <v>1</v>
      </c>
      <c r="M126" s="66"/>
      <c r="N126" s="57"/>
      <c r="O126" s="58"/>
      <c r="P126" s="77"/>
      <c r="Q126" s="66"/>
      <c r="R126" s="57"/>
      <c r="S126" s="58"/>
      <c r="T126" s="77"/>
      <c r="U126" s="228">
        <f>ROUND((ROUND((ROUND((ROUND((_15_同援日２．５*_15・基礎２),0)*_15・２人),0)*(1+_15・盲ろう)),0)*(1+_15・区４)),0)</f>
        <v>862</v>
      </c>
      <c r="V126" s="69"/>
    </row>
    <row r="127" spans="1:22" ht="16.5" customHeight="1" x14ac:dyDescent="0.3">
      <c r="A127" s="2">
        <v>15</v>
      </c>
      <c r="B127" s="2">
        <v>7807</v>
      </c>
      <c r="C127" s="60" t="s">
        <v>8477</v>
      </c>
      <c r="D127" s="233" t="s">
        <v>17960</v>
      </c>
      <c r="E127" s="62"/>
      <c r="F127" s="75"/>
      <c r="G127" s="61"/>
      <c r="H127" s="62"/>
      <c r="I127" s="63"/>
      <c r="J127" s="85"/>
      <c r="K127" s="64"/>
      <c r="L127" s="65"/>
      <c r="M127" s="61"/>
      <c r="N127" s="62"/>
      <c r="O127" s="63"/>
      <c r="P127" s="75"/>
      <c r="Q127" s="61"/>
      <c r="R127" s="62"/>
      <c r="S127" s="63"/>
      <c r="T127" s="75"/>
      <c r="U127" s="228">
        <f>_15_同援日３．０</f>
        <v>611</v>
      </c>
      <c r="V127" s="69"/>
    </row>
    <row r="128" spans="1:22" ht="16.5" customHeight="1" x14ac:dyDescent="0.3">
      <c r="A128" s="2">
        <v>15</v>
      </c>
      <c r="B128" s="2">
        <v>7808</v>
      </c>
      <c r="C128" s="60" t="s">
        <v>8476</v>
      </c>
      <c r="D128" s="1" t="s">
        <v>17770</v>
      </c>
      <c r="E128" s="68"/>
      <c r="F128" s="70"/>
      <c r="G128" s="66"/>
      <c r="H128" s="57"/>
      <c r="I128" s="58"/>
      <c r="J128" s="85" t="s">
        <v>5895</v>
      </c>
      <c r="K128" s="64" t="s">
        <v>1</v>
      </c>
      <c r="L128" s="65">
        <v>1</v>
      </c>
      <c r="M128" s="67"/>
      <c r="N128" s="68"/>
      <c r="O128" s="76"/>
      <c r="P128" s="70"/>
      <c r="Q128" s="67"/>
      <c r="R128" s="68"/>
      <c r="S128" s="76"/>
      <c r="T128" s="70"/>
      <c r="U128" s="228">
        <f>ROUND((_15_同援日３．０*_15・２人),0)</f>
        <v>611</v>
      </c>
      <c r="V128" s="69"/>
    </row>
    <row r="129" spans="1:22" ht="16.5" customHeight="1" x14ac:dyDescent="0.3">
      <c r="A129" s="2">
        <v>15</v>
      </c>
      <c r="B129" s="2">
        <v>7809</v>
      </c>
      <c r="C129" s="60" t="s">
        <v>8475</v>
      </c>
      <c r="D129" s="1" t="s">
        <v>17769</v>
      </c>
      <c r="E129" s="68"/>
      <c r="F129" s="70"/>
      <c r="G129" s="61" t="s">
        <v>17747</v>
      </c>
      <c r="H129" s="62"/>
      <c r="I129" s="63"/>
      <c r="J129" s="85"/>
      <c r="K129" s="64"/>
      <c r="L129" s="65"/>
      <c r="M129" s="67"/>
      <c r="N129" s="68"/>
      <c r="O129" s="76"/>
      <c r="P129" s="70"/>
      <c r="Q129" s="67"/>
      <c r="R129" s="68"/>
      <c r="S129" s="76"/>
      <c r="T129" s="70"/>
      <c r="U129" s="228">
        <f>ROUND((_15_同援日３．０*_15・基礎２),0)</f>
        <v>550</v>
      </c>
      <c r="V129" s="69"/>
    </row>
    <row r="130" spans="1:22" ht="16.5" customHeight="1" x14ac:dyDescent="0.3">
      <c r="A130" s="2">
        <v>15</v>
      </c>
      <c r="B130" s="2">
        <v>7810</v>
      </c>
      <c r="C130" s="60" t="s">
        <v>8474</v>
      </c>
      <c r="D130" s="1"/>
      <c r="E130" s="227">
        <v>611</v>
      </c>
      <c r="F130" s="70" t="s">
        <v>0</v>
      </c>
      <c r="G130" s="66" t="s">
        <v>17420</v>
      </c>
      <c r="H130" s="57" t="s">
        <v>1</v>
      </c>
      <c r="I130" s="58">
        <v>0.9</v>
      </c>
      <c r="J130" s="85" t="s">
        <v>5895</v>
      </c>
      <c r="K130" s="64" t="s">
        <v>1</v>
      </c>
      <c r="L130" s="65">
        <v>1</v>
      </c>
      <c r="M130" s="66"/>
      <c r="N130" s="57"/>
      <c r="O130" s="58"/>
      <c r="P130" s="77"/>
      <c r="Q130" s="67"/>
      <c r="R130" s="68"/>
      <c r="S130" s="76"/>
      <c r="T130" s="70"/>
      <c r="U130" s="228">
        <f>ROUND((ROUND((_15_同援日３．０*_15・基礎２),0)*_15・２人),0)</f>
        <v>550</v>
      </c>
      <c r="V130" s="69"/>
    </row>
    <row r="131" spans="1:22" ht="16.5" customHeight="1" x14ac:dyDescent="0.3">
      <c r="A131" s="2">
        <v>15</v>
      </c>
      <c r="B131" s="2">
        <v>7811</v>
      </c>
      <c r="C131" s="60" t="s">
        <v>8473</v>
      </c>
      <c r="D131" s="1"/>
      <c r="E131" s="68"/>
      <c r="F131" s="70"/>
      <c r="G131" s="61"/>
      <c r="H131" s="62"/>
      <c r="I131" s="63"/>
      <c r="J131" s="85"/>
      <c r="K131" s="64"/>
      <c r="L131" s="65"/>
      <c r="M131" s="61" t="s">
        <v>17933</v>
      </c>
      <c r="N131" s="62"/>
      <c r="O131" s="63"/>
      <c r="P131" s="75"/>
      <c r="Q131" s="67"/>
      <c r="R131" s="68"/>
      <c r="S131" s="76"/>
      <c r="T131" s="70"/>
      <c r="U131" s="228">
        <f>ROUND((_15_同援日３．０*(1+_15・盲ろう)),0)</f>
        <v>764</v>
      </c>
      <c r="V131" s="69"/>
    </row>
    <row r="132" spans="1:22" ht="16.5" customHeight="1" x14ac:dyDescent="0.3">
      <c r="A132" s="2">
        <v>15</v>
      </c>
      <c r="B132" s="2">
        <v>7812</v>
      </c>
      <c r="C132" s="60" t="s">
        <v>8472</v>
      </c>
      <c r="D132" s="1"/>
      <c r="E132" s="68"/>
      <c r="F132" s="70"/>
      <c r="G132" s="66"/>
      <c r="H132" s="57"/>
      <c r="I132" s="58"/>
      <c r="J132" s="85" t="s">
        <v>5895</v>
      </c>
      <c r="K132" s="64" t="s">
        <v>1</v>
      </c>
      <c r="L132" s="65">
        <v>1</v>
      </c>
      <c r="M132" s="67" t="s">
        <v>17932</v>
      </c>
      <c r="N132" s="68"/>
      <c r="O132" s="76"/>
      <c r="P132" s="70"/>
      <c r="Q132" s="67"/>
      <c r="R132" s="68"/>
      <c r="S132" s="76"/>
      <c r="T132" s="70"/>
      <c r="U132" s="228">
        <f>ROUND((ROUND((_15_同援日３．０*_15・２人),0)*(1+_15・盲ろう)),0)</f>
        <v>764</v>
      </c>
      <c r="V132" s="69"/>
    </row>
    <row r="133" spans="1:22" ht="16.5" customHeight="1" x14ac:dyDescent="0.3">
      <c r="A133" s="2">
        <v>15</v>
      </c>
      <c r="B133" s="2">
        <v>7813</v>
      </c>
      <c r="C133" s="60" t="s">
        <v>8471</v>
      </c>
      <c r="D133" s="1"/>
      <c r="E133" s="68"/>
      <c r="F133" s="70"/>
      <c r="G133" s="61" t="s">
        <v>17747</v>
      </c>
      <c r="H133" s="62"/>
      <c r="I133" s="63"/>
      <c r="J133" s="85"/>
      <c r="K133" s="64"/>
      <c r="L133" s="65"/>
      <c r="M133" s="67"/>
      <c r="N133" s="68" t="s">
        <v>1</v>
      </c>
      <c r="O133" s="76">
        <v>0.25</v>
      </c>
      <c r="P133" s="70" t="s">
        <v>422</v>
      </c>
      <c r="Q133" s="67"/>
      <c r="R133" s="68"/>
      <c r="S133" s="76"/>
      <c r="T133" s="70"/>
      <c r="U133" s="228">
        <f>ROUND((ROUND((_15_同援日３．０*_15・基礎２),0)*(1+_15・盲ろう)),0)</f>
        <v>688</v>
      </c>
      <c r="V133" s="69"/>
    </row>
    <row r="134" spans="1:22" ht="16.5" customHeight="1" x14ac:dyDescent="0.3">
      <c r="A134" s="2">
        <v>15</v>
      </c>
      <c r="B134" s="2">
        <v>7814</v>
      </c>
      <c r="C134" s="60" t="s">
        <v>8470</v>
      </c>
      <c r="D134" s="1"/>
      <c r="E134" s="68"/>
      <c r="F134" s="70"/>
      <c r="G134" s="66" t="s">
        <v>17420</v>
      </c>
      <c r="H134" s="57" t="s">
        <v>1</v>
      </c>
      <c r="I134" s="58">
        <v>0.9</v>
      </c>
      <c r="J134" s="85" t="s">
        <v>5895</v>
      </c>
      <c r="K134" s="64" t="s">
        <v>1</v>
      </c>
      <c r="L134" s="65">
        <v>1</v>
      </c>
      <c r="M134" s="66"/>
      <c r="N134" s="57"/>
      <c r="O134" s="58"/>
      <c r="P134" s="77"/>
      <c r="Q134" s="66"/>
      <c r="R134" s="57"/>
      <c r="S134" s="58"/>
      <c r="T134" s="77"/>
      <c r="U134" s="228">
        <f>ROUND((ROUND((ROUND((_15_同援日３．０*_15・基礎２),0)*_15・２人),0)*(1+_15・盲ろう)),0)</f>
        <v>688</v>
      </c>
      <c r="V134" s="69"/>
    </row>
    <row r="135" spans="1:22" ht="16.5" customHeight="1" x14ac:dyDescent="0.3">
      <c r="A135" s="2">
        <v>15</v>
      </c>
      <c r="B135" s="2">
        <v>7815</v>
      </c>
      <c r="C135" s="60" t="s">
        <v>8469</v>
      </c>
      <c r="D135" s="1"/>
      <c r="E135" s="68"/>
      <c r="F135" s="70"/>
      <c r="G135" s="61"/>
      <c r="H135" s="62"/>
      <c r="I135" s="63"/>
      <c r="J135" s="85"/>
      <c r="K135" s="64"/>
      <c r="L135" s="65"/>
      <c r="M135" s="61"/>
      <c r="N135" s="62"/>
      <c r="O135" s="63"/>
      <c r="P135" s="75"/>
      <c r="Q135" s="61"/>
      <c r="R135" s="62"/>
      <c r="S135" s="63"/>
      <c r="T135" s="75"/>
      <c r="U135" s="228">
        <f>ROUND((_15_同援日３．０*(1+_15・区３)),0)</f>
        <v>733</v>
      </c>
      <c r="V135" s="69"/>
    </row>
    <row r="136" spans="1:22" ht="16.5" customHeight="1" x14ac:dyDescent="0.3">
      <c r="A136" s="2">
        <v>15</v>
      </c>
      <c r="B136" s="2">
        <v>7816</v>
      </c>
      <c r="C136" s="60" t="s">
        <v>8468</v>
      </c>
      <c r="D136" s="1"/>
      <c r="E136" s="68"/>
      <c r="F136" s="70"/>
      <c r="G136" s="66"/>
      <c r="H136" s="57"/>
      <c r="I136" s="58"/>
      <c r="J136" s="85" t="s">
        <v>5895</v>
      </c>
      <c r="K136" s="64" t="s">
        <v>1</v>
      </c>
      <c r="L136" s="65">
        <v>1</v>
      </c>
      <c r="M136" s="67"/>
      <c r="N136" s="68"/>
      <c r="O136" s="76"/>
      <c r="P136" s="70"/>
      <c r="Q136" s="67"/>
      <c r="R136" s="68"/>
      <c r="S136" s="76"/>
      <c r="T136" s="70"/>
      <c r="U136" s="228">
        <f>ROUND((ROUND((_15_同援日３．０*_15・２人),0)*(1+_15・区３)),0)</f>
        <v>733</v>
      </c>
      <c r="V136" s="69"/>
    </row>
    <row r="137" spans="1:22" ht="16.5" customHeight="1" x14ac:dyDescent="0.3">
      <c r="A137" s="2">
        <v>15</v>
      </c>
      <c r="B137" s="2">
        <v>7817</v>
      </c>
      <c r="C137" s="60" t="s">
        <v>8467</v>
      </c>
      <c r="D137" s="1"/>
      <c r="E137" s="68"/>
      <c r="F137" s="70"/>
      <c r="G137" s="61" t="s">
        <v>17747</v>
      </c>
      <c r="H137" s="62"/>
      <c r="I137" s="63"/>
      <c r="J137" s="85"/>
      <c r="K137" s="64"/>
      <c r="L137" s="65"/>
      <c r="M137" s="67"/>
      <c r="N137" s="68"/>
      <c r="O137" s="76"/>
      <c r="P137" s="70"/>
      <c r="Q137" s="67" t="s">
        <v>17936</v>
      </c>
      <c r="R137" s="68"/>
      <c r="S137" s="76"/>
      <c r="T137" s="70"/>
      <c r="U137" s="228">
        <f>ROUND((ROUND((_15_同援日３．０*_15・基礎２),0)*(1+_15・区３)),0)</f>
        <v>660</v>
      </c>
      <c r="V137" s="69"/>
    </row>
    <row r="138" spans="1:22" ht="16.5" customHeight="1" x14ac:dyDescent="0.3">
      <c r="A138" s="2">
        <v>15</v>
      </c>
      <c r="B138" s="2">
        <v>7818</v>
      </c>
      <c r="C138" s="60" t="s">
        <v>8466</v>
      </c>
      <c r="D138" s="1"/>
      <c r="E138" s="68"/>
      <c r="F138" s="70"/>
      <c r="G138" s="66" t="s">
        <v>17420</v>
      </c>
      <c r="H138" s="57" t="s">
        <v>1</v>
      </c>
      <c r="I138" s="58">
        <v>0.9</v>
      </c>
      <c r="J138" s="85" t="s">
        <v>5895</v>
      </c>
      <c r="K138" s="64" t="s">
        <v>1</v>
      </c>
      <c r="L138" s="65">
        <v>1</v>
      </c>
      <c r="M138" s="66"/>
      <c r="N138" s="57"/>
      <c r="O138" s="58"/>
      <c r="P138" s="77"/>
      <c r="Q138" s="67" t="s">
        <v>17934</v>
      </c>
      <c r="R138" s="68"/>
      <c r="S138" s="76"/>
      <c r="T138" s="70"/>
      <c r="U138" s="228">
        <f>ROUND((ROUND((ROUND((_15_同援日３．０*_15・基礎２),0)*_15・２人),0)*(1+_15・区３)),0)</f>
        <v>660</v>
      </c>
      <c r="V138" s="69"/>
    </row>
    <row r="139" spans="1:22" ht="16.5" customHeight="1" x14ac:dyDescent="0.3">
      <c r="A139" s="2">
        <v>15</v>
      </c>
      <c r="B139" s="2">
        <v>7819</v>
      </c>
      <c r="C139" s="60" t="s">
        <v>8465</v>
      </c>
      <c r="D139" s="1"/>
      <c r="E139" s="68"/>
      <c r="F139" s="70"/>
      <c r="G139" s="61"/>
      <c r="H139" s="62"/>
      <c r="I139" s="63"/>
      <c r="J139" s="85"/>
      <c r="K139" s="64"/>
      <c r="L139" s="65"/>
      <c r="M139" s="61" t="s">
        <v>17933</v>
      </c>
      <c r="N139" s="62"/>
      <c r="O139" s="63"/>
      <c r="P139" s="75"/>
      <c r="Q139" s="67"/>
      <c r="R139" s="68" t="s">
        <v>1</v>
      </c>
      <c r="S139" s="76">
        <v>0.2</v>
      </c>
      <c r="T139" s="70" t="s">
        <v>422</v>
      </c>
      <c r="U139" s="228">
        <f>ROUND((ROUND((_15_同援日３．０*(1+_15・盲ろう)),0)*(1+_15・区３)),0)</f>
        <v>917</v>
      </c>
      <c r="V139" s="69"/>
    </row>
    <row r="140" spans="1:22" ht="16.5" customHeight="1" x14ac:dyDescent="0.3">
      <c r="A140" s="2">
        <v>15</v>
      </c>
      <c r="B140" s="2">
        <v>7820</v>
      </c>
      <c r="C140" s="60" t="s">
        <v>8464</v>
      </c>
      <c r="D140" s="1"/>
      <c r="E140" s="68"/>
      <c r="F140" s="70"/>
      <c r="G140" s="66"/>
      <c r="H140" s="57"/>
      <c r="I140" s="58"/>
      <c r="J140" s="85" t="s">
        <v>5895</v>
      </c>
      <c r="K140" s="64" t="s">
        <v>1</v>
      </c>
      <c r="L140" s="65">
        <v>1</v>
      </c>
      <c r="M140" s="67" t="s">
        <v>17932</v>
      </c>
      <c r="N140" s="68"/>
      <c r="O140" s="76"/>
      <c r="P140" s="70"/>
      <c r="Q140" s="67"/>
      <c r="R140" s="68"/>
      <c r="S140" s="76"/>
      <c r="T140" s="70"/>
      <c r="U140" s="228">
        <f>ROUND((ROUND((ROUND((_15_同援日３．０*_15・２人),0)*(1+_15・盲ろう)),0)*(1+_15・区３)),0)</f>
        <v>917</v>
      </c>
      <c r="V140" s="69"/>
    </row>
    <row r="141" spans="1:22" ht="16.5" customHeight="1" x14ac:dyDescent="0.3">
      <c r="A141" s="2">
        <v>15</v>
      </c>
      <c r="B141" s="2">
        <v>7821</v>
      </c>
      <c r="C141" s="60" t="s">
        <v>8463</v>
      </c>
      <c r="D141" s="1"/>
      <c r="E141" s="68"/>
      <c r="F141" s="70"/>
      <c r="G141" s="61" t="s">
        <v>17747</v>
      </c>
      <c r="H141" s="62"/>
      <c r="I141" s="63"/>
      <c r="J141" s="85"/>
      <c r="K141" s="64"/>
      <c r="L141" s="65"/>
      <c r="M141" s="67"/>
      <c r="N141" s="68" t="s">
        <v>1</v>
      </c>
      <c r="O141" s="76">
        <v>0.25</v>
      </c>
      <c r="P141" s="70" t="s">
        <v>422</v>
      </c>
      <c r="Q141" s="67"/>
      <c r="R141" s="68"/>
      <c r="S141" s="76"/>
      <c r="T141" s="70"/>
      <c r="U141" s="228">
        <f>ROUND((ROUND((ROUND((_15_同援日３．０*_15・基礎２),0)*(1+_15・盲ろう)),0)*(1+_15・区３)),0)</f>
        <v>826</v>
      </c>
      <c r="V141" s="69"/>
    </row>
    <row r="142" spans="1:22" ht="16.5" customHeight="1" x14ac:dyDescent="0.3">
      <c r="A142" s="2">
        <v>15</v>
      </c>
      <c r="B142" s="2">
        <v>7822</v>
      </c>
      <c r="C142" s="60" t="s">
        <v>8462</v>
      </c>
      <c r="D142" s="1"/>
      <c r="E142" s="68"/>
      <c r="F142" s="70"/>
      <c r="G142" s="66" t="s">
        <v>5896</v>
      </c>
      <c r="H142" s="57" t="s">
        <v>1</v>
      </c>
      <c r="I142" s="58">
        <v>0.9</v>
      </c>
      <c r="J142" s="85" t="s">
        <v>5895</v>
      </c>
      <c r="K142" s="64" t="s">
        <v>1</v>
      </c>
      <c r="L142" s="65">
        <v>1</v>
      </c>
      <c r="M142" s="66"/>
      <c r="N142" s="57"/>
      <c r="O142" s="58"/>
      <c r="P142" s="77"/>
      <c r="Q142" s="66"/>
      <c r="R142" s="57"/>
      <c r="S142" s="58"/>
      <c r="T142" s="77"/>
      <c r="U142" s="228">
        <f>ROUND((ROUND((ROUND((ROUND((_15_同援日３．０*_15・基礎２),0)*_15・２人),0)*(1+_15・盲ろう)),0)*(1+_15・区３)),0)</f>
        <v>826</v>
      </c>
      <c r="V142" s="69"/>
    </row>
    <row r="143" spans="1:22" ht="16.5" customHeight="1" x14ac:dyDescent="0.3">
      <c r="A143" s="2">
        <v>15</v>
      </c>
      <c r="B143" s="2">
        <v>7823</v>
      </c>
      <c r="C143" s="60" t="s">
        <v>8461</v>
      </c>
      <c r="D143" s="1"/>
      <c r="E143" s="68"/>
      <c r="F143" s="70"/>
      <c r="G143" s="61"/>
      <c r="H143" s="62"/>
      <c r="I143" s="63"/>
      <c r="J143" s="85"/>
      <c r="K143" s="64"/>
      <c r="L143" s="65"/>
      <c r="M143" s="61"/>
      <c r="N143" s="62"/>
      <c r="O143" s="63"/>
      <c r="P143" s="75"/>
      <c r="Q143" s="61"/>
      <c r="R143" s="62"/>
      <c r="S143" s="63"/>
      <c r="T143" s="75"/>
      <c r="U143" s="228">
        <f>ROUND((_15_同援日３．０*(1+_15・区４)),0)</f>
        <v>855</v>
      </c>
      <c r="V143" s="69"/>
    </row>
    <row r="144" spans="1:22" ht="16.5" customHeight="1" x14ac:dyDescent="0.3">
      <c r="A144" s="2">
        <v>15</v>
      </c>
      <c r="B144" s="2">
        <v>7824</v>
      </c>
      <c r="C144" s="60" t="s">
        <v>8460</v>
      </c>
      <c r="D144" s="1"/>
      <c r="E144" s="68"/>
      <c r="F144" s="70"/>
      <c r="G144" s="66"/>
      <c r="H144" s="57"/>
      <c r="I144" s="58"/>
      <c r="J144" s="85" t="s">
        <v>5895</v>
      </c>
      <c r="K144" s="64" t="s">
        <v>1</v>
      </c>
      <c r="L144" s="65">
        <v>1</v>
      </c>
      <c r="M144" s="67"/>
      <c r="N144" s="68"/>
      <c r="O144" s="76"/>
      <c r="P144" s="70"/>
      <c r="Q144" s="67"/>
      <c r="R144" s="68"/>
      <c r="S144" s="76"/>
      <c r="T144" s="70"/>
      <c r="U144" s="228">
        <f>ROUND((ROUND((_15_同援日３．０*_15・２人),0)*(1+_15・区４)),0)</f>
        <v>855</v>
      </c>
      <c r="V144" s="69"/>
    </row>
    <row r="145" spans="1:22" ht="16.5" customHeight="1" x14ac:dyDescent="0.3">
      <c r="A145" s="2">
        <v>15</v>
      </c>
      <c r="B145" s="2">
        <v>7825</v>
      </c>
      <c r="C145" s="60" t="s">
        <v>8459</v>
      </c>
      <c r="D145" s="1"/>
      <c r="E145" s="68"/>
      <c r="F145" s="70"/>
      <c r="G145" s="61" t="s">
        <v>17747</v>
      </c>
      <c r="H145" s="62"/>
      <c r="I145" s="63"/>
      <c r="J145" s="85"/>
      <c r="K145" s="64"/>
      <c r="L145" s="65"/>
      <c r="M145" s="67"/>
      <c r="N145" s="68"/>
      <c r="O145" s="76"/>
      <c r="P145" s="70"/>
      <c r="Q145" s="67" t="s">
        <v>17935</v>
      </c>
      <c r="R145" s="68"/>
      <c r="S145" s="76"/>
      <c r="T145" s="70"/>
      <c r="U145" s="228">
        <f>ROUND((ROUND((_15_同援日３．０*_15・基礎２),0)*(1+_15・区４)),0)</f>
        <v>770</v>
      </c>
      <c r="V145" s="69"/>
    </row>
    <row r="146" spans="1:22" ht="16.5" customHeight="1" x14ac:dyDescent="0.3">
      <c r="A146" s="2">
        <v>15</v>
      </c>
      <c r="B146" s="2">
        <v>7826</v>
      </c>
      <c r="C146" s="60" t="s">
        <v>8458</v>
      </c>
      <c r="D146" s="1"/>
      <c r="E146" s="68"/>
      <c r="F146" s="70"/>
      <c r="G146" s="66" t="s">
        <v>17420</v>
      </c>
      <c r="H146" s="57" t="s">
        <v>1</v>
      </c>
      <c r="I146" s="58">
        <v>0.9</v>
      </c>
      <c r="J146" s="85" t="s">
        <v>5895</v>
      </c>
      <c r="K146" s="64" t="s">
        <v>1</v>
      </c>
      <c r="L146" s="65">
        <v>1</v>
      </c>
      <c r="M146" s="66"/>
      <c r="N146" s="57"/>
      <c r="O146" s="58"/>
      <c r="P146" s="77"/>
      <c r="Q146" s="67" t="s">
        <v>17934</v>
      </c>
      <c r="R146" s="68"/>
      <c r="S146" s="76"/>
      <c r="T146" s="70"/>
      <c r="U146" s="228">
        <f>ROUND((ROUND((ROUND((_15_同援日３．０*_15・基礎２),0)*_15・２人),0)*(1+_15・区４)),0)</f>
        <v>770</v>
      </c>
      <c r="V146" s="69"/>
    </row>
    <row r="147" spans="1:22" ht="16.5" customHeight="1" x14ac:dyDescent="0.3">
      <c r="A147" s="2">
        <v>15</v>
      </c>
      <c r="B147" s="2">
        <v>7827</v>
      </c>
      <c r="C147" s="60" t="s">
        <v>8457</v>
      </c>
      <c r="D147" s="1"/>
      <c r="E147" s="68"/>
      <c r="F147" s="70"/>
      <c r="G147" s="61"/>
      <c r="H147" s="62"/>
      <c r="I147" s="63"/>
      <c r="J147" s="85"/>
      <c r="K147" s="64"/>
      <c r="L147" s="65"/>
      <c r="M147" s="61" t="s">
        <v>17933</v>
      </c>
      <c r="N147" s="62"/>
      <c r="O147" s="63"/>
      <c r="P147" s="75"/>
      <c r="Q147" s="67"/>
      <c r="R147" s="68" t="s">
        <v>1</v>
      </c>
      <c r="S147" s="76">
        <v>0.4</v>
      </c>
      <c r="T147" s="70" t="s">
        <v>422</v>
      </c>
      <c r="U147" s="228">
        <f>ROUND((ROUND((_15_同援日３．０*(1+_15・盲ろう)),0)*(1+_15・区４)),0)</f>
        <v>1070</v>
      </c>
      <c r="V147" s="69"/>
    </row>
    <row r="148" spans="1:22" ht="16.5" customHeight="1" x14ac:dyDescent="0.3">
      <c r="A148" s="2">
        <v>15</v>
      </c>
      <c r="B148" s="2">
        <v>7828</v>
      </c>
      <c r="C148" s="60" t="s">
        <v>8456</v>
      </c>
      <c r="D148" s="1"/>
      <c r="E148" s="68"/>
      <c r="F148" s="70"/>
      <c r="G148" s="66"/>
      <c r="H148" s="57"/>
      <c r="I148" s="58"/>
      <c r="J148" s="85" t="s">
        <v>5895</v>
      </c>
      <c r="K148" s="64" t="s">
        <v>1</v>
      </c>
      <c r="L148" s="65">
        <v>1</v>
      </c>
      <c r="M148" s="67" t="s">
        <v>17932</v>
      </c>
      <c r="N148" s="68"/>
      <c r="O148" s="76"/>
      <c r="P148" s="70"/>
      <c r="Q148" s="67"/>
      <c r="R148" s="68"/>
      <c r="S148" s="76"/>
      <c r="T148" s="70"/>
      <c r="U148" s="228">
        <f>ROUND((ROUND((ROUND((_15_同援日３．０*_15・２人),0)*(1+_15・盲ろう)),0)*(1+_15・区４)),0)</f>
        <v>1070</v>
      </c>
      <c r="V148" s="69"/>
    </row>
    <row r="149" spans="1:22" ht="16.5" customHeight="1" x14ac:dyDescent="0.3">
      <c r="A149" s="2">
        <v>15</v>
      </c>
      <c r="B149" s="2">
        <v>7829</v>
      </c>
      <c r="C149" s="60" t="s">
        <v>8455</v>
      </c>
      <c r="D149" s="1"/>
      <c r="E149" s="68"/>
      <c r="F149" s="70"/>
      <c r="G149" s="61" t="s">
        <v>17747</v>
      </c>
      <c r="H149" s="62"/>
      <c r="I149" s="63"/>
      <c r="J149" s="85"/>
      <c r="K149" s="64"/>
      <c r="L149" s="65"/>
      <c r="M149" s="67"/>
      <c r="N149" s="68" t="s">
        <v>1</v>
      </c>
      <c r="O149" s="76">
        <v>0.25</v>
      </c>
      <c r="P149" s="70" t="s">
        <v>422</v>
      </c>
      <c r="Q149" s="67"/>
      <c r="R149" s="68"/>
      <c r="S149" s="76"/>
      <c r="T149" s="70"/>
      <c r="U149" s="228">
        <f>ROUND((ROUND((ROUND((_15_同援日３．０*_15・基礎２),0)*(1+_15・盲ろう)),0)*(1+_15・区４)),0)</f>
        <v>963</v>
      </c>
      <c r="V149" s="69"/>
    </row>
    <row r="150" spans="1:22" ht="16.5" customHeight="1" x14ac:dyDescent="0.3">
      <c r="A150" s="2">
        <v>15</v>
      </c>
      <c r="B150" s="2">
        <v>7830</v>
      </c>
      <c r="C150" s="60" t="s">
        <v>8454</v>
      </c>
      <c r="D150" s="81"/>
      <c r="E150" s="57"/>
      <c r="F150" s="77"/>
      <c r="G150" s="66" t="s">
        <v>17420</v>
      </c>
      <c r="H150" s="57" t="s">
        <v>1</v>
      </c>
      <c r="I150" s="58">
        <v>0.9</v>
      </c>
      <c r="J150" s="85" t="s">
        <v>5895</v>
      </c>
      <c r="K150" s="64" t="s">
        <v>1</v>
      </c>
      <c r="L150" s="65">
        <v>1</v>
      </c>
      <c r="M150" s="66"/>
      <c r="N150" s="57"/>
      <c r="O150" s="58"/>
      <c r="P150" s="77"/>
      <c r="Q150" s="66"/>
      <c r="R150" s="57"/>
      <c r="S150" s="58"/>
      <c r="T150" s="77"/>
      <c r="U150" s="228">
        <f>ROUND((ROUND((ROUND((ROUND((_15_同援日３．０*_15・基礎２),0)*_15・２人),0)*(1+_15・盲ろう)),0)*(1+_15・区４)),0)</f>
        <v>963</v>
      </c>
      <c r="V150" s="69"/>
    </row>
    <row r="151" spans="1:22" ht="16.5" customHeight="1" x14ac:dyDescent="0.3">
      <c r="A151" s="2">
        <v>15</v>
      </c>
      <c r="B151" s="2">
        <v>7831</v>
      </c>
      <c r="C151" s="60" t="s">
        <v>8453</v>
      </c>
      <c r="D151" s="233" t="s">
        <v>17959</v>
      </c>
      <c r="E151" s="62"/>
      <c r="F151" s="75"/>
      <c r="G151" s="61"/>
      <c r="H151" s="62"/>
      <c r="I151" s="63"/>
      <c r="J151" s="85"/>
      <c r="K151" s="64"/>
      <c r="L151" s="65"/>
      <c r="M151" s="61"/>
      <c r="N151" s="62"/>
      <c r="O151" s="63"/>
      <c r="P151" s="75"/>
      <c r="Q151" s="61"/>
      <c r="R151" s="62"/>
      <c r="S151" s="63"/>
      <c r="T151" s="75"/>
      <c r="U151" s="228">
        <f>_15_同援日３．５</f>
        <v>674</v>
      </c>
      <c r="V151" s="69"/>
    </row>
    <row r="152" spans="1:22" ht="16.5" customHeight="1" x14ac:dyDescent="0.3">
      <c r="A152" s="2">
        <v>15</v>
      </c>
      <c r="B152" s="2">
        <v>7832</v>
      </c>
      <c r="C152" s="60" t="s">
        <v>8452</v>
      </c>
      <c r="D152" s="1" t="s">
        <v>17767</v>
      </c>
      <c r="E152" s="68"/>
      <c r="F152" s="70"/>
      <c r="G152" s="66"/>
      <c r="H152" s="57"/>
      <c r="I152" s="58"/>
      <c r="J152" s="85" t="s">
        <v>5895</v>
      </c>
      <c r="K152" s="64" t="s">
        <v>1</v>
      </c>
      <c r="L152" s="65">
        <v>1</v>
      </c>
      <c r="M152" s="67"/>
      <c r="N152" s="68"/>
      <c r="O152" s="76"/>
      <c r="P152" s="70"/>
      <c r="Q152" s="67"/>
      <c r="R152" s="68"/>
      <c r="S152" s="76"/>
      <c r="T152" s="70"/>
      <c r="U152" s="228">
        <f>ROUND((_15_同援日３．５*_15・２人),0)</f>
        <v>674</v>
      </c>
      <c r="V152" s="69"/>
    </row>
    <row r="153" spans="1:22" ht="16.5" customHeight="1" x14ac:dyDescent="0.3">
      <c r="A153" s="2">
        <v>15</v>
      </c>
      <c r="B153" s="2">
        <v>7833</v>
      </c>
      <c r="C153" s="60" t="s">
        <v>8451</v>
      </c>
      <c r="D153" s="1" t="s">
        <v>8450</v>
      </c>
      <c r="E153" s="68"/>
      <c r="F153" s="70"/>
      <c r="G153" s="61" t="s">
        <v>17747</v>
      </c>
      <c r="H153" s="62"/>
      <c r="I153" s="63"/>
      <c r="J153" s="85"/>
      <c r="K153" s="64"/>
      <c r="L153" s="65"/>
      <c r="M153" s="67"/>
      <c r="N153" s="68"/>
      <c r="O153" s="76"/>
      <c r="P153" s="70"/>
      <c r="Q153" s="67"/>
      <c r="R153" s="68"/>
      <c r="S153" s="76"/>
      <c r="T153" s="70"/>
      <c r="U153" s="228">
        <f>ROUND((_15_同援日３．５*_15・基礎２),0)</f>
        <v>607</v>
      </c>
      <c r="V153" s="69"/>
    </row>
    <row r="154" spans="1:22" ht="16.5" customHeight="1" x14ac:dyDescent="0.3">
      <c r="A154" s="2">
        <v>15</v>
      </c>
      <c r="B154" s="2">
        <v>7834</v>
      </c>
      <c r="C154" s="60" t="s">
        <v>8449</v>
      </c>
      <c r="D154" s="1"/>
      <c r="E154" s="227">
        <v>674</v>
      </c>
      <c r="F154" s="70" t="s">
        <v>0</v>
      </c>
      <c r="G154" s="66" t="s">
        <v>17420</v>
      </c>
      <c r="H154" s="57" t="s">
        <v>1</v>
      </c>
      <c r="I154" s="58">
        <v>0.9</v>
      </c>
      <c r="J154" s="85" t="s">
        <v>5895</v>
      </c>
      <c r="K154" s="64" t="s">
        <v>1</v>
      </c>
      <c r="L154" s="65">
        <v>1</v>
      </c>
      <c r="M154" s="66"/>
      <c r="N154" s="57"/>
      <c r="O154" s="58"/>
      <c r="P154" s="77"/>
      <c r="Q154" s="67"/>
      <c r="R154" s="68"/>
      <c r="S154" s="76"/>
      <c r="T154" s="70"/>
      <c r="U154" s="228">
        <f>ROUND((ROUND((_15_同援日３．５*_15・基礎２),0)*_15・２人),0)</f>
        <v>607</v>
      </c>
      <c r="V154" s="69"/>
    </row>
    <row r="155" spans="1:22" ht="16.5" customHeight="1" x14ac:dyDescent="0.3">
      <c r="A155" s="2">
        <v>15</v>
      </c>
      <c r="B155" s="2">
        <v>7835</v>
      </c>
      <c r="C155" s="60" t="s">
        <v>8448</v>
      </c>
      <c r="D155" s="1"/>
      <c r="E155" s="68"/>
      <c r="F155" s="70"/>
      <c r="G155" s="61"/>
      <c r="H155" s="62"/>
      <c r="I155" s="63"/>
      <c r="J155" s="85"/>
      <c r="K155" s="64"/>
      <c r="L155" s="65"/>
      <c r="M155" s="61" t="s">
        <v>17933</v>
      </c>
      <c r="N155" s="62"/>
      <c r="O155" s="63"/>
      <c r="P155" s="75"/>
      <c r="Q155" s="67"/>
      <c r="R155" s="68"/>
      <c r="S155" s="76"/>
      <c r="T155" s="70"/>
      <c r="U155" s="228">
        <f>ROUND((_15_同援日３．５*(1+_15・盲ろう)),0)</f>
        <v>843</v>
      </c>
      <c r="V155" s="69"/>
    </row>
    <row r="156" spans="1:22" ht="16.5" customHeight="1" x14ac:dyDescent="0.3">
      <c r="A156" s="2">
        <v>15</v>
      </c>
      <c r="B156" s="2">
        <v>7836</v>
      </c>
      <c r="C156" s="60" t="s">
        <v>8447</v>
      </c>
      <c r="D156" s="1"/>
      <c r="E156" s="68"/>
      <c r="F156" s="70"/>
      <c r="G156" s="66"/>
      <c r="H156" s="57"/>
      <c r="I156" s="58"/>
      <c r="J156" s="85" t="s">
        <v>5895</v>
      </c>
      <c r="K156" s="64" t="s">
        <v>1</v>
      </c>
      <c r="L156" s="65">
        <v>1</v>
      </c>
      <c r="M156" s="67" t="s">
        <v>17932</v>
      </c>
      <c r="N156" s="68"/>
      <c r="O156" s="76"/>
      <c r="P156" s="70"/>
      <c r="Q156" s="67"/>
      <c r="R156" s="68"/>
      <c r="S156" s="76"/>
      <c r="T156" s="70"/>
      <c r="U156" s="228">
        <f>ROUND((ROUND((_15_同援日３．５*_15・２人),0)*(1+_15・盲ろう)),0)</f>
        <v>843</v>
      </c>
      <c r="V156" s="69"/>
    </row>
    <row r="157" spans="1:22" ht="16.5" customHeight="1" x14ac:dyDescent="0.3">
      <c r="A157" s="2">
        <v>15</v>
      </c>
      <c r="B157" s="2">
        <v>7837</v>
      </c>
      <c r="C157" s="60" t="s">
        <v>8446</v>
      </c>
      <c r="D157" s="1"/>
      <c r="E157" s="68"/>
      <c r="F157" s="70"/>
      <c r="G157" s="61" t="s">
        <v>17747</v>
      </c>
      <c r="H157" s="62"/>
      <c r="I157" s="63"/>
      <c r="J157" s="85"/>
      <c r="K157" s="64"/>
      <c r="L157" s="65"/>
      <c r="M157" s="67"/>
      <c r="N157" s="68" t="s">
        <v>1</v>
      </c>
      <c r="O157" s="76">
        <v>0.25</v>
      </c>
      <c r="P157" s="70" t="s">
        <v>422</v>
      </c>
      <c r="Q157" s="67"/>
      <c r="R157" s="68"/>
      <c r="S157" s="76"/>
      <c r="T157" s="70"/>
      <c r="U157" s="228">
        <f>ROUND((ROUND((_15_同援日３．５*_15・基礎２),0)*(1+_15・盲ろう)),0)</f>
        <v>759</v>
      </c>
      <c r="V157" s="69"/>
    </row>
    <row r="158" spans="1:22" ht="16.5" customHeight="1" x14ac:dyDescent="0.3">
      <c r="A158" s="2">
        <v>15</v>
      </c>
      <c r="B158" s="2">
        <v>7838</v>
      </c>
      <c r="C158" s="60" t="s">
        <v>8445</v>
      </c>
      <c r="D158" s="1"/>
      <c r="E158" s="68"/>
      <c r="F158" s="70"/>
      <c r="G158" s="66" t="s">
        <v>17420</v>
      </c>
      <c r="H158" s="57" t="s">
        <v>1</v>
      </c>
      <c r="I158" s="58">
        <v>0.9</v>
      </c>
      <c r="J158" s="85" t="s">
        <v>5895</v>
      </c>
      <c r="K158" s="64" t="s">
        <v>1</v>
      </c>
      <c r="L158" s="65">
        <v>1</v>
      </c>
      <c r="M158" s="66"/>
      <c r="N158" s="57"/>
      <c r="O158" s="58"/>
      <c r="P158" s="77"/>
      <c r="Q158" s="66"/>
      <c r="R158" s="57"/>
      <c r="S158" s="58"/>
      <c r="T158" s="77"/>
      <c r="U158" s="228">
        <f>ROUND((ROUND((ROUND((_15_同援日３．５*_15・基礎２),0)*_15・２人),0)*(1+_15・盲ろう)),0)</f>
        <v>759</v>
      </c>
      <c r="V158" s="69"/>
    </row>
    <row r="159" spans="1:22" ht="16.5" customHeight="1" x14ac:dyDescent="0.3">
      <c r="A159" s="2">
        <v>15</v>
      </c>
      <c r="B159" s="2">
        <v>7839</v>
      </c>
      <c r="C159" s="60" t="s">
        <v>8444</v>
      </c>
      <c r="D159" s="1"/>
      <c r="E159" s="68"/>
      <c r="F159" s="70"/>
      <c r="G159" s="61"/>
      <c r="H159" s="62"/>
      <c r="I159" s="63"/>
      <c r="J159" s="85"/>
      <c r="K159" s="64"/>
      <c r="L159" s="65"/>
      <c r="M159" s="61"/>
      <c r="N159" s="62"/>
      <c r="O159" s="63"/>
      <c r="P159" s="75"/>
      <c r="Q159" s="61"/>
      <c r="R159" s="62"/>
      <c r="S159" s="63"/>
      <c r="T159" s="75"/>
      <c r="U159" s="228">
        <f>ROUND((_15_同援日３．５*(1+_15・区３)),0)</f>
        <v>809</v>
      </c>
      <c r="V159" s="69"/>
    </row>
    <row r="160" spans="1:22" ht="16.5" customHeight="1" x14ac:dyDescent="0.3">
      <c r="A160" s="2">
        <v>15</v>
      </c>
      <c r="B160" s="2">
        <v>7840</v>
      </c>
      <c r="C160" s="60" t="s">
        <v>8443</v>
      </c>
      <c r="D160" s="1"/>
      <c r="E160" s="68"/>
      <c r="F160" s="70"/>
      <c r="G160" s="66"/>
      <c r="H160" s="57"/>
      <c r="I160" s="58"/>
      <c r="J160" s="85" t="s">
        <v>5895</v>
      </c>
      <c r="K160" s="64" t="s">
        <v>1</v>
      </c>
      <c r="L160" s="65">
        <v>1</v>
      </c>
      <c r="M160" s="67"/>
      <c r="N160" s="68"/>
      <c r="O160" s="76"/>
      <c r="P160" s="70"/>
      <c r="Q160" s="67"/>
      <c r="R160" s="68"/>
      <c r="S160" s="76"/>
      <c r="T160" s="70"/>
      <c r="U160" s="228">
        <f>ROUND((ROUND((_15_同援日３．５*_15・２人),0)*(1+_15・区３)),0)</f>
        <v>809</v>
      </c>
      <c r="V160" s="69"/>
    </row>
    <row r="161" spans="1:22" ht="16.5" customHeight="1" x14ac:dyDescent="0.3">
      <c r="A161" s="2">
        <v>15</v>
      </c>
      <c r="B161" s="2">
        <v>7841</v>
      </c>
      <c r="C161" s="60" t="s">
        <v>8442</v>
      </c>
      <c r="D161" s="1"/>
      <c r="E161" s="68"/>
      <c r="F161" s="70"/>
      <c r="G161" s="61" t="s">
        <v>17747</v>
      </c>
      <c r="H161" s="62"/>
      <c r="I161" s="63"/>
      <c r="J161" s="85"/>
      <c r="K161" s="64"/>
      <c r="L161" s="65"/>
      <c r="M161" s="67"/>
      <c r="N161" s="68"/>
      <c r="O161" s="76"/>
      <c r="P161" s="70"/>
      <c r="Q161" s="67" t="s">
        <v>17936</v>
      </c>
      <c r="R161" s="68"/>
      <c r="S161" s="76"/>
      <c r="T161" s="70"/>
      <c r="U161" s="228">
        <f>ROUND((ROUND((_15_同援日３．５*_15・基礎２),0)*(1+_15・区３)),0)</f>
        <v>728</v>
      </c>
      <c r="V161" s="69"/>
    </row>
    <row r="162" spans="1:22" ht="16.5" customHeight="1" x14ac:dyDescent="0.3">
      <c r="A162" s="2">
        <v>15</v>
      </c>
      <c r="B162" s="2">
        <v>7842</v>
      </c>
      <c r="C162" s="60" t="s">
        <v>8441</v>
      </c>
      <c r="D162" s="1"/>
      <c r="E162" s="68"/>
      <c r="F162" s="70"/>
      <c r="G162" s="66" t="s">
        <v>17420</v>
      </c>
      <c r="H162" s="57" t="s">
        <v>1</v>
      </c>
      <c r="I162" s="58">
        <v>0.9</v>
      </c>
      <c r="J162" s="85" t="s">
        <v>5895</v>
      </c>
      <c r="K162" s="64" t="s">
        <v>1</v>
      </c>
      <c r="L162" s="65">
        <v>1</v>
      </c>
      <c r="M162" s="66"/>
      <c r="N162" s="57"/>
      <c r="O162" s="58"/>
      <c r="P162" s="77"/>
      <c r="Q162" s="67" t="s">
        <v>17934</v>
      </c>
      <c r="R162" s="68"/>
      <c r="S162" s="76"/>
      <c r="T162" s="70"/>
      <c r="U162" s="228">
        <f>ROUND((ROUND((ROUND((_15_同援日３．５*_15・基礎２),0)*_15・２人),0)*(1+_15・区３)),0)</f>
        <v>728</v>
      </c>
      <c r="V162" s="69"/>
    </row>
    <row r="163" spans="1:22" ht="16.5" customHeight="1" x14ac:dyDescent="0.3">
      <c r="A163" s="2">
        <v>15</v>
      </c>
      <c r="B163" s="2">
        <v>7843</v>
      </c>
      <c r="C163" s="60" t="s">
        <v>8440</v>
      </c>
      <c r="D163" s="1"/>
      <c r="E163" s="68"/>
      <c r="F163" s="70"/>
      <c r="G163" s="61"/>
      <c r="H163" s="62"/>
      <c r="I163" s="63"/>
      <c r="J163" s="85"/>
      <c r="K163" s="64"/>
      <c r="L163" s="65"/>
      <c r="M163" s="61" t="s">
        <v>17933</v>
      </c>
      <c r="N163" s="62"/>
      <c r="O163" s="63"/>
      <c r="P163" s="75"/>
      <c r="Q163" s="67"/>
      <c r="R163" s="68" t="s">
        <v>1</v>
      </c>
      <c r="S163" s="76">
        <v>0.2</v>
      </c>
      <c r="T163" s="70" t="s">
        <v>422</v>
      </c>
      <c r="U163" s="228">
        <f>ROUND((ROUND((_15_同援日３．５*(1+_15・盲ろう)),0)*(1+_15・区３)),0)</f>
        <v>1012</v>
      </c>
      <c r="V163" s="69"/>
    </row>
    <row r="164" spans="1:22" ht="16.5" customHeight="1" x14ac:dyDescent="0.3">
      <c r="A164" s="2">
        <v>15</v>
      </c>
      <c r="B164" s="2">
        <v>7844</v>
      </c>
      <c r="C164" s="60" t="s">
        <v>8439</v>
      </c>
      <c r="D164" s="1"/>
      <c r="E164" s="68"/>
      <c r="F164" s="70"/>
      <c r="G164" s="66"/>
      <c r="H164" s="57"/>
      <c r="I164" s="58"/>
      <c r="J164" s="85" t="s">
        <v>5895</v>
      </c>
      <c r="K164" s="64" t="s">
        <v>1</v>
      </c>
      <c r="L164" s="65">
        <v>1</v>
      </c>
      <c r="M164" s="67" t="s">
        <v>17932</v>
      </c>
      <c r="N164" s="68"/>
      <c r="O164" s="76"/>
      <c r="P164" s="70"/>
      <c r="Q164" s="67"/>
      <c r="R164" s="68"/>
      <c r="S164" s="76"/>
      <c r="T164" s="70"/>
      <c r="U164" s="228">
        <f>ROUND((ROUND((ROUND((_15_同援日３．５*_15・２人),0)*(1+_15・盲ろう)),0)*(1+_15・区３)),0)</f>
        <v>1012</v>
      </c>
      <c r="V164" s="69"/>
    </row>
    <row r="165" spans="1:22" ht="16.5" customHeight="1" x14ac:dyDescent="0.3">
      <c r="A165" s="2">
        <v>15</v>
      </c>
      <c r="B165" s="2">
        <v>7845</v>
      </c>
      <c r="C165" s="60" t="s">
        <v>8438</v>
      </c>
      <c r="D165" s="1"/>
      <c r="E165" s="68"/>
      <c r="F165" s="70"/>
      <c r="G165" s="61" t="s">
        <v>17747</v>
      </c>
      <c r="H165" s="62"/>
      <c r="I165" s="63"/>
      <c r="J165" s="85"/>
      <c r="K165" s="64"/>
      <c r="L165" s="65"/>
      <c r="M165" s="67"/>
      <c r="N165" s="68" t="s">
        <v>1</v>
      </c>
      <c r="O165" s="76">
        <v>0.25</v>
      </c>
      <c r="P165" s="70" t="s">
        <v>422</v>
      </c>
      <c r="Q165" s="67"/>
      <c r="R165" s="68"/>
      <c r="S165" s="76"/>
      <c r="T165" s="70"/>
      <c r="U165" s="228">
        <f>ROUND((ROUND((ROUND((_15_同援日３．５*_15・基礎２),0)*(1+_15・盲ろう)),0)*(1+_15・区３)),0)</f>
        <v>911</v>
      </c>
      <c r="V165" s="69"/>
    </row>
    <row r="166" spans="1:22" ht="16.5" customHeight="1" x14ac:dyDescent="0.3">
      <c r="A166" s="2">
        <v>15</v>
      </c>
      <c r="B166" s="2">
        <v>7846</v>
      </c>
      <c r="C166" s="60" t="s">
        <v>8437</v>
      </c>
      <c r="D166" s="1"/>
      <c r="E166" s="68"/>
      <c r="F166" s="70"/>
      <c r="G166" s="66" t="s">
        <v>17420</v>
      </c>
      <c r="H166" s="57" t="s">
        <v>1</v>
      </c>
      <c r="I166" s="58">
        <v>0.9</v>
      </c>
      <c r="J166" s="85" t="s">
        <v>5895</v>
      </c>
      <c r="K166" s="64" t="s">
        <v>1</v>
      </c>
      <c r="L166" s="65">
        <v>1</v>
      </c>
      <c r="M166" s="66"/>
      <c r="N166" s="57"/>
      <c r="O166" s="58"/>
      <c r="P166" s="77"/>
      <c r="Q166" s="66"/>
      <c r="R166" s="57"/>
      <c r="S166" s="58"/>
      <c r="T166" s="77"/>
      <c r="U166" s="228">
        <f>ROUND((ROUND((ROUND((ROUND((_15_同援日３．５*_15・基礎２),0)*_15・２人),0)*(1+_15・盲ろう)),0)*(1+_15・区３)),0)</f>
        <v>911</v>
      </c>
      <c r="V166" s="69"/>
    </row>
    <row r="167" spans="1:22" ht="16.5" customHeight="1" x14ac:dyDescent="0.3">
      <c r="A167" s="2">
        <v>15</v>
      </c>
      <c r="B167" s="2">
        <v>7847</v>
      </c>
      <c r="C167" s="60" t="s">
        <v>8436</v>
      </c>
      <c r="D167" s="1"/>
      <c r="E167" s="68"/>
      <c r="F167" s="70"/>
      <c r="G167" s="61"/>
      <c r="H167" s="62"/>
      <c r="I167" s="63"/>
      <c r="J167" s="85"/>
      <c r="K167" s="64"/>
      <c r="L167" s="65"/>
      <c r="M167" s="61"/>
      <c r="N167" s="62"/>
      <c r="O167" s="63"/>
      <c r="P167" s="75"/>
      <c r="Q167" s="61"/>
      <c r="R167" s="62"/>
      <c r="S167" s="63"/>
      <c r="T167" s="75"/>
      <c r="U167" s="228">
        <f>ROUND((_15_同援日３．５*(1+_15・区４)),0)</f>
        <v>944</v>
      </c>
      <c r="V167" s="69"/>
    </row>
    <row r="168" spans="1:22" ht="16.5" customHeight="1" x14ac:dyDescent="0.3">
      <c r="A168" s="2">
        <v>15</v>
      </c>
      <c r="B168" s="2">
        <v>7848</v>
      </c>
      <c r="C168" s="60" t="s">
        <v>8435</v>
      </c>
      <c r="D168" s="1"/>
      <c r="E168" s="68"/>
      <c r="F168" s="70"/>
      <c r="G168" s="66"/>
      <c r="H168" s="57"/>
      <c r="I168" s="58"/>
      <c r="J168" s="85" t="s">
        <v>5895</v>
      </c>
      <c r="K168" s="64" t="s">
        <v>1</v>
      </c>
      <c r="L168" s="65">
        <v>1</v>
      </c>
      <c r="M168" s="67"/>
      <c r="N168" s="68"/>
      <c r="O168" s="76"/>
      <c r="P168" s="70"/>
      <c r="Q168" s="67"/>
      <c r="R168" s="68"/>
      <c r="S168" s="76"/>
      <c r="T168" s="70"/>
      <c r="U168" s="228">
        <f>ROUND((ROUND((_15_同援日３．５*_15・２人),0)*(1+_15・区４)),0)</f>
        <v>944</v>
      </c>
      <c r="V168" s="69"/>
    </row>
    <row r="169" spans="1:22" ht="16.5" customHeight="1" x14ac:dyDescent="0.3">
      <c r="A169" s="2">
        <v>15</v>
      </c>
      <c r="B169" s="2">
        <v>7849</v>
      </c>
      <c r="C169" s="60" t="s">
        <v>8434</v>
      </c>
      <c r="D169" s="1"/>
      <c r="E169" s="68"/>
      <c r="F169" s="70"/>
      <c r="G169" s="61" t="s">
        <v>17747</v>
      </c>
      <c r="H169" s="62"/>
      <c r="I169" s="63"/>
      <c r="J169" s="85"/>
      <c r="K169" s="64"/>
      <c r="L169" s="65"/>
      <c r="M169" s="67"/>
      <c r="N169" s="68"/>
      <c r="O169" s="76"/>
      <c r="P169" s="70"/>
      <c r="Q169" s="67" t="s">
        <v>17935</v>
      </c>
      <c r="R169" s="68"/>
      <c r="S169" s="76"/>
      <c r="T169" s="70"/>
      <c r="U169" s="228">
        <f>ROUND((ROUND((_15_同援日３．５*_15・基礎２),0)*(1+_15・区４)),0)</f>
        <v>850</v>
      </c>
      <c r="V169" s="69"/>
    </row>
    <row r="170" spans="1:22" ht="16.5" customHeight="1" x14ac:dyDescent="0.3">
      <c r="A170" s="2">
        <v>15</v>
      </c>
      <c r="B170" s="2">
        <v>7850</v>
      </c>
      <c r="C170" s="60" t="s">
        <v>8433</v>
      </c>
      <c r="D170" s="1"/>
      <c r="E170" s="68"/>
      <c r="F170" s="70"/>
      <c r="G170" s="66" t="s">
        <v>17420</v>
      </c>
      <c r="H170" s="57" t="s">
        <v>1</v>
      </c>
      <c r="I170" s="58">
        <v>0.9</v>
      </c>
      <c r="J170" s="85" t="s">
        <v>5895</v>
      </c>
      <c r="K170" s="64" t="s">
        <v>1</v>
      </c>
      <c r="L170" s="65">
        <v>1</v>
      </c>
      <c r="M170" s="66"/>
      <c r="N170" s="57"/>
      <c r="O170" s="58"/>
      <c r="P170" s="77"/>
      <c r="Q170" s="67" t="s">
        <v>17934</v>
      </c>
      <c r="R170" s="68"/>
      <c r="S170" s="76"/>
      <c r="T170" s="70"/>
      <c r="U170" s="228">
        <f>ROUND((ROUND((ROUND((_15_同援日３．５*_15・基礎２),0)*_15・２人),0)*(1+_15・区４)),0)</f>
        <v>850</v>
      </c>
      <c r="V170" s="69"/>
    </row>
    <row r="171" spans="1:22" ht="16.5" customHeight="1" x14ac:dyDescent="0.3">
      <c r="A171" s="2">
        <v>15</v>
      </c>
      <c r="B171" s="2">
        <v>7851</v>
      </c>
      <c r="C171" s="60" t="s">
        <v>8432</v>
      </c>
      <c r="D171" s="1"/>
      <c r="E171" s="68"/>
      <c r="F171" s="70"/>
      <c r="G171" s="61"/>
      <c r="H171" s="62"/>
      <c r="I171" s="63"/>
      <c r="J171" s="85"/>
      <c r="K171" s="64"/>
      <c r="L171" s="65"/>
      <c r="M171" s="61" t="s">
        <v>17933</v>
      </c>
      <c r="N171" s="62"/>
      <c r="O171" s="63"/>
      <c r="P171" s="75"/>
      <c r="Q171" s="67"/>
      <c r="R171" s="68" t="s">
        <v>1</v>
      </c>
      <c r="S171" s="76">
        <v>0.4</v>
      </c>
      <c r="T171" s="70" t="s">
        <v>422</v>
      </c>
      <c r="U171" s="228">
        <f>ROUND((ROUND((_15_同援日３．５*(1+_15・盲ろう)),0)*(1+_15・区４)),0)</f>
        <v>1180</v>
      </c>
      <c r="V171" s="69"/>
    </row>
    <row r="172" spans="1:22" ht="16.5" customHeight="1" x14ac:dyDescent="0.3">
      <c r="A172" s="2">
        <v>15</v>
      </c>
      <c r="B172" s="2">
        <v>7852</v>
      </c>
      <c r="C172" s="60" t="s">
        <v>8431</v>
      </c>
      <c r="D172" s="1"/>
      <c r="E172" s="68"/>
      <c r="F172" s="70"/>
      <c r="G172" s="66"/>
      <c r="H172" s="57"/>
      <c r="I172" s="58"/>
      <c r="J172" s="85" t="s">
        <v>5895</v>
      </c>
      <c r="K172" s="64" t="s">
        <v>1</v>
      </c>
      <c r="L172" s="65">
        <v>1</v>
      </c>
      <c r="M172" s="67" t="s">
        <v>17932</v>
      </c>
      <c r="N172" s="68"/>
      <c r="O172" s="76"/>
      <c r="P172" s="70"/>
      <c r="Q172" s="67"/>
      <c r="R172" s="68"/>
      <c r="S172" s="76"/>
      <c r="T172" s="70"/>
      <c r="U172" s="228">
        <f>ROUND((ROUND((ROUND((_15_同援日３．５*_15・２人),0)*(1+_15・盲ろう)),0)*(1+_15・区４)),0)</f>
        <v>1180</v>
      </c>
      <c r="V172" s="69"/>
    </row>
    <row r="173" spans="1:22" ht="16.5" customHeight="1" x14ac:dyDescent="0.3">
      <c r="A173" s="2">
        <v>15</v>
      </c>
      <c r="B173" s="2">
        <v>7853</v>
      </c>
      <c r="C173" s="60" t="s">
        <v>8430</v>
      </c>
      <c r="D173" s="1"/>
      <c r="E173" s="68"/>
      <c r="F173" s="70"/>
      <c r="G173" s="61" t="s">
        <v>17747</v>
      </c>
      <c r="H173" s="62"/>
      <c r="I173" s="63"/>
      <c r="J173" s="85"/>
      <c r="K173" s="64"/>
      <c r="L173" s="65"/>
      <c r="M173" s="67"/>
      <c r="N173" s="68" t="s">
        <v>1</v>
      </c>
      <c r="O173" s="76">
        <v>0.25</v>
      </c>
      <c r="P173" s="70" t="s">
        <v>422</v>
      </c>
      <c r="Q173" s="67"/>
      <c r="R173" s="68"/>
      <c r="S173" s="76"/>
      <c r="T173" s="70"/>
      <c r="U173" s="228">
        <f>ROUND((ROUND((ROUND((_15_同援日３．５*_15・基礎２),0)*(1+_15・盲ろう)),0)*(1+_15・区４)),0)</f>
        <v>1063</v>
      </c>
      <c r="V173" s="69"/>
    </row>
    <row r="174" spans="1:22" ht="16.5" customHeight="1" x14ac:dyDescent="0.3">
      <c r="A174" s="2">
        <v>15</v>
      </c>
      <c r="B174" s="2">
        <v>7854</v>
      </c>
      <c r="C174" s="60" t="s">
        <v>8429</v>
      </c>
      <c r="D174" s="81"/>
      <c r="E174" s="57"/>
      <c r="F174" s="77"/>
      <c r="G174" s="66" t="s">
        <v>17420</v>
      </c>
      <c r="H174" s="57" t="s">
        <v>1</v>
      </c>
      <c r="I174" s="58">
        <v>0.9</v>
      </c>
      <c r="J174" s="85" t="s">
        <v>5895</v>
      </c>
      <c r="K174" s="64" t="s">
        <v>1</v>
      </c>
      <c r="L174" s="65">
        <v>1</v>
      </c>
      <c r="M174" s="66"/>
      <c r="N174" s="57"/>
      <c r="O174" s="58"/>
      <c r="P174" s="77"/>
      <c r="Q174" s="66"/>
      <c r="R174" s="57"/>
      <c r="S174" s="58"/>
      <c r="T174" s="77"/>
      <c r="U174" s="228">
        <f>ROUND((ROUND((ROUND((ROUND((_15_同援日３．５*_15・基礎２),0)*_15・２人),0)*(1+_15・盲ろう)),0)*(1+_15・区４)),0)</f>
        <v>1063</v>
      </c>
      <c r="V174" s="69"/>
    </row>
    <row r="175" spans="1:22" ht="16.5" customHeight="1" x14ac:dyDescent="0.3">
      <c r="A175" s="2">
        <v>15</v>
      </c>
      <c r="B175" s="2">
        <v>7855</v>
      </c>
      <c r="C175" s="60" t="s">
        <v>8428</v>
      </c>
      <c r="D175" s="233" t="s">
        <v>17958</v>
      </c>
      <c r="E175" s="62"/>
      <c r="F175" s="75"/>
      <c r="G175" s="61"/>
      <c r="H175" s="62"/>
      <c r="I175" s="63"/>
      <c r="J175" s="85"/>
      <c r="K175" s="64"/>
      <c r="L175" s="65"/>
      <c r="M175" s="61"/>
      <c r="N175" s="62"/>
      <c r="O175" s="63"/>
      <c r="P175" s="75"/>
      <c r="Q175" s="61"/>
      <c r="R175" s="62"/>
      <c r="S175" s="63"/>
      <c r="T175" s="75"/>
      <c r="U175" s="228">
        <f>_15_同援日４．０</f>
        <v>737</v>
      </c>
      <c r="V175" s="69"/>
    </row>
    <row r="176" spans="1:22" ht="16.5" customHeight="1" x14ac:dyDescent="0.3">
      <c r="A176" s="2">
        <v>15</v>
      </c>
      <c r="B176" s="2">
        <v>7856</v>
      </c>
      <c r="C176" s="60" t="s">
        <v>8427</v>
      </c>
      <c r="D176" s="1" t="s">
        <v>17764</v>
      </c>
      <c r="E176" s="68"/>
      <c r="F176" s="70"/>
      <c r="G176" s="66"/>
      <c r="H176" s="57"/>
      <c r="I176" s="58"/>
      <c r="J176" s="85" t="s">
        <v>5895</v>
      </c>
      <c r="K176" s="64" t="s">
        <v>1</v>
      </c>
      <c r="L176" s="65">
        <v>1</v>
      </c>
      <c r="M176" s="67"/>
      <c r="N176" s="68"/>
      <c r="O176" s="76"/>
      <c r="P176" s="70"/>
      <c r="Q176" s="67"/>
      <c r="R176" s="68"/>
      <c r="S176" s="76"/>
      <c r="T176" s="70"/>
      <c r="U176" s="228">
        <f>ROUND((_15_同援日４．０*_15・２人),0)</f>
        <v>737</v>
      </c>
      <c r="V176" s="69"/>
    </row>
    <row r="177" spans="1:22" ht="16.5" customHeight="1" x14ac:dyDescent="0.3">
      <c r="A177" s="2">
        <v>15</v>
      </c>
      <c r="B177" s="2">
        <v>7857</v>
      </c>
      <c r="C177" s="60" t="s">
        <v>8426</v>
      </c>
      <c r="D177" s="1" t="s">
        <v>8425</v>
      </c>
      <c r="E177" s="68"/>
      <c r="F177" s="70"/>
      <c r="G177" s="61" t="s">
        <v>17747</v>
      </c>
      <c r="H177" s="62"/>
      <c r="I177" s="63"/>
      <c r="J177" s="85"/>
      <c r="K177" s="64"/>
      <c r="L177" s="65"/>
      <c r="M177" s="67"/>
      <c r="N177" s="68"/>
      <c r="O177" s="76"/>
      <c r="P177" s="70"/>
      <c r="Q177" s="67"/>
      <c r="R177" s="68"/>
      <c r="S177" s="76"/>
      <c r="T177" s="70"/>
      <c r="U177" s="228">
        <f>ROUND((_15_同援日４．０*_15・基礎２),0)</f>
        <v>663</v>
      </c>
      <c r="V177" s="69"/>
    </row>
    <row r="178" spans="1:22" ht="16.5" customHeight="1" x14ac:dyDescent="0.3">
      <c r="A178" s="2">
        <v>15</v>
      </c>
      <c r="B178" s="2">
        <v>7858</v>
      </c>
      <c r="C178" s="60" t="s">
        <v>8424</v>
      </c>
      <c r="D178" s="1"/>
      <c r="E178" s="227">
        <v>737</v>
      </c>
      <c r="F178" s="70" t="s">
        <v>0</v>
      </c>
      <c r="G178" s="66" t="s">
        <v>17420</v>
      </c>
      <c r="H178" s="57" t="s">
        <v>1</v>
      </c>
      <c r="I178" s="58">
        <v>0.9</v>
      </c>
      <c r="J178" s="85" t="s">
        <v>5895</v>
      </c>
      <c r="K178" s="64" t="s">
        <v>1</v>
      </c>
      <c r="L178" s="65">
        <v>1</v>
      </c>
      <c r="M178" s="66"/>
      <c r="N178" s="57"/>
      <c r="O178" s="58"/>
      <c r="P178" s="77"/>
      <c r="Q178" s="67"/>
      <c r="R178" s="68"/>
      <c r="S178" s="76"/>
      <c r="T178" s="70"/>
      <c r="U178" s="228">
        <f>ROUND((ROUND((_15_同援日４．０*_15・基礎２),0)*_15・２人),0)</f>
        <v>663</v>
      </c>
      <c r="V178" s="69"/>
    </row>
    <row r="179" spans="1:22" ht="16.5" customHeight="1" x14ac:dyDescent="0.3">
      <c r="A179" s="2">
        <v>15</v>
      </c>
      <c r="B179" s="2">
        <v>7859</v>
      </c>
      <c r="C179" s="60" t="s">
        <v>8423</v>
      </c>
      <c r="D179" s="1"/>
      <c r="E179" s="68"/>
      <c r="F179" s="70"/>
      <c r="G179" s="61"/>
      <c r="H179" s="62"/>
      <c r="I179" s="63"/>
      <c r="J179" s="85"/>
      <c r="K179" s="64"/>
      <c r="L179" s="65"/>
      <c r="M179" s="61" t="s">
        <v>17933</v>
      </c>
      <c r="N179" s="62"/>
      <c r="O179" s="63"/>
      <c r="P179" s="75"/>
      <c r="Q179" s="67"/>
      <c r="R179" s="68"/>
      <c r="S179" s="76"/>
      <c r="T179" s="70"/>
      <c r="U179" s="228">
        <f>ROUND((_15_同援日４．０*(1+_15・盲ろう)),0)</f>
        <v>921</v>
      </c>
      <c r="V179" s="69"/>
    </row>
    <row r="180" spans="1:22" ht="16.5" customHeight="1" x14ac:dyDescent="0.3">
      <c r="A180" s="2">
        <v>15</v>
      </c>
      <c r="B180" s="2">
        <v>7860</v>
      </c>
      <c r="C180" s="60" t="s">
        <v>8422</v>
      </c>
      <c r="D180" s="1"/>
      <c r="E180" s="68"/>
      <c r="F180" s="70"/>
      <c r="G180" s="66"/>
      <c r="H180" s="57"/>
      <c r="I180" s="58"/>
      <c r="J180" s="85" t="s">
        <v>5895</v>
      </c>
      <c r="K180" s="64" t="s">
        <v>1</v>
      </c>
      <c r="L180" s="65">
        <v>1</v>
      </c>
      <c r="M180" s="67" t="s">
        <v>17932</v>
      </c>
      <c r="N180" s="68"/>
      <c r="O180" s="76"/>
      <c r="P180" s="70"/>
      <c r="Q180" s="67"/>
      <c r="R180" s="68"/>
      <c r="S180" s="76"/>
      <c r="T180" s="70"/>
      <c r="U180" s="228">
        <f>ROUND((ROUND((_15_同援日４．０*_15・２人),0)*(1+_15・盲ろう)),0)</f>
        <v>921</v>
      </c>
      <c r="V180" s="69"/>
    </row>
    <row r="181" spans="1:22" ht="16.5" customHeight="1" x14ac:dyDescent="0.3">
      <c r="A181" s="2">
        <v>15</v>
      </c>
      <c r="B181" s="2">
        <v>7861</v>
      </c>
      <c r="C181" s="60" t="s">
        <v>8421</v>
      </c>
      <c r="D181" s="1"/>
      <c r="E181" s="68"/>
      <c r="F181" s="70"/>
      <c r="G181" s="61" t="s">
        <v>17747</v>
      </c>
      <c r="H181" s="62"/>
      <c r="I181" s="63"/>
      <c r="J181" s="85"/>
      <c r="K181" s="64"/>
      <c r="L181" s="65"/>
      <c r="M181" s="67"/>
      <c r="N181" s="68" t="s">
        <v>1</v>
      </c>
      <c r="O181" s="76">
        <v>0.25</v>
      </c>
      <c r="P181" s="70" t="s">
        <v>422</v>
      </c>
      <c r="Q181" s="67"/>
      <c r="R181" s="68"/>
      <c r="S181" s="76"/>
      <c r="T181" s="70"/>
      <c r="U181" s="228">
        <f>ROUND((ROUND((_15_同援日４．０*_15・基礎２),0)*(1+_15・盲ろう)),0)</f>
        <v>829</v>
      </c>
      <c r="V181" s="69"/>
    </row>
    <row r="182" spans="1:22" ht="16.5" customHeight="1" x14ac:dyDescent="0.3">
      <c r="A182" s="2">
        <v>15</v>
      </c>
      <c r="B182" s="2">
        <v>7862</v>
      </c>
      <c r="C182" s="60" t="s">
        <v>8420</v>
      </c>
      <c r="D182" s="1"/>
      <c r="E182" s="68"/>
      <c r="F182" s="70"/>
      <c r="G182" s="66" t="s">
        <v>5896</v>
      </c>
      <c r="H182" s="57" t="s">
        <v>1</v>
      </c>
      <c r="I182" s="58">
        <v>0.9</v>
      </c>
      <c r="J182" s="85" t="s">
        <v>5895</v>
      </c>
      <c r="K182" s="64" t="s">
        <v>1</v>
      </c>
      <c r="L182" s="65">
        <v>1</v>
      </c>
      <c r="M182" s="66"/>
      <c r="N182" s="57"/>
      <c r="O182" s="58"/>
      <c r="P182" s="77"/>
      <c r="Q182" s="66"/>
      <c r="R182" s="57"/>
      <c r="S182" s="58"/>
      <c r="T182" s="77"/>
      <c r="U182" s="228">
        <f>ROUND((ROUND((ROUND((_15_同援日４．０*_15・基礎２),0)*_15・２人),0)*(1+_15・盲ろう)),0)</f>
        <v>829</v>
      </c>
      <c r="V182" s="69"/>
    </row>
    <row r="183" spans="1:22" ht="16.5" customHeight="1" x14ac:dyDescent="0.3">
      <c r="A183" s="2">
        <v>15</v>
      </c>
      <c r="B183" s="2">
        <v>7863</v>
      </c>
      <c r="C183" s="60" t="s">
        <v>8419</v>
      </c>
      <c r="D183" s="1"/>
      <c r="E183" s="68"/>
      <c r="F183" s="70"/>
      <c r="G183" s="61"/>
      <c r="H183" s="62"/>
      <c r="I183" s="63"/>
      <c r="J183" s="85"/>
      <c r="K183" s="64"/>
      <c r="L183" s="65"/>
      <c r="M183" s="61"/>
      <c r="N183" s="62"/>
      <c r="O183" s="63"/>
      <c r="P183" s="75"/>
      <c r="Q183" s="61"/>
      <c r="R183" s="62"/>
      <c r="S183" s="63"/>
      <c r="T183" s="75"/>
      <c r="U183" s="228">
        <f>ROUND((_15_同援日４．０*(1+_15・区３)),0)</f>
        <v>884</v>
      </c>
      <c r="V183" s="69"/>
    </row>
    <row r="184" spans="1:22" ht="16.5" customHeight="1" x14ac:dyDescent="0.3">
      <c r="A184" s="2">
        <v>15</v>
      </c>
      <c r="B184" s="2">
        <v>7864</v>
      </c>
      <c r="C184" s="60" t="s">
        <v>8418</v>
      </c>
      <c r="D184" s="1"/>
      <c r="E184" s="68"/>
      <c r="F184" s="70"/>
      <c r="G184" s="66"/>
      <c r="H184" s="57"/>
      <c r="I184" s="58"/>
      <c r="J184" s="85" t="s">
        <v>5895</v>
      </c>
      <c r="K184" s="64" t="s">
        <v>1</v>
      </c>
      <c r="L184" s="65">
        <v>1</v>
      </c>
      <c r="M184" s="67"/>
      <c r="N184" s="68"/>
      <c r="O184" s="76"/>
      <c r="P184" s="70"/>
      <c r="Q184" s="67"/>
      <c r="R184" s="68"/>
      <c r="S184" s="76"/>
      <c r="T184" s="70"/>
      <c r="U184" s="228">
        <f>ROUND((ROUND((_15_同援日４．０*_15・２人),0)*(1+_15・区３)),0)</f>
        <v>884</v>
      </c>
      <c r="V184" s="69"/>
    </row>
    <row r="185" spans="1:22" ht="16.5" customHeight="1" x14ac:dyDescent="0.3">
      <c r="A185" s="2">
        <v>15</v>
      </c>
      <c r="B185" s="2">
        <v>7865</v>
      </c>
      <c r="C185" s="60" t="s">
        <v>8417</v>
      </c>
      <c r="D185" s="1"/>
      <c r="E185" s="68"/>
      <c r="F185" s="70"/>
      <c r="G185" s="61" t="s">
        <v>17747</v>
      </c>
      <c r="H185" s="62"/>
      <c r="I185" s="63"/>
      <c r="J185" s="85"/>
      <c r="K185" s="64"/>
      <c r="L185" s="65"/>
      <c r="M185" s="67"/>
      <c r="N185" s="68"/>
      <c r="O185" s="76"/>
      <c r="P185" s="70"/>
      <c r="Q185" s="67" t="s">
        <v>17936</v>
      </c>
      <c r="R185" s="68"/>
      <c r="S185" s="76"/>
      <c r="T185" s="70"/>
      <c r="U185" s="228">
        <f>ROUND((ROUND((_15_同援日４．０*_15・基礎２),0)*(1+_15・区３)),0)</f>
        <v>796</v>
      </c>
      <c r="V185" s="69"/>
    </row>
    <row r="186" spans="1:22" ht="16.5" customHeight="1" x14ac:dyDescent="0.3">
      <c r="A186" s="2">
        <v>15</v>
      </c>
      <c r="B186" s="2">
        <v>7866</v>
      </c>
      <c r="C186" s="60" t="s">
        <v>8416</v>
      </c>
      <c r="D186" s="1"/>
      <c r="E186" s="68"/>
      <c r="F186" s="70"/>
      <c r="G186" s="66" t="s">
        <v>17420</v>
      </c>
      <c r="H186" s="57" t="s">
        <v>1</v>
      </c>
      <c r="I186" s="58">
        <v>0.9</v>
      </c>
      <c r="J186" s="85" t="s">
        <v>5895</v>
      </c>
      <c r="K186" s="64" t="s">
        <v>1</v>
      </c>
      <c r="L186" s="65">
        <v>1</v>
      </c>
      <c r="M186" s="66"/>
      <c r="N186" s="57"/>
      <c r="O186" s="58"/>
      <c r="P186" s="77"/>
      <c r="Q186" s="67" t="s">
        <v>17934</v>
      </c>
      <c r="R186" s="68"/>
      <c r="S186" s="76"/>
      <c r="T186" s="70"/>
      <c r="U186" s="228">
        <f>ROUND((ROUND((ROUND((_15_同援日４．０*_15・基礎２),0)*_15・２人),0)*(1+_15・区３)),0)</f>
        <v>796</v>
      </c>
      <c r="V186" s="69"/>
    </row>
    <row r="187" spans="1:22" ht="16.5" customHeight="1" x14ac:dyDescent="0.3">
      <c r="A187" s="2">
        <v>15</v>
      </c>
      <c r="B187" s="2">
        <v>7867</v>
      </c>
      <c r="C187" s="60" t="s">
        <v>8415</v>
      </c>
      <c r="D187" s="1"/>
      <c r="E187" s="68"/>
      <c r="F187" s="70"/>
      <c r="G187" s="61"/>
      <c r="H187" s="62"/>
      <c r="I187" s="63"/>
      <c r="J187" s="85"/>
      <c r="K187" s="64"/>
      <c r="L187" s="65"/>
      <c r="M187" s="61" t="s">
        <v>17933</v>
      </c>
      <c r="N187" s="62"/>
      <c r="O187" s="63"/>
      <c r="P187" s="75"/>
      <c r="Q187" s="67"/>
      <c r="R187" s="68" t="s">
        <v>1</v>
      </c>
      <c r="S187" s="76">
        <v>0.2</v>
      </c>
      <c r="T187" s="70" t="s">
        <v>422</v>
      </c>
      <c r="U187" s="228">
        <f>ROUND((ROUND((_15_同援日４．０*(1+_15・盲ろう)),0)*(1+_15・区３)),0)</f>
        <v>1105</v>
      </c>
      <c r="V187" s="69"/>
    </row>
    <row r="188" spans="1:22" ht="16.5" customHeight="1" x14ac:dyDescent="0.3">
      <c r="A188" s="2">
        <v>15</v>
      </c>
      <c r="B188" s="2">
        <v>7868</v>
      </c>
      <c r="C188" s="60" t="s">
        <v>8414</v>
      </c>
      <c r="D188" s="1"/>
      <c r="E188" s="68"/>
      <c r="F188" s="70"/>
      <c r="G188" s="66"/>
      <c r="H188" s="57"/>
      <c r="I188" s="58"/>
      <c r="J188" s="85" t="s">
        <v>5895</v>
      </c>
      <c r="K188" s="64" t="s">
        <v>1</v>
      </c>
      <c r="L188" s="65">
        <v>1</v>
      </c>
      <c r="M188" s="67" t="s">
        <v>17932</v>
      </c>
      <c r="N188" s="68"/>
      <c r="O188" s="76"/>
      <c r="P188" s="70"/>
      <c r="Q188" s="67"/>
      <c r="R188" s="68"/>
      <c r="S188" s="76"/>
      <c r="T188" s="70"/>
      <c r="U188" s="228">
        <f>ROUND((ROUND((ROUND((_15_同援日４．０*_15・２人),0)*(1+_15・盲ろう)),0)*(1+_15・区３)),0)</f>
        <v>1105</v>
      </c>
      <c r="V188" s="69"/>
    </row>
    <row r="189" spans="1:22" ht="16.5" customHeight="1" x14ac:dyDescent="0.3">
      <c r="A189" s="2">
        <v>15</v>
      </c>
      <c r="B189" s="2">
        <v>7869</v>
      </c>
      <c r="C189" s="60" t="s">
        <v>8413</v>
      </c>
      <c r="D189" s="1"/>
      <c r="E189" s="68"/>
      <c r="F189" s="70"/>
      <c r="G189" s="61" t="s">
        <v>17747</v>
      </c>
      <c r="H189" s="62"/>
      <c r="I189" s="63"/>
      <c r="J189" s="85"/>
      <c r="K189" s="64"/>
      <c r="L189" s="65"/>
      <c r="M189" s="67"/>
      <c r="N189" s="68" t="s">
        <v>1</v>
      </c>
      <c r="O189" s="76">
        <v>0.25</v>
      </c>
      <c r="P189" s="70" t="s">
        <v>422</v>
      </c>
      <c r="Q189" s="67"/>
      <c r="R189" s="68"/>
      <c r="S189" s="76"/>
      <c r="T189" s="70"/>
      <c r="U189" s="228">
        <f>ROUND((ROUND((ROUND((_15_同援日４．０*_15・基礎２),0)*(1+_15・盲ろう)),0)*(1+_15・区３)),0)</f>
        <v>995</v>
      </c>
      <c r="V189" s="69"/>
    </row>
    <row r="190" spans="1:22" ht="16.5" customHeight="1" x14ac:dyDescent="0.3">
      <c r="A190" s="2">
        <v>15</v>
      </c>
      <c r="B190" s="2">
        <v>7870</v>
      </c>
      <c r="C190" s="60" t="s">
        <v>8412</v>
      </c>
      <c r="D190" s="1"/>
      <c r="E190" s="68"/>
      <c r="F190" s="70"/>
      <c r="G190" s="66" t="s">
        <v>17420</v>
      </c>
      <c r="H190" s="57" t="s">
        <v>1</v>
      </c>
      <c r="I190" s="58">
        <v>0.9</v>
      </c>
      <c r="J190" s="85" t="s">
        <v>5895</v>
      </c>
      <c r="K190" s="64" t="s">
        <v>1</v>
      </c>
      <c r="L190" s="65">
        <v>1</v>
      </c>
      <c r="M190" s="66"/>
      <c r="N190" s="57"/>
      <c r="O190" s="58"/>
      <c r="P190" s="77"/>
      <c r="Q190" s="66"/>
      <c r="R190" s="57"/>
      <c r="S190" s="58"/>
      <c r="T190" s="77"/>
      <c r="U190" s="228">
        <f>ROUND((ROUND((ROUND((ROUND((_15_同援日４．０*_15・基礎２),0)*_15・２人),0)*(1+_15・盲ろう)),0)*(1+_15・区３)),0)</f>
        <v>995</v>
      </c>
      <c r="V190" s="69"/>
    </row>
    <row r="191" spans="1:22" ht="16.5" customHeight="1" x14ac:dyDescent="0.3">
      <c r="A191" s="2">
        <v>15</v>
      </c>
      <c r="B191" s="2">
        <v>7871</v>
      </c>
      <c r="C191" s="60" t="s">
        <v>8411</v>
      </c>
      <c r="D191" s="1"/>
      <c r="E191" s="68"/>
      <c r="F191" s="70"/>
      <c r="G191" s="61"/>
      <c r="H191" s="62"/>
      <c r="I191" s="63"/>
      <c r="J191" s="85"/>
      <c r="K191" s="64"/>
      <c r="L191" s="65"/>
      <c r="M191" s="61"/>
      <c r="N191" s="62"/>
      <c r="O191" s="63"/>
      <c r="P191" s="75"/>
      <c r="Q191" s="61"/>
      <c r="R191" s="62"/>
      <c r="S191" s="63"/>
      <c r="T191" s="75"/>
      <c r="U191" s="228">
        <f>ROUND((_15_同援日４．０*(1+_15・区４)),0)</f>
        <v>1032</v>
      </c>
      <c r="V191" s="69"/>
    </row>
    <row r="192" spans="1:22" ht="16.5" customHeight="1" x14ac:dyDescent="0.3">
      <c r="A192" s="2">
        <v>15</v>
      </c>
      <c r="B192" s="2">
        <v>7872</v>
      </c>
      <c r="C192" s="60" t="s">
        <v>8410</v>
      </c>
      <c r="D192" s="1"/>
      <c r="E192" s="68"/>
      <c r="F192" s="70"/>
      <c r="G192" s="66"/>
      <c r="H192" s="57"/>
      <c r="I192" s="58"/>
      <c r="J192" s="85" t="s">
        <v>5895</v>
      </c>
      <c r="K192" s="64" t="s">
        <v>1</v>
      </c>
      <c r="L192" s="65">
        <v>1</v>
      </c>
      <c r="M192" s="67"/>
      <c r="N192" s="68"/>
      <c r="O192" s="76"/>
      <c r="P192" s="70"/>
      <c r="Q192" s="67"/>
      <c r="R192" s="68"/>
      <c r="S192" s="76"/>
      <c r="T192" s="70"/>
      <c r="U192" s="228">
        <f>ROUND((ROUND((_15_同援日４．０*_15・２人),0)*(1+_15・区４)),0)</f>
        <v>1032</v>
      </c>
      <c r="V192" s="69"/>
    </row>
    <row r="193" spans="1:22" ht="16.5" customHeight="1" x14ac:dyDescent="0.3">
      <c r="A193" s="2">
        <v>15</v>
      </c>
      <c r="B193" s="2">
        <v>7873</v>
      </c>
      <c r="C193" s="60" t="s">
        <v>8409</v>
      </c>
      <c r="D193" s="1"/>
      <c r="E193" s="68"/>
      <c r="F193" s="70"/>
      <c r="G193" s="61" t="s">
        <v>17747</v>
      </c>
      <c r="H193" s="62"/>
      <c r="I193" s="63"/>
      <c r="J193" s="85"/>
      <c r="K193" s="64"/>
      <c r="L193" s="65"/>
      <c r="M193" s="67"/>
      <c r="N193" s="68"/>
      <c r="O193" s="76"/>
      <c r="P193" s="70"/>
      <c r="Q193" s="67" t="s">
        <v>17935</v>
      </c>
      <c r="R193" s="68"/>
      <c r="S193" s="76"/>
      <c r="T193" s="70"/>
      <c r="U193" s="228">
        <f>ROUND((ROUND((_15_同援日４．０*_15・基礎２),0)*(1+_15・区４)),0)</f>
        <v>928</v>
      </c>
      <c r="V193" s="69"/>
    </row>
    <row r="194" spans="1:22" ht="16.5" customHeight="1" x14ac:dyDescent="0.3">
      <c r="A194" s="2">
        <v>15</v>
      </c>
      <c r="B194" s="2">
        <v>7874</v>
      </c>
      <c r="C194" s="60" t="s">
        <v>8408</v>
      </c>
      <c r="D194" s="1"/>
      <c r="E194" s="68"/>
      <c r="F194" s="70"/>
      <c r="G194" s="66" t="s">
        <v>17420</v>
      </c>
      <c r="H194" s="57" t="s">
        <v>1</v>
      </c>
      <c r="I194" s="58">
        <v>0.9</v>
      </c>
      <c r="J194" s="85" t="s">
        <v>5895</v>
      </c>
      <c r="K194" s="64" t="s">
        <v>1</v>
      </c>
      <c r="L194" s="65">
        <v>1</v>
      </c>
      <c r="M194" s="66"/>
      <c r="N194" s="57"/>
      <c r="O194" s="58"/>
      <c r="P194" s="77"/>
      <c r="Q194" s="67" t="s">
        <v>17934</v>
      </c>
      <c r="R194" s="68"/>
      <c r="S194" s="76"/>
      <c r="T194" s="70"/>
      <c r="U194" s="228">
        <f>ROUND((ROUND((ROUND((_15_同援日４．０*_15・基礎２),0)*_15・２人),0)*(1+_15・区４)),0)</f>
        <v>928</v>
      </c>
      <c r="V194" s="69"/>
    </row>
    <row r="195" spans="1:22" ht="16.5" customHeight="1" x14ac:dyDescent="0.3">
      <c r="A195" s="2">
        <v>15</v>
      </c>
      <c r="B195" s="2">
        <v>7875</v>
      </c>
      <c r="C195" s="60" t="s">
        <v>8407</v>
      </c>
      <c r="D195" s="1"/>
      <c r="E195" s="68"/>
      <c r="F195" s="70"/>
      <c r="G195" s="61"/>
      <c r="H195" s="62"/>
      <c r="I195" s="63"/>
      <c r="J195" s="85"/>
      <c r="K195" s="64"/>
      <c r="L195" s="65"/>
      <c r="M195" s="61" t="s">
        <v>17933</v>
      </c>
      <c r="N195" s="62"/>
      <c r="O195" s="63"/>
      <c r="P195" s="75"/>
      <c r="Q195" s="67"/>
      <c r="R195" s="68" t="s">
        <v>1</v>
      </c>
      <c r="S195" s="76">
        <v>0.4</v>
      </c>
      <c r="T195" s="70" t="s">
        <v>422</v>
      </c>
      <c r="U195" s="228">
        <f>ROUND((ROUND((_15_同援日４．０*(1+_15・盲ろう)),0)*(1+_15・区４)),0)</f>
        <v>1289</v>
      </c>
      <c r="V195" s="69"/>
    </row>
    <row r="196" spans="1:22" ht="16.5" customHeight="1" x14ac:dyDescent="0.3">
      <c r="A196" s="2">
        <v>15</v>
      </c>
      <c r="B196" s="2">
        <v>7876</v>
      </c>
      <c r="C196" s="60" t="s">
        <v>8406</v>
      </c>
      <c r="D196" s="1"/>
      <c r="E196" s="68"/>
      <c r="F196" s="70"/>
      <c r="G196" s="66"/>
      <c r="H196" s="57"/>
      <c r="I196" s="58"/>
      <c r="J196" s="85" t="s">
        <v>5895</v>
      </c>
      <c r="K196" s="64" t="s">
        <v>1</v>
      </c>
      <c r="L196" s="65">
        <v>1</v>
      </c>
      <c r="M196" s="67" t="s">
        <v>17932</v>
      </c>
      <c r="N196" s="68"/>
      <c r="O196" s="76"/>
      <c r="P196" s="70"/>
      <c r="Q196" s="67"/>
      <c r="R196" s="68"/>
      <c r="S196" s="76"/>
      <c r="T196" s="70"/>
      <c r="U196" s="228">
        <f>ROUND((ROUND((ROUND((_15_同援日４．０*_15・２人),0)*(1+_15・盲ろう)),0)*(1+_15・区４)),0)</f>
        <v>1289</v>
      </c>
      <c r="V196" s="69"/>
    </row>
    <row r="197" spans="1:22" ht="16.5" customHeight="1" x14ac:dyDescent="0.3">
      <c r="A197" s="2">
        <v>15</v>
      </c>
      <c r="B197" s="2">
        <v>7877</v>
      </c>
      <c r="C197" s="60" t="s">
        <v>8405</v>
      </c>
      <c r="D197" s="1"/>
      <c r="E197" s="68"/>
      <c r="F197" s="70"/>
      <c r="G197" s="61" t="s">
        <v>17747</v>
      </c>
      <c r="H197" s="62"/>
      <c r="I197" s="63"/>
      <c r="J197" s="85"/>
      <c r="K197" s="64"/>
      <c r="L197" s="65"/>
      <c r="M197" s="67"/>
      <c r="N197" s="68" t="s">
        <v>1</v>
      </c>
      <c r="O197" s="76">
        <v>0.25</v>
      </c>
      <c r="P197" s="70" t="s">
        <v>422</v>
      </c>
      <c r="Q197" s="67"/>
      <c r="R197" s="68"/>
      <c r="S197" s="76"/>
      <c r="T197" s="70"/>
      <c r="U197" s="228">
        <f>ROUND((ROUND((ROUND((_15_同援日４．０*_15・基礎２),0)*(1+_15・盲ろう)),0)*(1+_15・区４)),0)</f>
        <v>1161</v>
      </c>
      <c r="V197" s="69"/>
    </row>
    <row r="198" spans="1:22" ht="16.5" customHeight="1" x14ac:dyDescent="0.3">
      <c r="A198" s="2">
        <v>15</v>
      </c>
      <c r="B198" s="2">
        <v>7878</v>
      </c>
      <c r="C198" s="60" t="s">
        <v>8404</v>
      </c>
      <c r="D198" s="81"/>
      <c r="E198" s="57"/>
      <c r="F198" s="77"/>
      <c r="G198" s="66" t="s">
        <v>17420</v>
      </c>
      <c r="H198" s="57" t="s">
        <v>1</v>
      </c>
      <c r="I198" s="58">
        <v>0.9</v>
      </c>
      <c r="J198" s="85" t="s">
        <v>5895</v>
      </c>
      <c r="K198" s="64" t="s">
        <v>1</v>
      </c>
      <c r="L198" s="65">
        <v>1</v>
      </c>
      <c r="M198" s="66"/>
      <c r="N198" s="57"/>
      <c r="O198" s="58"/>
      <c r="P198" s="77"/>
      <c r="Q198" s="66"/>
      <c r="R198" s="57"/>
      <c r="S198" s="58"/>
      <c r="T198" s="77"/>
      <c r="U198" s="228">
        <f>ROUND((ROUND((ROUND((ROUND((_15_同援日４．０*_15・基礎２),0)*_15・２人),0)*(1+_15・盲ろう)),0)*(1+_15・区４)),0)</f>
        <v>1161</v>
      </c>
      <c r="V198" s="69"/>
    </row>
    <row r="199" spans="1:22" ht="16.5" customHeight="1" x14ac:dyDescent="0.3">
      <c r="A199" s="2">
        <v>15</v>
      </c>
      <c r="B199" s="2">
        <v>7879</v>
      </c>
      <c r="C199" s="60" t="s">
        <v>8403</v>
      </c>
      <c r="D199" s="233" t="s">
        <v>17957</v>
      </c>
      <c r="E199" s="62"/>
      <c r="F199" s="75"/>
      <c r="G199" s="61"/>
      <c r="H199" s="62"/>
      <c r="I199" s="63"/>
      <c r="J199" s="85"/>
      <c r="K199" s="64"/>
      <c r="L199" s="65"/>
      <c r="M199" s="61"/>
      <c r="N199" s="62"/>
      <c r="O199" s="63"/>
      <c r="P199" s="75"/>
      <c r="Q199" s="61"/>
      <c r="R199" s="62"/>
      <c r="S199" s="63"/>
      <c r="T199" s="75"/>
      <c r="U199" s="228">
        <f>_15_同援日４．５</f>
        <v>800</v>
      </c>
      <c r="V199" s="69"/>
    </row>
    <row r="200" spans="1:22" ht="16.5" customHeight="1" x14ac:dyDescent="0.3">
      <c r="A200" s="2">
        <v>15</v>
      </c>
      <c r="B200" s="2">
        <v>7880</v>
      </c>
      <c r="C200" s="60" t="s">
        <v>8402</v>
      </c>
      <c r="D200" s="1" t="s">
        <v>17761</v>
      </c>
      <c r="E200" s="68"/>
      <c r="F200" s="70"/>
      <c r="G200" s="66"/>
      <c r="H200" s="57"/>
      <c r="I200" s="58"/>
      <c r="J200" s="85" t="s">
        <v>5895</v>
      </c>
      <c r="K200" s="64" t="s">
        <v>1</v>
      </c>
      <c r="L200" s="65">
        <v>1</v>
      </c>
      <c r="M200" s="67"/>
      <c r="N200" s="68"/>
      <c r="O200" s="76"/>
      <c r="P200" s="70"/>
      <c r="Q200" s="67"/>
      <c r="R200" s="68"/>
      <c r="S200" s="76"/>
      <c r="T200" s="70"/>
      <c r="U200" s="228">
        <f>ROUND((_15_同援日４．５*_15・２人),0)</f>
        <v>800</v>
      </c>
      <c r="V200" s="69"/>
    </row>
    <row r="201" spans="1:22" ht="16.5" customHeight="1" x14ac:dyDescent="0.3">
      <c r="A201" s="2">
        <v>15</v>
      </c>
      <c r="B201" s="2">
        <v>7881</v>
      </c>
      <c r="C201" s="60" t="s">
        <v>8401</v>
      </c>
      <c r="D201" s="1" t="s">
        <v>17760</v>
      </c>
      <c r="E201" s="68"/>
      <c r="F201" s="70"/>
      <c r="G201" s="61" t="s">
        <v>17747</v>
      </c>
      <c r="H201" s="62"/>
      <c r="I201" s="63"/>
      <c r="J201" s="85"/>
      <c r="K201" s="64"/>
      <c r="L201" s="65"/>
      <c r="M201" s="67"/>
      <c r="N201" s="68"/>
      <c r="O201" s="76"/>
      <c r="P201" s="70"/>
      <c r="Q201" s="67"/>
      <c r="R201" s="68"/>
      <c r="S201" s="76"/>
      <c r="T201" s="70"/>
      <c r="U201" s="228">
        <f>ROUND((_15_同援日４．５*_15・基礎２),0)</f>
        <v>720</v>
      </c>
      <c r="V201" s="69"/>
    </row>
    <row r="202" spans="1:22" ht="16.5" customHeight="1" x14ac:dyDescent="0.3">
      <c r="A202" s="2">
        <v>15</v>
      </c>
      <c r="B202" s="2">
        <v>7882</v>
      </c>
      <c r="C202" s="60" t="s">
        <v>8400</v>
      </c>
      <c r="D202" s="1"/>
      <c r="E202" s="227">
        <v>800</v>
      </c>
      <c r="F202" s="70" t="s">
        <v>0</v>
      </c>
      <c r="G202" s="66" t="s">
        <v>17420</v>
      </c>
      <c r="H202" s="57" t="s">
        <v>1</v>
      </c>
      <c r="I202" s="58">
        <v>0.9</v>
      </c>
      <c r="J202" s="85" t="s">
        <v>5895</v>
      </c>
      <c r="K202" s="64" t="s">
        <v>1</v>
      </c>
      <c r="L202" s="65">
        <v>1</v>
      </c>
      <c r="M202" s="66"/>
      <c r="N202" s="57"/>
      <c r="O202" s="58"/>
      <c r="P202" s="77"/>
      <c r="Q202" s="67"/>
      <c r="R202" s="68"/>
      <c r="S202" s="76"/>
      <c r="T202" s="70"/>
      <c r="U202" s="228">
        <f>ROUND((ROUND((_15_同援日４．５*_15・基礎２),0)*_15・２人),0)</f>
        <v>720</v>
      </c>
      <c r="V202" s="69"/>
    </row>
    <row r="203" spans="1:22" ht="16.5" customHeight="1" x14ac:dyDescent="0.3">
      <c r="A203" s="2">
        <v>15</v>
      </c>
      <c r="B203" s="2">
        <v>7883</v>
      </c>
      <c r="C203" s="60" t="s">
        <v>8399</v>
      </c>
      <c r="D203" s="1"/>
      <c r="E203" s="68"/>
      <c r="F203" s="70"/>
      <c r="G203" s="61"/>
      <c r="H203" s="62"/>
      <c r="I203" s="63"/>
      <c r="J203" s="85"/>
      <c r="K203" s="64"/>
      <c r="L203" s="65"/>
      <c r="M203" s="61" t="s">
        <v>17933</v>
      </c>
      <c r="N203" s="62"/>
      <c r="O203" s="63"/>
      <c r="P203" s="75"/>
      <c r="Q203" s="67"/>
      <c r="R203" s="68"/>
      <c r="S203" s="76"/>
      <c r="T203" s="70"/>
      <c r="U203" s="228">
        <f>ROUND((_15_同援日４．５*(1+_15・盲ろう)),0)</f>
        <v>1000</v>
      </c>
      <c r="V203" s="69"/>
    </row>
    <row r="204" spans="1:22" ht="16.5" customHeight="1" x14ac:dyDescent="0.3">
      <c r="A204" s="2">
        <v>15</v>
      </c>
      <c r="B204" s="2">
        <v>7884</v>
      </c>
      <c r="C204" s="60" t="s">
        <v>8398</v>
      </c>
      <c r="D204" s="1"/>
      <c r="E204" s="68"/>
      <c r="F204" s="70"/>
      <c r="G204" s="66"/>
      <c r="H204" s="57"/>
      <c r="I204" s="58"/>
      <c r="J204" s="85" t="s">
        <v>5895</v>
      </c>
      <c r="K204" s="64" t="s">
        <v>1</v>
      </c>
      <c r="L204" s="65">
        <v>1</v>
      </c>
      <c r="M204" s="67" t="s">
        <v>17932</v>
      </c>
      <c r="N204" s="68"/>
      <c r="O204" s="76"/>
      <c r="P204" s="70"/>
      <c r="Q204" s="67"/>
      <c r="R204" s="68"/>
      <c r="S204" s="76"/>
      <c r="T204" s="70"/>
      <c r="U204" s="228">
        <f>ROUND((ROUND((_15_同援日４．５*_15・２人),0)*(1+_15・盲ろう)),0)</f>
        <v>1000</v>
      </c>
      <c r="V204" s="69"/>
    </row>
    <row r="205" spans="1:22" ht="16.5" customHeight="1" x14ac:dyDescent="0.3">
      <c r="A205" s="2">
        <v>15</v>
      </c>
      <c r="B205" s="2">
        <v>7885</v>
      </c>
      <c r="C205" s="60" t="s">
        <v>8397</v>
      </c>
      <c r="D205" s="1"/>
      <c r="E205" s="68"/>
      <c r="F205" s="70"/>
      <c r="G205" s="61" t="s">
        <v>17747</v>
      </c>
      <c r="H205" s="62"/>
      <c r="I205" s="63"/>
      <c r="J205" s="85"/>
      <c r="K205" s="64"/>
      <c r="L205" s="65"/>
      <c r="M205" s="67"/>
      <c r="N205" s="68" t="s">
        <v>1</v>
      </c>
      <c r="O205" s="76">
        <v>0.25</v>
      </c>
      <c r="P205" s="70" t="s">
        <v>422</v>
      </c>
      <c r="Q205" s="67"/>
      <c r="R205" s="68"/>
      <c r="S205" s="76"/>
      <c r="T205" s="70"/>
      <c r="U205" s="228">
        <f>ROUND((ROUND((_15_同援日４．５*_15・基礎２),0)*(1+_15・盲ろう)),0)</f>
        <v>900</v>
      </c>
      <c r="V205" s="69"/>
    </row>
    <row r="206" spans="1:22" ht="16.5" customHeight="1" x14ac:dyDescent="0.3">
      <c r="A206" s="2">
        <v>15</v>
      </c>
      <c r="B206" s="2">
        <v>7886</v>
      </c>
      <c r="C206" s="60" t="s">
        <v>8396</v>
      </c>
      <c r="D206" s="1"/>
      <c r="E206" s="68"/>
      <c r="F206" s="70"/>
      <c r="G206" s="66" t="s">
        <v>17420</v>
      </c>
      <c r="H206" s="57" t="s">
        <v>1</v>
      </c>
      <c r="I206" s="58">
        <v>0.9</v>
      </c>
      <c r="J206" s="85" t="s">
        <v>5895</v>
      </c>
      <c r="K206" s="64" t="s">
        <v>1</v>
      </c>
      <c r="L206" s="65">
        <v>1</v>
      </c>
      <c r="M206" s="66"/>
      <c r="N206" s="57"/>
      <c r="O206" s="58"/>
      <c r="P206" s="77"/>
      <c r="Q206" s="66"/>
      <c r="R206" s="57"/>
      <c r="S206" s="58"/>
      <c r="T206" s="77"/>
      <c r="U206" s="228">
        <f>ROUND((ROUND((ROUND((_15_同援日４．５*_15・基礎２),0)*_15・２人),0)*(1+_15・盲ろう)),0)</f>
        <v>900</v>
      </c>
      <c r="V206" s="69"/>
    </row>
    <row r="207" spans="1:22" ht="16.5" customHeight="1" x14ac:dyDescent="0.3">
      <c r="A207" s="2">
        <v>15</v>
      </c>
      <c r="B207" s="2">
        <v>7887</v>
      </c>
      <c r="C207" s="60" t="s">
        <v>8395</v>
      </c>
      <c r="D207" s="1"/>
      <c r="E207" s="68"/>
      <c r="F207" s="70"/>
      <c r="G207" s="61"/>
      <c r="H207" s="62"/>
      <c r="I207" s="63"/>
      <c r="J207" s="85"/>
      <c r="K207" s="64"/>
      <c r="L207" s="65"/>
      <c r="M207" s="61"/>
      <c r="N207" s="62"/>
      <c r="O207" s="63"/>
      <c r="P207" s="75"/>
      <c r="Q207" s="61"/>
      <c r="R207" s="62"/>
      <c r="S207" s="63"/>
      <c r="T207" s="75"/>
      <c r="U207" s="228">
        <f>ROUND((_15_同援日４．５*(1+_15・区３)),0)</f>
        <v>960</v>
      </c>
      <c r="V207" s="69"/>
    </row>
    <row r="208" spans="1:22" ht="16.5" customHeight="1" x14ac:dyDescent="0.3">
      <c r="A208" s="2">
        <v>15</v>
      </c>
      <c r="B208" s="2">
        <v>7888</v>
      </c>
      <c r="C208" s="60" t="s">
        <v>8394</v>
      </c>
      <c r="D208" s="1"/>
      <c r="E208" s="68"/>
      <c r="F208" s="70"/>
      <c r="G208" s="66"/>
      <c r="H208" s="57"/>
      <c r="I208" s="58"/>
      <c r="J208" s="85" t="s">
        <v>5895</v>
      </c>
      <c r="K208" s="64" t="s">
        <v>1</v>
      </c>
      <c r="L208" s="65">
        <v>1</v>
      </c>
      <c r="M208" s="67"/>
      <c r="N208" s="68"/>
      <c r="O208" s="76"/>
      <c r="P208" s="70"/>
      <c r="Q208" s="67"/>
      <c r="R208" s="68"/>
      <c r="S208" s="76"/>
      <c r="T208" s="70"/>
      <c r="U208" s="228">
        <f>ROUND((ROUND((_15_同援日４．５*_15・２人),0)*(1+_15・区３)),0)</f>
        <v>960</v>
      </c>
      <c r="V208" s="69"/>
    </row>
    <row r="209" spans="1:22" ht="16.5" customHeight="1" x14ac:dyDescent="0.3">
      <c r="A209" s="2">
        <v>15</v>
      </c>
      <c r="B209" s="2">
        <v>7889</v>
      </c>
      <c r="C209" s="60" t="s">
        <v>8393</v>
      </c>
      <c r="D209" s="1"/>
      <c r="E209" s="68"/>
      <c r="F209" s="70"/>
      <c r="G209" s="61" t="s">
        <v>17747</v>
      </c>
      <c r="H209" s="62"/>
      <c r="I209" s="63"/>
      <c r="J209" s="85"/>
      <c r="K209" s="64"/>
      <c r="L209" s="65"/>
      <c r="M209" s="67"/>
      <c r="N209" s="68"/>
      <c r="O209" s="76"/>
      <c r="P209" s="70"/>
      <c r="Q209" s="67" t="s">
        <v>17936</v>
      </c>
      <c r="R209" s="68"/>
      <c r="S209" s="76"/>
      <c r="T209" s="70"/>
      <c r="U209" s="228">
        <f>ROUND((ROUND((_15_同援日４．５*_15・基礎２),0)*(1+_15・区３)),0)</f>
        <v>864</v>
      </c>
      <c r="V209" s="69"/>
    </row>
    <row r="210" spans="1:22" ht="16.5" customHeight="1" x14ac:dyDescent="0.3">
      <c r="A210" s="2">
        <v>15</v>
      </c>
      <c r="B210" s="2">
        <v>7890</v>
      </c>
      <c r="C210" s="60" t="s">
        <v>8392</v>
      </c>
      <c r="D210" s="1"/>
      <c r="E210" s="68"/>
      <c r="F210" s="70"/>
      <c r="G210" s="66" t="s">
        <v>17420</v>
      </c>
      <c r="H210" s="57" t="s">
        <v>1</v>
      </c>
      <c r="I210" s="58">
        <v>0.9</v>
      </c>
      <c r="J210" s="85" t="s">
        <v>5895</v>
      </c>
      <c r="K210" s="64" t="s">
        <v>1</v>
      </c>
      <c r="L210" s="65">
        <v>1</v>
      </c>
      <c r="M210" s="66"/>
      <c r="N210" s="57"/>
      <c r="O210" s="58"/>
      <c r="P210" s="77"/>
      <c r="Q210" s="67" t="s">
        <v>17934</v>
      </c>
      <c r="R210" s="68"/>
      <c r="S210" s="76"/>
      <c r="T210" s="70"/>
      <c r="U210" s="228">
        <f>ROUND((ROUND((ROUND((_15_同援日４．５*_15・基礎２),0)*_15・２人),0)*(1+_15・区３)),0)</f>
        <v>864</v>
      </c>
      <c r="V210" s="69"/>
    </row>
    <row r="211" spans="1:22" ht="16.5" customHeight="1" x14ac:dyDescent="0.3">
      <c r="A211" s="2">
        <v>15</v>
      </c>
      <c r="B211" s="2">
        <v>7891</v>
      </c>
      <c r="C211" s="60" t="s">
        <v>8391</v>
      </c>
      <c r="D211" s="1"/>
      <c r="E211" s="68"/>
      <c r="F211" s="70"/>
      <c r="G211" s="61"/>
      <c r="H211" s="62"/>
      <c r="I211" s="63"/>
      <c r="J211" s="85"/>
      <c r="K211" s="64"/>
      <c r="L211" s="65"/>
      <c r="M211" s="61" t="s">
        <v>17933</v>
      </c>
      <c r="N211" s="62"/>
      <c r="O211" s="63"/>
      <c r="P211" s="75"/>
      <c r="Q211" s="67"/>
      <c r="R211" s="68" t="s">
        <v>1</v>
      </c>
      <c r="S211" s="76">
        <v>0.2</v>
      </c>
      <c r="T211" s="70" t="s">
        <v>422</v>
      </c>
      <c r="U211" s="228">
        <f>ROUND((ROUND((_15_同援日４．５*(1+_15・盲ろう)),0)*(1+_15・区３)),0)</f>
        <v>1200</v>
      </c>
      <c r="V211" s="69"/>
    </row>
    <row r="212" spans="1:22" ht="16.5" customHeight="1" x14ac:dyDescent="0.3">
      <c r="A212" s="2">
        <v>15</v>
      </c>
      <c r="B212" s="2">
        <v>7892</v>
      </c>
      <c r="C212" s="60" t="s">
        <v>8390</v>
      </c>
      <c r="D212" s="1"/>
      <c r="E212" s="68"/>
      <c r="F212" s="70"/>
      <c r="G212" s="66"/>
      <c r="H212" s="57"/>
      <c r="I212" s="58"/>
      <c r="J212" s="85" t="s">
        <v>5895</v>
      </c>
      <c r="K212" s="64" t="s">
        <v>1</v>
      </c>
      <c r="L212" s="65">
        <v>1</v>
      </c>
      <c r="M212" s="67" t="s">
        <v>17932</v>
      </c>
      <c r="N212" s="68"/>
      <c r="O212" s="76"/>
      <c r="P212" s="70"/>
      <c r="Q212" s="67"/>
      <c r="R212" s="68"/>
      <c r="S212" s="76"/>
      <c r="T212" s="70"/>
      <c r="U212" s="228">
        <f>ROUND((ROUND((ROUND((_15_同援日４．５*_15・２人),0)*(1+_15・盲ろう)),0)*(1+_15・区３)),0)</f>
        <v>1200</v>
      </c>
      <c r="V212" s="69"/>
    </row>
    <row r="213" spans="1:22" ht="16.5" customHeight="1" x14ac:dyDescent="0.3">
      <c r="A213" s="2">
        <v>15</v>
      </c>
      <c r="B213" s="2">
        <v>7893</v>
      </c>
      <c r="C213" s="60" t="s">
        <v>8389</v>
      </c>
      <c r="D213" s="1"/>
      <c r="E213" s="68"/>
      <c r="F213" s="70"/>
      <c r="G213" s="61" t="s">
        <v>17747</v>
      </c>
      <c r="H213" s="62"/>
      <c r="I213" s="63"/>
      <c r="J213" s="85"/>
      <c r="K213" s="64"/>
      <c r="L213" s="65"/>
      <c r="M213" s="67"/>
      <c r="N213" s="68" t="s">
        <v>1</v>
      </c>
      <c r="O213" s="76">
        <v>0.25</v>
      </c>
      <c r="P213" s="70" t="s">
        <v>422</v>
      </c>
      <c r="Q213" s="67"/>
      <c r="R213" s="68"/>
      <c r="S213" s="76"/>
      <c r="T213" s="70"/>
      <c r="U213" s="228">
        <f>ROUND((ROUND((ROUND((_15_同援日４．５*_15・基礎２),0)*(1+_15・盲ろう)),0)*(1+_15・区３)),0)</f>
        <v>1080</v>
      </c>
      <c r="V213" s="69"/>
    </row>
    <row r="214" spans="1:22" ht="16.5" customHeight="1" x14ac:dyDescent="0.3">
      <c r="A214" s="2">
        <v>15</v>
      </c>
      <c r="B214" s="2">
        <v>7894</v>
      </c>
      <c r="C214" s="60" t="s">
        <v>8388</v>
      </c>
      <c r="D214" s="1"/>
      <c r="E214" s="68"/>
      <c r="F214" s="70"/>
      <c r="G214" s="66" t="s">
        <v>17420</v>
      </c>
      <c r="H214" s="57" t="s">
        <v>1</v>
      </c>
      <c r="I214" s="58">
        <v>0.9</v>
      </c>
      <c r="J214" s="85" t="s">
        <v>5895</v>
      </c>
      <c r="K214" s="64" t="s">
        <v>1</v>
      </c>
      <c r="L214" s="65">
        <v>1</v>
      </c>
      <c r="M214" s="66"/>
      <c r="N214" s="57"/>
      <c r="O214" s="58"/>
      <c r="P214" s="77"/>
      <c r="Q214" s="66"/>
      <c r="R214" s="57"/>
      <c r="S214" s="58"/>
      <c r="T214" s="77"/>
      <c r="U214" s="228">
        <f>ROUND((ROUND((ROUND((ROUND((_15_同援日４．５*_15・基礎２),0)*_15・２人),0)*(1+_15・盲ろう)),0)*(1+_15・区３)),0)</f>
        <v>1080</v>
      </c>
      <c r="V214" s="69"/>
    </row>
    <row r="215" spans="1:22" ht="16.5" customHeight="1" x14ac:dyDescent="0.3">
      <c r="A215" s="2">
        <v>15</v>
      </c>
      <c r="B215" s="2">
        <v>7895</v>
      </c>
      <c r="C215" s="60" t="s">
        <v>8387</v>
      </c>
      <c r="D215" s="1"/>
      <c r="E215" s="68"/>
      <c r="F215" s="70"/>
      <c r="G215" s="61"/>
      <c r="H215" s="62"/>
      <c r="I215" s="63"/>
      <c r="J215" s="85"/>
      <c r="K215" s="64"/>
      <c r="L215" s="65"/>
      <c r="M215" s="61"/>
      <c r="N215" s="62"/>
      <c r="O215" s="63"/>
      <c r="P215" s="75"/>
      <c r="Q215" s="61"/>
      <c r="R215" s="62"/>
      <c r="S215" s="63"/>
      <c r="T215" s="75"/>
      <c r="U215" s="228">
        <f>ROUND((_15_同援日４．５*(1+_15・区４)),0)</f>
        <v>1120</v>
      </c>
      <c r="V215" s="69"/>
    </row>
    <row r="216" spans="1:22" ht="16.5" customHeight="1" x14ac:dyDescent="0.3">
      <c r="A216" s="2">
        <v>15</v>
      </c>
      <c r="B216" s="2">
        <v>7896</v>
      </c>
      <c r="C216" s="60" t="s">
        <v>8386</v>
      </c>
      <c r="D216" s="1"/>
      <c r="E216" s="68"/>
      <c r="F216" s="70"/>
      <c r="G216" s="66"/>
      <c r="H216" s="57"/>
      <c r="I216" s="58"/>
      <c r="J216" s="85" t="s">
        <v>5895</v>
      </c>
      <c r="K216" s="64" t="s">
        <v>1</v>
      </c>
      <c r="L216" s="65">
        <v>1</v>
      </c>
      <c r="M216" s="67"/>
      <c r="N216" s="68"/>
      <c r="O216" s="76"/>
      <c r="P216" s="70"/>
      <c r="Q216" s="67"/>
      <c r="R216" s="68"/>
      <c r="S216" s="76"/>
      <c r="T216" s="70"/>
      <c r="U216" s="228">
        <f>ROUND((ROUND((_15_同援日４．５*_15・２人),0)*(1+_15・区４)),0)</f>
        <v>1120</v>
      </c>
      <c r="V216" s="69"/>
    </row>
    <row r="217" spans="1:22" ht="16.5" customHeight="1" x14ac:dyDescent="0.3">
      <c r="A217" s="2">
        <v>15</v>
      </c>
      <c r="B217" s="2">
        <v>7897</v>
      </c>
      <c r="C217" s="60" t="s">
        <v>8385</v>
      </c>
      <c r="D217" s="1"/>
      <c r="E217" s="68"/>
      <c r="F217" s="70"/>
      <c r="G217" s="61" t="s">
        <v>17747</v>
      </c>
      <c r="H217" s="62"/>
      <c r="I217" s="63"/>
      <c r="J217" s="85"/>
      <c r="K217" s="64"/>
      <c r="L217" s="65"/>
      <c r="M217" s="67"/>
      <c r="N217" s="68"/>
      <c r="O217" s="76"/>
      <c r="P217" s="70"/>
      <c r="Q217" s="67" t="s">
        <v>17935</v>
      </c>
      <c r="R217" s="68"/>
      <c r="S217" s="76"/>
      <c r="T217" s="70"/>
      <c r="U217" s="228">
        <f>ROUND((ROUND((_15_同援日４．５*_15・基礎２),0)*(1+_15・区４)),0)</f>
        <v>1008</v>
      </c>
      <c r="V217" s="69"/>
    </row>
    <row r="218" spans="1:22" ht="16.5" customHeight="1" x14ac:dyDescent="0.3">
      <c r="A218" s="2">
        <v>15</v>
      </c>
      <c r="B218" s="2">
        <v>7898</v>
      </c>
      <c r="C218" s="60" t="s">
        <v>8384</v>
      </c>
      <c r="D218" s="1"/>
      <c r="E218" s="68"/>
      <c r="F218" s="70"/>
      <c r="G218" s="66" t="s">
        <v>17420</v>
      </c>
      <c r="H218" s="57" t="s">
        <v>1</v>
      </c>
      <c r="I218" s="58">
        <v>0.9</v>
      </c>
      <c r="J218" s="85" t="s">
        <v>5895</v>
      </c>
      <c r="K218" s="64" t="s">
        <v>1</v>
      </c>
      <c r="L218" s="65">
        <v>1</v>
      </c>
      <c r="M218" s="66"/>
      <c r="N218" s="57"/>
      <c r="O218" s="58"/>
      <c r="P218" s="77"/>
      <c r="Q218" s="67" t="s">
        <v>17934</v>
      </c>
      <c r="R218" s="68"/>
      <c r="S218" s="76"/>
      <c r="T218" s="70"/>
      <c r="U218" s="228">
        <f>ROUND((ROUND((ROUND((_15_同援日４．５*_15・基礎２),0)*_15・２人),0)*(1+_15・区４)),0)</f>
        <v>1008</v>
      </c>
      <c r="V218" s="69"/>
    </row>
    <row r="219" spans="1:22" ht="16.5" customHeight="1" x14ac:dyDescent="0.3">
      <c r="A219" s="2">
        <v>15</v>
      </c>
      <c r="B219" s="2">
        <v>7899</v>
      </c>
      <c r="C219" s="60" t="s">
        <v>8383</v>
      </c>
      <c r="D219" s="1"/>
      <c r="E219" s="68"/>
      <c r="F219" s="70"/>
      <c r="G219" s="61"/>
      <c r="H219" s="62"/>
      <c r="I219" s="63"/>
      <c r="J219" s="85"/>
      <c r="K219" s="64"/>
      <c r="L219" s="65"/>
      <c r="M219" s="61" t="s">
        <v>17933</v>
      </c>
      <c r="N219" s="62"/>
      <c r="O219" s="63"/>
      <c r="P219" s="75"/>
      <c r="Q219" s="67"/>
      <c r="R219" s="68" t="s">
        <v>1</v>
      </c>
      <c r="S219" s="76">
        <v>0.4</v>
      </c>
      <c r="T219" s="70" t="s">
        <v>422</v>
      </c>
      <c r="U219" s="228">
        <f>ROUND((ROUND((_15_同援日４．５*(1+_15・盲ろう)),0)*(1+_15・区４)),0)</f>
        <v>1400</v>
      </c>
      <c r="V219" s="69"/>
    </row>
    <row r="220" spans="1:22" ht="16.5" customHeight="1" x14ac:dyDescent="0.3">
      <c r="A220" s="2">
        <v>15</v>
      </c>
      <c r="B220" s="2">
        <v>7900</v>
      </c>
      <c r="C220" s="60" t="s">
        <v>8382</v>
      </c>
      <c r="D220" s="1"/>
      <c r="E220" s="68"/>
      <c r="F220" s="70"/>
      <c r="G220" s="66"/>
      <c r="H220" s="57"/>
      <c r="I220" s="58"/>
      <c r="J220" s="85" t="s">
        <v>5895</v>
      </c>
      <c r="K220" s="64" t="s">
        <v>1</v>
      </c>
      <c r="L220" s="65">
        <v>1</v>
      </c>
      <c r="M220" s="67" t="s">
        <v>17932</v>
      </c>
      <c r="N220" s="68"/>
      <c r="O220" s="76"/>
      <c r="P220" s="70"/>
      <c r="Q220" s="67"/>
      <c r="R220" s="68"/>
      <c r="S220" s="76"/>
      <c r="T220" s="70"/>
      <c r="U220" s="228">
        <f>ROUND((ROUND((ROUND((_15_同援日４．５*_15・２人),0)*(1+_15・盲ろう)),0)*(1+_15・区４)),0)</f>
        <v>1400</v>
      </c>
      <c r="V220" s="69"/>
    </row>
    <row r="221" spans="1:22" ht="16.5" customHeight="1" x14ac:dyDescent="0.3">
      <c r="A221" s="2">
        <v>15</v>
      </c>
      <c r="B221" s="2">
        <v>7901</v>
      </c>
      <c r="C221" s="60" t="s">
        <v>8381</v>
      </c>
      <c r="D221" s="1"/>
      <c r="E221" s="68"/>
      <c r="F221" s="70"/>
      <c r="G221" s="61" t="s">
        <v>17747</v>
      </c>
      <c r="H221" s="62"/>
      <c r="I221" s="63"/>
      <c r="J221" s="85"/>
      <c r="K221" s="64"/>
      <c r="L221" s="65"/>
      <c r="M221" s="67"/>
      <c r="N221" s="68" t="s">
        <v>1</v>
      </c>
      <c r="O221" s="76">
        <v>0.25</v>
      </c>
      <c r="P221" s="70" t="s">
        <v>422</v>
      </c>
      <c r="Q221" s="67"/>
      <c r="R221" s="68"/>
      <c r="S221" s="76"/>
      <c r="T221" s="70"/>
      <c r="U221" s="228">
        <f>ROUND((ROUND((ROUND((_15_同援日４．５*_15・基礎２),0)*(1+_15・盲ろう)),0)*(1+_15・区４)),0)</f>
        <v>1260</v>
      </c>
      <c r="V221" s="69"/>
    </row>
    <row r="222" spans="1:22" ht="16.5" customHeight="1" x14ac:dyDescent="0.3">
      <c r="A222" s="2">
        <v>15</v>
      </c>
      <c r="B222" s="2">
        <v>7902</v>
      </c>
      <c r="C222" s="60" t="s">
        <v>8380</v>
      </c>
      <c r="D222" s="81"/>
      <c r="E222" s="57"/>
      <c r="F222" s="77"/>
      <c r="G222" s="66" t="s">
        <v>17420</v>
      </c>
      <c r="H222" s="57" t="s">
        <v>1</v>
      </c>
      <c r="I222" s="58">
        <v>0.9</v>
      </c>
      <c r="J222" s="85" t="s">
        <v>5895</v>
      </c>
      <c r="K222" s="64" t="s">
        <v>1</v>
      </c>
      <c r="L222" s="65">
        <v>1</v>
      </c>
      <c r="M222" s="66"/>
      <c r="N222" s="57"/>
      <c r="O222" s="58"/>
      <c r="P222" s="77"/>
      <c r="Q222" s="66"/>
      <c r="R222" s="57"/>
      <c r="S222" s="58"/>
      <c r="T222" s="77"/>
      <c r="U222" s="228">
        <f>ROUND((ROUND((ROUND((ROUND((_15_同援日４．５*_15・基礎２),0)*_15・２人),0)*(1+_15・盲ろう)),0)*(1+_15・区４)),0)</f>
        <v>1260</v>
      </c>
      <c r="V222" s="69"/>
    </row>
    <row r="223" spans="1:22" ht="16.5" customHeight="1" x14ac:dyDescent="0.3">
      <c r="A223" s="2">
        <v>15</v>
      </c>
      <c r="B223" s="2">
        <v>7903</v>
      </c>
      <c r="C223" s="60" t="s">
        <v>8379</v>
      </c>
      <c r="D223" s="233" t="s">
        <v>17956</v>
      </c>
      <c r="E223" s="62"/>
      <c r="F223" s="75"/>
      <c r="G223" s="61"/>
      <c r="H223" s="62"/>
      <c r="I223" s="63"/>
      <c r="J223" s="85"/>
      <c r="K223" s="64"/>
      <c r="L223" s="65"/>
      <c r="M223" s="61"/>
      <c r="N223" s="62"/>
      <c r="O223" s="63"/>
      <c r="P223" s="75"/>
      <c r="Q223" s="61"/>
      <c r="R223" s="62"/>
      <c r="S223" s="63"/>
      <c r="T223" s="75"/>
      <c r="U223" s="228">
        <f>_15_同援日５．０</f>
        <v>863</v>
      </c>
      <c r="V223" s="69"/>
    </row>
    <row r="224" spans="1:22" ht="16.5" customHeight="1" x14ac:dyDescent="0.3">
      <c r="A224" s="2">
        <v>15</v>
      </c>
      <c r="B224" s="2">
        <v>7904</v>
      </c>
      <c r="C224" s="60" t="s">
        <v>8378</v>
      </c>
      <c r="D224" s="1" t="s">
        <v>17758</v>
      </c>
      <c r="E224" s="68"/>
      <c r="F224" s="70"/>
      <c r="G224" s="66"/>
      <c r="H224" s="57"/>
      <c r="I224" s="58"/>
      <c r="J224" s="85" t="s">
        <v>5895</v>
      </c>
      <c r="K224" s="64" t="s">
        <v>1</v>
      </c>
      <c r="L224" s="65">
        <v>1</v>
      </c>
      <c r="M224" s="67"/>
      <c r="N224" s="68"/>
      <c r="O224" s="76"/>
      <c r="P224" s="70"/>
      <c r="Q224" s="67"/>
      <c r="R224" s="68"/>
      <c r="S224" s="76"/>
      <c r="T224" s="70"/>
      <c r="U224" s="228">
        <f>ROUND((_15_同援日５．０*_15・２人),0)</f>
        <v>863</v>
      </c>
      <c r="V224" s="69"/>
    </row>
    <row r="225" spans="1:22" ht="16.5" customHeight="1" x14ac:dyDescent="0.3">
      <c r="A225" s="2">
        <v>15</v>
      </c>
      <c r="B225" s="2">
        <v>7905</v>
      </c>
      <c r="C225" s="60" t="s">
        <v>8377</v>
      </c>
      <c r="D225" s="1" t="s">
        <v>17757</v>
      </c>
      <c r="E225" s="68"/>
      <c r="F225" s="70"/>
      <c r="G225" s="61" t="s">
        <v>17747</v>
      </c>
      <c r="H225" s="62"/>
      <c r="I225" s="63"/>
      <c r="J225" s="85"/>
      <c r="K225" s="64"/>
      <c r="L225" s="65"/>
      <c r="M225" s="67"/>
      <c r="N225" s="68"/>
      <c r="O225" s="76"/>
      <c r="P225" s="70"/>
      <c r="Q225" s="67"/>
      <c r="R225" s="68"/>
      <c r="S225" s="76"/>
      <c r="T225" s="70"/>
      <c r="U225" s="228">
        <f>ROUND((_15_同援日５．０*_15・基礎２),0)</f>
        <v>777</v>
      </c>
      <c r="V225" s="69"/>
    </row>
    <row r="226" spans="1:22" ht="16.5" customHeight="1" x14ac:dyDescent="0.3">
      <c r="A226" s="2">
        <v>15</v>
      </c>
      <c r="B226" s="2">
        <v>7906</v>
      </c>
      <c r="C226" s="60" t="s">
        <v>8376</v>
      </c>
      <c r="D226" s="1"/>
      <c r="E226" s="227">
        <v>863</v>
      </c>
      <c r="F226" s="70" t="s">
        <v>0</v>
      </c>
      <c r="G226" s="66" t="s">
        <v>17420</v>
      </c>
      <c r="H226" s="57" t="s">
        <v>1</v>
      </c>
      <c r="I226" s="58">
        <v>0.9</v>
      </c>
      <c r="J226" s="85" t="s">
        <v>5895</v>
      </c>
      <c r="K226" s="64" t="s">
        <v>1</v>
      </c>
      <c r="L226" s="65">
        <v>1</v>
      </c>
      <c r="M226" s="66"/>
      <c r="N226" s="57"/>
      <c r="O226" s="58"/>
      <c r="P226" s="77"/>
      <c r="Q226" s="67"/>
      <c r="R226" s="68"/>
      <c r="S226" s="76"/>
      <c r="T226" s="70"/>
      <c r="U226" s="228">
        <f>ROUND((ROUND((_15_同援日５．０*_15・基礎２),0)*_15・２人),0)</f>
        <v>777</v>
      </c>
      <c r="V226" s="69"/>
    </row>
    <row r="227" spans="1:22" ht="16.5" customHeight="1" x14ac:dyDescent="0.3">
      <c r="A227" s="2">
        <v>15</v>
      </c>
      <c r="B227" s="2">
        <v>7907</v>
      </c>
      <c r="C227" s="60" t="s">
        <v>8375</v>
      </c>
      <c r="D227" s="1"/>
      <c r="E227" s="68"/>
      <c r="F227" s="70"/>
      <c r="G227" s="61"/>
      <c r="H227" s="62"/>
      <c r="I227" s="63"/>
      <c r="J227" s="85"/>
      <c r="K227" s="64"/>
      <c r="L227" s="65"/>
      <c r="M227" s="61" t="s">
        <v>17933</v>
      </c>
      <c r="N227" s="62"/>
      <c r="O227" s="63"/>
      <c r="P227" s="75"/>
      <c r="Q227" s="67"/>
      <c r="R227" s="68"/>
      <c r="S227" s="76"/>
      <c r="T227" s="70"/>
      <c r="U227" s="228">
        <f>ROUND((_15_同援日５．０*(1+_15・盲ろう)),0)</f>
        <v>1079</v>
      </c>
      <c r="V227" s="69"/>
    </row>
    <row r="228" spans="1:22" ht="16.5" customHeight="1" x14ac:dyDescent="0.3">
      <c r="A228" s="2">
        <v>15</v>
      </c>
      <c r="B228" s="2">
        <v>7908</v>
      </c>
      <c r="C228" s="60" t="s">
        <v>8374</v>
      </c>
      <c r="D228" s="1"/>
      <c r="E228" s="68"/>
      <c r="F228" s="70"/>
      <c r="G228" s="66"/>
      <c r="H228" s="57"/>
      <c r="I228" s="58"/>
      <c r="J228" s="85" t="s">
        <v>5895</v>
      </c>
      <c r="K228" s="64" t="s">
        <v>1</v>
      </c>
      <c r="L228" s="65">
        <v>1</v>
      </c>
      <c r="M228" s="67" t="s">
        <v>17932</v>
      </c>
      <c r="N228" s="68"/>
      <c r="O228" s="76"/>
      <c r="P228" s="70"/>
      <c r="Q228" s="67"/>
      <c r="R228" s="68"/>
      <c r="S228" s="76"/>
      <c r="T228" s="70"/>
      <c r="U228" s="228">
        <f>ROUND((ROUND((_15_同援日５．０*_15・２人),0)*(1+_15・盲ろう)),0)</f>
        <v>1079</v>
      </c>
      <c r="V228" s="69"/>
    </row>
    <row r="229" spans="1:22" ht="16.5" customHeight="1" x14ac:dyDescent="0.3">
      <c r="A229" s="2">
        <v>15</v>
      </c>
      <c r="B229" s="2">
        <v>7909</v>
      </c>
      <c r="C229" s="60" t="s">
        <v>8373</v>
      </c>
      <c r="D229" s="1"/>
      <c r="E229" s="68"/>
      <c r="F229" s="70"/>
      <c r="G229" s="61" t="s">
        <v>17747</v>
      </c>
      <c r="H229" s="62"/>
      <c r="I229" s="63"/>
      <c r="J229" s="85"/>
      <c r="K229" s="64"/>
      <c r="L229" s="65"/>
      <c r="M229" s="67"/>
      <c r="N229" s="68" t="s">
        <v>1</v>
      </c>
      <c r="O229" s="76">
        <v>0.25</v>
      </c>
      <c r="P229" s="70" t="s">
        <v>422</v>
      </c>
      <c r="Q229" s="67"/>
      <c r="R229" s="68"/>
      <c r="S229" s="76"/>
      <c r="T229" s="70"/>
      <c r="U229" s="228">
        <f>ROUND((ROUND((_15_同援日５．０*_15・基礎２),0)*(1+_15・盲ろう)),0)</f>
        <v>971</v>
      </c>
      <c r="V229" s="69"/>
    </row>
    <row r="230" spans="1:22" ht="16.5" customHeight="1" x14ac:dyDescent="0.3">
      <c r="A230" s="2">
        <v>15</v>
      </c>
      <c r="B230" s="2">
        <v>7910</v>
      </c>
      <c r="C230" s="60" t="s">
        <v>8372</v>
      </c>
      <c r="D230" s="1"/>
      <c r="E230" s="68"/>
      <c r="F230" s="70"/>
      <c r="G230" s="66" t="s">
        <v>17420</v>
      </c>
      <c r="H230" s="57" t="s">
        <v>1</v>
      </c>
      <c r="I230" s="58">
        <v>0.9</v>
      </c>
      <c r="J230" s="85" t="s">
        <v>5895</v>
      </c>
      <c r="K230" s="64" t="s">
        <v>1</v>
      </c>
      <c r="L230" s="65">
        <v>1</v>
      </c>
      <c r="M230" s="66"/>
      <c r="N230" s="57"/>
      <c r="O230" s="58"/>
      <c r="P230" s="77"/>
      <c r="Q230" s="66"/>
      <c r="R230" s="57"/>
      <c r="S230" s="58"/>
      <c r="T230" s="77"/>
      <c r="U230" s="228">
        <f>ROUND((ROUND((ROUND((_15_同援日５．０*_15・基礎２),0)*_15・２人),0)*(1+_15・盲ろう)),0)</f>
        <v>971</v>
      </c>
      <c r="V230" s="69"/>
    </row>
    <row r="231" spans="1:22" ht="16.5" customHeight="1" x14ac:dyDescent="0.3">
      <c r="A231" s="2">
        <v>15</v>
      </c>
      <c r="B231" s="2">
        <v>7911</v>
      </c>
      <c r="C231" s="60" t="s">
        <v>8371</v>
      </c>
      <c r="D231" s="1"/>
      <c r="E231" s="68"/>
      <c r="F231" s="70"/>
      <c r="G231" s="61"/>
      <c r="H231" s="62"/>
      <c r="I231" s="63"/>
      <c r="J231" s="85"/>
      <c r="K231" s="64"/>
      <c r="L231" s="65"/>
      <c r="M231" s="61"/>
      <c r="N231" s="62"/>
      <c r="O231" s="63"/>
      <c r="P231" s="75"/>
      <c r="Q231" s="61"/>
      <c r="R231" s="62"/>
      <c r="S231" s="63"/>
      <c r="T231" s="75"/>
      <c r="U231" s="228">
        <f>ROUND((_15_同援日５．０*(1+_15・区３)),0)</f>
        <v>1036</v>
      </c>
      <c r="V231" s="69"/>
    </row>
    <row r="232" spans="1:22" ht="16.5" customHeight="1" x14ac:dyDescent="0.3">
      <c r="A232" s="2">
        <v>15</v>
      </c>
      <c r="B232" s="2">
        <v>7912</v>
      </c>
      <c r="C232" s="60" t="s">
        <v>8370</v>
      </c>
      <c r="D232" s="1"/>
      <c r="E232" s="68"/>
      <c r="F232" s="70"/>
      <c r="G232" s="66"/>
      <c r="H232" s="57"/>
      <c r="I232" s="58"/>
      <c r="J232" s="85" t="s">
        <v>5895</v>
      </c>
      <c r="K232" s="64" t="s">
        <v>1</v>
      </c>
      <c r="L232" s="65">
        <v>1</v>
      </c>
      <c r="M232" s="67"/>
      <c r="N232" s="68"/>
      <c r="O232" s="76"/>
      <c r="P232" s="70"/>
      <c r="Q232" s="67"/>
      <c r="R232" s="68"/>
      <c r="S232" s="76"/>
      <c r="T232" s="70"/>
      <c r="U232" s="228">
        <f>ROUND((ROUND((_15_同援日５．０*_15・２人),0)*(1+_15・区３)),0)</f>
        <v>1036</v>
      </c>
      <c r="V232" s="69"/>
    </row>
    <row r="233" spans="1:22" ht="16.5" customHeight="1" x14ac:dyDescent="0.3">
      <c r="A233" s="2">
        <v>15</v>
      </c>
      <c r="B233" s="2">
        <v>7913</v>
      </c>
      <c r="C233" s="60" t="s">
        <v>8369</v>
      </c>
      <c r="D233" s="1"/>
      <c r="E233" s="68"/>
      <c r="F233" s="70"/>
      <c r="G233" s="61" t="s">
        <v>17747</v>
      </c>
      <c r="H233" s="62"/>
      <c r="I233" s="63"/>
      <c r="J233" s="85"/>
      <c r="K233" s="64"/>
      <c r="L233" s="65"/>
      <c r="M233" s="67"/>
      <c r="N233" s="68"/>
      <c r="O233" s="76"/>
      <c r="P233" s="70"/>
      <c r="Q233" s="67" t="s">
        <v>17936</v>
      </c>
      <c r="R233" s="68"/>
      <c r="S233" s="76"/>
      <c r="T233" s="70"/>
      <c r="U233" s="228">
        <f>ROUND((ROUND((_15_同援日５．０*_15・基礎２),0)*(1+_15・区３)),0)</f>
        <v>932</v>
      </c>
      <c r="V233" s="69"/>
    </row>
    <row r="234" spans="1:22" ht="16.5" customHeight="1" x14ac:dyDescent="0.3">
      <c r="A234" s="2">
        <v>15</v>
      </c>
      <c r="B234" s="2">
        <v>7914</v>
      </c>
      <c r="C234" s="60" t="s">
        <v>8368</v>
      </c>
      <c r="D234" s="1"/>
      <c r="E234" s="68"/>
      <c r="F234" s="70"/>
      <c r="G234" s="66" t="s">
        <v>17420</v>
      </c>
      <c r="H234" s="57" t="s">
        <v>1</v>
      </c>
      <c r="I234" s="58">
        <v>0.9</v>
      </c>
      <c r="J234" s="85" t="s">
        <v>5895</v>
      </c>
      <c r="K234" s="64" t="s">
        <v>1</v>
      </c>
      <c r="L234" s="65">
        <v>1</v>
      </c>
      <c r="M234" s="66"/>
      <c r="N234" s="57"/>
      <c r="O234" s="58"/>
      <c r="P234" s="77"/>
      <c r="Q234" s="67" t="s">
        <v>17934</v>
      </c>
      <c r="R234" s="68"/>
      <c r="S234" s="76"/>
      <c r="T234" s="70"/>
      <c r="U234" s="228">
        <f>ROUND((ROUND((ROUND((_15_同援日５．０*_15・基礎２),0)*_15・２人),0)*(1+_15・区３)),0)</f>
        <v>932</v>
      </c>
      <c r="V234" s="69"/>
    </row>
    <row r="235" spans="1:22" ht="16.5" customHeight="1" x14ac:dyDescent="0.3">
      <c r="A235" s="2">
        <v>15</v>
      </c>
      <c r="B235" s="2">
        <v>7915</v>
      </c>
      <c r="C235" s="60" t="s">
        <v>8367</v>
      </c>
      <c r="D235" s="1"/>
      <c r="E235" s="68"/>
      <c r="F235" s="70"/>
      <c r="G235" s="61"/>
      <c r="H235" s="62"/>
      <c r="I235" s="63"/>
      <c r="J235" s="85"/>
      <c r="K235" s="64"/>
      <c r="L235" s="65"/>
      <c r="M235" s="61" t="s">
        <v>17933</v>
      </c>
      <c r="N235" s="62"/>
      <c r="O235" s="63"/>
      <c r="P235" s="75"/>
      <c r="Q235" s="67"/>
      <c r="R235" s="68" t="s">
        <v>1</v>
      </c>
      <c r="S235" s="76">
        <v>0.2</v>
      </c>
      <c r="T235" s="70" t="s">
        <v>422</v>
      </c>
      <c r="U235" s="228">
        <f>ROUND((ROUND((_15_同援日５．０*(1+_15・盲ろう)),0)*(1+_15・区３)),0)</f>
        <v>1295</v>
      </c>
      <c r="V235" s="69"/>
    </row>
    <row r="236" spans="1:22" ht="16.5" customHeight="1" x14ac:dyDescent="0.3">
      <c r="A236" s="2">
        <v>15</v>
      </c>
      <c r="B236" s="2">
        <v>7916</v>
      </c>
      <c r="C236" s="60" t="s">
        <v>8366</v>
      </c>
      <c r="D236" s="1"/>
      <c r="E236" s="68"/>
      <c r="F236" s="70"/>
      <c r="G236" s="66"/>
      <c r="H236" s="57"/>
      <c r="I236" s="58"/>
      <c r="J236" s="85" t="s">
        <v>5895</v>
      </c>
      <c r="K236" s="64" t="s">
        <v>1</v>
      </c>
      <c r="L236" s="65">
        <v>1</v>
      </c>
      <c r="M236" s="67" t="s">
        <v>17932</v>
      </c>
      <c r="N236" s="68"/>
      <c r="O236" s="76"/>
      <c r="P236" s="70"/>
      <c r="Q236" s="67"/>
      <c r="R236" s="68"/>
      <c r="S236" s="76"/>
      <c r="T236" s="70"/>
      <c r="U236" s="228">
        <f>ROUND((ROUND((ROUND((_15_同援日５．０*_15・２人),0)*(1+_15・盲ろう)),0)*(1+_15・区３)),0)</f>
        <v>1295</v>
      </c>
      <c r="V236" s="69"/>
    </row>
    <row r="237" spans="1:22" ht="16.5" customHeight="1" x14ac:dyDescent="0.3">
      <c r="A237" s="2">
        <v>15</v>
      </c>
      <c r="B237" s="2">
        <v>7917</v>
      </c>
      <c r="C237" s="60" t="s">
        <v>8365</v>
      </c>
      <c r="D237" s="1"/>
      <c r="E237" s="68"/>
      <c r="F237" s="70"/>
      <c r="G237" s="61" t="s">
        <v>17747</v>
      </c>
      <c r="H237" s="62"/>
      <c r="I237" s="63"/>
      <c r="J237" s="85"/>
      <c r="K237" s="64"/>
      <c r="L237" s="65"/>
      <c r="M237" s="67"/>
      <c r="N237" s="68" t="s">
        <v>1</v>
      </c>
      <c r="O237" s="76">
        <v>0.25</v>
      </c>
      <c r="P237" s="70" t="s">
        <v>422</v>
      </c>
      <c r="Q237" s="67"/>
      <c r="R237" s="68"/>
      <c r="S237" s="76"/>
      <c r="T237" s="70"/>
      <c r="U237" s="228">
        <f>ROUND((ROUND((ROUND((_15_同援日５．０*_15・基礎２),0)*(1+_15・盲ろう)),0)*(1+_15・区３)),0)</f>
        <v>1165</v>
      </c>
      <c r="V237" s="69"/>
    </row>
    <row r="238" spans="1:22" ht="16.5" customHeight="1" x14ac:dyDescent="0.3">
      <c r="A238" s="2">
        <v>15</v>
      </c>
      <c r="B238" s="2">
        <v>7918</v>
      </c>
      <c r="C238" s="60" t="s">
        <v>8364</v>
      </c>
      <c r="D238" s="1"/>
      <c r="E238" s="68"/>
      <c r="F238" s="70"/>
      <c r="G238" s="66" t="s">
        <v>17420</v>
      </c>
      <c r="H238" s="57" t="s">
        <v>1</v>
      </c>
      <c r="I238" s="58">
        <v>0.9</v>
      </c>
      <c r="J238" s="85" t="s">
        <v>5895</v>
      </c>
      <c r="K238" s="64" t="s">
        <v>1</v>
      </c>
      <c r="L238" s="65">
        <v>1</v>
      </c>
      <c r="M238" s="66"/>
      <c r="N238" s="57"/>
      <c r="O238" s="58"/>
      <c r="P238" s="77"/>
      <c r="Q238" s="66"/>
      <c r="R238" s="57"/>
      <c r="S238" s="58"/>
      <c r="T238" s="77"/>
      <c r="U238" s="228">
        <f>ROUND((ROUND((ROUND((ROUND((_15_同援日５．０*_15・基礎２),0)*_15・２人),0)*(1+_15・盲ろう)),0)*(1+_15・区３)),0)</f>
        <v>1165</v>
      </c>
      <c r="V238" s="69"/>
    </row>
    <row r="239" spans="1:22" ht="16.5" customHeight="1" x14ac:dyDescent="0.3">
      <c r="A239" s="2">
        <v>15</v>
      </c>
      <c r="B239" s="2">
        <v>7919</v>
      </c>
      <c r="C239" s="60" t="s">
        <v>8363</v>
      </c>
      <c r="D239" s="1"/>
      <c r="E239" s="68"/>
      <c r="F239" s="70"/>
      <c r="G239" s="61"/>
      <c r="H239" s="62"/>
      <c r="I239" s="63"/>
      <c r="J239" s="85"/>
      <c r="K239" s="64"/>
      <c r="L239" s="65"/>
      <c r="M239" s="61"/>
      <c r="N239" s="62"/>
      <c r="O239" s="63"/>
      <c r="P239" s="75"/>
      <c r="Q239" s="61"/>
      <c r="R239" s="62"/>
      <c r="S239" s="63"/>
      <c r="T239" s="75"/>
      <c r="U239" s="228">
        <f>ROUND((_15_同援日５．０*(1+_15・区４)),0)</f>
        <v>1208</v>
      </c>
      <c r="V239" s="69"/>
    </row>
    <row r="240" spans="1:22" ht="16.5" customHeight="1" x14ac:dyDescent="0.3">
      <c r="A240" s="2">
        <v>15</v>
      </c>
      <c r="B240" s="2">
        <v>7920</v>
      </c>
      <c r="C240" s="60" t="s">
        <v>8362</v>
      </c>
      <c r="D240" s="1"/>
      <c r="E240" s="68"/>
      <c r="F240" s="70"/>
      <c r="G240" s="66"/>
      <c r="H240" s="57"/>
      <c r="I240" s="58"/>
      <c r="J240" s="85" t="s">
        <v>5895</v>
      </c>
      <c r="K240" s="64" t="s">
        <v>1</v>
      </c>
      <c r="L240" s="65">
        <v>1</v>
      </c>
      <c r="M240" s="67"/>
      <c r="N240" s="68"/>
      <c r="O240" s="76"/>
      <c r="P240" s="70"/>
      <c r="Q240" s="67"/>
      <c r="R240" s="68"/>
      <c r="S240" s="76"/>
      <c r="T240" s="70"/>
      <c r="U240" s="228">
        <f>ROUND((ROUND((_15_同援日５．０*_15・２人),0)*(1+_15・区４)),0)</f>
        <v>1208</v>
      </c>
      <c r="V240" s="69"/>
    </row>
    <row r="241" spans="1:22" ht="16.5" customHeight="1" x14ac:dyDescent="0.3">
      <c r="A241" s="2">
        <v>15</v>
      </c>
      <c r="B241" s="2">
        <v>7921</v>
      </c>
      <c r="C241" s="60" t="s">
        <v>8361</v>
      </c>
      <c r="D241" s="1"/>
      <c r="E241" s="68"/>
      <c r="F241" s="70"/>
      <c r="G241" s="61" t="s">
        <v>17747</v>
      </c>
      <c r="H241" s="62"/>
      <c r="I241" s="63"/>
      <c r="J241" s="85"/>
      <c r="K241" s="64"/>
      <c r="L241" s="65"/>
      <c r="M241" s="67"/>
      <c r="N241" s="68"/>
      <c r="O241" s="76"/>
      <c r="P241" s="70"/>
      <c r="Q241" s="67" t="s">
        <v>17935</v>
      </c>
      <c r="R241" s="68"/>
      <c r="S241" s="76"/>
      <c r="T241" s="70"/>
      <c r="U241" s="228">
        <f>ROUND((ROUND((_15_同援日５．０*_15・基礎２),0)*(1+_15・区４)),0)</f>
        <v>1088</v>
      </c>
      <c r="V241" s="69"/>
    </row>
    <row r="242" spans="1:22" ht="16.5" customHeight="1" x14ac:dyDescent="0.3">
      <c r="A242" s="2">
        <v>15</v>
      </c>
      <c r="B242" s="2">
        <v>7922</v>
      </c>
      <c r="C242" s="60" t="s">
        <v>8360</v>
      </c>
      <c r="D242" s="1"/>
      <c r="E242" s="68"/>
      <c r="F242" s="70"/>
      <c r="G242" s="66" t="s">
        <v>17420</v>
      </c>
      <c r="H242" s="57" t="s">
        <v>1</v>
      </c>
      <c r="I242" s="58">
        <v>0.9</v>
      </c>
      <c r="J242" s="85" t="s">
        <v>5895</v>
      </c>
      <c r="K242" s="64" t="s">
        <v>1</v>
      </c>
      <c r="L242" s="65">
        <v>1</v>
      </c>
      <c r="M242" s="66"/>
      <c r="N242" s="57"/>
      <c r="O242" s="58"/>
      <c r="P242" s="77"/>
      <c r="Q242" s="67" t="s">
        <v>17934</v>
      </c>
      <c r="R242" s="68"/>
      <c r="S242" s="76"/>
      <c r="T242" s="70"/>
      <c r="U242" s="228">
        <f>ROUND((ROUND((ROUND((_15_同援日５．０*_15・基礎２),0)*_15・２人),0)*(1+_15・区４)),0)</f>
        <v>1088</v>
      </c>
      <c r="V242" s="69"/>
    </row>
    <row r="243" spans="1:22" ht="16.5" customHeight="1" x14ac:dyDescent="0.3">
      <c r="A243" s="2">
        <v>15</v>
      </c>
      <c r="B243" s="2">
        <v>7923</v>
      </c>
      <c r="C243" s="60" t="s">
        <v>8359</v>
      </c>
      <c r="D243" s="1"/>
      <c r="E243" s="68"/>
      <c r="F243" s="70"/>
      <c r="G243" s="61"/>
      <c r="H243" s="62"/>
      <c r="I243" s="63"/>
      <c r="J243" s="85"/>
      <c r="K243" s="64"/>
      <c r="L243" s="65"/>
      <c r="M243" s="61" t="s">
        <v>17933</v>
      </c>
      <c r="N243" s="62"/>
      <c r="O243" s="63"/>
      <c r="P243" s="75"/>
      <c r="Q243" s="67"/>
      <c r="R243" s="68" t="s">
        <v>1</v>
      </c>
      <c r="S243" s="76">
        <v>0.4</v>
      </c>
      <c r="T243" s="70" t="s">
        <v>422</v>
      </c>
      <c r="U243" s="228">
        <f>ROUND((ROUND((_15_同援日５．０*(1+_15・盲ろう)),0)*(1+_15・区４)),0)</f>
        <v>1511</v>
      </c>
      <c r="V243" s="69"/>
    </row>
    <row r="244" spans="1:22" ht="16.5" customHeight="1" x14ac:dyDescent="0.3">
      <c r="A244" s="2">
        <v>15</v>
      </c>
      <c r="B244" s="2">
        <v>7924</v>
      </c>
      <c r="C244" s="60" t="s">
        <v>8358</v>
      </c>
      <c r="D244" s="1"/>
      <c r="E244" s="68"/>
      <c r="F244" s="70"/>
      <c r="G244" s="66"/>
      <c r="H244" s="57"/>
      <c r="I244" s="58"/>
      <c r="J244" s="85" t="s">
        <v>5895</v>
      </c>
      <c r="K244" s="64" t="s">
        <v>1</v>
      </c>
      <c r="L244" s="65">
        <v>1</v>
      </c>
      <c r="M244" s="67" t="s">
        <v>17932</v>
      </c>
      <c r="N244" s="68"/>
      <c r="O244" s="76"/>
      <c r="P244" s="70"/>
      <c r="Q244" s="67"/>
      <c r="R244" s="68"/>
      <c r="S244" s="76"/>
      <c r="T244" s="70"/>
      <c r="U244" s="228">
        <f>ROUND((ROUND((ROUND((_15_同援日５．０*_15・２人),0)*(1+_15・盲ろう)),0)*(1+_15・区４)),0)</f>
        <v>1511</v>
      </c>
      <c r="V244" s="69"/>
    </row>
    <row r="245" spans="1:22" ht="16.5" customHeight="1" x14ac:dyDescent="0.3">
      <c r="A245" s="2">
        <v>15</v>
      </c>
      <c r="B245" s="2">
        <v>7925</v>
      </c>
      <c r="C245" s="60" t="s">
        <v>8357</v>
      </c>
      <c r="D245" s="1"/>
      <c r="E245" s="68"/>
      <c r="F245" s="70"/>
      <c r="G245" s="61" t="s">
        <v>17747</v>
      </c>
      <c r="H245" s="62"/>
      <c r="I245" s="63"/>
      <c r="J245" s="85"/>
      <c r="K245" s="64"/>
      <c r="L245" s="65"/>
      <c r="M245" s="67"/>
      <c r="N245" s="68" t="s">
        <v>1</v>
      </c>
      <c r="O245" s="76">
        <v>0.25</v>
      </c>
      <c r="P245" s="70" t="s">
        <v>422</v>
      </c>
      <c r="Q245" s="67"/>
      <c r="R245" s="68"/>
      <c r="S245" s="76"/>
      <c r="T245" s="70"/>
      <c r="U245" s="228">
        <f>ROUND((ROUND((ROUND((_15_同援日５．０*_15・基礎２),0)*(1+_15・盲ろう)),0)*(1+_15・区４)),0)</f>
        <v>1359</v>
      </c>
      <c r="V245" s="69"/>
    </row>
    <row r="246" spans="1:22" ht="16.5" customHeight="1" x14ac:dyDescent="0.3">
      <c r="A246" s="2">
        <v>15</v>
      </c>
      <c r="B246" s="2">
        <v>7926</v>
      </c>
      <c r="C246" s="60" t="s">
        <v>8356</v>
      </c>
      <c r="D246" s="81"/>
      <c r="E246" s="57"/>
      <c r="F246" s="77"/>
      <c r="G246" s="66" t="s">
        <v>17420</v>
      </c>
      <c r="H246" s="57" t="s">
        <v>1</v>
      </c>
      <c r="I246" s="58">
        <v>0.9</v>
      </c>
      <c r="J246" s="85" t="s">
        <v>5895</v>
      </c>
      <c r="K246" s="64" t="s">
        <v>1</v>
      </c>
      <c r="L246" s="65">
        <v>1</v>
      </c>
      <c r="M246" s="66"/>
      <c r="N246" s="57"/>
      <c r="O246" s="58"/>
      <c r="P246" s="77"/>
      <c r="Q246" s="66"/>
      <c r="R246" s="57"/>
      <c r="S246" s="58"/>
      <c r="T246" s="77"/>
      <c r="U246" s="228">
        <f>ROUND((ROUND((ROUND((ROUND((_15_同援日５．０*_15・基礎２),0)*_15・２人),0)*(1+_15・盲ろう)),0)*(1+_15・区４)),0)</f>
        <v>1359</v>
      </c>
      <c r="V246" s="69"/>
    </row>
    <row r="247" spans="1:22" ht="16.5" customHeight="1" x14ac:dyDescent="0.3">
      <c r="A247" s="2">
        <v>15</v>
      </c>
      <c r="B247" s="2">
        <v>7927</v>
      </c>
      <c r="C247" s="60" t="s">
        <v>8355</v>
      </c>
      <c r="D247" s="233" t="s">
        <v>17955</v>
      </c>
      <c r="E247" s="62"/>
      <c r="F247" s="75"/>
      <c r="G247" s="61"/>
      <c r="H247" s="62"/>
      <c r="I247" s="63"/>
      <c r="J247" s="85"/>
      <c r="K247" s="64"/>
      <c r="L247" s="65"/>
      <c r="M247" s="61"/>
      <c r="N247" s="62"/>
      <c r="O247" s="63"/>
      <c r="P247" s="75"/>
      <c r="Q247" s="61"/>
      <c r="R247" s="62"/>
      <c r="S247" s="63"/>
      <c r="T247" s="75"/>
      <c r="U247" s="228">
        <f>_15_同援日５．５</f>
        <v>926</v>
      </c>
      <c r="V247" s="69"/>
    </row>
    <row r="248" spans="1:22" ht="16.5" customHeight="1" x14ac:dyDescent="0.3">
      <c r="A248" s="2">
        <v>15</v>
      </c>
      <c r="B248" s="2">
        <v>7928</v>
      </c>
      <c r="C248" s="60" t="s">
        <v>8354</v>
      </c>
      <c r="D248" s="1" t="s">
        <v>17755</v>
      </c>
      <c r="E248" s="68"/>
      <c r="F248" s="70"/>
      <c r="G248" s="66"/>
      <c r="H248" s="57"/>
      <c r="I248" s="58"/>
      <c r="J248" s="85" t="s">
        <v>5895</v>
      </c>
      <c r="K248" s="64" t="s">
        <v>1</v>
      </c>
      <c r="L248" s="65">
        <v>1</v>
      </c>
      <c r="M248" s="67"/>
      <c r="N248" s="68"/>
      <c r="O248" s="76"/>
      <c r="P248" s="70"/>
      <c r="Q248" s="67"/>
      <c r="R248" s="68"/>
      <c r="S248" s="76"/>
      <c r="T248" s="70"/>
      <c r="U248" s="228">
        <f>ROUND((_15_同援日５．５*_15・２人),0)</f>
        <v>926</v>
      </c>
      <c r="V248" s="69"/>
    </row>
    <row r="249" spans="1:22" ht="16.5" customHeight="1" x14ac:dyDescent="0.3">
      <c r="A249" s="2">
        <v>15</v>
      </c>
      <c r="B249" s="2">
        <v>7929</v>
      </c>
      <c r="C249" s="60" t="s">
        <v>8353</v>
      </c>
      <c r="D249" s="1" t="s">
        <v>17754</v>
      </c>
      <c r="E249" s="68"/>
      <c r="F249" s="70"/>
      <c r="G249" s="61" t="s">
        <v>17747</v>
      </c>
      <c r="H249" s="62"/>
      <c r="I249" s="63"/>
      <c r="J249" s="85"/>
      <c r="K249" s="64"/>
      <c r="L249" s="65"/>
      <c r="M249" s="67"/>
      <c r="N249" s="68"/>
      <c r="O249" s="76"/>
      <c r="P249" s="70"/>
      <c r="Q249" s="67"/>
      <c r="R249" s="68"/>
      <c r="S249" s="76"/>
      <c r="T249" s="70"/>
      <c r="U249" s="120">
        <f>ROUND((_15_同援日５．５*_15・基礎２),0)</f>
        <v>833</v>
      </c>
      <c r="V249" s="69"/>
    </row>
    <row r="250" spans="1:22" ht="16.5" customHeight="1" x14ac:dyDescent="0.3">
      <c r="A250" s="2">
        <v>15</v>
      </c>
      <c r="B250" s="2">
        <v>7930</v>
      </c>
      <c r="C250" s="60" t="s">
        <v>8352</v>
      </c>
      <c r="D250" s="1"/>
      <c r="E250" s="227">
        <v>926</v>
      </c>
      <c r="F250" s="70" t="s">
        <v>0</v>
      </c>
      <c r="G250" s="66" t="s">
        <v>17420</v>
      </c>
      <c r="H250" s="57" t="s">
        <v>1</v>
      </c>
      <c r="I250" s="58">
        <v>0.9</v>
      </c>
      <c r="J250" s="85" t="s">
        <v>5895</v>
      </c>
      <c r="K250" s="64" t="s">
        <v>1</v>
      </c>
      <c r="L250" s="65">
        <v>1</v>
      </c>
      <c r="M250" s="66"/>
      <c r="N250" s="57"/>
      <c r="O250" s="58"/>
      <c r="P250" s="77"/>
      <c r="Q250" s="67"/>
      <c r="R250" s="68"/>
      <c r="S250" s="76"/>
      <c r="T250" s="70"/>
      <c r="U250" s="120">
        <f>ROUND((ROUND((_15_同援日５．５*_15・基礎２),0)*_15・２人),0)</f>
        <v>833</v>
      </c>
      <c r="V250" s="69"/>
    </row>
    <row r="251" spans="1:22" ht="16.5" customHeight="1" x14ac:dyDescent="0.3">
      <c r="A251" s="2">
        <v>15</v>
      </c>
      <c r="B251" s="2">
        <v>7931</v>
      </c>
      <c r="C251" s="60" t="s">
        <v>8351</v>
      </c>
      <c r="D251" s="1"/>
      <c r="E251" s="68"/>
      <c r="F251" s="70"/>
      <c r="G251" s="61"/>
      <c r="H251" s="62"/>
      <c r="I251" s="63"/>
      <c r="J251" s="85"/>
      <c r="K251" s="64"/>
      <c r="L251" s="65"/>
      <c r="M251" s="61" t="s">
        <v>17933</v>
      </c>
      <c r="N251" s="62"/>
      <c r="O251" s="63"/>
      <c r="P251" s="75"/>
      <c r="Q251" s="67"/>
      <c r="R251" s="68"/>
      <c r="S251" s="76"/>
      <c r="T251" s="70"/>
      <c r="U251" s="228">
        <f>ROUND((_15_同援日５．５*(1+_15・盲ろう)),0)</f>
        <v>1158</v>
      </c>
      <c r="V251" s="69"/>
    </row>
    <row r="252" spans="1:22" ht="16.5" customHeight="1" x14ac:dyDescent="0.3">
      <c r="A252" s="2">
        <v>15</v>
      </c>
      <c r="B252" s="2">
        <v>7932</v>
      </c>
      <c r="C252" s="60" t="s">
        <v>8350</v>
      </c>
      <c r="D252" s="1"/>
      <c r="E252" s="68"/>
      <c r="F252" s="70"/>
      <c r="G252" s="66"/>
      <c r="H252" s="57"/>
      <c r="I252" s="58"/>
      <c r="J252" s="85" t="s">
        <v>5895</v>
      </c>
      <c r="K252" s="64" t="s">
        <v>1</v>
      </c>
      <c r="L252" s="65">
        <v>1</v>
      </c>
      <c r="M252" s="67" t="s">
        <v>8083</v>
      </c>
      <c r="N252" s="68"/>
      <c r="O252" s="76"/>
      <c r="P252" s="70"/>
      <c r="Q252" s="67"/>
      <c r="R252" s="68"/>
      <c r="S252" s="76"/>
      <c r="T252" s="70"/>
      <c r="U252" s="228">
        <f>ROUND((ROUND((_15_同援日５．５*_15・２人),0)*(1+_15・盲ろう)),0)</f>
        <v>1158</v>
      </c>
      <c r="V252" s="69"/>
    </row>
    <row r="253" spans="1:22" ht="16.5" customHeight="1" x14ac:dyDescent="0.3">
      <c r="A253" s="2">
        <v>15</v>
      </c>
      <c r="B253" s="2">
        <v>7933</v>
      </c>
      <c r="C253" s="60" t="s">
        <v>8349</v>
      </c>
      <c r="D253" s="1"/>
      <c r="E253" s="68"/>
      <c r="F253" s="70"/>
      <c r="G253" s="61" t="s">
        <v>17747</v>
      </c>
      <c r="H253" s="62"/>
      <c r="I253" s="63"/>
      <c r="J253" s="85"/>
      <c r="K253" s="64"/>
      <c r="L253" s="65"/>
      <c r="M253" s="67"/>
      <c r="N253" s="68" t="s">
        <v>1</v>
      </c>
      <c r="O253" s="76">
        <v>0.25</v>
      </c>
      <c r="P253" s="70" t="s">
        <v>422</v>
      </c>
      <c r="Q253" s="67"/>
      <c r="R253" s="68"/>
      <c r="S253" s="76"/>
      <c r="T253" s="70"/>
      <c r="U253" s="120">
        <f>ROUND((ROUND((_15_同援日５．５*_15・基礎２),0)*(1+_15・盲ろう)),0)</f>
        <v>1041</v>
      </c>
      <c r="V253" s="69"/>
    </row>
    <row r="254" spans="1:22" ht="16.5" customHeight="1" x14ac:dyDescent="0.3">
      <c r="A254" s="2">
        <v>15</v>
      </c>
      <c r="B254" s="2">
        <v>7934</v>
      </c>
      <c r="C254" s="60" t="s">
        <v>8348</v>
      </c>
      <c r="D254" s="1"/>
      <c r="E254" s="68"/>
      <c r="F254" s="70"/>
      <c r="G254" s="66" t="s">
        <v>17420</v>
      </c>
      <c r="H254" s="57" t="s">
        <v>1</v>
      </c>
      <c r="I254" s="58">
        <v>0.9</v>
      </c>
      <c r="J254" s="85" t="s">
        <v>5895</v>
      </c>
      <c r="K254" s="64" t="s">
        <v>1</v>
      </c>
      <c r="L254" s="65">
        <v>1</v>
      </c>
      <c r="M254" s="66"/>
      <c r="N254" s="57"/>
      <c r="O254" s="58"/>
      <c r="P254" s="77"/>
      <c r="Q254" s="66"/>
      <c r="R254" s="57"/>
      <c r="S254" s="58"/>
      <c r="T254" s="77"/>
      <c r="U254" s="120">
        <f>ROUND((ROUND((ROUND((_15_同援日５．５*_15・基礎２),0)*_15・２人),0)*(1+_15・盲ろう)),0)</f>
        <v>1041</v>
      </c>
      <c r="V254" s="69"/>
    </row>
    <row r="255" spans="1:22" ht="16.5" customHeight="1" x14ac:dyDescent="0.3">
      <c r="A255" s="2">
        <v>15</v>
      </c>
      <c r="B255" s="2">
        <v>7935</v>
      </c>
      <c r="C255" s="60" t="s">
        <v>8347</v>
      </c>
      <c r="D255" s="1"/>
      <c r="E255" s="68"/>
      <c r="F255" s="70"/>
      <c r="G255" s="61"/>
      <c r="H255" s="62"/>
      <c r="I255" s="63"/>
      <c r="J255" s="85"/>
      <c r="K255" s="64"/>
      <c r="L255" s="65"/>
      <c r="M255" s="61"/>
      <c r="N255" s="62"/>
      <c r="O255" s="63"/>
      <c r="P255" s="75"/>
      <c r="Q255" s="61"/>
      <c r="R255" s="62"/>
      <c r="S255" s="63"/>
      <c r="T255" s="75"/>
      <c r="U255" s="228">
        <f>ROUND((_15_同援日５．５*(1+_15・区３)),0)</f>
        <v>1111</v>
      </c>
      <c r="V255" s="69"/>
    </row>
    <row r="256" spans="1:22" ht="16.5" customHeight="1" x14ac:dyDescent="0.3">
      <c r="A256" s="2">
        <v>15</v>
      </c>
      <c r="B256" s="2">
        <v>7936</v>
      </c>
      <c r="C256" s="60" t="s">
        <v>8346</v>
      </c>
      <c r="D256" s="1"/>
      <c r="E256" s="68"/>
      <c r="F256" s="70"/>
      <c r="G256" s="66"/>
      <c r="H256" s="57"/>
      <c r="I256" s="58"/>
      <c r="J256" s="85" t="s">
        <v>5895</v>
      </c>
      <c r="K256" s="64" t="s">
        <v>1</v>
      </c>
      <c r="L256" s="65">
        <v>1</v>
      </c>
      <c r="M256" s="67"/>
      <c r="N256" s="68"/>
      <c r="O256" s="76"/>
      <c r="P256" s="70"/>
      <c r="Q256" s="67"/>
      <c r="R256" s="68"/>
      <c r="S256" s="76"/>
      <c r="T256" s="70"/>
      <c r="U256" s="228">
        <f>ROUND((ROUND((_15_同援日５．５*_15・２人),0)*(1+_15・区３)),0)</f>
        <v>1111</v>
      </c>
      <c r="V256" s="69"/>
    </row>
    <row r="257" spans="1:22" ht="16.5" customHeight="1" x14ac:dyDescent="0.3">
      <c r="A257" s="2">
        <v>15</v>
      </c>
      <c r="B257" s="2">
        <v>7937</v>
      </c>
      <c r="C257" s="60" t="s">
        <v>8345</v>
      </c>
      <c r="D257" s="1"/>
      <c r="E257" s="68"/>
      <c r="F257" s="70"/>
      <c r="G257" s="61" t="s">
        <v>17747</v>
      </c>
      <c r="H257" s="62"/>
      <c r="I257" s="63"/>
      <c r="J257" s="85"/>
      <c r="K257" s="64"/>
      <c r="L257" s="65"/>
      <c r="M257" s="67"/>
      <c r="N257" s="68"/>
      <c r="O257" s="76"/>
      <c r="P257" s="70"/>
      <c r="Q257" s="67" t="s">
        <v>17936</v>
      </c>
      <c r="R257" s="68"/>
      <c r="S257" s="76"/>
      <c r="T257" s="70"/>
      <c r="U257" s="120">
        <f>ROUND((ROUND((_15_同援日５．５*_15・基礎２),0)*(1+_15・区３)),0)</f>
        <v>1000</v>
      </c>
      <c r="V257" s="69"/>
    </row>
    <row r="258" spans="1:22" ht="16.5" customHeight="1" x14ac:dyDescent="0.3">
      <c r="A258" s="2">
        <v>15</v>
      </c>
      <c r="B258" s="2">
        <v>7938</v>
      </c>
      <c r="C258" s="60" t="s">
        <v>8344</v>
      </c>
      <c r="D258" s="1"/>
      <c r="E258" s="68"/>
      <c r="F258" s="70"/>
      <c r="G258" s="66" t="s">
        <v>17420</v>
      </c>
      <c r="H258" s="57" t="s">
        <v>1</v>
      </c>
      <c r="I258" s="58">
        <v>0.9</v>
      </c>
      <c r="J258" s="85" t="s">
        <v>5895</v>
      </c>
      <c r="K258" s="64" t="s">
        <v>1</v>
      </c>
      <c r="L258" s="65">
        <v>1</v>
      </c>
      <c r="M258" s="66"/>
      <c r="N258" s="57"/>
      <c r="O258" s="58"/>
      <c r="P258" s="77"/>
      <c r="Q258" s="67" t="s">
        <v>17934</v>
      </c>
      <c r="R258" s="68"/>
      <c r="S258" s="76"/>
      <c r="T258" s="70"/>
      <c r="U258" s="120">
        <f>ROUND((ROUND((ROUND((_15_同援日５．５*_15・基礎２),0)*_15・２人),0)*(1+_15・区３)),0)</f>
        <v>1000</v>
      </c>
      <c r="V258" s="69"/>
    </row>
    <row r="259" spans="1:22" ht="16.5" customHeight="1" x14ac:dyDescent="0.3">
      <c r="A259" s="2">
        <v>15</v>
      </c>
      <c r="B259" s="2">
        <v>7939</v>
      </c>
      <c r="C259" s="60" t="s">
        <v>8343</v>
      </c>
      <c r="D259" s="1"/>
      <c r="E259" s="68"/>
      <c r="F259" s="70"/>
      <c r="G259" s="61"/>
      <c r="H259" s="62"/>
      <c r="I259" s="63"/>
      <c r="J259" s="85"/>
      <c r="K259" s="64"/>
      <c r="L259" s="65"/>
      <c r="M259" s="61" t="s">
        <v>17933</v>
      </c>
      <c r="N259" s="62"/>
      <c r="O259" s="63"/>
      <c r="P259" s="75"/>
      <c r="Q259" s="67"/>
      <c r="R259" s="68" t="s">
        <v>1</v>
      </c>
      <c r="S259" s="76">
        <v>0.2</v>
      </c>
      <c r="T259" s="70" t="s">
        <v>422</v>
      </c>
      <c r="U259" s="228">
        <f>ROUND((ROUND((_15_同援日５．５*(1+_15・盲ろう)),0)*(1+_15・区３)),0)</f>
        <v>1390</v>
      </c>
      <c r="V259" s="69"/>
    </row>
    <row r="260" spans="1:22" ht="16.5" customHeight="1" x14ac:dyDescent="0.3">
      <c r="A260" s="2">
        <v>15</v>
      </c>
      <c r="B260" s="2">
        <v>7940</v>
      </c>
      <c r="C260" s="60" t="s">
        <v>8342</v>
      </c>
      <c r="D260" s="1"/>
      <c r="E260" s="68"/>
      <c r="F260" s="70"/>
      <c r="G260" s="66"/>
      <c r="H260" s="57"/>
      <c r="I260" s="58"/>
      <c r="J260" s="85" t="s">
        <v>5895</v>
      </c>
      <c r="K260" s="64" t="s">
        <v>1</v>
      </c>
      <c r="L260" s="65">
        <v>1</v>
      </c>
      <c r="M260" s="67" t="s">
        <v>17932</v>
      </c>
      <c r="N260" s="68"/>
      <c r="O260" s="76"/>
      <c r="P260" s="70"/>
      <c r="Q260" s="67"/>
      <c r="R260" s="68"/>
      <c r="S260" s="76"/>
      <c r="T260" s="70"/>
      <c r="U260" s="228">
        <f>ROUND((ROUND((ROUND((_15_同援日５．５*_15・２人),0)*(1+_15・盲ろう)),0)*(1+_15・区３)),0)</f>
        <v>1390</v>
      </c>
      <c r="V260" s="69"/>
    </row>
    <row r="261" spans="1:22" ht="16.5" customHeight="1" x14ac:dyDescent="0.3">
      <c r="A261" s="2">
        <v>15</v>
      </c>
      <c r="B261" s="2">
        <v>7941</v>
      </c>
      <c r="C261" s="60" t="s">
        <v>8341</v>
      </c>
      <c r="D261" s="1"/>
      <c r="E261" s="68"/>
      <c r="F261" s="70"/>
      <c r="G261" s="61" t="s">
        <v>17747</v>
      </c>
      <c r="H261" s="62"/>
      <c r="I261" s="63"/>
      <c r="J261" s="85"/>
      <c r="K261" s="64"/>
      <c r="L261" s="65"/>
      <c r="M261" s="67"/>
      <c r="N261" s="68" t="s">
        <v>1</v>
      </c>
      <c r="O261" s="76">
        <v>0.25</v>
      </c>
      <c r="P261" s="70" t="s">
        <v>422</v>
      </c>
      <c r="Q261" s="67"/>
      <c r="R261" s="68"/>
      <c r="S261" s="76"/>
      <c r="T261" s="70"/>
      <c r="U261" s="120">
        <f>ROUND((ROUND((ROUND((_15_同援日５．５*_15・基礎２),0)*(1+_15・盲ろう)),0)*(1+_15・区３)),0)</f>
        <v>1249</v>
      </c>
      <c r="V261" s="69"/>
    </row>
    <row r="262" spans="1:22" ht="16.5" customHeight="1" x14ac:dyDescent="0.3">
      <c r="A262" s="2">
        <v>15</v>
      </c>
      <c r="B262" s="2">
        <v>7942</v>
      </c>
      <c r="C262" s="60" t="s">
        <v>8340</v>
      </c>
      <c r="D262" s="1"/>
      <c r="E262" s="68"/>
      <c r="F262" s="70"/>
      <c r="G262" s="66" t="s">
        <v>17420</v>
      </c>
      <c r="H262" s="57" t="s">
        <v>1</v>
      </c>
      <c r="I262" s="58">
        <v>0.9</v>
      </c>
      <c r="J262" s="85" t="s">
        <v>5895</v>
      </c>
      <c r="K262" s="64" t="s">
        <v>1</v>
      </c>
      <c r="L262" s="65">
        <v>1</v>
      </c>
      <c r="M262" s="66"/>
      <c r="N262" s="57"/>
      <c r="O262" s="58"/>
      <c r="P262" s="77"/>
      <c r="Q262" s="66"/>
      <c r="R262" s="57"/>
      <c r="S262" s="58"/>
      <c r="T262" s="77"/>
      <c r="U262" s="120">
        <f>ROUND((ROUND((ROUND((ROUND((_15_同援日５．５*_15・基礎２),0)*_15・２人),0)*(1+_15・盲ろう)),0)*(1+_15・区３)),0)</f>
        <v>1249</v>
      </c>
      <c r="V262" s="69"/>
    </row>
    <row r="263" spans="1:22" ht="16.5" customHeight="1" x14ac:dyDescent="0.3">
      <c r="A263" s="2">
        <v>15</v>
      </c>
      <c r="B263" s="2">
        <v>7943</v>
      </c>
      <c r="C263" s="60" t="s">
        <v>8339</v>
      </c>
      <c r="D263" s="1"/>
      <c r="E263" s="68"/>
      <c r="F263" s="70"/>
      <c r="G263" s="61"/>
      <c r="H263" s="62"/>
      <c r="I263" s="63"/>
      <c r="J263" s="85"/>
      <c r="K263" s="64"/>
      <c r="L263" s="65"/>
      <c r="M263" s="61"/>
      <c r="N263" s="62"/>
      <c r="O263" s="63"/>
      <c r="P263" s="75"/>
      <c r="Q263" s="61"/>
      <c r="R263" s="62"/>
      <c r="S263" s="63"/>
      <c r="T263" s="75"/>
      <c r="U263" s="228">
        <f>ROUND((_15_同援日５．５*(1+_15・区４)),0)</f>
        <v>1296</v>
      </c>
      <c r="V263" s="69"/>
    </row>
    <row r="264" spans="1:22" ht="16.5" customHeight="1" x14ac:dyDescent="0.3">
      <c r="A264" s="2">
        <v>15</v>
      </c>
      <c r="B264" s="2">
        <v>7944</v>
      </c>
      <c r="C264" s="60" t="s">
        <v>8338</v>
      </c>
      <c r="D264" s="1"/>
      <c r="E264" s="68"/>
      <c r="F264" s="70"/>
      <c r="G264" s="66"/>
      <c r="H264" s="57"/>
      <c r="I264" s="58"/>
      <c r="J264" s="85" t="s">
        <v>5895</v>
      </c>
      <c r="K264" s="64" t="s">
        <v>1</v>
      </c>
      <c r="L264" s="65">
        <v>1</v>
      </c>
      <c r="M264" s="67"/>
      <c r="N264" s="68"/>
      <c r="O264" s="76"/>
      <c r="P264" s="70"/>
      <c r="Q264" s="67"/>
      <c r="R264" s="68"/>
      <c r="S264" s="76"/>
      <c r="T264" s="70"/>
      <c r="U264" s="228">
        <f>ROUND((ROUND((_15_同援日５．５*_15・２人),0)*(1+_15・区４)),0)</f>
        <v>1296</v>
      </c>
      <c r="V264" s="69"/>
    </row>
    <row r="265" spans="1:22" ht="16.5" customHeight="1" x14ac:dyDescent="0.3">
      <c r="A265" s="2">
        <v>15</v>
      </c>
      <c r="B265" s="2">
        <v>7945</v>
      </c>
      <c r="C265" s="60" t="s">
        <v>8337</v>
      </c>
      <c r="D265" s="1"/>
      <c r="E265" s="68"/>
      <c r="F265" s="70"/>
      <c r="G265" s="61" t="s">
        <v>17747</v>
      </c>
      <c r="H265" s="62"/>
      <c r="I265" s="63"/>
      <c r="J265" s="85"/>
      <c r="K265" s="64"/>
      <c r="L265" s="65"/>
      <c r="M265" s="67"/>
      <c r="N265" s="68"/>
      <c r="O265" s="76"/>
      <c r="P265" s="70"/>
      <c r="Q265" s="67" t="s">
        <v>17935</v>
      </c>
      <c r="R265" s="68"/>
      <c r="S265" s="76"/>
      <c r="T265" s="70"/>
      <c r="U265" s="120">
        <f>ROUND((ROUND((_15_同援日５．５*_15・基礎２),0)*(1+_15・区４)),0)</f>
        <v>1166</v>
      </c>
      <c r="V265" s="69"/>
    </row>
    <row r="266" spans="1:22" ht="16.5" customHeight="1" x14ac:dyDescent="0.3">
      <c r="A266" s="2">
        <v>15</v>
      </c>
      <c r="B266" s="2">
        <v>7946</v>
      </c>
      <c r="C266" s="60" t="s">
        <v>8336</v>
      </c>
      <c r="D266" s="1"/>
      <c r="E266" s="68"/>
      <c r="F266" s="70"/>
      <c r="G266" s="66" t="s">
        <v>17420</v>
      </c>
      <c r="H266" s="57" t="s">
        <v>1</v>
      </c>
      <c r="I266" s="58">
        <v>0.9</v>
      </c>
      <c r="J266" s="85" t="s">
        <v>5895</v>
      </c>
      <c r="K266" s="64" t="s">
        <v>1</v>
      </c>
      <c r="L266" s="65">
        <v>1</v>
      </c>
      <c r="M266" s="66"/>
      <c r="N266" s="57"/>
      <c r="O266" s="58"/>
      <c r="P266" s="77"/>
      <c r="Q266" s="67" t="s">
        <v>17934</v>
      </c>
      <c r="R266" s="68"/>
      <c r="S266" s="76"/>
      <c r="T266" s="70"/>
      <c r="U266" s="120">
        <f>ROUND((ROUND((ROUND((_15_同援日５．５*_15・基礎２),0)*_15・２人),0)*(1+_15・区４)),0)</f>
        <v>1166</v>
      </c>
      <c r="V266" s="69"/>
    </row>
    <row r="267" spans="1:22" ht="16.5" customHeight="1" x14ac:dyDescent="0.3">
      <c r="A267" s="2">
        <v>15</v>
      </c>
      <c r="B267" s="2">
        <v>7947</v>
      </c>
      <c r="C267" s="60" t="s">
        <v>8335</v>
      </c>
      <c r="D267" s="1"/>
      <c r="E267" s="68"/>
      <c r="F267" s="70"/>
      <c r="G267" s="61"/>
      <c r="H267" s="62"/>
      <c r="I267" s="63"/>
      <c r="J267" s="85"/>
      <c r="K267" s="64"/>
      <c r="L267" s="65"/>
      <c r="M267" s="61" t="s">
        <v>17933</v>
      </c>
      <c r="N267" s="62"/>
      <c r="O267" s="63"/>
      <c r="P267" s="75"/>
      <c r="Q267" s="67"/>
      <c r="R267" s="68" t="s">
        <v>1</v>
      </c>
      <c r="S267" s="76">
        <v>0.4</v>
      </c>
      <c r="T267" s="70" t="s">
        <v>422</v>
      </c>
      <c r="U267" s="228">
        <f>ROUND((ROUND((_15_同援日５．５*(1+_15・盲ろう)),0)*(1+_15・区４)),0)</f>
        <v>1621</v>
      </c>
      <c r="V267" s="69"/>
    </row>
    <row r="268" spans="1:22" ht="16.5" customHeight="1" x14ac:dyDescent="0.3">
      <c r="A268" s="2">
        <v>15</v>
      </c>
      <c r="B268" s="2">
        <v>7948</v>
      </c>
      <c r="C268" s="60" t="s">
        <v>8334</v>
      </c>
      <c r="D268" s="1"/>
      <c r="E268" s="68"/>
      <c r="F268" s="70"/>
      <c r="G268" s="66"/>
      <c r="H268" s="57"/>
      <c r="I268" s="58"/>
      <c r="J268" s="85" t="s">
        <v>5895</v>
      </c>
      <c r="K268" s="64" t="s">
        <v>1</v>
      </c>
      <c r="L268" s="65">
        <v>1</v>
      </c>
      <c r="M268" s="67" t="s">
        <v>8083</v>
      </c>
      <c r="N268" s="68"/>
      <c r="O268" s="76"/>
      <c r="P268" s="70"/>
      <c r="Q268" s="67"/>
      <c r="R268" s="68"/>
      <c r="S268" s="76"/>
      <c r="T268" s="70"/>
      <c r="U268" s="228">
        <f>ROUND((ROUND((ROUND((_15_同援日５．５*_15・２人),0)*(1+_15・盲ろう)),0)*(1+_15・区４)),0)</f>
        <v>1621</v>
      </c>
      <c r="V268" s="69"/>
    </row>
    <row r="269" spans="1:22" ht="16.5" customHeight="1" x14ac:dyDescent="0.3">
      <c r="A269" s="2">
        <v>15</v>
      </c>
      <c r="B269" s="2">
        <v>7949</v>
      </c>
      <c r="C269" s="60" t="s">
        <v>8333</v>
      </c>
      <c r="D269" s="1"/>
      <c r="E269" s="68"/>
      <c r="F269" s="70"/>
      <c r="G269" s="61" t="s">
        <v>17747</v>
      </c>
      <c r="H269" s="62"/>
      <c r="I269" s="63"/>
      <c r="J269" s="85"/>
      <c r="K269" s="64"/>
      <c r="L269" s="65"/>
      <c r="M269" s="67"/>
      <c r="N269" s="68" t="s">
        <v>1</v>
      </c>
      <c r="O269" s="76">
        <v>0.25</v>
      </c>
      <c r="P269" s="70" t="s">
        <v>422</v>
      </c>
      <c r="Q269" s="67"/>
      <c r="R269" s="68"/>
      <c r="S269" s="76"/>
      <c r="T269" s="70"/>
      <c r="U269" s="120">
        <f>ROUND((ROUND((ROUND((_15_同援日５．５*_15・基礎２),0)*(1+_15・盲ろう)),0)*(1+_15・区４)),0)</f>
        <v>1457</v>
      </c>
      <c r="V269" s="69"/>
    </row>
    <row r="270" spans="1:22" ht="16.5" customHeight="1" x14ac:dyDescent="0.3">
      <c r="A270" s="2">
        <v>15</v>
      </c>
      <c r="B270" s="2">
        <v>7950</v>
      </c>
      <c r="C270" s="60" t="s">
        <v>8332</v>
      </c>
      <c r="D270" s="81"/>
      <c r="E270" s="57"/>
      <c r="F270" s="77"/>
      <c r="G270" s="66" t="s">
        <v>17420</v>
      </c>
      <c r="H270" s="57" t="s">
        <v>1</v>
      </c>
      <c r="I270" s="58">
        <v>0.9</v>
      </c>
      <c r="J270" s="85" t="s">
        <v>5895</v>
      </c>
      <c r="K270" s="64" t="s">
        <v>1</v>
      </c>
      <c r="L270" s="65">
        <v>1</v>
      </c>
      <c r="M270" s="66"/>
      <c r="N270" s="57"/>
      <c r="O270" s="58"/>
      <c r="P270" s="77"/>
      <c r="Q270" s="66"/>
      <c r="R270" s="57"/>
      <c r="S270" s="58"/>
      <c r="T270" s="77"/>
      <c r="U270" s="120">
        <f>ROUND((ROUND((ROUND((ROUND((_15_同援日５．５*_15・基礎２),0)*_15・２人),0)*(1+_15・盲ろう)),0)*(1+_15・区４)),0)</f>
        <v>1457</v>
      </c>
      <c r="V270" s="69"/>
    </row>
    <row r="271" spans="1:22" ht="16.5" customHeight="1" x14ac:dyDescent="0.3">
      <c r="A271" s="2">
        <v>15</v>
      </c>
      <c r="B271" s="2">
        <v>7951</v>
      </c>
      <c r="C271" s="60" t="s">
        <v>8331</v>
      </c>
      <c r="D271" s="233" t="s">
        <v>17954</v>
      </c>
      <c r="E271" s="62"/>
      <c r="F271" s="75"/>
      <c r="G271" s="61"/>
      <c r="H271" s="62"/>
      <c r="I271" s="63"/>
      <c r="J271" s="85"/>
      <c r="K271" s="64"/>
      <c r="L271" s="65"/>
      <c r="M271" s="61"/>
      <c r="N271" s="62"/>
      <c r="O271" s="63"/>
      <c r="P271" s="75"/>
      <c r="Q271" s="61"/>
      <c r="R271" s="62"/>
      <c r="S271" s="63"/>
      <c r="T271" s="75"/>
      <c r="U271" s="228">
        <f>_15_同援日６．０</f>
        <v>989</v>
      </c>
      <c r="V271" s="69"/>
    </row>
    <row r="272" spans="1:22" ht="16.5" customHeight="1" x14ac:dyDescent="0.3">
      <c r="A272" s="2">
        <v>15</v>
      </c>
      <c r="B272" s="2">
        <v>7952</v>
      </c>
      <c r="C272" s="60" t="s">
        <v>8330</v>
      </c>
      <c r="D272" s="1" t="s">
        <v>17752</v>
      </c>
      <c r="E272" s="68"/>
      <c r="F272" s="70"/>
      <c r="G272" s="66"/>
      <c r="H272" s="57"/>
      <c r="I272" s="58"/>
      <c r="J272" s="85" t="s">
        <v>5895</v>
      </c>
      <c r="K272" s="64" t="s">
        <v>1</v>
      </c>
      <c r="L272" s="65">
        <v>1</v>
      </c>
      <c r="M272" s="67"/>
      <c r="N272" s="68"/>
      <c r="O272" s="76"/>
      <c r="P272" s="70"/>
      <c r="Q272" s="67"/>
      <c r="R272" s="68"/>
      <c r="S272" s="76"/>
      <c r="T272" s="70"/>
      <c r="U272" s="228">
        <f>ROUND((_15_同援日６．０*_15・２人),0)</f>
        <v>989</v>
      </c>
      <c r="V272" s="69"/>
    </row>
    <row r="273" spans="1:22" ht="16.5" customHeight="1" x14ac:dyDescent="0.3">
      <c r="A273" s="2">
        <v>15</v>
      </c>
      <c r="B273" s="2">
        <v>7953</v>
      </c>
      <c r="C273" s="60" t="s">
        <v>8329</v>
      </c>
      <c r="D273" s="1" t="s">
        <v>17751</v>
      </c>
      <c r="E273" s="68"/>
      <c r="F273" s="70"/>
      <c r="G273" s="61" t="s">
        <v>17747</v>
      </c>
      <c r="H273" s="62"/>
      <c r="I273" s="63"/>
      <c r="J273" s="85"/>
      <c r="K273" s="64"/>
      <c r="L273" s="65"/>
      <c r="M273" s="67"/>
      <c r="N273" s="68"/>
      <c r="O273" s="76"/>
      <c r="P273" s="70"/>
      <c r="Q273" s="67"/>
      <c r="R273" s="68"/>
      <c r="S273" s="76"/>
      <c r="T273" s="70"/>
      <c r="U273" s="228">
        <f>ROUND((_15_同援日６．０*_15・基礎２),0)</f>
        <v>890</v>
      </c>
      <c r="V273" s="69"/>
    </row>
    <row r="274" spans="1:22" ht="16.5" customHeight="1" x14ac:dyDescent="0.3">
      <c r="A274" s="2">
        <v>15</v>
      </c>
      <c r="B274" s="2">
        <v>7954</v>
      </c>
      <c r="C274" s="60" t="s">
        <v>8328</v>
      </c>
      <c r="D274" s="1"/>
      <c r="E274" s="227">
        <v>989</v>
      </c>
      <c r="F274" s="70" t="s">
        <v>0</v>
      </c>
      <c r="G274" s="66" t="s">
        <v>17420</v>
      </c>
      <c r="H274" s="57" t="s">
        <v>1</v>
      </c>
      <c r="I274" s="58">
        <v>0.9</v>
      </c>
      <c r="J274" s="85" t="s">
        <v>5895</v>
      </c>
      <c r="K274" s="64" t="s">
        <v>1</v>
      </c>
      <c r="L274" s="65">
        <v>1</v>
      </c>
      <c r="M274" s="66"/>
      <c r="N274" s="57"/>
      <c r="O274" s="58"/>
      <c r="P274" s="77"/>
      <c r="Q274" s="67"/>
      <c r="R274" s="68"/>
      <c r="S274" s="76"/>
      <c r="T274" s="70"/>
      <c r="U274" s="228">
        <f>ROUND((ROUND((_15_同援日６．０*_15・基礎２),0)*_15・２人),0)</f>
        <v>890</v>
      </c>
      <c r="V274" s="69"/>
    </row>
    <row r="275" spans="1:22" ht="16.5" customHeight="1" x14ac:dyDescent="0.3">
      <c r="A275" s="2">
        <v>15</v>
      </c>
      <c r="B275" s="2">
        <v>7955</v>
      </c>
      <c r="C275" s="60" t="s">
        <v>8327</v>
      </c>
      <c r="D275" s="1"/>
      <c r="E275" s="68"/>
      <c r="F275" s="70"/>
      <c r="G275" s="61"/>
      <c r="H275" s="62"/>
      <c r="I275" s="63"/>
      <c r="J275" s="85"/>
      <c r="K275" s="64"/>
      <c r="L275" s="65"/>
      <c r="M275" s="61" t="s">
        <v>17933</v>
      </c>
      <c r="N275" s="62"/>
      <c r="O275" s="63"/>
      <c r="P275" s="75"/>
      <c r="Q275" s="67"/>
      <c r="R275" s="68"/>
      <c r="S275" s="76"/>
      <c r="T275" s="70"/>
      <c r="U275" s="228">
        <f>ROUND((_15_同援日６．０*(1+_15・盲ろう)),0)</f>
        <v>1236</v>
      </c>
      <c r="V275" s="69"/>
    </row>
    <row r="276" spans="1:22" ht="16.5" customHeight="1" x14ac:dyDescent="0.3">
      <c r="A276" s="2">
        <v>15</v>
      </c>
      <c r="B276" s="2">
        <v>7956</v>
      </c>
      <c r="C276" s="60" t="s">
        <v>8326</v>
      </c>
      <c r="D276" s="1"/>
      <c r="E276" s="68"/>
      <c r="F276" s="70"/>
      <c r="G276" s="66"/>
      <c r="H276" s="57"/>
      <c r="I276" s="58"/>
      <c r="J276" s="85" t="s">
        <v>5895</v>
      </c>
      <c r="K276" s="64" t="s">
        <v>1</v>
      </c>
      <c r="L276" s="65">
        <v>1</v>
      </c>
      <c r="M276" s="67" t="s">
        <v>17932</v>
      </c>
      <c r="N276" s="68"/>
      <c r="O276" s="76"/>
      <c r="P276" s="70"/>
      <c r="Q276" s="67"/>
      <c r="R276" s="68"/>
      <c r="S276" s="76"/>
      <c r="T276" s="70"/>
      <c r="U276" s="228">
        <f>ROUND((ROUND((_15_同援日６．０*_15・２人),0)*(1+_15・盲ろう)),0)</f>
        <v>1236</v>
      </c>
      <c r="V276" s="69"/>
    </row>
    <row r="277" spans="1:22" ht="16.5" customHeight="1" x14ac:dyDescent="0.3">
      <c r="A277" s="2">
        <v>15</v>
      </c>
      <c r="B277" s="2">
        <v>7957</v>
      </c>
      <c r="C277" s="60" t="s">
        <v>8325</v>
      </c>
      <c r="D277" s="1"/>
      <c r="E277" s="68"/>
      <c r="F277" s="70"/>
      <c r="G277" s="61" t="s">
        <v>17747</v>
      </c>
      <c r="H277" s="62"/>
      <c r="I277" s="63"/>
      <c r="J277" s="85"/>
      <c r="K277" s="64"/>
      <c r="L277" s="65"/>
      <c r="M277" s="67"/>
      <c r="N277" s="68" t="s">
        <v>1</v>
      </c>
      <c r="O277" s="76">
        <v>0.25</v>
      </c>
      <c r="P277" s="70" t="s">
        <v>422</v>
      </c>
      <c r="Q277" s="67"/>
      <c r="R277" s="68"/>
      <c r="S277" s="76"/>
      <c r="T277" s="70"/>
      <c r="U277" s="228">
        <f>ROUND((ROUND((_15_同援日６．０*_15・基礎２),0)*(1+_15・盲ろう)),0)</f>
        <v>1113</v>
      </c>
      <c r="V277" s="69"/>
    </row>
    <row r="278" spans="1:22" ht="16.5" customHeight="1" x14ac:dyDescent="0.3">
      <c r="A278" s="2">
        <v>15</v>
      </c>
      <c r="B278" s="2">
        <v>7958</v>
      </c>
      <c r="C278" s="60" t="s">
        <v>8324</v>
      </c>
      <c r="D278" s="1"/>
      <c r="E278" s="68"/>
      <c r="F278" s="70"/>
      <c r="G278" s="66" t="s">
        <v>17420</v>
      </c>
      <c r="H278" s="57" t="s">
        <v>1</v>
      </c>
      <c r="I278" s="58">
        <v>0.9</v>
      </c>
      <c r="J278" s="85" t="s">
        <v>5895</v>
      </c>
      <c r="K278" s="64" t="s">
        <v>1</v>
      </c>
      <c r="L278" s="65">
        <v>1</v>
      </c>
      <c r="M278" s="66"/>
      <c r="N278" s="57"/>
      <c r="O278" s="58"/>
      <c r="P278" s="77"/>
      <c r="Q278" s="66"/>
      <c r="R278" s="57"/>
      <c r="S278" s="58"/>
      <c r="T278" s="77"/>
      <c r="U278" s="228">
        <f>ROUND((ROUND((ROUND((_15_同援日６．０*_15・基礎２),0)*_15・２人),0)*(1+_15・盲ろう)),0)</f>
        <v>1113</v>
      </c>
      <c r="V278" s="69"/>
    </row>
    <row r="279" spans="1:22" ht="16.5" customHeight="1" x14ac:dyDescent="0.3">
      <c r="A279" s="2">
        <v>15</v>
      </c>
      <c r="B279" s="2">
        <v>7959</v>
      </c>
      <c r="C279" s="60" t="s">
        <v>8323</v>
      </c>
      <c r="D279" s="1"/>
      <c r="E279" s="68"/>
      <c r="F279" s="70"/>
      <c r="G279" s="61"/>
      <c r="H279" s="62"/>
      <c r="I279" s="63"/>
      <c r="J279" s="85"/>
      <c r="K279" s="64"/>
      <c r="L279" s="65"/>
      <c r="M279" s="61"/>
      <c r="N279" s="62"/>
      <c r="O279" s="63"/>
      <c r="P279" s="75"/>
      <c r="Q279" s="61"/>
      <c r="R279" s="62"/>
      <c r="S279" s="63"/>
      <c r="T279" s="75"/>
      <c r="U279" s="228">
        <f>ROUND((_15_同援日６．０*(1+_15・区３)),0)</f>
        <v>1187</v>
      </c>
      <c r="V279" s="69"/>
    </row>
    <row r="280" spans="1:22" ht="16.5" customHeight="1" x14ac:dyDescent="0.3">
      <c r="A280" s="2">
        <v>15</v>
      </c>
      <c r="B280" s="2">
        <v>7960</v>
      </c>
      <c r="C280" s="60" t="s">
        <v>8322</v>
      </c>
      <c r="D280" s="1"/>
      <c r="E280" s="68"/>
      <c r="F280" s="70"/>
      <c r="G280" s="66"/>
      <c r="H280" s="57"/>
      <c r="I280" s="58"/>
      <c r="J280" s="85" t="s">
        <v>5895</v>
      </c>
      <c r="K280" s="64" t="s">
        <v>1</v>
      </c>
      <c r="L280" s="65">
        <v>1</v>
      </c>
      <c r="M280" s="67"/>
      <c r="N280" s="68"/>
      <c r="O280" s="76"/>
      <c r="P280" s="70"/>
      <c r="Q280" s="67"/>
      <c r="R280" s="68"/>
      <c r="S280" s="76"/>
      <c r="T280" s="70"/>
      <c r="U280" s="228">
        <f>ROUND((ROUND((_15_同援日６．０*_15・２人),0)*(1+_15・区３)),0)</f>
        <v>1187</v>
      </c>
      <c r="V280" s="69"/>
    </row>
    <row r="281" spans="1:22" ht="16.5" customHeight="1" x14ac:dyDescent="0.3">
      <c r="A281" s="2">
        <v>15</v>
      </c>
      <c r="B281" s="2">
        <v>7961</v>
      </c>
      <c r="C281" s="60" t="s">
        <v>8321</v>
      </c>
      <c r="D281" s="1"/>
      <c r="E281" s="68"/>
      <c r="F281" s="70"/>
      <c r="G281" s="61" t="s">
        <v>17747</v>
      </c>
      <c r="H281" s="62"/>
      <c r="I281" s="63"/>
      <c r="J281" s="85"/>
      <c r="K281" s="64"/>
      <c r="L281" s="65"/>
      <c r="M281" s="67"/>
      <c r="N281" s="68"/>
      <c r="O281" s="76"/>
      <c r="P281" s="70"/>
      <c r="Q281" s="67" t="s">
        <v>17936</v>
      </c>
      <c r="R281" s="68"/>
      <c r="S281" s="76"/>
      <c r="T281" s="70"/>
      <c r="U281" s="228">
        <f>ROUND((ROUND((_15_同援日６．０*_15・基礎２),0)*(1+_15・区３)),0)</f>
        <v>1068</v>
      </c>
      <c r="V281" s="69"/>
    </row>
    <row r="282" spans="1:22" ht="16.5" customHeight="1" x14ac:dyDescent="0.3">
      <c r="A282" s="2">
        <v>15</v>
      </c>
      <c r="B282" s="2">
        <v>7962</v>
      </c>
      <c r="C282" s="60" t="s">
        <v>8320</v>
      </c>
      <c r="D282" s="1"/>
      <c r="E282" s="68"/>
      <c r="F282" s="70"/>
      <c r="G282" s="66" t="s">
        <v>17420</v>
      </c>
      <c r="H282" s="57" t="s">
        <v>1</v>
      </c>
      <c r="I282" s="58">
        <v>0.9</v>
      </c>
      <c r="J282" s="85" t="s">
        <v>5895</v>
      </c>
      <c r="K282" s="64" t="s">
        <v>1</v>
      </c>
      <c r="L282" s="65">
        <v>1</v>
      </c>
      <c r="M282" s="66"/>
      <c r="N282" s="57"/>
      <c r="O282" s="58"/>
      <c r="P282" s="77"/>
      <c r="Q282" s="67" t="s">
        <v>8087</v>
      </c>
      <c r="R282" s="68"/>
      <c r="S282" s="76"/>
      <c r="T282" s="70"/>
      <c r="U282" s="228">
        <f>ROUND((ROUND((ROUND((_15_同援日６．０*_15・基礎２),0)*_15・２人),0)*(1+_15・区３)),0)</f>
        <v>1068</v>
      </c>
      <c r="V282" s="69"/>
    </row>
    <row r="283" spans="1:22" ht="16.5" customHeight="1" x14ac:dyDescent="0.3">
      <c r="A283" s="2">
        <v>15</v>
      </c>
      <c r="B283" s="2">
        <v>7963</v>
      </c>
      <c r="C283" s="60" t="s">
        <v>8319</v>
      </c>
      <c r="D283" s="1"/>
      <c r="E283" s="68"/>
      <c r="F283" s="70"/>
      <c r="G283" s="61"/>
      <c r="H283" s="62"/>
      <c r="I283" s="63"/>
      <c r="J283" s="85"/>
      <c r="K283" s="64"/>
      <c r="L283" s="65"/>
      <c r="M283" s="61" t="s">
        <v>17933</v>
      </c>
      <c r="N283" s="62"/>
      <c r="O283" s="63"/>
      <c r="P283" s="75"/>
      <c r="Q283" s="67"/>
      <c r="R283" s="68" t="s">
        <v>1</v>
      </c>
      <c r="S283" s="76">
        <v>0.2</v>
      </c>
      <c r="T283" s="70" t="s">
        <v>422</v>
      </c>
      <c r="U283" s="228">
        <f>ROUND((ROUND((_15_同援日６．０*(1+_15・盲ろう)),0)*(1+_15・区３)),0)</f>
        <v>1483</v>
      </c>
      <c r="V283" s="69"/>
    </row>
    <row r="284" spans="1:22" ht="16.5" customHeight="1" x14ac:dyDescent="0.3">
      <c r="A284" s="2">
        <v>15</v>
      </c>
      <c r="B284" s="2">
        <v>7964</v>
      </c>
      <c r="C284" s="60" t="s">
        <v>8318</v>
      </c>
      <c r="D284" s="1"/>
      <c r="E284" s="68"/>
      <c r="F284" s="70"/>
      <c r="G284" s="66"/>
      <c r="H284" s="57"/>
      <c r="I284" s="58"/>
      <c r="J284" s="85" t="s">
        <v>5895</v>
      </c>
      <c r="K284" s="64" t="s">
        <v>1</v>
      </c>
      <c r="L284" s="65">
        <v>1</v>
      </c>
      <c r="M284" s="67" t="s">
        <v>17932</v>
      </c>
      <c r="N284" s="68"/>
      <c r="O284" s="76"/>
      <c r="P284" s="70"/>
      <c r="Q284" s="67"/>
      <c r="R284" s="68"/>
      <c r="S284" s="76"/>
      <c r="T284" s="70"/>
      <c r="U284" s="228">
        <f>ROUND((ROUND((ROUND((_15_同援日６．０*_15・２人),0)*(1+_15・盲ろう)),0)*(1+_15・区３)),0)</f>
        <v>1483</v>
      </c>
      <c r="V284" s="69"/>
    </row>
    <row r="285" spans="1:22" ht="16.5" customHeight="1" x14ac:dyDescent="0.3">
      <c r="A285" s="2">
        <v>15</v>
      </c>
      <c r="B285" s="2">
        <v>7965</v>
      </c>
      <c r="C285" s="60" t="s">
        <v>8317</v>
      </c>
      <c r="D285" s="1"/>
      <c r="E285" s="68"/>
      <c r="F285" s="70"/>
      <c r="G285" s="61" t="s">
        <v>17747</v>
      </c>
      <c r="H285" s="62"/>
      <c r="I285" s="63"/>
      <c r="J285" s="85"/>
      <c r="K285" s="64"/>
      <c r="L285" s="65"/>
      <c r="M285" s="67"/>
      <c r="N285" s="68" t="s">
        <v>1</v>
      </c>
      <c r="O285" s="76">
        <v>0.25</v>
      </c>
      <c r="P285" s="70" t="s">
        <v>422</v>
      </c>
      <c r="Q285" s="67"/>
      <c r="R285" s="68"/>
      <c r="S285" s="76"/>
      <c r="T285" s="70"/>
      <c r="U285" s="228">
        <f>ROUND((ROUND((ROUND((_15_同援日６．０*_15・基礎２),0)*(1+_15・盲ろう)),0)*(1+_15・区３)),0)</f>
        <v>1336</v>
      </c>
      <c r="V285" s="69"/>
    </row>
    <row r="286" spans="1:22" ht="16.5" customHeight="1" x14ac:dyDescent="0.3">
      <c r="A286" s="2">
        <v>15</v>
      </c>
      <c r="B286" s="2">
        <v>7966</v>
      </c>
      <c r="C286" s="60" t="s">
        <v>8316</v>
      </c>
      <c r="D286" s="1"/>
      <c r="E286" s="68"/>
      <c r="F286" s="70"/>
      <c r="G286" s="66" t="s">
        <v>5896</v>
      </c>
      <c r="H286" s="57" t="s">
        <v>1</v>
      </c>
      <c r="I286" s="58">
        <v>0.9</v>
      </c>
      <c r="J286" s="85" t="s">
        <v>5895</v>
      </c>
      <c r="K286" s="64" t="s">
        <v>1</v>
      </c>
      <c r="L286" s="65">
        <v>1</v>
      </c>
      <c r="M286" s="66"/>
      <c r="N286" s="57"/>
      <c r="O286" s="58"/>
      <c r="P286" s="77"/>
      <c r="Q286" s="66"/>
      <c r="R286" s="57"/>
      <c r="S286" s="58"/>
      <c r="T286" s="77"/>
      <c r="U286" s="228">
        <f>ROUND((ROUND((ROUND((ROUND((_15_同援日６．０*_15・基礎２),0)*_15・２人),0)*(1+_15・盲ろう)),0)*(1+_15・区３)),0)</f>
        <v>1336</v>
      </c>
      <c r="V286" s="69"/>
    </row>
    <row r="287" spans="1:22" ht="16.5" customHeight="1" x14ac:dyDescent="0.3">
      <c r="A287" s="2">
        <v>15</v>
      </c>
      <c r="B287" s="2">
        <v>7967</v>
      </c>
      <c r="C287" s="60" t="s">
        <v>8315</v>
      </c>
      <c r="D287" s="1"/>
      <c r="E287" s="68"/>
      <c r="F287" s="70"/>
      <c r="G287" s="61"/>
      <c r="H287" s="62"/>
      <c r="I287" s="63"/>
      <c r="J287" s="85"/>
      <c r="K287" s="64"/>
      <c r="L287" s="65"/>
      <c r="M287" s="61"/>
      <c r="N287" s="62"/>
      <c r="O287" s="63"/>
      <c r="P287" s="75"/>
      <c r="Q287" s="61"/>
      <c r="R287" s="62"/>
      <c r="S287" s="63"/>
      <c r="T287" s="75"/>
      <c r="U287" s="228">
        <f>ROUND((_15_同援日６．０*(1+_15・区４)),0)</f>
        <v>1385</v>
      </c>
      <c r="V287" s="69"/>
    </row>
    <row r="288" spans="1:22" ht="16.5" customHeight="1" x14ac:dyDescent="0.3">
      <c r="A288" s="2">
        <v>15</v>
      </c>
      <c r="B288" s="2">
        <v>7968</v>
      </c>
      <c r="C288" s="60" t="s">
        <v>8314</v>
      </c>
      <c r="D288" s="1"/>
      <c r="E288" s="68"/>
      <c r="F288" s="70"/>
      <c r="G288" s="66"/>
      <c r="H288" s="57"/>
      <c r="I288" s="58"/>
      <c r="J288" s="85" t="s">
        <v>5895</v>
      </c>
      <c r="K288" s="64" t="s">
        <v>1</v>
      </c>
      <c r="L288" s="65">
        <v>1</v>
      </c>
      <c r="M288" s="67"/>
      <c r="N288" s="68"/>
      <c r="O288" s="76"/>
      <c r="P288" s="70"/>
      <c r="Q288" s="67"/>
      <c r="R288" s="68"/>
      <c r="S288" s="76"/>
      <c r="T288" s="70"/>
      <c r="U288" s="228">
        <f>ROUND((ROUND((_15_同援日６．０*_15・２人),0)*(1+_15・区４)),0)</f>
        <v>1385</v>
      </c>
      <c r="V288" s="69"/>
    </row>
    <row r="289" spans="1:22" ht="16.5" customHeight="1" x14ac:dyDescent="0.3">
      <c r="A289" s="2">
        <v>15</v>
      </c>
      <c r="B289" s="2">
        <v>7969</v>
      </c>
      <c r="C289" s="60" t="s">
        <v>8313</v>
      </c>
      <c r="D289" s="1"/>
      <c r="E289" s="68"/>
      <c r="F289" s="70"/>
      <c r="G289" s="61" t="s">
        <v>17747</v>
      </c>
      <c r="H289" s="62"/>
      <c r="I289" s="63"/>
      <c r="J289" s="85"/>
      <c r="K289" s="64"/>
      <c r="L289" s="65"/>
      <c r="M289" s="67"/>
      <c r="N289" s="68"/>
      <c r="O289" s="76"/>
      <c r="P289" s="70"/>
      <c r="Q289" s="67" t="s">
        <v>17935</v>
      </c>
      <c r="R289" s="68"/>
      <c r="S289" s="76"/>
      <c r="T289" s="70"/>
      <c r="U289" s="228">
        <f>ROUND((ROUND((_15_同援日６．０*_15・基礎２),0)*(1+_15・区４)),0)</f>
        <v>1246</v>
      </c>
      <c r="V289" s="69"/>
    </row>
    <row r="290" spans="1:22" ht="16.5" customHeight="1" x14ac:dyDescent="0.3">
      <c r="A290" s="2">
        <v>15</v>
      </c>
      <c r="B290" s="2">
        <v>7970</v>
      </c>
      <c r="C290" s="60" t="s">
        <v>8312</v>
      </c>
      <c r="D290" s="1"/>
      <c r="E290" s="68"/>
      <c r="F290" s="70"/>
      <c r="G290" s="66" t="s">
        <v>17420</v>
      </c>
      <c r="H290" s="57" t="s">
        <v>1</v>
      </c>
      <c r="I290" s="58">
        <v>0.9</v>
      </c>
      <c r="J290" s="85" t="s">
        <v>5895</v>
      </c>
      <c r="K290" s="64" t="s">
        <v>1</v>
      </c>
      <c r="L290" s="65">
        <v>1</v>
      </c>
      <c r="M290" s="66"/>
      <c r="N290" s="57"/>
      <c r="O290" s="58"/>
      <c r="P290" s="77"/>
      <c r="Q290" s="67" t="s">
        <v>17934</v>
      </c>
      <c r="R290" s="68"/>
      <c r="S290" s="76"/>
      <c r="T290" s="70"/>
      <c r="U290" s="228">
        <f>ROUND((ROUND((ROUND((_15_同援日６．０*_15・基礎２),0)*_15・２人),0)*(1+_15・区４)),0)</f>
        <v>1246</v>
      </c>
      <c r="V290" s="69"/>
    </row>
    <row r="291" spans="1:22" ht="16.5" customHeight="1" x14ac:dyDescent="0.3">
      <c r="A291" s="2">
        <v>15</v>
      </c>
      <c r="B291" s="2">
        <v>7971</v>
      </c>
      <c r="C291" s="60" t="s">
        <v>8311</v>
      </c>
      <c r="D291" s="1"/>
      <c r="E291" s="68"/>
      <c r="F291" s="70"/>
      <c r="G291" s="61"/>
      <c r="H291" s="62"/>
      <c r="I291" s="63"/>
      <c r="J291" s="85"/>
      <c r="K291" s="64"/>
      <c r="L291" s="65"/>
      <c r="M291" s="61" t="s">
        <v>17933</v>
      </c>
      <c r="N291" s="62"/>
      <c r="O291" s="63"/>
      <c r="P291" s="75"/>
      <c r="Q291" s="67"/>
      <c r="R291" s="68" t="s">
        <v>1</v>
      </c>
      <c r="S291" s="76">
        <v>0.4</v>
      </c>
      <c r="T291" s="70" t="s">
        <v>422</v>
      </c>
      <c r="U291" s="228">
        <f>ROUND((ROUND((_15_同援日６．０*(1+_15・盲ろう)),0)*(1+_15・区４)),0)</f>
        <v>1730</v>
      </c>
      <c r="V291" s="69"/>
    </row>
    <row r="292" spans="1:22" ht="16.5" customHeight="1" x14ac:dyDescent="0.3">
      <c r="A292" s="2">
        <v>15</v>
      </c>
      <c r="B292" s="2">
        <v>7972</v>
      </c>
      <c r="C292" s="60" t="s">
        <v>8310</v>
      </c>
      <c r="D292" s="1"/>
      <c r="E292" s="68"/>
      <c r="F292" s="70"/>
      <c r="G292" s="66"/>
      <c r="H292" s="57"/>
      <c r="I292" s="58"/>
      <c r="J292" s="85" t="s">
        <v>5895</v>
      </c>
      <c r="K292" s="64" t="s">
        <v>1</v>
      </c>
      <c r="L292" s="65">
        <v>1</v>
      </c>
      <c r="M292" s="67" t="s">
        <v>17932</v>
      </c>
      <c r="N292" s="68"/>
      <c r="O292" s="76"/>
      <c r="P292" s="70"/>
      <c r="Q292" s="67"/>
      <c r="R292" s="68"/>
      <c r="S292" s="76"/>
      <c r="T292" s="70"/>
      <c r="U292" s="228">
        <f>ROUND((ROUND((ROUND((_15_同援日６．０*_15・２人),0)*(1+_15・盲ろう)),0)*(1+_15・区４)),0)</f>
        <v>1730</v>
      </c>
      <c r="V292" s="69"/>
    </row>
    <row r="293" spans="1:22" ht="16.5" customHeight="1" x14ac:dyDescent="0.3">
      <c r="A293" s="2">
        <v>15</v>
      </c>
      <c r="B293" s="2">
        <v>7973</v>
      </c>
      <c r="C293" s="60" t="s">
        <v>8309</v>
      </c>
      <c r="D293" s="1"/>
      <c r="E293" s="68"/>
      <c r="F293" s="70"/>
      <c r="G293" s="61" t="s">
        <v>17747</v>
      </c>
      <c r="H293" s="62"/>
      <c r="I293" s="63"/>
      <c r="J293" s="85"/>
      <c r="K293" s="64"/>
      <c r="L293" s="65"/>
      <c r="M293" s="67"/>
      <c r="N293" s="68" t="s">
        <v>1</v>
      </c>
      <c r="O293" s="76">
        <v>0.25</v>
      </c>
      <c r="P293" s="70" t="s">
        <v>422</v>
      </c>
      <c r="Q293" s="67"/>
      <c r="R293" s="68"/>
      <c r="S293" s="76"/>
      <c r="T293" s="70"/>
      <c r="U293" s="228">
        <f>ROUND((ROUND((ROUND((_15_同援日６．０*_15・基礎２),0)*(1+_15・盲ろう)),0)*(1+_15・区４)),0)</f>
        <v>1558</v>
      </c>
      <c r="V293" s="69"/>
    </row>
    <row r="294" spans="1:22" ht="16.5" customHeight="1" x14ac:dyDescent="0.3">
      <c r="A294" s="2">
        <v>15</v>
      </c>
      <c r="B294" s="2">
        <v>7974</v>
      </c>
      <c r="C294" s="60" t="s">
        <v>8308</v>
      </c>
      <c r="D294" s="81"/>
      <c r="E294" s="57"/>
      <c r="F294" s="77"/>
      <c r="G294" s="66" t="s">
        <v>17420</v>
      </c>
      <c r="H294" s="57" t="s">
        <v>1</v>
      </c>
      <c r="I294" s="58">
        <v>0.9</v>
      </c>
      <c r="J294" s="85" t="s">
        <v>5895</v>
      </c>
      <c r="K294" s="64" t="s">
        <v>1</v>
      </c>
      <c r="L294" s="65">
        <v>1</v>
      </c>
      <c r="M294" s="66"/>
      <c r="N294" s="57"/>
      <c r="O294" s="58"/>
      <c r="P294" s="77"/>
      <c r="Q294" s="66"/>
      <c r="R294" s="57"/>
      <c r="S294" s="58"/>
      <c r="T294" s="77"/>
      <c r="U294" s="228">
        <f>ROUND((ROUND((ROUND((ROUND((_15_同援日６．０*_15・基礎２),0)*_15・２人),0)*(1+_15・盲ろう)),0)*(1+_15・区４)),0)</f>
        <v>1558</v>
      </c>
      <c r="V294" s="69"/>
    </row>
    <row r="295" spans="1:22" ht="16.5" customHeight="1" x14ac:dyDescent="0.3">
      <c r="A295" s="2">
        <v>15</v>
      </c>
      <c r="B295" s="2">
        <v>7975</v>
      </c>
      <c r="C295" s="60" t="s">
        <v>8307</v>
      </c>
      <c r="D295" s="233" t="s">
        <v>17953</v>
      </c>
      <c r="E295" s="62"/>
      <c r="F295" s="75"/>
      <c r="G295" s="61"/>
      <c r="H295" s="62"/>
      <c r="I295" s="63"/>
      <c r="J295" s="85"/>
      <c r="K295" s="64"/>
      <c r="L295" s="65"/>
      <c r="M295" s="61"/>
      <c r="N295" s="62"/>
      <c r="O295" s="63"/>
      <c r="P295" s="75"/>
      <c r="Q295" s="61"/>
      <c r="R295" s="62"/>
      <c r="S295" s="63"/>
      <c r="T295" s="75"/>
      <c r="U295" s="228">
        <f>_15_同援日６．５</f>
        <v>1052</v>
      </c>
      <c r="V295" s="69"/>
    </row>
    <row r="296" spans="1:22" ht="16.5" customHeight="1" x14ac:dyDescent="0.3">
      <c r="A296" s="2">
        <v>15</v>
      </c>
      <c r="B296" s="2">
        <v>7976</v>
      </c>
      <c r="C296" s="60" t="s">
        <v>8306</v>
      </c>
      <c r="D296" s="1" t="s">
        <v>17749</v>
      </c>
      <c r="E296" s="68"/>
      <c r="F296" s="70"/>
      <c r="G296" s="66"/>
      <c r="H296" s="57"/>
      <c r="I296" s="58"/>
      <c r="J296" s="85" t="s">
        <v>5895</v>
      </c>
      <c r="K296" s="64" t="s">
        <v>1</v>
      </c>
      <c r="L296" s="65">
        <v>1</v>
      </c>
      <c r="M296" s="67"/>
      <c r="N296" s="68"/>
      <c r="O296" s="76"/>
      <c r="P296" s="70"/>
      <c r="Q296" s="67"/>
      <c r="R296" s="68"/>
      <c r="S296" s="76"/>
      <c r="T296" s="70"/>
      <c r="U296" s="228">
        <f>ROUND((_15_同援日６．５*_15・２人),0)</f>
        <v>1052</v>
      </c>
      <c r="V296" s="69"/>
    </row>
    <row r="297" spans="1:22" ht="16.5" customHeight="1" x14ac:dyDescent="0.3">
      <c r="A297" s="2">
        <v>15</v>
      </c>
      <c r="B297" s="2">
        <v>7977</v>
      </c>
      <c r="C297" s="60" t="s">
        <v>8305</v>
      </c>
      <c r="D297" s="1" t="s">
        <v>17748</v>
      </c>
      <c r="E297" s="68"/>
      <c r="F297" s="70"/>
      <c r="G297" s="61" t="s">
        <v>17747</v>
      </c>
      <c r="H297" s="62"/>
      <c r="I297" s="63"/>
      <c r="J297" s="85"/>
      <c r="K297" s="64"/>
      <c r="L297" s="65"/>
      <c r="M297" s="67"/>
      <c r="N297" s="68"/>
      <c r="O297" s="76"/>
      <c r="P297" s="70"/>
      <c r="Q297" s="67"/>
      <c r="R297" s="68"/>
      <c r="S297" s="76"/>
      <c r="T297" s="70"/>
      <c r="U297" s="228">
        <f>ROUND((_15_同援日６．５*_15・基礎２),0)</f>
        <v>947</v>
      </c>
      <c r="V297" s="69"/>
    </row>
    <row r="298" spans="1:22" ht="16.5" customHeight="1" x14ac:dyDescent="0.3">
      <c r="A298" s="2">
        <v>15</v>
      </c>
      <c r="B298" s="2">
        <v>7978</v>
      </c>
      <c r="C298" s="60" t="s">
        <v>8304</v>
      </c>
      <c r="D298" s="1"/>
      <c r="E298" s="227">
        <v>1052</v>
      </c>
      <c r="F298" s="70" t="s">
        <v>0</v>
      </c>
      <c r="G298" s="66" t="s">
        <v>17420</v>
      </c>
      <c r="H298" s="57" t="s">
        <v>1</v>
      </c>
      <c r="I298" s="58">
        <v>0.9</v>
      </c>
      <c r="J298" s="85" t="s">
        <v>5895</v>
      </c>
      <c r="K298" s="64" t="s">
        <v>1</v>
      </c>
      <c r="L298" s="65">
        <v>1</v>
      </c>
      <c r="M298" s="66"/>
      <c r="N298" s="57"/>
      <c r="O298" s="58"/>
      <c r="P298" s="77"/>
      <c r="Q298" s="67"/>
      <c r="R298" s="68"/>
      <c r="S298" s="76"/>
      <c r="T298" s="70"/>
      <c r="U298" s="228">
        <f>ROUND((ROUND((_15_同援日６．５*_15・基礎２),0)*_15・２人),0)</f>
        <v>947</v>
      </c>
      <c r="V298" s="69"/>
    </row>
    <row r="299" spans="1:22" ht="16.5" customHeight="1" x14ac:dyDescent="0.3">
      <c r="A299" s="2">
        <v>15</v>
      </c>
      <c r="B299" s="2">
        <v>7979</v>
      </c>
      <c r="C299" s="60" t="s">
        <v>8303</v>
      </c>
      <c r="D299" s="1"/>
      <c r="E299" s="68"/>
      <c r="F299" s="70"/>
      <c r="G299" s="61"/>
      <c r="H299" s="62"/>
      <c r="I299" s="63"/>
      <c r="J299" s="85"/>
      <c r="K299" s="64"/>
      <c r="L299" s="65"/>
      <c r="M299" s="61" t="s">
        <v>17933</v>
      </c>
      <c r="N299" s="62"/>
      <c r="O299" s="63"/>
      <c r="P299" s="75"/>
      <c r="Q299" s="67"/>
      <c r="R299" s="68"/>
      <c r="S299" s="76"/>
      <c r="T299" s="70"/>
      <c r="U299" s="228">
        <f>ROUND((_15_同援日６．５*(1+_15・盲ろう)),0)</f>
        <v>1315</v>
      </c>
      <c r="V299" s="69"/>
    </row>
    <row r="300" spans="1:22" ht="16.5" customHeight="1" x14ac:dyDescent="0.3">
      <c r="A300" s="2">
        <v>15</v>
      </c>
      <c r="B300" s="2">
        <v>7980</v>
      </c>
      <c r="C300" s="60" t="s">
        <v>8302</v>
      </c>
      <c r="D300" s="1"/>
      <c r="E300" s="68"/>
      <c r="F300" s="70"/>
      <c r="G300" s="66"/>
      <c r="H300" s="57"/>
      <c r="I300" s="58"/>
      <c r="J300" s="85" t="s">
        <v>5895</v>
      </c>
      <c r="K300" s="64" t="s">
        <v>1</v>
      </c>
      <c r="L300" s="65">
        <v>1</v>
      </c>
      <c r="M300" s="67" t="s">
        <v>17932</v>
      </c>
      <c r="N300" s="68"/>
      <c r="O300" s="76"/>
      <c r="P300" s="70"/>
      <c r="Q300" s="67"/>
      <c r="R300" s="68"/>
      <c r="S300" s="76"/>
      <c r="T300" s="70"/>
      <c r="U300" s="228">
        <f>ROUND((ROUND((_15_同援日６．５*_15・２人),0)*(1+_15・盲ろう)),0)</f>
        <v>1315</v>
      </c>
      <c r="V300" s="69"/>
    </row>
    <row r="301" spans="1:22" ht="16.5" customHeight="1" x14ac:dyDescent="0.3">
      <c r="A301" s="2">
        <v>15</v>
      </c>
      <c r="B301" s="2">
        <v>7981</v>
      </c>
      <c r="C301" s="60" t="s">
        <v>8301</v>
      </c>
      <c r="D301" s="1"/>
      <c r="E301" s="68"/>
      <c r="F301" s="70"/>
      <c r="G301" s="61" t="s">
        <v>17747</v>
      </c>
      <c r="H301" s="62"/>
      <c r="I301" s="63"/>
      <c r="J301" s="85"/>
      <c r="K301" s="64"/>
      <c r="L301" s="65"/>
      <c r="M301" s="67"/>
      <c r="N301" s="68" t="s">
        <v>1</v>
      </c>
      <c r="O301" s="76">
        <v>0.25</v>
      </c>
      <c r="P301" s="70" t="s">
        <v>422</v>
      </c>
      <c r="Q301" s="67"/>
      <c r="R301" s="68"/>
      <c r="S301" s="76"/>
      <c r="T301" s="70"/>
      <c r="U301" s="228">
        <f>ROUND((ROUND((_15_同援日６．５*_15・基礎２),0)*(1+_15・盲ろう)),0)</f>
        <v>1184</v>
      </c>
      <c r="V301" s="69"/>
    </row>
    <row r="302" spans="1:22" ht="16.5" customHeight="1" x14ac:dyDescent="0.3">
      <c r="A302" s="2">
        <v>15</v>
      </c>
      <c r="B302" s="2">
        <v>7982</v>
      </c>
      <c r="C302" s="60" t="s">
        <v>8300</v>
      </c>
      <c r="D302" s="1"/>
      <c r="E302" s="68"/>
      <c r="F302" s="70"/>
      <c r="G302" s="66" t="s">
        <v>17420</v>
      </c>
      <c r="H302" s="57" t="s">
        <v>1</v>
      </c>
      <c r="I302" s="58">
        <v>0.9</v>
      </c>
      <c r="J302" s="85" t="s">
        <v>5895</v>
      </c>
      <c r="K302" s="64" t="s">
        <v>1</v>
      </c>
      <c r="L302" s="65">
        <v>1</v>
      </c>
      <c r="M302" s="66"/>
      <c r="N302" s="57"/>
      <c r="O302" s="58"/>
      <c r="P302" s="77"/>
      <c r="Q302" s="66"/>
      <c r="R302" s="57"/>
      <c r="S302" s="58"/>
      <c r="T302" s="77"/>
      <c r="U302" s="228">
        <f>ROUND((ROUND((ROUND((_15_同援日６．５*_15・基礎２),0)*_15・２人),0)*(1+_15・盲ろう)),0)</f>
        <v>1184</v>
      </c>
      <c r="V302" s="69"/>
    </row>
    <row r="303" spans="1:22" ht="16.5" customHeight="1" x14ac:dyDescent="0.3">
      <c r="A303" s="2">
        <v>15</v>
      </c>
      <c r="B303" s="2">
        <v>7983</v>
      </c>
      <c r="C303" s="60" t="s">
        <v>8299</v>
      </c>
      <c r="D303" s="1"/>
      <c r="E303" s="68"/>
      <c r="F303" s="70"/>
      <c r="G303" s="61"/>
      <c r="H303" s="62"/>
      <c r="I303" s="63"/>
      <c r="J303" s="85"/>
      <c r="K303" s="64"/>
      <c r="L303" s="65"/>
      <c r="M303" s="61"/>
      <c r="N303" s="62"/>
      <c r="O303" s="63"/>
      <c r="P303" s="75"/>
      <c r="Q303" s="61"/>
      <c r="R303" s="62"/>
      <c r="S303" s="63"/>
      <c r="T303" s="75"/>
      <c r="U303" s="228">
        <f>ROUND((_15_同援日６．５*(1+_15・区３)),0)</f>
        <v>1262</v>
      </c>
      <c r="V303" s="69"/>
    </row>
    <row r="304" spans="1:22" ht="16.5" customHeight="1" x14ac:dyDescent="0.3">
      <c r="A304" s="2">
        <v>15</v>
      </c>
      <c r="B304" s="2">
        <v>7984</v>
      </c>
      <c r="C304" s="60" t="s">
        <v>8298</v>
      </c>
      <c r="D304" s="1"/>
      <c r="E304" s="68"/>
      <c r="F304" s="70"/>
      <c r="G304" s="66"/>
      <c r="H304" s="57"/>
      <c r="I304" s="58"/>
      <c r="J304" s="85" t="s">
        <v>5895</v>
      </c>
      <c r="K304" s="64" t="s">
        <v>1</v>
      </c>
      <c r="L304" s="65">
        <v>1</v>
      </c>
      <c r="M304" s="67"/>
      <c r="N304" s="68"/>
      <c r="O304" s="76"/>
      <c r="P304" s="70"/>
      <c r="Q304" s="67"/>
      <c r="R304" s="68"/>
      <c r="S304" s="76"/>
      <c r="T304" s="70"/>
      <c r="U304" s="228">
        <f>ROUND((ROUND((_15_同援日６．５*_15・２人),0)*(1+_15・区３)),0)</f>
        <v>1262</v>
      </c>
      <c r="V304" s="69"/>
    </row>
    <row r="305" spans="1:22" ht="16.5" customHeight="1" x14ac:dyDescent="0.3">
      <c r="A305" s="2">
        <v>15</v>
      </c>
      <c r="B305" s="2">
        <v>7985</v>
      </c>
      <c r="C305" s="60" t="s">
        <v>8297</v>
      </c>
      <c r="D305" s="1"/>
      <c r="E305" s="68"/>
      <c r="F305" s="70"/>
      <c r="G305" s="61" t="s">
        <v>17747</v>
      </c>
      <c r="H305" s="62"/>
      <c r="I305" s="63"/>
      <c r="J305" s="85"/>
      <c r="K305" s="64"/>
      <c r="L305" s="65"/>
      <c r="M305" s="67"/>
      <c r="N305" s="68"/>
      <c r="O305" s="76"/>
      <c r="P305" s="70"/>
      <c r="Q305" s="67" t="s">
        <v>8098</v>
      </c>
      <c r="R305" s="68"/>
      <c r="S305" s="76"/>
      <c r="T305" s="70"/>
      <c r="U305" s="228">
        <f>ROUND((ROUND((_15_同援日６．５*_15・基礎２),0)*(1+_15・区３)),0)</f>
        <v>1136</v>
      </c>
      <c r="V305" s="69"/>
    </row>
    <row r="306" spans="1:22" ht="16.5" customHeight="1" x14ac:dyDescent="0.3">
      <c r="A306" s="2">
        <v>15</v>
      </c>
      <c r="B306" s="2">
        <v>7986</v>
      </c>
      <c r="C306" s="60" t="s">
        <v>8296</v>
      </c>
      <c r="D306" s="1"/>
      <c r="E306" s="68"/>
      <c r="F306" s="70"/>
      <c r="G306" s="66" t="s">
        <v>17420</v>
      </c>
      <c r="H306" s="57" t="s">
        <v>1</v>
      </c>
      <c r="I306" s="58">
        <v>0.9</v>
      </c>
      <c r="J306" s="85" t="s">
        <v>5895</v>
      </c>
      <c r="K306" s="64" t="s">
        <v>1</v>
      </c>
      <c r="L306" s="65">
        <v>1</v>
      </c>
      <c r="M306" s="66"/>
      <c r="N306" s="57"/>
      <c r="O306" s="58"/>
      <c r="P306" s="77"/>
      <c r="Q306" s="67" t="s">
        <v>17934</v>
      </c>
      <c r="R306" s="68"/>
      <c r="S306" s="76"/>
      <c r="T306" s="70"/>
      <c r="U306" s="228">
        <f>ROUND((ROUND((ROUND((_15_同援日６．５*_15・基礎２),0)*_15・２人),0)*(1+_15・区３)),0)</f>
        <v>1136</v>
      </c>
      <c r="V306" s="69"/>
    </row>
    <row r="307" spans="1:22" ht="16.5" customHeight="1" x14ac:dyDescent="0.3">
      <c r="A307" s="2">
        <v>15</v>
      </c>
      <c r="B307" s="2">
        <v>7987</v>
      </c>
      <c r="C307" s="60" t="s">
        <v>8295</v>
      </c>
      <c r="D307" s="1"/>
      <c r="E307" s="68"/>
      <c r="F307" s="70"/>
      <c r="G307" s="61"/>
      <c r="H307" s="62"/>
      <c r="I307" s="63"/>
      <c r="J307" s="85"/>
      <c r="K307" s="64"/>
      <c r="L307" s="65"/>
      <c r="M307" s="61" t="s">
        <v>17933</v>
      </c>
      <c r="N307" s="62"/>
      <c r="O307" s="63"/>
      <c r="P307" s="75"/>
      <c r="Q307" s="67"/>
      <c r="R307" s="68" t="s">
        <v>1</v>
      </c>
      <c r="S307" s="76">
        <v>0.2</v>
      </c>
      <c r="T307" s="70" t="s">
        <v>422</v>
      </c>
      <c r="U307" s="228">
        <f>ROUND((ROUND((_15_同援日６．５*(1+_15・盲ろう)),0)*(1+_15・区３)),0)</f>
        <v>1578</v>
      </c>
      <c r="V307" s="69"/>
    </row>
    <row r="308" spans="1:22" ht="16.5" customHeight="1" x14ac:dyDescent="0.3">
      <c r="A308" s="2">
        <v>15</v>
      </c>
      <c r="B308" s="2">
        <v>7988</v>
      </c>
      <c r="C308" s="60" t="s">
        <v>8294</v>
      </c>
      <c r="D308" s="1"/>
      <c r="E308" s="68"/>
      <c r="F308" s="70"/>
      <c r="G308" s="66"/>
      <c r="H308" s="57"/>
      <c r="I308" s="58"/>
      <c r="J308" s="85" t="s">
        <v>5895</v>
      </c>
      <c r="K308" s="64" t="s">
        <v>1</v>
      </c>
      <c r="L308" s="65">
        <v>1</v>
      </c>
      <c r="M308" s="67" t="s">
        <v>17932</v>
      </c>
      <c r="N308" s="68"/>
      <c r="O308" s="76"/>
      <c r="P308" s="70"/>
      <c r="Q308" s="67"/>
      <c r="R308" s="68"/>
      <c r="S308" s="76"/>
      <c r="T308" s="70"/>
      <c r="U308" s="228">
        <f>ROUND((ROUND((ROUND((_15_同援日６．５*_15・２人),0)*(1+_15・盲ろう)),0)*(1+_15・区３)),0)</f>
        <v>1578</v>
      </c>
      <c r="V308" s="69"/>
    </row>
    <row r="309" spans="1:22" ht="16.5" customHeight="1" x14ac:dyDescent="0.3">
      <c r="A309" s="2">
        <v>15</v>
      </c>
      <c r="B309" s="2">
        <v>7989</v>
      </c>
      <c r="C309" s="60" t="s">
        <v>8293</v>
      </c>
      <c r="D309" s="1"/>
      <c r="E309" s="68"/>
      <c r="F309" s="70"/>
      <c r="G309" s="61" t="s">
        <v>17747</v>
      </c>
      <c r="H309" s="62"/>
      <c r="I309" s="63"/>
      <c r="J309" s="85"/>
      <c r="K309" s="64"/>
      <c r="L309" s="65"/>
      <c r="M309" s="67"/>
      <c r="N309" s="68" t="s">
        <v>1</v>
      </c>
      <c r="O309" s="76">
        <v>0.25</v>
      </c>
      <c r="P309" s="70" t="s">
        <v>422</v>
      </c>
      <c r="Q309" s="67"/>
      <c r="R309" s="68"/>
      <c r="S309" s="76"/>
      <c r="T309" s="70"/>
      <c r="U309" s="228">
        <f>ROUND((ROUND((ROUND((_15_同援日６．５*_15・基礎２),0)*(1+_15・盲ろう)),0)*(1+_15・区３)),0)</f>
        <v>1421</v>
      </c>
      <c r="V309" s="69"/>
    </row>
    <row r="310" spans="1:22" ht="16.5" customHeight="1" x14ac:dyDescent="0.3">
      <c r="A310" s="2">
        <v>15</v>
      </c>
      <c r="B310" s="2">
        <v>7990</v>
      </c>
      <c r="C310" s="60" t="s">
        <v>8292</v>
      </c>
      <c r="D310" s="1"/>
      <c r="E310" s="68"/>
      <c r="F310" s="70"/>
      <c r="G310" s="66" t="s">
        <v>17420</v>
      </c>
      <c r="H310" s="57" t="s">
        <v>1</v>
      </c>
      <c r="I310" s="58">
        <v>0.9</v>
      </c>
      <c r="J310" s="85" t="s">
        <v>5895</v>
      </c>
      <c r="K310" s="64" t="s">
        <v>1</v>
      </c>
      <c r="L310" s="65">
        <v>1</v>
      </c>
      <c r="M310" s="66"/>
      <c r="N310" s="57"/>
      <c r="O310" s="58"/>
      <c r="P310" s="77"/>
      <c r="Q310" s="66"/>
      <c r="R310" s="57"/>
      <c r="S310" s="58"/>
      <c r="T310" s="77"/>
      <c r="U310" s="228">
        <f>ROUND((ROUND((ROUND((ROUND((_15_同援日６．５*_15・基礎２),0)*_15・２人),0)*(1+_15・盲ろう)),0)*(1+_15・区３)),0)</f>
        <v>1421</v>
      </c>
      <c r="V310" s="69"/>
    </row>
    <row r="311" spans="1:22" ht="16.5" customHeight="1" x14ac:dyDescent="0.3">
      <c r="A311" s="2">
        <v>15</v>
      </c>
      <c r="B311" s="2">
        <v>7991</v>
      </c>
      <c r="C311" s="60" t="s">
        <v>8291</v>
      </c>
      <c r="D311" s="1"/>
      <c r="E311" s="68"/>
      <c r="F311" s="70"/>
      <c r="G311" s="61"/>
      <c r="H311" s="62"/>
      <c r="I311" s="63"/>
      <c r="J311" s="85"/>
      <c r="K311" s="64"/>
      <c r="L311" s="65"/>
      <c r="M311" s="61"/>
      <c r="N311" s="62"/>
      <c r="O311" s="63"/>
      <c r="P311" s="75"/>
      <c r="Q311" s="61"/>
      <c r="R311" s="62"/>
      <c r="S311" s="63"/>
      <c r="T311" s="75"/>
      <c r="U311" s="228">
        <f>ROUND((_15_同援日６．５*(1+_15・区４)),0)</f>
        <v>1473</v>
      </c>
      <c r="V311" s="69"/>
    </row>
    <row r="312" spans="1:22" ht="16.5" customHeight="1" x14ac:dyDescent="0.3">
      <c r="A312" s="2">
        <v>15</v>
      </c>
      <c r="B312" s="2">
        <v>7992</v>
      </c>
      <c r="C312" s="60" t="s">
        <v>8290</v>
      </c>
      <c r="D312" s="1"/>
      <c r="E312" s="68"/>
      <c r="F312" s="70"/>
      <c r="G312" s="66"/>
      <c r="H312" s="57"/>
      <c r="I312" s="58"/>
      <c r="J312" s="85" t="s">
        <v>5895</v>
      </c>
      <c r="K312" s="64" t="s">
        <v>1</v>
      </c>
      <c r="L312" s="65">
        <v>1</v>
      </c>
      <c r="M312" s="67"/>
      <c r="N312" s="68"/>
      <c r="O312" s="76"/>
      <c r="P312" s="70"/>
      <c r="Q312" s="67"/>
      <c r="R312" s="68"/>
      <c r="S312" s="76"/>
      <c r="T312" s="70"/>
      <c r="U312" s="228">
        <f>ROUND((ROUND((_15_同援日６．５*_15・２人),0)*(1+_15・区４)),0)</f>
        <v>1473</v>
      </c>
      <c r="V312" s="69"/>
    </row>
    <row r="313" spans="1:22" ht="16.5" customHeight="1" x14ac:dyDescent="0.3">
      <c r="A313" s="2">
        <v>15</v>
      </c>
      <c r="B313" s="2">
        <v>7993</v>
      </c>
      <c r="C313" s="60" t="s">
        <v>8289</v>
      </c>
      <c r="D313" s="1"/>
      <c r="E313" s="68"/>
      <c r="F313" s="70"/>
      <c r="G313" s="61" t="s">
        <v>17747</v>
      </c>
      <c r="H313" s="62"/>
      <c r="I313" s="63"/>
      <c r="J313" s="85"/>
      <c r="K313" s="64"/>
      <c r="L313" s="65"/>
      <c r="M313" s="67"/>
      <c r="N313" s="68"/>
      <c r="O313" s="76"/>
      <c r="P313" s="70"/>
      <c r="Q313" s="67" t="s">
        <v>17935</v>
      </c>
      <c r="R313" s="68"/>
      <c r="S313" s="76"/>
      <c r="T313" s="70"/>
      <c r="U313" s="228">
        <f>ROUND((ROUND((_15_同援日６．５*_15・基礎２),0)*(1+_15・区４)),0)</f>
        <v>1326</v>
      </c>
      <c r="V313" s="69"/>
    </row>
    <row r="314" spans="1:22" ht="16.5" customHeight="1" x14ac:dyDescent="0.3">
      <c r="A314" s="2">
        <v>15</v>
      </c>
      <c r="B314" s="2">
        <v>7994</v>
      </c>
      <c r="C314" s="60" t="s">
        <v>8288</v>
      </c>
      <c r="D314" s="1"/>
      <c r="E314" s="68"/>
      <c r="F314" s="70"/>
      <c r="G314" s="66" t="s">
        <v>17420</v>
      </c>
      <c r="H314" s="57" t="s">
        <v>1</v>
      </c>
      <c r="I314" s="58">
        <v>0.9</v>
      </c>
      <c r="J314" s="85" t="s">
        <v>5895</v>
      </c>
      <c r="K314" s="64" t="s">
        <v>1</v>
      </c>
      <c r="L314" s="65">
        <v>1</v>
      </c>
      <c r="M314" s="66"/>
      <c r="N314" s="57"/>
      <c r="O314" s="58"/>
      <c r="P314" s="77"/>
      <c r="Q314" s="67" t="s">
        <v>17934</v>
      </c>
      <c r="R314" s="68"/>
      <c r="S314" s="76"/>
      <c r="T314" s="70"/>
      <c r="U314" s="228">
        <f>ROUND((ROUND((ROUND((_15_同援日６．５*_15・基礎２),0)*_15・２人),0)*(1+_15・区４)),0)</f>
        <v>1326</v>
      </c>
      <c r="V314" s="69"/>
    </row>
    <row r="315" spans="1:22" ht="16.5" customHeight="1" x14ac:dyDescent="0.3">
      <c r="A315" s="2">
        <v>15</v>
      </c>
      <c r="B315" s="2">
        <v>7995</v>
      </c>
      <c r="C315" s="60" t="s">
        <v>8287</v>
      </c>
      <c r="D315" s="1"/>
      <c r="E315" s="68"/>
      <c r="F315" s="70"/>
      <c r="G315" s="61"/>
      <c r="H315" s="62"/>
      <c r="I315" s="63"/>
      <c r="J315" s="85"/>
      <c r="K315" s="64"/>
      <c r="L315" s="65"/>
      <c r="M315" s="61" t="s">
        <v>8085</v>
      </c>
      <c r="N315" s="62"/>
      <c r="O315" s="63"/>
      <c r="P315" s="75"/>
      <c r="Q315" s="67"/>
      <c r="R315" s="68" t="s">
        <v>1</v>
      </c>
      <c r="S315" s="76">
        <v>0.4</v>
      </c>
      <c r="T315" s="70" t="s">
        <v>422</v>
      </c>
      <c r="U315" s="228">
        <f>ROUND((ROUND((_15_同援日６．５*(1+_15・盲ろう)),0)*(1+_15・区４)),0)</f>
        <v>1841</v>
      </c>
      <c r="V315" s="69"/>
    </row>
    <row r="316" spans="1:22" ht="16.5" customHeight="1" x14ac:dyDescent="0.3">
      <c r="A316" s="2">
        <v>15</v>
      </c>
      <c r="B316" s="2">
        <v>7996</v>
      </c>
      <c r="C316" s="60" t="s">
        <v>8286</v>
      </c>
      <c r="D316" s="1"/>
      <c r="E316" s="68"/>
      <c r="F316" s="70"/>
      <c r="G316" s="66"/>
      <c r="H316" s="57"/>
      <c r="I316" s="58"/>
      <c r="J316" s="85" t="s">
        <v>5895</v>
      </c>
      <c r="K316" s="64" t="s">
        <v>1</v>
      </c>
      <c r="L316" s="65">
        <v>1</v>
      </c>
      <c r="M316" s="67" t="s">
        <v>17932</v>
      </c>
      <c r="N316" s="68"/>
      <c r="O316" s="76"/>
      <c r="P316" s="70"/>
      <c r="Q316" s="67"/>
      <c r="R316" s="68"/>
      <c r="S316" s="76"/>
      <c r="T316" s="70"/>
      <c r="U316" s="228">
        <f>ROUND((ROUND((ROUND((_15_同援日６．５*_15・２人),0)*(1+_15・盲ろう)),0)*(1+_15・区４)),0)</f>
        <v>1841</v>
      </c>
      <c r="V316" s="69"/>
    </row>
    <row r="317" spans="1:22" ht="16.5" customHeight="1" x14ac:dyDescent="0.3">
      <c r="A317" s="2">
        <v>15</v>
      </c>
      <c r="B317" s="2">
        <v>7997</v>
      </c>
      <c r="C317" s="60" t="s">
        <v>8285</v>
      </c>
      <c r="D317" s="1"/>
      <c r="E317" s="68"/>
      <c r="F317" s="70"/>
      <c r="G317" s="61" t="s">
        <v>17747</v>
      </c>
      <c r="H317" s="62"/>
      <c r="I317" s="63"/>
      <c r="J317" s="85"/>
      <c r="K317" s="64"/>
      <c r="L317" s="65"/>
      <c r="M317" s="67"/>
      <c r="N317" s="68" t="s">
        <v>1</v>
      </c>
      <c r="O317" s="76">
        <v>0.25</v>
      </c>
      <c r="P317" s="70" t="s">
        <v>422</v>
      </c>
      <c r="Q317" s="67"/>
      <c r="R317" s="68"/>
      <c r="S317" s="76"/>
      <c r="T317" s="70"/>
      <c r="U317" s="228">
        <f>ROUND((ROUND((ROUND((_15_同援日６．５*_15・基礎２),0)*(1+_15・盲ろう)),0)*(1+_15・区４)),0)</f>
        <v>1658</v>
      </c>
      <c r="V317" s="69"/>
    </row>
    <row r="318" spans="1:22" ht="16.5" customHeight="1" x14ac:dyDescent="0.3">
      <c r="A318" s="2">
        <v>15</v>
      </c>
      <c r="B318" s="2">
        <v>7998</v>
      </c>
      <c r="C318" s="60" t="s">
        <v>8284</v>
      </c>
      <c r="D318" s="81"/>
      <c r="E318" s="57"/>
      <c r="F318" s="77"/>
      <c r="G318" s="66" t="s">
        <v>17420</v>
      </c>
      <c r="H318" s="57" t="s">
        <v>1</v>
      </c>
      <c r="I318" s="58">
        <v>0.9</v>
      </c>
      <c r="J318" s="85" t="s">
        <v>5895</v>
      </c>
      <c r="K318" s="64" t="s">
        <v>1</v>
      </c>
      <c r="L318" s="65">
        <v>1</v>
      </c>
      <c r="M318" s="66"/>
      <c r="N318" s="57"/>
      <c r="O318" s="58"/>
      <c r="P318" s="77"/>
      <c r="Q318" s="66"/>
      <c r="R318" s="57"/>
      <c r="S318" s="58"/>
      <c r="T318" s="77"/>
      <c r="U318" s="228">
        <f>ROUND((ROUND((ROUND((ROUND((_15_同援日６．５*_15・基礎２),0)*_15・２人),0)*(1+_15・盲ろう)),0)*(1+_15・区４)),0)</f>
        <v>1658</v>
      </c>
      <c r="V318" s="69"/>
    </row>
    <row r="319" spans="1:22" ht="16.5" customHeight="1" x14ac:dyDescent="0.3">
      <c r="A319" s="2">
        <v>15</v>
      </c>
      <c r="B319" s="2">
        <v>7999</v>
      </c>
      <c r="C319" s="60" t="s">
        <v>8283</v>
      </c>
      <c r="D319" s="233" t="s">
        <v>17952</v>
      </c>
      <c r="E319" s="62"/>
      <c r="F319" s="75"/>
      <c r="G319" s="61"/>
      <c r="H319" s="62"/>
      <c r="I319" s="63"/>
      <c r="J319" s="85"/>
      <c r="K319" s="64"/>
      <c r="L319" s="65"/>
      <c r="M319" s="61"/>
      <c r="N319" s="62"/>
      <c r="O319" s="63"/>
      <c r="P319" s="75"/>
      <c r="Q319" s="61"/>
      <c r="R319" s="62"/>
      <c r="S319" s="63"/>
      <c r="T319" s="75"/>
      <c r="U319" s="228">
        <f>_15_同援日７．０</f>
        <v>1115</v>
      </c>
      <c r="V319" s="69"/>
    </row>
    <row r="320" spans="1:22" ht="16.5" customHeight="1" x14ac:dyDescent="0.3">
      <c r="A320" s="2">
        <v>15</v>
      </c>
      <c r="B320" s="2">
        <v>8000</v>
      </c>
      <c r="C320" s="60" t="s">
        <v>8282</v>
      </c>
      <c r="D320" s="1" t="s">
        <v>17951</v>
      </c>
      <c r="E320" s="68"/>
      <c r="F320" s="70"/>
      <c r="G320" s="66"/>
      <c r="H320" s="57"/>
      <c r="I320" s="58"/>
      <c r="J320" s="85" t="s">
        <v>5895</v>
      </c>
      <c r="K320" s="64" t="s">
        <v>1</v>
      </c>
      <c r="L320" s="65">
        <v>1</v>
      </c>
      <c r="M320" s="67"/>
      <c r="N320" s="68"/>
      <c r="O320" s="76"/>
      <c r="P320" s="70"/>
      <c r="Q320" s="67"/>
      <c r="R320" s="68"/>
      <c r="S320" s="76"/>
      <c r="T320" s="70"/>
      <c r="U320" s="228">
        <f>ROUND((_15_同援日７．０*_15・２人),0)</f>
        <v>1115</v>
      </c>
      <c r="V320" s="69"/>
    </row>
    <row r="321" spans="1:22" ht="16.5" customHeight="1" x14ac:dyDescent="0.3">
      <c r="A321" s="2">
        <v>15</v>
      </c>
      <c r="B321" s="2">
        <v>8001</v>
      </c>
      <c r="C321" s="60" t="s">
        <v>8281</v>
      </c>
      <c r="D321" s="1" t="s">
        <v>17950</v>
      </c>
      <c r="E321" s="68"/>
      <c r="F321" s="70"/>
      <c r="G321" s="61" t="s">
        <v>17747</v>
      </c>
      <c r="H321" s="62"/>
      <c r="I321" s="63"/>
      <c r="J321" s="85"/>
      <c r="K321" s="64"/>
      <c r="L321" s="65"/>
      <c r="M321" s="67"/>
      <c r="N321" s="68"/>
      <c r="O321" s="76"/>
      <c r="P321" s="70"/>
      <c r="Q321" s="67"/>
      <c r="R321" s="68"/>
      <c r="S321" s="76"/>
      <c r="T321" s="70"/>
      <c r="U321" s="228">
        <f>ROUND((_15_同援日７．０*_15・基礎２),0)</f>
        <v>1004</v>
      </c>
      <c r="V321" s="69"/>
    </row>
    <row r="322" spans="1:22" ht="16.5" customHeight="1" x14ac:dyDescent="0.3">
      <c r="A322" s="2">
        <v>15</v>
      </c>
      <c r="B322" s="2">
        <v>8002</v>
      </c>
      <c r="C322" s="60" t="s">
        <v>8280</v>
      </c>
      <c r="D322" s="1"/>
      <c r="E322" s="227">
        <v>1115</v>
      </c>
      <c r="F322" s="70" t="s">
        <v>0</v>
      </c>
      <c r="G322" s="66" t="s">
        <v>17420</v>
      </c>
      <c r="H322" s="57" t="s">
        <v>1</v>
      </c>
      <c r="I322" s="58">
        <v>0.9</v>
      </c>
      <c r="J322" s="85" t="s">
        <v>5895</v>
      </c>
      <c r="K322" s="64" t="s">
        <v>1</v>
      </c>
      <c r="L322" s="65">
        <v>1</v>
      </c>
      <c r="M322" s="66"/>
      <c r="N322" s="57"/>
      <c r="O322" s="58"/>
      <c r="P322" s="77"/>
      <c r="Q322" s="67"/>
      <c r="R322" s="68"/>
      <c r="S322" s="76"/>
      <c r="T322" s="70"/>
      <c r="U322" s="228">
        <f>ROUND((ROUND((_15_同援日７．０*_15・基礎２),0)*_15・２人),0)</f>
        <v>1004</v>
      </c>
      <c r="V322" s="69"/>
    </row>
    <row r="323" spans="1:22" ht="16.5" customHeight="1" x14ac:dyDescent="0.3">
      <c r="A323" s="2">
        <v>15</v>
      </c>
      <c r="B323" s="2">
        <v>8003</v>
      </c>
      <c r="C323" s="60" t="s">
        <v>8279</v>
      </c>
      <c r="D323" s="1"/>
      <c r="E323" s="68"/>
      <c r="F323" s="70"/>
      <c r="G323" s="61"/>
      <c r="H323" s="62"/>
      <c r="I323" s="63"/>
      <c r="J323" s="85"/>
      <c r="K323" s="64"/>
      <c r="L323" s="65"/>
      <c r="M323" s="61" t="s">
        <v>17933</v>
      </c>
      <c r="N323" s="62"/>
      <c r="O323" s="63"/>
      <c r="P323" s="75"/>
      <c r="Q323" s="67"/>
      <c r="R323" s="68"/>
      <c r="S323" s="76"/>
      <c r="T323" s="70"/>
      <c r="U323" s="228">
        <f>ROUND((_15_同援日７．０*(1+_15・盲ろう)),0)</f>
        <v>1394</v>
      </c>
      <c r="V323" s="69"/>
    </row>
    <row r="324" spans="1:22" ht="16.5" customHeight="1" x14ac:dyDescent="0.3">
      <c r="A324" s="2">
        <v>15</v>
      </c>
      <c r="B324" s="2">
        <v>8004</v>
      </c>
      <c r="C324" s="60" t="s">
        <v>8278</v>
      </c>
      <c r="D324" s="1"/>
      <c r="E324" s="68"/>
      <c r="F324" s="70"/>
      <c r="G324" s="66"/>
      <c r="H324" s="57"/>
      <c r="I324" s="58"/>
      <c r="J324" s="85" t="s">
        <v>5895</v>
      </c>
      <c r="K324" s="64" t="s">
        <v>1</v>
      </c>
      <c r="L324" s="65">
        <v>1</v>
      </c>
      <c r="M324" s="67" t="s">
        <v>17932</v>
      </c>
      <c r="N324" s="68"/>
      <c r="O324" s="76"/>
      <c r="P324" s="70"/>
      <c r="Q324" s="67"/>
      <c r="R324" s="68"/>
      <c r="S324" s="76"/>
      <c r="T324" s="70"/>
      <c r="U324" s="228">
        <f>ROUND((ROUND((_15_同援日７．０*_15・２人),0)*(1+_15・盲ろう)),0)</f>
        <v>1394</v>
      </c>
      <c r="V324" s="69"/>
    </row>
    <row r="325" spans="1:22" ht="16.5" customHeight="1" x14ac:dyDescent="0.3">
      <c r="A325" s="2">
        <v>15</v>
      </c>
      <c r="B325" s="2">
        <v>8005</v>
      </c>
      <c r="C325" s="60" t="s">
        <v>8277</v>
      </c>
      <c r="D325" s="1"/>
      <c r="E325" s="68"/>
      <c r="F325" s="70"/>
      <c r="G325" s="61" t="s">
        <v>17747</v>
      </c>
      <c r="H325" s="62"/>
      <c r="I325" s="63"/>
      <c r="J325" s="85"/>
      <c r="K325" s="64"/>
      <c r="L325" s="65"/>
      <c r="M325" s="67"/>
      <c r="N325" s="68" t="s">
        <v>1</v>
      </c>
      <c r="O325" s="76">
        <v>0.25</v>
      </c>
      <c r="P325" s="70" t="s">
        <v>422</v>
      </c>
      <c r="Q325" s="67"/>
      <c r="R325" s="68"/>
      <c r="S325" s="76"/>
      <c r="T325" s="70"/>
      <c r="U325" s="228">
        <f>ROUND((ROUND((_15_同援日７．０*_15・基礎２),0)*(1+_15・盲ろう)),0)</f>
        <v>1255</v>
      </c>
      <c r="V325" s="69"/>
    </row>
    <row r="326" spans="1:22" ht="16.5" customHeight="1" x14ac:dyDescent="0.3">
      <c r="A326" s="2">
        <v>15</v>
      </c>
      <c r="B326" s="2">
        <v>8006</v>
      </c>
      <c r="C326" s="60" t="s">
        <v>8276</v>
      </c>
      <c r="D326" s="1"/>
      <c r="E326" s="68"/>
      <c r="F326" s="70"/>
      <c r="G326" s="66" t="s">
        <v>17420</v>
      </c>
      <c r="H326" s="57" t="s">
        <v>1</v>
      </c>
      <c r="I326" s="58">
        <v>0.9</v>
      </c>
      <c r="J326" s="85" t="s">
        <v>5895</v>
      </c>
      <c r="K326" s="64" t="s">
        <v>1</v>
      </c>
      <c r="L326" s="65">
        <v>1</v>
      </c>
      <c r="M326" s="66"/>
      <c r="N326" s="57"/>
      <c r="O326" s="58"/>
      <c r="P326" s="77"/>
      <c r="Q326" s="66"/>
      <c r="R326" s="57"/>
      <c r="S326" s="58"/>
      <c r="T326" s="77"/>
      <c r="U326" s="228">
        <f>ROUND((ROUND((ROUND((_15_同援日７．０*_15・基礎２),0)*_15・２人),0)*(1+_15・盲ろう)),0)</f>
        <v>1255</v>
      </c>
      <c r="V326" s="69"/>
    </row>
    <row r="327" spans="1:22" ht="16.5" customHeight="1" x14ac:dyDescent="0.3">
      <c r="A327" s="2">
        <v>15</v>
      </c>
      <c r="B327" s="2">
        <v>8007</v>
      </c>
      <c r="C327" s="60" t="s">
        <v>8275</v>
      </c>
      <c r="D327" s="1"/>
      <c r="E327" s="68"/>
      <c r="F327" s="70"/>
      <c r="G327" s="61"/>
      <c r="H327" s="62"/>
      <c r="I327" s="63"/>
      <c r="J327" s="85"/>
      <c r="K327" s="64"/>
      <c r="L327" s="65"/>
      <c r="M327" s="61"/>
      <c r="N327" s="62"/>
      <c r="O327" s="63"/>
      <c r="P327" s="75"/>
      <c r="Q327" s="61"/>
      <c r="R327" s="62"/>
      <c r="S327" s="63"/>
      <c r="T327" s="75"/>
      <c r="U327" s="228">
        <f>ROUND((_15_同援日７．０*(1+_15・区３)),0)</f>
        <v>1338</v>
      </c>
      <c r="V327" s="69"/>
    </row>
    <row r="328" spans="1:22" ht="16.5" customHeight="1" x14ac:dyDescent="0.3">
      <c r="A328" s="2">
        <v>15</v>
      </c>
      <c r="B328" s="2">
        <v>8008</v>
      </c>
      <c r="C328" s="60" t="s">
        <v>8274</v>
      </c>
      <c r="D328" s="1"/>
      <c r="E328" s="68"/>
      <c r="F328" s="70"/>
      <c r="G328" s="66"/>
      <c r="H328" s="57"/>
      <c r="I328" s="58"/>
      <c r="J328" s="85" t="s">
        <v>5895</v>
      </c>
      <c r="K328" s="64" t="s">
        <v>1</v>
      </c>
      <c r="L328" s="65">
        <v>1</v>
      </c>
      <c r="M328" s="67"/>
      <c r="N328" s="68"/>
      <c r="O328" s="76"/>
      <c r="P328" s="70"/>
      <c r="Q328" s="67"/>
      <c r="R328" s="68"/>
      <c r="S328" s="76"/>
      <c r="T328" s="70"/>
      <c r="U328" s="228">
        <f>ROUND((ROUND((_15_同援日７．０*_15・２人),0)*(1+_15・区３)),0)</f>
        <v>1338</v>
      </c>
      <c r="V328" s="69"/>
    </row>
    <row r="329" spans="1:22" ht="16.5" customHeight="1" x14ac:dyDescent="0.3">
      <c r="A329" s="2">
        <v>15</v>
      </c>
      <c r="B329" s="2">
        <v>8009</v>
      </c>
      <c r="C329" s="60" t="s">
        <v>8273</v>
      </c>
      <c r="D329" s="1"/>
      <c r="E329" s="68"/>
      <c r="F329" s="70"/>
      <c r="G329" s="61" t="s">
        <v>17747</v>
      </c>
      <c r="H329" s="62"/>
      <c r="I329" s="63"/>
      <c r="J329" s="85"/>
      <c r="K329" s="64"/>
      <c r="L329" s="65"/>
      <c r="M329" s="67"/>
      <c r="N329" s="68"/>
      <c r="O329" s="76"/>
      <c r="P329" s="70"/>
      <c r="Q329" s="67" t="s">
        <v>17936</v>
      </c>
      <c r="R329" s="68"/>
      <c r="S329" s="76"/>
      <c r="T329" s="70"/>
      <c r="U329" s="228">
        <f>ROUND((ROUND((_15_同援日７．０*_15・基礎２),0)*(1+_15・区３)),0)</f>
        <v>1205</v>
      </c>
      <c r="V329" s="69"/>
    </row>
    <row r="330" spans="1:22" ht="16.5" customHeight="1" x14ac:dyDescent="0.3">
      <c r="A330" s="2">
        <v>15</v>
      </c>
      <c r="B330" s="2">
        <v>8010</v>
      </c>
      <c r="C330" s="60" t="s">
        <v>8272</v>
      </c>
      <c r="D330" s="1"/>
      <c r="E330" s="68"/>
      <c r="F330" s="70"/>
      <c r="G330" s="66" t="s">
        <v>17420</v>
      </c>
      <c r="H330" s="57" t="s">
        <v>1</v>
      </c>
      <c r="I330" s="58">
        <v>0.9</v>
      </c>
      <c r="J330" s="85" t="s">
        <v>5895</v>
      </c>
      <c r="K330" s="64" t="s">
        <v>1</v>
      </c>
      <c r="L330" s="65">
        <v>1</v>
      </c>
      <c r="M330" s="66"/>
      <c r="N330" s="57"/>
      <c r="O330" s="58"/>
      <c r="P330" s="77"/>
      <c r="Q330" s="67" t="s">
        <v>17934</v>
      </c>
      <c r="R330" s="68"/>
      <c r="S330" s="76"/>
      <c r="T330" s="70"/>
      <c r="U330" s="228">
        <f>ROUND((ROUND((ROUND((_15_同援日７．０*_15・基礎２),0)*_15・２人),0)*(1+_15・区３)),0)</f>
        <v>1205</v>
      </c>
      <c r="V330" s="69"/>
    </row>
    <row r="331" spans="1:22" ht="16.5" customHeight="1" x14ac:dyDescent="0.3">
      <c r="A331" s="2">
        <v>15</v>
      </c>
      <c r="B331" s="2">
        <v>8011</v>
      </c>
      <c r="C331" s="60" t="s">
        <v>8271</v>
      </c>
      <c r="D331" s="1"/>
      <c r="E331" s="68"/>
      <c r="F331" s="70"/>
      <c r="G331" s="61"/>
      <c r="H331" s="62"/>
      <c r="I331" s="63"/>
      <c r="J331" s="85"/>
      <c r="K331" s="64"/>
      <c r="L331" s="65"/>
      <c r="M331" s="61" t="s">
        <v>17933</v>
      </c>
      <c r="N331" s="62"/>
      <c r="O331" s="63"/>
      <c r="P331" s="75"/>
      <c r="Q331" s="67"/>
      <c r="R331" s="68" t="s">
        <v>1</v>
      </c>
      <c r="S331" s="76">
        <v>0.2</v>
      </c>
      <c r="T331" s="70" t="s">
        <v>422</v>
      </c>
      <c r="U331" s="228">
        <f>ROUND((ROUND((_15_同援日７．０*(1+_15・盲ろう)),0)*(1+_15・区３)),0)</f>
        <v>1673</v>
      </c>
      <c r="V331" s="69"/>
    </row>
    <row r="332" spans="1:22" ht="16.5" customHeight="1" x14ac:dyDescent="0.3">
      <c r="A332" s="2">
        <v>15</v>
      </c>
      <c r="B332" s="2">
        <v>8012</v>
      </c>
      <c r="C332" s="60" t="s">
        <v>8270</v>
      </c>
      <c r="D332" s="1"/>
      <c r="E332" s="68"/>
      <c r="F332" s="70"/>
      <c r="G332" s="66"/>
      <c r="H332" s="57"/>
      <c r="I332" s="58"/>
      <c r="J332" s="85" t="s">
        <v>5895</v>
      </c>
      <c r="K332" s="64" t="s">
        <v>1</v>
      </c>
      <c r="L332" s="65">
        <v>1</v>
      </c>
      <c r="M332" s="67" t="s">
        <v>17932</v>
      </c>
      <c r="N332" s="68"/>
      <c r="O332" s="76"/>
      <c r="P332" s="70"/>
      <c r="Q332" s="67"/>
      <c r="R332" s="68"/>
      <c r="S332" s="76"/>
      <c r="T332" s="70"/>
      <c r="U332" s="228">
        <f>ROUND((ROUND((ROUND((_15_同援日７．０*_15・２人),0)*(1+_15・盲ろう)),0)*(1+_15・区３)),0)</f>
        <v>1673</v>
      </c>
      <c r="V332" s="69"/>
    </row>
    <row r="333" spans="1:22" ht="16.5" customHeight="1" x14ac:dyDescent="0.3">
      <c r="A333" s="2">
        <v>15</v>
      </c>
      <c r="B333" s="2">
        <v>8013</v>
      </c>
      <c r="C333" s="60" t="s">
        <v>8269</v>
      </c>
      <c r="D333" s="1"/>
      <c r="E333" s="68"/>
      <c r="F333" s="70"/>
      <c r="G333" s="61" t="s">
        <v>17747</v>
      </c>
      <c r="H333" s="62"/>
      <c r="I333" s="63"/>
      <c r="J333" s="85"/>
      <c r="K333" s="64"/>
      <c r="L333" s="65"/>
      <c r="M333" s="67"/>
      <c r="N333" s="68" t="s">
        <v>1</v>
      </c>
      <c r="O333" s="76">
        <v>0.25</v>
      </c>
      <c r="P333" s="70" t="s">
        <v>422</v>
      </c>
      <c r="Q333" s="67"/>
      <c r="R333" s="68"/>
      <c r="S333" s="76"/>
      <c r="T333" s="70"/>
      <c r="U333" s="228">
        <f>ROUND((ROUND((ROUND((_15_同援日７．０*_15・基礎２),0)*(1+_15・盲ろう)),0)*(1+_15・区３)),0)</f>
        <v>1506</v>
      </c>
      <c r="V333" s="69"/>
    </row>
    <row r="334" spans="1:22" ht="16.5" customHeight="1" x14ac:dyDescent="0.3">
      <c r="A334" s="2">
        <v>15</v>
      </c>
      <c r="B334" s="2">
        <v>8014</v>
      </c>
      <c r="C334" s="60" t="s">
        <v>8268</v>
      </c>
      <c r="D334" s="1"/>
      <c r="E334" s="68"/>
      <c r="F334" s="70"/>
      <c r="G334" s="66" t="s">
        <v>17420</v>
      </c>
      <c r="H334" s="57" t="s">
        <v>1</v>
      </c>
      <c r="I334" s="58">
        <v>0.9</v>
      </c>
      <c r="J334" s="85" t="s">
        <v>5895</v>
      </c>
      <c r="K334" s="64" t="s">
        <v>1</v>
      </c>
      <c r="L334" s="65">
        <v>1</v>
      </c>
      <c r="M334" s="66"/>
      <c r="N334" s="57"/>
      <c r="O334" s="58"/>
      <c r="P334" s="77"/>
      <c r="Q334" s="66"/>
      <c r="R334" s="57"/>
      <c r="S334" s="58"/>
      <c r="T334" s="77"/>
      <c r="U334" s="228">
        <f>ROUND((ROUND((ROUND((ROUND((_15_同援日７．０*_15・基礎２),0)*_15・２人),0)*(1+_15・盲ろう)),0)*(1+_15・区３)),0)</f>
        <v>1506</v>
      </c>
      <c r="V334" s="69"/>
    </row>
    <row r="335" spans="1:22" ht="16.5" customHeight="1" x14ac:dyDescent="0.3">
      <c r="A335" s="2">
        <v>15</v>
      </c>
      <c r="B335" s="2">
        <v>8015</v>
      </c>
      <c r="C335" s="60" t="s">
        <v>8267</v>
      </c>
      <c r="D335" s="1"/>
      <c r="E335" s="68"/>
      <c r="F335" s="70"/>
      <c r="G335" s="61"/>
      <c r="H335" s="62"/>
      <c r="I335" s="63"/>
      <c r="J335" s="85"/>
      <c r="K335" s="64"/>
      <c r="L335" s="65"/>
      <c r="M335" s="61"/>
      <c r="N335" s="62"/>
      <c r="O335" s="63"/>
      <c r="P335" s="75"/>
      <c r="Q335" s="61"/>
      <c r="R335" s="62"/>
      <c r="S335" s="63"/>
      <c r="T335" s="75"/>
      <c r="U335" s="228">
        <f>ROUND((_15_同援日７．０*(1+_15・区４)),0)</f>
        <v>1561</v>
      </c>
      <c r="V335" s="69"/>
    </row>
    <row r="336" spans="1:22" ht="16.5" customHeight="1" x14ac:dyDescent="0.3">
      <c r="A336" s="2">
        <v>15</v>
      </c>
      <c r="B336" s="2">
        <v>8016</v>
      </c>
      <c r="C336" s="60" t="s">
        <v>8266</v>
      </c>
      <c r="D336" s="1"/>
      <c r="E336" s="68"/>
      <c r="F336" s="70"/>
      <c r="G336" s="66"/>
      <c r="H336" s="57"/>
      <c r="I336" s="58"/>
      <c r="J336" s="85" t="s">
        <v>5895</v>
      </c>
      <c r="K336" s="64" t="s">
        <v>1</v>
      </c>
      <c r="L336" s="65">
        <v>1</v>
      </c>
      <c r="M336" s="67"/>
      <c r="N336" s="68"/>
      <c r="O336" s="76"/>
      <c r="P336" s="70"/>
      <c r="Q336" s="67"/>
      <c r="R336" s="68"/>
      <c r="S336" s="76"/>
      <c r="T336" s="70"/>
      <c r="U336" s="228">
        <f>ROUND((ROUND((_15_同援日７．０*_15・２人),0)*(1+_15・区４)),0)</f>
        <v>1561</v>
      </c>
      <c r="V336" s="69"/>
    </row>
    <row r="337" spans="1:22" ht="16.5" customHeight="1" x14ac:dyDescent="0.3">
      <c r="A337" s="2">
        <v>15</v>
      </c>
      <c r="B337" s="2">
        <v>8017</v>
      </c>
      <c r="C337" s="60" t="s">
        <v>8265</v>
      </c>
      <c r="D337" s="1"/>
      <c r="E337" s="68"/>
      <c r="F337" s="70"/>
      <c r="G337" s="61" t="s">
        <v>17747</v>
      </c>
      <c r="H337" s="62"/>
      <c r="I337" s="63"/>
      <c r="J337" s="85"/>
      <c r="K337" s="64"/>
      <c r="L337" s="65"/>
      <c r="M337" s="67"/>
      <c r="N337" s="68"/>
      <c r="O337" s="76"/>
      <c r="P337" s="70"/>
      <c r="Q337" s="67" t="s">
        <v>8089</v>
      </c>
      <c r="R337" s="68"/>
      <c r="S337" s="76"/>
      <c r="T337" s="70"/>
      <c r="U337" s="228">
        <f>ROUND((ROUND((_15_同援日７．０*_15・基礎２),0)*(1+_15・区４)),0)</f>
        <v>1406</v>
      </c>
      <c r="V337" s="69"/>
    </row>
    <row r="338" spans="1:22" ht="16.5" customHeight="1" x14ac:dyDescent="0.3">
      <c r="A338" s="2">
        <v>15</v>
      </c>
      <c r="B338" s="2">
        <v>8018</v>
      </c>
      <c r="C338" s="60" t="s">
        <v>8264</v>
      </c>
      <c r="D338" s="1"/>
      <c r="E338" s="68"/>
      <c r="F338" s="70"/>
      <c r="G338" s="66" t="s">
        <v>17420</v>
      </c>
      <c r="H338" s="57" t="s">
        <v>1</v>
      </c>
      <c r="I338" s="58">
        <v>0.9</v>
      </c>
      <c r="J338" s="85" t="s">
        <v>5895</v>
      </c>
      <c r="K338" s="64" t="s">
        <v>1</v>
      </c>
      <c r="L338" s="65">
        <v>1</v>
      </c>
      <c r="M338" s="66"/>
      <c r="N338" s="57"/>
      <c r="O338" s="58"/>
      <c r="P338" s="77"/>
      <c r="Q338" s="67" t="s">
        <v>17934</v>
      </c>
      <c r="R338" s="68"/>
      <c r="S338" s="76"/>
      <c r="T338" s="70"/>
      <c r="U338" s="228">
        <f>ROUND((ROUND((ROUND((_15_同援日７．０*_15・基礎２),0)*_15・２人),0)*(1+_15・区４)),0)</f>
        <v>1406</v>
      </c>
      <c r="V338" s="69"/>
    </row>
    <row r="339" spans="1:22" ht="16.5" customHeight="1" x14ac:dyDescent="0.3">
      <c r="A339" s="2">
        <v>15</v>
      </c>
      <c r="B339" s="2">
        <v>8019</v>
      </c>
      <c r="C339" s="60" t="s">
        <v>8263</v>
      </c>
      <c r="D339" s="1"/>
      <c r="E339" s="68"/>
      <c r="F339" s="70"/>
      <c r="G339" s="61"/>
      <c r="H339" s="62"/>
      <c r="I339" s="63"/>
      <c r="J339" s="85"/>
      <c r="K339" s="64"/>
      <c r="L339" s="65"/>
      <c r="M339" s="61" t="s">
        <v>17933</v>
      </c>
      <c r="N339" s="62"/>
      <c r="O339" s="63"/>
      <c r="P339" s="75"/>
      <c r="Q339" s="67"/>
      <c r="R339" s="68" t="s">
        <v>1</v>
      </c>
      <c r="S339" s="76">
        <v>0.4</v>
      </c>
      <c r="T339" s="70" t="s">
        <v>422</v>
      </c>
      <c r="U339" s="228">
        <f>ROUND((ROUND((_15_同援日７．０*(1+_15・盲ろう)),0)*(1+_15・区４)),0)</f>
        <v>1952</v>
      </c>
      <c r="V339" s="69"/>
    </row>
    <row r="340" spans="1:22" ht="16.5" customHeight="1" x14ac:dyDescent="0.3">
      <c r="A340" s="2">
        <v>15</v>
      </c>
      <c r="B340" s="2">
        <v>8020</v>
      </c>
      <c r="C340" s="60" t="s">
        <v>8262</v>
      </c>
      <c r="D340" s="1"/>
      <c r="E340" s="68"/>
      <c r="F340" s="70"/>
      <c r="G340" s="66"/>
      <c r="H340" s="57"/>
      <c r="I340" s="58"/>
      <c r="J340" s="85" t="s">
        <v>5895</v>
      </c>
      <c r="K340" s="64" t="s">
        <v>1</v>
      </c>
      <c r="L340" s="65">
        <v>1</v>
      </c>
      <c r="M340" s="67" t="s">
        <v>17932</v>
      </c>
      <c r="N340" s="68"/>
      <c r="O340" s="76"/>
      <c r="P340" s="70"/>
      <c r="Q340" s="67"/>
      <c r="R340" s="68"/>
      <c r="S340" s="76"/>
      <c r="T340" s="70"/>
      <c r="U340" s="228">
        <f>ROUND((ROUND((ROUND((_15_同援日７．０*_15・２人),0)*(1+_15・盲ろう)),0)*(1+_15・区４)),0)</f>
        <v>1952</v>
      </c>
      <c r="V340" s="69"/>
    </row>
    <row r="341" spans="1:22" ht="16.5" customHeight="1" x14ac:dyDescent="0.3">
      <c r="A341" s="2">
        <v>15</v>
      </c>
      <c r="B341" s="2">
        <v>8021</v>
      </c>
      <c r="C341" s="60" t="s">
        <v>8261</v>
      </c>
      <c r="D341" s="1"/>
      <c r="E341" s="68"/>
      <c r="F341" s="70"/>
      <c r="G341" s="61" t="s">
        <v>17747</v>
      </c>
      <c r="H341" s="62"/>
      <c r="I341" s="63"/>
      <c r="J341" s="85"/>
      <c r="K341" s="64"/>
      <c r="L341" s="65"/>
      <c r="M341" s="67"/>
      <c r="N341" s="68" t="s">
        <v>1</v>
      </c>
      <c r="O341" s="76">
        <v>0.25</v>
      </c>
      <c r="P341" s="70" t="s">
        <v>422</v>
      </c>
      <c r="Q341" s="67"/>
      <c r="R341" s="68"/>
      <c r="S341" s="76"/>
      <c r="T341" s="70"/>
      <c r="U341" s="228">
        <f>ROUND((ROUND((ROUND((_15_同援日７．０*_15・基礎２),0)*(1+_15・盲ろう)),0)*(1+_15・区４)),0)</f>
        <v>1757</v>
      </c>
      <c r="V341" s="69"/>
    </row>
    <row r="342" spans="1:22" ht="16.5" customHeight="1" x14ac:dyDescent="0.3">
      <c r="A342" s="2">
        <v>15</v>
      </c>
      <c r="B342" s="2">
        <v>8022</v>
      </c>
      <c r="C342" s="60" t="s">
        <v>8260</v>
      </c>
      <c r="D342" s="81"/>
      <c r="E342" s="57"/>
      <c r="F342" s="77"/>
      <c r="G342" s="66" t="s">
        <v>5896</v>
      </c>
      <c r="H342" s="57" t="s">
        <v>1</v>
      </c>
      <c r="I342" s="58">
        <v>0.9</v>
      </c>
      <c r="J342" s="85" t="s">
        <v>5895</v>
      </c>
      <c r="K342" s="64" t="s">
        <v>1</v>
      </c>
      <c r="L342" s="65">
        <v>1</v>
      </c>
      <c r="M342" s="66"/>
      <c r="N342" s="57"/>
      <c r="O342" s="58"/>
      <c r="P342" s="77"/>
      <c r="Q342" s="66"/>
      <c r="R342" s="57"/>
      <c r="S342" s="58"/>
      <c r="T342" s="77"/>
      <c r="U342" s="228">
        <f>ROUND((ROUND((ROUND((ROUND((_15_同援日７．０*_15・基礎２),0)*_15・２人),0)*(1+_15・盲ろう)),0)*(1+_15・区４)),0)</f>
        <v>1757</v>
      </c>
      <c r="V342" s="69"/>
    </row>
    <row r="343" spans="1:22" ht="16.5" customHeight="1" x14ac:dyDescent="0.3">
      <c r="A343" s="2">
        <v>15</v>
      </c>
      <c r="B343" s="2">
        <v>8023</v>
      </c>
      <c r="C343" s="60" t="s">
        <v>8259</v>
      </c>
      <c r="D343" s="233" t="s">
        <v>17949</v>
      </c>
      <c r="E343" s="62"/>
      <c r="F343" s="75"/>
      <c r="G343" s="61"/>
      <c r="H343" s="62"/>
      <c r="I343" s="63"/>
      <c r="J343" s="85"/>
      <c r="K343" s="64"/>
      <c r="L343" s="65"/>
      <c r="M343" s="61"/>
      <c r="N343" s="62"/>
      <c r="O343" s="63"/>
      <c r="P343" s="75"/>
      <c r="Q343" s="61"/>
      <c r="R343" s="62"/>
      <c r="S343" s="63"/>
      <c r="T343" s="75"/>
      <c r="U343" s="228">
        <f>_15_同援日７．５</f>
        <v>1178</v>
      </c>
      <c r="V343" s="69"/>
    </row>
    <row r="344" spans="1:22" ht="16.5" customHeight="1" x14ac:dyDescent="0.3">
      <c r="A344" s="2">
        <v>15</v>
      </c>
      <c r="B344" s="2">
        <v>8024</v>
      </c>
      <c r="C344" s="60" t="s">
        <v>8258</v>
      </c>
      <c r="D344" s="1" t="s">
        <v>17948</v>
      </c>
      <c r="E344" s="68"/>
      <c r="F344" s="70"/>
      <c r="G344" s="66"/>
      <c r="H344" s="57"/>
      <c r="I344" s="58"/>
      <c r="J344" s="85" t="s">
        <v>5895</v>
      </c>
      <c r="K344" s="64" t="s">
        <v>1</v>
      </c>
      <c r="L344" s="65">
        <v>1</v>
      </c>
      <c r="M344" s="67"/>
      <c r="N344" s="68"/>
      <c r="O344" s="76"/>
      <c r="P344" s="70"/>
      <c r="Q344" s="67"/>
      <c r="R344" s="68"/>
      <c r="S344" s="76"/>
      <c r="T344" s="70"/>
      <c r="U344" s="228">
        <f>ROUND((_15_同援日７．５*_15・２人),0)</f>
        <v>1178</v>
      </c>
      <c r="V344" s="69"/>
    </row>
    <row r="345" spans="1:22" ht="16.5" customHeight="1" x14ac:dyDescent="0.3">
      <c r="A345" s="2">
        <v>15</v>
      </c>
      <c r="B345" s="2">
        <v>8025</v>
      </c>
      <c r="C345" s="60" t="s">
        <v>8257</v>
      </c>
      <c r="D345" s="1" t="s">
        <v>17947</v>
      </c>
      <c r="E345" s="68"/>
      <c r="F345" s="70"/>
      <c r="G345" s="61" t="s">
        <v>17747</v>
      </c>
      <c r="H345" s="62"/>
      <c r="I345" s="63"/>
      <c r="J345" s="85"/>
      <c r="K345" s="64"/>
      <c r="L345" s="65"/>
      <c r="M345" s="67"/>
      <c r="N345" s="68"/>
      <c r="O345" s="76"/>
      <c r="P345" s="70"/>
      <c r="Q345" s="67"/>
      <c r="R345" s="68"/>
      <c r="S345" s="76"/>
      <c r="T345" s="70"/>
      <c r="U345" s="228">
        <f>ROUND((_15_同援日７．５*_15・基礎２),0)</f>
        <v>1060</v>
      </c>
      <c r="V345" s="69"/>
    </row>
    <row r="346" spans="1:22" ht="16.5" customHeight="1" x14ac:dyDescent="0.3">
      <c r="A346" s="2">
        <v>15</v>
      </c>
      <c r="B346" s="2">
        <v>8026</v>
      </c>
      <c r="C346" s="60" t="s">
        <v>8256</v>
      </c>
      <c r="D346" s="1"/>
      <c r="E346" s="227">
        <v>1178</v>
      </c>
      <c r="F346" s="70" t="s">
        <v>0</v>
      </c>
      <c r="G346" s="66" t="s">
        <v>17420</v>
      </c>
      <c r="H346" s="57" t="s">
        <v>1</v>
      </c>
      <c r="I346" s="58">
        <v>0.9</v>
      </c>
      <c r="J346" s="85" t="s">
        <v>5895</v>
      </c>
      <c r="K346" s="64" t="s">
        <v>1</v>
      </c>
      <c r="L346" s="65">
        <v>1</v>
      </c>
      <c r="M346" s="66"/>
      <c r="N346" s="57"/>
      <c r="O346" s="58"/>
      <c r="P346" s="77"/>
      <c r="Q346" s="67"/>
      <c r="R346" s="68"/>
      <c r="S346" s="76"/>
      <c r="T346" s="70"/>
      <c r="U346" s="228">
        <f>ROUND((ROUND((_15_同援日７．５*_15・基礎２),0)*_15・２人),0)</f>
        <v>1060</v>
      </c>
      <c r="V346" s="69"/>
    </row>
    <row r="347" spans="1:22" ht="16.5" customHeight="1" x14ac:dyDescent="0.3">
      <c r="A347" s="2">
        <v>15</v>
      </c>
      <c r="B347" s="2">
        <v>8027</v>
      </c>
      <c r="C347" s="60" t="s">
        <v>8255</v>
      </c>
      <c r="D347" s="1"/>
      <c r="E347" s="68"/>
      <c r="F347" s="70"/>
      <c r="G347" s="61"/>
      <c r="H347" s="62"/>
      <c r="I347" s="63"/>
      <c r="J347" s="85"/>
      <c r="K347" s="64"/>
      <c r="L347" s="65"/>
      <c r="M347" s="61" t="s">
        <v>17933</v>
      </c>
      <c r="N347" s="62"/>
      <c r="O347" s="63"/>
      <c r="P347" s="75"/>
      <c r="Q347" s="67"/>
      <c r="R347" s="68"/>
      <c r="S347" s="76"/>
      <c r="T347" s="70"/>
      <c r="U347" s="228">
        <f>ROUND((_15_同援日７．５*(1+_15・盲ろう)),0)</f>
        <v>1473</v>
      </c>
      <c r="V347" s="69"/>
    </row>
    <row r="348" spans="1:22" ht="16.5" customHeight="1" x14ac:dyDescent="0.3">
      <c r="A348" s="2">
        <v>15</v>
      </c>
      <c r="B348" s="2">
        <v>8028</v>
      </c>
      <c r="C348" s="60" t="s">
        <v>8254</v>
      </c>
      <c r="D348" s="1"/>
      <c r="E348" s="68"/>
      <c r="F348" s="70"/>
      <c r="G348" s="66"/>
      <c r="H348" s="57"/>
      <c r="I348" s="58"/>
      <c r="J348" s="85" t="s">
        <v>5895</v>
      </c>
      <c r="K348" s="64" t="s">
        <v>1</v>
      </c>
      <c r="L348" s="65">
        <v>1</v>
      </c>
      <c r="M348" s="67" t="s">
        <v>17932</v>
      </c>
      <c r="N348" s="68"/>
      <c r="O348" s="76"/>
      <c r="P348" s="70"/>
      <c r="Q348" s="67"/>
      <c r="R348" s="68"/>
      <c r="S348" s="76"/>
      <c r="T348" s="70"/>
      <c r="U348" s="228">
        <f>ROUND((ROUND((_15_同援日７．５*_15・２人),0)*(1+_15・盲ろう)),0)</f>
        <v>1473</v>
      </c>
      <c r="V348" s="69"/>
    </row>
    <row r="349" spans="1:22" ht="16.5" customHeight="1" x14ac:dyDescent="0.3">
      <c r="A349" s="2">
        <v>15</v>
      </c>
      <c r="B349" s="2">
        <v>8029</v>
      </c>
      <c r="C349" s="60" t="s">
        <v>8253</v>
      </c>
      <c r="D349" s="1"/>
      <c r="E349" s="68"/>
      <c r="F349" s="70"/>
      <c r="G349" s="61" t="s">
        <v>17747</v>
      </c>
      <c r="H349" s="62"/>
      <c r="I349" s="63"/>
      <c r="J349" s="85"/>
      <c r="K349" s="64"/>
      <c r="L349" s="65"/>
      <c r="M349" s="67"/>
      <c r="N349" s="68" t="s">
        <v>1</v>
      </c>
      <c r="O349" s="76">
        <v>0.25</v>
      </c>
      <c r="P349" s="70" t="s">
        <v>422</v>
      </c>
      <c r="Q349" s="67"/>
      <c r="R349" s="68"/>
      <c r="S349" s="76"/>
      <c r="T349" s="70"/>
      <c r="U349" s="228">
        <f>ROUND((ROUND((_15_同援日７．５*_15・基礎２),0)*(1+_15・盲ろう)),0)</f>
        <v>1325</v>
      </c>
      <c r="V349" s="69"/>
    </row>
    <row r="350" spans="1:22" ht="16.5" customHeight="1" x14ac:dyDescent="0.3">
      <c r="A350" s="2">
        <v>15</v>
      </c>
      <c r="B350" s="2">
        <v>8030</v>
      </c>
      <c r="C350" s="60" t="s">
        <v>8252</v>
      </c>
      <c r="D350" s="1"/>
      <c r="E350" s="68"/>
      <c r="F350" s="70"/>
      <c r="G350" s="66" t="s">
        <v>17420</v>
      </c>
      <c r="H350" s="57" t="s">
        <v>1</v>
      </c>
      <c r="I350" s="58">
        <v>0.9</v>
      </c>
      <c r="J350" s="85" t="s">
        <v>5895</v>
      </c>
      <c r="K350" s="64" t="s">
        <v>1</v>
      </c>
      <c r="L350" s="65">
        <v>1</v>
      </c>
      <c r="M350" s="66"/>
      <c r="N350" s="57"/>
      <c r="O350" s="58"/>
      <c r="P350" s="77"/>
      <c r="Q350" s="66"/>
      <c r="R350" s="57"/>
      <c r="S350" s="58"/>
      <c r="T350" s="77"/>
      <c r="U350" s="228">
        <f>ROUND((ROUND((ROUND((_15_同援日７．５*_15・基礎２),0)*_15・２人),0)*(1+_15・盲ろう)),0)</f>
        <v>1325</v>
      </c>
      <c r="V350" s="69"/>
    </row>
    <row r="351" spans="1:22" ht="16.5" customHeight="1" x14ac:dyDescent="0.3">
      <c r="A351" s="2">
        <v>15</v>
      </c>
      <c r="B351" s="2">
        <v>8031</v>
      </c>
      <c r="C351" s="60" t="s">
        <v>8251</v>
      </c>
      <c r="D351" s="1"/>
      <c r="E351" s="68"/>
      <c r="F351" s="70"/>
      <c r="G351" s="61"/>
      <c r="H351" s="62"/>
      <c r="I351" s="63"/>
      <c r="J351" s="85"/>
      <c r="K351" s="64"/>
      <c r="L351" s="65"/>
      <c r="M351" s="61"/>
      <c r="N351" s="62"/>
      <c r="O351" s="63"/>
      <c r="P351" s="75"/>
      <c r="Q351" s="61"/>
      <c r="R351" s="62"/>
      <c r="S351" s="63"/>
      <c r="T351" s="75"/>
      <c r="U351" s="228">
        <f>ROUND((_15_同援日７．５*(1+_15・区３)),0)</f>
        <v>1414</v>
      </c>
      <c r="V351" s="69"/>
    </row>
    <row r="352" spans="1:22" ht="16.5" customHeight="1" x14ac:dyDescent="0.3">
      <c r="A352" s="2">
        <v>15</v>
      </c>
      <c r="B352" s="2">
        <v>8032</v>
      </c>
      <c r="C352" s="60" t="s">
        <v>8250</v>
      </c>
      <c r="D352" s="1"/>
      <c r="E352" s="68"/>
      <c r="F352" s="70"/>
      <c r="G352" s="66"/>
      <c r="H352" s="57"/>
      <c r="I352" s="58"/>
      <c r="J352" s="85" t="s">
        <v>5895</v>
      </c>
      <c r="K352" s="64" t="s">
        <v>1</v>
      </c>
      <c r="L352" s="65">
        <v>1</v>
      </c>
      <c r="M352" s="67"/>
      <c r="N352" s="68"/>
      <c r="O352" s="76"/>
      <c r="P352" s="70"/>
      <c r="Q352" s="67"/>
      <c r="R352" s="68"/>
      <c r="S352" s="76"/>
      <c r="T352" s="70"/>
      <c r="U352" s="228">
        <f>ROUND((ROUND((_15_同援日７．５*_15・２人),0)*(1+_15・区３)),0)</f>
        <v>1414</v>
      </c>
      <c r="V352" s="69"/>
    </row>
    <row r="353" spans="1:22" ht="16.5" customHeight="1" x14ac:dyDescent="0.3">
      <c r="A353" s="2">
        <v>15</v>
      </c>
      <c r="B353" s="2">
        <v>8033</v>
      </c>
      <c r="C353" s="60" t="s">
        <v>8249</v>
      </c>
      <c r="D353" s="1"/>
      <c r="E353" s="68"/>
      <c r="F353" s="70"/>
      <c r="G353" s="61" t="s">
        <v>17747</v>
      </c>
      <c r="H353" s="62"/>
      <c r="I353" s="63"/>
      <c r="J353" s="85"/>
      <c r="K353" s="64"/>
      <c r="L353" s="65"/>
      <c r="M353" s="67"/>
      <c r="N353" s="68"/>
      <c r="O353" s="76"/>
      <c r="P353" s="70"/>
      <c r="Q353" s="67" t="s">
        <v>17936</v>
      </c>
      <c r="R353" s="68"/>
      <c r="S353" s="76"/>
      <c r="T353" s="70"/>
      <c r="U353" s="228">
        <f>ROUND((ROUND((_15_同援日７．５*_15・基礎２),0)*(1+_15・区３)),0)</f>
        <v>1272</v>
      </c>
      <c r="V353" s="69"/>
    </row>
    <row r="354" spans="1:22" ht="16.5" customHeight="1" x14ac:dyDescent="0.3">
      <c r="A354" s="2">
        <v>15</v>
      </c>
      <c r="B354" s="2">
        <v>8034</v>
      </c>
      <c r="C354" s="60" t="s">
        <v>8248</v>
      </c>
      <c r="D354" s="1"/>
      <c r="E354" s="68"/>
      <c r="F354" s="70"/>
      <c r="G354" s="66" t="s">
        <v>17420</v>
      </c>
      <c r="H354" s="57" t="s">
        <v>1</v>
      </c>
      <c r="I354" s="58">
        <v>0.9</v>
      </c>
      <c r="J354" s="85" t="s">
        <v>5895</v>
      </c>
      <c r="K354" s="64" t="s">
        <v>1</v>
      </c>
      <c r="L354" s="65">
        <v>1</v>
      </c>
      <c r="M354" s="66"/>
      <c r="N354" s="57"/>
      <c r="O354" s="58"/>
      <c r="P354" s="77"/>
      <c r="Q354" s="67" t="s">
        <v>17934</v>
      </c>
      <c r="R354" s="68"/>
      <c r="S354" s="76"/>
      <c r="T354" s="70"/>
      <c r="U354" s="228">
        <f>ROUND((ROUND((ROUND((_15_同援日７．５*_15・基礎２),0)*_15・２人),0)*(1+_15・区３)),0)</f>
        <v>1272</v>
      </c>
      <c r="V354" s="69"/>
    </row>
    <row r="355" spans="1:22" ht="16.5" customHeight="1" x14ac:dyDescent="0.3">
      <c r="A355" s="2">
        <v>15</v>
      </c>
      <c r="B355" s="2">
        <v>8035</v>
      </c>
      <c r="C355" s="60" t="s">
        <v>8247</v>
      </c>
      <c r="D355" s="1"/>
      <c r="E355" s="68"/>
      <c r="F355" s="70"/>
      <c r="G355" s="61"/>
      <c r="H355" s="62"/>
      <c r="I355" s="63"/>
      <c r="J355" s="85"/>
      <c r="K355" s="64"/>
      <c r="L355" s="65"/>
      <c r="M355" s="61" t="s">
        <v>17933</v>
      </c>
      <c r="N355" s="62"/>
      <c r="O355" s="63"/>
      <c r="P355" s="75"/>
      <c r="Q355" s="67"/>
      <c r="R355" s="68" t="s">
        <v>1</v>
      </c>
      <c r="S355" s="76">
        <v>0.2</v>
      </c>
      <c r="T355" s="70" t="s">
        <v>422</v>
      </c>
      <c r="U355" s="228">
        <f>ROUND((ROUND((_15_同援日７．５*(1+_15・盲ろう)),0)*(1+_15・区３)),0)</f>
        <v>1768</v>
      </c>
      <c r="V355" s="69"/>
    </row>
    <row r="356" spans="1:22" ht="16.5" customHeight="1" x14ac:dyDescent="0.3">
      <c r="A356" s="2">
        <v>15</v>
      </c>
      <c r="B356" s="2">
        <v>8036</v>
      </c>
      <c r="C356" s="60" t="s">
        <v>8246</v>
      </c>
      <c r="D356" s="1"/>
      <c r="E356" s="68"/>
      <c r="F356" s="70"/>
      <c r="G356" s="66"/>
      <c r="H356" s="57"/>
      <c r="I356" s="58"/>
      <c r="J356" s="85" t="s">
        <v>5895</v>
      </c>
      <c r="K356" s="64" t="s">
        <v>1</v>
      </c>
      <c r="L356" s="65">
        <v>1</v>
      </c>
      <c r="M356" s="67" t="s">
        <v>17932</v>
      </c>
      <c r="N356" s="68"/>
      <c r="O356" s="76"/>
      <c r="P356" s="70"/>
      <c r="Q356" s="67"/>
      <c r="R356" s="68"/>
      <c r="S356" s="76"/>
      <c r="T356" s="70"/>
      <c r="U356" s="228">
        <f>ROUND((ROUND((ROUND((_15_同援日７．５*_15・２人),0)*(1+_15・盲ろう)),0)*(1+_15・区３)),0)</f>
        <v>1768</v>
      </c>
      <c r="V356" s="69"/>
    </row>
    <row r="357" spans="1:22" ht="16.5" customHeight="1" x14ac:dyDescent="0.3">
      <c r="A357" s="2">
        <v>15</v>
      </c>
      <c r="B357" s="2">
        <v>8037</v>
      </c>
      <c r="C357" s="60" t="s">
        <v>8245</v>
      </c>
      <c r="D357" s="1"/>
      <c r="E357" s="68"/>
      <c r="F357" s="70"/>
      <c r="G357" s="61" t="s">
        <v>17747</v>
      </c>
      <c r="H357" s="62"/>
      <c r="I357" s="63"/>
      <c r="J357" s="85"/>
      <c r="K357" s="64"/>
      <c r="L357" s="65"/>
      <c r="M357" s="67"/>
      <c r="N357" s="68" t="s">
        <v>1</v>
      </c>
      <c r="O357" s="76">
        <v>0.25</v>
      </c>
      <c r="P357" s="70" t="s">
        <v>422</v>
      </c>
      <c r="Q357" s="67"/>
      <c r="R357" s="68"/>
      <c r="S357" s="76"/>
      <c r="T357" s="70"/>
      <c r="U357" s="228">
        <f>ROUND((ROUND((ROUND((_15_同援日７．５*_15・基礎２),0)*(1+_15・盲ろう)),0)*(1+_15・区３)),0)</f>
        <v>1590</v>
      </c>
      <c r="V357" s="69"/>
    </row>
    <row r="358" spans="1:22" ht="16.5" customHeight="1" x14ac:dyDescent="0.3">
      <c r="A358" s="2">
        <v>15</v>
      </c>
      <c r="B358" s="2">
        <v>8038</v>
      </c>
      <c r="C358" s="60" t="s">
        <v>8244</v>
      </c>
      <c r="D358" s="1"/>
      <c r="E358" s="68"/>
      <c r="F358" s="70"/>
      <c r="G358" s="66" t="s">
        <v>17420</v>
      </c>
      <c r="H358" s="57" t="s">
        <v>1</v>
      </c>
      <c r="I358" s="58">
        <v>0.9</v>
      </c>
      <c r="J358" s="85" t="s">
        <v>5895</v>
      </c>
      <c r="K358" s="64" t="s">
        <v>1</v>
      </c>
      <c r="L358" s="65">
        <v>1</v>
      </c>
      <c r="M358" s="66"/>
      <c r="N358" s="57"/>
      <c r="O358" s="58"/>
      <c r="P358" s="77"/>
      <c r="Q358" s="66"/>
      <c r="R358" s="57"/>
      <c r="S358" s="58"/>
      <c r="T358" s="77"/>
      <c r="U358" s="228">
        <f>ROUND((ROUND((ROUND((ROUND((_15_同援日７．５*_15・基礎２),0)*_15・２人),0)*(1+_15・盲ろう)),0)*(1+_15・区３)),0)</f>
        <v>1590</v>
      </c>
      <c r="V358" s="69"/>
    </row>
    <row r="359" spans="1:22" ht="16.5" customHeight="1" x14ac:dyDescent="0.3">
      <c r="A359" s="2">
        <v>15</v>
      </c>
      <c r="B359" s="2">
        <v>8039</v>
      </c>
      <c r="C359" s="60" t="s">
        <v>8243</v>
      </c>
      <c r="D359" s="1"/>
      <c r="E359" s="68"/>
      <c r="F359" s="70"/>
      <c r="G359" s="61"/>
      <c r="H359" s="62"/>
      <c r="I359" s="63"/>
      <c r="J359" s="85"/>
      <c r="K359" s="64"/>
      <c r="L359" s="65"/>
      <c r="M359" s="61"/>
      <c r="N359" s="62"/>
      <c r="O359" s="63"/>
      <c r="P359" s="75"/>
      <c r="Q359" s="61"/>
      <c r="R359" s="62"/>
      <c r="S359" s="63"/>
      <c r="T359" s="75"/>
      <c r="U359" s="228">
        <f>ROUND((_15_同援日７．５*(1+_15・区４)),0)</f>
        <v>1649</v>
      </c>
      <c r="V359" s="69"/>
    </row>
    <row r="360" spans="1:22" ht="16.5" customHeight="1" x14ac:dyDescent="0.3">
      <c r="A360" s="2">
        <v>15</v>
      </c>
      <c r="B360" s="2">
        <v>8040</v>
      </c>
      <c r="C360" s="60" t="s">
        <v>8242</v>
      </c>
      <c r="D360" s="1"/>
      <c r="E360" s="68"/>
      <c r="F360" s="70"/>
      <c r="G360" s="66"/>
      <c r="H360" s="57"/>
      <c r="I360" s="58"/>
      <c r="J360" s="85" t="s">
        <v>5895</v>
      </c>
      <c r="K360" s="64" t="s">
        <v>1</v>
      </c>
      <c r="L360" s="65">
        <v>1</v>
      </c>
      <c r="M360" s="67"/>
      <c r="N360" s="68"/>
      <c r="O360" s="76"/>
      <c r="P360" s="70"/>
      <c r="Q360" s="67"/>
      <c r="R360" s="68"/>
      <c r="S360" s="76"/>
      <c r="T360" s="70"/>
      <c r="U360" s="228">
        <f>ROUND((ROUND((_15_同援日７．５*_15・２人),0)*(1+_15・区４)),0)</f>
        <v>1649</v>
      </c>
      <c r="V360" s="69"/>
    </row>
    <row r="361" spans="1:22" ht="16.5" customHeight="1" x14ac:dyDescent="0.3">
      <c r="A361" s="2">
        <v>15</v>
      </c>
      <c r="B361" s="2">
        <v>8041</v>
      </c>
      <c r="C361" s="60" t="s">
        <v>8241</v>
      </c>
      <c r="D361" s="1"/>
      <c r="E361" s="68"/>
      <c r="F361" s="70"/>
      <c r="G361" s="61" t="s">
        <v>17747</v>
      </c>
      <c r="H361" s="62"/>
      <c r="I361" s="63"/>
      <c r="J361" s="85"/>
      <c r="K361" s="64"/>
      <c r="L361" s="65"/>
      <c r="M361" s="67"/>
      <c r="N361" s="68"/>
      <c r="O361" s="76"/>
      <c r="P361" s="70"/>
      <c r="Q361" s="67" t="s">
        <v>17935</v>
      </c>
      <c r="R361" s="68"/>
      <c r="S361" s="76"/>
      <c r="T361" s="70"/>
      <c r="U361" s="228">
        <f>ROUND((ROUND((_15_同援日７．５*_15・基礎２),0)*(1+_15・区４)),0)</f>
        <v>1484</v>
      </c>
      <c r="V361" s="69"/>
    </row>
    <row r="362" spans="1:22" ht="16.5" customHeight="1" x14ac:dyDescent="0.3">
      <c r="A362" s="2">
        <v>15</v>
      </c>
      <c r="B362" s="2">
        <v>8042</v>
      </c>
      <c r="C362" s="60" t="s">
        <v>8240</v>
      </c>
      <c r="D362" s="1"/>
      <c r="E362" s="68"/>
      <c r="F362" s="70"/>
      <c r="G362" s="66" t="s">
        <v>17420</v>
      </c>
      <c r="H362" s="57" t="s">
        <v>1</v>
      </c>
      <c r="I362" s="58">
        <v>0.9</v>
      </c>
      <c r="J362" s="85" t="s">
        <v>5895</v>
      </c>
      <c r="K362" s="64" t="s">
        <v>1</v>
      </c>
      <c r="L362" s="65">
        <v>1</v>
      </c>
      <c r="M362" s="66"/>
      <c r="N362" s="57"/>
      <c r="O362" s="58"/>
      <c r="P362" s="77"/>
      <c r="Q362" s="67" t="s">
        <v>17934</v>
      </c>
      <c r="R362" s="68"/>
      <c r="S362" s="76"/>
      <c r="T362" s="70"/>
      <c r="U362" s="228">
        <f>ROUND((ROUND((ROUND((_15_同援日７．５*_15・基礎２),0)*_15・２人),0)*(1+_15・区４)),0)</f>
        <v>1484</v>
      </c>
      <c r="V362" s="69"/>
    </row>
    <row r="363" spans="1:22" ht="16.5" customHeight="1" x14ac:dyDescent="0.3">
      <c r="A363" s="2">
        <v>15</v>
      </c>
      <c r="B363" s="2">
        <v>8043</v>
      </c>
      <c r="C363" s="60" t="s">
        <v>8239</v>
      </c>
      <c r="D363" s="1"/>
      <c r="E363" s="68"/>
      <c r="F363" s="70"/>
      <c r="G363" s="61"/>
      <c r="H363" s="62"/>
      <c r="I363" s="63"/>
      <c r="J363" s="85"/>
      <c r="K363" s="64"/>
      <c r="L363" s="65"/>
      <c r="M363" s="61" t="s">
        <v>17933</v>
      </c>
      <c r="N363" s="62"/>
      <c r="O363" s="63"/>
      <c r="P363" s="75"/>
      <c r="Q363" s="67"/>
      <c r="R363" s="68" t="s">
        <v>1</v>
      </c>
      <c r="S363" s="76">
        <v>0.4</v>
      </c>
      <c r="T363" s="70" t="s">
        <v>422</v>
      </c>
      <c r="U363" s="228">
        <f>ROUND((ROUND((_15_同援日７．５*(1+_15・盲ろう)),0)*(1+_15・区４)),0)</f>
        <v>2062</v>
      </c>
      <c r="V363" s="69"/>
    </row>
    <row r="364" spans="1:22" ht="16.5" customHeight="1" x14ac:dyDescent="0.3">
      <c r="A364" s="2">
        <v>15</v>
      </c>
      <c r="B364" s="2">
        <v>8044</v>
      </c>
      <c r="C364" s="60" t="s">
        <v>8238</v>
      </c>
      <c r="D364" s="1"/>
      <c r="E364" s="68"/>
      <c r="F364" s="70"/>
      <c r="G364" s="66"/>
      <c r="H364" s="57"/>
      <c r="I364" s="58"/>
      <c r="J364" s="85" t="s">
        <v>5895</v>
      </c>
      <c r="K364" s="64" t="s">
        <v>1</v>
      </c>
      <c r="L364" s="65">
        <v>1</v>
      </c>
      <c r="M364" s="67" t="s">
        <v>17932</v>
      </c>
      <c r="N364" s="68"/>
      <c r="O364" s="76"/>
      <c r="P364" s="70"/>
      <c r="Q364" s="67"/>
      <c r="R364" s="68"/>
      <c r="S364" s="76"/>
      <c r="T364" s="70"/>
      <c r="U364" s="228">
        <f>ROUND((ROUND((ROUND((_15_同援日７．５*_15・２人),0)*(1+_15・盲ろう)),0)*(1+_15・区４)),0)</f>
        <v>2062</v>
      </c>
      <c r="V364" s="69"/>
    </row>
    <row r="365" spans="1:22" ht="16.5" customHeight="1" x14ac:dyDescent="0.3">
      <c r="A365" s="2">
        <v>15</v>
      </c>
      <c r="B365" s="2">
        <v>8045</v>
      </c>
      <c r="C365" s="60" t="s">
        <v>8237</v>
      </c>
      <c r="D365" s="1"/>
      <c r="E365" s="68"/>
      <c r="F365" s="70"/>
      <c r="G365" s="61" t="s">
        <v>17747</v>
      </c>
      <c r="H365" s="62"/>
      <c r="I365" s="63"/>
      <c r="J365" s="85"/>
      <c r="K365" s="64"/>
      <c r="L365" s="65"/>
      <c r="M365" s="67"/>
      <c r="N365" s="68" t="s">
        <v>1</v>
      </c>
      <c r="O365" s="76">
        <v>0.25</v>
      </c>
      <c r="P365" s="70" t="s">
        <v>422</v>
      </c>
      <c r="Q365" s="67"/>
      <c r="R365" s="68"/>
      <c r="S365" s="76"/>
      <c r="T365" s="70"/>
      <c r="U365" s="228">
        <f>ROUND((ROUND((ROUND((_15_同援日７．５*_15・基礎２),0)*(1+_15・盲ろう)),0)*(1+_15・区４)),0)</f>
        <v>1855</v>
      </c>
      <c r="V365" s="69"/>
    </row>
    <row r="366" spans="1:22" ht="16.5" customHeight="1" x14ac:dyDescent="0.3">
      <c r="A366" s="2">
        <v>15</v>
      </c>
      <c r="B366" s="2">
        <v>8046</v>
      </c>
      <c r="C366" s="60" t="s">
        <v>8236</v>
      </c>
      <c r="D366" s="81"/>
      <c r="E366" s="57"/>
      <c r="F366" s="77"/>
      <c r="G366" s="66" t="s">
        <v>17420</v>
      </c>
      <c r="H366" s="57" t="s">
        <v>1</v>
      </c>
      <c r="I366" s="58">
        <v>0.9</v>
      </c>
      <c r="J366" s="85" t="s">
        <v>5895</v>
      </c>
      <c r="K366" s="64" t="s">
        <v>1</v>
      </c>
      <c r="L366" s="65">
        <v>1</v>
      </c>
      <c r="M366" s="66"/>
      <c r="N366" s="57"/>
      <c r="O366" s="58"/>
      <c r="P366" s="77"/>
      <c r="Q366" s="66"/>
      <c r="R366" s="57"/>
      <c r="S366" s="58"/>
      <c r="T366" s="77"/>
      <c r="U366" s="228">
        <f>ROUND((ROUND((ROUND((ROUND((_15_同援日７．５*_15・基礎２),0)*_15・２人),0)*(1+_15・盲ろう)),0)*(1+_15・区４)),0)</f>
        <v>1855</v>
      </c>
      <c r="V366" s="69"/>
    </row>
    <row r="367" spans="1:22" ht="16.5" customHeight="1" x14ac:dyDescent="0.3">
      <c r="A367" s="2">
        <v>15</v>
      </c>
      <c r="B367" s="2">
        <v>8047</v>
      </c>
      <c r="C367" s="60" t="s">
        <v>8235</v>
      </c>
      <c r="D367" s="233" t="s">
        <v>17946</v>
      </c>
      <c r="E367" s="62"/>
      <c r="F367" s="75"/>
      <c r="G367" s="61"/>
      <c r="H367" s="62"/>
      <c r="I367" s="63"/>
      <c r="J367" s="85"/>
      <c r="K367" s="64"/>
      <c r="L367" s="65"/>
      <c r="M367" s="61"/>
      <c r="N367" s="62"/>
      <c r="O367" s="63"/>
      <c r="P367" s="75"/>
      <c r="Q367" s="61"/>
      <c r="R367" s="62"/>
      <c r="S367" s="63"/>
      <c r="T367" s="75"/>
      <c r="U367" s="228">
        <f>_15_同援日８．０</f>
        <v>1241</v>
      </c>
      <c r="V367" s="69"/>
    </row>
    <row r="368" spans="1:22" ht="16.5" customHeight="1" x14ac:dyDescent="0.3">
      <c r="A368" s="2">
        <v>15</v>
      </c>
      <c r="B368" s="2">
        <v>8048</v>
      </c>
      <c r="C368" s="60" t="s">
        <v>8234</v>
      </c>
      <c r="D368" s="1" t="s">
        <v>17945</v>
      </c>
      <c r="E368" s="68"/>
      <c r="F368" s="70"/>
      <c r="G368" s="66"/>
      <c r="H368" s="57"/>
      <c r="I368" s="58"/>
      <c r="J368" s="85" t="s">
        <v>5895</v>
      </c>
      <c r="K368" s="64" t="s">
        <v>1</v>
      </c>
      <c r="L368" s="65">
        <v>1</v>
      </c>
      <c r="M368" s="67"/>
      <c r="N368" s="68"/>
      <c r="O368" s="76"/>
      <c r="P368" s="70"/>
      <c r="Q368" s="67"/>
      <c r="R368" s="68"/>
      <c r="S368" s="76"/>
      <c r="T368" s="70"/>
      <c r="U368" s="228">
        <f>ROUND((_15_同援日８．０*_15・２人),0)</f>
        <v>1241</v>
      </c>
      <c r="V368" s="69"/>
    </row>
    <row r="369" spans="1:22" ht="16.5" customHeight="1" x14ac:dyDescent="0.3">
      <c r="A369" s="2">
        <v>15</v>
      </c>
      <c r="B369" s="2">
        <v>8049</v>
      </c>
      <c r="C369" s="60" t="s">
        <v>8233</v>
      </c>
      <c r="D369" s="1" t="s">
        <v>8232</v>
      </c>
      <c r="E369" s="68"/>
      <c r="F369" s="70"/>
      <c r="G369" s="61" t="s">
        <v>17747</v>
      </c>
      <c r="H369" s="62"/>
      <c r="I369" s="63"/>
      <c r="J369" s="85"/>
      <c r="K369" s="64"/>
      <c r="L369" s="65"/>
      <c r="M369" s="67"/>
      <c r="N369" s="68"/>
      <c r="O369" s="76"/>
      <c r="P369" s="70"/>
      <c r="Q369" s="67"/>
      <c r="R369" s="68"/>
      <c r="S369" s="76"/>
      <c r="T369" s="70"/>
      <c r="U369" s="228">
        <f>ROUND((_15_同援日８．０*_15・基礎２),0)</f>
        <v>1117</v>
      </c>
      <c r="V369" s="69"/>
    </row>
    <row r="370" spans="1:22" ht="16.5" customHeight="1" x14ac:dyDescent="0.3">
      <c r="A370" s="2">
        <v>15</v>
      </c>
      <c r="B370" s="2">
        <v>8050</v>
      </c>
      <c r="C370" s="60" t="s">
        <v>8231</v>
      </c>
      <c r="D370" s="1"/>
      <c r="E370" s="227">
        <v>1241</v>
      </c>
      <c r="F370" s="70" t="s">
        <v>0</v>
      </c>
      <c r="G370" s="66" t="s">
        <v>17420</v>
      </c>
      <c r="H370" s="57" t="s">
        <v>1</v>
      </c>
      <c r="I370" s="58">
        <v>0.9</v>
      </c>
      <c r="J370" s="85" t="s">
        <v>5895</v>
      </c>
      <c r="K370" s="64" t="s">
        <v>1</v>
      </c>
      <c r="L370" s="65">
        <v>1</v>
      </c>
      <c r="M370" s="66"/>
      <c r="N370" s="57"/>
      <c r="O370" s="58"/>
      <c r="P370" s="77"/>
      <c r="Q370" s="67"/>
      <c r="R370" s="68"/>
      <c r="S370" s="76"/>
      <c r="T370" s="70"/>
      <c r="U370" s="228">
        <f>ROUND((ROUND((_15_同援日８．０*_15・基礎２),0)*_15・２人),0)</f>
        <v>1117</v>
      </c>
      <c r="V370" s="69"/>
    </row>
    <row r="371" spans="1:22" ht="16.5" customHeight="1" x14ac:dyDescent="0.3">
      <c r="A371" s="2">
        <v>15</v>
      </c>
      <c r="B371" s="2">
        <v>8051</v>
      </c>
      <c r="C371" s="60" t="s">
        <v>8230</v>
      </c>
      <c r="D371" s="1"/>
      <c r="E371" s="68"/>
      <c r="F371" s="70"/>
      <c r="G371" s="61"/>
      <c r="H371" s="62"/>
      <c r="I371" s="63"/>
      <c r="J371" s="85"/>
      <c r="K371" s="64"/>
      <c r="L371" s="65"/>
      <c r="M371" s="61" t="s">
        <v>17933</v>
      </c>
      <c r="N371" s="62"/>
      <c r="O371" s="63"/>
      <c r="P371" s="75"/>
      <c r="Q371" s="67"/>
      <c r="R371" s="68"/>
      <c r="S371" s="76"/>
      <c r="T371" s="70"/>
      <c r="U371" s="228">
        <f>ROUND((_15_同援日８．０*(1+_15・盲ろう)),0)</f>
        <v>1551</v>
      </c>
      <c r="V371" s="69"/>
    </row>
    <row r="372" spans="1:22" ht="16.5" customHeight="1" x14ac:dyDescent="0.3">
      <c r="A372" s="2">
        <v>15</v>
      </c>
      <c r="B372" s="2">
        <v>8052</v>
      </c>
      <c r="C372" s="60" t="s">
        <v>8229</v>
      </c>
      <c r="D372" s="1"/>
      <c r="E372" s="68"/>
      <c r="F372" s="70"/>
      <c r="G372" s="66"/>
      <c r="H372" s="57"/>
      <c r="I372" s="58"/>
      <c r="J372" s="85" t="s">
        <v>5895</v>
      </c>
      <c r="K372" s="64" t="s">
        <v>1</v>
      </c>
      <c r="L372" s="65">
        <v>1</v>
      </c>
      <c r="M372" s="67" t="s">
        <v>17932</v>
      </c>
      <c r="N372" s="68"/>
      <c r="O372" s="76"/>
      <c r="P372" s="70"/>
      <c r="Q372" s="67"/>
      <c r="R372" s="68"/>
      <c r="S372" s="76"/>
      <c r="T372" s="70"/>
      <c r="U372" s="228">
        <f>ROUND((ROUND((_15_同援日８．０*_15・２人),0)*(1+_15・盲ろう)),0)</f>
        <v>1551</v>
      </c>
      <c r="V372" s="69"/>
    </row>
    <row r="373" spans="1:22" ht="16.5" customHeight="1" x14ac:dyDescent="0.3">
      <c r="A373" s="2">
        <v>15</v>
      </c>
      <c r="B373" s="2">
        <v>8053</v>
      </c>
      <c r="C373" s="60" t="s">
        <v>8228</v>
      </c>
      <c r="D373" s="1"/>
      <c r="E373" s="68"/>
      <c r="F373" s="70"/>
      <c r="G373" s="61" t="s">
        <v>17747</v>
      </c>
      <c r="H373" s="62"/>
      <c r="I373" s="63"/>
      <c r="J373" s="85"/>
      <c r="K373" s="64"/>
      <c r="L373" s="65"/>
      <c r="M373" s="67"/>
      <c r="N373" s="68" t="s">
        <v>1</v>
      </c>
      <c r="O373" s="76">
        <v>0.25</v>
      </c>
      <c r="P373" s="70" t="s">
        <v>422</v>
      </c>
      <c r="Q373" s="67"/>
      <c r="R373" s="68"/>
      <c r="S373" s="76"/>
      <c r="T373" s="70"/>
      <c r="U373" s="228">
        <f>ROUND((ROUND((_15_同援日８．０*_15・基礎２),0)*(1+_15・盲ろう)),0)</f>
        <v>1396</v>
      </c>
      <c r="V373" s="69"/>
    </row>
    <row r="374" spans="1:22" ht="16.5" customHeight="1" x14ac:dyDescent="0.3">
      <c r="A374" s="2">
        <v>15</v>
      </c>
      <c r="B374" s="2">
        <v>8054</v>
      </c>
      <c r="C374" s="60" t="s">
        <v>8227</v>
      </c>
      <c r="D374" s="1"/>
      <c r="E374" s="68"/>
      <c r="F374" s="70"/>
      <c r="G374" s="66" t="s">
        <v>17420</v>
      </c>
      <c r="H374" s="57" t="s">
        <v>1</v>
      </c>
      <c r="I374" s="58">
        <v>0.9</v>
      </c>
      <c r="J374" s="85" t="s">
        <v>5895</v>
      </c>
      <c r="K374" s="64" t="s">
        <v>1</v>
      </c>
      <c r="L374" s="65">
        <v>1</v>
      </c>
      <c r="M374" s="66"/>
      <c r="N374" s="57"/>
      <c r="O374" s="58"/>
      <c r="P374" s="77"/>
      <c r="Q374" s="66"/>
      <c r="R374" s="57"/>
      <c r="S374" s="58"/>
      <c r="T374" s="77"/>
      <c r="U374" s="228">
        <f>ROUND((ROUND((ROUND((_15_同援日８．０*_15・基礎２),0)*_15・２人),0)*(1+_15・盲ろう)),0)</f>
        <v>1396</v>
      </c>
      <c r="V374" s="69"/>
    </row>
    <row r="375" spans="1:22" ht="16.5" customHeight="1" x14ac:dyDescent="0.3">
      <c r="A375" s="2">
        <v>15</v>
      </c>
      <c r="B375" s="2">
        <v>8055</v>
      </c>
      <c r="C375" s="60" t="s">
        <v>8226</v>
      </c>
      <c r="D375" s="1"/>
      <c r="E375" s="68"/>
      <c r="F375" s="70"/>
      <c r="G375" s="61"/>
      <c r="H375" s="62"/>
      <c r="I375" s="63"/>
      <c r="J375" s="85"/>
      <c r="K375" s="64"/>
      <c r="L375" s="65"/>
      <c r="M375" s="61"/>
      <c r="N375" s="62"/>
      <c r="O375" s="63"/>
      <c r="P375" s="75"/>
      <c r="Q375" s="61"/>
      <c r="R375" s="62"/>
      <c r="S375" s="63"/>
      <c r="T375" s="75"/>
      <c r="U375" s="228">
        <f>ROUND((_15_同援日８．０*(1+_15・区３)),0)</f>
        <v>1489</v>
      </c>
      <c r="V375" s="69"/>
    </row>
    <row r="376" spans="1:22" ht="16.5" customHeight="1" x14ac:dyDescent="0.3">
      <c r="A376" s="2">
        <v>15</v>
      </c>
      <c r="B376" s="2">
        <v>8056</v>
      </c>
      <c r="C376" s="60" t="s">
        <v>8225</v>
      </c>
      <c r="D376" s="1"/>
      <c r="E376" s="68"/>
      <c r="F376" s="70"/>
      <c r="G376" s="66"/>
      <c r="H376" s="57"/>
      <c r="I376" s="58"/>
      <c r="J376" s="85" t="s">
        <v>5895</v>
      </c>
      <c r="K376" s="64" t="s">
        <v>1</v>
      </c>
      <c r="L376" s="65">
        <v>1</v>
      </c>
      <c r="M376" s="67"/>
      <c r="N376" s="68"/>
      <c r="O376" s="76"/>
      <c r="P376" s="70"/>
      <c r="Q376" s="67"/>
      <c r="R376" s="68"/>
      <c r="S376" s="76"/>
      <c r="T376" s="70"/>
      <c r="U376" s="228">
        <f>ROUND((ROUND((_15_同援日８．０*_15・２人),0)*(1+_15・区３)),0)</f>
        <v>1489</v>
      </c>
      <c r="V376" s="69"/>
    </row>
    <row r="377" spans="1:22" ht="16.5" customHeight="1" x14ac:dyDescent="0.3">
      <c r="A377" s="2">
        <v>15</v>
      </c>
      <c r="B377" s="2">
        <v>8057</v>
      </c>
      <c r="C377" s="60" t="s">
        <v>8224</v>
      </c>
      <c r="D377" s="1"/>
      <c r="E377" s="68"/>
      <c r="F377" s="70"/>
      <c r="G377" s="61" t="s">
        <v>17747</v>
      </c>
      <c r="H377" s="62"/>
      <c r="I377" s="63"/>
      <c r="J377" s="85"/>
      <c r="K377" s="64"/>
      <c r="L377" s="65"/>
      <c r="M377" s="67"/>
      <c r="N377" s="68"/>
      <c r="O377" s="76"/>
      <c r="P377" s="70"/>
      <c r="Q377" s="67" t="s">
        <v>17936</v>
      </c>
      <c r="R377" s="68"/>
      <c r="S377" s="76"/>
      <c r="T377" s="70"/>
      <c r="U377" s="228">
        <f>ROUND((ROUND((_15_同援日８．０*_15・基礎２),0)*(1+_15・区３)),0)</f>
        <v>1340</v>
      </c>
      <c r="V377" s="69"/>
    </row>
    <row r="378" spans="1:22" ht="16.5" customHeight="1" x14ac:dyDescent="0.3">
      <c r="A378" s="2">
        <v>15</v>
      </c>
      <c r="B378" s="2">
        <v>8058</v>
      </c>
      <c r="C378" s="60" t="s">
        <v>8223</v>
      </c>
      <c r="D378" s="1"/>
      <c r="E378" s="68"/>
      <c r="F378" s="70"/>
      <c r="G378" s="66" t="s">
        <v>17420</v>
      </c>
      <c r="H378" s="57" t="s">
        <v>1</v>
      </c>
      <c r="I378" s="58">
        <v>0.9</v>
      </c>
      <c r="J378" s="85" t="s">
        <v>5895</v>
      </c>
      <c r="K378" s="64" t="s">
        <v>1</v>
      </c>
      <c r="L378" s="65">
        <v>1</v>
      </c>
      <c r="M378" s="66"/>
      <c r="N378" s="57"/>
      <c r="O378" s="58"/>
      <c r="P378" s="77"/>
      <c r="Q378" s="67" t="s">
        <v>8087</v>
      </c>
      <c r="R378" s="68"/>
      <c r="S378" s="76"/>
      <c r="T378" s="70"/>
      <c r="U378" s="228">
        <f>ROUND((ROUND((ROUND((_15_同援日８．０*_15・基礎２),0)*_15・２人),0)*(1+_15・区３)),0)</f>
        <v>1340</v>
      </c>
      <c r="V378" s="69"/>
    </row>
    <row r="379" spans="1:22" ht="16.5" customHeight="1" x14ac:dyDescent="0.3">
      <c r="A379" s="2">
        <v>15</v>
      </c>
      <c r="B379" s="2">
        <v>8059</v>
      </c>
      <c r="C379" s="60" t="s">
        <v>8222</v>
      </c>
      <c r="D379" s="1"/>
      <c r="E379" s="68"/>
      <c r="F379" s="70"/>
      <c r="G379" s="61"/>
      <c r="H379" s="62"/>
      <c r="I379" s="63"/>
      <c r="J379" s="85"/>
      <c r="K379" s="64"/>
      <c r="L379" s="65"/>
      <c r="M379" s="61" t="s">
        <v>17933</v>
      </c>
      <c r="N379" s="62"/>
      <c r="O379" s="63"/>
      <c r="P379" s="75"/>
      <c r="Q379" s="67"/>
      <c r="R379" s="68" t="s">
        <v>1</v>
      </c>
      <c r="S379" s="76">
        <v>0.2</v>
      </c>
      <c r="T379" s="70" t="s">
        <v>422</v>
      </c>
      <c r="U379" s="228">
        <f>ROUND((ROUND((_15_同援日８．０*(1+_15・盲ろう)),0)*(1+_15・区３)),0)</f>
        <v>1861</v>
      </c>
      <c r="V379" s="69"/>
    </row>
    <row r="380" spans="1:22" ht="16.5" customHeight="1" x14ac:dyDescent="0.3">
      <c r="A380" s="2">
        <v>15</v>
      </c>
      <c r="B380" s="2">
        <v>8060</v>
      </c>
      <c r="C380" s="60" t="s">
        <v>8221</v>
      </c>
      <c r="D380" s="1"/>
      <c r="E380" s="68"/>
      <c r="F380" s="70"/>
      <c r="G380" s="66"/>
      <c r="H380" s="57"/>
      <c r="I380" s="58"/>
      <c r="J380" s="85" t="s">
        <v>5895</v>
      </c>
      <c r="K380" s="64" t="s">
        <v>1</v>
      </c>
      <c r="L380" s="65">
        <v>1</v>
      </c>
      <c r="M380" s="67" t="s">
        <v>17932</v>
      </c>
      <c r="N380" s="68"/>
      <c r="O380" s="76"/>
      <c r="P380" s="70"/>
      <c r="Q380" s="67"/>
      <c r="R380" s="68"/>
      <c r="S380" s="76"/>
      <c r="T380" s="70"/>
      <c r="U380" s="228">
        <f>ROUND((ROUND((ROUND((_15_同援日８．０*_15・２人),0)*(1+_15・盲ろう)),0)*(1+_15・区３)),0)</f>
        <v>1861</v>
      </c>
      <c r="V380" s="69"/>
    </row>
    <row r="381" spans="1:22" ht="16.5" customHeight="1" x14ac:dyDescent="0.3">
      <c r="A381" s="2">
        <v>15</v>
      </c>
      <c r="B381" s="2">
        <v>8061</v>
      </c>
      <c r="C381" s="60" t="s">
        <v>8220</v>
      </c>
      <c r="D381" s="1"/>
      <c r="E381" s="68"/>
      <c r="F381" s="70"/>
      <c r="G381" s="61" t="s">
        <v>17747</v>
      </c>
      <c r="H381" s="62"/>
      <c r="I381" s="63"/>
      <c r="J381" s="85"/>
      <c r="K381" s="64"/>
      <c r="L381" s="65"/>
      <c r="M381" s="67"/>
      <c r="N381" s="68" t="s">
        <v>1</v>
      </c>
      <c r="O381" s="76">
        <v>0.25</v>
      </c>
      <c r="P381" s="70" t="s">
        <v>422</v>
      </c>
      <c r="Q381" s="67"/>
      <c r="R381" s="68"/>
      <c r="S381" s="76"/>
      <c r="T381" s="70"/>
      <c r="U381" s="228">
        <f>ROUND((ROUND((ROUND((_15_同援日８．０*_15・基礎２),0)*(1+_15・盲ろう)),0)*(1+_15・区３)),0)</f>
        <v>1675</v>
      </c>
      <c r="V381" s="69"/>
    </row>
    <row r="382" spans="1:22" ht="16.5" customHeight="1" x14ac:dyDescent="0.3">
      <c r="A382" s="2">
        <v>15</v>
      </c>
      <c r="B382" s="2">
        <v>8062</v>
      </c>
      <c r="C382" s="60" t="s">
        <v>8219</v>
      </c>
      <c r="D382" s="1"/>
      <c r="E382" s="68"/>
      <c r="F382" s="70"/>
      <c r="G382" s="66" t="s">
        <v>17420</v>
      </c>
      <c r="H382" s="57" t="s">
        <v>1</v>
      </c>
      <c r="I382" s="58">
        <v>0.9</v>
      </c>
      <c r="J382" s="85" t="s">
        <v>5895</v>
      </c>
      <c r="K382" s="64" t="s">
        <v>1</v>
      </c>
      <c r="L382" s="65">
        <v>1</v>
      </c>
      <c r="M382" s="66"/>
      <c r="N382" s="57"/>
      <c r="O382" s="58"/>
      <c r="P382" s="77"/>
      <c r="Q382" s="66"/>
      <c r="R382" s="57"/>
      <c r="S382" s="58"/>
      <c r="T382" s="77"/>
      <c r="U382" s="228">
        <f>ROUND((ROUND((ROUND((ROUND((_15_同援日８．０*_15・基礎２),0)*_15・２人),0)*(1+_15・盲ろう)),0)*(1+_15・区３)),0)</f>
        <v>1675</v>
      </c>
      <c r="V382" s="69"/>
    </row>
    <row r="383" spans="1:22" ht="16.5" customHeight="1" x14ac:dyDescent="0.3">
      <c r="A383" s="2">
        <v>15</v>
      </c>
      <c r="B383" s="2">
        <v>8063</v>
      </c>
      <c r="C383" s="60" t="s">
        <v>8218</v>
      </c>
      <c r="D383" s="1"/>
      <c r="E383" s="68"/>
      <c r="F383" s="70"/>
      <c r="G383" s="61"/>
      <c r="H383" s="62"/>
      <c r="I383" s="63"/>
      <c r="J383" s="85"/>
      <c r="K383" s="64"/>
      <c r="L383" s="65"/>
      <c r="M383" s="61"/>
      <c r="N383" s="62"/>
      <c r="O383" s="63"/>
      <c r="P383" s="75"/>
      <c r="Q383" s="61"/>
      <c r="R383" s="62"/>
      <c r="S383" s="63"/>
      <c r="T383" s="75"/>
      <c r="U383" s="228">
        <f>ROUND((_15_同援日８．０*(1+_15・区４)),0)</f>
        <v>1737</v>
      </c>
      <c r="V383" s="69"/>
    </row>
    <row r="384" spans="1:22" ht="16.5" customHeight="1" x14ac:dyDescent="0.3">
      <c r="A384" s="2">
        <v>15</v>
      </c>
      <c r="B384" s="2">
        <v>8064</v>
      </c>
      <c r="C384" s="60" t="s">
        <v>8217</v>
      </c>
      <c r="D384" s="1"/>
      <c r="E384" s="68"/>
      <c r="F384" s="70"/>
      <c r="G384" s="66"/>
      <c r="H384" s="57"/>
      <c r="I384" s="58"/>
      <c r="J384" s="85" t="s">
        <v>5895</v>
      </c>
      <c r="K384" s="64" t="s">
        <v>1</v>
      </c>
      <c r="L384" s="65">
        <v>1</v>
      </c>
      <c r="M384" s="67"/>
      <c r="N384" s="68"/>
      <c r="O384" s="76"/>
      <c r="P384" s="70"/>
      <c r="Q384" s="67"/>
      <c r="R384" s="68"/>
      <c r="S384" s="76"/>
      <c r="T384" s="70"/>
      <c r="U384" s="228">
        <f>ROUND((ROUND((_15_同援日８．０*_15・２人),0)*(1+_15・区４)),0)</f>
        <v>1737</v>
      </c>
      <c r="V384" s="69"/>
    </row>
    <row r="385" spans="1:22" ht="16.5" customHeight="1" x14ac:dyDescent="0.3">
      <c r="A385" s="2">
        <v>15</v>
      </c>
      <c r="B385" s="2">
        <v>8065</v>
      </c>
      <c r="C385" s="60" t="s">
        <v>8216</v>
      </c>
      <c r="D385" s="1"/>
      <c r="E385" s="68"/>
      <c r="F385" s="70"/>
      <c r="G385" s="61" t="s">
        <v>17747</v>
      </c>
      <c r="H385" s="62"/>
      <c r="I385" s="63"/>
      <c r="J385" s="85"/>
      <c r="K385" s="64"/>
      <c r="L385" s="65"/>
      <c r="M385" s="67"/>
      <c r="N385" s="68"/>
      <c r="O385" s="76"/>
      <c r="P385" s="70"/>
      <c r="Q385" s="67" t="s">
        <v>17935</v>
      </c>
      <c r="R385" s="68"/>
      <c r="S385" s="76"/>
      <c r="T385" s="70"/>
      <c r="U385" s="228">
        <f>ROUND((ROUND((_15_同援日８．０*_15・基礎２),0)*(1+_15・区４)),0)</f>
        <v>1564</v>
      </c>
      <c r="V385" s="69"/>
    </row>
    <row r="386" spans="1:22" ht="16.5" customHeight="1" x14ac:dyDescent="0.3">
      <c r="A386" s="2">
        <v>15</v>
      </c>
      <c r="B386" s="2">
        <v>8066</v>
      </c>
      <c r="C386" s="60" t="s">
        <v>8215</v>
      </c>
      <c r="D386" s="1"/>
      <c r="E386" s="68"/>
      <c r="F386" s="70"/>
      <c r="G386" s="66" t="s">
        <v>17420</v>
      </c>
      <c r="H386" s="57" t="s">
        <v>1</v>
      </c>
      <c r="I386" s="58">
        <v>0.9</v>
      </c>
      <c r="J386" s="85" t="s">
        <v>5895</v>
      </c>
      <c r="K386" s="64" t="s">
        <v>1</v>
      </c>
      <c r="L386" s="65">
        <v>1</v>
      </c>
      <c r="M386" s="66"/>
      <c r="N386" s="57"/>
      <c r="O386" s="58"/>
      <c r="P386" s="77"/>
      <c r="Q386" s="67" t="s">
        <v>8087</v>
      </c>
      <c r="R386" s="68"/>
      <c r="S386" s="76"/>
      <c r="T386" s="70"/>
      <c r="U386" s="228">
        <f>ROUND((ROUND((ROUND((_15_同援日８．０*_15・基礎２),0)*_15・２人),0)*(1+_15・区４)),0)</f>
        <v>1564</v>
      </c>
      <c r="V386" s="69"/>
    </row>
    <row r="387" spans="1:22" ht="16.5" customHeight="1" x14ac:dyDescent="0.3">
      <c r="A387" s="2">
        <v>15</v>
      </c>
      <c r="B387" s="2">
        <v>8067</v>
      </c>
      <c r="C387" s="60" t="s">
        <v>8214</v>
      </c>
      <c r="D387" s="1"/>
      <c r="E387" s="68"/>
      <c r="F387" s="70"/>
      <c r="G387" s="61"/>
      <c r="H387" s="62"/>
      <c r="I387" s="63"/>
      <c r="J387" s="85"/>
      <c r="K387" s="64"/>
      <c r="L387" s="65"/>
      <c r="M387" s="61" t="s">
        <v>17933</v>
      </c>
      <c r="N387" s="62"/>
      <c r="O387" s="63"/>
      <c r="P387" s="75"/>
      <c r="Q387" s="67"/>
      <c r="R387" s="68" t="s">
        <v>1</v>
      </c>
      <c r="S387" s="76">
        <v>0.4</v>
      </c>
      <c r="T387" s="70" t="s">
        <v>422</v>
      </c>
      <c r="U387" s="228">
        <f>ROUND((ROUND((_15_同援日８．０*(1+_15・盲ろう)),0)*(1+_15・区４)),0)</f>
        <v>2171</v>
      </c>
      <c r="V387" s="69"/>
    </row>
    <row r="388" spans="1:22" ht="16.5" customHeight="1" x14ac:dyDescent="0.3">
      <c r="A388" s="2">
        <v>15</v>
      </c>
      <c r="B388" s="2">
        <v>8068</v>
      </c>
      <c r="C388" s="60" t="s">
        <v>8213</v>
      </c>
      <c r="D388" s="1"/>
      <c r="E388" s="68"/>
      <c r="F388" s="70"/>
      <c r="G388" s="66"/>
      <c r="H388" s="57"/>
      <c r="I388" s="58"/>
      <c r="J388" s="85" t="s">
        <v>5895</v>
      </c>
      <c r="K388" s="64" t="s">
        <v>1</v>
      </c>
      <c r="L388" s="65">
        <v>1</v>
      </c>
      <c r="M388" s="67" t="s">
        <v>17932</v>
      </c>
      <c r="N388" s="68"/>
      <c r="O388" s="76"/>
      <c r="P388" s="70"/>
      <c r="Q388" s="67"/>
      <c r="R388" s="68"/>
      <c r="S388" s="76"/>
      <c r="T388" s="70"/>
      <c r="U388" s="228">
        <f>ROUND((ROUND((ROUND((_15_同援日８．０*_15・２人),0)*(1+_15・盲ろう)),0)*(1+_15・区４)),0)</f>
        <v>2171</v>
      </c>
      <c r="V388" s="69"/>
    </row>
    <row r="389" spans="1:22" ht="16.5" customHeight="1" x14ac:dyDescent="0.3">
      <c r="A389" s="2">
        <v>15</v>
      </c>
      <c r="B389" s="2">
        <v>8069</v>
      </c>
      <c r="C389" s="60" t="s">
        <v>8212</v>
      </c>
      <c r="D389" s="1"/>
      <c r="E389" s="68"/>
      <c r="F389" s="70"/>
      <c r="G389" s="61" t="s">
        <v>17747</v>
      </c>
      <c r="H389" s="62"/>
      <c r="I389" s="63"/>
      <c r="J389" s="85"/>
      <c r="K389" s="64"/>
      <c r="L389" s="65"/>
      <c r="M389" s="67"/>
      <c r="N389" s="68" t="s">
        <v>1</v>
      </c>
      <c r="O389" s="76">
        <v>0.25</v>
      </c>
      <c r="P389" s="70" t="s">
        <v>422</v>
      </c>
      <c r="Q389" s="67"/>
      <c r="R389" s="68"/>
      <c r="S389" s="76"/>
      <c r="T389" s="70"/>
      <c r="U389" s="228">
        <f>ROUND((ROUND((ROUND((_15_同援日８．０*_15・基礎２),0)*(1+_15・盲ろう)),0)*(1+_15・区４)),0)</f>
        <v>1954</v>
      </c>
      <c r="V389" s="69"/>
    </row>
    <row r="390" spans="1:22" ht="16.5" customHeight="1" x14ac:dyDescent="0.3">
      <c r="A390" s="2">
        <v>15</v>
      </c>
      <c r="B390" s="2">
        <v>8070</v>
      </c>
      <c r="C390" s="60" t="s">
        <v>8211</v>
      </c>
      <c r="D390" s="81"/>
      <c r="E390" s="57"/>
      <c r="F390" s="77"/>
      <c r="G390" s="66" t="s">
        <v>17420</v>
      </c>
      <c r="H390" s="57" t="s">
        <v>1</v>
      </c>
      <c r="I390" s="58">
        <v>0.9</v>
      </c>
      <c r="J390" s="85" t="s">
        <v>5895</v>
      </c>
      <c r="K390" s="64" t="s">
        <v>1</v>
      </c>
      <c r="L390" s="65">
        <v>1</v>
      </c>
      <c r="M390" s="66"/>
      <c r="N390" s="57"/>
      <c r="O390" s="58"/>
      <c r="P390" s="77"/>
      <c r="Q390" s="66"/>
      <c r="R390" s="57"/>
      <c r="S390" s="58"/>
      <c r="T390" s="77"/>
      <c r="U390" s="228">
        <f>ROUND((ROUND((ROUND((ROUND((_15_同援日８．０*_15・基礎２),0)*_15・２人),0)*(1+_15・盲ろう)),0)*(1+_15・区４)),0)</f>
        <v>1954</v>
      </c>
      <c r="V390" s="69"/>
    </row>
    <row r="391" spans="1:22" ht="16.5" customHeight="1" x14ac:dyDescent="0.3">
      <c r="A391" s="2">
        <v>15</v>
      </c>
      <c r="B391" s="2">
        <v>8071</v>
      </c>
      <c r="C391" s="60" t="s">
        <v>8210</v>
      </c>
      <c r="D391" s="233" t="s">
        <v>17944</v>
      </c>
      <c r="E391" s="62"/>
      <c r="F391" s="75"/>
      <c r="G391" s="61"/>
      <c r="H391" s="62"/>
      <c r="I391" s="63"/>
      <c r="J391" s="85"/>
      <c r="K391" s="64"/>
      <c r="L391" s="65"/>
      <c r="M391" s="61"/>
      <c r="N391" s="62"/>
      <c r="O391" s="63"/>
      <c r="P391" s="75"/>
      <c r="Q391" s="61"/>
      <c r="R391" s="62"/>
      <c r="S391" s="63"/>
      <c r="T391" s="75"/>
      <c r="U391" s="228">
        <f>_15_同援日８．５</f>
        <v>1304</v>
      </c>
      <c r="V391" s="69"/>
    </row>
    <row r="392" spans="1:22" ht="16.5" customHeight="1" x14ac:dyDescent="0.3">
      <c r="A392" s="2">
        <v>15</v>
      </c>
      <c r="B392" s="2">
        <v>8072</v>
      </c>
      <c r="C392" s="60" t="s">
        <v>8209</v>
      </c>
      <c r="D392" s="1" t="s">
        <v>17943</v>
      </c>
      <c r="E392" s="68"/>
      <c r="F392" s="70"/>
      <c r="G392" s="66"/>
      <c r="H392" s="57"/>
      <c r="I392" s="58"/>
      <c r="J392" s="85" t="s">
        <v>5895</v>
      </c>
      <c r="K392" s="64" t="s">
        <v>1</v>
      </c>
      <c r="L392" s="65">
        <v>1</v>
      </c>
      <c r="M392" s="67"/>
      <c r="N392" s="68"/>
      <c r="O392" s="76"/>
      <c r="P392" s="70"/>
      <c r="Q392" s="67"/>
      <c r="R392" s="68"/>
      <c r="S392" s="76"/>
      <c r="T392" s="70"/>
      <c r="U392" s="228">
        <f>ROUND((_15_同援日８．５*_15・２人),0)</f>
        <v>1304</v>
      </c>
      <c r="V392" s="69"/>
    </row>
    <row r="393" spans="1:22" ht="16.5" customHeight="1" x14ac:dyDescent="0.3">
      <c r="A393" s="2">
        <v>15</v>
      </c>
      <c r="B393" s="2">
        <v>8073</v>
      </c>
      <c r="C393" s="60" t="s">
        <v>8208</v>
      </c>
      <c r="D393" s="1" t="s">
        <v>8207</v>
      </c>
      <c r="E393" s="68"/>
      <c r="F393" s="70"/>
      <c r="G393" s="61" t="s">
        <v>17747</v>
      </c>
      <c r="H393" s="62"/>
      <c r="I393" s="63"/>
      <c r="J393" s="85"/>
      <c r="K393" s="64"/>
      <c r="L393" s="65"/>
      <c r="M393" s="67"/>
      <c r="N393" s="68"/>
      <c r="O393" s="76"/>
      <c r="P393" s="70"/>
      <c r="Q393" s="67"/>
      <c r="R393" s="68"/>
      <c r="S393" s="76"/>
      <c r="T393" s="70"/>
      <c r="U393" s="228">
        <f>ROUND((_15_同援日８．５*_15・基礎２),0)</f>
        <v>1174</v>
      </c>
      <c r="V393" s="69"/>
    </row>
    <row r="394" spans="1:22" ht="16.5" customHeight="1" x14ac:dyDescent="0.3">
      <c r="A394" s="2">
        <v>15</v>
      </c>
      <c r="B394" s="2">
        <v>8074</v>
      </c>
      <c r="C394" s="60" t="s">
        <v>8206</v>
      </c>
      <c r="D394" s="1"/>
      <c r="E394" s="227">
        <v>1304</v>
      </c>
      <c r="F394" s="70" t="s">
        <v>0</v>
      </c>
      <c r="G394" s="66" t="s">
        <v>17420</v>
      </c>
      <c r="H394" s="57" t="s">
        <v>1</v>
      </c>
      <c r="I394" s="58">
        <v>0.9</v>
      </c>
      <c r="J394" s="85" t="s">
        <v>5895</v>
      </c>
      <c r="K394" s="64" t="s">
        <v>1</v>
      </c>
      <c r="L394" s="65">
        <v>1</v>
      </c>
      <c r="M394" s="66"/>
      <c r="N394" s="57"/>
      <c r="O394" s="58"/>
      <c r="P394" s="77"/>
      <c r="Q394" s="67"/>
      <c r="R394" s="68"/>
      <c r="S394" s="76"/>
      <c r="T394" s="70"/>
      <c r="U394" s="228">
        <f>ROUND((ROUND((_15_同援日８．５*_15・基礎２),0)*_15・２人),0)</f>
        <v>1174</v>
      </c>
      <c r="V394" s="69"/>
    </row>
    <row r="395" spans="1:22" ht="16.5" customHeight="1" x14ac:dyDescent="0.3">
      <c r="A395" s="2">
        <v>15</v>
      </c>
      <c r="B395" s="2">
        <v>8075</v>
      </c>
      <c r="C395" s="60" t="s">
        <v>8205</v>
      </c>
      <c r="D395" s="1"/>
      <c r="E395" s="68"/>
      <c r="F395" s="70"/>
      <c r="G395" s="61"/>
      <c r="H395" s="62"/>
      <c r="I395" s="63"/>
      <c r="J395" s="85"/>
      <c r="K395" s="64"/>
      <c r="L395" s="65"/>
      <c r="M395" s="61" t="s">
        <v>17933</v>
      </c>
      <c r="N395" s="62"/>
      <c r="O395" s="63"/>
      <c r="P395" s="75"/>
      <c r="Q395" s="67"/>
      <c r="R395" s="68"/>
      <c r="S395" s="76"/>
      <c r="T395" s="70"/>
      <c r="U395" s="228">
        <f>ROUND((_15_同援日８．５*(1+_15・盲ろう)),0)</f>
        <v>1630</v>
      </c>
      <c r="V395" s="69"/>
    </row>
    <row r="396" spans="1:22" ht="16.5" customHeight="1" x14ac:dyDescent="0.3">
      <c r="A396" s="2">
        <v>15</v>
      </c>
      <c r="B396" s="2">
        <v>8076</v>
      </c>
      <c r="C396" s="60" t="s">
        <v>8204</v>
      </c>
      <c r="D396" s="1"/>
      <c r="E396" s="68"/>
      <c r="F396" s="70"/>
      <c r="G396" s="66"/>
      <c r="H396" s="57"/>
      <c r="I396" s="58"/>
      <c r="J396" s="85" t="s">
        <v>5895</v>
      </c>
      <c r="K396" s="64" t="s">
        <v>1</v>
      </c>
      <c r="L396" s="65">
        <v>1</v>
      </c>
      <c r="M396" s="67" t="s">
        <v>17932</v>
      </c>
      <c r="N396" s="68"/>
      <c r="O396" s="76"/>
      <c r="P396" s="70"/>
      <c r="Q396" s="67"/>
      <c r="R396" s="68"/>
      <c r="S396" s="76"/>
      <c r="T396" s="70"/>
      <c r="U396" s="228">
        <f>ROUND((ROUND((_15_同援日８．５*_15・２人),0)*(1+_15・盲ろう)),0)</f>
        <v>1630</v>
      </c>
      <c r="V396" s="69"/>
    </row>
    <row r="397" spans="1:22" ht="16.5" customHeight="1" x14ac:dyDescent="0.3">
      <c r="A397" s="2">
        <v>15</v>
      </c>
      <c r="B397" s="2">
        <v>8077</v>
      </c>
      <c r="C397" s="60" t="s">
        <v>8203</v>
      </c>
      <c r="D397" s="1"/>
      <c r="E397" s="68"/>
      <c r="F397" s="70"/>
      <c r="G397" s="61" t="s">
        <v>17747</v>
      </c>
      <c r="H397" s="62"/>
      <c r="I397" s="63"/>
      <c r="J397" s="85"/>
      <c r="K397" s="64"/>
      <c r="L397" s="65"/>
      <c r="M397" s="67"/>
      <c r="N397" s="68" t="s">
        <v>1</v>
      </c>
      <c r="O397" s="76">
        <v>0.25</v>
      </c>
      <c r="P397" s="70" t="s">
        <v>422</v>
      </c>
      <c r="Q397" s="67"/>
      <c r="R397" s="68"/>
      <c r="S397" s="76"/>
      <c r="T397" s="70"/>
      <c r="U397" s="228">
        <f>ROUND((ROUND((_15_同援日８．５*_15・基礎２),0)*(1+_15・盲ろう)),0)</f>
        <v>1468</v>
      </c>
      <c r="V397" s="69"/>
    </row>
    <row r="398" spans="1:22" ht="16.5" customHeight="1" x14ac:dyDescent="0.3">
      <c r="A398" s="2">
        <v>15</v>
      </c>
      <c r="B398" s="2">
        <v>8078</v>
      </c>
      <c r="C398" s="60" t="s">
        <v>8202</v>
      </c>
      <c r="D398" s="1"/>
      <c r="E398" s="68"/>
      <c r="F398" s="70"/>
      <c r="G398" s="66" t="s">
        <v>5896</v>
      </c>
      <c r="H398" s="57" t="s">
        <v>1</v>
      </c>
      <c r="I398" s="58">
        <v>0.9</v>
      </c>
      <c r="J398" s="85" t="s">
        <v>5895</v>
      </c>
      <c r="K398" s="64" t="s">
        <v>1</v>
      </c>
      <c r="L398" s="65">
        <v>1</v>
      </c>
      <c r="M398" s="66"/>
      <c r="N398" s="57"/>
      <c r="O398" s="58"/>
      <c r="P398" s="77"/>
      <c r="Q398" s="66"/>
      <c r="R398" s="57"/>
      <c r="S398" s="58"/>
      <c r="T398" s="77"/>
      <c r="U398" s="228">
        <f>ROUND((ROUND((ROUND((_15_同援日８．５*_15・基礎２),0)*_15・２人),0)*(1+_15・盲ろう)),0)</f>
        <v>1468</v>
      </c>
      <c r="V398" s="69"/>
    </row>
    <row r="399" spans="1:22" ht="16.5" customHeight="1" x14ac:dyDescent="0.3">
      <c r="A399" s="2">
        <v>15</v>
      </c>
      <c r="B399" s="2">
        <v>8079</v>
      </c>
      <c r="C399" s="60" t="s">
        <v>8201</v>
      </c>
      <c r="D399" s="1"/>
      <c r="E399" s="68"/>
      <c r="F399" s="70"/>
      <c r="G399" s="61"/>
      <c r="H399" s="62"/>
      <c r="I399" s="63"/>
      <c r="J399" s="85"/>
      <c r="K399" s="64"/>
      <c r="L399" s="65"/>
      <c r="M399" s="61"/>
      <c r="N399" s="62"/>
      <c r="O399" s="63"/>
      <c r="P399" s="75"/>
      <c r="Q399" s="61"/>
      <c r="R399" s="62"/>
      <c r="S399" s="63"/>
      <c r="T399" s="75"/>
      <c r="U399" s="228">
        <f>ROUND((_15_同援日８．５*(1+_15・区３)),0)</f>
        <v>1565</v>
      </c>
      <c r="V399" s="69"/>
    </row>
    <row r="400" spans="1:22" ht="16.5" customHeight="1" x14ac:dyDescent="0.3">
      <c r="A400" s="2">
        <v>15</v>
      </c>
      <c r="B400" s="2">
        <v>8080</v>
      </c>
      <c r="C400" s="60" t="s">
        <v>8200</v>
      </c>
      <c r="D400" s="1"/>
      <c r="E400" s="68"/>
      <c r="F400" s="70"/>
      <c r="G400" s="66"/>
      <c r="H400" s="57"/>
      <c r="I400" s="58"/>
      <c r="J400" s="85" t="s">
        <v>5895</v>
      </c>
      <c r="K400" s="64" t="s">
        <v>1</v>
      </c>
      <c r="L400" s="65">
        <v>1</v>
      </c>
      <c r="M400" s="67"/>
      <c r="N400" s="68"/>
      <c r="O400" s="76"/>
      <c r="P400" s="70"/>
      <c r="Q400" s="67"/>
      <c r="R400" s="68"/>
      <c r="S400" s="76"/>
      <c r="T400" s="70"/>
      <c r="U400" s="228">
        <f>ROUND((ROUND((_15_同援日８．５*_15・２人),0)*(1+_15・区３)),0)</f>
        <v>1565</v>
      </c>
      <c r="V400" s="69"/>
    </row>
    <row r="401" spans="1:22" ht="16.5" customHeight="1" x14ac:dyDescent="0.3">
      <c r="A401" s="2">
        <v>15</v>
      </c>
      <c r="B401" s="2">
        <v>8081</v>
      </c>
      <c r="C401" s="60" t="s">
        <v>8199</v>
      </c>
      <c r="D401" s="1"/>
      <c r="E401" s="68"/>
      <c r="F401" s="70"/>
      <c r="G401" s="61" t="s">
        <v>17747</v>
      </c>
      <c r="H401" s="62"/>
      <c r="I401" s="63"/>
      <c r="J401" s="85"/>
      <c r="K401" s="64"/>
      <c r="L401" s="65"/>
      <c r="M401" s="67"/>
      <c r="N401" s="68"/>
      <c r="O401" s="76"/>
      <c r="P401" s="70"/>
      <c r="Q401" s="67" t="s">
        <v>17936</v>
      </c>
      <c r="R401" s="68"/>
      <c r="S401" s="76"/>
      <c r="T401" s="70"/>
      <c r="U401" s="228">
        <f>ROUND((ROUND((_15_同援日８．５*_15・基礎２),0)*(1+_15・区３)),0)</f>
        <v>1409</v>
      </c>
      <c r="V401" s="69"/>
    </row>
    <row r="402" spans="1:22" ht="16.5" customHeight="1" x14ac:dyDescent="0.3">
      <c r="A402" s="2">
        <v>15</v>
      </c>
      <c r="B402" s="2">
        <v>8082</v>
      </c>
      <c r="C402" s="60" t="s">
        <v>8198</v>
      </c>
      <c r="D402" s="1"/>
      <c r="E402" s="68"/>
      <c r="F402" s="70"/>
      <c r="G402" s="66" t="s">
        <v>17420</v>
      </c>
      <c r="H402" s="57" t="s">
        <v>1</v>
      </c>
      <c r="I402" s="58">
        <v>0.9</v>
      </c>
      <c r="J402" s="85" t="s">
        <v>5895</v>
      </c>
      <c r="K402" s="64" t="s">
        <v>1</v>
      </c>
      <c r="L402" s="65">
        <v>1</v>
      </c>
      <c r="M402" s="66"/>
      <c r="N402" s="57"/>
      <c r="O402" s="58"/>
      <c r="P402" s="77"/>
      <c r="Q402" s="67" t="s">
        <v>17934</v>
      </c>
      <c r="R402" s="68"/>
      <c r="S402" s="76"/>
      <c r="T402" s="70"/>
      <c r="U402" s="228">
        <f>ROUND((ROUND((ROUND((_15_同援日８．５*_15・基礎２),0)*_15・２人),0)*(1+_15・区３)),0)</f>
        <v>1409</v>
      </c>
      <c r="V402" s="69"/>
    </row>
    <row r="403" spans="1:22" ht="16.5" customHeight="1" x14ac:dyDescent="0.3">
      <c r="A403" s="2">
        <v>15</v>
      </c>
      <c r="B403" s="2">
        <v>8083</v>
      </c>
      <c r="C403" s="60" t="s">
        <v>8197</v>
      </c>
      <c r="D403" s="1"/>
      <c r="E403" s="68"/>
      <c r="F403" s="70"/>
      <c r="G403" s="61"/>
      <c r="H403" s="62"/>
      <c r="I403" s="63"/>
      <c r="J403" s="85"/>
      <c r="K403" s="64"/>
      <c r="L403" s="65"/>
      <c r="M403" s="61" t="s">
        <v>17933</v>
      </c>
      <c r="N403" s="62"/>
      <c r="O403" s="63"/>
      <c r="P403" s="75"/>
      <c r="Q403" s="67"/>
      <c r="R403" s="68" t="s">
        <v>1</v>
      </c>
      <c r="S403" s="76">
        <v>0.2</v>
      </c>
      <c r="T403" s="70" t="s">
        <v>422</v>
      </c>
      <c r="U403" s="228">
        <f>ROUND((ROUND((_15_同援日８．５*(1+_15・盲ろう)),0)*(1+_15・区３)),0)</f>
        <v>1956</v>
      </c>
      <c r="V403" s="69"/>
    </row>
    <row r="404" spans="1:22" ht="16.5" customHeight="1" x14ac:dyDescent="0.3">
      <c r="A404" s="2">
        <v>15</v>
      </c>
      <c r="B404" s="2">
        <v>8084</v>
      </c>
      <c r="C404" s="60" t="s">
        <v>8196</v>
      </c>
      <c r="D404" s="1"/>
      <c r="E404" s="68"/>
      <c r="F404" s="70"/>
      <c r="G404" s="66"/>
      <c r="H404" s="57"/>
      <c r="I404" s="58"/>
      <c r="J404" s="85" t="s">
        <v>5895</v>
      </c>
      <c r="K404" s="64" t="s">
        <v>1</v>
      </c>
      <c r="L404" s="65">
        <v>1</v>
      </c>
      <c r="M404" s="67" t="s">
        <v>17932</v>
      </c>
      <c r="N404" s="68"/>
      <c r="O404" s="76"/>
      <c r="P404" s="70"/>
      <c r="Q404" s="67"/>
      <c r="R404" s="68"/>
      <c r="S404" s="76"/>
      <c r="T404" s="70"/>
      <c r="U404" s="228">
        <f>ROUND((ROUND((ROUND((_15_同援日８．５*_15・２人),0)*(1+_15・盲ろう)),0)*(1+_15・区３)),0)</f>
        <v>1956</v>
      </c>
      <c r="V404" s="69"/>
    </row>
    <row r="405" spans="1:22" ht="16.5" customHeight="1" x14ac:dyDescent="0.3">
      <c r="A405" s="2">
        <v>15</v>
      </c>
      <c r="B405" s="2">
        <v>8085</v>
      </c>
      <c r="C405" s="60" t="s">
        <v>8195</v>
      </c>
      <c r="D405" s="1"/>
      <c r="E405" s="68"/>
      <c r="F405" s="70"/>
      <c r="G405" s="61" t="s">
        <v>5898</v>
      </c>
      <c r="H405" s="62"/>
      <c r="I405" s="63"/>
      <c r="J405" s="85"/>
      <c r="K405" s="64"/>
      <c r="L405" s="65"/>
      <c r="M405" s="67"/>
      <c r="N405" s="68" t="s">
        <v>1</v>
      </c>
      <c r="O405" s="76">
        <v>0.25</v>
      </c>
      <c r="P405" s="70" t="s">
        <v>422</v>
      </c>
      <c r="Q405" s="67"/>
      <c r="R405" s="68"/>
      <c r="S405" s="76"/>
      <c r="T405" s="70"/>
      <c r="U405" s="228">
        <f>ROUND((ROUND((ROUND((_15_同援日８．５*_15・基礎２),0)*(1+_15・盲ろう)),0)*(1+_15・区３)),0)</f>
        <v>1762</v>
      </c>
      <c r="V405" s="69"/>
    </row>
    <row r="406" spans="1:22" ht="16.5" customHeight="1" x14ac:dyDescent="0.3">
      <c r="A406" s="2">
        <v>15</v>
      </c>
      <c r="B406" s="2">
        <v>8086</v>
      </c>
      <c r="C406" s="60" t="s">
        <v>8194</v>
      </c>
      <c r="D406" s="1"/>
      <c r="E406" s="68"/>
      <c r="F406" s="70"/>
      <c r="G406" s="66" t="s">
        <v>17420</v>
      </c>
      <c r="H406" s="57" t="s">
        <v>1</v>
      </c>
      <c r="I406" s="58">
        <v>0.9</v>
      </c>
      <c r="J406" s="85" t="s">
        <v>5895</v>
      </c>
      <c r="K406" s="64" t="s">
        <v>1</v>
      </c>
      <c r="L406" s="65">
        <v>1</v>
      </c>
      <c r="M406" s="66"/>
      <c r="N406" s="57"/>
      <c r="O406" s="58"/>
      <c r="P406" s="77"/>
      <c r="Q406" s="66"/>
      <c r="R406" s="57"/>
      <c r="S406" s="58"/>
      <c r="T406" s="77"/>
      <c r="U406" s="228">
        <f>ROUND((ROUND((ROUND((ROUND((_15_同援日８．５*_15・基礎２),0)*_15・２人),0)*(1+_15・盲ろう)),0)*(1+_15・区３)),0)</f>
        <v>1762</v>
      </c>
      <c r="V406" s="69"/>
    </row>
    <row r="407" spans="1:22" ht="16.5" customHeight="1" x14ac:dyDescent="0.3">
      <c r="A407" s="2">
        <v>15</v>
      </c>
      <c r="B407" s="2">
        <v>8087</v>
      </c>
      <c r="C407" s="60" t="s">
        <v>8193</v>
      </c>
      <c r="D407" s="1"/>
      <c r="E407" s="68"/>
      <c r="F407" s="70"/>
      <c r="G407" s="61"/>
      <c r="H407" s="62"/>
      <c r="I407" s="63"/>
      <c r="J407" s="85"/>
      <c r="K407" s="64"/>
      <c r="L407" s="65"/>
      <c r="M407" s="61"/>
      <c r="N407" s="62"/>
      <c r="O407" s="63"/>
      <c r="P407" s="75"/>
      <c r="Q407" s="61"/>
      <c r="R407" s="62"/>
      <c r="S407" s="63"/>
      <c r="T407" s="75"/>
      <c r="U407" s="228">
        <f>ROUND((_15_同援日８．５*(1+_15・区４)),0)</f>
        <v>1826</v>
      </c>
      <c r="V407" s="69"/>
    </row>
    <row r="408" spans="1:22" ht="16.5" customHeight="1" x14ac:dyDescent="0.3">
      <c r="A408" s="2">
        <v>15</v>
      </c>
      <c r="B408" s="2">
        <v>8088</v>
      </c>
      <c r="C408" s="60" t="s">
        <v>8192</v>
      </c>
      <c r="D408" s="1"/>
      <c r="E408" s="68"/>
      <c r="F408" s="70"/>
      <c r="G408" s="66"/>
      <c r="H408" s="57"/>
      <c r="I408" s="58"/>
      <c r="J408" s="85" t="s">
        <v>5895</v>
      </c>
      <c r="K408" s="64" t="s">
        <v>1</v>
      </c>
      <c r="L408" s="65">
        <v>1</v>
      </c>
      <c r="M408" s="67"/>
      <c r="N408" s="68"/>
      <c r="O408" s="76"/>
      <c r="P408" s="70"/>
      <c r="Q408" s="67"/>
      <c r="R408" s="68"/>
      <c r="S408" s="76"/>
      <c r="T408" s="70"/>
      <c r="U408" s="228">
        <f>ROUND((ROUND((_15_同援日８．５*_15・２人),0)*(1+_15・区４)),0)</f>
        <v>1826</v>
      </c>
      <c r="V408" s="69"/>
    </row>
    <row r="409" spans="1:22" ht="16.5" customHeight="1" x14ac:dyDescent="0.3">
      <c r="A409" s="2">
        <v>15</v>
      </c>
      <c r="B409" s="2">
        <v>8089</v>
      </c>
      <c r="C409" s="60" t="s">
        <v>8191</v>
      </c>
      <c r="D409" s="1"/>
      <c r="E409" s="68"/>
      <c r="F409" s="70"/>
      <c r="G409" s="61" t="s">
        <v>17747</v>
      </c>
      <c r="H409" s="62"/>
      <c r="I409" s="63"/>
      <c r="J409" s="85"/>
      <c r="K409" s="64"/>
      <c r="L409" s="65"/>
      <c r="M409" s="67"/>
      <c r="N409" s="68"/>
      <c r="O409" s="76"/>
      <c r="P409" s="70"/>
      <c r="Q409" s="67" t="s">
        <v>17935</v>
      </c>
      <c r="R409" s="68"/>
      <c r="S409" s="76"/>
      <c r="T409" s="70"/>
      <c r="U409" s="228">
        <f>ROUND((ROUND((_15_同援日８．５*_15・基礎２),0)*(1+_15・区４)),0)</f>
        <v>1644</v>
      </c>
      <c r="V409" s="69"/>
    </row>
    <row r="410" spans="1:22" ht="16.5" customHeight="1" x14ac:dyDescent="0.3">
      <c r="A410" s="2">
        <v>15</v>
      </c>
      <c r="B410" s="2">
        <v>8090</v>
      </c>
      <c r="C410" s="60" t="s">
        <v>8190</v>
      </c>
      <c r="D410" s="1"/>
      <c r="E410" s="68"/>
      <c r="F410" s="70"/>
      <c r="G410" s="66" t="s">
        <v>17420</v>
      </c>
      <c r="H410" s="57" t="s">
        <v>1</v>
      </c>
      <c r="I410" s="58">
        <v>0.9</v>
      </c>
      <c r="J410" s="85" t="s">
        <v>5895</v>
      </c>
      <c r="K410" s="64" t="s">
        <v>1</v>
      </c>
      <c r="L410" s="65">
        <v>1</v>
      </c>
      <c r="M410" s="66"/>
      <c r="N410" s="57"/>
      <c r="O410" s="58"/>
      <c r="P410" s="77"/>
      <c r="Q410" s="67" t="s">
        <v>17934</v>
      </c>
      <c r="R410" s="68"/>
      <c r="S410" s="76"/>
      <c r="T410" s="70"/>
      <c r="U410" s="228">
        <f>ROUND((ROUND((ROUND((_15_同援日８．５*_15・基礎２),0)*_15・２人),0)*(1+_15・区４)),0)</f>
        <v>1644</v>
      </c>
      <c r="V410" s="69"/>
    </row>
    <row r="411" spans="1:22" ht="16.5" customHeight="1" x14ac:dyDescent="0.3">
      <c r="A411" s="2">
        <v>15</v>
      </c>
      <c r="B411" s="2">
        <v>8091</v>
      </c>
      <c r="C411" s="60" t="s">
        <v>8189</v>
      </c>
      <c r="D411" s="1"/>
      <c r="E411" s="68"/>
      <c r="F411" s="70"/>
      <c r="G411" s="61"/>
      <c r="H411" s="62"/>
      <c r="I411" s="63"/>
      <c r="J411" s="85"/>
      <c r="K411" s="64"/>
      <c r="L411" s="65"/>
      <c r="M411" s="61" t="s">
        <v>17933</v>
      </c>
      <c r="N411" s="62"/>
      <c r="O411" s="63"/>
      <c r="P411" s="75"/>
      <c r="Q411" s="67"/>
      <c r="R411" s="68" t="s">
        <v>1</v>
      </c>
      <c r="S411" s="76">
        <v>0.4</v>
      </c>
      <c r="T411" s="70" t="s">
        <v>422</v>
      </c>
      <c r="U411" s="228">
        <f>ROUND((ROUND((_15_同援日８．５*(1+_15・盲ろう)),0)*(1+_15・区４)),0)</f>
        <v>2282</v>
      </c>
      <c r="V411" s="69"/>
    </row>
    <row r="412" spans="1:22" ht="16.5" customHeight="1" x14ac:dyDescent="0.3">
      <c r="A412" s="2">
        <v>15</v>
      </c>
      <c r="B412" s="2">
        <v>8092</v>
      </c>
      <c r="C412" s="60" t="s">
        <v>8188</v>
      </c>
      <c r="D412" s="1"/>
      <c r="E412" s="68"/>
      <c r="F412" s="70"/>
      <c r="G412" s="66"/>
      <c r="H412" s="57"/>
      <c r="I412" s="58"/>
      <c r="J412" s="85" t="s">
        <v>5895</v>
      </c>
      <c r="K412" s="64" t="s">
        <v>1</v>
      </c>
      <c r="L412" s="65">
        <v>1</v>
      </c>
      <c r="M412" s="67" t="s">
        <v>17932</v>
      </c>
      <c r="N412" s="68"/>
      <c r="O412" s="76"/>
      <c r="P412" s="70"/>
      <c r="Q412" s="67"/>
      <c r="R412" s="68"/>
      <c r="S412" s="76"/>
      <c r="T412" s="70"/>
      <c r="U412" s="228">
        <f>ROUND((ROUND((ROUND((_15_同援日８．５*_15・２人),0)*(1+_15・盲ろう)),0)*(1+_15・区４)),0)</f>
        <v>2282</v>
      </c>
      <c r="V412" s="69"/>
    </row>
    <row r="413" spans="1:22" ht="16.5" customHeight="1" x14ac:dyDescent="0.3">
      <c r="A413" s="2">
        <v>15</v>
      </c>
      <c r="B413" s="2">
        <v>8093</v>
      </c>
      <c r="C413" s="60" t="s">
        <v>8187</v>
      </c>
      <c r="D413" s="1"/>
      <c r="E413" s="68"/>
      <c r="F413" s="70"/>
      <c r="G413" s="61" t="s">
        <v>17747</v>
      </c>
      <c r="H413" s="62"/>
      <c r="I413" s="63"/>
      <c r="J413" s="85"/>
      <c r="K413" s="64"/>
      <c r="L413" s="65"/>
      <c r="M413" s="67"/>
      <c r="N413" s="68" t="s">
        <v>1</v>
      </c>
      <c r="O413" s="76">
        <v>0.25</v>
      </c>
      <c r="P413" s="70" t="s">
        <v>422</v>
      </c>
      <c r="Q413" s="67"/>
      <c r="R413" s="68"/>
      <c r="S413" s="76"/>
      <c r="T413" s="70"/>
      <c r="U413" s="228">
        <f>ROUND((ROUND((ROUND((_15_同援日８．５*_15・基礎２),0)*(1+_15・盲ろう)),0)*(1+_15・区４)),0)</f>
        <v>2055</v>
      </c>
      <c r="V413" s="69"/>
    </row>
    <row r="414" spans="1:22" ht="16.5" customHeight="1" x14ac:dyDescent="0.3">
      <c r="A414" s="2">
        <v>15</v>
      </c>
      <c r="B414" s="2">
        <v>8094</v>
      </c>
      <c r="C414" s="60" t="s">
        <v>8186</v>
      </c>
      <c r="D414" s="81"/>
      <c r="E414" s="57"/>
      <c r="F414" s="77"/>
      <c r="G414" s="66" t="s">
        <v>17420</v>
      </c>
      <c r="H414" s="57" t="s">
        <v>1</v>
      </c>
      <c r="I414" s="58">
        <v>0.9</v>
      </c>
      <c r="J414" s="85" t="s">
        <v>5895</v>
      </c>
      <c r="K414" s="64" t="s">
        <v>1</v>
      </c>
      <c r="L414" s="65">
        <v>1</v>
      </c>
      <c r="M414" s="66"/>
      <c r="N414" s="57"/>
      <c r="O414" s="58"/>
      <c r="P414" s="77"/>
      <c r="Q414" s="66"/>
      <c r="R414" s="57"/>
      <c r="S414" s="58"/>
      <c r="T414" s="77"/>
      <c r="U414" s="228">
        <f>ROUND((ROUND((ROUND((ROUND((_15_同援日８．５*_15・基礎２),0)*_15・２人),0)*(1+_15・盲ろう)),0)*(1+_15・区４)),0)</f>
        <v>2055</v>
      </c>
      <c r="V414" s="69"/>
    </row>
    <row r="415" spans="1:22" ht="16.5" customHeight="1" x14ac:dyDescent="0.3">
      <c r="A415" s="2">
        <v>15</v>
      </c>
      <c r="B415" s="2">
        <v>8095</v>
      </c>
      <c r="C415" s="60" t="s">
        <v>8185</v>
      </c>
      <c r="D415" s="233" t="s">
        <v>17942</v>
      </c>
      <c r="E415" s="62"/>
      <c r="F415" s="75"/>
      <c r="G415" s="61"/>
      <c r="H415" s="62"/>
      <c r="I415" s="63"/>
      <c r="J415" s="85"/>
      <c r="K415" s="64"/>
      <c r="L415" s="65"/>
      <c r="M415" s="61"/>
      <c r="N415" s="62"/>
      <c r="O415" s="63"/>
      <c r="P415" s="75"/>
      <c r="Q415" s="61"/>
      <c r="R415" s="62"/>
      <c r="S415" s="63"/>
      <c r="T415" s="75"/>
      <c r="U415" s="228">
        <f>_15_同援日９．０</f>
        <v>1367</v>
      </c>
      <c r="V415" s="69"/>
    </row>
    <row r="416" spans="1:22" ht="16.5" customHeight="1" x14ac:dyDescent="0.3">
      <c r="A416" s="2">
        <v>15</v>
      </c>
      <c r="B416" s="2">
        <v>8096</v>
      </c>
      <c r="C416" s="60" t="s">
        <v>8184</v>
      </c>
      <c r="D416" s="1" t="s">
        <v>5914</v>
      </c>
      <c r="E416" s="68"/>
      <c r="F416" s="70"/>
      <c r="G416" s="66"/>
      <c r="H416" s="57"/>
      <c r="I416" s="58"/>
      <c r="J416" s="85" t="s">
        <v>5895</v>
      </c>
      <c r="K416" s="64" t="s">
        <v>1</v>
      </c>
      <c r="L416" s="65">
        <v>1</v>
      </c>
      <c r="M416" s="67"/>
      <c r="N416" s="68"/>
      <c r="O416" s="76"/>
      <c r="P416" s="70"/>
      <c r="Q416" s="67"/>
      <c r="R416" s="68"/>
      <c r="S416" s="76"/>
      <c r="T416" s="70"/>
      <c r="U416" s="228">
        <f>ROUND((_15_同援日９．０*_15・２人),0)</f>
        <v>1367</v>
      </c>
      <c r="V416" s="69"/>
    </row>
    <row r="417" spans="1:22" ht="16.5" customHeight="1" x14ac:dyDescent="0.3">
      <c r="A417" s="2">
        <v>15</v>
      </c>
      <c r="B417" s="2">
        <v>8097</v>
      </c>
      <c r="C417" s="60" t="s">
        <v>8183</v>
      </c>
      <c r="D417" s="1" t="s">
        <v>8182</v>
      </c>
      <c r="E417" s="68"/>
      <c r="F417" s="70"/>
      <c r="G417" s="61" t="s">
        <v>17747</v>
      </c>
      <c r="H417" s="62"/>
      <c r="I417" s="63"/>
      <c r="J417" s="85"/>
      <c r="K417" s="64"/>
      <c r="L417" s="65"/>
      <c r="M417" s="67"/>
      <c r="N417" s="68"/>
      <c r="O417" s="76"/>
      <c r="P417" s="70"/>
      <c r="Q417" s="67"/>
      <c r="R417" s="68"/>
      <c r="S417" s="76"/>
      <c r="T417" s="70"/>
      <c r="U417" s="228">
        <f>ROUND((_15_同援日９．０*_15・基礎２),0)</f>
        <v>1230</v>
      </c>
      <c r="V417" s="69"/>
    </row>
    <row r="418" spans="1:22" ht="16.5" customHeight="1" x14ac:dyDescent="0.3">
      <c r="A418" s="2">
        <v>15</v>
      </c>
      <c r="B418" s="2">
        <v>8098</v>
      </c>
      <c r="C418" s="60" t="s">
        <v>8181</v>
      </c>
      <c r="D418" s="1"/>
      <c r="E418" s="227">
        <v>1367</v>
      </c>
      <c r="F418" s="70" t="s">
        <v>0</v>
      </c>
      <c r="G418" s="66" t="s">
        <v>17420</v>
      </c>
      <c r="H418" s="57" t="s">
        <v>1</v>
      </c>
      <c r="I418" s="58">
        <v>0.9</v>
      </c>
      <c r="J418" s="85" t="s">
        <v>5895</v>
      </c>
      <c r="K418" s="64" t="s">
        <v>1</v>
      </c>
      <c r="L418" s="65">
        <v>1</v>
      </c>
      <c r="M418" s="66"/>
      <c r="N418" s="57"/>
      <c r="O418" s="58"/>
      <c r="P418" s="77"/>
      <c r="Q418" s="67"/>
      <c r="R418" s="68"/>
      <c r="S418" s="76"/>
      <c r="T418" s="70"/>
      <c r="U418" s="228">
        <f>ROUND((ROUND((_15_同援日９．０*_15・基礎２),0)*_15・２人),0)</f>
        <v>1230</v>
      </c>
      <c r="V418" s="69"/>
    </row>
    <row r="419" spans="1:22" ht="16.5" customHeight="1" x14ac:dyDescent="0.3">
      <c r="A419" s="2">
        <v>15</v>
      </c>
      <c r="B419" s="2">
        <v>8099</v>
      </c>
      <c r="C419" s="60" t="s">
        <v>8180</v>
      </c>
      <c r="D419" s="1"/>
      <c r="E419" s="68"/>
      <c r="F419" s="70"/>
      <c r="G419" s="61"/>
      <c r="H419" s="62"/>
      <c r="I419" s="63"/>
      <c r="J419" s="85"/>
      <c r="K419" s="64"/>
      <c r="L419" s="65"/>
      <c r="M419" s="61" t="s">
        <v>17933</v>
      </c>
      <c r="N419" s="62"/>
      <c r="O419" s="63"/>
      <c r="P419" s="75"/>
      <c r="Q419" s="67"/>
      <c r="R419" s="68"/>
      <c r="S419" s="76"/>
      <c r="T419" s="70"/>
      <c r="U419" s="228">
        <f>ROUND((_15_同援日９．０*(1+_15・盲ろう)),0)</f>
        <v>1709</v>
      </c>
      <c r="V419" s="69"/>
    </row>
    <row r="420" spans="1:22" ht="16.5" customHeight="1" x14ac:dyDescent="0.3">
      <c r="A420" s="2">
        <v>15</v>
      </c>
      <c r="B420" s="2">
        <v>8100</v>
      </c>
      <c r="C420" s="60" t="s">
        <v>8179</v>
      </c>
      <c r="D420" s="1"/>
      <c r="E420" s="68"/>
      <c r="F420" s="70"/>
      <c r="G420" s="66"/>
      <c r="H420" s="57"/>
      <c r="I420" s="58"/>
      <c r="J420" s="85" t="s">
        <v>5895</v>
      </c>
      <c r="K420" s="64" t="s">
        <v>1</v>
      </c>
      <c r="L420" s="65">
        <v>1</v>
      </c>
      <c r="M420" s="67" t="s">
        <v>17932</v>
      </c>
      <c r="N420" s="68"/>
      <c r="O420" s="76"/>
      <c r="P420" s="70"/>
      <c r="Q420" s="67"/>
      <c r="R420" s="68"/>
      <c r="S420" s="76"/>
      <c r="T420" s="70"/>
      <c r="U420" s="228">
        <f>ROUND((ROUND((_15_同援日９．０*_15・２人),0)*(1+_15・盲ろう)),0)</f>
        <v>1709</v>
      </c>
      <c r="V420" s="69"/>
    </row>
    <row r="421" spans="1:22" ht="16.5" customHeight="1" x14ac:dyDescent="0.3">
      <c r="A421" s="2">
        <v>15</v>
      </c>
      <c r="B421" s="2">
        <v>8101</v>
      </c>
      <c r="C421" s="60" t="s">
        <v>8178</v>
      </c>
      <c r="D421" s="1"/>
      <c r="E421" s="68"/>
      <c r="F421" s="70"/>
      <c r="G421" s="61" t="s">
        <v>17747</v>
      </c>
      <c r="H421" s="62"/>
      <c r="I421" s="63"/>
      <c r="J421" s="85"/>
      <c r="K421" s="64"/>
      <c r="L421" s="65"/>
      <c r="M421" s="67"/>
      <c r="N421" s="68" t="s">
        <v>1</v>
      </c>
      <c r="O421" s="76">
        <v>0.25</v>
      </c>
      <c r="P421" s="70" t="s">
        <v>422</v>
      </c>
      <c r="Q421" s="67"/>
      <c r="R421" s="68"/>
      <c r="S421" s="76"/>
      <c r="T421" s="70"/>
      <c r="U421" s="228">
        <f>ROUND((ROUND((_15_同援日９．０*_15・基礎２),0)*(1+_15・盲ろう)),0)</f>
        <v>1538</v>
      </c>
      <c r="V421" s="69"/>
    </row>
    <row r="422" spans="1:22" ht="16.5" customHeight="1" x14ac:dyDescent="0.3">
      <c r="A422" s="2">
        <v>15</v>
      </c>
      <c r="B422" s="2">
        <v>8102</v>
      </c>
      <c r="C422" s="60" t="s">
        <v>8177</v>
      </c>
      <c r="D422" s="1"/>
      <c r="E422" s="68"/>
      <c r="F422" s="70"/>
      <c r="G422" s="66" t="s">
        <v>17420</v>
      </c>
      <c r="H422" s="57" t="s">
        <v>1</v>
      </c>
      <c r="I422" s="58">
        <v>0.9</v>
      </c>
      <c r="J422" s="85" t="s">
        <v>5895</v>
      </c>
      <c r="K422" s="64" t="s">
        <v>1</v>
      </c>
      <c r="L422" s="65">
        <v>1</v>
      </c>
      <c r="M422" s="66"/>
      <c r="N422" s="57"/>
      <c r="O422" s="58"/>
      <c r="P422" s="77"/>
      <c r="Q422" s="66"/>
      <c r="R422" s="57"/>
      <c r="S422" s="58"/>
      <c r="T422" s="77"/>
      <c r="U422" s="228">
        <f>ROUND((ROUND((ROUND((_15_同援日９．０*_15・基礎２),0)*_15・２人),0)*(1+_15・盲ろう)),0)</f>
        <v>1538</v>
      </c>
      <c r="V422" s="69"/>
    </row>
    <row r="423" spans="1:22" ht="16.5" customHeight="1" x14ac:dyDescent="0.3">
      <c r="A423" s="2">
        <v>15</v>
      </c>
      <c r="B423" s="2">
        <v>8103</v>
      </c>
      <c r="C423" s="60" t="s">
        <v>8176</v>
      </c>
      <c r="D423" s="1"/>
      <c r="E423" s="68"/>
      <c r="F423" s="70"/>
      <c r="G423" s="61"/>
      <c r="H423" s="62"/>
      <c r="I423" s="63"/>
      <c r="J423" s="85"/>
      <c r="K423" s="64"/>
      <c r="L423" s="65"/>
      <c r="M423" s="61"/>
      <c r="N423" s="62"/>
      <c r="O423" s="63"/>
      <c r="P423" s="75"/>
      <c r="Q423" s="61"/>
      <c r="R423" s="62"/>
      <c r="S423" s="63"/>
      <c r="T423" s="75"/>
      <c r="U423" s="228">
        <f>ROUND((_15_同援日９．０*(1+_15・区３)),0)</f>
        <v>1640</v>
      </c>
      <c r="V423" s="69"/>
    </row>
    <row r="424" spans="1:22" ht="16.5" customHeight="1" x14ac:dyDescent="0.3">
      <c r="A424" s="2">
        <v>15</v>
      </c>
      <c r="B424" s="2">
        <v>8104</v>
      </c>
      <c r="C424" s="60" t="s">
        <v>8175</v>
      </c>
      <c r="D424" s="1"/>
      <c r="E424" s="68"/>
      <c r="F424" s="70"/>
      <c r="G424" s="66"/>
      <c r="H424" s="57"/>
      <c r="I424" s="58"/>
      <c r="J424" s="85" t="s">
        <v>5895</v>
      </c>
      <c r="K424" s="64" t="s">
        <v>1</v>
      </c>
      <c r="L424" s="65">
        <v>1</v>
      </c>
      <c r="M424" s="67"/>
      <c r="N424" s="68"/>
      <c r="O424" s="76"/>
      <c r="P424" s="70"/>
      <c r="Q424" s="67"/>
      <c r="R424" s="68"/>
      <c r="S424" s="76"/>
      <c r="T424" s="70"/>
      <c r="U424" s="228">
        <f>ROUND((ROUND((_15_同援日９．０*_15・２人),0)*(1+_15・区３)),0)</f>
        <v>1640</v>
      </c>
      <c r="V424" s="69"/>
    </row>
    <row r="425" spans="1:22" ht="16.5" customHeight="1" x14ac:dyDescent="0.3">
      <c r="A425" s="2">
        <v>15</v>
      </c>
      <c r="B425" s="2">
        <v>8105</v>
      </c>
      <c r="C425" s="60" t="s">
        <v>8174</v>
      </c>
      <c r="D425" s="1"/>
      <c r="E425" s="68"/>
      <c r="F425" s="70"/>
      <c r="G425" s="61" t="s">
        <v>17747</v>
      </c>
      <c r="H425" s="62"/>
      <c r="I425" s="63"/>
      <c r="J425" s="85"/>
      <c r="K425" s="64"/>
      <c r="L425" s="65"/>
      <c r="M425" s="67"/>
      <c r="N425" s="68"/>
      <c r="O425" s="76"/>
      <c r="P425" s="70"/>
      <c r="Q425" s="67" t="s">
        <v>17936</v>
      </c>
      <c r="R425" s="68"/>
      <c r="S425" s="76"/>
      <c r="T425" s="70"/>
      <c r="U425" s="228">
        <f>ROUND((ROUND((_15_同援日９．０*_15・基礎２),0)*(1+_15・区３)),0)</f>
        <v>1476</v>
      </c>
      <c r="V425" s="69"/>
    </row>
    <row r="426" spans="1:22" ht="16.5" customHeight="1" x14ac:dyDescent="0.3">
      <c r="A426" s="2">
        <v>15</v>
      </c>
      <c r="B426" s="2">
        <v>8106</v>
      </c>
      <c r="C426" s="60" t="s">
        <v>8173</v>
      </c>
      <c r="D426" s="1"/>
      <c r="E426" s="68"/>
      <c r="F426" s="70"/>
      <c r="G426" s="66" t="s">
        <v>17420</v>
      </c>
      <c r="H426" s="57" t="s">
        <v>1</v>
      </c>
      <c r="I426" s="58">
        <v>0.9</v>
      </c>
      <c r="J426" s="85" t="s">
        <v>5895</v>
      </c>
      <c r="K426" s="64" t="s">
        <v>1</v>
      </c>
      <c r="L426" s="65">
        <v>1</v>
      </c>
      <c r="M426" s="66"/>
      <c r="N426" s="57"/>
      <c r="O426" s="58"/>
      <c r="P426" s="77"/>
      <c r="Q426" s="67" t="s">
        <v>17934</v>
      </c>
      <c r="R426" s="68"/>
      <c r="S426" s="76"/>
      <c r="T426" s="70"/>
      <c r="U426" s="228">
        <f>ROUND((ROUND((ROUND((_15_同援日９．０*_15・基礎２),0)*_15・２人),0)*(1+_15・区３)),0)</f>
        <v>1476</v>
      </c>
      <c r="V426" s="69"/>
    </row>
    <row r="427" spans="1:22" ht="16.5" customHeight="1" x14ac:dyDescent="0.3">
      <c r="A427" s="2">
        <v>15</v>
      </c>
      <c r="B427" s="2">
        <v>8107</v>
      </c>
      <c r="C427" s="60" t="s">
        <v>8172</v>
      </c>
      <c r="D427" s="1"/>
      <c r="E427" s="68"/>
      <c r="F427" s="70"/>
      <c r="G427" s="61"/>
      <c r="H427" s="62"/>
      <c r="I427" s="63"/>
      <c r="J427" s="85"/>
      <c r="K427" s="64"/>
      <c r="L427" s="65"/>
      <c r="M427" s="61" t="s">
        <v>17933</v>
      </c>
      <c r="N427" s="62"/>
      <c r="O427" s="63"/>
      <c r="P427" s="75"/>
      <c r="Q427" s="67"/>
      <c r="R427" s="68" t="s">
        <v>1</v>
      </c>
      <c r="S427" s="76">
        <v>0.2</v>
      </c>
      <c r="T427" s="70" t="s">
        <v>422</v>
      </c>
      <c r="U427" s="228">
        <f>ROUND((ROUND((_15_同援日９．０*(1+_15・盲ろう)),0)*(1+_15・区３)),0)</f>
        <v>2051</v>
      </c>
      <c r="V427" s="69"/>
    </row>
    <row r="428" spans="1:22" ht="16.5" customHeight="1" x14ac:dyDescent="0.3">
      <c r="A428" s="2">
        <v>15</v>
      </c>
      <c r="B428" s="2">
        <v>8108</v>
      </c>
      <c r="C428" s="60" t="s">
        <v>8171</v>
      </c>
      <c r="D428" s="1"/>
      <c r="E428" s="68"/>
      <c r="F428" s="70"/>
      <c r="G428" s="66"/>
      <c r="H428" s="57"/>
      <c r="I428" s="58"/>
      <c r="J428" s="85" t="s">
        <v>5895</v>
      </c>
      <c r="K428" s="64" t="s">
        <v>1</v>
      </c>
      <c r="L428" s="65">
        <v>1</v>
      </c>
      <c r="M428" s="67" t="s">
        <v>17932</v>
      </c>
      <c r="N428" s="68"/>
      <c r="O428" s="76"/>
      <c r="P428" s="70"/>
      <c r="Q428" s="67"/>
      <c r="R428" s="68"/>
      <c r="S428" s="76"/>
      <c r="T428" s="70"/>
      <c r="U428" s="228">
        <f>ROUND((ROUND((ROUND((_15_同援日９．０*_15・２人),0)*(1+_15・盲ろう)),0)*(1+_15・区３)),0)</f>
        <v>2051</v>
      </c>
      <c r="V428" s="69"/>
    </row>
    <row r="429" spans="1:22" ht="16.5" customHeight="1" x14ac:dyDescent="0.3">
      <c r="A429" s="2">
        <v>15</v>
      </c>
      <c r="B429" s="2">
        <v>8109</v>
      </c>
      <c r="C429" s="60" t="s">
        <v>8170</v>
      </c>
      <c r="D429" s="1"/>
      <c r="E429" s="68"/>
      <c r="F429" s="70"/>
      <c r="G429" s="61" t="s">
        <v>17747</v>
      </c>
      <c r="H429" s="62"/>
      <c r="I429" s="63"/>
      <c r="J429" s="85"/>
      <c r="K429" s="64"/>
      <c r="L429" s="65"/>
      <c r="M429" s="67"/>
      <c r="N429" s="68" t="s">
        <v>1</v>
      </c>
      <c r="O429" s="76">
        <v>0.25</v>
      </c>
      <c r="P429" s="70" t="s">
        <v>422</v>
      </c>
      <c r="Q429" s="67"/>
      <c r="R429" s="68"/>
      <c r="S429" s="76"/>
      <c r="T429" s="70"/>
      <c r="U429" s="228">
        <f>ROUND((ROUND((ROUND((_15_同援日９．０*_15・基礎２),0)*(1+_15・盲ろう)),0)*(1+_15・区３)),0)</f>
        <v>1846</v>
      </c>
      <c r="V429" s="69"/>
    </row>
    <row r="430" spans="1:22" ht="16.5" customHeight="1" x14ac:dyDescent="0.3">
      <c r="A430" s="2">
        <v>15</v>
      </c>
      <c r="B430" s="2">
        <v>8110</v>
      </c>
      <c r="C430" s="60" t="s">
        <v>8169</v>
      </c>
      <c r="D430" s="1"/>
      <c r="E430" s="68"/>
      <c r="F430" s="70"/>
      <c r="G430" s="66" t="s">
        <v>17420</v>
      </c>
      <c r="H430" s="57" t="s">
        <v>1</v>
      </c>
      <c r="I430" s="58">
        <v>0.9</v>
      </c>
      <c r="J430" s="85" t="s">
        <v>5895</v>
      </c>
      <c r="K430" s="64" t="s">
        <v>1</v>
      </c>
      <c r="L430" s="65">
        <v>1</v>
      </c>
      <c r="M430" s="66"/>
      <c r="N430" s="57"/>
      <c r="O430" s="58"/>
      <c r="P430" s="77"/>
      <c r="Q430" s="66"/>
      <c r="R430" s="57"/>
      <c r="S430" s="58"/>
      <c r="T430" s="77"/>
      <c r="U430" s="228">
        <f>ROUND((ROUND((ROUND((ROUND((_15_同援日９．０*_15・基礎２),0)*_15・２人),0)*(1+_15・盲ろう)),0)*(1+_15・区３)),0)</f>
        <v>1846</v>
      </c>
      <c r="V430" s="69"/>
    </row>
    <row r="431" spans="1:22" ht="16.5" customHeight="1" x14ac:dyDescent="0.3">
      <c r="A431" s="2">
        <v>15</v>
      </c>
      <c r="B431" s="2">
        <v>8111</v>
      </c>
      <c r="C431" s="60" t="s">
        <v>8168</v>
      </c>
      <c r="D431" s="1"/>
      <c r="E431" s="68"/>
      <c r="F431" s="70"/>
      <c r="G431" s="61"/>
      <c r="H431" s="62"/>
      <c r="I431" s="63"/>
      <c r="J431" s="85"/>
      <c r="K431" s="64"/>
      <c r="L431" s="65"/>
      <c r="M431" s="61"/>
      <c r="N431" s="62"/>
      <c r="O431" s="63"/>
      <c r="P431" s="75"/>
      <c r="Q431" s="61"/>
      <c r="R431" s="62"/>
      <c r="S431" s="63"/>
      <c r="T431" s="75"/>
      <c r="U431" s="228">
        <f>ROUND((_15_同援日９．０*(1+_15・区４)),0)</f>
        <v>1914</v>
      </c>
      <c r="V431" s="69"/>
    </row>
    <row r="432" spans="1:22" ht="16.5" customHeight="1" x14ac:dyDescent="0.3">
      <c r="A432" s="2">
        <v>15</v>
      </c>
      <c r="B432" s="2">
        <v>8112</v>
      </c>
      <c r="C432" s="60" t="s">
        <v>8167</v>
      </c>
      <c r="D432" s="1"/>
      <c r="E432" s="68"/>
      <c r="F432" s="70"/>
      <c r="G432" s="66"/>
      <c r="H432" s="57"/>
      <c r="I432" s="58"/>
      <c r="J432" s="85" t="s">
        <v>5895</v>
      </c>
      <c r="K432" s="64" t="s">
        <v>1</v>
      </c>
      <c r="L432" s="65">
        <v>1</v>
      </c>
      <c r="M432" s="67"/>
      <c r="N432" s="68"/>
      <c r="O432" s="76"/>
      <c r="P432" s="70"/>
      <c r="Q432" s="67"/>
      <c r="R432" s="68"/>
      <c r="S432" s="76"/>
      <c r="T432" s="70"/>
      <c r="U432" s="228">
        <f>ROUND((ROUND((_15_同援日９．０*_15・２人),0)*(1+_15・区４)),0)</f>
        <v>1914</v>
      </c>
      <c r="V432" s="69"/>
    </row>
    <row r="433" spans="1:22" ht="16.5" customHeight="1" x14ac:dyDescent="0.3">
      <c r="A433" s="2">
        <v>15</v>
      </c>
      <c r="B433" s="2">
        <v>8113</v>
      </c>
      <c r="C433" s="60" t="s">
        <v>8166</v>
      </c>
      <c r="D433" s="1"/>
      <c r="E433" s="68"/>
      <c r="F433" s="70"/>
      <c r="G433" s="61" t="s">
        <v>17747</v>
      </c>
      <c r="H433" s="62"/>
      <c r="I433" s="63"/>
      <c r="J433" s="85"/>
      <c r="K433" s="64"/>
      <c r="L433" s="65"/>
      <c r="M433" s="67"/>
      <c r="N433" s="68"/>
      <c r="O433" s="76"/>
      <c r="P433" s="70"/>
      <c r="Q433" s="67" t="s">
        <v>17935</v>
      </c>
      <c r="R433" s="68"/>
      <c r="S433" s="76"/>
      <c r="T433" s="70"/>
      <c r="U433" s="228">
        <f>ROUND((ROUND((_15_同援日９．０*_15・基礎２),0)*(1+_15・区４)),0)</f>
        <v>1722</v>
      </c>
      <c r="V433" s="69"/>
    </row>
    <row r="434" spans="1:22" ht="16.5" customHeight="1" x14ac:dyDescent="0.3">
      <c r="A434" s="2">
        <v>15</v>
      </c>
      <c r="B434" s="2">
        <v>8114</v>
      </c>
      <c r="C434" s="60" t="s">
        <v>8165</v>
      </c>
      <c r="D434" s="1"/>
      <c r="E434" s="68"/>
      <c r="F434" s="70"/>
      <c r="G434" s="66" t="s">
        <v>17420</v>
      </c>
      <c r="H434" s="57" t="s">
        <v>1</v>
      </c>
      <c r="I434" s="58">
        <v>0.9</v>
      </c>
      <c r="J434" s="85" t="s">
        <v>5895</v>
      </c>
      <c r="K434" s="64" t="s">
        <v>1</v>
      </c>
      <c r="L434" s="65">
        <v>1</v>
      </c>
      <c r="M434" s="66"/>
      <c r="N434" s="57"/>
      <c r="O434" s="58"/>
      <c r="P434" s="77"/>
      <c r="Q434" s="67" t="s">
        <v>17934</v>
      </c>
      <c r="R434" s="68"/>
      <c r="S434" s="76"/>
      <c r="T434" s="70"/>
      <c r="U434" s="228">
        <f>ROUND((ROUND((ROUND((_15_同援日９．０*_15・基礎２),0)*_15・２人),0)*(1+_15・区４)),0)</f>
        <v>1722</v>
      </c>
      <c r="V434" s="69"/>
    </row>
    <row r="435" spans="1:22" ht="16.5" customHeight="1" x14ac:dyDescent="0.3">
      <c r="A435" s="2">
        <v>15</v>
      </c>
      <c r="B435" s="2">
        <v>8115</v>
      </c>
      <c r="C435" s="60" t="s">
        <v>8164</v>
      </c>
      <c r="D435" s="1"/>
      <c r="E435" s="68"/>
      <c r="F435" s="70"/>
      <c r="G435" s="61"/>
      <c r="H435" s="62"/>
      <c r="I435" s="63"/>
      <c r="J435" s="85"/>
      <c r="K435" s="64"/>
      <c r="L435" s="65"/>
      <c r="M435" s="61" t="s">
        <v>8085</v>
      </c>
      <c r="N435" s="62"/>
      <c r="O435" s="63"/>
      <c r="P435" s="75"/>
      <c r="Q435" s="67"/>
      <c r="R435" s="68" t="s">
        <v>1</v>
      </c>
      <c r="S435" s="76">
        <v>0.4</v>
      </c>
      <c r="T435" s="70" t="s">
        <v>422</v>
      </c>
      <c r="U435" s="228">
        <f>ROUND((ROUND((_15_同援日９．０*(1+_15・盲ろう)),0)*(1+_15・区４)),0)</f>
        <v>2393</v>
      </c>
      <c r="V435" s="69"/>
    </row>
    <row r="436" spans="1:22" ht="16.5" customHeight="1" x14ac:dyDescent="0.3">
      <c r="A436" s="2">
        <v>15</v>
      </c>
      <c r="B436" s="2">
        <v>8116</v>
      </c>
      <c r="C436" s="60" t="s">
        <v>8163</v>
      </c>
      <c r="D436" s="1"/>
      <c r="E436" s="68"/>
      <c r="F436" s="70"/>
      <c r="G436" s="66"/>
      <c r="H436" s="57"/>
      <c r="I436" s="58"/>
      <c r="J436" s="85" t="s">
        <v>5895</v>
      </c>
      <c r="K436" s="64" t="s">
        <v>1</v>
      </c>
      <c r="L436" s="65">
        <v>1</v>
      </c>
      <c r="M436" s="67" t="s">
        <v>17932</v>
      </c>
      <c r="N436" s="68"/>
      <c r="O436" s="76"/>
      <c r="P436" s="70"/>
      <c r="Q436" s="67"/>
      <c r="R436" s="68"/>
      <c r="S436" s="76"/>
      <c r="T436" s="70"/>
      <c r="U436" s="228">
        <f>ROUND((ROUND((ROUND((_15_同援日９．０*_15・２人),0)*(1+_15・盲ろう)),0)*(1+_15・区４)),0)</f>
        <v>2393</v>
      </c>
      <c r="V436" s="69"/>
    </row>
    <row r="437" spans="1:22" ht="16.5" customHeight="1" x14ac:dyDescent="0.3">
      <c r="A437" s="2">
        <v>15</v>
      </c>
      <c r="B437" s="2">
        <v>8117</v>
      </c>
      <c r="C437" s="60" t="s">
        <v>8162</v>
      </c>
      <c r="D437" s="1"/>
      <c r="E437" s="68"/>
      <c r="F437" s="70"/>
      <c r="G437" s="61" t="s">
        <v>17747</v>
      </c>
      <c r="H437" s="62"/>
      <c r="I437" s="63"/>
      <c r="J437" s="85"/>
      <c r="K437" s="64"/>
      <c r="L437" s="65"/>
      <c r="M437" s="67"/>
      <c r="N437" s="68" t="s">
        <v>1</v>
      </c>
      <c r="O437" s="76">
        <v>0.25</v>
      </c>
      <c r="P437" s="70" t="s">
        <v>422</v>
      </c>
      <c r="Q437" s="67"/>
      <c r="R437" s="68"/>
      <c r="S437" s="76"/>
      <c r="T437" s="70"/>
      <c r="U437" s="228">
        <f>ROUND((ROUND((ROUND((_15_同援日９．０*_15・基礎２),0)*(1+_15・盲ろう)),0)*(1+_15・区４)),0)</f>
        <v>2153</v>
      </c>
      <c r="V437" s="69"/>
    </row>
    <row r="438" spans="1:22" ht="16.5" customHeight="1" x14ac:dyDescent="0.3">
      <c r="A438" s="2">
        <v>15</v>
      </c>
      <c r="B438" s="2">
        <v>8118</v>
      </c>
      <c r="C438" s="60" t="s">
        <v>8161</v>
      </c>
      <c r="D438" s="81"/>
      <c r="E438" s="57"/>
      <c r="F438" s="77"/>
      <c r="G438" s="66" t="s">
        <v>17420</v>
      </c>
      <c r="H438" s="57" t="s">
        <v>1</v>
      </c>
      <c r="I438" s="58">
        <v>0.9</v>
      </c>
      <c r="J438" s="85" t="s">
        <v>5895</v>
      </c>
      <c r="K438" s="64" t="s">
        <v>1</v>
      </c>
      <c r="L438" s="65">
        <v>1</v>
      </c>
      <c r="M438" s="66"/>
      <c r="N438" s="57"/>
      <c r="O438" s="58"/>
      <c r="P438" s="77"/>
      <c r="Q438" s="66"/>
      <c r="R438" s="57"/>
      <c r="S438" s="58"/>
      <c r="T438" s="77"/>
      <c r="U438" s="228">
        <f>ROUND((ROUND((ROUND((ROUND((_15_同援日９．０*_15・基礎２),0)*_15・２人),0)*(1+_15・盲ろう)),0)*(1+_15・区４)),0)</f>
        <v>2153</v>
      </c>
      <c r="V438" s="69"/>
    </row>
    <row r="439" spans="1:22" ht="16.5" customHeight="1" x14ac:dyDescent="0.3">
      <c r="A439" s="2">
        <v>15</v>
      </c>
      <c r="B439" s="2">
        <v>8119</v>
      </c>
      <c r="C439" s="60" t="s">
        <v>8160</v>
      </c>
      <c r="D439" s="233" t="s">
        <v>17941</v>
      </c>
      <c r="E439" s="62"/>
      <c r="F439" s="75"/>
      <c r="G439" s="61"/>
      <c r="H439" s="62"/>
      <c r="I439" s="63"/>
      <c r="J439" s="85"/>
      <c r="K439" s="64"/>
      <c r="L439" s="65"/>
      <c r="M439" s="61"/>
      <c r="N439" s="62"/>
      <c r="O439" s="63"/>
      <c r="P439" s="75"/>
      <c r="Q439" s="61"/>
      <c r="R439" s="62"/>
      <c r="S439" s="63"/>
      <c r="T439" s="75"/>
      <c r="U439" s="228">
        <f>_15_同援日９．５</f>
        <v>1430</v>
      </c>
      <c r="V439" s="69"/>
    </row>
    <row r="440" spans="1:22" ht="16.5" customHeight="1" x14ac:dyDescent="0.3">
      <c r="A440" s="2">
        <v>15</v>
      </c>
      <c r="B440" s="2">
        <v>8120</v>
      </c>
      <c r="C440" s="60" t="s">
        <v>8159</v>
      </c>
      <c r="D440" s="1" t="s">
        <v>17940</v>
      </c>
      <c r="E440" s="68"/>
      <c r="F440" s="70"/>
      <c r="G440" s="66"/>
      <c r="H440" s="57"/>
      <c r="I440" s="58"/>
      <c r="J440" s="85" t="s">
        <v>5895</v>
      </c>
      <c r="K440" s="64" t="s">
        <v>1</v>
      </c>
      <c r="L440" s="65">
        <v>1</v>
      </c>
      <c r="M440" s="67"/>
      <c r="N440" s="68"/>
      <c r="O440" s="76"/>
      <c r="P440" s="70"/>
      <c r="Q440" s="67"/>
      <c r="R440" s="68"/>
      <c r="S440" s="76"/>
      <c r="T440" s="70"/>
      <c r="U440" s="228">
        <f>ROUND((_15_同援日９．５*_15・２人),0)</f>
        <v>1430</v>
      </c>
      <c r="V440" s="69"/>
    </row>
    <row r="441" spans="1:22" ht="16.5" customHeight="1" x14ac:dyDescent="0.3">
      <c r="A441" s="2">
        <v>15</v>
      </c>
      <c r="B441" s="2">
        <v>8121</v>
      </c>
      <c r="C441" s="60" t="s">
        <v>8158</v>
      </c>
      <c r="D441" s="1" t="s">
        <v>8157</v>
      </c>
      <c r="E441" s="68"/>
      <c r="F441" s="70"/>
      <c r="G441" s="61" t="s">
        <v>17747</v>
      </c>
      <c r="H441" s="62"/>
      <c r="I441" s="63"/>
      <c r="J441" s="85"/>
      <c r="K441" s="64"/>
      <c r="L441" s="65"/>
      <c r="M441" s="67"/>
      <c r="N441" s="68"/>
      <c r="O441" s="76"/>
      <c r="P441" s="70"/>
      <c r="Q441" s="67"/>
      <c r="R441" s="68"/>
      <c r="S441" s="76"/>
      <c r="T441" s="70"/>
      <c r="U441" s="228">
        <f>ROUND((_15_同援日９．５*_15・基礎２),0)</f>
        <v>1287</v>
      </c>
      <c r="V441" s="69"/>
    </row>
    <row r="442" spans="1:22" ht="16.5" customHeight="1" x14ac:dyDescent="0.3">
      <c r="A442" s="2">
        <v>15</v>
      </c>
      <c r="B442" s="2">
        <v>8122</v>
      </c>
      <c r="C442" s="60" t="s">
        <v>8156</v>
      </c>
      <c r="D442" s="1"/>
      <c r="E442" s="227">
        <v>1430</v>
      </c>
      <c r="F442" s="70" t="s">
        <v>0</v>
      </c>
      <c r="G442" s="66" t="s">
        <v>5896</v>
      </c>
      <c r="H442" s="57" t="s">
        <v>1</v>
      </c>
      <c r="I442" s="58">
        <v>0.9</v>
      </c>
      <c r="J442" s="85" t="s">
        <v>5895</v>
      </c>
      <c r="K442" s="64" t="s">
        <v>1</v>
      </c>
      <c r="L442" s="65">
        <v>1</v>
      </c>
      <c r="M442" s="66"/>
      <c r="N442" s="57"/>
      <c r="O442" s="58"/>
      <c r="P442" s="77"/>
      <c r="Q442" s="67"/>
      <c r="R442" s="68"/>
      <c r="S442" s="76"/>
      <c r="T442" s="70"/>
      <c r="U442" s="228">
        <f>ROUND((ROUND((_15_同援日９．５*_15・基礎２),0)*_15・２人),0)</f>
        <v>1287</v>
      </c>
      <c r="V442" s="69"/>
    </row>
    <row r="443" spans="1:22" ht="16.5" customHeight="1" x14ac:dyDescent="0.3">
      <c r="A443" s="2">
        <v>15</v>
      </c>
      <c r="B443" s="2">
        <v>8123</v>
      </c>
      <c r="C443" s="60" t="s">
        <v>8155</v>
      </c>
      <c r="D443" s="1"/>
      <c r="E443" s="68"/>
      <c r="F443" s="70"/>
      <c r="G443" s="61"/>
      <c r="H443" s="62"/>
      <c r="I443" s="63"/>
      <c r="J443" s="85"/>
      <c r="K443" s="64"/>
      <c r="L443" s="65"/>
      <c r="M443" s="61" t="s">
        <v>17933</v>
      </c>
      <c r="N443" s="62"/>
      <c r="O443" s="63"/>
      <c r="P443" s="75"/>
      <c r="Q443" s="67"/>
      <c r="R443" s="68"/>
      <c r="S443" s="76"/>
      <c r="T443" s="70"/>
      <c r="U443" s="228">
        <f>ROUND((_15_同援日９．５*(1+_15・盲ろう)),0)</f>
        <v>1788</v>
      </c>
      <c r="V443" s="69"/>
    </row>
    <row r="444" spans="1:22" ht="16.5" customHeight="1" x14ac:dyDescent="0.3">
      <c r="A444" s="2">
        <v>15</v>
      </c>
      <c r="B444" s="2">
        <v>8124</v>
      </c>
      <c r="C444" s="60" t="s">
        <v>8154</v>
      </c>
      <c r="D444" s="1"/>
      <c r="E444" s="68"/>
      <c r="F444" s="70"/>
      <c r="G444" s="66"/>
      <c r="H444" s="57"/>
      <c r="I444" s="58"/>
      <c r="J444" s="85" t="s">
        <v>5895</v>
      </c>
      <c r="K444" s="64" t="s">
        <v>1</v>
      </c>
      <c r="L444" s="65">
        <v>1</v>
      </c>
      <c r="M444" s="67" t="s">
        <v>17932</v>
      </c>
      <c r="N444" s="68"/>
      <c r="O444" s="76"/>
      <c r="P444" s="70"/>
      <c r="Q444" s="67"/>
      <c r="R444" s="68"/>
      <c r="S444" s="76"/>
      <c r="T444" s="70"/>
      <c r="U444" s="228">
        <f>ROUND((ROUND((_15_同援日９．５*_15・２人),0)*(1+_15・盲ろう)),0)</f>
        <v>1788</v>
      </c>
      <c r="V444" s="69"/>
    </row>
    <row r="445" spans="1:22" ht="16.5" customHeight="1" x14ac:dyDescent="0.3">
      <c r="A445" s="2">
        <v>15</v>
      </c>
      <c r="B445" s="2">
        <v>8125</v>
      </c>
      <c r="C445" s="60" t="s">
        <v>8153</v>
      </c>
      <c r="D445" s="1"/>
      <c r="E445" s="68"/>
      <c r="F445" s="70"/>
      <c r="G445" s="61" t="s">
        <v>17747</v>
      </c>
      <c r="H445" s="62"/>
      <c r="I445" s="63"/>
      <c r="J445" s="85"/>
      <c r="K445" s="64"/>
      <c r="L445" s="65"/>
      <c r="M445" s="67"/>
      <c r="N445" s="68" t="s">
        <v>1</v>
      </c>
      <c r="O445" s="76">
        <v>0.25</v>
      </c>
      <c r="P445" s="70" t="s">
        <v>422</v>
      </c>
      <c r="Q445" s="67"/>
      <c r="R445" s="68"/>
      <c r="S445" s="76"/>
      <c r="T445" s="70"/>
      <c r="U445" s="228">
        <f>ROUND((ROUND((_15_同援日９．５*_15・基礎２),0)*(1+_15・盲ろう)),0)</f>
        <v>1609</v>
      </c>
      <c r="V445" s="69"/>
    </row>
    <row r="446" spans="1:22" ht="16.5" customHeight="1" x14ac:dyDescent="0.3">
      <c r="A446" s="2">
        <v>15</v>
      </c>
      <c r="B446" s="2">
        <v>8126</v>
      </c>
      <c r="C446" s="60" t="s">
        <v>8152</v>
      </c>
      <c r="D446" s="1"/>
      <c r="E446" s="68"/>
      <c r="F446" s="70"/>
      <c r="G446" s="66" t="s">
        <v>17420</v>
      </c>
      <c r="H446" s="57" t="s">
        <v>1</v>
      </c>
      <c r="I446" s="58">
        <v>0.9</v>
      </c>
      <c r="J446" s="85" t="s">
        <v>5895</v>
      </c>
      <c r="K446" s="64" t="s">
        <v>1</v>
      </c>
      <c r="L446" s="65">
        <v>1</v>
      </c>
      <c r="M446" s="66"/>
      <c r="N446" s="57"/>
      <c r="O446" s="58"/>
      <c r="P446" s="77"/>
      <c r="Q446" s="66"/>
      <c r="R446" s="57"/>
      <c r="S446" s="58"/>
      <c r="T446" s="77"/>
      <c r="U446" s="228">
        <f>ROUND((ROUND((ROUND((_15_同援日９．５*_15・基礎２),0)*_15・２人),0)*(1+_15・盲ろう)),0)</f>
        <v>1609</v>
      </c>
      <c r="V446" s="69"/>
    </row>
    <row r="447" spans="1:22" ht="16.5" customHeight="1" x14ac:dyDescent="0.3">
      <c r="A447" s="2">
        <v>15</v>
      </c>
      <c r="B447" s="2">
        <v>8127</v>
      </c>
      <c r="C447" s="60" t="s">
        <v>8151</v>
      </c>
      <c r="D447" s="1"/>
      <c r="E447" s="68"/>
      <c r="F447" s="70"/>
      <c r="G447" s="61"/>
      <c r="H447" s="62"/>
      <c r="I447" s="63"/>
      <c r="J447" s="85"/>
      <c r="K447" s="64"/>
      <c r="L447" s="65"/>
      <c r="M447" s="61"/>
      <c r="N447" s="62"/>
      <c r="O447" s="63"/>
      <c r="P447" s="75"/>
      <c r="Q447" s="61"/>
      <c r="R447" s="62"/>
      <c r="S447" s="63"/>
      <c r="T447" s="75"/>
      <c r="U447" s="228">
        <f>ROUND((_15_同援日９．５*(1+_15・区３)),0)</f>
        <v>1716</v>
      </c>
      <c r="V447" s="69"/>
    </row>
    <row r="448" spans="1:22" ht="16.5" customHeight="1" x14ac:dyDescent="0.3">
      <c r="A448" s="2">
        <v>15</v>
      </c>
      <c r="B448" s="2">
        <v>8128</v>
      </c>
      <c r="C448" s="60" t="s">
        <v>8150</v>
      </c>
      <c r="D448" s="1"/>
      <c r="E448" s="68"/>
      <c r="F448" s="70"/>
      <c r="G448" s="66"/>
      <c r="H448" s="57"/>
      <c r="I448" s="58"/>
      <c r="J448" s="85" t="s">
        <v>5895</v>
      </c>
      <c r="K448" s="64" t="s">
        <v>1</v>
      </c>
      <c r="L448" s="65">
        <v>1</v>
      </c>
      <c r="M448" s="67"/>
      <c r="N448" s="68"/>
      <c r="O448" s="76"/>
      <c r="P448" s="70"/>
      <c r="Q448" s="67"/>
      <c r="R448" s="68"/>
      <c r="S448" s="76"/>
      <c r="T448" s="70"/>
      <c r="U448" s="228">
        <f>ROUND((ROUND((_15_同援日９．５*_15・２人),0)*(1+_15・区３)),0)</f>
        <v>1716</v>
      </c>
      <c r="V448" s="69"/>
    </row>
    <row r="449" spans="1:22" ht="16.5" customHeight="1" x14ac:dyDescent="0.3">
      <c r="A449" s="2">
        <v>15</v>
      </c>
      <c r="B449" s="2">
        <v>8129</v>
      </c>
      <c r="C449" s="60" t="s">
        <v>8149</v>
      </c>
      <c r="D449" s="1"/>
      <c r="E449" s="68"/>
      <c r="F449" s="70"/>
      <c r="G449" s="61" t="s">
        <v>17747</v>
      </c>
      <c r="H449" s="62"/>
      <c r="I449" s="63"/>
      <c r="J449" s="85"/>
      <c r="K449" s="64"/>
      <c r="L449" s="65"/>
      <c r="M449" s="67"/>
      <c r="N449" s="68"/>
      <c r="O449" s="76"/>
      <c r="P449" s="70"/>
      <c r="Q449" s="67" t="s">
        <v>17936</v>
      </c>
      <c r="R449" s="68"/>
      <c r="S449" s="76"/>
      <c r="T449" s="70"/>
      <c r="U449" s="228">
        <f>ROUND((ROUND((_15_同援日９．５*_15・基礎２),0)*(1+_15・区３)),0)</f>
        <v>1544</v>
      </c>
      <c r="V449" s="69"/>
    </row>
    <row r="450" spans="1:22" ht="16.5" customHeight="1" x14ac:dyDescent="0.3">
      <c r="A450" s="2">
        <v>15</v>
      </c>
      <c r="B450" s="2">
        <v>8130</v>
      </c>
      <c r="C450" s="60" t="s">
        <v>8148</v>
      </c>
      <c r="D450" s="1"/>
      <c r="E450" s="68"/>
      <c r="F450" s="70"/>
      <c r="G450" s="66" t="s">
        <v>17420</v>
      </c>
      <c r="H450" s="57" t="s">
        <v>1</v>
      </c>
      <c r="I450" s="58">
        <v>0.9</v>
      </c>
      <c r="J450" s="85" t="s">
        <v>5895</v>
      </c>
      <c r="K450" s="64" t="s">
        <v>1</v>
      </c>
      <c r="L450" s="65">
        <v>1</v>
      </c>
      <c r="M450" s="66"/>
      <c r="N450" s="57"/>
      <c r="O450" s="58"/>
      <c r="P450" s="77"/>
      <c r="Q450" s="67" t="s">
        <v>8087</v>
      </c>
      <c r="R450" s="68"/>
      <c r="S450" s="76"/>
      <c r="T450" s="70"/>
      <c r="U450" s="228">
        <f>ROUND((ROUND((ROUND((_15_同援日９．５*_15・基礎２),0)*_15・２人),0)*(1+_15・区３)),0)</f>
        <v>1544</v>
      </c>
      <c r="V450" s="69"/>
    </row>
    <row r="451" spans="1:22" ht="16.5" customHeight="1" x14ac:dyDescent="0.3">
      <c r="A451" s="2">
        <v>15</v>
      </c>
      <c r="B451" s="2">
        <v>8131</v>
      </c>
      <c r="C451" s="60" t="s">
        <v>8147</v>
      </c>
      <c r="D451" s="1"/>
      <c r="E451" s="68"/>
      <c r="F451" s="70"/>
      <c r="G451" s="61"/>
      <c r="H451" s="62"/>
      <c r="I451" s="63"/>
      <c r="J451" s="85"/>
      <c r="K451" s="64"/>
      <c r="L451" s="65"/>
      <c r="M451" s="61" t="s">
        <v>17933</v>
      </c>
      <c r="N451" s="62"/>
      <c r="O451" s="63"/>
      <c r="P451" s="75"/>
      <c r="Q451" s="67"/>
      <c r="R451" s="68" t="s">
        <v>1</v>
      </c>
      <c r="S451" s="76">
        <v>0.2</v>
      </c>
      <c r="T451" s="70" t="s">
        <v>422</v>
      </c>
      <c r="U451" s="228">
        <f>ROUND((ROUND((_15_同援日９．５*(1+_15・盲ろう)),0)*(1+_15・区３)),0)</f>
        <v>2146</v>
      </c>
      <c r="V451" s="69"/>
    </row>
    <row r="452" spans="1:22" ht="16.5" customHeight="1" x14ac:dyDescent="0.3">
      <c r="A452" s="2">
        <v>15</v>
      </c>
      <c r="B452" s="2">
        <v>8132</v>
      </c>
      <c r="C452" s="60" t="s">
        <v>8146</v>
      </c>
      <c r="D452" s="1"/>
      <c r="E452" s="68"/>
      <c r="F452" s="70"/>
      <c r="G452" s="66"/>
      <c r="H452" s="57"/>
      <c r="I452" s="58"/>
      <c r="J452" s="85" t="s">
        <v>5895</v>
      </c>
      <c r="K452" s="64" t="s">
        <v>1</v>
      </c>
      <c r="L452" s="65">
        <v>1</v>
      </c>
      <c r="M452" s="67" t="s">
        <v>17932</v>
      </c>
      <c r="N452" s="68"/>
      <c r="O452" s="76"/>
      <c r="P452" s="70"/>
      <c r="Q452" s="67"/>
      <c r="R452" s="68"/>
      <c r="S452" s="76"/>
      <c r="T452" s="70"/>
      <c r="U452" s="228">
        <f>ROUND((ROUND((ROUND((_15_同援日９．５*_15・２人),0)*(1+_15・盲ろう)),0)*(1+_15・区３)),0)</f>
        <v>2146</v>
      </c>
      <c r="V452" s="69"/>
    </row>
    <row r="453" spans="1:22" ht="16.5" customHeight="1" x14ac:dyDescent="0.3">
      <c r="A453" s="2">
        <v>15</v>
      </c>
      <c r="B453" s="2">
        <v>8133</v>
      </c>
      <c r="C453" s="60" t="s">
        <v>8145</v>
      </c>
      <c r="D453" s="1"/>
      <c r="E453" s="68"/>
      <c r="F453" s="70"/>
      <c r="G453" s="61" t="s">
        <v>17747</v>
      </c>
      <c r="H453" s="62"/>
      <c r="I453" s="63"/>
      <c r="J453" s="85"/>
      <c r="K453" s="64"/>
      <c r="L453" s="65"/>
      <c r="M453" s="67"/>
      <c r="N453" s="68" t="s">
        <v>1</v>
      </c>
      <c r="O453" s="76">
        <v>0.25</v>
      </c>
      <c r="P453" s="70" t="s">
        <v>422</v>
      </c>
      <c r="Q453" s="67"/>
      <c r="R453" s="68"/>
      <c r="S453" s="76"/>
      <c r="T453" s="70"/>
      <c r="U453" s="228">
        <f>ROUND((ROUND((ROUND((_15_同援日９．５*_15・基礎２),0)*(1+_15・盲ろう)),0)*(1+_15・区３)),0)</f>
        <v>1931</v>
      </c>
      <c r="V453" s="69"/>
    </row>
    <row r="454" spans="1:22" ht="16.5" customHeight="1" x14ac:dyDescent="0.3">
      <c r="A454" s="2">
        <v>15</v>
      </c>
      <c r="B454" s="2">
        <v>8134</v>
      </c>
      <c r="C454" s="60" t="s">
        <v>8144</v>
      </c>
      <c r="D454" s="1"/>
      <c r="E454" s="68"/>
      <c r="F454" s="70"/>
      <c r="G454" s="66" t="s">
        <v>17420</v>
      </c>
      <c r="H454" s="57" t="s">
        <v>1</v>
      </c>
      <c r="I454" s="58">
        <v>0.9</v>
      </c>
      <c r="J454" s="85" t="s">
        <v>5895</v>
      </c>
      <c r="K454" s="64" t="s">
        <v>1</v>
      </c>
      <c r="L454" s="65">
        <v>1</v>
      </c>
      <c r="M454" s="66"/>
      <c r="N454" s="57"/>
      <c r="O454" s="58"/>
      <c r="P454" s="77"/>
      <c r="Q454" s="66"/>
      <c r="R454" s="57"/>
      <c r="S454" s="58"/>
      <c r="T454" s="77"/>
      <c r="U454" s="228">
        <f>ROUND((ROUND((ROUND((ROUND((_15_同援日９．５*_15・基礎２),0)*_15・２人),0)*(1+_15・盲ろう)),0)*(1+_15・区３)),0)</f>
        <v>1931</v>
      </c>
      <c r="V454" s="69"/>
    </row>
    <row r="455" spans="1:22" ht="16.5" customHeight="1" x14ac:dyDescent="0.3">
      <c r="A455" s="2">
        <v>15</v>
      </c>
      <c r="B455" s="2">
        <v>8135</v>
      </c>
      <c r="C455" s="60" t="s">
        <v>8143</v>
      </c>
      <c r="D455" s="1"/>
      <c r="E455" s="68"/>
      <c r="F455" s="70"/>
      <c r="G455" s="61"/>
      <c r="H455" s="62"/>
      <c r="I455" s="63"/>
      <c r="J455" s="85"/>
      <c r="K455" s="64"/>
      <c r="L455" s="65"/>
      <c r="M455" s="61"/>
      <c r="N455" s="62"/>
      <c r="O455" s="63"/>
      <c r="P455" s="75"/>
      <c r="Q455" s="61"/>
      <c r="R455" s="62"/>
      <c r="S455" s="63"/>
      <c r="T455" s="75"/>
      <c r="U455" s="228">
        <f>ROUND((_15_同援日９．５*(1+_15・区４)),0)</f>
        <v>2002</v>
      </c>
      <c r="V455" s="69"/>
    </row>
    <row r="456" spans="1:22" ht="16.5" customHeight="1" x14ac:dyDescent="0.3">
      <c r="A456" s="2">
        <v>15</v>
      </c>
      <c r="B456" s="2">
        <v>8136</v>
      </c>
      <c r="C456" s="60" t="s">
        <v>8142</v>
      </c>
      <c r="D456" s="1"/>
      <c r="E456" s="68"/>
      <c r="F456" s="70"/>
      <c r="G456" s="66"/>
      <c r="H456" s="57"/>
      <c r="I456" s="58"/>
      <c r="J456" s="85" t="s">
        <v>5895</v>
      </c>
      <c r="K456" s="64" t="s">
        <v>1</v>
      </c>
      <c r="L456" s="65">
        <v>1</v>
      </c>
      <c r="M456" s="67"/>
      <c r="N456" s="68"/>
      <c r="O456" s="76"/>
      <c r="P456" s="70"/>
      <c r="Q456" s="67"/>
      <c r="R456" s="68"/>
      <c r="S456" s="76"/>
      <c r="T456" s="70"/>
      <c r="U456" s="228">
        <f>ROUND((ROUND((_15_同援日９．５*_15・２人),0)*(1+_15・区４)),0)</f>
        <v>2002</v>
      </c>
      <c r="V456" s="69"/>
    </row>
    <row r="457" spans="1:22" ht="16.5" customHeight="1" x14ac:dyDescent="0.3">
      <c r="A457" s="2">
        <v>15</v>
      </c>
      <c r="B457" s="2">
        <v>8137</v>
      </c>
      <c r="C457" s="60" t="s">
        <v>8141</v>
      </c>
      <c r="D457" s="1"/>
      <c r="E457" s="68"/>
      <c r="F457" s="70"/>
      <c r="G457" s="61" t="s">
        <v>17747</v>
      </c>
      <c r="H457" s="62"/>
      <c r="I457" s="63"/>
      <c r="J457" s="85"/>
      <c r="K457" s="64"/>
      <c r="L457" s="65"/>
      <c r="M457" s="67"/>
      <c r="N457" s="68"/>
      <c r="O457" s="76"/>
      <c r="P457" s="70"/>
      <c r="Q457" s="67" t="s">
        <v>17935</v>
      </c>
      <c r="R457" s="68"/>
      <c r="S457" s="76"/>
      <c r="T457" s="70"/>
      <c r="U457" s="228">
        <f>ROUND((ROUND((_15_同援日９．５*_15・基礎２),0)*(1+_15・区４)),0)</f>
        <v>1802</v>
      </c>
      <c r="V457" s="69"/>
    </row>
    <row r="458" spans="1:22" ht="16.5" customHeight="1" x14ac:dyDescent="0.3">
      <c r="A458" s="2">
        <v>15</v>
      </c>
      <c r="B458" s="2">
        <v>8138</v>
      </c>
      <c r="C458" s="60" t="s">
        <v>8140</v>
      </c>
      <c r="D458" s="1"/>
      <c r="E458" s="68"/>
      <c r="F458" s="70"/>
      <c r="G458" s="66" t="s">
        <v>5896</v>
      </c>
      <c r="H458" s="57" t="s">
        <v>1</v>
      </c>
      <c r="I458" s="58">
        <v>0.9</v>
      </c>
      <c r="J458" s="85" t="s">
        <v>5895</v>
      </c>
      <c r="K458" s="64" t="s">
        <v>1</v>
      </c>
      <c r="L458" s="65">
        <v>1</v>
      </c>
      <c r="M458" s="66"/>
      <c r="N458" s="57"/>
      <c r="O458" s="58"/>
      <c r="P458" s="77"/>
      <c r="Q458" s="67" t="s">
        <v>17934</v>
      </c>
      <c r="R458" s="68"/>
      <c r="S458" s="76"/>
      <c r="T458" s="70"/>
      <c r="U458" s="228">
        <f>ROUND((ROUND((ROUND((_15_同援日９．５*_15・基礎２),0)*_15・２人),0)*(1+_15・区４)),0)</f>
        <v>1802</v>
      </c>
      <c r="V458" s="69"/>
    </row>
    <row r="459" spans="1:22" ht="16.5" customHeight="1" x14ac:dyDescent="0.3">
      <c r="A459" s="2">
        <v>15</v>
      </c>
      <c r="B459" s="2">
        <v>8139</v>
      </c>
      <c r="C459" s="60" t="s">
        <v>8139</v>
      </c>
      <c r="D459" s="1"/>
      <c r="E459" s="68"/>
      <c r="F459" s="70"/>
      <c r="G459" s="61"/>
      <c r="H459" s="62"/>
      <c r="I459" s="63"/>
      <c r="J459" s="85"/>
      <c r="K459" s="64"/>
      <c r="L459" s="65"/>
      <c r="M459" s="61" t="s">
        <v>17933</v>
      </c>
      <c r="N459" s="62"/>
      <c r="O459" s="63"/>
      <c r="P459" s="75"/>
      <c r="Q459" s="67"/>
      <c r="R459" s="68" t="s">
        <v>1</v>
      </c>
      <c r="S459" s="76">
        <v>0.4</v>
      </c>
      <c r="T459" s="70" t="s">
        <v>422</v>
      </c>
      <c r="U459" s="228">
        <f>ROUND((ROUND((_15_同援日９．５*(1+_15・盲ろう)),0)*(1+_15・区４)),0)</f>
        <v>2503</v>
      </c>
      <c r="V459" s="69"/>
    </row>
    <row r="460" spans="1:22" ht="16.5" customHeight="1" x14ac:dyDescent="0.3">
      <c r="A460" s="2">
        <v>15</v>
      </c>
      <c r="B460" s="2">
        <v>8140</v>
      </c>
      <c r="C460" s="60" t="s">
        <v>8138</v>
      </c>
      <c r="D460" s="1"/>
      <c r="E460" s="68"/>
      <c r="F460" s="70"/>
      <c r="G460" s="66"/>
      <c r="H460" s="57"/>
      <c r="I460" s="58"/>
      <c r="J460" s="85" t="s">
        <v>5895</v>
      </c>
      <c r="K460" s="64" t="s">
        <v>1</v>
      </c>
      <c r="L460" s="65">
        <v>1</v>
      </c>
      <c r="M460" s="67" t="s">
        <v>17932</v>
      </c>
      <c r="N460" s="68"/>
      <c r="O460" s="76"/>
      <c r="P460" s="70"/>
      <c r="Q460" s="67"/>
      <c r="R460" s="68"/>
      <c r="S460" s="76"/>
      <c r="T460" s="70"/>
      <c r="U460" s="228">
        <f>ROUND((ROUND((ROUND((_15_同援日９．５*_15・２人),0)*(1+_15・盲ろう)),0)*(1+_15・区４)),0)</f>
        <v>2503</v>
      </c>
      <c r="V460" s="69"/>
    </row>
    <row r="461" spans="1:22" ht="16.5" customHeight="1" x14ac:dyDescent="0.3">
      <c r="A461" s="2">
        <v>15</v>
      </c>
      <c r="B461" s="2">
        <v>8141</v>
      </c>
      <c r="C461" s="60" t="s">
        <v>8137</v>
      </c>
      <c r="D461" s="1"/>
      <c r="E461" s="68"/>
      <c r="F461" s="70"/>
      <c r="G461" s="61" t="s">
        <v>17747</v>
      </c>
      <c r="H461" s="62"/>
      <c r="I461" s="63"/>
      <c r="J461" s="85"/>
      <c r="K461" s="64"/>
      <c r="L461" s="65"/>
      <c r="M461" s="67"/>
      <c r="N461" s="68" t="s">
        <v>1</v>
      </c>
      <c r="O461" s="76">
        <v>0.25</v>
      </c>
      <c r="P461" s="70" t="s">
        <v>422</v>
      </c>
      <c r="Q461" s="67"/>
      <c r="R461" s="68"/>
      <c r="S461" s="76"/>
      <c r="T461" s="70"/>
      <c r="U461" s="228">
        <f>ROUND((ROUND((ROUND((_15_同援日９．５*_15・基礎２),0)*(1+_15・盲ろう)),0)*(1+_15・区４)),0)</f>
        <v>2253</v>
      </c>
      <c r="V461" s="69"/>
    </row>
    <row r="462" spans="1:22" ht="16.5" customHeight="1" x14ac:dyDescent="0.3">
      <c r="A462" s="2">
        <v>15</v>
      </c>
      <c r="B462" s="2">
        <v>8142</v>
      </c>
      <c r="C462" s="60" t="s">
        <v>8136</v>
      </c>
      <c r="D462" s="81"/>
      <c r="E462" s="57"/>
      <c r="F462" s="77"/>
      <c r="G462" s="66" t="s">
        <v>17420</v>
      </c>
      <c r="H462" s="57" t="s">
        <v>1</v>
      </c>
      <c r="I462" s="58">
        <v>0.9</v>
      </c>
      <c r="J462" s="85" t="s">
        <v>5895</v>
      </c>
      <c r="K462" s="64" t="s">
        <v>1</v>
      </c>
      <c r="L462" s="65">
        <v>1</v>
      </c>
      <c r="M462" s="66"/>
      <c r="N462" s="57"/>
      <c r="O462" s="58"/>
      <c r="P462" s="77"/>
      <c r="Q462" s="66"/>
      <c r="R462" s="57"/>
      <c r="S462" s="58"/>
      <c r="T462" s="77"/>
      <c r="U462" s="228">
        <f>ROUND((ROUND((ROUND((ROUND((_15_同援日９．５*_15・基礎２),0)*_15・２人),0)*(1+_15・盲ろう)),0)*(1+_15・区４)),0)</f>
        <v>2253</v>
      </c>
      <c r="V462" s="69"/>
    </row>
    <row r="463" spans="1:22" ht="16.5" customHeight="1" x14ac:dyDescent="0.3">
      <c r="A463" s="2">
        <v>15</v>
      </c>
      <c r="B463" s="2">
        <v>8143</v>
      </c>
      <c r="C463" s="60" t="s">
        <v>8135</v>
      </c>
      <c r="D463" s="233" t="s">
        <v>17939</v>
      </c>
      <c r="E463" s="62"/>
      <c r="F463" s="75"/>
      <c r="G463" s="61"/>
      <c r="H463" s="62"/>
      <c r="I463" s="63"/>
      <c r="J463" s="85"/>
      <c r="K463" s="64"/>
      <c r="L463" s="65"/>
      <c r="M463" s="61"/>
      <c r="N463" s="62"/>
      <c r="O463" s="63"/>
      <c r="P463" s="75"/>
      <c r="Q463" s="61"/>
      <c r="R463" s="62"/>
      <c r="S463" s="63"/>
      <c r="T463" s="75"/>
      <c r="U463" s="228">
        <f>_15_同援日１０．０</f>
        <v>1493</v>
      </c>
      <c r="V463" s="69"/>
    </row>
    <row r="464" spans="1:22" ht="16.5" customHeight="1" x14ac:dyDescent="0.3">
      <c r="A464" s="2">
        <v>15</v>
      </c>
      <c r="B464" s="2">
        <v>8144</v>
      </c>
      <c r="C464" s="60" t="s">
        <v>8134</v>
      </c>
      <c r="D464" s="1" t="s">
        <v>5904</v>
      </c>
      <c r="E464" s="68"/>
      <c r="F464" s="70"/>
      <c r="G464" s="66"/>
      <c r="H464" s="57"/>
      <c r="I464" s="58"/>
      <c r="J464" s="85" t="s">
        <v>5895</v>
      </c>
      <c r="K464" s="64" t="s">
        <v>1</v>
      </c>
      <c r="L464" s="65">
        <v>1</v>
      </c>
      <c r="M464" s="67"/>
      <c r="N464" s="68"/>
      <c r="O464" s="76"/>
      <c r="P464" s="70"/>
      <c r="Q464" s="67"/>
      <c r="R464" s="68"/>
      <c r="S464" s="76"/>
      <c r="T464" s="70"/>
      <c r="U464" s="228">
        <f>ROUND((_15_同援日１０．０*_15・２人),0)</f>
        <v>1493</v>
      </c>
      <c r="V464" s="69"/>
    </row>
    <row r="465" spans="1:22" ht="16.5" customHeight="1" x14ac:dyDescent="0.3">
      <c r="A465" s="2">
        <v>15</v>
      </c>
      <c r="B465" s="2">
        <v>8145</v>
      </c>
      <c r="C465" s="60" t="s">
        <v>8133</v>
      </c>
      <c r="D465" s="1" t="s">
        <v>8132</v>
      </c>
      <c r="E465" s="68"/>
      <c r="F465" s="70"/>
      <c r="G465" s="61" t="s">
        <v>17747</v>
      </c>
      <c r="H465" s="62"/>
      <c r="I465" s="63"/>
      <c r="J465" s="85"/>
      <c r="K465" s="64"/>
      <c r="L465" s="65"/>
      <c r="M465" s="67"/>
      <c r="N465" s="68"/>
      <c r="O465" s="76"/>
      <c r="P465" s="70"/>
      <c r="Q465" s="67"/>
      <c r="R465" s="68"/>
      <c r="S465" s="76"/>
      <c r="T465" s="70"/>
      <c r="U465" s="228">
        <f>ROUND((_15_同援日１０．０*_15・基礎２),0)</f>
        <v>1344</v>
      </c>
      <c r="V465" s="69"/>
    </row>
    <row r="466" spans="1:22" ht="16.5" customHeight="1" x14ac:dyDescent="0.3">
      <c r="A466" s="2">
        <v>15</v>
      </c>
      <c r="B466" s="2">
        <v>8146</v>
      </c>
      <c r="C466" s="60" t="s">
        <v>8131</v>
      </c>
      <c r="D466" s="1"/>
      <c r="E466" s="227">
        <v>1493</v>
      </c>
      <c r="F466" s="70" t="s">
        <v>0</v>
      </c>
      <c r="G466" s="66" t="s">
        <v>17420</v>
      </c>
      <c r="H466" s="57" t="s">
        <v>1</v>
      </c>
      <c r="I466" s="58">
        <v>0.9</v>
      </c>
      <c r="J466" s="85" t="s">
        <v>5895</v>
      </c>
      <c r="K466" s="64" t="s">
        <v>1</v>
      </c>
      <c r="L466" s="65">
        <v>1</v>
      </c>
      <c r="M466" s="66"/>
      <c r="N466" s="57"/>
      <c r="O466" s="58"/>
      <c r="P466" s="77"/>
      <c r="Q466" s="67"/>
      <c r="R466" s="68"/>
      <c r="S466" s="76"/>
      <c r="T466" s="70"/>
      <c r="U466" s="228">
        <f>ROUND((ROUND((_15_同援日１０．０*_15・基礎２),0)*_15・２人),0)</f>
        <v>1344</v>
      </c>
      <c r="V466" s="69"/>
    </row>
    <row r="467" spans="1:22" ht="16.5" customHeight="1" x14ac:dyDescent="0.3">
      <c r="A467" s="2">
        <v>15</v>
      </c>
      <c r="B467" s="2">
        <v>8147</v>
      </c>
      <c r="C467" s="60" t="s">
        <v>8130</v>
      </c>
      <c r="D467" s="1"/>
      <c r="E467" s="68"/>
      <c r="F467" s="70"/>
      <c r="G467" s="61"/>
      <c r="H467" s="62"/>
      <c r="I467" s="63"/>
      <c r="J467" s="85"/>
      <c r="K467" s="64"/>
      <c r="L467" s="65"/>
      <c r="M467" s="61" t="s">
        <v>8085</v>
      </c>
      <c r="N467" s="62"/>
      <c r="O467" s="63"/>
      <c r="P467" s="75"/>
      <c r="Q467" s="67"/>
      <c r="R467" s="68"/>
      <c r="S467" s="76"/>
      <c r="T467" s="70"/>
      <c r="U467" s="228">
        <f>ROUND((_15_同援日１０．０*(1+_15・盲ろう)),0)</f>
        <v>1866</v>
      </c>
      <c r="V467" s="69"/>
    </row>
    <row r="468" spans="1:22" ht="16.5" customHeight="1" x14ac:dyDescent="0.3">
      <c r="A468" s="2">
        <v>15</v>
      </c>
      <c r="B468" s="2">
        <v>8148</v>
      </c>
      <c r="C468" s="60" t="s">
        <v>8129</v>
      </c>
      <c r="D468" s="1"/>
      <c r="E468" s="68"/>
      <c r="F468" s="70"/>
      <c r="G468" s="66"/>
      <c r="H468" s="57"/>
      <c r="I468" s="58"/>
      <c r="J468" s="85" t="s">
        <v>5895</v>
      </c>
      <c r="K468" s="64" t="s">
        <v>1</v>
      </c>
      <c r="L468" s="65">
        <v>1</v>
      </c>
      <c r="M468" s="67" t="s">
        <v>17932</v>
      </c>
      <c r="N468" s="68"/>
      <c r="O468" s="76"/>
      <c r="P468" s="70"/>
      <c r="Q468" s="67"/>
      <c r="R468" s="68"/>
      <c r="S468" s="76"/>
      <c r="T468" s="70"/>
      <c r="U468" s="228">
        <f>ROUND((ROUND((_15_同援日１０．０*_15・２人),0)*(1+_15・盲ろう)),0)</f>
        <v>1866</v>
      </c>
      <c r="V468" s="69"/>
    </row>
    <row r="469" spans="1:22" ht="16.5" customHeight="1" x14ac:dyDescent="0.3">
      <c r="A469" s="2">
        <v>15</v>
      </c>
      <c r="B469" s="2">
        <v>8149</v>
      </c>
      <c r="C469" s="60" t="s">
        <v>8128</v>
      </c>
      <c r="D469" s="1"/>
      <c r="E469" s="68"/>
      <c r="F469" s="70"/>
      <c r="G469" s="61" t="s">
        <v>17747</v>
      </c>
      <c r="H469" s="62"/>
      <c r="I469" s="63"/>
      <c r="J469" s="85"/>
      <c r="K469" s="64"/>
      <c r="L469" s="65"/>
      <c r="M469" s="67"/>
      <c r="N469" s="68" t="s">
        <v>1</v>
      </c>
      <c r="O469" s="76">
        <v>0.25</v>
      </c>
      <c r="P469" s="70" t="s">
        <v>422</v>
      </c>
      <c r="Q469" s="67"/>
      <c r="R469" s="68"/>
      <c r="S469" s="76"/>
      <c r="T469" s="70"/>
      <c r="U469" s="228">
        <f>ROUND((ROUND((_15_同援日１０．０*_15・基礎２),0)*(1+_15・盲ろう)),0)</f>
        <v>1680</v>
      </c>
      <c r="V469" s="69"/>
    </row>
    <row r="470" spans="1:22" ht="16.5" customHeight="1" x14ac:dyDescent="0.3">
      <c r="A470" s="2">
        <v>15</v>
      </c>
      <c r="B470" s="2">
        <v>8150</v>
      </c>
      <c r="C470" s="60" t="s">
        <v>8127</v>
      </c>
      <c r="D470" s="1"/>
      <c r="E470" s="68"/>
      <c r="F470" s="70"/>
      <c r="G470" s="66" t="s">
        <v>5896</v>
      </c>
      <c r="H470" s="57" t="s">
        <v>1</v>
      </c>
      <c r="I470" s="58">
        <v>0.9</v>
      </c>
      <c r="J470" s="85" t="s">
        <v>5895</v>
      </c>
      <c r="K470" s="64" t="s">
        <v>1</v>
      </c>
      <c r="L470" s="65">
        <v>1</v>
      </c>
      <c r="M470" s="66"/>
      <c r="N470" s="57"/>
      <c r="O470" s="58"/>
      <c r="P470" s="77"/>
      <c r="Q470" s="66"/>
      <c r="R470" s="57"/>
      <c r="S470" s="58"/>
      <c r="T470" s="77"/>
      <c r="U470" s="228">
        <f>ROUND((ROUND((ROUND((_15_同援日１０．０*_15・基礎２),0)*_15・２人),0)*(1+_15・盲ろう)),0)</f>
        <v>1680</v>
      </c>
      <c r="V470" s="69"/>
    </row>
    <row r="471" spans="1:22" ht="16.5" customHeight="1" x14ac:dyDescent="0.3">
      <c r="A471" s="2">
        <v>15</v>
      </c>
      <c r="B471" s="2">
        <v>8151</v>
      </c>
      <c r="C471" s="60" t="s">
        <v>8126</v>
      </c>
      <c r="D471" s="1"/>
      <c r="E471" s="68"/>
      <c r="F471" s="70"/>
      <c r="G471" s="61"/>
      <c r="H471" s="62"/>
      <c r="I471" s="63"/>
      <c r="J471" s="85"/>
      <c r="K471" s="64"/>
      <c r="L471" s="65"/>
      <c r="M471" s="61"/>
      <c r="N471" s="62"/>
      <c r="O471" s="63"/>
      <c r="P471" s="75"/>
      <c r="Q471" s="61"/>
      <c r="R471" s="62"/>
      <c r="S471" s="63"/>
      <c r="T471" s="75"/>
      <c r="U471" s="228">
        <f>ROUND((_15_同援日１０．０*(1+_15・区３)),0)</f>
        <v>1792</v>
      </c>
      <c r="V471" s="69"/>
    </row>
    <row r="472" spans="1:22" ht="16.5" customHeight="1" x14ac:dyDescent="0.3">
      <c r="A472" s="2">
        <v>15</v>
      </c>
      <c r="B472" s="2">
        <v>8152</v>
      </c>
      <c r="C472" s="60" t="s">
        <v>8125</v>
      </c>
      <c r="D472" s="1"/>
      <c r="E472" s="68"/>
      <c r="F472" s="70"/>
      <c r="G472" s="66"/>
      <c r="H472" s="57"/>
      <c r="I472" s="58"/>
      <c r="J472" s="85" t="s">
        <v>5895</v>
      </c>
      <c r="K472" s="64" t="s">
        <v>1</v>
      </c>
      <c r="L472" s="65">
        <v>1</v>
      </c>
      <c r="M472" s="67"/>
      <c r="N472" s="68"/>
      <c r="O472" s="76"/>
      <c r="P472" s="70"/>
      <c r="Q472" s="67"/>
      <c r="R472" s="68"/>
      <c r="S472" s="76"/>
      <c r="T472" s="70"/>
      <c r="U472" s="228">
        <f>ROUND((ROUND((_15_同援日１０．０*_15・２人),0)*(1+_15・区３)),0)</f>
        <v>1792</v>
      </c>
      <c r="V472" s="69"/>
    </row>
    <row r="473" spans="1:22" ht="16.5" customHeight="1" x14ac:dyDescent="0.3">
      <c r="A473" s="2">
        <v>15</v>
      </c>
      <c r="B473" s="2">
        <v>8153</v>
      </c>
      <c r="C473" s="60" t="s">
        <v>8124</v>
      </c>
      <c r="D473" s="1"/>
      <c r="E473" s="68"/>
      <c r="F473" s="70"/>
      <c r="G473" s="61" t="s">
        <v>5898</v>
      </c>
      <c r="H473" s="62"/>
      <c r="I473" s="63"/>
      <c r="J473" s="85"/>
      <c r="K473" s="64"/>
      <c r="L473" s="65"/>
      <c r="M473" s="67"/>
      <c r="N473" s="68"/>
      <c r="O473" s="76"/>
      <c r="P473" s="70"/>
      <c r="Q473" s="67" t="s">
        <v>17936</v>
      </c>
      <c r="R473" s="68"/>
      <c r="S473" s="76"/>
      <c r="T473" s="70"/>
      <c r="U473" s="228">
        <f>ROUND((ROUND((_15_同援日１０．０*_15・基礎２),0)*(1+_15・区３)),0)</f>
        <v>1613</v>
      </c>
      <c r="V473" s="69"/>
    </row>
    <row r="474" spans="1:22" ht="16.5" customHeight="1" x14ac:dyDescent="0.3">
      <c r="A474" s="2">
        <v>15</v>
      </c>
      <c r="B474" s="2">
        <v>8154</v>
      </c>
      <c r="C474" s="60" t="s">
        <v>8123</v>
      </c>
      <c r="D474" s="1"/>
      <c r="E474" s="68"/>
      <c r="F474" s="70"/>
      <c r="G474" s="66" t="s">
        <v>17420</v>
      </c>
      <c r="H474" s="57" t="s">
        <v>1</v>
      </c>
      <c r="I474" s="58">
        <v>0.9</v>
      </c>
      <c r="J474" s="85" t="s">
        <v>5895</v>
      </c>
      <c r="K474" s="64" t="s">
        <v>1</v>
      </c>
      <c r="L474" s="65">
        <v>1</v>
      </c>
      <c r="M474" s="66"/>
      <c r="N474" s="57"/>
      <c r="O474" s="58"/>
      <c r="P474" s="77"/>
      <c r="Q474" s="67" t="s">
        <v>17934</v>
      </c>
      <c r="R474" s="68"/>
      <c r="S474" s="76"/>
      <c r="T474" s="70"/>
      <c r="U474" s="228">
        <f>ROUND((ROUND((ROUND((_15_同援日１０．０*_15・基礎２),0)*_15・２人),0)*(1+_15・区３)),0)</f>
        <v>1613</v>
      </c>
      <c r="V474" s="69"/>
    </row>
    <row r="475" spans="1:22" ht="16.5" customHeight="1" x14ac:dyDescent="0.3">
      <c r="A475" s="2">
        <v>15</v>
      </c>
      <c r="B475" s="2">
        <v>8155</v>
      </c>
      <c r="C475" s="60" t="s">
        <v>8122</v>
      </c>
      <c r="D475" s="1"/>
      <c r="E475" s="68"/>
      <c r="F475" s="70"/>
      <c r="G475" s="61"/>
      <c r="H475" s="62"/>
      <c r="I475" s="63"/>
      <c r="J475" s="85"/>
      <c r="K475" s="64"/>
      <c r="L475" s="65"/>
      <c r="M475" s="61" t="s">
        <v>17933</v>
      </c>
      <c r="N475" s="62"/>
      <c r="O475" s="63"/>
      <c r="P475" s="75"/>
      <c r="Q475" s="67"/>
      <c r="R475" s="68" t="s">
        <v>1</v>
      </c>
      <c r="S475" s="76">
        <v>0.2</v>
      </c>
      <c r="T475" s="70" t="s">
        <v>422</v>
      </c>
      <c r="U475" s="228">
        <f>ROUND((ROUND((_15_同援日１０．０*(1+_15・盲ろう)),0)*(1+_15・区３)),0)</f>
        <v>2239</v>
      </c>
      <c r="V475" s="69"/>
    </row>
    <row r="476" spans="1:22" ht="16.5" customHeight="1" x14ac:dyDescent="0.3">
      <c r="A476" s="2">
        <v>15</v>
      </c>
      <c r="B476" s="2">
        <v>8156</v>
      </c>
      <c r="C476" s="60" t="s">
        <v>8121</v>
      </c>
      <c r="D476" s="1"/>
      <c r="E476" s="68"/>
      <c r="F476" s="70"/>
      <c r="G476" s="66"/>
      <c r="H476" s="57"/>
      <c r="I476" s="58"/>
      <c r="J476" s="85" t="s">
        <v>5895</v>
      </c>
      <c r="K476" s="64" t="s">
        <v>1</v>
      </c>
      <c r="L476" s="65">
        <v>1</v>
      </c>
      <c r="M476" s="67" t="s">
        <v>8083</v>
      </c>
      <c r="N476" s="68"/>
      <c r="O476" s="76"/>
      <c r="P476" s="70"/>
      <c r="Q476" s="67"/>
      <c r="R476" s="68"/>
      <c r="S476" s="76"/>
      <c r="T476" s="70"/>
      <c r="U476" s="228">
        <f>ROUND((ROUND((ROUND((_15_同援日１０．０*_15・２人),0)*(1+_15・盲ろう)),0)*(1+_15・区３)),0)</f>
        <v>2239</v>
      </c>
      <c r="V476" s="69"/>
    </row>
    <row r="477" spans="1:22" ht="16.5" customHeight="1" x14ac:dyDescent="0.3">
      <c r="A477" s="2">
        <v>15</v>
      </c>
      <c r="B477" s="2">
        <v>8157</v>
      </c>
      <c r="C477" s="60" t="s">
        <v>8120</v>
      </c>
      <c r="D477" s="1"/>
      <c r="E477" s="68"/>
      <c r="F477" s="70"/>
      <c r="G477" s="61" t="s">
        <v>17747</v>
      </c>
      <c r="H477" s="62"/>
      <c r="I477" s="63"/>
      <c r="J477" s="85"/>
      <c r="K477" s="64"/>
      <c r="L477" s="65"/>
      <c r="M477" s="67"/>
      <c r="N477" s="68" t="s">
        <v>1</v>
      </c>
      <c r="O477" s="76">
        <v>0.25</v>
      </c>
      <c r="P477" s="70" t="s">
        <v>422</v>
      </c>
      <c r="Q477" s="67"/>
      <c r="R477" s="68"/>
      <c r="S477" s="76"/>
      <c r="T477" s="70"/>
      <c r="U477" s="228">
        <f>ROUND((ROUND((ROUND((_15_同援日１０．０*_15・基礎２),0)*(1+_15・盲ろう)),0)*(1+_15・区３)),0)</f>
        <v>2016</v>
      </c>
      <c r="V477" s="69"/>
    </row>
    <row r="478" spans="1:22" ht="16.5" customHeight="1" x14ac:dyDescent="0.3">
      <c r="A478" s="2">
        <v>15</v>
      </c>
      <c r="B478" s="2">
        <v>8158</v>
      </c>
      <c r="C478" s="60" t="s">
        <v>8119</v>
      </c>
      <c r="D478" s="1"/>
      <c r="E478" s="68"/>
      <c r="F478" s="70"/>
      <c r="G478" s="66" t="s">
        <v>5896</v>
      </c>
      <c r="H478" s="57" t="s">
        <v>1</v>
      </c>
      <c r="I478" s="58">
        <v>0.9</v>
      </c>
      <c r="J478" s="85" t="s">
        <v>5895</v>
      </c>
      <c r="K478" s="64" t="s">
        <v>1</v>
      </c>
      <c r="L478" s="65">
        <v>1</v>
      </c>
      <c r="M478" s="66"/>
      <c r="N478" s="57"/>
      <c r="O478" s="58"/>
      <c r="P478" s="77"/>
      <c r="Q478" s="66"/>
      <c r="R478" s="57"/>
      <c r="S478" s="58"/>
      <c r="T478" s="77"/>
      <c r="U478" s="228">
        <f>ROUND((ROUND((ROUND((ROUND((_15_同援日１０．０*_15・基礎２),0)*_15・２人),0)*(1+_15・盲ろう)),0)*(1+_15・区３)),0)</f>
        <v>2016</v>
      </c>
      <c r="V478" s="69"/>
    </row>
    <row r="479" spans="1:22" ht="16.5" customHeight="1" x14ac:dyDescent="0.3">
      <c r="A479" s="2">
        <v>15</v>
      </c>
      <c r="B479" s="2">
        <v>8159</v>
      </c>
      <c r="C479" s="60" t="s">
        <v>8118</v>
      </c>
      <c r="D479" s="1"/>
      <c r="E479" s="68"/>
      <c r="F479" s="70"/>
      <c r="G479" s="61"/>
      <c r="H479" s="62"/>
      <c r="I479" s="63"/>
      <c r="J479" s="85"/>
      <c r="K479" s="64"/>
      <c r="L479" s="65"/>
      <c r="M479" s="61"/>
      <c r="N479" s="62"/>
      <c r="O479" s="63"/>
      <c r="P479" s="75"/>
      <c r="Q479" s="61"/>
      <c r="R479" s="62"/>
      <c r="S479" s="63"/>
      <c r="T479" s="75"/>
      <c r="U479" s="228">
        <f>ROUND((_15_同援日１０．０*(1+_15・区４)),0)</f>
        <v>2090</v>
      </c>
      <c r="V479" s="69"/>
    </row>
    <row r="480" spans="1:22" ht="16.5" customHeight="1" x14ac:dyDescent="0.3">
      <c r="A480" s="2">
        <v>15</v>
      </c>
      <c r="B480" s="2">
        <v>8160</v>
      </c>
      <c r="C480" s="60" t="s">
        <v>8117</v>
      </c>
      <c r="D480" s="1"/>
      <c r="E480" s="68"/>
      <c r="F480" s="70"/>
      <c r="G480" s="66"/>
      <c r="H480" s="57"/>
      <c r="I480" s="58"/>
      <c r="J480" s="85" t="s">
        <v>5895</v>
      </c>
      <c r="K480" s="64" t="s">
        <v>1</v>
      </c>
      <c r="L480" s="65">
        <v>1</v>
      </c>
      <c r="M480" s="67"/>
      <c r="N480" s="68"/>
      <c r="O480" s="76"/>
      <c r="P480" s="70"/>
      <c r="Q480" s="67"/>
      <c r="R480" s="68"/>
      <c r="S480" s="76"/>
      <c r="T480" s="70"/>
      <c r="U480" s="228">
        <f>ROUND((ROUND((_15_同援日１０．０*_15・２人),0)*(1+_15・区４)),0)</f>
        <v>2090</v>
      </c>
      <c r="V480" s="69"/>
    </row>
    <row r="481" spans="1:22" ht="16.5" customHeight="1" x14ac:dyDescent="0.3">
      <c r="A481" s="2">
        <v>15</v>
      </c>
      <c r="B481" s="2">
        <v>8161</v>
      </c>
      <c r="C481" s="60" t="s">
        <v>8116</v>
      </c>
      <c r="D481" s="1"/>
      <c r="E481" s="68"/>
      <c r="F481" s="70"/>
      <c r="G481" s="61" t="s">
        <v>17747</v>
      </c>
      <c r="H481" s="62"/>
      <c r="I481" s="63"/>
      <c r="J481" s="85"/>
      <c r="K481" s="64"/>
      <c r="L481" s="65"/>
      <c r="M481" s="67"/>
      <c r="N481" s="68"/>
      <c r="O481" s="76"/>
      <c r="P481" s="70"/>
      <c r="Q481" s="67" t="s">
        <v>17935</v>
      </c>
      <c r="R481" s="68"/>
      <c r="S481" s="76"/>
      <c r="T481" s="70"/>
      <c r="U481" s="228">
        <f>ROUND((ROUND((_15_同援日１０．０*_15・基礎２),0)*(1+_15・区４)),0)</f>
        <v>1882</v>
      </c>
      <c r="V481" s="69"/>
    </row>
    <row r="482" spans="1:22" ht="16.5" customHeight="1" x14ac:dyDescent="0.3">
      <c r="A482" s="2">
        <v>15</v>
      </c>
      <c r="B482" s="2">
        <v>8162</v>
      </c>
      <c r="C482" s="60" t="s">
        <v>8115</v>
      </c>
      <c r="D482" s="1"/>
      <c r="E482" s="68"/>
      <c r="F482" s="70"/>
      <c r="G482" s="66" t="s">
        <v>17420</v>
      </c>
      <c r="H482" s="57" t="s">
        <v>1</v>
      </c>
      <c r="I482" s="58">
        <v>0.9</v>
      </c>
      <c r="J482" s="85" t="s">
        <v>5895</v>
      </c>
      <c r="K482" s="64" t="s">
        <v>1</v>
      </c>
      <c r="L482" s="65">
        <v>1</v>
      </c>
      <c r="M482" s="66"/>
      <c r="N482" s="57"/>
      <c r="O482" s="58"/>
      <c r="P482" s="77"/>
      <c r="Q482" s="67" t="s">
        <v>17934</v>
      </c>
      <c r="R482" s="68"/>
      <c r="S482" s="76"/>
      <c r="T482" s="70"/>
      <c r="U482" s="228">
        <f>ROUND((ROUND((ROUND((_15_同援日１０．０*_15・基礎２),0)*_15・２人),0)*(1+_15・区４)),0)</f>
        <v>1882</v>
      </c>
      <c r="V482" s="69"/>
    </row>
    <row r="483" spans="1:22" ht="16.5" customHeight="1" x14ac:dyDescent="0.3">
      <c r="A483" s="2">
        <v>15</v>
      </c>
      <c r="B483" s="2">
        <v>8163</v>
      </c>
      <c r="C483" s="60" t="s">
        <v>8114</v>
      </c>
      <c r="D483" s="1"/>
      <c r="E483" s="68"/>
      <c r="F483" s="70"/>
      <c r="G483" s="61"/>
      <c r="H483" s="62"/>
      <c r="I483" s="63"/>
      <c r="J483" s="85"/>
      <c r="K483" s="64"/>
      <c r="L483" s="65"/>
      <c r="M483" s="61" t="s">
        <v>17933</v>
      </c>
      <c r="N483" s="62"/>
      <c r="O483" s="63"/>
      <c r="P483" s="75"/>
      <c r="Q483" s="67"/>
      <c r="R483" s="68" t="s">
        <v>1</v>
      </c>
      <c r="S483" s="76">
        <v>0.4</v>
      </c>
      <c r="T483" s="70" t="s">
        <v>422</v>
      </c>
      <c r="U483" s="228">
        <f>ROUND((ROUND((_15_同援日１０．０*(1+_15・盲ろう)),0)*(1+_15・区４)),0)</f>
        <v>2612</v>
      </c>
      <c r="V483" s="69"/>
    </row>
    <row r="484" spans="1:22" ht="16.5" customHeight="1" x14ac:dyDescent="0.3">
      <c r="A484" s="2">
        <v>15</v>
      </c>
      <c r="B484" s="2">
        <v>8164</v>
      </c>
      <c r="C484" s="60" t="s">
        <v>8113</v>
      </c>
      <c r="D484" s="1"/>
      <c r="E484" s="68"/>
      <c r="F484" s="70"/>
      <c r="G484" s="66"/>
      <c r="H484" s="57"/>
      <c r="I484" s="58"/>
      <c r="J484" s="85" t="s">
        <v>5895</v>
      </c>
      <c r="K484" s="64" t="s">
        <v>1</v>
      </c>
      <c r="L484" s="65">
        <v>1</v>
      </c>
      <c r="M484" s="67" t="s">
        <v>17932</v>
      </c>
      <c r="N484" s="68"/>
      <c r="O484" s="76"/>
      <c r="P484" s="70"/>
      <c r="Q484" s="67"/>
      <c r="R484" s="68"/>
      <c r="S484" s="76"/>
      <c r="T484" s="70"/>
      <c r="U484" s="228">
        <f>ROUND((ROUND((ROUND((_15_同援日１０．０*_15・２人),0)*(1+_15・盲ろう)),0)*(1+_15・区４)),0)</f>
        <v>2612</v>
      </c>
      <c r="V484" s="69"/>
    </row>
    <row r="485" spans="1:22" ht="16.5" customHeight="1" x14ac:dyDescent="0.3">
      <c r="A485" s="2">
        <v>15</v>
      </c>
      <c r="B485" s="2">
        <v>8165</v>
      </c>
      <c r="C485" s="60" t="s">
        <v>8112</v>
      </c>
      <c r="D485" s="1"/>
      <c r="E485" s="68"/>
      <c r="F485" s="70"/>
      <c r="G485" s="61" t="s">
        <v>17747</v>
      </c>
      <c r="H485" s="62"/>
      <c r="I485" s="63"/>
      <c r="J485" s="85"/>
      <c r="K485" s="64"/>
      <c r="L485" s="65"/>
      <c r="M485" s="67"/>
      <c r="N485" s="68" t="s">
        <v>1</v>
      </c>
      <c r="O485" s="76">
        <v>0.25</v>
      </c>
      <c r="P485" s="70" t="s">
        <v>422</v>
      </c>
      <c r="Q485" s="67"/>
      <c r="R485" s="68"/>
      <c r="S485" s="76"/>
      <c r="T485" s="70"/>
      <c r="U485" s="228">
        <f>ROUND((ROUND((ROUND((_15_同援日１０．０*_15・基礎２),0)*(1+_15・盲ろう)),0)*(1+_15・区４)),0)</f>
        <v>2352</v>
      </c>
      <c r="V485" s="69"/>
    </row>
    <row r="486" spans="1:22" ht="16.5" customHeight="1" x14ac:dyDescent="0.3">
      <c r="A486" s="2">
        <v>15</v>
      </c>
      <c r="B486" s="2">
        <v>8166</v>
      </c>
      <c r="C486" s="60" t="s">
        <v>8111</v>
      </c>
      <c r="D486" s="81"/>
      <c r="E486" s="57"/>
      <c r="F486" s="77"/>
      <c r="G486" s="66" t="s">
        <v>17420</v>
      </c>
      <c r="H486" s="57" t="s">
        <v>1</v>
      </c>
      <c r="I486" s="58">
        <v>0.9</v>
      </c>
      <c r="J486" s="85" t="s">
        <v>5895</v>
      </c>
      <c r="K486" s="64" t="s">
        <v>1</v>
      </c>
      <c r="L486" s="65">
        <v>1</v>
      </c>
      <c r="M486" s="66"/>
      <c r="N486" s="57"/>
      <c r="O486" s="58"/>
      <c r="P486" s="77"/>
      <c r="Q486" s="66"/>
      <c r="R486" s="57"/>
      <c r="S486" s="58"/>
      <c r="T486" s="77"/>
      <c r="U486" s="228">
        <f>ROUND((ROUND((ROUND((ROUND((_15_同援日１０．０*_15・基礎２),0)*_15・２人),0)*(1+_15・盲ろう)),0)*(1+_15・区４)),0)</f>
        <v>2352</v>
      </c>
      <c r="V486" s="69"/>
    </row>
    <row r="487" spans="1:22" ht="16.5" customHeight="1" x14ac:dyDescent="0.3">
      <c r="A487" s="2">
        <v>15</v>
      </c>
      <c r="B487" s="2">
        <v>8167</v>
      </c>
      <c r="C487" s="60" t="s">
        <v>8110</v>
      </c>
      <c r="D487" s="233" t="s">
        <v>17938</v>
      </c>
      <c r="E487" s="62"/>
      <c r="F487" s="75"/>
      <c r="G487" s="61"/>
      <c r="H487" s="62"/>
      <c r="I487" s="63"/>
      <c r="J487" s="85"/>
      <c r="K487" s="64"/>
      <c r="L487" s="65"/>
      <c r="M487" s="61"/>
      <c r="N487" s="62"/>
      <c r="O487" s="63"/>
      <c r="P487" s="75"/>
      <c r="Q487" s="61"/>
      <c r="R487" s="62"/>
      <c r="S487" s="63"/>
      <c r="T487" s="75"/>
      <c r="U487" s="228">
        <f>_15_同援日１０．５</f>
        <v>1556</v>
      </c>
      <c r="V487" s="69"/>
    </row>
    <row r="488" spans="1:22" ht="16.5" customHeight="1" x14ac:dyDescent="0.3">
      <c r="A488" s="2">
        <v>15</v>
      </c>
      <c r="B488" s="2">
        <v>8168</v>
      </c>
      <c r="C488" s="60" t="s">
        <v>8109</v>
      </c>
      <c r="D488" s="1" t="s">
        <v>17937</v>
      </c>
      <c r="E488" s="68"/>
      <c r="F488" s="70"/>
      <c r="G488" s="66"/>
      <c r="H488" s="57"/>
      <c r="I488" s="58"/>
      <c r="J488" s="85" t="s">
        <v>5895</v>
      </c>
      <c r="K488" s="64" t="s">
        <v>1</v>
      </c>
      <c r="L488" s="65">
        <v>1</v>
      </c>
      <c r="M488" s="67"/>
      <c r="N488" s="68"/>
      <c r="O488" s="76"/>
      <c r="P488" s="70"/>
      <c r="Q488" s="67"/>
      <c r="R488" s="68"/>
      <c r="S488" s="76"/>
      <c r="T488" s="70"/>
      <c r="U488" s="228">
        <f>ROUND((_15_同援日１０．５*_15・２人),0)</f>
        <v>1556</v>
      </c>
      <c r="V488" s="69"/>
    </row>
    <row r="489" spans="1:22" ht="16.5" customHeight="1" x14ac:dyDescent="0.3">
      <c r="A489" s="2">
        <v>15</v>
      </c>
      <c r="B489" s="2">
        <v>8169</v>
      </c>
      <c r="C489" s="60" t="s">
        <v>8108</v>
      </c>
      <c r="D489" s="1" t="s">
        <v>8107</v>
      </c>
      <c r="E489" s="68"/>
      <c r="F489" s="70"/>
      <c r="G489" s="61" t="s">
        <v>17747</v>
      </c>
      <c r="H489" s="62"/>
      <c r="I489" s="63"/>
      <c r="J489" s="85"/>
      <c r="K489" s="64"/>
      <c r="L489" s="65"/>
      <c r="M489" s="67"/>
      <c r="N489" s="68"/>
      <c r="O489" s="76"/>
      <c r="P489" s="70"/>
      <c r="Q489" s="67"/>
      <c r="R489" s="68"/>
      <c r="S489" s="76"/>
      <c r="T489" s="70"/>
      <c r="U489" s="120">
        <f>ROUND((_15_同援日１０．５*_15・基礎２),0)</f>
        <v>1400</v>
      </c>
      <c r="V489" s="69"/>
    </row>
    <row r="490" spans="1:22" ht="16.5" customHeight="1" x14ac:dyDescent="0.3">
      <c r="A490" s="2">
        <v>15</v>
      </c>
      <c r="B490" s="2">
        <v>8170</v>
      </c>
      <c r="C490" s="60" t="s">
        <v>8106</v>
      </c>
      <c r="D490" s="1"/>
      <c r="E490" s="227">
        <v>1556</v>
      </c>
      <c r="F490" s="70" t="s">
        <v>0</v>
      </c>
      <c r="G490" s="66" t="s">
        <v>17420</v>
      </c>
      <c r="H490" s="57" t="s">
        <v>1</v>
      </c>
      <c r="I490" s="58">
        <v>0.9</v>
      </c>
      <c r="J490" s="85" t="s">
        <v>5895</v>
      </c>
      <c r="K490" s="64" t="s">
        <v>1</v>
      </c>
      <c r="L490" s="65">
        <v>1</v>
      </c>
      <c r="M490" s="66"/>
      <c r="N490" s="57"/>
      <c r="O490" s="58"/>
      <c r="P490" s="77"/>
      <c r="Q490" s="67"/>
      <c r="R490" s="68"/>
      <c r="S490" s="76"/>
      <c r="T490" s="70"/>
      <c r="U490" s="120">
        <f>ROUND((ROUND((_15_同援日１０．５*_15・基礎２),0)*_15・２人),0)</f>
        <v>1400</v>
      </c>
      <c r="V490" s="69"/>
    </row>
    <row r="491" spans="1:22" ht="16.5" customHeight="1" x14ac:dyDescent="0.3">
      <c r="A491" s="2">
        <v>15</v>
      </c>
      <c r="B491" s="2">
        <v>8171</v>
      </c>
      <c r="C491" s="60" t="s">
        <v>8105</v>
      </c>
      <c r="D491" s="1"/>
      <c r="E491" s="68"/>
      <c r="F491" s="70"/>
      <c r="G491" s="61"/>
      <c r="H491" s="62"/>
      <c r="I491" s="63"/>
      <c r="J491" s="85"/>
      <c r="K491" s="64"/>
      <c r="L491" s="65"/>
      <c r="M491" s="61" t="s">
        <v>17933</v>
      </c>
      <c r="N491" s="62"/>
      <c r="O491" s="63"/>
      <c r="P491" s="75"/>
      <c r="Q491" s="67"/>
      <c r="R491" s="68"/>
      <c r="S491" s="76"/>
      <c r="T491" s="70"/>
      <c r="U491" s="228">
        <f>ROUND((_15_同援日１０．５*(1+_15・盲ろう)),0)</f>
        <v>1945</v>
      </c>
      <c r="V491" s="69"/>
    </row>
    <row r="492" spans="1:22" ht="16.5" customHeight="1" x14ac:dyDescent="0.3">
      <c r="A492" s="2">
        <v>15</v>
      </c>
      <c r="B492" s="2">
        <v>8172</v>
      </c>
      <c r="C492" s="60" t="s">
        <v>8104</v>
      </c>
      <c r="D492" s="1"/>
      <c r="E492" s="68"/>
      <c r="F492" s="70"/>
      <c r="G492" s="66"/>
      <c r="H492" s="57"/>
      <c r="I492" s="58"/>
      <c r="J492" s="85" t="s">
        <v>5895</v>
      </c>
      <c r="K492" s="64" t="s">
        <v>1</v>
      </c>
      <c r="L492" s="65">
        <v>1</v>
      </c>
      <c r="M492" s="67" t="s">
        <v>17932</v>
      </c>
      <c r="N492" s="68"/>
      <c r="O492" s="76"/>
      <c r="P492" s="70"/>
      <c r="Q492" s="67"/>
      <c r="R492" s="68"/>
      <c r="S492" s="76"/>
      <c r="T492" s="70"/>
      <c r="U492" s="228">
        <f>ROUND((ROUND((_15_同援日１０．５*_15・２人),0)*(1+_15・盲ろう)),0)</f>
        <v>1945</v>
      </c>
      <c r="V492" s="69"/>
    </row>
    <row r="493" spans="1:22" ht="16.5" customHeight="1" x14ac:dyDescent="0.3">
      <c r="A493" s="2">
        <v>15</v>
      </c>
      <c r="B493" s="2">
        <v>8173</v>
      </c>
      <c r="C493" s="60" t="s">
        <v>8103</v>
      </c>
      <c r="D493" s="1"/>
      <c r="E493" s="68"/>
      <c r="F493" s="70"/>
      <c r="G493" s="61" t="s">
        <v>17747</v>
      </c>
      <c r="H493" s="62"/>
      <c r="I493" s="63"/>
      <c r="J493" s="85"/>
      <c r="K493" s="64"/>
      <c r="L493" s="65"/>
      <c r="M493" s="67"/>
      <c r="N493" s="68" t="s">
        <v>1</v>
      </c>
      <c r="O493" s="76">
        <v>0.25</v>
      </c>
      <c r="P493" s="70" t="s">
        <v>422</v>
      </c>
      <c r="Q493" s="67"/>
      <c r="R493" s="68"/>
      <c r="S493" s="76"/>
      <c r="T493" s="70"/>
      <c r="U493" s="120">
        <f>ROUND((ROUND((_15_同援日１０．５*_15・基礎２),0)*(1+_15・盲ろう)),0)</f>
        <v>1750</v>
      </c>
      <c r="V493" s="69"/>
    </row>
    <row r="494" spans="1:22" ht="16.5" customHeight="1" x14ac:dyDescent="0.3">
      <c r="A494" s="2">
        <v>15</v>
      </c>
      <c r="B494" s="2">
        <v>8174</v>
      </c>
      <c r="C494" s="60" t="s">
        <v>8102</v>
      </c>
      <c r="D494" s="1"/>
      <c r="E494" s="68"/>
      <c r="F494" s="70"/>
      <c r="G494" s="66" t="s">
        <v>17420</v>
      </c>
      <c r="H494" s="57" t="s">
        <v>1</v>
      </c>
      <c r="I494" s="58">
        <v>0.9</v>
      </c>
      <c r="J494" s="85" t="s">
        <v>5895</v>
      </c>
      <c r="K494" s="64" t="s">
        <v>1</v>
      </c>
      <c r="L494" s="65">
        <v>1</v>
      </c>
      <c r="M494" s="66"/>
      <c r="N494" s="57"/>
      <c r="O494" s="58"/>
      <c r="P494" s="77"/>
      <c r="Q494" s="66"/>
      <c r="R494" s="57"/>
      <c r="S494" s="58"/>
      <c r="T494" s="77"/>
      <c r="U494" s="120">
        <f>ROUND((ROUND((ROUND((_15_同援日１０．５*_15・基礎２),0)*_15・２人),0)*(1+_15・盲ろう)),0)</f>
        <v>1750</v>
      </c>
      <c r="V494" s="69"/>
    </row>
    <row r="495" spans="1:22" ht="16.5" customHeight="1" x14ac:dyDescent="0.3">
      <c r="A495" s="2">
        <v>15</v>
      </c>
      <c r="B495" s="2">
        <v>8175</v>
      </c>
      <c r="C495" s="60" t="s">
        <v>8101</v>
      </c>
      <c r="D495" s="1"/>
      <c r="E495" s="68"/>
      <c r="F495" s="70"/>
      <c r="G495" s="61"/>
      <c r="H495" s="62"/>
      <c r="I495" s="63"/>
      <c r="J495" s="85"/>
      <c r="K495" s="64"/>
      <c r="L495" s="65"/>
      <c r="M495" s="61"/>
      <c r="N495" s="62"/>
      <c r="O495" s="63"/>
      <c r="P495" s="75"/>
      <c r="Q495" s="61"/>
      <c r="R495" s="62"/>
      <c r="S495" s="63"/>
      <c r="T495" s="75"/>
      <c r="U495" s="228">
        <f>ROUND((_15_同援日１０．５*(1+_15・区３)),0)</f>
        <v>1867</v>
      </c>
      <c r="V495" s="69"/>
    </row>
    <row r="496" spans="1:22" ht="16.5" customHeight="1" x14ac:dyDescent="0.3">
      <c r="A496" s="2">
        <v>15</v>
      </c>
      <c r="B496" s="2">
        <v>8176</v>
      </c>
      <c r="C496" s="60" t="s">
        <v>8100</v>
      </c>
      <c r="D496" s="1"/>
      <c r="E496" s="68"/>
      <c r="F496" s="70"/>
      <c r="G496" s="66"/>
      <c r="H496" s="57"/>
      <c r="I496" s="58"/>
      <c r="J496" s="85" t="s">
        <v>5895</v>
      </c>
      <c r="K496" s="64" t="s">
        <v>1</v>
      </c>
      <c r="L496" s="65">
        <v>1</v>
      </c>
      <c r="M496" s="67"/>
      <c r="N496" s="68"/>
      <c r="O496" s="76"/>
      <c r="P496" s="70"/>
      <c r="Q496" s="67"/>
      <c r="R496" s="68"/>
      <c r="S496" s="76"/>
      <c r="T496" s="70"/>
      <c r="U496" s="228">
        <f>ROUND((ROUND((_15_同援日１０．５*_15・２人),0)*(1+_15・区３)),0)</f>
        <v>1867</v>
      </c>
      <c r="V496" s="69"/>
    </row>
    <row r="497" spans="1:22" ht="16.5" customHeight="1" x14ac:dyDescent="0.3">
      <c r="A497" s="2">
        <v>15</v>
      </c>
      <c r="B497" s="2">
        <v>8177</v>
      </c>
      <c r="C497" s="60" t="s">
        <v>8099</v>
      </c>
      <c r="D497" s="1"/>
      <c r="E497" s="68"/>
      <c r="F497" s="70"/>
      <c r="G497" s="61" t="s">
        <v>17747</v>
      </c>
      <c r="H497" s="62"/>
      <c r="I497" s="63"/>
      <c r="J497" s="85"/>
      <c r="K497" s="64"/>
      <c r="L497" s="65"/>
      <c r="M497" s="67"/>
      <c r="N497" s="68"/>
      <c r="O497" s="76"/>
      <c r="P497" s="70"/>
      <c r="Q497" s="67" t="s">
        <v>17936</v>
      </c>
      <c r="R497" s="68"/>
      <c r="S497" s="76"/>
      <c r="T497" s="70"/>
      <c r="U497" s="120">
        <f>ROUND((ROUND((_15_同援日１０．５*_15・基礎２),0)*(1+_15・区３)),0)</f>
        <v>1680</v>
      </c>
      <c r="V497" s="69"/>
    </row>
    <row r="498" spans="1:22" ht="16.5" customHeight="1" x14ac:dyDescent="0.3">
      <c r="A498" s="2">
        <v>15</v>
      </c>
      <c r="B498" s="2">
        <v>8178</v>
      </c>
      <c r="C498" s="60" t="s">
        <v>8097</v>
      </c>
      <c r="D498" s="1"/>
      <c r="E498" s="68"/>
      <c r="F498" s="70"/>
      <c r="G498" s="66" t="s">
        <v>17420</v>
      </c>
      <c r="H498" s="57" t="s">
        <v>1</v>
      </c>
      <c r="I498" s="58">
        <v>0.9</v>
      </c>
      <c r="J498" s="85" t="s">
        <v>5895</v>
      </c>
      <c r="K498" s="64" t="s">
        <v>1</v>
      </c>
      <c r="L498" s="65">
        <v>1</v>
      </c>
      <c r="M498" s="66"/>
      <c r="N498" s="57"/>
      <c r="O498" s="58"/>
      <c r="P498" s="77"/>
      <c r="Q498" s="67" t="s">
        <v>17934</v>
      </c>
      <c r="R498" s="68"/>
      <c r="S498" s="76"/>
      <c r="T498" s="70"/>
      <c r="U498" s="120">
        <f>ROUND((ROUND((ROUND((_15_同援日１０．５*_15・基礎２),0)*_15・２人),0)*(1+_15・区３)),0)</f>
        <v>1680</v>
      </c>
      <c r="V498" s="69"/>
    </row>
    <row r="499" spans="1:22" ht="16.5" customHeight="1" x14ac:dyDescent="0.3">
      <c r="A499" s="2">
        <v>15</v>
      </c>
      <c r="B499" s="2">
        <v>8179</v>
      </c>
      <c r="C499" s="60" t="s">
        <v>8096</v>
      </c>
      <c r="D499" s="1"/>
      <c r="E499" s="68"/>
      <c r="F499" s="70"/>
      <c r="G499" s="61"/>
      <c r="H499" s="62"/>
      <c r="I499" s="63"/>
      <c r="J499" s="85"/>
      <c r="K499" s="64"/>
      <c r="L499" s="65"/>
      <c r="M499" s="61" t="s">
        <v>17933</v>
      </c>
      <c r="N499" s="62"/>
      <c r="O499" s="63"/>
      <c r="P499" s="75"/>
      <c r="Q499" s="67"/>
      <c r="R499" s="68" t="s">
        <v>1</v>
      </c>
      <c r="S499" s="76">
        <v>0.2</v>
      </c>
      <c r="T499" s="70" t="s">
        <v>422</v>
      </c>
      <c r="U499" s="228">
        <f>ROUND((ROUND((_15_同援日１０．５*(1+_15・盲ろう)),0)*(1+_15・区３)),0)</f>
        <v>2334</v>
      </c>
      <c r="V499" s="69"/>
    </row>
    <row r="500" spans="1:22" ht="16.5" customHeight="1" x14ac:dyDescent="0.3">
      <c r="A500" s="2">
        <v>15</v>
      </c>
      <c r="B500" s="2">
        <v>8180</v>
      </c>
      <c r="C500" s="60" t="s">
        <v>8095</v>
      </c>
      <c r="D500" s="1"/>
      <c r="E500" s="68"/>
      <c r="F500" s="70"/>
      <c r="G500" s="66"/>
      <c r="H500" s="57"/>
      <c r="I500" s="58"/>
      <c r="J500" s="85" t="s">
        <v>5895</v>
      </c>
      <c r="K500" s="64" t="s">
        <v>1</v>
      </c>
      <c r="L500" s="65">
        <v>1</v>
      </c>
      <c r="M500" s="67" t="s">
        <v>8083</v>
      </c>
      <c r="N500" s="68"/>
      <c r="O500" s="76"/>
      <c r="P500" s="70"/>
      <c r="Q500" s="67"/>
      <c r="R500" s="68"/>
      <c r="S500" s="76"/>
      <c r="T500" s="70"/>
      <c r="U500" s="228">
        <f>ROUND((ROUND((ROUND((_15_同援日１０．５*_15・２人),0)*(1+_15・盲ろう)),0)*(1+_15・区３)),0)</f>
        <v>2334</v>
      </c>
      <c r="V500" s="69"/>
    </row>
    <row r="501" spans="1:22" ht="16.5" customHeight="1" x14ac:dyDescent="0.3">
      <c r="A501" s="2">
        <v>15</v>
      </c>
      <c r="B501" s="2">
        <v>8181</v>
      </c>
      <c r="C501" s="60" t="s">
        <v>8094</v>
      </c>
      <c r="D501" s="1"/>
      <c r="E501" s="68"/>
      <c r="F501" s="70"/>
      <c r="G501" s="61" t="s">
        <v>5898</v>
      </c>
      <c r="H501" s="62"/>
      <c r="I501" s="63"/>
      <c r="J501" s="85"/>
      <c r="K501" s="64"/>
      <c r="L501" s="65"/>
      <c r="M501" s="67"/>
      <c r="N501" s="68" t="s">
        <v>1</v>
      </c>
      <c r="O501" s="76">
        <v>0.25</v>
      </c>
      <c r="P501" s="70" t="s">
        <v>422</v>
      </c>
      <c r="Q501" s="67"/>
      <c r="R501" s="68"/>
      <c r="S501" s="76"/>
      <c r="T501" s="70"/>
      <c r="U501" s="120">
        <f>ROUND((ROUND((ROUND((_15_同援日１０．５*_15・基礎２),0)*(1+_15・盲ろう)),0)*(1+_15・区３)),0)</f>
        <v>2100</v>
      </c>
      <c r="V501" s="69"/>
    </row>
    <row r="502" spans="1:22" ht="16.5" customHeight="1" x14ac:dyDescent="0.3">
      <c r="A502" s="2">
        <v>15</v>
      </c>
      <c r="B502" s="2">
        <v>8182</v>
      </c>
      <c r="C502" s="60" t="s">
        <v>8093</v>
      </c>
      <c r="D502" s="1"/>
      <c r="E502" s="68"/>
      <c r="F502" s="70"/>
      <c r="G502" s="66" t="s">
        <v>17420</v>
      </c>
      <c r="H502" s="57" t="s">
        <v>1</v>
      </c>
      <c r="I502" s="58">
        <v>0.9</v>
      </c>
      <c r="J502" s="85" t="s">
        <v>5895</v>
      </c>
      <c r="K502" s="64" t="s">
        <v>1</v>
      </c>
      <c r="L502" s="65">
        <v>1</v>
      </c>
      <c r="M502" s="66"/>
      <c r="N502" s="57"/>
      <c r="O502" s="58"/>
      <c r="P502" s="77"/>
      <c r="Q502" s="66"/>
      <c r="R502" s="57"/>
      <c r="S502" s="58"/>
      <c r="T502" s="77"/>
      <c r="U502" s="120">
        <f>ROUND((ROUND((ROUND((ROUND((_15_同援日１０．５*_15・基礎２),0)*_15・２人),0)*(1+_15・盲ろう)),0)*(1+_15・区３)),0)</f>
        <v>2100</v>
      </c>
      <c r="V502" s="69"/>
    </row>
    <row r="503" spans="1:22" ht="16.5" customHeight="1" x14ac:dyDescent="0.3">
      <c r="A503" s="2">
        <v>15</v>
      </c>
      <c r="B503" s="2">
        <v>8183</v>
      </c>
      <c r="C503" s="60" t="s">
        <v>8092</v>
      </c>
      <c r="D503" s="1"/>
      <c r="E503" s="68"/>
      <c r="F503" s="70"/>
      <c r="G503" s="61"/>
      <c r="H503" s="62"/>
      <c r="I503" s="63"/>
      <c r="J503" s="85"/>
      <c r="K503" s="64"/>
      <c r="L503" s="65"/>
      <c r="M503" s="61"/>
      <c r="N503" s="62"/>
      <c r="O503" s="63"/>
      <c r="P503" s="75"/>
      <c r="Q503" s="61"/>
      <c r="R503" s="62"/>
      <c r="S503" s="63"/>
      <c r="T503" s="75"/>
      <c r="U503" s="228">
        <f>ROUND((_15_同援日１０．５*(1+_15・区４)),0)</f>
        <v>2178</v>
      </c>
      <c r="V503" s="69"/>
    </row>
    <row r="504" spans="1:22" ht="16.5" customHeight="1" x14ac:dyDescent="0.3">
      <c r="A504" s="2">
        <v>15</v>
      </c>
      <c r="B504" s="2">
        <v>8184</v>
      </c>
      <c r="C504" s="60" t="s">
        <v>8091</v>
      </c>
      <c r="D504" s="1"/>
      <c r="E504" s="68"/>
      <c r="F504" s="70"/>
      <c r="G504" s="66"/>
      <c r="H504" s="57"/>
      <c r="I504" s="58"/>
      <c r="J504" s="85" t="s">
        <v>5895</v>
      </c>
      <c r="K504" s="64" t="s">
        <v>1</v>
      </c>
      <c r="L504" s="65">
        <v>1</v>
      </c>
      <c r="M504" s="67"/>
      <c r="N504" s="68"/>
      <c r="O504" s="76"/>
      <c r="P504" s="70"/>
      <c r="Q504" s="67"/>
      <c r="R504" s="68"/>
      <c r="S504" s="76"/>
      <c r="T504" s="70"/>
      <c r="U504" s="228">
        <f>ROUND((ROUND((_15_同援日１０．５*_15・２人),0)*(1+_15・区４)),0)</f>
        <v>2178</v>
      </c>
      <c r="V504" s="69"/>
    </row>
    <row r="505" spans="1:22" ht="16.5" customHeight="1" x14ac:dyDescent="0.3">
      <c r="A505" s="2">
        <v>15</v>
      </c>
      <c r="B505" s="2">
        <v>8185</v>
      </c>
      <c r="C505" s="60" t="s">
        <v>8090</v>
      </c>
      <c r="D505" s="1"/>
      <c r="E505" s="68"/>
      <c r="F505" s="70"/>
      <c r="G505" s="61" t="s">
        <v>17747</v>
      </c>
      <c r="H505" s="62"/>
      <c r="I505" s="63"/>
      <c r="J505" s="85"/>
      <c r="K505" s="64"/>
      <c r="L505" s="65"/>
      <c r="M505" s="67"/>
      <c r="N505" s="68"/>
      <c r="O505" s="76"/>
      <c r="P505" s="70"/>
      <c r="Q505" s="67" t="s">
        <v>17935</v>
      </c>
      <c r="R505" s="68"/>
      <c r="S505" s="76"/>
      <c r="T505" s="70"/>
      <c r="U505" s="120">
        <f>ROUND((ROUND((_15_同援日１０．５*_15・基礎２),0)*(1+_15・区４)),0)</f>
        <v>1960</v>
      </c>
      <c r="V505" s="69"/>
    </row>
    <row r="506" spans="1:22" ht="16.5" customHeight="1" x14ac:dyDescent="0.3">
      <c r="A506" s="2">
        <v>15</v>
      </c>
      <c r="B506" s="2">
        <v>8186</v>
      </c>
      <c r="C506" s="60" t="s">
        <v>8088</v>
      </c>
      <c r="D506" s="1"/>
      <c r="E506" s="68"/>
      <c r="F506" s="70"/>
      <c r="G506" s="66" t="s">
        <v>17420</v>
      </c>
      <c r="H506" s="57" t="s">
        <v>1</v>
      </c>
      <c r="I506" s="58">
        <v>0.9</v>
      </c>
      <c r="J506" s="85" t="s">
        <v>5895</v>
      </c>
      <c r="K506" s="64" t="s">
        <v>1</v>
      </c>
      <c r="L506" s="65">
        <v>1</v>
      </c>
      <c r="M506" s="66"/>
      <c r="N506" s="57"/>
      <c r="O506" s="58"/>
      <c r="P506" s="77"/>
      <c r="Q506" s="67" t="s">
        <v>17934</v>
      </c>
      <c r="R506" s="68"/>
      <c r="S506" s="76"/>
      <c r="T506" s="70"/>
      <c r="U506" s="120">
        <f>ROUND((ROUND((ROUND((_15_同援日１０．５*_15・基礎２),0)*_15・２人),0)*(1+_15・区４)),0)</f>
        <v>1960</v>
      </c>
      <c r="V506" s="69"/>
    </row>
    <row r="507" spans="1:22" ht="16.5" customHeight="1" x14ac:dyDescent="0.3">
      <c r="A507" s="2">
        <v>15</v>
      </c>
      <c r="B507" s="2">
        <v>8187</v>
      </c>
      <c r="C507" s="60" t="s">
        <v>8086</v>
      </c>
      <c r="D507" s="1"/>
      <c r="E507" s="68"/>
      <c r="F507" s="70"/>
      <c r="G507" s="61"/>
      <c r="H507" s="62"/>
      <c r="I507" s="63"/>
      <c r="J507" s="85"/>
      <c r="K507" s="64"/>
      <c r="L507" s="65"/>
      <c r="M507" s="61" t="s">
        <v>17933</v>
      </c>
      <c r="N507" s="62"/>
      <c r="O507" s="63"/>
      <c r="P507" s="75"/>
      <c r="Q507" s="67"/>
      <c r="R507" s="68" t="s">
        <v>1</v>
      </c>
      <c r="S507" s="76">
        <v>0.4</v>
      </c>
      <c r="T507" s="70" t="s">
        <v>422</v>
      </c>
      <c r="U507" s="228">
        <f>ROUND((ROUND((_15_同援日１０．５*(1+_15・盲ろう)),0)*(1+_15・区４)),0)</f>
        <v>2723</v>
      </c>
      <c r="V507" s="69"/>
    </row>
    <row r="508" spans="1:22" ht="16.5" customHeight="1" x14ac:dyDescent="0.3">
      <c r="A508" s="2">
        <v>15</v>
      </c>
      <c r="B508" s="2">
        <v>8188</v>
      </c>
      <c r="C508" s="60" t="s">
        <v>8084</v>
      </c>
      <c r="D508" s="1"/>
      <c r="E508" s="68"/>
      <c r="F508" s="70"/>
      <c r="G508" s="66"/>
      <c r="H508" s="57"/>
      <c r="I508" s="58"/>
      <c r="J508" s="85" t="s">
        <v>5895</v>
      </c>
      <c r="K508" s="64" t="s">
        <v>1</v>
      </c>
      <c r="L508" s="65">
        <v>1</v>
      </c>
      <c r="M508" s="67" t="s">
        <v>17932</v>
      </c>
      <c r="N508" s="68"/>
      <c r="O508" s="76"/>
      <c r="P508" s="70"/>
      <c r="Q508" s="67"/>
      <c r="R508" s="68"/>
      <c r="S508" s="76"/>
      <c r="T508" s="70"/>
      <c r="U508" s="228">
        <f>ROUND((ROUND((ROUND((_15_同援日１０．５*_15・２人),0)*(1+_15・盲ろう)),0)*(1+_15・区４)),0)</f>
        <v>2723</v>
      </c>
      <c r="V508" s="69"/>
    </row>
    <row r="509" spans="1:22" ht="16.5" customHeight="1" x14ac:dyDescent="0.3">
      <c r="A509" s="2">
        <v>15</v>
      </c>
      <c r="B509" s="2">
        <v>8189</v>
      </c>
      <c r="C509" s="60" t="s">
        <v>8082</v>
      </c>
      <c r="D509" s="1"/>
      <c r="E509" s="68"/>
      <c r="F509" s="70"/>
      <c r="G509" s="61" t="s">
        <v>17747</v>
      </c>
      <c r="H509" s="62"/>
      <c r="I509" s="63"/>
      <c r="J509" s="85"/>
      <c r="K509" s="64"/>
      <c r="L509" s="65"/>
      <c r="M509" s="67"/>
      <c r="N509" s="68" t="s">
        <v>1</v>
      </c>
      <c r="O509" s="76">
        <v>0.25</v>
      </c>
      <c r="P509" s="70" t="s">
        <v>422</v>
      </c>
      <c r="Q509" s="67"/>
      <c r="R509" s="68"/>
      <c r="S509" s="76"/>
      <c r="T509" s="70"/>
      <c r="U509" s="120">
        <f>ROUND((ROUND((ROUND((_15_同援日１０．５*_15・基礎２),0)*(1+_15・盲ろう)),0)*(1+_15・区４)),0)</f>
        <v>2450</v>
      </c>
      <c r="V509" s="69"/>
    </row>
    <row r="510" spans="1:22" ht="16.5" customHeight="1" x14ac:dyDescent="0.3">
      <c r="A510" s="2">
        <v>15</v>
      </c>
      <c r="B510" s="2">
        <v>8190</v>
      </c>
      <c r="C510" s="60" t="s">
        <v>8081</v>
      </c>
      <c r="D510" s="81"/>
      <c r="E510" s="57"/>
      <c r="F510" s="77"/>
      <c r="G510" s="66" t="s">
        <v>17420</v>
      </c>
      <c r="H510" s="57" t="s">
        <v>1</v>
      </c>
      <c r="I510" s="58">
        <v>0.9</v>
      </c>
      <c r="J510" s="85" t="s">
        <v>5895</v>
      </c>
      <c r="K510" s="64" t="s">
        <v>1</v>
      </c>
      <c r="L510" s="65">
        <v>1</v>
      </c>
      <c r="M510" s="66"/>
      <c r="N510" s="57"/>
      <c r="O510" s="58"/>
      <c r="P510" s="77"/>
      <c r="Q510" s="66"/>
      <c r="R510" s="57"/>
      <c r="S510" s="58"/>
      <c r="T510" s="77"/>
      <c r="U510" s="120">
        <f>ROUND((ROUND((ROUND((ROUND((_15_同援日１０．５*_15・基礎２),0)*_15・２人),0)*(1+_15・盲ろう)),0)*(1+_15・区４)),0)</f>
        <v>2450</v>
      </c>
      <c r="V510" s="71"/>
    </row>
    <row r="511" spans="1:22" ht="16.5" customHeight="1" x14ac:dyDescent="0.3"/>
    <row r="512" spans="1:2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5" manualBreakCount="5">
    <brk id="102" max="16383" man="1"/>
    <brk id="198" max="16383" man="1"/>
    <brk id="294" max="16383" man="1"/>
    <brk id="390" max="16383" man="1"/>
    <brk id="48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1" tint="0.249977111117893"/>
    <pageSetUpPr fitToPage="1"/>
  </sheetPr>
  <dimension ref="A1:P60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30.62890625" style="46" customWidth="1"/>
    <col min="11" max="11" width="3.1015625" style="46" bestFit="1" customWidth="1"/>
    <col min="12" max="12" width="5" style="47" bestFit="1" customWidth="1"/>
    <col min="13" max="13" width="2.62890625" style="47" customWidth="1"/>
    <col min="14" max="14" width="4.734375" style="46" bestFit="1" customWidth="1"/>
    <col min="15" max="15" width="6.3671875" style="84" bestFit="1" customWidth="1"/>
    <col min="16" max="16" width="7.734375" style="48" bestFit="1" customWidth="1"/>
    <col min="17" max="16384" width="9" style="49"/>
  </cols>
  <sheetData>
    <row r="1" spans="1:16" ht="16.5" customHeight="1" x14ac:dyDescent="0.3">
      <c r="A1" s="132"/>
      <c r="B1" s="132"/>
      <c r="C1" s="133"/>
      <c r="D1" s="133"/>
      <c r="E1" s="134"/>
      <c r="F1" s="134"/>
      <c r="G1" s="134"/>
      <c r="H1" s="134"/>
      <c r="I1" s="135"/>
      <c r="J1" s="134"/>
      <c r="K1" s="134"/>
      <c r="L1" s="135"/>
      <c r="M1" s="135"/>
      <c r="N1" s="134"/>
      <c r="O1" s="136"/>
      <c r="P1" s="137"/>
    </row>
    <row r="2" spans="1:16" ht="16.5" customHeight="1" x14ac:dyDescent="0.3">
      <c r="A2" s="132"/>
      <c r="B2" s="132"/>
      <c r="C2" s="133"/>
      <c r="D2" s="133"/>
      <c r="E2" s="134"/>
      <c r="F2" s="134"/>
      <c r="G2" s="134"/>
      <c r="H2" s="134"/>
      <c r="I2" s="135"/>
      <c r="J2" s="134"/>
      <c r="K2" s="134"/>
      <c r="L2" s="135"/>
      <c r="M2" s="135"/>
      <c r="N2" s="134"/>
      <c r="O2" s="136"/>
      <c r="P2" s="137"/>
    </row>
    <row r="3" spans="1:16" ht="16.5" customHeight="1" x14ac:dyDescent="0.3">
      <c r="A3" s="132"/>
      <c r="B3" s="132"/>
      <c r="C3" s="133"/>
      <c r="D3" s="133"/>
      <c r="E3" s="134"/>
      <c r="F3" s="134"/>
      <c r="G3" s="134"/>
      <c r="H3" s="134"/>
      <c r="I3" s="135"/>
      <c r="J3" s="134"/>
      <c r="K3" s="134"/>
      <c r="L3" s="135"/>
      <c r="M3" s="135"/>
      <c r="N3" s="134"/>
      <c r="O3" s="136"/>
      <c r="P3" s="137"/>
    </row>
    <row r="4" spans="1:16" ht="16.5" customHeight="1" x14ac:dyDescent="0.3">
      <c r="A4" s="132"/>
      <c r="B4" s="138" t="s">
        <v>6127</v>
      </c>
      <c r="C4" s="133"/>
      <c r="D4" s="139"/>
      <c r="E4" s="134"/>
      <c r="F4" s="134"/>
      <c r="G4" s="134"/>
      <c r="H4" s="134"/>
      <c r="I4" s="135"/>
      <c r="J4" s="134"/>
      <c r="K4" s="134"/>
      <c r="L4" s="135"/>
      <c r="M4" s="135"/>
      <c r="N4" s="134"/>
      <c r="O4" s="136"/>
      <c r="P4" s="137"/>
    </row>
    <row r="5" spans="1:16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4"/>
      <c r="H5" s="144"/>
      <c r="I5" s="145"/>
      <c r="J5" s="144"/>
      <c r="K5" s="144"/>
      <c r="L5" s="145"/>
      <c r="M5" s="145"/>
      <c r="N5" s="144"/>
      <c r="O5" s="146" t="s">
        <v>5869</v>
      </c>
      <c r="P5" s="146" t="s">
        <v>5871</v>
      </c>
    </row>
    <row r="6" spans="1:16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50"/>
      <c r="H6" s="150"/>
      <c r="I6" s="151"/>
      <c r="J6" s="150"/>
      <c r="K6" s="150"/>
      <c r="L6" s="151"/>
      <c r="M6" s="151"/>
      <c r="N6" s="150"/>
      <c r="O6" s="154" t="s">
        <v>5870</v>
      </c>
      <c r="P6" s="154" t="s">
        <v>0</v>
      </c>
    </row>
    <row r="7" spans="1:16" ht="16.5" customHeight="1" x14ac:dyDescent="0.3">
      <c r="A7" s="147">
        <v>15</v>
      </c>
      <c r="B7" s="147">
        <v>1251</v>
      </c>
      <c r="C7" s="155" t="s">
        <v>6126</v>
      </c>
      <c r="D7" s="156" t="s">
        <v>16951</v>
      </c>
      <c r="E7" s="160"/>
      <c r="F7" s="158"/>
      <c r="G7" s="159"/>
      <c r="H7" s="160"/>
      <c r="I7" s="161"/>
      <c r="J7" s="162"/>
      <c r="K7" s="163"/>
      <c r="L7" s="164"/>
      <c r="M7" s="165"/>
      <c r="N7" s="158"/>
      <c r="O7" s="225">
        <v>386</v>
      </c>
      <c r="P7" s="142" t="s">
        <v>5863</v>
      </c>
    </row>
    <row r="8" spans="1:16" ht="16.5" customHeight="1" x14ac:dyDescent="0.3">
      <c r="A8" s="147">
        <v>15</v>
      </c>
      <c r="B8" s="147">
        <v>1252</v>
      </c>
      <c r="C8" s="155" t="s">
        <v>6125</v>
      </c>
      <c r="D8" s="188"/>
      <c r="E8" s="153"/>
      <c r="F8" s="171"/>
      <c r="G8" s="175"/>
      <c r="H8" s="150"/>
      <c r="I8" s="151"/>
      <c r="J8" s="162" t="s">
        <v>5895</v>
      </c>
      <c r="K8" s="163" t="s">
        <v>1</v>
      </c>
      <c r="L8" s="164">
        <v>1</v>
      </c>
      <c r="M8" s="170"/>
      <c r="N8" s="171"/>
      <c r="O8" s="225">
        <v>386</v>
      </c>
      <c r="P8" s="172"/>
    </row>
    <row r="9" spans="1:16" ht="16.5" customHeight="1" x14ac:dyDescent="0.3">
      <c r="A9" s="147">
        <v>15</v>
      </c>
      <c r="B9" s="147">
        <v>1253</v>
      </c>
      <c r="C9" s="155" t="s">
        <v>6124</v>
      </c>
      <c r="D9" s="188"/>
      <c r="E9" s="205">
        <v>257</v>
      </c>
      <c r="F9" s="171" t="s">
        <v>0</v>
      </c>
      <c r="G9" s="160" t="s">
        <v>16912</v>
      </c>
      <c r="H9" s="160"/>
      <c r="I9" s="161"/>
      <c r="J9" s="162"/>
      <c r="K9" s="163"/>
      <c r="L9" s="164"/>
      <c r="M9" s="170"/>
      <c r="N9" s="171"/>
      <c r="O9" s="225">
        <v>270</v>
      </c>
      <c r="P9" s="172"/>
    </row>
    <row r="10" spans="1:16" ht="16.5" customHeight="1" x14ac:dyDescent="0.3">
      <c r="A10" s="147">
        <v>15</v>
      </c>
      <c r="B10" s="147">
        <v>1254</v>
      </c>
      <c r="C10" s="155" t="s">
        <v>6123</v>
      </c>
      <c r="D10" s="167"/>
      <c r="E10" s="150"/>
      <c r="F10" s="168"/>
      <c r="G10" s="150" t="s">
        <v>16916</v>
      </c>
      <c r="H10" s="150" t="s">
        <v>1</v>
      </c>
      <c r="I10" s="151">
        <v>0.7</v>
      </c>
      <c r="J10" s="162" t="s">
        <v>5895</v>
      </c>
      <c r="K10" s="163" t="s">
        <v>1</v>
      </c>
      <c r="L10" s="164">
        <v>1</v>
      </c>
      <c r="M10" s="170"/>
      <c r="N10" s="171"/>
      <c r="O10" s="225">
        <v>270</v>
      </c>
      <c r="P10" s="172"/>
    </row>
    <row r="11" spans="1:16" ht="16.5" customHeight="1" x14ac:dyDescent="0.3">
      <c r="A11" s="147">
        <v>15</v>
      </c>
      <c r="B11" s="147">
        <v>1255</v>
      </c>
      <c r="C11" s="155" t="s">
        <v>6122</v>
      </c>
      <c r="D11" s="156" t="s">
        <v>16950</v>
      </c>
      <c r="E11" s="160"/>
      <c r="F11" s="158"/>
      <c r="G11" s="159"/>
      <c r="H11" s="160"/>
      <c r="I11" s="161"/>
      <c r="J11" s="162"/>
      <c r="K11" s="163"/>
      <c r="L11" s="164"/>
      <c r="M11" s="170"/>
      <c r="N11" s="171"/>
      <c r="O11" s="225">
        <v>609</v>
      </c>
      <c r="P11" s="172"/>
    </row>
    <row r="12" spans="1:16" ht="16.5" customHeight="1" x14ac:dyDescent="0.3">
      <c r="A12" s="147">
        <v>15</v>
      </c>
      <c r="B12" s="147">
        <v>1256</v>
      </c>
      <c r="C12" s="155" t="s">
        <v>6120</v>
      </c>
      <c r="D12" s="188" t="s">
        <v>16949</v>
      </c>
      <c r="E12" s="153"/>
      <c r="F12" s="171"/>
      <c r="G12" s="175"/>
      <c r="H12" s="150"/>
      <c r="I12" s="151"/>
      <c r="J12" s="162" t="s">
        <v>5895</v>
      </c>
      <c r="K12" s="163" t="s">
        <v>1</v>
      </c>
      <c r="L12" s="164">
        <v>1</v>
      </c>
      <c r="M12" s="169" t="s">
        <v>16948</v>
      </c>
      <c r="N12" s="171"/>
      <c r="O12" s="225">
        <v>609</v>
      </c>
      <c r="P12" s="172"/>
    </row>
    <row r="13" spans="1:16" ht="16.5" customHeight="1" x14ac:dyDescent="0.3">
      <c r="A13" s="147">
        <v>15</v>
      </c>
      <c r="B13" s="147">
        <v>1257</v>
      </c>
      <c r="C13" s="155" t="s">
        <v>6119</v>
      </c>
      <c r="D13" s="188" t="s">
        <v>16947</v>
      </c>
      <c r="E13" s="205">
        <v>406</v>
      </c>
      <c r="F13" s="171" t="s">
        <v>0</v>
      </c>
      <c r="G13" s="160" t="s">
        <v>16823</v>
      </c>
      <c r="H13" s="160"/>
      <c r="I13" s="161"/>
      <c r="J13" s="162"/>
      <c r="K13" s="163"/>
      <c r="L13" s="164"/>
      <c r="M13" s="170"/>
      <c r="N13" s="174" t="s">
        <v>16946</v>
      </c>
      <c r="O13" s="225">
        <v>426</v>
      </c>
      <c r="P13" s="172"/>
    </row>
    <row r="14" spans="1:16" ht="16.5" customHeight="1" x14ac:dyDescent="0.3">
      <c r="A14" s="147">
        <v>15</v>
      </c>
      <c r="B14" s="147">
        <v>1258</v>
      </c>
      <c r="C14" s="155" t="s">
        <v>6118</v>
      </c>
      <c r="D14" s="167"/>
      <c r="E14" s="150"/>
      <c r="F14" s="168"/>
      <c r="G14" s="150" t="s">
        <v>16916</v>
      </c>
      <c r="H14" s="150" t="s">
        <v>1</v>
      </c>
      <c r="I14" s="151">
        <v>0.7</v>
      </c>
      <c r="J14" s="162" t="s">
        <v>5895</v>
      </c>
      <c r="K14" s="163" t="s">
        <v>1</v>
      </c>
      <c r="L14" s="164">
        <v>1</v>
      </c>
      <c r="M14" s="170"/>
      <c r="N14" s="171"/>
      <c r="O14" s="225">
        <v>426</v>
      </c>
      <c r="P14" s="172"/>
    </row>
    <row r="15" spans="1:16" ht="16.5" customHeight="1" x14ac:dyDescent="0.3">
      <c r="A15" s="147">
        <v>15</v>
      </c>
      <c r="B15" s="147">
        <v>1259</v>
      </c>
      <c r="C15" s="155" t="s">
        <v>6117</v>
      </c>
      <c r="D15" s="156" t="s">
        <v>16945</v>
      </c>
      <c r="E15" s="160"/>
      <c r="F15" s="158"/>
      <c r="G15" s="159"/>
      <c r="H15" s="160"/>
      <c r="I15" s="161"/>
      <c r="J15" s="162"/>
      <c r="K15" s="163"/>
      <c r="L15" s="164"/>
      <c r="M15" s="170" t="s">
        <v>1</v>
      </c>
      <c r="N15" s="192">
        <v>0.5</v>
      </c>
      <c r="O15" s="225">
        <v>887</v>
      </c>
      <c r="P15" s="172"/>
    </row>
    <row r="16" spans="1:16" ht="16.5" customHeight="1" x14ac:dyDescent="0.3">
      <c r="A16" s="147">
        <v>15</v>
      </c>
      <c r="B16" s="147">
        <v>1260</v>
      </c>
      <c r="C16" s="155" t="s">
        <v>6115</v>
      </c>
      <c r="D16" s="188" t="s">
        <v>16944</v>
      </c>
      <c r="E16" s="153"/>
      <c r="F16" s="171"/>
      <c r="G16" s="175"/>
      <c r="H16" s="150"/>
      <c r="I16" s="151"/>
      <c r="J16" s="162" t="s">
        <v>5895</v>
      </c>
      <c r="K16" s="163" t="s">
        <v>1</v>
      </c>
      <c r="L16" s="164">
        <v>1</v>
      </c>
      <c r="M16" s="170"/>
      <c r="N16" s="174" t="s">
        <v>16943</v>
      </c>
      <c r="O16" s="225">
        <v>887</v>
      </c>
      <c r="P16" s="172"/>
    </row>
    <row r="17" spans="1:16" ht="16.5" customHeight="1" x14ac:dyDescent="0.3">
      <c r="A17" s="147">
        <v>15</v>
      </c>
      <c r="B17" s="147">
        <v>1261</v>
      </c>
      <c r="C17" s="155" t="s">
        <v>6114</v>
      </c>
      <c r="D17" s="188" t="s">
        <v>16942</v>
      </c>
      <c r="E17" s="205">
        <v>591</v>
      </c>
      <c r="F17" s="171" t="s">
        <v>0</v>
      </c>
      <c r="G17" s="160" t="s">
        <v>16912</v>
      </c>
      <c r="H17" s="160"/>
      <c r="I17" s="161"/>
      <c r="J17" s="162"/>
      <c r="K17" s="163"/>
      <c r="L17" s="164"/>
      <c r="M17" s="170"/>
      <c r="N17" s="171"/>
      <c r="O17" s="225">
        <v>621</v>
      </c>
      <c r="P17" s="172"/>
    </row>
    <row r="18" spans="1:16" ht="16.5" customHeight="1" x14ac:dyDescent="0.3">
      <c r="A18" s="147">
        <v>15</v>
      </c>
      <c r="B18" s="147">
        <v>1262</v>
      </c>
      <c r="C18" s="155" t="s">
        <v>6113</v>
      </c>
      <c r="D18" s="167"/>
      <c r="E18" s="150"/>
      <c r="F18" s="168"/>
      <c r="G18" s="150" t="s">
        <v>16916</v>
      </c>
      <c r="H18" s="150" t="s">
        <v>1</v>
      </c>
      <c r="I18" s="151">
        <v>0.7</v>
      </c>
      <c r="J18" s="162" t="s">
        <v>5895</v>
      </c>
      <c r="K18" s="163" t="s">
        <v>1</v>
      </c>
      <c r="L18" s="164">
        <v>1</v>
      </c>
      <c r="M18" s="170"/>
      <c r="N18" s="171"/>
      <c r="O18" s="225">
        <v>621</v>
      </c>
      <c r="P18" s="172"/>
    </row>
    <row r="19" spans="1:16" ht="16.5" customHeight="1" x14ac:dyDescent="0.3">
      <c r="A19" s="147">
        <v>15</v>
      </c>
      <c r="B19" s="147">
        <v>1263</v>
      </c>
      <c r="C19" s="155" t="s">
        <v>6112</v>
      </c>
      <c r="D19" s="156" t="s">
        <v>16941</v>
      </c>
      <c r="E19" s="160"/>
      <c r="F19" s="158"/>
      <c r="G19" s="159"/>
      <c r="H19" s="160"/>
      <c r="I19" s="161"/>
      <c r="J19" s="162"/>
      <c r="K19" s="163"/>
      <c r="L19" s="164"/>
      <c r="M19" s="170"/>
      <c r="N19" s="171"/>
      <c r="O19" s="225">
        <v>1011</v>
      </c>
      <c r="P19" s="172"/>
    </row>
    <row r="20" spans="1:16" ht="16.5" customHeight="1" x14ac:dyDescent="0.3">
      <c r="A20" s="147">
        <v>15</v>
      </c>
      <c r="B20" s="147">
        <v>1264</v>
      </c>
      <c r="C20" s="155" t="s">
        <v>6110</v>
      </c>
      <c r="D20" s="188" t="s">
        <v>16940</v>
      </c>
      <c r="E20" s="153"/>
      <c r="F20" s="171"/>
      <c r="G20" s="175"/>
      <c r="H20" s="150"/>
      <c r="I20" s="151"/>
      <c r="J20" s="162" t="s">
        <v>5895</v>
      </c>
      <c r="K20" s="163" t="s">
        <v>1</v>
      </c>
      <c r="L20" s="164">
        <v>1</v>
      </c>
      <c r="M20" s="170"/>
      <c r="N20" s="171"/>
      <c r="O20" s="225">
        <v>1011</v>
      </c>
      <c r="P20" s="172"/>
    </row>
    <row r="21" spans="1:16" ht="16.5" customHeight="1" x14ac:dyDescent="0.3">
      <c r="A21" s="147">
        <v>15</v>
      </c>
      <c r="B21" s="147">
        <v>1265</v>
      </c>
      <c r="C21" s="155" t="s">
        <v>6109</v>
      </c>
      <c r="D21" s="188" t="s">
        <v>16939</v>
      </c>
      <c r="E21" s="205">
        <v>674</v>
      </c>
      <c r="F21" s="171" t="s">
        <v>0</v>
      </c>
      <c r="G21" s="160" t="s">
        <v>16823</v>
      </c>
      <c r="H21" s="160"/>
      <c r="I21" s="161"/>
      <c r="J21" s="162"/>
      <c r="K21" s="163"/>
      <c r="L21" s="164"/>
      <c r="M21" s="170"/>
      <c r="N21" s="171"/>
      <c r="O21" s="225">
        <v>708</v>
      </c>
      <c r="P21" s="172"/>
    </row>
    <row r="22" spans="1:16" ht="16.5" customHeight="1" x14ac:dyDescent="0.3">
      <c r="A22" s="147">
        <v>15</v>
      </c>
      <c r="B22" s="147">
        <v>1266</v>
      </c>
      <c r="C22" s="155" t="s">
        <v>6108</v>
      </c>
      <c r="D22" s="167"/>
      <c r="E22" s="150"/>
      <c r="F22" s="168"/>
      <c r="G22" s="150" t="s">
        <v>16916</v>
      </c>
      <c r="H22" s="150" t="s">
        <v>1</v>
      </c>
      <c r="I22" s="151">
        <v>0.7</v>
      </c>
      <c r="J22" s="162" t="s">
        <v>5895</v>
      </c>
      <c r="K22" s="163" t="s">
        <v>1</v>
      </c>
      <c r="L22" s="164">
        <v>1</v>
      </c>
      <c r="M22" s="170"/>
      <c r="N22" s="171"/>
      <c r="O22" s="225">
        <v>708</v>
      </c>
      <c r="P22" s="172"/>
    </row>
    <row r="23" spans="1:16" ht="16.5" customHeight="1" x14ac:dyDescent="0.3">
      <c r="A23" s="147">
        <v>15</v>
      </c>
      <c r="B23" s="147">
        <v>1267</v>
      </c>
      <c r="C23" s="155" t="s">
        <v>6107</v>
      </c>
      <c r="D23" s="156" t="s">
        <v>16938</v>
      </c>
      <c r="E23" s="160"/>
      <c r="F23" s="158"/>
      <c r="G23" s="159"/>
      <c r="H23" s="160"/>
      <c r="I23" s="161"/>
      <c r="J23" s="162"/>
      <c r="K23" s="163"/>
      <c r="L23" s="164"/>
      <c r="M23" s="170"/>
      <c r="N23" s="171"/>
      <c r="O23" s="225">
        <v>1137</v>
      </c>
      <c r="P23" s="172"/>
    </row>
    <row r="24" spans="1:16" ht="16.5" customHeight="1" x14ac:dyDescent="0.3">
      <c r="A24" s="147">
        <v>15</v>
      </c>
      <c r="B24" s="147">
        <v>1268</v>
      </c>
      <c r="C24" s="155" t="s">
        <v>6105</v>
      </c>
      <c r="D24" s="188" t="s">
        <v>16937</v>
      </c>
      <c r="E24" s="153"/>
      <c r="F24" s="171"/>
      <c r="G24" s="175"/>
      <c r="H24" s="150"/>
      <c r="I24" s="151"/>
      <c r="J24" s="162" t="s">
        <v>5895</v>
      </c>
      <c r="K24" s="163" t="s">
        <v>1</v>
      </c>
      <c r="L24" s="164">
        <v>1</v>
      </c>
      <c r="M24" s="170"/>
      <c r="N24" s="171"/>
      <c r="O24" s="225">
        <v>1137</v>
      </c>
      <c r="P24" s="172"/>
    </row>
    <row r="25" spans="1:16" ht="16.5" customHeight="1" x14ac:dyDescent="0.3">
      <c r="A25" s="147">
        <v>15</v>
      </c>
      <c r="B25" s="147">
        <v>1269</v>
      </c>
      <c r="C25" s="155" t="s">
        <v>6104</v>
      </c>
      <c r="D25" s="188" t="s">
        <v>16936</v>
      </c>
      <c r="E25" s="205">
        <v>758</v>
      </c>
      <c r="F25" s="171" t="s">
        <v>0</v>
      </c>
      <c r="G25" s="160" t="s">
        <v>16912</v>
      </c>
      <c r="H25" s="160"/>
      <c r="I25" s="161"/>
      <c r="J25" s="162"/>
      <c r="K25" s="163"/>
      <c r="L25" s="164"/>
      <c r="M25" s="170"/>
      <c r="N25" s="171"/>
      <c r="O25" s="225">
        <v>797</v>
      </c>
      <c r="P25" s="172"/>
    </row>
    <row r="26" spans="1:16" ht="16.5" customHeight="1" x14ac:dyDescent="0.3">
      <c r="A26" s="147">
        <v>15</v>
      </c>
      <c r="B26" s="147">
        <v>1270</v>
      </c>
      <c r="C26" s="155" t="s">
        <v>6103</v>
      </c>
      <c r="D26" s="167"/>
      <c r="E26" s="150"/>
      <c r="F26" s="168"/>
      <c r="G26" s="150" t="s">
        <v>16916</v>
      </c>
      <c r="H26" s="150" t="s">
        <v>1</v>
      </c>
      <c r="I26" s="151">
        <v>0.7</v>
      </c>
      <c r="J26" s="162" t="s">
        <v>5895</v>
      </c>
      <c r="K26" s="163" t="s">
        <v>1</v>
      </c>
      <c r="L26" s="164">
        <v>1</v>
      </c>
      <c r="M26" s="170"/>
      <c r="N26" s="171"/>
      <c r="O26" s="225">
        <v>797</v>
      </c>
      <c r="P26" s="172"/>
    </row>
    <row r="27" spans="1:16" ht="16.5" customHeight="1" x14ac:dyDescent="0.3">
      <c r="A27" s="147">
        <v>15</v>
      </c>
      <c r="B27" s="147">
        <v>1271</v>
      </c>
      <c r="C27" s="155" t="s">
        <v>6102</v>
      </c>
      <c r="D27" s="156" t="s">
        <v>16935</v>
      </c>
      <c r="E27" s="160"/>
      <c r="F27" s="158"/>
      <c r="G27" s="159"/>
      <c r="H27" s="160"/>
      <c r="I27" s="161"/>
      <c r="J27" s="162"/>
      <c r="K27" s="163"/>
      <c r="L27" s="164"/>
      <c r="M27" s="170"/>
      <c r="N27" s="171"/>
      <c r="O27" s="225">
        <v>1263</v>
      </c>
      <c r="P27" s="172"/>
    </row>
    <row r="28" spans="1:16" ht="16.5" customHeight="1" x14ac:dyDescent="0.3">
      <c r="A28" s="147">
        <v>15</v>
      </c>
      <c r="B28" s="147">
        <v>1272</v>
      </c>
      <c r="C28" s="155" t="s">
        <v>6101</v>
      </c>
      <c r="D28" s="188" t="s">
        <v>16934</v>
      </c>
      <c r="E28" s="153"/>
      <c r="F28" s="171"/>
      <c r="G28" s="175"/>
      <c r="H28" s="150"/>
      <c r="I28" s="151"/>
      <c r="J28" s="162" t="s">
        <v>5895</v>
      </c>
      <c r="K28" s="163" t="s">
        <v>1</v>
      </c>
      <c r="L28" s="164">
        <v>1</v>
      </c>
      <c r="M28" s="170"/>
      <c r="N28" s="171"/>
      <c r="O28" s="225">
        <v>1263</v>
      </c>
      <c r="P28" s="172"/>
    </row>
    <row r="29" spans="1:16" ht="16.5" customHeight="1" x14ac:dyDescent="0.3">
      <c r="A29" s="147">
        <v>15</v>
      </c>
      <c r="B29" s="147">
        <v>1273</v>
      </c>
      <c r="C29" s="155" t="s">
        <v>6100</v>
      </c>
      <c r="D29" s="188" t="s">
        <v>16933</v>
      </c>
      <c r="E29" s="205">
        <v>842</v>
      </c>
      <c r="F29" s="171" t="s">
        <v>0</v>
      </c>
      <c r="G29" s="160" t="s">
        <v>16912</v>
      </c>
      <c r="H29" s="160"/>
      <c r="I29" s="161"/>
      <c r="J29" s="162"/>
      <c r="K29" s="163"/>
      <c r="L29" s="164"/>
      <c r="M29" s="170"/>
      <c r="N29" s="171"/>
      <c r="O29" s="225">
        <v>884</v>
      </c>
      <c r="P29" s="172"/>
    </row>
    <row r="30" spans="1:16" ht="16.5" customHeight="1" x14ac:dyDescent="0.3">
      <c r="A30" s="147">
        <v>15</v>
      </c>
      <c r="B30" s="147">
        <v>1274</v>
      </c>
      <c r="C30" s="155" t="s">
        <v>6099</v>
      </c>
      <c r="D30" s="167"/>
      <c r="E30" s="150"/>
      <c r="F30" s="168"/>
      <c r="G30" s="150" t="s">
        <v>16916</v>
      </c>
      <c r="H30" s="150" t="s">
        <v>1</v>
      </c>
      <c r="I30" s="151">
        <v>0.7</v>
      </c>
      <c r="J30" s="162" t="s">
        <v>5895</v>
      </c>
      <c r="K30" s="163" t="s">
        <v>1</v>
      </c>
      <c r="L30" s="164">
        <v>1</v>
      </c>
      <c r="M30" s="170"/>
      <c r="N30" s="171"/>
      <c r="O30" s="225">
        <v>884</v>
      </c>
      <c r="P30" s="172"/>
    </row>
    <row r="31" spans="1:16" ht="16.5" customHeight="1" x14ac:dyDescent="0.3">
      <c r="A31" s="147">
        <v>15</v>
      </c>
      <c r="B31" s="147">
        <v>1275</v>
      </c>
      <c r="C31" s="155" t="s">
        <v>6098</v>
      </c>
      <c r="D31" s="156" t="s">
        <v>16932</v>
      </c>
      <c r="E31" s="160"/>
      <c r="F31" s="158"/>
      <c r="G31" s="159"/>
      <c r="H31" s="160"/>
      <c r="I31" s="161"/>
      <c r="J31" s="162"/>
      <c r="K31" s="163"/>
      <c r="L31" s="164"/>
      <c r="M31" s="170"/>
      <c r="N31" s="171"/>
      <c r="O31" s="225">
        <v>1388</v>
      </c>
      <c r="P31" s="172"/>
    </row>
    <row r="32" spans="1:16" ht="16.5" customHeight="1" x14ac:dyDescent="0.3">
      <c r="A32" s="147">
        <v>15</v>
      </c>
      <c r="B32" s="147">
        <v>1276</v>
      </c>
      <c r="C32" s="155" t="s">
        <v>6097</v>
      </c>
      <c r="D32" s="188" t="s">
        <v>16931</v>
      </c>
      <c r="E32" s="153"/>
      <c r="F32" s="171"/>
      <c r="G32" s="175"/>
      <c r="H32" s="150"/>
      <c r="I32" s="151"/>
      <c r="J32" s="162" t="s">
        <v>5895</v>
      </c>
      <c r="K32" s="163" t="s">
        <v>1</v>
      </c>
      <c r="L32" s="164">
        <v>1</v>
      </c>
      <c r="M32" s="170"/>
      <c r="N32" s="171"/>
      <c r="O32" s="225">
        <v>1388</v>
      </c>
      <c r="P32" s="172"/>
    </row>
    <row r="33" spans="1:16" ht="16.5" customHeight="1" x14ac:dyDescent="0.3">
      <c r="A33" s="147">
        <v>15</v>
      </c>
      <c r="B33" s="147">
        <v>1277</v>
      </c>
      <c r="C33" s="155" t="s">
        <v>6096</v>
      </c>
      <c r="D33" s="188" t="s">
        <v>16930</v>
      </c>
      <c r="E33" s="205">
        <v>925</v>
      </c>
      <c r="F33" s="171" t="s">
        <v>0</v>
      </c>
      <c r="G33" s="160" t="s">
        <v>16912</v>
      </c>
      <c r="H33" s="160"/>
      <c r="I33" s="161"/>
      <c r="J33" s="162"/>
      <c r="K33" s="163"/>
      <c r="L33" s="164"/>
      <c r="M33" s="170"/>
      <c r="N33" s="171"/>
      <c r="O33" s="225">
        <v>972</v>
      </c>
      <c r="P33" s="172"/>
    </row>
    <row r="34" spans="1:16" ht="16.5" customHeight="1" x14ac:dyDescent="0.3">
      <c r="A34" s="147">
        <v>15</v>
      </c>
      <c r="B34" s="147">
        <v>1278</v>
      </c>
      <c r="C34" s="155" t="s">
        <v>6095</v>
      </c>
      <c r="D34" s="167"/>
      <c r="E34" s="150"/>
      <c r="F34" s="168"/>
      <c r="G34" s="150" t="s">
        <v>16916</v>
      </c>
      <c r="H34" s="150" t="s">
        <v>1</v>
      </c>
      <c r="I34" s="151">
        <v>0.7</v>
      </c>
      <c r="J34" s="162" t="s">
        <v>5895</v>
      </c>
      <c r="K34" s="163" t="s">
        <v>1</v>
      </c>
      <c r="L34" s="164">
        <v>1</v>
      </c>
      <c r="M34" s="170"/>
      <c r="N34" s="171"/>
      <c r="O34" s="225">
        <v>972</v>
      </c>
      <c r="P34" s="172"/>
    </row>
    <row r="35" spans="1:16" ht="16.5" customHeight="1" x14ac:dyDescent="0.3">
      <c r="A35" s="147">
        <v>15</v>
      </c>
      <c r="B35" s="147">
        <v>1279</v>
      </c>
      <c r="C35" s="155" t="s">
        <v>6094</v>
      </c>
      <c r="D35" s="156" t="s">
        <v>16929</v>
      </c>
      <c r="E35" s="160"/>
      <c r="F35" s="158"/>
      <c r="G35" s="159"/>
      <c r="H35" s="160"/>
      <c r="I35" s="161"/>
      <c r="J35" s="162"/>
      <c r="K35" s="163"/>
      <c r="L35" s="164"/>
      <c r="M35" s="170"/>
      <c r="N35" s="171"/>
      <c r="O35" s="225">
        <v>1512</v>
      </c>
      <c r="P35" s="172"/>
    </row>
    <row r="36" spans="1:16" ht="16.5" customHeight="1" x14ac:dyDescent="0.3">
      <c r="A36" s="147">
        <v>15</v>
      </c>
      <c r="B36" s="147">
        <v>1280</v>
      </c>
      <c r="C36" s="155" t="s">
        <v>6093</v>
      </c>
      <c r="D36" s="188" t="s">
        <v>16882</v>
      </c>
      <c r="E36" s="153"/>
      <c r="F36" s="171"/>
      <c r="G36" s="175"/>
      <c r="H36" s="150"/>
      <c r="I36" s="151"/>
      <c r="J36" s="162" t="s">
        <v>5895</v>
      </c>
      <c r="K36" s="163" t="s">
        <v>1</v>
      </c>
      <c r="L36" s="164">
        <v>1</v>
      </c>
      <c r="M36" s="170"/>
      <c r="N36" s="171"/>
      <c r="O36" s="225">
        <v>1512</v>
      </c>
      <c r="P36" s="172"/>
    </row>
    <row r="37" spans="1:16" ht="16.5" customHeight="1" x14ac:dyDescent="0.3">
      <c r="A37" s="147">
        <v>15</v>
      </c>
      <c r="B37" s="147">
        <v>1281</v>
      </c>
      <c r="C37" s="155" t="s">
        <v>6092</v>
      </c>
      <c r="D37" s="188" t="s">
        <v>16928</v>
      </c>
      <c r="E37" s="205">
        <v>1008</v>
      </c>
      <c r="F37" s="171" t="s">
        <v>0</v>
      </c>
      <c r="G37" s="160" t="s">
        <v>16912</v>
      </c>
      <c r="H37" s="160"/>
      <c r="I37" s="161"/>
      <c r="J37" s="162"/>
      <c r="K37" s="163"/>
      <c r="L37" s="164"/>
      <c r="M37" s="170"/>
      <c r="N37" s="171"/>
      <c r="O37" s="225">
        <v>1059</v>
      </c>
      <c r="P37" s="172"/>
    </row>
    <row r="38" spans="1:16" ht="16.5" customHeight="1" x14ac:dyDescent="0.3">
      <c r="A38" s="147">
        <v>15</v>
      </c>
      <c r="B38" s="147">
        <v>1282</v>
      </c>
      <c r="C38" s="155" t="s">
        <v>6091</v>
      </c>
      <c r="D38" s="167"/>
      <c r="E38" s="150"/>
      <c r="F38" s="168"/>
      <c r="G38" s="150" t="s">
        <v>16916</v>
      </c>
      <c r="H38" s="150" t="s">
        <v>1</v>
      </c>
      <c r="I38" s="151">
        <v>0.7</v>
      </c>
      <c r="J38" s="162" t="s">
        <v>5895</v>
      </c>
      <c r="K38" s="163" t="s">
        <v>1</v>
      </c>
      <c r="L38" s="164">
        <v>1</v>
      </c>
      <c r="M38" s="170"/>
      <c r="N38" s="171"/>
      <c r="O38" s="225">
        <v>1059</v>
      </c>
      <c r="P38" s="172"/>
    </row>
    <row r="39" spans="1:16" ht="16.5" customHeight="1" x14ac:dyDescent="0.3">
      <c r="A39" s="147">
        <v>15</v>
      </c>
      <c r="B39" s="147">
        <v>1283</v>
      </c>
      <c r="C39" s="155" t="s">
        <v>6090</v>
      </c>
      <c r="D39" s="156" t="s">
        <v>16927</v>
      </c>
      <c r="E39" s="160"/>
      <c r="F39" s="158"/>
      <c r="G39" s="159"/>
      <c r="H39" s="160"/>
      <c r="I39" s="161"/>
      <c r="J39" s="162"/>
      <c r="K39" s="163"/>
      <c r="L39" s="164"/>
      <c r="M39" s="170"/>
      <c r="N39" s="171"/>
      <c r="O39" s="225">
        <v>1637</v>
      </c>
      <c r="P39" s="172"/>
    </row>
    <row r="40" spans="1:16" ht="16.5" customHeight="1" x14ac:dyDescent="0.3">
      <c r="A40" s="147">
        <v>15</v>
      </c>
      <c r="B40" s="147">
        <v>1284</v>
      </c>
      <c r="C40" s="155" t="s">
        <v>6089</v>
      </c>
      <c r="D40" s="188" t="s">
        <v>16926</v>
      </c>
      <c r="E40" s="153"/>
      <c r="F40" s="171"/>
      <c r="G40" s="175"/>
      <c r="H40" s="150"/>
      <c r="I40" s="151"/>
      <c r="J40" s="162" t="s">
        <v>5895</v>
      </c>
      <c r="K40" s="163" t="s">
        <v>1</v>
      </c>
      <c r="L40" s="164">
        <v>1</v>
      </c>
      <c r="M40" s="170"/>
      <c r="N40" s="171"/>
      <c r="O40" s="225">
        <v>1637</v>
      </c>
      <c r="P40" s="172"/>
    </row>
    <row r="41" spans="1:16" ht="16.5" customHeight="1" x14ac:dyDescent="0.3">
      <c r="A41" s="147">
        <v>15</v>
      </c>
      <c r="B41" s="147">
        <v>1285</v>
      </c>
      <c r="C41" s="155" t="s">
        <v>6088</v>
      </c>
      <c r="D41" s="188" t="s">
        <v>16925</v>
      </c>
      <c r="E41" s="205">
        <v>1091</v>
      </c>
      <c r="F41" s="171" t="s">
        <v>0</v>
      </c>
      <c r="G41" s="160" t="s">
        <v>16912</v>
      </c>
      <c r="H41" s="160"/>
      <c r="I41" s="161"/>
      <c r="J41" s="162"/>
      <c r="K41" s="163"/>
      <c r="L41" s="164"/>
      <c r="M41" s="170"/>
      <c r="N41" s="171"/>
      <c r="O41" s="225">
        <v>1146</v>
      </c>
      <c r="P41" s="172"/>
    </row>
    <row r="42" spans="1:16" ht="16.5" customHeight="1" x14ac:dyDescent="0.3">
      <c r="A42" s="147">
        <v>15</v>
      </c>
      <c r="B42" s="147">
        <v>1286</v>
      </c>
      <c r="C42" s="155" t="s">
        <v>6087</v>
      </c>
      <c r="D42" s="167"/>
      <c r="E42" s="150"/>
      <c r="F42" s="168"/>
      <c r="G42" s="150" t="s">
        <v>16812</v>
      </c>
      <c r="H42" s="150" t="s">
        <v>1</v>
      </c>
      <c r="I42" s="151">
        <v>0.7</v>
      </c>
      <c r="J42" s="162" t="s">
        <v>5895</v>
      </c>
      <c r="K42" s="163" t="s">
        <v>1</v>
      </c>
      <c r="L42" s="164">
        <v>1</v>
      </c>
      <c r="M42" s="170"/>
      <c r="N42" s="171"/>
      <c r="O42" s="225">
        <v>1146</v>
      </c>
      <c r="P42" s="172"/>
    </row>
    <row r="43" spans="1:16" ht="16.5" customHeight="1" x14ac:dyDescent="0.3">
      <c r="A43" s="147">
        <v>15</v>
      </c>
      <c r="B43" s="147">
        <v>1287</v>
      </c>
      <c r="C43" s="155" t="s">
        <v>6086</v>
      </c>
      <c r="D43" s="156" t="s">
        <v>16924</v>
      </c>
      <c r="E43" s="160"/>
      <c r="F43" s="158"/>
      <c r="G43" s="159"/>
      <c r="H43" s="160"/>
      <c r="I43" s="161"/>
      <c r="J43" s="162"/>
      <c r="K43" s="163"/>
      <c r="L43" s="164"/>
      <c r="M43" s="170"/>
      <c r="N43" s="171"/>
      <c r="O43" s="225">
        <v>1761</v>
      </c>
      <c r="P43" s="172"/>
    </row>
    <row r="44" spans="1:16" ht="16.5" customHeight="1" x14ac:dyDescent="0.3">
      <c r="A44" s="147">
        <v>15</v>
      </c>
      <c r="B44" s="147">
        <v>1288</v>
      </c>
      <c r="C44" s="155" t="s">
        <v>6085</v>
      </c>
      <c r="D44" s="188" t="s">
        <v>16850</v>
      </c>
      <c r="E44" s="153"/>
      <c r="F44" s="171"/>
      <c r="G44" s="175"/>
      <c r="H44" s="150"/>
      <c r="I44" s="151"/>
      <c r="J44" s="162" t="s">
        <v>5895</v>
      </c>
      <c r="K44" s="163" t="s">
        <v>1</v>
      </c>
      <c r="L44" s="164">
        <v>1</v>
      </c>
      <c r="M44" s="170"/>
      <c r="N44" s="171"/>
      <c r="O44" s="225">
        <v>1761</v>
      </c>
      <c r="P44" s="172"/>
    </row>
    <row r="45" spans="1:16" ht="16.5" customHeight="1" x14ac:dyDescent="0.3">
      <c r="A45" s="147">
        <v>15</v>
      </c>
      <c r="B45" s="147">
        <v>1289</v>
      </c>
      <c r="C45" s="155" t="s">
        <v>6084</v>
      </c>
      <c r="D45" s="188" t="s">
        <v>16923</v>
      </c>
      <c r="E45" s="205">
        <v>1174</v>
      </c>
      <c r="F45" s="171" t="s">
        <v>0</v>
      </c>
      <c r="G45" s="160" t="s">
        <v>16912</v>
      </c>
      <c r="H45" s="160"/>
      <c r="I45" s="161"/>
      <c r="J45" s="162"/>
      <c r="K45" s="163"/>
      <c r="L45" s="164"/>
      <c r="M45" s="170"/>
      <c r="N45" s="171"/>
      <c r="O45" s="225">
        <v>1233</v>
      </c>
      <c r="P45" s="172"/>
    </row>
    <row r="46" spans="1:16" ht="16.5" customHeight="1" x14ac:dyDescent="0.3">
      <c r="A46" s="147">
        <v>15</v>
      </c>
      <c r="B46" s="147">
        <v>1290</v>
      </c>
      <c r="C46" s="155" t="s">
        <v>6083</v>
      </c>
      <c r="D46" s="167"/>
      <c r="E46" s="150"/>
      <c r="F46" s="168"/>
      <c r="G46" s="150" t="s">
        <v>16916</v>
      </c>
      <c r="H46" s="150" t="s">
        <v>1</v>
      </c>
      <c r="I46" s="151">
        <v>0.7</v>
      </c>
      <c r="J46" s="162" t="s">
        <v>5895</v>
      </c>
      <c r="K46" s="163" t="s">
        <v>1</v>
      </c>
      <c r="L46" s="164">
        <v>1</v>
      </c>
      <c r="M46" s="170"/>
      <c r="N46" s="171"/>
      <c r="O46" s="225">
        <v>1233</v>
      </c>
      <c r="P46" s="172"/>
    </row>
    <row r="47" spans="1:16" ht="16.5" customHeight="1" x14ac:dyDescent="0.3">
      <c r="A47" s="147">
        <v>15</v>
      </c>
      <c r="B47" s="147">
        <v>1291</v>
      </c>
      <c r="C47" s="155" t="s">
        <v>6082</v>
      </c>
      <c r="D47" s="156" t="s">
        <v>16922</v>
      </c>
      <c r="E47" s="160"/>
      <c r="F47" s="158"/>
      <c r="G47" s="159"/>
      <c r="H47" s="160"/>
      <c r="I47" s="161"/>
      <c r="J47" s="162"/>
      <c r="K47" s="163"/>
      <c r="L47" s="164"/>
      <c r="M47" s="170"/>
      <c r="N47" s="171"/>
      <c r="O47" s="225">
        <v>1886</v>
      </c>
      <c r="P47" s="172"/>
    </row>
    <row r="48" spans="1:16" ht="16.5" customHeight="1" x14ac:dyDescent="0.3">
      <c r="A48" s="147">
        <v>15</v>
      </c>
      <c r="B48" s="147">
        <v>1292</v>
      </c>
      <c r="C48" s="155" t="s">
        <v>6081</v>
      </c>
      <c r="D48" s="188" t="s">
        <v>16921</v>
      </c>
      <c r="E48" s="153"/>
      <c r="F48" s="171"/>
      <c r="G48" s="175"/>
      <c r="H48" s="150"/>
      <c r="I48" s="151"/>
      <c r="J48" s="162" t="s">
        <v>5895</v>
      </c>
      <c r="K48" s="163" t="s">
        <v>1</v>
      </c>
      <c r="L48" s="164">
        <v>1</v>
      </c>
      <c r="M48" s="170"/>
      <c r="N48" s="171"/>
      <c r="O48" s="225">
        <v>1886</v>
      </c>
      <c r="P48" s="172"/>
    </row>
    <row r="49" spans="1:16" ht="16.5" customHeight="1" x14ac:dyDescent="0.3">
      <c r="A49" s="147">
        <v>15</v>
      </c>
      <c r="B49" s="147">
        <v>1293</v>
      </c>
      <c r="C49" s="155" t="s">
        <v>6080</v>
      </c>
      <c r="D49" s="188" t="s">
        <v>16920</v>
      </c>
      <c r="E49" s="205">
        <v>1257</v>
      </c>
      <c r="F49" s="171" t="s">
        <v>0</v>
      </c>
      <c r="G49" s="160" t="s">
        <v>16912</v>
      </c>
      <c r="H49" s="160"/>
      <c r="I49" s="161"/>
      <c r="J49" s="162"/>
      <c r="K49" s="163"/>
      <c r="L49" s="164"/>
      <c r="M49" s="170"/>
      <c r="N49" s="171"/>
      <c r="O49" s="225">
        <v>1320</v>
      </c>
      <c r="P49" s="172"/>
    </row>
    <row r="50" spans="1:16" ht="16.5" customHeight="1" x14ac:dyDescent="0.3">
      <c r="A50" s="147">
        <v>15</v>
      </c>
      <c r="B50" s="147">
        <v>1294</v>
      </c>
      <c r="C50" s="155" t="s">
        <v>6079</v>
      </c>
      <c r="D50" s="167"/>
      <c r="E50" s="150"/>
      <c r="F50" s="168"/>
      <c r="G50" s="150" t="s">
        <v>16916</v>
      </c>
      <c r="H50" s="150" t="s">
        <v>1</v>
      </c>
      <c r="I50" s="151">
        <v>0.7</v>
      </c>
      <c r="J50" s="162" t="s">
        <v>5895</v>
      </c>
      <c r="K50" s="163" t="s">
        <v>1</v>
      </c>
      <c r="L50" s="164">
        <v>1</v>
      </c>
      <c r="M50" s="170"/>
      <c r="N50" s="171"/>
      <c r="O50" s="225">
        <v>1320</v>
      </c>
      <c r="P50" s="172"/>
    </row>
    <row r="51" spans="1:16" ht="16.5" customHeight="1" x14ac:dyDescent="0.3">
      <c r="A51" s="147">
        <v>15</v>
      </c>
      <c r="B51" s="147">
        <v>1295</v>
      </c>
      <c r="C51" s="155" t="s">
        <v>6078</v>
      </c>
      <c r="D51" s="156" t="s">
        <v>16919</v>
      </c>
      <c r="E51" s="160"/>
      <c r="F51" s="158"/>
      <c r="G51" s="159"/>
      <c r="H51" s="160"/>
      <c r="I51" s="161"/>
      <c r="J51" s="162"/>
      <c r="K51" s="163"/>
      <c r="L51" s="164"/>
      <c r="M51" s="170"/>
      <c r="N51" s="171"/>
      <c r="O51" s="225">
        <v>2010</v>
      </c>
      <c r="P51" s="172"/>
    </row>
    <row r="52" spans="1:16" ht="16.5" customHeight="1" x14ac:dyDescent="0.3">
      <c r="A52" s="147">
        <v>15</v>
      </c>
      <c r="B52" s="147">
        <v>1296</v>
      </c>
      <c r="C52" s="155" t="s">
        <v>6077</v>
      </c>
      <c r="D52" s="188" t="s">
        <v>16918</v>
      </c>
      <c r="E52" s="153"/>
      <c r="F52" s="171"/>
      <c r="G52" s="175"/>
      <c r="H52" s="150"/>
      <c r="I52" s="151"/>
      <c r="J52" s="162" t="s">
        <v>5895</v>
      </c>
      <c r="K52" s="163" t="s">
        <v>1</v>
      </c>
      <c r="L52" s="164">
        <v>1</v>
      </c>
      <c r="M52" s="170"/>
      <c r="N52" s="171"/>
      <c r="O52" s="225">
        <v>2010</v>
      </c>
      <c r="P52" s="172"/>
    </row>
    <row r="53" spans="1:16" ht="16.5" customHeight="1" x14ac:dyDescent="0.3">
      <c r="A53" s="147">
        <v>15</v>
      </c>
      <c r="B53" s="147">
        <v>1297</v>
      </c>
      <c r="C53" s="155" t="s">
        <v>6076</v>
      </c>
      <c r="D53" s="188" t="s">
        <v>16917</v>
      </c>
      <c r="E53" s="205">
        <v>1340</v>
      </c>
      <c r="F53" s="171" t="s">
        <v>0</v>
      </c>
      <c r="G53" s="160" t="s">
        <v>16912</v>
      </c>
      <c r="H53" s="160"/>
      <c r="I53" s="161"/>
      <c r="J53" s="162"/>
      <c r="K53" s="163"/>
      <c r="L53" s="164"/>
      <c r="M53" s="170"/>
      <c r="N53" s="171"/>
      <c r="O53" s="225">
        <v>1407</v>
      </c>
      <c r="P53" s="172"/>
    </row>
    <row r="54" spans="1:16" ht="16.5" customHeight="1" x14ac:dyDescent="0.3">
      <c r="A54" s="147">
        <v>15</v>
      </c>
      <c r="B54" s="147">
        <v>1298</v>
      </c>
      <c r="C54" s="155" t="s">
        <v>6075</v>
      </c>
      <c r="D54" s="167"/>
      <c r="E54" s="150"/>
      <c r="F54" s="168"/>
      <c r="G54" s="150" t="s">
        <v>16916</v>
      </c>
      <c r="H54" s="150" t="s">
        <v>1</v>
      </c>
      <c r="I54" s="151">
        <v>0.7</v>
      </c>
      <c r="J54" s="162" t="s">
        <v>5895</v>
      </c>
      <c r="K54" s="163" t="s">
        <v>1</v>
      </c>
      <c r="L54" s="164">
        <v>1</v>
      </c>
      <c r="M54" s="170"/>
      <c r="N54" s="171"/>
      <c r="O54" s="225">
        <v>1407</v>
      </c>
      <c r="P54" s="172"/>
    </row>
    <row r="55" spans="1:16" ht="16.5" customHeight="1" x14ac:dyDescent="0.3">
      <c r="A55" s="147">
        <v>15</v>
      </c>
      <c r="B55" s="147">
        <v>1299</v>
      </c>
      <c r="C55" s="155" t="s">
        <v>6074</v>
      </c>
      <c r="D55" s="156" t="s">
        <v>16915</v>
      </c>
      <c r="E55" s="160"/>
      <c r="F55" s="158"/>
      <c r="G55" s="159"/>
      <c r="H55" s="160"/>
      <c r="I55" s="161"/>
      <c r="J55" s="162"/>
      <c r="K55" s="163"/>
      <c r="L55" s="164"/>
      <c r="M55" s="170"/>
      <c r="N55" s="171"/>
      <c r="O55" s="225">
        <v>2135</v>
      </c>
      <c r="P55" s="172"/>
    </row>
    <row r="56" spans="1:16" ht="16.5" customHeight="1" x14ac:dyDescent="0.3">
      <c r="A56" s="147">
        <v>15</v>
      </c>
      <c r="B56" s="147">
        <v>1300</v>
      </c>
      <c r="C56" s="155" t="s">
        <v>6073</v>
      </c>
      <c r="D56" s="188" t="s">
        <v>16914</v>
      </c>
      <c r="E56" s="153"/>
      <c r="F56" s="171"/>
      <c r="G56" s="175"/>
      <c r="H56" s="150"/>
      <c r="I56" s="151"/>
      <c r="J56" s="162" t="s">
        <v>5895</v>
      </c>
      <c r="K56" s="163" t="s">
        <v>1</v>
      </c>
      <c r="L56" s="164">
        <v>1</v>
      </c>
      <c r="M56" s="170"/>
      <c r="N56" s="171"/>
      <c r="O56" s="225">
        <v>2135</v>
      </c>
      <c r="P56" s="172"/>
    </row>
    <row r="57" spans="1:16" ht="16.5" customHeight="1" x14ac:dyDescent="0.3">
      <c r="A57" s="147">
        <v>15</v>
      </c>
      <c r="B57" s="147">
        <v>1301</v>
      </c>
      <c r="C57" s="155" t="s">
        <v>6072</v>
      </c>
      <c r="D57" s="188" t="s">
        <v>16913</v>
      </c>
      <c r="E57" s="205">
        <v>1423</v>
      </c>
      <c r="F57" s="171" t="s">
        <v>0</v>
      </c>
      <c r="G57" s="160" t="s">
        <v>16912</v>
      </c>
      <c r="H57" s="160"/>
      <c r="I57" s="161"/>
      <c r="J57" s="162"/>
      <c r="K57" s="163"/>
      <c r="L57" s="164"/>
      <c r="M57" s="170"/>
      <c r="N57" s="171"/>
      <c r="O57" s="225">
        <v>1494</v>
      </c>
      <c r="P57" s="172"/>
    </row>
    <row r="58" spans="1:16" ht="16.5" customHeight="1" x14ac:dyDescent="0.3">
      <c r="A58" s="147">
        <v>15</v>
      </c>
      <c r="B58" s="147">
        <v>1302</v>
      </c>
      <c r="C58" s="155" t="s">
        <v>6071</v>
      </c>
      <c r="D58" s="167"/>
      <c r="E58" s="150"/>
      <c r="F58" s="168"/>
      <c r="G58" s="150" t="s">
        <v>16812</v>
      </c>
      <c r="H58" s="150" t="s">
        <v>1</v>
      </c>
      <c r="I58" s="151">
        <v>0.7</v>
      </c>
      <c r="J58" s="162" t="s">
        <v>5895</v>
      </c>
      <c r="K58" s="163" t="s">
        <v>1</v>
      </c>
      <c r="L58" s="164">
        <v>1</v>
      </c>
      <c r="M58" s="176"/>
      <c r="N58" s="168"/>
      <c r="O58" s="225">
        <v>1494</v>
      </c>
      <c r="P58" s="177"/>
    </row>
    <row r="59" spans="1:16" ht="16.5" customHeight="1" x14ac:dyDescent="0.3"/>
    <row r="60" spans="1:16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7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0000"/>
    <pageSetUpPr fitToPage="1"/>
  </sheetPr>
  <dimension ref="A1:X349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734375" style="45" bestFit="1" customWidth="1"/>
    <col min="5" max="5" width="4.1015625" style="46" bestFit="1" customWidth="1"/>
    <col min="6" max="6" width="4.734375" style="46" bestFit="1" customWidth="1"/>
    <col min="7" max="7" width="16.62890625" style="46" customWidth="1"/>
    <col min="8" max="8" width="3.1015625" style="46" bestFit="1" customWidth="1"/>
    <col min="9" max="9" width="4.1015625" style="47" bestFit="1" customWidth="1"/>
    <col min="10" max="10" width="24.62890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16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18003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>
        <v>8191</v>
      </c>
      <c r="C7" s="60" t="s">
        <v>8938</v>
      </c>
      <c r="D7" s="233" t="s">
        <v>18002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ROUND((_15_同援日０．５*(1+_15・A早朝)),0)</f>
        <v>230</v>
      </c>
      <c r="X7" s="52" t="s">
        <v>5863</v>
      </c>
    </row>
    <row r="8" spans="1:24" ht="16.5" customHeight="1" x14ac:dyDescent="0.3">
      <c r="A8" s="2">
        <v>15</v>
      </c>
      <c r="B8" s="2">
        <v>8192</v>
      </c>
      <c r="C8" s="60" t="s">
        <v>8937</v>
      </c>
      <c r="D8" s="1" t="s">
        <v>5999</v>
      </c>
      <c r="E8" s="68"/>
      <c r="F8" s="70"/>
      <c r="G8" s="66"/>
      <c r="H8" s="57"/>
      <c r="I8" s="58"/>
      <c r="J8" s="83" t="s">
        <v>5895</v>
      </c>
      <c r="K8" s="64" t="s">
        <v>1</v>
      </c>
      <c r="L8" s="65">
        <v>1</v>
      </c>
      <c r="M8" s="99"/>
      <c r="N8" s="70"/>
      <c r="O8" s="67"/>
      <c r="P8" s="68"/>
      <c r="Q8" s="76"/>
      <c r="R8" s="70"/>
      <c r="S8" s="67"/>
      <c r="T8" s="68"/>
      <c r="U8" s="76"/>
      <c r="V8" s="70"/>
      <c r="W8" s="120">
        <f>ROUND((ROUND((_15_同援日０．５*_15・２人),0)*(1+_15・A早朝)),0)</f>
        <v>230</v>
      </c>
      <c r="X8" s="69"/>
    </row>
    <row r="9" spans="1:24" ht="16.5" customHeight="1" x14ac:dyDescent="0.3">
      <c r="A9" s="2">
        <v>15</v>
      </c>
      <c r="B9" s="2">
        <v>8193</v>
      </c>
      <c r="C9" s="60" t="s">
        <v>8936</v>
      </c>
      <c r="D9" s="1"/>
      <c r="E9" s="68"/>
      <c r="F9" s="70"/>
      <c r="G9" s="74" t="s">
        <v>17972</v>
      </c>
      <c r="H9" s="62"/>
      <c r="I9" s="63"/>
      <c r="J9" s="85"/>
      <c r="K9" s="64"/>
      <c r="L9" s="65"/>
      <c r="M9" s="99"/>
      <c r="N9" s="70"/>
      <c r="O9" s="67"/>
      <c r="P9" s="68"/>
      <c r="Q9" s="76"/>
      <c r="R9" s="70"/>
      <c r="S9" s="67"/>
      <c r="T9" s="68"/>
      <c r="U9" s="76"/>
      <c r="V9" s="70"/>
      <c r="W9" s="120">
        <f>ROUND((ROUND((_15_同援日０．５*_15・基礎２),0)*(1+_15・A早朝)),0)</f>
        <v>208</v>
      </c>
      <c r="X9" s="69"/>
    </row>
    <row r="10" spans="1:24" ht="16.5" customHeight="1" x14ac:dyDescent="0.3">
      <c r="A10" s="2">
        <v>15</v>
      </c>
      <c r="B10" s="2">
        <v>8194</v>
      </c>
      <c r="C10" s="60" t="s">
        <v>8935</v>
      </c>
      <c r="D10" s="1"/>
      <c r="E10" s="119">
        <v>184</v>
      </c>
      <c r="F10" s="70" t="s">
        <v>0</v>
      </c>
      <c r="G10" s="106" t="s">
        <v>16812</v>
      </c>
      <c r="H10" s="57" t="s">
        <v>1</v>
      </c>
      <c r="I10" s="58">
        <v>0.9</v>
      </c>
      <c r="J10" s="83" t="s">
        <v>5895</v>
      </c>
      <c r="K10" s="64" t="s">
        <v>1</v>
      </c>
      <c r="L10" s="65">
        <v>1</v>
      </c>
      <c r="M10" s="99"/>
      <c r="N10" s="70"/>
      <c r="O10" s="66"/>
      <c r="P10" s="57"/>
      <c r="Q10" s="58"/>
      <c r="R10" s="77"/>
      <c r="S10" s="67"/>
      <c r="T10" s="68"/>
      <c r="U10" s="76"/>
      <c r="V10" s="70"/>
      <c r="W10" s="120">
        <f>ROUND((ROUND((ROUND((_15_同援日０．５*_15・基礎２),0)*_15・２人),0)*(1+_15・A早朝)),0)</f>
        <v>208</v>
      </c>
      <c r="X10" s="69"/>
    </row>
    <row r="11" spans="1:24" ht="16.5" customHeight="1" x14ac:dyDescent="0.3">
      <c r="A11" s="2">
        <v>15</v>
      </c>
      <c r="B11" s="2">
        <v>8195</v>
      </c>
      <c r="C11" s="60" t="s">
        <v>8934</v>
      </c>
      <c r="D11" s="1"/>
      <c r="E11" s="68"/>
      <c r="F11" s="70"/>
      <c r="G11" s="61"/>
      <c r="H11" s="62"/>
      <c r="I11" s="63"/>
      <c r="J11" s="85"/>
      <c r="K11" s="64"/>
      <c r="L11" s="65"/>
      <c r="M11" s="99"/>
      <c r="N11" s="70"/>
      <c r="O11" s="74" t="s">
        <v>17969</v>
      </c>
      <c r="P11" s="62"/>
      <c r="Q11" s="63"/>
      <c r="R11" s="75"/>
      <c r="S11" s="67"/>
      <c r="T11" s="68"/>
      <c r="U11" s="76"/>
      <c r="V11" s="70"/>
      <c r="W11" s="120">
        <f>ROUND((ROUND((_15_同援日０．５*(1+_15・A早朝)),0)*(1+_15・盲ろう)),0)</f>
        <v>288</v>
      </c>
      <c r="X11" s="69"/>
    </row>
    <row r="12" spans="1:24" ht="16.5" customHeight="1" x14ac:dyDescent="0.3">
      <c r="A12" s="2">
        <v>15</v>
      </c>
      <c r="B12" s="2">
        <v>8196</v>
      </c>
      <c r="C12" s="60" t="s">
        <v>8933</v>
      </c>
      <c r="D12" s="1"/>
      <c r="E12" s="68"/>
      <c r="F12" s="70"/>
      <c r="G12" s="66"/>
      <c r="H12" s="57"/>
      <c r="I12" s="58"/>
      <c r="J12" s="83" t="s">
        <v>5895</v>
      </c>
      <c r="K12" s="64" t="s">
        <v>1</v>
      </c>
      <c r="L12" s="65">
        <v>1</v>
      </c>
      <c r="M12" s="99" t="s">
        <v>7895</v>
      </c>
      <c r="N12" s="70"/>
      <c r="O12" s="94" t="s">
        <v>8083</v>
      </c>
      <c r="P12" s="68"/>
      <c r="Q12" s="76"/>
      <c r="R12" s="70"/>
      <c r="S12" s="67"/>
      <c r="T12" s="68"/>
      <c r="U12" s="76"/>
      <c r="V12" s="70"/>
      <c r="W12" s="120">
        <f>ROUND((ROUND((ROUND((_15_同援日０．５*_15・２人),0)*(1+_15・A早朝)),0)*(1+_15・盲ろう)),0)</f>
        <v>288</v>
      </c>
      <c r="X12" s="69"/>
    </row>
    <row r="13" spans="1:24" ht="16.5" customHeight="1" x14ac:dyDescent="0.3">
      <c r="A13" s="2">
        <v>15</v>
      </c>
      <c r="B13" s="2">
        <v>8197</v>
      </c>
      <c r="C13" s="60" t="s">
        <v>8932</v>
      </c>
      <c r="D13" s="1"/>
      <c r="E13" s="68"/>
      <c r="F13" s="70"/>
      <c r="G13" s="74" t="s">
        <v>5898</v>
      </c>
      <c r="H13" s="62"/>
      <c r="I13" s="63"/>
      <c r="J13" s="85"/>
      <c r="K13" s="64"/>
      <c r="L13" s="65"/>
      <c r="M13" s="99"/>
      <c r="N13" s="100" t="s">
        <v>8034</v>
      </c>
      <c r="O13" s="67"/>
      <c r="P13" s="68" t="s">
        <v>1</v>
      </c>
      <c r="Q13" s="76">
        <v>0.25</v>
      </c>
      <c r="R13" s="70" t="s">
        <v>422</v>
      </c>
      <c r="S13" s="67"/>
      <c r="T13" s="68"/>
      <c r="U13" s="76"/>
      <c r="V13" s="70"/>
      <c r="W13" s="120">
        <f>ROUND((ROUND((ROUND((_15_同援日０．５*_15・基礎２),0)*(1+_15・A早朝)),0)*(1+_15・盲ろう)),0)</f>
        <v>260</v>
      </c>
      <c r="X13" s="69"/>
    </row>
    <row r="14" spans="1:24" ht="16.5" customHeight="1" x14ac:dyDescent="0.3">
      <c r="A14" s="2">
        <v>15</v>
      </c>
      <c r="B14" s="2">
        <v>8198</v>
      </c>
      <c r="C14" s="60" t="s">
        <v>8931</v>
      </c>
      <c r="D14" s="1"/>
      <c r="E14" s="68"/>
      <c r="F14" s="70"/>
      <c r="G14" s="106" t="s">
        <v>5896</v>
      </c>
      <c r="H14" s="57" t="s">
        <v>1</v>
      </c>
      <c r="I14" s="58">
        <v>0.9</v>
      </c>
      <c r="J14" s="83" t="s">
        <v>5895</v>
      </c>
      <c r="K14" s="64" t="s">
        <v>1</v>
      </c>
      <c r="L14" s="65">
        <v>1</v>
      </c>
      <c r="M14" s="99"/>
      <c r="N14" s="70"/>
      <c r="O14" s="66"/>
      <c r="P14" s="57"/>
      <c r="Q14" s="58"/>
      <c r="R14" s="77"/>
      <c r="S14" s="66"/>
      <c r="T14" s="57"/>
      <c r="U14" s="58"/>
      <c r="V14" s="77"/>
      <c r="W14" s="120">
        <f>ROUND((ROUND((ROUND((ROUND((_15_同援日０．５*_15・基礎２),0)*_15・２人),0)*(1+_15・A早朝)),0)*(1+_15・盲ろう)),0)</f>
        <v>260</v>
      </c>
      <c r="X14" s="69"/>
    </row>
    <row r="15" spans="1:24" ht="16.5" customHeight="1" x14ac:dyDescent="0.3">
      <c r="A15" s="2">
        <v>15</v>
      </c>
      <c r="B15" s="2">
        <v>8199</v>
      </c>
      <c r="C15" s="60" t="s">
        <v>8930</v>
      </c>
      <c r="D15" s="1"/>
      <c r="E15" s="68"/>
      <c r="F15" s="70"/>
      <c r="G15" s="61"/>
      <c r="H15" s="62"/>
      <c r="I15" s="63"/>
      <c r="J15" s="85"/>
      <c r="K15" s="64"/>
      <c r="L15" s="65"/>
      <c r="M15" s="67" t="s">
        <v>1</v>
      </c>
      <c r="N15" s="93">
        <v>0.25</v>
      </c>
      <c r="O15" s="61"/>
      <c r="P15" s="62"/>
      <c r="Q15" s="63"/>
      <c r="R15" s="75"/>
      <c r="S15" s="61"/>
      <c r="T15" s="62"/>
      <c r="U15" s="63"/>
      <c r="V15" s="75"/>
      <c r="W15" s="120">
        <f>ROUND((ROUND((_15_同援日０．５*(1+_15・A早朝)),0)*(1+_15・区３)),0)</f>
        <v>276</v>
      </c>
      <c r="X15" s="69"/>
    </row>
    <row r="16" spans="1:24" ht="16.5" customHeight="1" x14ac:dyDescent="0.3">
      <c r="A16" s="2">
        <v>15</v>
      </c>
      <c r="B16" s="2">
        <v>8200</v>
      </c>
      <c r="C16" s="60" t="s">
        <v>8929</v>
      </c>
      <c r="D16" s="1"/>
      <c r="E16" s="68"/>
      <c r="F16" s="70"/>
      <c r="G16" s="66"/>
      <c r="H16" s="57"/>
      <c r="I16" s="58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7"/>
      <c r="P16" s="68"/>
      <c r="Q16" s="76"/>
      <c r="R16" s="70"/>
      <c r="S16" s="67"/>
      <c r="T16" s="68"/>
      <c r="U16" s="76"/>
      <c r="V16" s="70"/>
      <c r="W16" s="120">
        <f>ROUND((ROUND((ROUND((_15_同援日０．５*_15・２人),0)*(1+_15・A早朝)),0)*(1+_15・区３)),0)</f>
        <v>276</v>
      </c>
      <c r="X16" s="69"/>
    </row>
    <row r="17" spans="1:24" ht="16.5" customHeight="1" x14ac:dyDescent="0.3">
      <c r="A17" s="2">
        <v>15</v>
      </c>
      <c r="B17" s="2">
        <v>8201</v>
      </c>
      <c r="C17" s="60" t="s">
        <v>8928</v>
      </c>
      <c r="D17" s="1"/>
      <c r="E17" s="68"/>
      <c r="F17" s="70"/>
      <c r="G17" s="74" t="s">
        <v>16823</v>
      </c>
      <c r="H17" s="62"/>
      <c r="I17" s="63"/>
      <c r="J17" s="85"/>
      <c r="K17" s="64"/>
      <c r="L17" s="65"/>
      <c r="M17" s="99"/>
      <c r="N17" s="70"/>
      <c r="O17" s="67"/>
      <c r="P17" s="68"/>
      <c r="Q17" s="76"/>
      <c r="R17" s="70"/>
      <c r="S17" s="1" t="s">
        <v>17974</v>
      </c>
      <c r="T17" s="68"/>
      <c r="U17" s="76"/>
      <c r="V17" s="70"/>
      <c r="W17" s="120">
        <f>ROUND((ROUND((ROUND((_15_同援日０．５*_15・基礎２),0)*(1+_15・A早朝)),0)*(1+_15・区３)),0)</f>
        <v>250</v>
      </c>
      <c r="X17" s="69"/>
    </row>
    <row r="18" spans="1:24" ht="16.5" customHeight="1" x14ac:dyDescent="0.3">
      <c r="A18" s="2">
        <v>15</v>
      </c>
      <c r="B18" s="2">
        <v>8202</v>
      </c>
      <c r="C18" s="60" t="s">
        <v>8927</v>
      </c>
      <c r="D18" s="1"/>
      <c r="E18" s="68"/>
      <c r="F18" s="70"/>
      <c r="G18" s="106" t="s">
        <v>17864</v>
      </c>
      <c r="H18" s="57" t="s">
        <v>1</v>
      </c>
      <c r="I18" s="58">
        <v>0.9</v>
      </c>
      <c r="J18" s="83" t="s">
        <v>5895</v>
      </c>
      <c r="K18" s="64" t="s">
        <v>1</v>
      </c>
      <c r="L18" s="65">
        <v>1</v>
      </c>
      <c r="M18" s="99"/>
      <c r="N18" s="70"/>
      <c r="O18" s="66"/>
      <c r="P18" s="57"/>
      <c r="Q18" s="58"/>
      <c r="R18" s="77"/>
      <c r="S18" s="1" t="s">
        <v>17970</v>
      </c>
      <c r="T18" s="68"/>
      <c r="U18" s="76"/>
      <c r="V18" s="70"/>
      <c r="W18" s="120">
        <f>ROUND((ROUND((ROUND((ROUND((_15_同援日０．５*_15・基礎２),0)*_15・２人),0)*(1+_15・A早朝)),0)*(1+_15・区３)),0)</f>
        <v>250</v>
      </c>
      <c r="X18" s="69"/>
    </row>
    <row r="19" spans="1:24" ht="16.5" customHeight="1" x14ac:dyDescent="0.3">
      <c r="A19" s="2">
        <v>15</v>
      </c>
      <c r="B19" s="2">
        <v>8203</v>
      </c>
      <c r="C19" s="60" t="s">
        <v>8926</v>
      </c>
      <c r="D19" s="1"/>
      <c r="E19" s="68"/>
      <c r="F19" s="70"/>
      <c r="G19" s="61"/>
      <c r="H19" s="62"/>
      <c r="I19" s="63"/>
      <c r="J19" s="85"/>
      <c r="K19" s="64"/>
      <c r="L19" s="65"/>
      <c r="M19" s="99"/>
      <c r="N19" s="70"/>
      <c r="O19" s="74" t="s">
        <v>17969</v>
      </c>
      <c r="P19" s="62"/>
      <c r="Q19" s="63"/>
      <c r="R19" s="75"/>
      <c r="S19" s="67"/>
      <c r="T19" s="68" t="s">
        <v>1</v>
      </c>
      <c r="U19" s="76">
        <v>0.2</v>
      </c>
      <c r="V19" s="70" t="s">
        <v>422</v>
      </c>
      <c r="W19" s="120">
        <f>ROUND((ROUND((ROUND((_15_同援日０．５*(1+_15・A早朝)),0)*(1+_15・盲ろう)),0)*(1+_15・区３)),0)</f>
        <v>346</v>
      </c>
      <c r="X19" s="69"/>
    </row>
    <row r="20" spans="1:24" ht="16.5" customHeight="1" x14ac:dyDescent="0.3">
      <c r="A20" s="2">
        <v>15</v>
      </c>
      <c r="B20" s="2">
        <v>8204</v>
      </c>
      <c r="C20" s="60" t="s">
        <v>8925</v>
      </c>
      <c r="D20" s="1"/>
      <c r="E20" s="68"/>
      <c r="F20" s="70"/>
      <c r="G20" s="66"/>
      <c r="H20" s="57"/>
      <c r="I20" s="58"/>
      <c r="J20" s="83" t="s">
        <v>5895</v>
      </c>
      <c r="K20" s="64" t="s">
        <v>1</v>
      </c>
      <c r="L20" s="65">
        <v>1</v>
      </c>
      <c r="M20" s="99"/>
      <c r="N20" s="70"/>
      <c r="O20" s="94" t="s">
        <v>8083</v>
      </c>
      <c r="P20" s="68"/>
      <c r="Q20" s="76"/>
      <c r="R20" s="70"/>
      <c r="S20" s="67"/>
      <c r="T20" s="68"/>
      <c r="U20" s="76"/>
      <c r="V20" s="70"/>
      <c r="W20" s="120">
        <f>ROUND((ROUND((ROUND((ROUND((_15_同援日０．５*_15・２人),0)*(1+_15・A早朝)),0)*(1+_15・盲ろう)),0)*(1+_15・区３)),0)</f>
        <v>346</v>
      </c>
      <c r="X20" s="69"/>
    </row>
    <row r="21" spans="1:24" ht="16.5" customHeight="1" x14ac:dyDescent="0.3">
      <c r="A21" s="2">
        <v>15</v>
      </c>
      <c r="B21" s="2">
        <v>8205</v>
      </c>
      <c r="C21" s="60" t="s">
        <v>8924</v>
      </c>
      <c r="D21" s="1"/>
      <c r="E21" s="68"/>
      <c r="F21" s="70"/>
      <c r="G21" s="74" t="s">
        <v>16823</v>
      </c>
      <c r="H21" s="62"/>
      <c r="I21" s="63"/>
      <c r="J21" s="85"/>
      <c r="K21" s="64"/>
      <c r="L21" s="65"/>
      <c r="M21" s="99"/>
      <c r="N21" s="70"/>
      <c r="O21" s="67"/>
      <c r="P21" s="68" t="s">
        <v>1</v>
      </c>
      <c r="Q21" s="76">
        <v>0.25</v>
      </c>
      <c r="R21" s="70" t="s">
        <v>422</v>
      </c>
      <c r="S21" s="67"/>
      <c r="T21" s="68"/>
      <c r="U21" s="76"/>
      <c r="V21" s="70"/>
      <c r="W21" s="120">
        <f>ROUND((ROUND((ROUND((ROUND((_15_同援日０．５*_15・基礎２),0)*(1+_15・A早朝)),0)*(1+_15・盲ろう)),0)*(1+_15・区３)),0)</f>
        <v>312</v>
      </c>
      <c r="X21" s="69"/>
    </row>
    <row r="22" spans="1:24" ht="16.5" customHeight="1" x14ac:dyDescent="0.3">
      <c r="A22" s="2">
        <v>15</v>
      </c>
      <c r="B22" s="2">
        <v>8206</v>
      </c>
      <c r="C22" s="60" t="s">
        <v>8923</v>
      </c>
      <c r="D22" s="1"/>
      <c r="E22" s="68"/>
      <c r="F22" s="70"/>
      <c r="G22" s="106" t="s">
        <v>16812</v>
      </c>
      <c r="H22" s="57" t="s">
        <v>1</v>
      </c>
      <c r="I22" s="58">
        <v>0.9</v>
      </c>
      <c r="J22" s="83" t="s">
        <v>5895</v>
      </c>
      <c r="K22" s="64" t="s">
        <v>1</v>
      </c>
      <c r="L22" s="65">
        <v>1</v>
      </c>
      <c r="M22" s="99"/>
      <c r="N22" s="70"/>
      <c r="O22" s="66"/>
      <c r="P22" s="57"/>
      <c r="Q22" s="58"/>
      <c r="R22" s="77"/>
      <c r="S22" s="66"/>
      <c r="T22" s="57"/>
      <c r="U22" s="58"/>
      <c r="V22" s="77"/>
      <c r="W22" s="120">
        <f>ROUND((ROUND((ROUND((ROUND((ROUND((_15_同援日０．５*_15・基礎２),0)*_15・２人),0)*(1+_15・A早朝)),0)*(1+_15・盲ろう)),0)*(1+_15・区３)),0)</f>
        <v>312</v>
      </c>
      <c r="X22" s="69"/>
    </row>
    <row r="23" spans="1:24" ht="16.5" customHeight="1" x14ac:dyDescent="0.3">
      <c r="A23" s="2">
        <v>15</v>
      </c>
      <c r="B23" s="2">
        <v>8207</v>
      </c>
      <c r="C23" s="60" t="s">
        <v>8922</v>
      </c>
      <c r="D23" s="1"/>
      <c r="E23" s="68"/>
      <c r="F23" s="70"/>
      <c r="G23" s="61"/>
      <c r="H23" s="62"/>
      <c r="I23" s="63"/>
      <c r="J23" s="85"/>
      <c r="K23" s="64"/>
      <c r="L23" s="65"/>
      <c r="M23" s="99"/>
      <c r="N23" s="70"/>
      <c r="O23" s="61"/>
      <c r="P23" s="62"/>
      <c r="Q23" s="63"/>
      <c r="R23" s="75"/>
      <c r="S23" s="61"/>
      <c r="T23" s="62"/>
      <c r="U23" s="63"/>
      <c r="V23" s="75"/>
      <c r="W23" s="120">
        <f>ROUND((ROUND((_15_同援日０．５*(1+_15・A早朝)),0)*(1+_15・区４)),0)</f>
        <v>322</v>
      </c>
      <c r="X23" s="69"/>
    </row>
    <row r="24" spans="1:24" ht="16.5" customHeight="1" x14ac:dyDescent="0.3">
      <c r="A24" s="2">
        <v>15</v>
      </c>
      <c r="B24" s="2">
        <v>8208</v>
      </c>
      <c r="C24" s="60" t="s">
        <v>8921</v>
      </c>
      <c r="D24" s="1"/>
      <c r="E24" s="68"/>
      <c r="F24" s="70"/>
      <c r="G24" s="66"/>
      <c r="H24" s="57"/>
      <c r="I24" s="58"/>
      <c r="J24" s="83" t="s">
        <v>5895</v>
      </c>
      <c r="K24" s="64" t="s">
        <v>1</v>
      </c>
      <c r="L24" s="65">
        <v>1</v>
      </c>
      <c r="M24" s="99"/>
      <c r="N24" s="70"/>
      <c r="O24" s="67"/>
      <c r="P24" s="68"/>
      <c r="Q24" s="76"/>
      <c r="R24" s="70"/>
      <c r="S24" s="67"/>
      <c r="T24" s="68"/>
      <c r="U24" s="76"/>
      <c r="V24" s="70"/>
      <c r="W24" s="120">
        <f>ROUND((ROUND((ROUND((_15_同援日０．５*_15・２人),0)*(1+_15・A早朝)),0)*(1+_15・区４)),0)</f>
        <v>322</v>
      </c>
      <c r="X24" s="69"/>
    </row>
    <row r="25" spans="1:24" ht="16.5" customHeight="1" x14ac:dyDescent="0.3">
      <c r="A25" s="2">
        <v>15</v>
      </c>
      <c r="B25" s="2">
        <v>8209</v>
      </c>
      <c r="C25" s="60" t="s">
        <v>8920</v>
      </c>
      <c r="D25" s="1"/>
      <c r="E25" s="68"/>
      <c r="F25" s="70"/>
      <c r="G25" s="74" t="s">
        <v>16823</v>
      </c>
      <c r="H25" s="62"/>
      <c r="I25" s="63"/>
      <c r="J25" s="85"/>
      <c r="K25" s="64"/>
      <c r="L25" s="65"/>
      <c r="M25" s="99"/>
      <c r="N25" s="70"/>
      <c r="O25" s="67"/>
      <c r="P25" s="68"/>
      <c r="Q25" s="76"/>
      <c r="R25" s="70"/>
      <c r="S25" s="1" t="s">
        <v>17971</v>
      </c>
      <c r="T25" s="68"/>
      <c r="U25" s="76"/>
      <c r="V25" s="70"/>
      <c r="W25" s="120">
        <f>ROUND((ROUND((ROUND((_15_同援日０．５*_15・基礎２),0)*(1+_15・A早朝)),0)*(1+_15・区４)),0)</f>
        <v>291</v>
      </c>
      <c r="X25" s="69"/>
    </row>
    <row r="26" spans="1:24" ht="16.5" customHeight="1" x14ac:dyDescent="0.3">
      <c r="A26" s="2">
        <v>15</v>
      </c>
      <c r="B26" s="2">
        <v>8210</v>
      </c>
      <c r="C26" s="60" t="s">
        <v>8919</v>
      </c>
      <c r="D26" s="1"/>
      <c r="E26" s="68"/>
      <c r="F26" s="70"/>
      <c r="G26" s="106" t="s">
        <v>17864</v>
      </c>
      <c r="H26" s="57" t="s">
        <v>1</v>
      </c>
      <c r="I26" s="58">
        <v>0.9</v>
      </c>
      <c r="J26" s="83" t="s">
        <v>5895</v>
      </c>
      <c r="K26" s="64" t="s">
        <v>1</v>
      </c>
      <c r="L26" s="65">
        <v>1</v>
      </c>
      <c r="M26" s="99"/>
      <c r="N26" s="70"/>
      <c r="O26" s="66"/>
      <c r="P26" s="57"/>
      <c r="Q26" s="58"/>
      <c r="R26" s="77"/>
      <c r="S26" s="1" t="s">
        <v>17970</v>
      </c>
      <c r="T26" s="68"/>
      <c r="U26" s="76"/>
      <c r="V26" s="70"/>
      <c r="W26" s="120">
        <f>ROUND((ROUND((ROUND((ROUND((_15_同援日０．５*_15・基礎２),0)*_15・２人),0)*(1+_15・A早朝)),0)*(1+_15・区４)),0)</f>
        <v>291</v>
      </c>
      <c r="X26" s="69"/>
    </row>
    <row r="27" spans="1:24" ht="16.5" customHeight="1" x14ac:dyDescent="0.3">
      <c r="A27" s="2">
        <v>15</v>
      </c>
      <c r="B27" s="2">
        <v>8211</v>
      </c>
      <c r="C27" s="60" t="s">
        <v>8918</v>
      </c>
      <c r="D27" s="1"/>
      <c r="E27" s="68"/>
      <c r="F27" s="70"/>
      <c r="G27" s="61"/>
      <c r="H27" s="62"/>
      <c r="I27" s="63"/>
      <c r="J27" s="85"/>
      <c r="K27" s="64"/>
      <c r="L27" s="65"/>
      <c r="M27" s="99"/>
      <c r="N27" s="70"/>
      <c r="O27" s="74" t="s">
        <v>18000</v>
      </c>
      <c r="P27" s="62"/>
      <c r="Q27" s="63"/>
      <c r="R27" s="75"/>
      <c r="S27" s="67"/>
      <c r="T27" s="68" t="s">
        <v>1</v>
      </c>
      <c r="U27" s="76">
        <v>0.4</v>
      </c>
      <c r="V27" s="70" t="s">
        <v>422</v>
      </c>
      <c r="W27" s="120">
        <f>ROUND((ROUND((ROUND((_15_同援日０．５*(1+_15・A早朝)),0)*(1+_15・盲ろう)),0)*(1+_15・区４)),0)</f>
        <v>403</v>
      </c>
      <c r="X27" s="69"/>
    </row>
    <row r="28" spans="1:24" ht="16.5" customHeight="1" x14ac:dyDescent="0.3">
      <c r="A28" s="2">
        <v>15</v>
      </c>
      <c r="B28" s="2">
        <v>8212</v>
      </c>
      <c r="C28" s="60" t="s">
        <v>8917</v>
      </c>
      <c r="D28" s="1"/>
      <c r="E28" s="68"/>
      <c r="F28" s="70"/>
      <c r="G28" s="66"/>
      <c r="H28" s="57"/>
      <c r="I28" s="58"/>
      <c r="J28" s="83" t="s">
        <v>5895</v>
      </c>
      <c r="K28" s="64" t="s">
        <v>1</v>
      </c>
      <c r="L28" s="65">
        <v>1</v>
      </c>
      <c r="M28" s="99"/>
      <c r="N28" s="70"/>
      <c r="O28" s="94" t="s">
        <v>17968</v>
      </c>
      <c r="P28" s="68"/>
      <c r="Q28" s="76"/>
      <c r="R28" s="70"/>
      <c r="S28" s="67"/>
      <c r="T28" s="68"/>
      <c r="U28" s="76"/>
      <c r="V28" s="70"/>
      <c r="W28" s="120">
        <f>ROUND((ROUND((ROUND((ROUND((_15_同援日０．５*_15・２人),0)*(1+_15・A早朝)),0)*(1+_15・盲ろう)),0)*(1+_15・区４)),0)</f>
        <v>403</v>
      </c>
      <c r="X28" s="69"/>
    </row>
    <row r="29" spans="1:24" ht="16.5" customHeight="1" x14ac:dyDescent="0.3">
      <c r="A29" s="2">
        <v>15</v>
      </c>
      <c r="B29" s="2">
        <v>8213</v>
      </c>
      <c r="C29" s="60" t="s">
        <v>8916</v>
      </c>
      <c r="D29" s="1"/>
      <c r="E29" s="68"/>
      <c r="F29" s="70"/>
      <c r="G29" s="74" t="s">
        <v>16823</v>
      </c>
      <c r="H29" s="62"/>
      <c r="I29" s="63"/>
      <c r="J29" s="85"/>
      <c r="K29" s="64"/>
      <c r="L29" s="65"/>
      <c r="M29" s="99"/>
      <c r="N29" s="70"/>
      <c r="O29" s="67"/>
      <c r="P29" s="68" t="s">
        <v>1</v>
      </c>
      <c r="Q29" s="76">
        <v>0.25</v>
      </c>
      <c r="R29" s="70" t="s">
        <v>422</v>
      </c>
      <c r="S29" s="67"/>
      <c r="T29" s="68"/>
      <c r="U29" s="76"/>
      <c r="V29" s="70"/>
      <c r="W29" s="120">
        <f>ROUND((ROUND((ROUND((ROUND((_15_同援日０．５*_15・基礎２),0)*(1+_15・A早朝)),0)*(1+_15・盲ろう)),0)*(1+_15・区４)),0)</f>
        <v>364</v>
      </c>
      <c r="X29" s="69"/>
    </row>
    <row r="30" spans="1:24" ht="16.5" customHeight="1" x14ac:dyDescent="0.3">
      <c r="A30" s="2">
        <v>15</v>
      </c>
      <c r="B30" s="2">
        <v>8214</v>
      </c>
      <c r="C30" s="60" t="s">
        <v>8915</v>
      </c>
      <c r="D30" s="81"/>
      <c r="E30" s="57"/>
      <c r="F30" s="77"/>
      <c r="G30" s="106" t="s">
        <v>16812</v>
      </c>
      <c r="H30" s="57" t="s">
        <v>1</v>
      </c>
      <c r="I30" s="58">
        <v>0.9</v>
      </c>
      <c r="J30" s="83" t="s">
        <v>5895</v>
      </c>
      <c r="K30" s="64" t="s">
        <v>1</v>
      </c>
      <c r="L30" s="65">
        <v>1</v>
      </c>
      <c r="M30" s="99"/>
      <c r="N30" s="70"/>
      <c r="O30" s="66"/>
      <c r="P30" s="57"/>
      <c r="Q30" s="58"/>
      <c r="R30" s="77"/>
      <c r="S30" s="66"/>
      <c r="T30" s="57"/>
      <c r="U30" s="58"/>
      <c r="V30" s="77"/>
      <c r="W30" s="120">
        <f>ROUND((ROUND((ROUND((ROUND((ROUND((_15_同援日０．５*_15・基礎２),0)*_15・２人),0)*(1+_15・A早朝)),0)*(1+_15・盲ろう)),0)*(1+_15・区４)),0)</f>
        <v>364</v>
      </c>
      <c r="X30" s="69"/>
    </row>
    <row r="31" spans="1:24" ht="16.5" customHeight="1" x14ac:dyDescent="0.3">
      <c r="A31" s="2">
        <v>15</v>
      </c>
      <c r="B31" s="2">
        <v>8215</v>
      </c>
      <c r="C31" s="60" t="s">
        <v>8914</v>
      </c>
      <c r="D31" s="233" t="s">
        <v>18001</v>
      </c>
      <c r="E31" s="62"/>
      <c r="F31" s="75"/>
      <c r="G31" s="61"/>
      <c r="H31" s="62"/>
      <c r="I31" s="63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228">
        <f>ROUND((_15_同援日１．０*(1+_15・A早朝)),0)</f>
        <v>365</v>
      </c>
      <c r="X31" s="69"/>
    </row>
    <row r="32" spans="1:24" ht="16.5" customHeight="1" x14ac:dyDescent="0.3">
      <c r="A32" s="2">
        <v>15</v>
      </c>
      <c r="B32" s="2">
        <v>8216</v>
      </c>
      <c r="C32" s="60" t="s">
        <v>8913</v>
      </c>
      <c r="D32" s="1" t="s">
        <v>16874</v>
      </c>
      <c r="E32" s="68"/>
      <c r="F32" s="70"/>
      <c r="G32" s="66"/>
      <c r="H32" s="57"/>
      <c r="I32" s="58"/>
      <c r="J32" s="83" t="s">
        <v>5895</v>
      </c>
      <c r="K32" s="64" t="s">
        <v>1</v>
      </c>
      <c r="L32" s="65">
        <v>1</v>
      </c>
      <c r="M32" s="99"/>
      <c r="N32" s="70"/>
      <c r="O32" s="67"/>
      <c r="P32" s="68"/>
      <c r="Q32" s="76"/>
      <c r="R32" s="70"/>
      <c r="S32" s="67"/>
      <c r="T32" s="68"/>
      <c r="U32" s="76"/>
      <c r="V32" s="70"/>
      <c r="W32" s="228">
        <f>ROUND((ROUND((_15_同援日１．０*_15・２人),0)*(1+_15・A早朝)),0)</f>
        <v>365</v>
      </c>
      <c r="X32" s="69"/>
    </row>
    <row r="33" spans="1:24" ht="16.5" customHeight="1" x14ac:dyDescent="0.3">
      <c r="A33" s="2">
        <v>15</v>
      </c>
      <c r="B33" s="2">
        <v>8217</v>
      </c>
      <c r="C33" s="60" t="s">
        <v>8912</v>
      </c>
      <c r="D33" s="1" t="s">
        <v>8572</v>
      </c>
      <c r="E33" s="68"/>
      <c r="F33" s="70"/>
      <c r="G33" s="74" t="s">
        <v>5898</v>
      </c>
      <c r="H33" s="62"/>
      <c r="I33" s="63"/>
      <c r="J33" s="85"/>
      <c r="K33" s="64"/>
      <c r="L33" s="65"/>
      <c r="M33" s="99"/>
      <c r="N33" s="70"/>
      <c r="O33" s="67"/>
      <c r="P33" s="68"/>
      <c r="Q33" s="76"/>
      <c r="R33" s="70"/>
      <c r="S33" s="67"/>
      <c r="T33" s="68"/>
      <c r="U33" s="76"/>
      <c r="V33" s="70"/>
      <c r="W33" s="228">
        <f>ROUND((ROUND((_15_同援日１．０*_15・基礎２),0)*(1+_15・A早朝)),0)</f>
        <v>329</v>
      </c>
      <c r="X33" s="69"/>
    </row>
    <row r="34" spans="1:24" ht="16.5" customHeight="1" x14ac:dyDescent="0.3">
      <c r="A34" s="2">
        <v>15</v>
      </c>
      <c r="B34" s="2">
        <v>8218</v>
      </c>
      <c r="C34" s="60" t="s">
        <v>8911</v>
      </c>
      <c r="D34" s="1"/>
      <c r="E34" s="227">
        <v>292</v>
      </c>
      <c r="F34" s="70" t="s">
        <v>0</v>
      </c>
      <c r="G34" s="106" t="s">
        <v>16812</v>
      </c>
      <c r="H34" s="57" t="s">
        <v>1</v>
      </c>
      <c r="I34" s="58">
        <v>0.9</v>
      </c>
      <c r="J34" s="83" t="s">
        <v>5895</v>
      </c>
      <c r="K34" s="64" t="s">
        <v>1</v>
      </c>
      <c r="L34" s="65">
        <v>1</v>
      </c>
      <c r="M34" s="99"/>
      <c r="N34" s="70"/>
      <c r="O34" s="66"/>
      <c r="P34" s="57"/>
      <c r="Q34" s="58"/>
      <c r="R34" s="77"/>
      <c r="S34" s="67"/>
      <c r="T34" s="68"/>
      <c r="U34" s="76"/>
      <c r="V34" s="70"/>
      <c r="W34" s="228">
        <f>ROUND((ROUND((ROUND((_15_同援日１．０*_15・基礎２),0)*_15・２人),0)*(1+_15・A早朝)),0)</f>
        <v>329</v>
      </c>
      <c r="X34" s="69"/>
    </row>
    <row r="35" spans="1:24" ht="16.5" customHeight="1" x14ac:dyDescent="0.3">
      <c r="A35" s="2">
        <v>15</v>
      </c>
      <c r="B35" s="2">
        <v>8219</v>
      </c>
      <c r="C35" s="60" t="s">
        <v>8910</v>
      </c>
      <c r="D35" s="1"/>
      <c r="E35" s="68"/>
      <c r="F35" s="70"/>
      <c r="G35" s="61"/>
      <c r="H35" s="62"/>
      <c r="I35" s="63"/>
      <c r="J35" s="85"/>
      <c r="K35" s="64"/>
      <c r="L35" s="65"/>
      <c r="M35" s="99"/>
      <c r="N35" s="70"/>
      <c r="O35" s="74" t="s">
        <v>17987</v>
      </c>
      <c r="P35" s="62"/>
      <c r="Q35" s="63"/>
      <c r="R35" s="75"/>
      <c r="S35" s="67"/>
      <c r="T35" s="68"/>
      <c r="U35" s="76"/>
      <c r="V35" s="70"/>
      <c r="W35" s="228">
        <f>ROUND((ROUND((_15_同援日１．０*(1+_15・A早朝)),0)*(1+_15・盲ろう)),0)</f>
        <v>456</v>
      </c>
      <c r="X35" s="69"/>
    </row>
    <row r="36" spans="1:24" ht="16.5" customHeight="1" x14ac:dyDescent="0.3">
      <c r="A36" s="2">
        <v>15</v>
      </c>
      <c r="B36" s="2">
        <v>8220</v>
      </c>
      <c r="C36" s="60" t="s">
        <v>8909</v>
      </c>
      <c r="D36" s="1"/>
      <c r="E36" s="68"/>
      <c r="F36" s="70"/>
      <c r="G36" s="66"/>
      <c r="H36" s="57"/>
      <c r="I36" s="58"/>
      <c r="J36" s="83" t="s">
        <v>5895</v>
      </c>
      <c r="K36" s="64" t="s">
        <v>1</v>
      </c>
      <c r="L36" s="65">
        <v>1</v>
      </c>
      <c r="M36" s="99"/>
      <c r="N36" s="70"/>
      <c r="O36" s="94" t="s">
        <v>17973</v>
      </c>
      <c r="P36" s="68"/>
      <c r="Q36" s="76"/>
      <c r="R36" s="70"/>
      <c r="S36" s="67"/>
      <c r="T36" s="68"/>
      <c r="U36" s="76"/>
      <c r="V36" s="70"/>
      <c r="W36" s="228">
        <f>ROUND((ROUND((ROUND((_15_同援日１．０*_15・２人),0)*(1+_15・A早朝)),0)*(1+_15・盲ろう)),0)</f>
        <v>456</v>
      </c>
      <c r="X36" s="69"/>
    </row>
    <row r="37" spans="1:24" ht="16.5" customHeight="1" x14ac:dyDescent="0.3">
      <c r="A37" s="2">
        <v>15</v>
      </c>
      <c r="B37" s="2">
        <v>8221</v>
      </c>
      <c r="C37" s="60" t="s">
        <v>8908</v>
      </c>
      <c r="D37" s="1"/>
      <c r="E37" s="68"/>
      <c r="F37" s="70"/>
      <c r="G37" s="74" t="s">
        <v>5898</v>
      </c>
      <c r="H37" s="62"/>
      <c r="I37" s="63"/>
      <c r="J37" s="85"/>
      <c r="K37" s="64"/>
      <c r="L37" s="65"/>
      <c r="M37" s="99"/>
      <c r="N37" s="70"/>
      <c r="O37" s="67"/>
      <c r="P37" s="68" t="s">
        <v>1</v>
      </c>
      <c r="Q37" s="76">
        <v>0.25</v>
      </c>
      <c r="R37" s="70" t="s">
        <v>422</v>
      </c>
      <c r="S37" s="67"/>
      <c r="T37" s="68"/>
      <c r="U37" s="76"/>
      <c r="V37" s="70"/>
      <c r="W37" s="228">
        <f>ROUND((ROUND((ROUND((_15_同援日１．０*_15・基礎２),0)*(1+_15・A早朝)),0)*(1+_15・盲ろう)),0)</f>
        <v>411</v>
      </c>
      <c r="X37" s="69"/>
    </row>
    <row r="38" spans="1:24" ht="16.5" customHeight="1" x14ac:dyDescent="0.3">
      <c r="A38" s="2">
        <v>15</v>
      </c>
      <c r="B38" s="2">
        <v>8222</v>
      </c>
      <c r="C38" s="60" t="s">
        <v>8907</v>
      </c>
      <c r="D38" s="1"/>
      <c r="E38" s="68"/>
      <c r="F38" s="70"/>
      <c r="G38" s="106" t="s">
        <v>16812</v>
      </c>
      <c r="H38" s="57" t="s">
        <v>1</v>
      </c>
      <c r="I38" s="58">
        <v>0.9</v>
      </c>
      <c r="J38" s="83" t="s">
        <v>5895</v>
      </c>
      <c r="K38" s="64" t="s">
        <v>1</v>
      </c>
      <c r="L38" s="65">
        <v>1</v>
      </c>
      <c r="M38" s="99"/>
      <c r="N38" s="70"/>
      <c r="O38" s="66"/>
      <c r="P38" s="57"/>
      <c r="Q38" s="58"/>
      <c r="R38" s="77"/>
      <c r="S38" s="66"/>
      <c r="T38" s="57"/>
      <c r="U38" s="58"/>
      <c r="V38" s="77"/>
      <c r="W38" s="228">
        <f>ROUND((ROUND((ROUND((ROUND((_15_同援日１．０*_15・基礎２),0)*_15・２人),0)*(1+_15・A早朝)),0)*(1+_15・盲ろう)),0)</f>
        <v>411</v>
      </c>
      <c r="X38" s="69"/>
    </row>
    <row r="39" spans="1:24" ht="16.5" customHeight="1" x14ac:dyDescent="0.3">
      <c r="A39" s="2">
        <v>15</v>
      </c>
      <c r="B39" s="2">
        <v>8223</v>
      </c>
      <c r="C39" s="60" t="s">
        <v>8906</v>
      </c>
      <c r="D39" s="1"/>
      <c r="E39" s="68"/>
      <c r="F39" s="70"/>
      <c r="G39" s="61"/>
      <c r="H39" s="62"/>
      <c r="I39" s="63"/>
      <c r="J39" s="85"/>
      <c r="K39" s="64"/>
      <c r="L39" s="65"/>
      <c r="M39" s="99"/>
      <c r="N39" s="70"/>
      <c r="O39" s="61"/>
      <c r="P39" s="62"/>
      <c r="Q39" s="63"/>
      <c r="R39" s="75"/>
      <c r="S39" s="61"/>
      <c r="T39" s="62"/>
      <c r="U39" s="63"/>
      <c r="V39" s="75"/>
      <c r="W39" s="228">
        <f>ROUND((ROUND((_15_同援日１．０*(1+_15・A早朝)),0)*(1+_15・区３)),0)</f>
        <v>438</v>
      </c>
      <c r="X39" s="69"/>
    </row>
    <row r="40" spans="1:24" ht="16.5" customHeight="1" x14ac:dyDescent="0.3">
      <c r="A40" s="2">
        <v>15</v>
      </c>
      <c r="B40" s="2">
        <v>8224</v>
      </c>
      <c r="C40" s="60" t="s">
        <v>8905</v>
      </c>
      <c r="D40" s="1"/>
      <c r="E40" s="68"/>
      <c r="F40" s="70"/>
      <c r="G40" s="66"/>
      <c r="H40" s="57"/>
      <c r="I40" s="58"/>
      <c r="J40" s="83" t="s">
        <v>5895</v>
      </c>
      <c r="K40" s="64" t="s">
        <v>1</v>
      </c>
      <c r="L40" s="65">
        <v>1</v>
      </c>
      <c r="M40" s="99"/>
      <c r="N40" s="70"/>
      <c r="O40" s="67"/>
      <c r="P40" s="68"/>
      <c r="Q40" s="76"/>
      <c r="R40" s="70"/>
      <c r="S40" s="67"/>
      <c r="T40" s="68"/>
      <c r="U40" s="76"/>
      <c r="V40" s="70"/>
      <c r="W40" s="228">
        <f>ROUND((ROUND((ROUND((_15_同援日１．０*_15・２人),0)*(1+_15・A早朝)),0)*(1+_15・区３)),0)</f>
        <v>438</v>
      </c>
      <c r="X40" s="69"/>
    </row>
    <row r="41" spans="1:24" ht="16.5" customHeight="1" x14ac:dyDescent="0.3">
      <c r="A41" s="2">
        <v>15</v>
      </c>
      <c r="B41" s="2">
        <v>8225</v>
      </c>
      <c r="C41" s="60" t="s">
        <v>8904</v>
      </c>
      <c r="D41" s="1"/>
      <c r="E41" s="68"/>
      <c r="F41" s="70"/>
      <c r="G41" s="74" t="s">
        <v>16823</v>
      </c>
      <c r="H41" s="62"/>
      <c r="I41" s="63"/>
      <c r="J41" s="85"/>
      <c r="K41" s="64"/>
      <c r="L41" s="65"/>
      <c r="M41" s="99"/>
      <c r="N41" s="70"/>
      <c r="O41" s="67"/>
      <c r="P41" s="68"/>
      <c r="Q41" s="76"/>
      <c r="R41" s="70"/>
      <c r="S41" s="1" t="s">
        <v>17997</v>
      </c>
      <c r="T41" s="68"/>
      <c r="U41" s="76"/>
      <c r="V41" s="70"/>
      <c r="W41" s="228">
        <f>ROUND((ROUND((ROUND((_15_同援日１．０*_15・基礎２),0)*(1+_15・A早朝)),0)*(1+_15・区３)),0)</f>
        <v>395</v>
      </c>
      <c r="X41" s="69"/>
    </row>
    <row r="42" spans="1:24" ht="16.5" customHeight="1" x14ac:dyDescent="0.3">
      <c r="A42" s="2">
        <v>15</v>
      </c>
      <c r="B42" s="2">
        <v>8226</v>
      </c>
      <c r="C42" s="60" t="s">
        <v>8903</v>
      </c>
      <c r="D42" s="1"/>
      <c r="E42" s="68"/>
      <c r="F42" s="70"/>
      <c r="G42" s="106" t="s">
        <v>16812</v>
      </c>
      <c r="H42" s="57" t="s">
        <v>1</v>
      </c>
      <c r="I42" s="58">
        <v>0.9</v>
      </c>
      <c r="J42" s="83" t="s">
        <v>5895</v>
      </c>
      <c r="K42" s="64" t="s">
        <v>1</v>
      </c>
      <c r="L42" s="65">
        <v>1</v>
      </c>
      <c r="M42" s="99"/>
      <c r="N42" s="70"/>
      <c r="O42" s="66"/>
      <c r="P42" s="57"/>
      <c r="Q42" s="58"/>
      <c r="R42" s="77"/>
      <c r="S42" s="1" t="s">
        <v>8087</v>
      </c>
      <c r="T42" s="68"/>
      <c r="U42" s="76"/>
      <c r="V42" s="70"/>
      <c r="W42" s="228">
        <f>ROUND((ROUND((ROUND((ROUND((_15_同援日１．０*_15・基礎２),0)*_15・２人),0)*(1+_15・A早朝)),0)*(1+_15・区３)),0)</f>
        <v>395</v>
      </c>
      <c r="X42" s="69"/>
    </row>
    <row r="43" spans="1:24" ht="16.5" customHeight="1" x14ac:dyDescent="0.3">
      <c r="A43" s="2">
        <v>15</v>
      </c>
      <c r="B43" s="2">
        <v>8227</v>
      </c>
      <c r="C43" s="60" t="s">
        <v>8902</v>
      </c>
      <c r="D43" s="1"/>
      <c r="E43" s="68"/>
      <c r="F43" s="70"/>
      <c r="G43" s="61"/>
      <c r="H43" s="62"/>
      <c r="I43" s="63"/>
      <c r="J43" s="85"/>
      <c r="K43" s="64"/>
      <c r="L43" s="65"/>
      <c r="M43" s="99"/>
      <c r="N43" s="70"/>
      <c r="O43" s="74" t="s">
        <v>18000</v>
      </c>
      <c r="P43" s="62"/>
      <c r="Q43" s="63"/>
      <c r="R43" s="75"/>
      <c r="S43" s="67"/>
      <c r="T43" s="68" t="s">
        <v>1</v>
      </c>
      <c r="U43" s="76">
        <v>0.2</v>
      </c>
      <c r="V43" s="70" t="s">
        <v>422</v>
      </c>
      <c r="W43" s="228">
        <f>ROUND((ROUND((ROUND((_15_同援日１．０*(1+_15・A早朝)),0)*(1+_15・盲ろう)),0)*(1+_15・区３)),0)</f>
        <v>547</v>
      </c>
      <c r="X43" s="69"/>
    </row>
    <row r="44" spans="1:24" ht="16.5" customHeight="1" x14ac:dyDescent="0.3">
      <c r="A44" s="2">
        <v>15</v>
      </c>
      <c r="B44" s="2">
        <v>8228</v>
      </c>
      <c r="C44" s="60" t="s">
        <v>8901</v>
      </c>
      <c r="D44" s="1"/>
      <c r="E44" s="68"/>
      <c r="F44" s="70"/>
      <c r="G44" s="66"/>
      <c r="H44" s="57"/>
      <c r="I44" s="58"/>
      <c r="J44" s="83" t="s">
        <v>5895</v>
      </c>
      <c r="K44" s="64" t="s">
        <v>1</v>
      </c>
      <c r="L44" s="65">
        <v>1</v>
      </c>
      <c r="M44" s="99"/>
      <c r="N44" s="70"/>
      <c r="O44" s="94" t="s">
        <v>17973</v>
      </c>
      <c r="P44" s="68"/>
      <c r="Q44" s="76"/>
      <c r="R44" s="70"/>
      <c r="S44" s="67"/>
      <c r="T44" s="68"/>
      <c r="U44" s="76"/>
      <c r="V44" s="70"/>
      <c r="W44" s="228">
        <f>ROUND((ROUND((ROUND((ROUND((_15_同援日１．０*_15・２人),0)*(1+_15・A早朝)),0)*(1+_15・盲ろう)),0)*(1+_15・区３)),0)</f>
        <v>547</v>
      </c>
      <c r="X44" s="69"/>
    </row>
    <row r="45" spans="1:24" ht="16.5" customHeight="1" x14ac:dyDescent="0.3">
      <c r="A45" s="2">
        <v>15</v>
      </c>
      <c r="B45" s="2">
        <v>8229</v>
      </c>
      <c r="C45" s="60" t="s">
        <v>8900</v>
      </c>
      <c r="D45" s="1"/>
      <c r="E45" s="68"/>
      <c r="F45" s="70"/>
      <c r="G45" s="74" t="s">
        <v>16823</v>
      </c>
      <c r="H45" s="62"/>
      <c r="I45" s="63"/>
      <c r="J45" s="85"/>
      <c r="K45" s="64"/>
      <c r="L45" s="65"/>
      <c r="M45" s="99"/>
      <c r="N45" s="70"/>
      <c r="O45" s="67"/>
      <c r="P45" s="68" t="s">
        <v>1</v>
      </c>
      <c r="Q45" s="76">
        <v>0.25</v>
      </c>
      <c r="R45" s="70" t="s">
        <v>422</v>
      </c>
      <c r="S45" s="67"/>
      <c r="T45" s="68"/>
      <c r="U45" s="76"/>
      <c r="V45" s="70"/>
      <c r="W45" s="228">
        <f>ROUND((ROUND((ROUND((ROUND((_15_同援日１．０*_15・基礎２),0)*(1+_15・A早朝)),0)*(1+_15・盲ろう)),0)*(1+_15・区３)),0)</f>
        <v>493</v>
      </c>
      <c r="X45" s="69"/>
    </row>
    <row r="46" spans="1:24" ht="16.5" customHeight="1" x14ac:dyDescent="0.3">
      <c r="A46" s="2">
        <v>15</v>
      </c>
      <c r="B46" s="2">
        <v>8230</v>
      </c>
      <c r="C46" s="60" t="s">
        <v>8899</v>
      </c>
      <c r="D46" s="1"/>
      <c r="E46" s="68"/>
      <c r="F46" s="70"/>
      <c r="G46" s="106" t="s">
        <v>16812</v>
      </c>
      <c r="H46" s="57" t="s">
        <v>1</v>
      </c>
      <c r="I46" s="58">
        <v>0.9</v>
      </c>
      <c r="J46" s="83" t="s">
        <v>5895</v>
      </c>
      <c r="K46" s="64" t="s">
        <v>1</v>
      </c>
      <c r="L46" s="65">
        <v>1</v>
      </c>
      <c r="M46" s="99"/>
      <c r="N46" s="70"/>
      <c r="O46" s="66"/>
      <c r="P46" s="57"/>
      <c r="Q46" s="58"/>
      <c r="R46" s="77"/>
      <c r="S46" s="66"/>
      <c r="T46" s="57"/>
      <c r="U46" s="58"/>
      <c r="V46" s="77"/>
      <c r="W46" s="228">
        <f>ROUND((ROUND((ROUND((ROUND((ROUND((_15_同援日１．０*_15・基礎２),0)*_15・２人),0)*(1+_15・A早朝)),0)*(1+_15・盲ろう)),0)*(1+_15・区３)),0)</f>
        <v>493</v>
      </c>
      <c r="X46" s="69"/>
    </row>
    <row r="47" spans="1:24" ht="16.5" customHeight="1" x14ac:dyDescent="0.3">
      <c r="A47" s="2">
        <v>15</v>
      </c>
      <c r="B47" s="2">
        <v>8231</v>
      </c>
      <c r="C47" s="60" t="s">
        <v>8898</v>
      </c>
      <c r="D47" s="1"/>
      <c r="E47" s="68"/>
      <c r="F47" s="70"/>
      <c r="G47" s="61"/>
      <c r="H47" s="62"/>
      <c r="I47" s="63"/>
      <c r="J47" s="85"/>
      <c r="K47" s="64"/>
      <c r="L47" s="65"/>
      <c r="M47" s="99"/>
      <c r="N47" s="70"/>
      <c r="O47" s="61"/>
      <c r="P47" s="62"/>
      <c r="Q47" s="63"/>
      <c r="R47" s="75"/>
      <c r="S47" s="61"/>
      <c r="T47" s="62"/>
      <c r="U47" s="63"/>
      <c r="V47" s="75"/>
      <c r="W47" s="228">
        <f>ROUND((ROUND((_15_同援日１．０*(1+_15・A早朝)),0)*(1+_15・区４)),0)</f>
        <v>511</v>
      </c>
      <c r="X47" s="69"/>
    </row>
    <row r="48" spans="1:24" ht="16.5" customHeight="1" x14ac:dyDescent="0.3">
      <c r="A48" s="2">
        <v>15</v>
      </c>
      <c r="B48" s="2">
        <v>8232</v>
      </c>
      <c r="C48" s="60" t="s">
        <v>8897</v>
      </c>
      <c r="D48" s="1"/>
      <c r="E48" s="68"/>
      <c r="F48" s="70"/>
      <c r="G48" s="66"/>
      <c r="H48" s="57"/>
      <c r="I48" s="58"/>
      <c r="J48" s="83" t="s">
        <v>5895</v>
      </c>
      <c r="K48" s="64" t="s">
        <v>1</v>
      </c>
      <c r="L48" s="65">
        <v>1</v>
      </c>
      <c r="M48" s="99"/>
      <c r="N48" s="70"/>
      <c r="O48" s="67"/>
      <c r="P48" s="68"/>
      <c r="Q48" s="76"/>
      <c r="R48" s="70"/>
      <c r="S48" s="67"/>
      <c r="T48" s="68"/>
      <c r="U48" s="76"/>
      <c r="V48" s="70"/>
      <c r="W48" s="228">
        <f>ROUND((ROUND((ROUND((_15_同援日１．０*_15・２人),0)*(1+_15・A早朝)),0)*(1+_15・区４)),0)</f>
        <v>511</v>
      </c>
      <c r="X48" s="69"/>
    </row>
    <row r="49" spans="1:24" ht="16.5" customHeight="1" x14ac:dyDescent="0.3">
      <c r="A49" s="2">
        <v>15</v>
      </c>
      <c r="B49" s="2">
        <v>8233</v>
      </c>
      <c r="C49" s="60" t="s">
        <v>8896</v>
      </c>
      <c r="D49" s="1"/>
      <c r="E49" s="68"/>
      <c r="F49" s="70"/>
      <c r="G49" s="74" t="s">
        <v>16823</v>
      </c>
      <c r="H49" s="62"/>
      <c r="I49" s="63"/>
      <c r="J49" s="85"/>
      <c r="K49" s="64"/>
      <c r="L49" s="65"/>
      <c r="M49" s="99"/>
      <c r="N49" s="70"/>
      <c r="O49" s="67"/>
      <c r="P49" s="68"/>
      <c r="Q49" s="76"/>
      <c r="R49" s="70"/>
      <c r="S49" s="1" t="s">
        <v>17971</v>
      </c>
      <c r="T49" s="68"/>
      <c r="U49" s="76"/>
      <c r="V49" s="70"/>
      <c r="W49" s="228">
        <f>ROUND((ROUND((ROUND((_15_同援日１．０*_15・基礎２),0)*(1+_15・A早朝)),0)*(1+_15・区４)),0)</f>
        <v>461</v>
      </c>
      <c r="X49" s="69"/>
    </row>
    <row r="50" spans="1:24" ht="16.5" customHeight="1" x14ac:dyDescent="0.3">
      <c r="A50" s="2">
        <v>15</v>
      </c>
      <c r="B50" s="2">
        <v>8234</v>
      </c>
      <c r="C50" s="60" t="s">
        <v>8895</v>
      </c>
      <c r="D50" s="1"/>
      <c r="E50" s="68"/>
      <c r="F50" s="70"/>
      <c r="G50" s="106" t="s">
        <v>5896</v>
      </c>
      <c r="H50" s="57" t="s">
        <v>1</v>
      </c>
      <c r="I50" s="58">
        <v>0.9</v>
      </c>
      <c r="J50" s="83" t="s">
        <v>5895</v>
      </c>
      <c r="K50" s="64" t="s">
        <v>1</v>
      </c>
      <c r="L50" s="65">
        <v>1</v>
      </c>
      <c r="M50" s="99"/>
      <c r="N50" s="70"/>
      <c r="O50" s="66"/>
      <c r="P50" s="57"/>
      <c r="Q50" s="58"/>
      <c r="R50" s="77"/>
      <c r="S50" s="1" t="s">
        <v>17970</v>
      </c>
      <c r="T50" s="68"/>
      <c r="U50" s="76"/>
      <c r="V50" s="70"/>
      <c r="W50" s="228">
        <f>ROUND((ROUND((ROUND((ROUND((_15_同援日１．０*_15・基礎２),0)*_15・２人),0)*(1+_15・A早朝)),0)*(1+_15・区４)),0)</f>
        <v>461</v>
      </c>
      <c r="X50" s="69"/>
    </row>
    <row r="51" spans="1:24" ht="16.5" customHeight="1" x14ac:dyDescent="0.3">
      <c r="A51" s="2">
        <v>15</v>
      </c>
      <c r="B51" s="2">
        <v>8235</v>
      </c>
      <c r="C51" s="60" t="s">
        <v>8894</v>
      </c>
      <c r="D51" s="1"/>
      <c r="E51" s="68"/>
      <c r="F51" s="70"/>
      <c r="G51" s="61"/>
      <c r="H51" s="62"/>
      <c r="I51" s="63"/>
      <c r="J51" s="85"/>
      <c r="K51" s="64"/>
      <c r="L51" s="65"/>
      <c r="M51" s="99"/>
      <c r="N51" s="70"/>
      <c r="O51" s="74" t="s">
        <v>17969</v>
      </c>
      <c r="P51" s="62"/>
      <c r="Q51" s="63"/>
      <c r="R51" s="75"/>
      <c r="S51" s="67"/>
      <c r="T51" s="68" t="s">
        <v>1</v>
      </c>
      <c r="U51" s="76">
        <v>0.4</v>
      </c>
      <c r="V51" s="70" t="s">
        <v>422</v>
      </c>
      <c r="W51" s="228">
        <f>ROUND((ROUND((ROUND((_15_同援日１．０*(1+_15・A早朝)),0)*(1+_15・盲ろう)),0)*(1+_15・区４)),0)</f>
        <v>638</v>
      </c>
      <c r="X51" s="69"/>
    </row>
    <row r="52" spans="1:24" ht="16.5" customHeight="1" x14ac:dyDescent="0.3">
      <c r="A52" s="2">
        <v>15</v>
      </c>
      <c r="B52" s="2">
        <v>8236</v>
      </c>
      <c r="C52" s="60" t="s">
        <v>8893</v>
      </c>
      <c r="D52" s="1"/>
      <c r="E52" s="68"/>
      <c r="F52" s="70"/>
      <c r="G52" s="66"/>
      <c r="H52" s="57"/>
      <c r="I52" s="58"/>
      <c r="J52" s="83" t="s">
        <v>5895</v>
      </c>
      <c r="K52" s="64" t="s">
        <v>1</v>
      </c>
      <c r="L52" s="65">
        <v>1</v>
      </c>
      <c r="M52" s="99"/>
      <c r="N52" s="70"/>
      <c r="O52" s="94" t="s">
        <v>8083</v>
      </c>
      <c r="P52" s="68"/>
      <c r="Q52" s="76"/>
      <c r="R52" s="70"/>
      <c r="S52" s="67"/>
      <c r="T52" s="68"/>
      <c r="U52" s="76"/>
      <c r="V52" s="70"/>
      <c r="W52" s="228">
        <f>ROUND((ROUND((ROUND((ROUND((_15_同援日１．０*_15・２人),0)*(1+_15・A早朝)),0)*(1+_15・盲ろう)),0)*(1+_15・区４)),0)</f>
        <v>638</v>
      </c>
      <c r="X52" s="69"/>
    </row>
    <row r="53" spans="1:24" ht="16.5" customHeight="1" x14ac:dyDescent="0.3">
      <c r="A53" s="2">
        <v>15</v>
      </c>
      <c r="B53" s="2">
        <v>8237</v>
      </c>
      <c r="C53" s="60" t="s">
        <v>8892</v>
      </c>
      <c r="D53" s="1"/>
      <c r="E53" s="68"/>
      <c r="F53" s="70"/>
      <c r="G53" s="74" t="s">
        <v>16823</v>
      </c>
      <c r="H53" s="62"/>
      <c r="I53" s="63"/>
      <c r="J53" s="85"/>
      <c r="K53" s="64"/>
      <c r="L53" s="65"/>
      <c r="M53" s="99"/>
      <c r="N53" s="70"/>
      <c r="O53" s="67"/>
      <c r="P53" s="68" t="s">
        <v>1</v>
      </c>
      <c r="Q53" s="76">
        <v>0.25</v>
      </c>
      <c r="R53" s="70" t="s">
        <v>422</v>
      </c>
      <c r="S53" s="67"/>
      <c r="T53" s="68"/>
      <c r="U53" s="76"/>
      <c r="V53" s="70"/>
      <c r="W53" s="228">
        <f>ROUND((ROUND((ROUND((ROUND((_15_同援日１．０*_15・基礎２),0)*(1+_15・A早朝)),0)*(1+_15・盲ろう)),0)*(1+_15・区４)),0)</f>
        <v>575</v>
      </c>
      <c r="X53" s="69"/>
    </row>
    <row r="54" spans="1:24" ht="16.5" customHeight="1" x14ac:dyDescent="0.3">
      <c r="A54" s="2">
        <v>15</v>
      </c>
      <c r="B54" s="2">
        <v>8238</v>
      </c>
      <c r="C54" s="60" t="s">
        <v>8891</v>
      </c>
      <c r="D54" s="81"/>
      <c r="E54" s="57"/>
      <c r="F54" s="77"/>
      <c r="G54" s="106" t="s">
        <v>16812</v>
      </c>
      <c r="H54" s="57" t="s">
        <v>1</v>
      </c>
      <c r="I54" s="58">
        <v>0.9</v>
      </c>
      <c r="J54" s="83" t="s">
        <v>5895</v>
      </c>
      <c r="K54" s="64" t="s">
        <v>1</v>
      </c>
      <c r="L54" s="65">
        <v>1</v>
      </c>
      <c r="M54" s="99"/>
      <c r="N54" s="70"/>
      <c r="O54" s="66"/>
      <c r="P54" s="57"/>
      <c r="Q54" s="58"/>
      <c r="R54" s="77"/>
      <c r="S54" s="66"/>
      <c r="T54" s="57"/>
      <c r="U54" s="58"/>
      <c r="V54" s="77"/>
      <c r="W54" s="228">
        <f>ROUND((ROUND((ROUND((ROUND((ROUND((_15_同援日１．０*_15・基礎２),0)*_15・２人),0)*(1+_15・A早朝)),0)*(1+_15・盲ろう)),0)*(1+_15・区４)),0)</f>
        <v>575</v>
      </c>
      <c r="X54" s="69"/>
    </row>
    <row r="55" spans="1:24" ht="16.5" customHeight="1" x14ac:dyDescent="0.3">
      <c r="A55" s="2">
        <v>15</v>
      </c>
      <c r="B55" s="2">
        <v>8239</v>
      </c>
      <c r="C55" s="60" t="s">
        <v>8890</v>
      </c>
      <c r="D55" s="233" t="s">
        <v>17999</v>
      </c>
      <c r="E55" s="62"/>
      <c r="F55" s="75"/>
      <c r="G55" s="61"/>
      <c r="H55" s="62"/>
      <c r="I55" s="63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228">
        <f>ROUND((_15_同援日１．５*(1+_15・A早朝)),0)</f>
        <v>526</v>
      </c>
      <c r="X55" s="69"/>
    </row>
    <row r="56" spans="1:24" ht="16.5" customHeight="1" x14ac:dyDescent="0.3">
      <c r="A56" s="2">
        <v>15</v>
      </c>
      <c r="B56" s="2">
        <v>8240</v>
      </c>
      <c r="C56" s="60" t="s">
        <v>8889</v>
      </c>
      <c r="D56" s="1" t="s">
        <v>5987</v>
      </c>
      <c r="E56" s="68"/>
      <c r="F56" s="70"/>
      <c r="G56" s="66"/>
      <c r="H56" s="57"/>
      <c r="I56" s="58"/>
      <c r="J56" s="83" t="s">
        <v>5895</v>
      </c>
      <c r="K56" s="64" t="s">
        <v>1</v>
      </c>
      <c r="L56" s="65">
        <v>1</v>
      </c>
      <c r="M56" s="99"/>
      <c r="N56" s="70"/>
      <c r="O56" s="67"/>
      <c r="P56" s="68"/>
      <c r="Q56" s="76"/>
      <c r="R56" s="70"/>
      <c r="S56" s="67"/>
      <c r="T56" s="68"/>
      <c r="U56" s="76"/>
      <c r="V56" s="70"/>
      <c r="W56" s="228">
        <f>ROUND((ROUND((_15_同援日１．５*_15・２人),0)*(1+_15・A早朝)),0)</f>
        <v>526</v>
      </c>
      <c r="X56" s="69"/>
    </row>
    <row r="57" spans="1:24" ht="16.5" customHeight="1" x14ac:dyDescent="0.3">
      <c r="A57" s="2">
        <v>15</v>
      </c>
      <c r="B57" s="2">
        <v>8241</v>
      </c>
      <c r="C57" s="60" t="s">
        <v>8888</v>
      </c>
      <c r="D57" s="1" t="s">
        <v>8767</v>
      </c>
      <c r="E57" s="68"/>
      <c r="F57" s="70"/>
      <c r="G57" s="74" t="s">
        <v>17972</v>
      </c>
      <c r="H57" s="62"/>
      <c r="I57" s="63"/>
      <c r="J57" s="85"/>
      <c r="K57" s="64"/>
      <c r="L57" s="65"/>
      <c r="M57" s="99"/>
      <c r="N57" s="70"/>
      <c r="O57" s="67"/>
      <c r="P57" s="68"/>
      <c r="Q57" s="76"/>
      <c r="R57" s="70"/>
      <c r="S57" s="67"/>
      <c r="T57" s="68"/>
      <c r="U57" s="76"/>
      <c r="V57" s="70"/>
      <c r="W57" s="228">
        <f>ROUND((ROUND((_15_同援日１．５*_15・基礎２),0)*(1+_15・A早朝)),0)</f>
        <v>474</v>
      </c>
      <c r="X57" s="69"/>
    </row>
    <row r="58" spans="1:24" ht="16.5" customHeight="1" x14ac:dyDescent="0.3">
      <c r="A58" s="2">
        <v>15</v>
      </c>
      <c r="B58" s="2">
        <v>8242</v>
      </c>
      <c r="C58" s="60" t="s">
        <v>8887</v>
      </c>
      <c r="D58" s="1"/>
      <c r="E58" s="227">
        <v>421</v>
      </c>
      <c r="F58" s="70" t="s">
        <v>0</v>
      </c>
      <c r="G58" s="106" t="s">
        <v>16812</v>
      </c>
      <c r="H58" s="57" t="s">
        <v>1</v>
      </c>
      <c r="I58" s="58">
        <v>0.9</v>
      </c>
      <c r="J58" s="83" t="s">
        <v>5895</v>
      </c>
      <c r="K58" s="64" t="s">
        <v>1</v>
      </c>
      <c r="L58" s="65">
        <v>1</v>
      </c>
      <c r="M58" s="99"/>
      <c r="N58" s="70"/>
      <c r="O58" s="66"/>
      <c r="P58" s="57"/>
      <c r="Q58" s="58"/>
      <c r="R58" s="77"/>
      <c r="S58" s="67"/>
      <c r="T58" s="68"/>
      <c r="U58" s="76"/>
      <c r="V58" s="70"/>
      <c r="W58" s="228">
        <f>ROUND((ROUND((ROUND((_15_同援日１．５*_15・基礎２),0)*_15・２人),0)*(1+_15・A早朝)),0)</f>
        <v>474</v>
      </c>
      <c r="X58" s="69"/>
    </row>
    <row r="59" spans="1:24" ht="16.5" customHeight="1" x14ac:dyDescent="0.3">
      <c r="A59" s="2">
        <v>15</v>
      </c>
      <c r="B59" s="2">
        <v>8243</v>
      </c>
      <c r="C59" s="60" t="s">
        <v>8886</v>
      </c>
      <c r="D59" s="1"/>
      <c r="E59" s="68"/>
      <c r="F59" s="70"/>
      <c r="G59" s="61"/>
      <c r="H59" s="62"/>
      <c r="I59" s="63"/>
      <c r="J59" s="85"/>
      <c r="K59" s="64"/>
      <c r="L59" s="65"/>
      <c r="M59" s="99"/>
      <c r="N59" s="70"/>
      <c r="O59" s="74" t="s">
        <v>17969</v>
      </c>
      <c r="P59" s="62"/>
      <c r="Q59" s="63"/>
      <c r="R59" s="75"/>
      <c r="S59" s="67"/>
      <c r="T59" s="68"/>
      <c r="U59" s="76"/>
      <c r="V59" s="70"/>
      <c r="W59" s="228">
        <f>ROUND((ROUND((_15_同援日１．５*(1+_15・A早朝)),0)*(1+_15・盲ろう)),0)</f>
        <v>658</v>
      </c>
      <c r="X59" s="69"/>
    </row>
    <row r="60" spans="1:24" ht="16.5" customHeight="1" x14ac:dyDescent="0.3">
      <c r="A60" s="2">
        <v>15</v>
      </c>
      <c r="B60" s="2">
        <v>8244</v>
      </c>
      <c r="C60" s="60" t="s">
        <v>8885</v>
      </c>
      <c r="D60" s="1"/>
      <c r="E60" s="68"/>
      <c r="F60" s="70"/>
      <c r="G60" s="66"/>
      <c r="H60" s="57"/>
      <c r="I60" s="58"/>
      <c r="J60" s="83" t="s">
        <v>5895</v>
      </c>
      <c r="K60" s="64" t="s">
        <v>1</v>
      </c>
      <c r="L60" s="65">
        <v>1</v>
      </c>
      <c r="M60" s="99"/>
      <c r="N60" s="70"/>
      <c r="O60" s="94" t="s">
        <v>17968</v>
      </c>
      <c r="P60" s="68"/>
      <c r="Q60" s="76"/>
      <c r="R60" s="70"/>
      <c r="S60" s="67"/>
      <c r="T60" s="68"/>
      <c r="U60" s="76"/>
      <c r="V60" s="70"/>
      <c r="W60" s="228">
        <f>ROUND((ROUND((ROUND((_15_同援日１．５*_15・２人),0)*(1+_15・A早朝)),0)*(1+_15・盲ろう)),0)</f>
        <v>658</v>
      </c>
      <c r="X60" s="69"/>
    </row>
    <row r="61" spans="1:24" ht="16.5" customHeight="1" x14ac:dyDescent="0.3">
      <c r="A61" s="2">
        <v>15</v>
      </c>
      <c r="B61" s="2">
        <v>8245</v>
      </c>
      <c r="C61" s="60" t="s">
        <v>8884</v>
      </c>
      <c r="D61" s="1"/>
      <c r="E61" s="68"/>
      <c r="F61" s="70"/>
      <c r="G61" s="74" t="s">
        <v>16823</v>
      </c>
      <c r="H61" s="62"/>
      <c r="I61" s="63"/>
      <c r="J61" s="85"/>
      <c r="K61" s="64"/>
      <c r="L61" s="65"/>
      <c r="M61" s="99"/>
      <c r="N61" s="70"/>
      <c r="O61" s="67"/>
      <c r="P61" s="68" t="s">
        <v>1</v>
      </c>
      <c r="Q61" s="76">
        <v>0.25</v>
      </c>
      <c r="R61" s="70" t="s">
        <v>422</v>
      </c>
      <c r="S61" s="67"/>
      <c r="T61" s="68"/>
      <c r="U61" s="76"/>
      <c r="V61" s="70"/>
      <c r="W61" s="228">
        <f>ROUND((ROUND((ROUND((_15_同援日１．５*_15・基礎２),0)*(1+_15・A早朝)),0)*(1+_15・盲ろう)),0)</f>
        <v>593</v>
      </c>
      <c r="X61" s="69"/>
    </row>
    <row r="62" spans="1:24" ht="16.5" customHeight="1" x14ac:dyDescent="0.3">
      <c r="A62" s="2">
        <v>15</v>
      </c>
      <c r="B62" s="2">
        <v>8246</v>
      </c>
      <c r="C62" s="60" t="s">
        <v>8883</v>
      </c>
      <c r="D62" s="1"/>
      <c r="E62" s="68"/>
      <c r="F62" s="70"/>
      <c r="G62" s="106" t="s">
        <v>16812</v>
      </c>
      <c r="H62" s="57" t="s">
        <v>1</v>
      </c>
      <c r="I62" s="58">
        <v>0.9</v>
      </c>
      <c r="J62" s="83" t="s">
        <v>5895</v>
      </c>
      <c r="K62" s="64" t="s">
        <v>1</v>
      </c>
      <c r="L62" s="65">
        <v>1</v>
      </c>
      <c r="M62" s="99"/>
      <c r="N62" s="70"/>
      <c r="O62" s="66"/>
      <c r="P62" s="57"/>
      <c r="Q62" s="58"/>
      <c r="R62" s="77"/>
      <c r="S62" s="66"/>
      <c r="T62" s="57"/>
      <c r="U62" s="58"/>
      <c r="V62" s="77"/>
      <c r="W62" s="228">
        <f>ROUND((ROUND((ROUND((ROUND((_15_同援日１．５*_15・基礎２),0)*_15・２人),0)*(1+_15・A早朝)),0)*(1+_15・盲ろう)),0)</f>
        <v>593</v>
      </c>
      <c r="X62" s="69"/>
    </row>
    <row r="63" spans="1:24" ht="16.5" customHeight="1" x14ac:dyDescent="0.3">
      <c r="A63" s="2">
        <v>15</v>
      </c>
      <c r="B63" s="2">
        <v>8247</v>
      </c>
      <c r="C63" s="60" t="s">
        <v>8882</v>
      </c>
      <c r="D63" s="1"/>
      <c r="E63" s="68"/>
      <c r="F63" s="70"/>
      <c r="G63" s="61"/>
      <c r="H63" s="62"/>
      <c r="I63" s="63"/>
      <c r="J63" s="85"/>
      <c r="K63" s="64"/>
      <c r="L63" s="65"/>
      <c r="M63" s="99"/>
      <c r="N63" s="70"/>
      <c r="O63" s="61"/>
      <c r="P63" s="62"/>
      <c r="Q63" s="63"/>
      <c r="R63" s="75"/>
      <c r="S63" s="61"/>
      <c r="T63" s="62"/>
      <c r="U63" s="63"/>
      <c r="V63" s="75"/>
      <c r="W63" s="228">
        <f>ROUND((ROUND((_15_同援日１．５*(1+_15・A早朝)),0)*(1+_15・区３)),0)</f>
        <v>631</v>
      </c>
      <c r="X63" s="69"/>
    </row>
    <row r="64" spans="1:24" ht="16.5" customHeight="1" x14ac:dyDescent="0.3">
      <c r="A64" s="2">
        <v>15</v>
      </c>
      <c r="B64" s="2">
        <v>8248</v>
      </c>
      <c r="C64" s="60" t="s">
        <v>8881</v>
      </c>
      <c r="D64" s="1"/>
      <c r="E64" s="68"/>
      <c r="F64" s="70"/>
      <c r="G64" s="66"/>
      <c r="H64" s="57"/>
      <c r="I64" s="58"/>
      <c r="J64" s="83" t="s">
        <v>5895</v>
      </c>
      <c r="K64" s="64" t="s">
        <v>1</v>
      </c>
      <c r="L64" s="65">
        <v>1</v>
      </c>
      <c r="M64" s="99"/>
      <c r="N64" s="70"/>
      <c r="O64" s="67"/>
      <c r="P64" s="68"/>
      <c r="Q64" s="76"/>
      <c r="R64" s="70"/>
      <c r="S64" s="67"/>
      <c r="T64" s="68"/>
      <c r="U64" s="76"/>
      <c r="V64" s="70"/>
      <c r="W64" s="228">
        <f>ROUND((ROUND((ROUND((_15_同援日１．５*_15・２人),0)*(1+_15・A早朝)),0)*(1+_15・区３)),0)</f>
        <v>631</v>
      </c>
      <c r="X64" s="69"/>
    </row>
    <row r="65" spans="1:24" ht="16.5" customHeight="1" x14ac:dyDescent="0.3">
      <c r="A65" s="2">
        <v>15</v>
      </c>
      <c r="B65" s="2">
        <v>8249</v>
      </c>
      <c r="C65" s="60" t="s">
        <v>8880</v>
      </c>
      <c r="D65" s="1"/>
      <c r="E65" s="68"/>
      <c r="F65" s="70"/>
      <c r="G65" s="74" t="s">
        <v>16823</v>
      </c>
      <c r="H65" s="62"/>
      <c r="I65" s="63"/>
      <c r="J65" s="85"/>
      <c r="K65" s="64"/>
      <c r="L65" s="65"/>
      <c r="M65" s="99"/>
      <c r="N65" s="70"/>
      <c r="O65" s="67"/>
      <c r="P65" s="68"/>
      <c r="Q65" s="76"/>
      <c r="R65" s="70"/>
      <c r="S65" s="1" t="s">
        <v>17974</v>
      </c>
      <c r="T65" s="68"/>
      <c r="U65" s="76"/>
      <c r="V65" s="70"/>
      <c r="W65" s="228">
        <f>ROUND((ROUND((ROUND((_15_同援日１．５*_15・基礎２),0)*(1+_15・A早朝)),0)*(1+_15・区３)),0)</f>
        <v>569</v>
      </c>
      <c r="X65" s="69"/>
    </row>
    <row r="66" spans="1:24" ht="16.5" customHeight="1" x14ac:dyDescent="0.3">
      <c r="A66" s="2">
        <v>15</v>
      </c>
      <c r="B66" s="2">
        <v>8250</v>
      </c>
      <c r="C66" s="60" t="s">
        <v>8879</v>
      </c>
      <c r="D66" s="1"/>
      <c r="E66" s="68"/>
      <c r="F66" s="70"/>
      <c r="G66" s="106" t="s">
        <v>5896</v>
      </c>
      <c r="H66" s="57" t="s">
        <v>1</v>
      </c>
      <c r="I66" s="58">
        <v>0.9</v>
      </c>
      <c r="J66" s="83" t="s">
        <v>5895</v>
      </c>
      <c r="K66" s="64" t="s">
        <v>1</v>
      </c>
      <c r="L66" s="65">
        <v>1</v>
      </c>
      <c r="M66" s="99"/>
      <c r="N66" s="70"/>
      <c r="O66" s="66"/>
      <c r="P66" s="57"/>
      <c r="Q66" s="58"/>
      <c r="R66" s="77"/>
      <c r="S66" s="1" t="s">
        <v>17970</v>
      </c>
      <c r="T66" s="68"/>
      <c r="U66" s="76"/>
      <c r="V66" s="70"/>
      <c r="W66" s="228">
        <f>ROUND((ROUND((ROUND((ROUND((_15_同援日１．５*_15・基礎２),0)*_15・２人),0)*(1+_15・A早朝)),0)*(1+_15・区３)),0)</f>
        <v>569</v>
      </c>
      <c r="X66" s="69"/>
    </row>
    <row r="67" spans="1:24" ht="16.5" customHeight="1" x14ac:dyDescent="0.3">
      <c r="A67" s="2">
        <v>15</v>
      </c>
      <c r="B67" s="2">
        <v>8251</v>
      </c>
      <c r="C67" s="60" t="s">
        <v>8878</v>
      </c>
      <c r="D67" s="1"/>
      <c r="E67" s="68"/>
      <c r="F67" s="70"/>
      <c r="G67" s="61"/>
      <c r="H67" s="62"/>
      <c r="I67" s="63"/>
      <c r="J67" s="85"/>
      <c r="K67" s="64"/>
      <c r="L67" s="65"/>
      <c r="M67" s="99"/>
      <c r="N67" s="70"/>
      <c r="O67" s="74" t="s">
        <v>17969</v>
      </c>
      <c r="P67" s="62"/>
      <c r="Q67" s="63"/>
      <c r="R67" s="75"/>
      <c r="S67" s="67"/>
      <c r="T67" s="68" t="s">
        <v>1</v>
      </c>
      <c r="U67" s="76">
        <v>0.2</v>
      </c>
      <c r="V67" s="70" t="s">
        <v>422</v>
      </c>
      <c r="W67" s="228">
        <f>ROUND((ROUND((ROUND((_15_同援日１．５*(1+_15・A早朝)),0)*(1+_15・盲ろう)),0)*(1+_15・区３)),0)</f>
        <v>790</v>
      </c>
      <c r="X67" s="69"/>
    </row>
    <row r="68" spans="1:24" ht="16.5" customHeight="1" x14ac:dyDescent="0.3">
      <c r="A68" s="2">
        <v>15</v>
      </c>
      <c r="B68" s="2">
        <v>8252</v>
      </c>
      <c r="C68" s="60" t="s">
        <v>8877</v>
      </c>
      <c r="D68" s="1"/>
      <c r="E68" s="68"/>
      <c r="F68" s="70"/>
      <c r="G68" s="66"/>
      <c r="H68" s="57"/>
      <c r="I68" s="58"/>
      <c r="J68" s="83" t="s">
        <v>5895</v>
      </c>
      <c r="K68" s="64" t="s">
        <v>1</v>
      </c>
      <c r="L68" s="65">
        <v>1</v>
      </c>
      <c r="M68" s="99"/>
      <c r="N68" s="70"/>
      <c r="O68" s="94" t="s">
        <v>17968</v>
      </c>
      <c r="P68" s="68"/>
      <c r="Q68" s="76"/>
      <c r="R68" s="70"/>
      <c r="S68" s="67"/>
      <c r="T68" s="68"/>
      <c r="U68" s="76"/>
      <c r="V68" s="70"/>
      <c r="W68" s="228">
        <f>ROUND((ROUND((ROUND((ROUND((_15_同援日１．５*_15・２人),0)*(1+_15・A早朝)),0)*(1+_15・盲ろう)),0)*(1+_15・区３)),0)</f>
        <v>790</v>
      </c>
      <c r="X68" s="69"/>
    </row>
    <row r="69" spans="1:24" ht="16.5" customHeight="1" x14ac:dyDescent="0.3">
      <c r="A69" s="2">
        <v>15</v>
      </c>
      <c r="B69" s="2">
        <v>8253</v>
      </c>
      <c r="C69" s="60" t="s">
        <v>8876</v>
      </c>
      <c r="D69" s="1"/>
      <c r="E69" s="68"/>
      <c r="F69" s="70"/>
      <c r="G69" s="74" t="s">
        <v>5898</v>
      </c>
      <c r="H69" s="62"/>
      <c r="I69" s="63"/>
      <c r="J69" s="85"/>
      <c r="K69" s="64"/>
      <c r="L69" s="65"/>
      <c r="M69" s="99"/>
      <c r="N69" s="70"/>
      <c r="O69" s="67"/>
      <c r="P69" s="68" t="s">
        <v>1</v>
      </c>
      <c r="Q69" s="76">
        <v>0.25</v>
      </c>
      <c r="R69" s="70" t="s">
        <v>422</v>
      </c>
      <c r="S69" s="67"/>
      <c r="T69" s="68"/>
      <c r="U69" s="76"/>
      <c r="V69" s="70"/>
      <c r="W69" s="228">
        <f>ROUND((ROUND((ROUND((ROUND((_15_同援日１．５*_15・基礎２),0)*(1+_15・A早朝)),0)*(1+_15・盲ろう)),0)*(1+_15・区３)),0)</f>
        <v>712</v>
      </c>
      <c r="X69" s="69"/>
    </row>
    <row r="70" spans="1:24" ht="16.5" customHeight="1" x14ac:dyDescent="0.3">
      <c r="A70" s="2">
        <v>15</v>
      </c>
      <c r="B70" s="2">
        <v>8254</v>
      </c>
      <c r="C70" s="60" t="s">
        <v>8875</v>
      </c>
      <c r="D70" s="1"/>
      <c r="E70" s="68"/>
      <c r="F70" s="70"/>
      <c r="G70" s="106" t="s">
        <v>16812</v>
      </c>
      <c r="H70" s="57" t="s">
        <v>1</v>
      </c>
      <c r="I70" s="58">
        <v>0.9</v>
      </c>
      <c r="J70" s="83" t="s">
        <v>5895</v>
      </c>
      <c r="K70" s="64" t="s">
        <v>1</v>
      </c>
      <c r="L70" s="65">
        <v>1</v>
      </c>
      <c r="M70" s="99"/>
      <c r="N70" s="70"/>
      <c r="O70" s="66"/>
      <c r="P70" s="57"/>
      <c r="Q70" s="58"/>
      <c r="R70" s="77"/>
      <c r="S70" s="66"/>
      <c r="T70" s="57"/>
      <c r="U70" s="58"/>
      <c r="V70" s="77"/>
      <c r="W70" s="228">
        <f>ROUND((ROUND((ROUND((ROUND((ROUND((_15_同援日１．５*_15・基礎２),0)*_15・２人),0)*(1+_15・A早朝)),0)*(1+_15・盲ろう)),0)*(1+_15・区３)),0)</f>
        <v>712</v>
      </c>
      <c r="X70" s="69"/>
    </row>
    <row r="71" spans="1:24" ht="16.5" customHeight="1" x14ac:dyDescent="0.3">
      <c r="A71" s="2">
        <v>15</v>
      </c>
      <c r="B71" s="2">
        <v>8255</v>
      </c>
      <c r="C71" s="60" t="s">
        <v>8874</v>
      </c>
      <c r="D71" s="1"/>
      <c r="E71" s="68"/>
      <c r="F71" s="70"/>
      <c r="G71" s="61"/>
      <c r="H71" s="62"/>
      <c r="I71" s="63"/>
      <c r="J71" s="85"/>
      <c r="K71" s="64"/>
      <c r="L71" s="65"/>
      <c r="M71" s="99"/>
      <c r="N71" s="70"/>
      <c r="O71" s="61"/>
      <c r="P71" s="62"/>
      <c r="Q71" s="63"/>
      <c r="R71" s="75"/>
      <c r="S71" s="61"/>
      <c r="T71" s="62"/>
      <c r="U71" s="63"/>
      <c r="V71" s="75"/>
      <c r="W71" s="228">
        <f>ROUND((ROUND((_15_同援日１．５*(1+_15・A早朝)),0)*(1+_15・区４)),0)</f>
        <v>736</v>
      </c>
      <c r="X71" s="69"/>
    </row>
    <row r="72" spans="1:24" ht="16.5" customHeight="1" x14ac:dyDescent="0.3">
      <c r="A72" s="2">
        <v>15</v>
      </c>
      <c r="B72" s="2">
        <v>8256</v>
      </c>
      <c r="C72" s="60" t="s">
        <v>8873</v>
      </c>
      <c r="D72" s="1"/>
      <c r="E72" s="68"/>
      <c r="F72" s="70"/>
      <c r="G72" s="66"/>
      <c r="H72" s="57"/>
      <c r="I72" s="58"/>
      <c r="J72" s="83" t="s">
        <v>5895</v>
      </c>
      <c r="K72" s="64" t="s">
        <v>1</v>
      </c>
      <c r="L72" s="65">
        <v>1</v>
      </c>
      <c r="M72" s="99"/>
      <c r="N72" s="70"/>
      <c r="O72" s="67"/>
      <c r="P72" s="68"/>
      <c r="Q72" s="76"/>
      <c r="R72" s="70"/>
      <c r="S72" s="67"/>
      <c r="T72" s="68"/>
      <c r="U72" s="76"/>
      <c r="V72" s="70"/>
      <c r="W72" s="228">
        <f>ROUND((ROUND((ROUND((_15_同援日１．５*_15・２人),0)*(1+_15・A早朝)),0)*(1+_15・区４)),0)</f>
        <v>736</v>
      </c>
      <c r="X72" s="69"/>
    </row>
    <row r="73" spans="1:24" ht="16.5" customHeight="1" x14ac:dyDescent="0.3">
      <c r="A73" s="2">
        <v>15</v>
      </c>
      <c r="B73" s="2">
        <v>8257</v>
      </c>
      <c r="C73" s="60" t="s">
        <v>8872</v>
      </c>
      <c r="D73" s="1"/>
      <c r="E73" s="68"/>
      <c r="F73" s="70"/>
      <c r="G73" s="74" t="s">
        <v>16823</v>
      </c>
      <c r="H73" s="62"/>
      <c r="I73" s="63"/>
      <c r="J73" s="85"/>
      <c r="K73" s="64"/>
      <c r="L73" s="65"/>
      <c r="M73" s="99"/>
      <c r="N73" s="70"/>
      <c r="O73" s="67"/>
      <c r="P73" s="68"/>
      <c r="Q73" s="76"/>
      <c r="R73" s="70"/>
      <c r="S73" s="1" t="s">
        <v>17971</v>
      </c>
      <c r="T73" s="68"/>
      <c r="U73" s="76"/>
      <c r="V73" s="70"/>
      <c r="W73" s="228">
        <f>ROUND((ROUND((ROUND((_15_同援日１．５*_15・基礎２),0)*(1+_15・A早朝)),0)*(1+_15・区４)),0)</f>
        <v>664</v>
      </c>
      <c r="X73" s="69"/>
    </row>
    <row r="74" spans="1:24" ht="16.5" customHeight="1" x14ac:dyDescent="0.3">
      <c r="A74" s="2">
        <v>15</v>
      </c>
      <c r="B74" s="2">
        <v>8258</v>
      </c>
      <c r="C74" s="60" t="s">
        <v>8871</v>
      </c>
      <c r="D74" s="1"/>
      <c r="E74" s="68"/>
      <c r="F74" s="70"/>
      <c r="G74" s="106" t="s">
        <v>16812</v>
      </c>
      <c r="H74" s="57" t="s">
        <v>1</v>
      </c>
      <c r="I74" s="58">
        <v>0.9</v>
      </c>
      <c r="J74" s="83" t="s">
        <v>5895</v>
      </c>
      <c r="K74" s="64" t="s">
        <v>1</v>
      </c>
      <c r="L74" s="65">
        <v>1</v>
      </c>
      <c r="M74" s="99"/>
      <c r="N74" s="70"/>
      <c r="O74" s="66"/>
      <c r="P74" s="57"/>
      <c r="Q74" s="58"/>
      <c r="R74" s="77"/>
      <c r="S74" s="1" t="s">
        <v>17980</v>
      </c>
      <c r="T74" s="68"/>
      <c r="U74" s="76"/>
      <c r="V74" s="70"/>
      <c r="W74" s="228">
        <f>ROUND((ROUND((ROUND((ROUND((_15_同援日１．５*_15・基礎２),0)*_15・２人),0)*(1+_15・A早朝)),0)*(1+_15・区４)),0)</f>
        <v>664</v>
      </c>
      <c r="X74" s="69"/>
    </row>
    <row r="75" spans="1:24" ht="16.5" customHeight="1" x14ac:dyDescent="0.3">
      <c r="A75" s="2">
        <v>15</v>
      </c>
      <c r="B75" s="2">
        <v>8259</v>
      </c>
      <c r="C75" s="60" t="s">
        <v>8870</v>
      </c>
      <c r="D75" s="1"/>
      <c r="E75" s="68"/>
      <c r="F75" s="70"/>
      <c r="G75" s="61"/>
      <c r="H75" s="62"/>
      <c r="I75" s="63"/>
      <c r="J75" s="85"/>
      <c r="K75" s="64"/>
      <c r="L75" s="65"/>
      <c r="M75" s="99"/>
      <c r="N75" s="70"/>
      <c r="O75" s="74" t="s">
        <v>17969</v>
      </c>
      <c r="P75" s="62"/>
      <c r="Q75" s="63"/>
      <c r="R75" s="75"/>
      <c r="S75" s="67"/>
      <c r="T75" s="68" t="s">
        <v>1</v>
      </c>
      <c r="U75" s="76">
        <v>0.4</v>
      </c>
      <c r="V75" s="70" t="s">
        <v>422</v>
      </c>
      <c r="W75" s="228">
        <f>ROUND((ROUND((ROUND((_15_同援日１．５*(1+_15・A早朝)),0)*(1+_15・盲ろう)),0)*(1+_15・区４)),0)</f>
        <v>921</v>
      </c>
      <c r="X75" s="69"/>
    </row>
    <row r="76" spans="1:24" ht="16.5" customHeight="1" x14ac:dyDescent="0.3">
      <c r="A76" s="2">
        <v>15</v>
      </c>
      <c r="B76" s="2">
        <v>8260</v>
      </c>
      <c r="C76" s="60" t="s">
        <v>8869</v>
      </c>
      <c r="D76" s="1"/>
      <c r="E76" s="68"/>
      <c r="F76" s="70"/>
      <c r="G76" s="66"/>
      <c r="H76" s="57"/>
      <c r="I76" s="58"/>
      <c r="J76" s="83" t="s">
        <v>5895</v>
      </c>
      <c r="K76" s="64" t="s">
        <v>1</v>
      </c>
      <c r="L76" s="65">
        <v>1</v>
      </c>
      <c r="M76" s="99"/>
      <c r="N76" s="70"/>
      <c r="O76" s="94" t="s">
        <v>17968</v>
      </c>
      <c r="P76" s="68"/>
      <c r="Q76" s="76"/>
      <c r="R76" s="70"/>
      <c r="S76" s="67"/>
      <c r="T76" s="68"/>
      <c r="U76" s="76"/>
      <c r="V76" s="70"/>
      <c r="W76" s="228">
        <f>ROUND((ROUND((ROUND((ROUND((_15_同援日１．５*_15・２人),0)*(1+_15・A早朝)),0)*(1+_15・盲ろう)),0)*(1+_15・区４)),0)</f>
        <v>921</v>
      </c>
      <c r="X76" s="69"/>
    </row>
    <row r="77" spans="1:24" ht="16.5" customHeight="1" x14ac:dyDescent="0.3">
      <c r="A77" s="2">
        <v>15</v>
      </c>
      <c r="B77" s="2">
        <v>8261</v>
      </c>
      <c r="C77" s="60" t="s">
        <v>8868</v>
      </c>
      <c r="D77" s="1"/>
      <c r="E77" s="68"/>
      <c r="F77" s="70"/>
      <c r="G77" s="74" t="s">
        <v>16823</v>
      </c>
      <c r="H77" s="62"/>
      <c r="I77" s="63"/>
      <c r="J77" s="85"/>
      <c r="K77" s="64"/>
      <c r="L77" s="65"/>
      <c r="M77" s="99"/>
      <c r="N77" s="70"/>
      <c r="O77" s="67"/>
      <c r="P77" s="68" t="s">
        <v>1</v>
      </c>
      <c r="Q77" s="76">
        <v>0.25</v>
      </c>
      <c r="R77" s="70" t="s">
        <v>422</v>
      </c>
      <c r="S77" s="67"/>
      <c r="T77" s="68"/>
      <c r="U77" s="76"/>
      <c r="V77" s="70"/>
      <c r="W77" s="228">
        <f>ROUND((ROUND((ROUND((ROUND((_15_同援日１．５*_15・基礎２),0)*(1+_15・A早朝)),0)*(1+_15・盲ろう)),0)*(1+_15・区４)),0)</f>
        <v>830</v>
      </c>
      <c r="X77" s="69"/>
    </row>
    <row r="78" spans="1:24" ht="16.5" customHeight="1" x14ac:dyDescent="0.3">
      <c r="A78" s="2">
        <v>15</v>
      </c>
      <c r="B78" s="2">
        <v>8262</v>
      </c>
      <c r="C78" s="60" t="s">
        <v>8867</v>
      </c>
      <c r="D78" s="81"/>
      <c r="E78" s="57"/>
      <c r="F78" s="77"/>
      <c r="G78" s="106" t="s">
        <v>17864</v>
      </c>
      <c r="H78" s="57" t="s">
        <v>1</v>
      </c>
      <c r="I78" s="58">
        <v>0.9</v>
      </c>
      <c r="J78" s="83" t="s">
        <v>5895</v>
      </c>
      <c r="K78" s="64" t="s">
        <v>1</v>
      </c>
      <c r="L78" s="65">
        <v>1</v>
      </c>
      <c r="M78" s="99"/>
      <c r="N78" s="70"/>
      <c r="O78" s="66"/>
      <c r="P78" s="57"/>
      <c r="Q78" s="58"/>
      <c r="R78" s="77"/>
      <c r="S78" s="66"/>
      <c r="T78" s="57"/>
      <c r="U78" s="58"/>
      <c r="V78" s="77"/>
      <c r="W78" s="228">
        <f>ROUND((ROUND((ROUND((ROUND((ROUND((_15_同援日１．５*_15・基礎２),0)*_15・２人),0)*(1+_15・A早朝)),0)*(1+_15・盲ろう)),0)*(1+_15・区４)),0)</f>
        <v>830</v>
      </c>
      <c r="X78" s="69"/>
    </row>
    <row r="79" spans="1:24" ht="16.5" customHeight="1" x14ac:dyDescent="0.3">
      <c r="A79" s="2">
        <v>15</v>
      </c>
      <c r="B79" s="2">
        <v>8263</v>
      </c>
      <c r="C79" s="60" t="s">
        <v>8866</v>
      </c>
      <c r="D79" s="233" t="s">
        <v>17998</v>
      </c>
      <c r="E79" s="62"/>
      <c r="F79" s="75"/>
      <c r="G79" s="61"/>
      <c r="H79" s="62"/>
      <c r="I79" s="63"/>
      <c r="J79" s="85"/>
      <c r="K79" s="64"/>
      <c r="L79" s="65"/>
      <c r="M79" s="99"/>
      <c r="N79" s="70"/>
      <c r="O79" s="61"/>
      <c r="P79" s="62"/>
      <c r="Q79" s="63"/>
      <c r="R79" s="75"/>
      <c r="S79" s="61"/>
      <c r="T79" s="62"/>
      <c r="U79" s="63"/>
      <c r="V79" s="75"/>
      <c r="W79" s="228">
        <f>ROUND((_15_同援日２．０*(1+_15・A早朝)),0)</f>
        <v>606</v>
      </c>
      <c r="X79" s="69"/>
    </row>
    <row r="80" spans="1:24" ht="16.5" customHeight="1" x14ac:dyDescent="0.3">
      <c r="A80" s="2">
        <v>15</v>
      </c>
      <c r="B80" s="2">
        <v>8264</v>
      </c>
      <c r="C80" s="60" t="s">
        <v>8865</v>
      </c>
      <c r="D80" s="1" t="s">
        <v>16868</v>
      </c>
      <c r="E80" s="68"/>
      <c r="F80" s="70"/>
      <c r="G80" s="66"/>
      <c r="H80" s="57"/>
      <c r="I80" s="58"/>
      <c r="J80" s="83" t="s">
        <v>5895</v>
      </c>
      <c r="K80" s="64" t="s">
        <v>1</v>
      </c>
      <c r="L80" s="65">
        <v>1</v>
      </c>
      <c r="M80" s="99"/>
      <c r="N80" s="70"/>
      <c r="O80" s="67"/>
      <c r="P80" s="68"/>
      <c r="Q80" s="76"/>
      <c r="R80" s="70"/>
      <c r="S80" s="67"/>
      <c r="T80" s="68"/>
      <c r="U80" s="76"/>
      <c r="V80" s="70"/>
      <c r="W80" s="228">
        <f>ROUND((ROUND((_15_同援日２．０*_15・２人),0)*(1+_15・A早朝)),0)</f>
        <v>606</v>
      </c>
      <c r="X80" s="69"/>
    </row>
    <row r="81" spans="1:24" ht="16.5" customHeight="1" x14ac:dyDescent="0.3">
      <c r="A81" s="2">
        <v>15</v>
      </c>
      <c r="B81" s="2">
        <v>8265</v>
      </c>
      <c r="C81" s="60" t="s">
        <v>8864</v>
      </c>
      <c r="D81" s="1" t="s">
        <v>6448</v>
      </c>
      <c r="E81" s="68"/>
      <c r="F81" s="70"/>
      <c r="G81" s="74" t="s">
        <v>5898</v>
      </c>
      <c r="H81" s="62"/>
      <c r="I81" s="63"/>
      <c r="J81" s="85"/>
      <c r="K81" s="64"/>
      <c r="L81" s="65"/>
      <c r="M81" s="99"/>
      <c r="N81" s="70"/>
      <c r="O81" s="67"/>
      <c r="P81" s="68"/>
      <c r="Q81" s="76"/>
      <c r="R81" s="70"/>
      <c r="S81" s="67"/>
      <c r="T81" s="68"/>
      <c r="U81" s="76"/>
      <c r="V81" s="70"/>
      <c r="W81" s="228">
        <f>ROUND((ROUND((_15_同援日２．０*_15・基礎２),0)*(1+_15・A早朝)),0)</f>
        <v>546</v>
      </c>
      <c r="X81" s="69"/>
    </row>
    <row r="82" spans="1:24" ht="16.5" customHeight="1" x14ac:dyDescent="0.3">
      <c r="A82" s="2">
        <v>15</v>
      </c>
      <c r="B82" s="2">
        <v>8266</v>
      </c>
      <c r="C82" s="60" t="s">
        <v>8863</v>
      </c>
      <c r="D82" s="1"/>
      <c r="E82" s="227">
        <v>485</v>
      </c>
      <c r="F82" s="70" t="s">
        <v>0</v>
      </c>
      <c r="G82" s="106" t="s">
        <v>16812</v>
      </c>
      <c r="H82" s="57" t="s">
        <v>1</v>
      </c>
      <c r="I82" s="58">
        <v>0.9</v>
      </c>
      <c r="J82" s="83" t="s">
        <v>5895</v>
      </c>
      <c r="K82" s="64" t="s">
        <v>1</v>
      </c>
      <c r="L82" s="65">
        <v>1</v>
      </c>
      <c r="M82" s="99"/>
      <c r="N82" s="70"/>
      <c r="O82" s="66"/>
      <c r="P82" s="57"/>
      <c r="Q82" s="58"/>
      <c r="R82" s="77"/>
      <c r="S82" s="67"/>
      <c r="T82" s="68"/>
      <c r="U82" s="76"/>
      <c r="V82" s="70"/>
      <c r="W82" s="228">
        <f>ROUND((ROUND((ROUND((_15_同援日２．０*_15・基礎２),0)*_15・２人),0)*(1+_15・A早朝)),0)</f>
        <v>546</v>
      </c>
      <c r="X82" s="69"/>
    </row>
    <row r="83" spans="1:24" ht="16.5" customHeight="1" x14ac:dyDescent="0.3">
      <c r="A83" s="2">
        <v>15</v>
      </c>
      <c r="B83" s="2">
        <v>8267</v>
      </c>
      <c r="C83" s="60" t="s">
        <v>8862</v>
      </c>
      <c r="D83" s="1"/>
      <c r="E83" s="68"/>
      <c r="F83" s="70"/>
      <c r="G83" s="61"/>
      <c r="H83" s="62"/>
      <c r="I83" s="63"/>
      <c r="J83" s="85"/>
      <c r="K83" s="64"/>
      <c r="L83" s="65"/>
      <c r="M83" s="99"/>
      <c r="N83" s="70"/>
      <c r="O83" s="74" t="s">
        <v>17969</v>
      </c>
      <c r="P83" s="62"/>
      <c r="Q83" s="63"/>
      <c r="R83" s="75"/>
      <c r="S83" s="67"/>
      <c r="T83" s="68"/>
      <c r="U83" s="76"/>
      <c r="V83" s="70"/>
      <c r="W83" s="228">
        <f>ROUND((ROUND((_15_同援日２．０*(1+_15・A早朝)),0)*(1+_15・盲ろう)),0)</f>
        <v>758</v>
      </c>
      <c r="X83" s="69"/>
    </row>
    <row r="84" spans="1:24" ht="16.5" customHeight="1" x14ac:dyDescent="0.3">
      <c r="A84" s="2">
        <v>15</v>
      </c>
      <c r="B84" s="2">
        <v>8268</v>
      </c>
      <c r="C84" s="60" t="s">
        <v>8861</v>
      </c>
      <c r="D84" s="1"/>
      <c r="E84" s="68"/>
      <c r="F84" s="70"/>
      <c r="G84" s="66"/>
      <c r="H84" s="57"/>
      <c r="I84" s="58"/>
      <c r="J84" s="83" t="s">
        <v>5895</v>
      </c>
      <c r="K84" s="64" t="s">
        <v>1</v>
      </c>
      <c r="L84" s="65">
        <v>1</v>
      </c>
      <c r="M84" s="99"/>
      <c r="N84" s="70"/>
      <c r="O84" s="94" t="s">
        <v>17968</v>
      </c>
      <c r="P84" s="68"/>
      <c r="Q84" s="76"/>
      <c r="R84" s="70"/>
      <c r="S84" s="67"/>
      <c r="T84" s="68"/>
      <c r="U84" s="76"/>
      <c r="V84" s="70"/>
      <c r="W84" s="228">
        <f>ROUND((ROUND((ROUND((_15_同援日２．０*_15・２人),0)*(1+_15・A早朝)),0)*(1+_15・盲ろう)),0)</f>
        <v>758</v>
      </c>
      <c r="X84" s="69"/>
    </row>
    <row r="85" spans="1:24" ht="16.5" customHeight="1" x14ac:dyDescent="0.3">
      <c r="A85" s="2">
        <v>15</v>
      </c>
      <c r="B85" s="2">
        <v>8269</v>
      </c>
      <c r="C85" s="60" t="s">
        <v>8860</v>
      </c>
      <c r="D85" s="1"/>
      <c r="E85" s="68"/>
      <c r="F85" s="70"/>
      <c r="G85" s="74" t="s">
        <v>17972</v>
      </c>
      <c r="H85" s="62"/>
      <c r="I85" s="63"/>
      <c r="J85" s="85"/>
      <c r="K85" s="64"/>
      <c r="L85" s="65"/>
      <c r="M85" s="99"/>
      <c r="N85" s="70"/>
      <c r="O85" s="67"/>
      <c r="P85" s="68" t="s">
        <v>1</v>
      </c>
      <c r="Q85" s="76">
        <v>0.25</v>
      </c>
      <c r="R85" s="70" t="s">
        <v>422</v>
      </c>
      <c r="S85" s="67"/>
      <c r="T85" s="68"/>
      <c r="U85" s="76"/>
      <c r="V85" s="70"/>
      <c r="W85" s="228">
        <f>ROUND((ROUND((ROUND((_15_同援日２．０*_15・基礎２),0)*(1+_15・A早朝)),0)*(1+_15・盲ろう)),0)</f>
        <v>683</v>
      </c>
      <c r="X85" s="69"/>
    </row>
    <row r="86" spans="1:24" ht="16.5" customHeight="1" x14ac:dyDescent="0.3">
      <c r="A86" s="2">
        <v>15</v>
      </c>
      <c r="B86" s="2">
        <v>8270</v>
      </c>
      <c r="C86" s="60" t="s">
        <v>8859</v>
      </c>
      <c r="D86" s="1"/>
      <c r="E86" s="68"/>
      <c r="F86" s="70"/>
      <c r="G86" s="106" t="s">
        <v>16812</v>
      </c>
      <c r="H86" s="57" t="s">
        <v>1</v>
      </c>
      <c r="I86" s="58">
        <v>0.9</v>
      </c>
      <c r="J86" s="83" t="s">
        <v>5895</v>
      </c>
      <c r="K86" s="64" t="s">
        <v>1</v>
      </c>
      <c r="L86" s="65">
        <v>1</v>
      </c>
      <c r="M86" s="99"/>
      <c r="N86" s="70"/>
      <c r="O86" s="66"/>
      <c r="P86" s="57"/>
      <c r="Q86" s="58"/>
      <c r="R86" s="77"/>
      <c r="S86" s="66"/>
      <c r="T86" s="57"/>
      <c r="U86" s="58"/>
      <c r="V86" s="77"/>
      <c r="W86" s="228">
        <f>ROUND((ROUND((ROUND((ROUND((_15_同援日２．０*_15・基礎２),0)*_15・２人),0)*(1+_15・A早朝)),0)*(1+_15・盲ろう)),0)</f>
        <v>683</v>
      </c>
      <c r="X86" s="69"/>
    </row>
    <row r="87" spans="1:24" ht="16.5" customHeight="1" x14ac:dyDescent="0.3">
      <c r="A87" s="2">
        <v>15</v>
      </c>
      <c r="B87" s="2">
        <v>8271</v>
      </c>
      <c r="C87" s="60" t="s">
        <v>8858</v>
      </c>
      <c r="D87" s="1"/>
      <c r="E87" s="68"/>
      <c r="F87" s="70"/>
      <c r="G87" s="61"/>
      <c r="H87" s="62"/>
      <c r="I87" s="63"/>
      <c r="J87" s="85"/>
      <c r="K87" s="64"/>
      <c r="L87" s="65"/>
      <c r="M87" s="99"/>
      <c r="N87" s="70"/>
      <c r="O87" s="61"/>
      <c r="P87" s="62"/>
      <c r="Q87" s="63"/>
      <c r="R87" s="75"/>
      <c r="S87" s="61"/>
      <c r="T87" s="62"/>
      <c r="U87" s="63"/>
      <c r="V87" s="75"/>
      <c r="W87" s="228">
        <f>ROUND((ROUND((_15_同援日２．０*(1+_15・A早朝)),0)*(1+_15・区３)),0)</f>
        <v>727</v>
      </c>
      <c r="X87" s="69"/>
    </row>
    <row r="88" spans="1:24" ht="16.5" customHeight="1" x14ac:dyDescent="0.3">
      <c r="A88" s="2">
        <v>15</v>
      </c>
      <c r="B88" s="2">
        <v>8272</v>
      </c>
      <c r="C88" s="60" t="s">
        <v>8857</v>
      </c>
      <c r="D88" s="1"/>
      <c r="E88" s="68"/>
      <c r="F88" s="70"/>
      <c r="G88" s="66"/>
      <c r="H88" s="57"/>
      <c r="I88" s="58"/>
      <c r="J88" s="83" t="s">
        <v>5895</v>
      </c>
      <c r="K88" s="64" t="s">
        <v>1</v>
      </c>
      <c r="L88" s="65">
        <v>1</v>
      </c>
      <c r="M88" s="99"/>
      <c r="N88" s="70"/>
      <c r="O88" s="67"/>
      <c r="P88" s="68"/>
      <c r="Q88" s="76"/>
      <c r="R88" s="70"/>
      <c r="S88" s="67"/>
      <c r="T88" s="68"/>
      <c r="U88" s="76"/>
      <c r="V88" s="70"/>
      <c r="W88" s="228">
        <f>ROUND((ROUND((ROUND((_15_同援日２．０*_15・２人),0)*(1+_15・A早朝)),0)*(1+_15・区３)),0)</f>
        <v>727</v>
      </c>
      <c r="X88" s="69"/>
    </row>
    <row r="89" spans="1:24" ht="16.5" customHeight="1" x14ac:dyDescent="0.3">
      <c r="A89" s="2">
        <v>15</v>
      </c>
      <c r="B89" s="2">
        <v>8273</v>
      </c>
      <c r="C89" s="60" t="s">
        <v>8856</v>
      </c>
      <c r="D89" s="1"/>
      <c r="E89" s="68"/>
      <c r="F89" s="70"/>
      <c r="G89" s="74" t="s">
        <v>5898</v>
      </c>
      <c r="H89" s="62"/>
      <c r="I89" s="63"/>
      <c r="J89" s="85"/>
      <c r="K89" s="64"/>
      <c r="L89" s="65"/>
      <c r="M89" s="99"/>
      <c r="N89" s="70"/>
      <c r="O89" s="67"/>
      <c r="P89" s="68"/>
      <c r="Q89" s="76"/>
      <c r="R89" s="70"/>
      <c r="S89" s="1" t="s">
        <v>17997</v>
      </c>
      <c r="T89" s="68"/>
      <c r="U89" s="76"/>
      <c r="V89" s="70"/>
      <c r="W89" s="228">
        <f>ROUND((ROUND((ROUND((_15_同援日２．０*_15・基礎２),0)*(1+_15・A早朝)),0)*(1+_15・区３)),0)</f>
        <v>655</v>
      </c>
      <c r="X89" s="69"/>
    </row>
    <row r="90" spans="1:24" ht="16.5" customHeight="1" x14ac:dyDescent="0.3">
      <c r="A90" s="2">
        <v>15</v>
      </c>
      <c r="B90" s="2">
        <v>8274</v>
      </c>
      <c r="C90" s="60" t="s">
        <v>8855</v>
      </c>
      <c r="D90" s="1"/>
      <c r="E90" s="68"/>
      <c r="F90" s="70"/>
      <c r="G90" s="106" t="s">
        <v>17864</v>
      </c>
      <c r="H90" s="57" t="s">
        <v>1</v>
      </c>
      <c r="I90" s="58">
        <v>0.9</v>
      </c>
      <c r="J90" s="83" t="s">
        <v>5895</v>
      </c>
      <c r="K90" s="64" t="s">
        <v>1</v>
      </c>
      <c r="L90" s="65">
        <v>1</v>
      </c>
      <c r="M90" s="99"/>
      <c r="N90" s="70"/>
      <c r="O90" s="66"/>
      <c r="P90" s="57"/>
      <c r="Q90" s="58"/>
      <c r="R90" s="77"/>
      <c r="S90" s="1" t="s">
        <v>17980</v>
      </c>
      <c r="T90" s="68"/>
      <c r="U90" s="76"/>
      <c r="V90" s="70"/>
      <c r="W90" s="228">
        <f>ROUND((ROUND((ROUND((ROUND((_15_同援日２．０*_15・基礎２),0)*_15・２人),0)*(1+_15・A早朝)),0)*(1+_15・区３)),0)</f>
        <v>655</v>
      </c>
      <c r="X90" s="69"/>
    </row>
    <row r="91" spans="1:24" ht="16.5" customHeight="1" x14ac:dyDescent="0.3">
      <c r="A91" s="2">
        <v>15</v>
      </c>
      <c r="B91" s="2">
        <v>8275</v>
      </c>
      <c r="C91" s="60" t="s">
        <v>8854</v>
      </c>
      <c r="D91" s="1"/>
      <c r="E91" s="68"/>
      <c r="F91" s="70"/>
      <c r="G91" s="61"/>
      <c r="H91" s="62"/>
      <c r="I91" s="63"/>
      <c r="J91" s="85"/>
      <c r="K91" s="64"/>
      <c r="L91" s="65"/>
      <c r="M91" s="99"/>
      <c r="N91" s="70"/>
      <c r="O91" s="74" t="s">
        <v>17987</v>
      </c>
      <c r="P91" s="62"/>
      <c r="Q91" s="63"/>
      <c r="R91" s="75"/>
      <c r="S91" s="67"/>
      <c r="T91" s="68" t="s">
        <v>1</v>
      </c>
      <c r="U91" s="76">
        <v>0.2</v>
      </c>
      <c r="V91" s="70" t="s">
        <v>422</v>
      </c>
      <c r="W91" s="228">
        <f>ROUND((ROUND((ROUND((_15_同援日２．０*(1+_15・A早朝)),0)*(1+_15・盲ろう)),0)*(1+_15・区３)),0)</f>
        <v>910</v>
      </c>
      <c r="X91" s="69"/>
    </row>
    <row r="92" spans="1:24" ht="16.5" customHeight="1" x14ac:dyDescent="0.3">
      <c r="A92" s="2">
        <v>15</v>
      </c>
      <c r="B92" s="2">
        <v>8276</v>
      </c>
      <c r="C92" s="60" t="s">
        <v>8853</v>
      </c>
      <c r="D92" s="1"/>
      <c r="E92" s="68"/>
      <c r="F92" s="70"/>
      <c r="G92" s="66"/>
      <c r="H92" s="57"/>
      <c r="I92" s="58"/>
      <c r="J92" s="83" t="s">
        <v>5895</v>
      </c>
      <c r="K92" s="64" t="s">
        <v>1</v>
      </c>
      <c r="L92" s="65">
        <v>1</v>
      </c>
      <c r="M92" s="99"/>
      <c r="N92" s="70"/>
      <c r="O92" s="94" t="s">
        <v>17968</v>
      </c>
      <c r="P92" s="68"/>
      <c r="Q92" s="76"/>
      <c r="R92" s="70"/>
      <c r="S92" s="67"/>
      <c r="T92" s="68"/>
      <c r="U92" s="76"/>
      <c r="V92" s="70"/>
      <c r="W92" s="228">
        <f>ROUND((ROUND((ROUND((ROUND((_15_同援日２．０*_15・２人),0)*(1+_15・A早朝)),0)*(1+_15・盲ろう)),0)*(1+_15・区３)),0)</f>
        <v>910</v>
      </c>
      <c r="X92" s="69"/>
    </row>
    <row r="93" spans="1:24" ht="16.5" customHeight="1" x14ac:dyDescent="0.3">
      <c r="A93" s="2">
        <v>15</v>
      </c>
      <c r="B93" s="2">
        <v>8277</v>
      </c>
      <c r="C93" s="60" t="s">
        <v>8852</v>
      </c>
      <c r="D93" s="1"/>
      <c r="E93" s="68"/>
      <c r="F93" s="70"/>
      <c r="G93" s="74" t="s">
        <v>16823</v>
      </c>
      <c r="H93" s="62"/>
      <c r="I93" s="63"/>
      <c r="J93" s="85"/>
      <c r="K93" s="64"/>
      <c r="L93" s="65"/>
      <c r="M93" s="99"/>
      <c r="N93" s="70"/>
      <c r="O93" s="67"/>
      <c r="P93" s="68" t="s">
        <v>1</v>
      </c>
      <c r="Q93" s="76">
        <v>0.25</v>
      </c>
      <c r="R93" s="70" t="s">
        <v>422</v>
      </c>
      <c r="S93" s="67"/>
      <c r="T93" s="68"/>
      <c r="U93" s="76"/>
      <c r="V93" s="70"/>
      <c r="W93" s="228">
        <f>ROUND((ROUND((ROUND((ROUND((_15_同援日２．０*_15・基礎２),0)*(1+_15・A早朝)),0)*(1+_15・盲ろう)),0)*(1+_15・区３)),0)</f>
        <v>820</v>
      </c>
      <c r="X93" s="69"/>
    </row>
    <row r="94" spans="1:24" ht="16.5" customHeight="1" x14ac:dyDescent="0.3">
      <c r="A94" s="2">
        <v>15</v>
      </c>
      <c r="B94" s="2">
        <v>8278</v>
      </c>
      <c r="C94" s="60" t="s">
        <v>8851</v>
      </c>
      <c r="D94" s="1"/>
      <c r="E94" s="68"/>
      <c r="F94" s="70"/>
      <c r="G94" s="106" t="s">
        <v>16812</v>
      </c>
      <c r="H94" s="57" t="s">
        <v>1</v>
      </c>
      <c r="I94" s="58">
        <v>0.9</v>
      </c>
      <c r="J94" s="83" t="s">
        <v>5895</v>
      </c>
      <c r="K94" s="64" t="s">
        <v>1</v>
      </c>
      <c r="L94" s="65">
        <v>1</v>
      </c>
      <c r="M94" s="99"/>
      <c r="N94" s="70"/>
      <c r="O94" s="66"/>
      <c r="P94" s="57"/>
      <c r="Q94" s="58"/>
      <c r="R94" s="77"/>
      <c r="S94" s="66"/>
      <c r="T94" s="57"/>
      <c r="U94" s="58"/>
      <c r="V94" s="77"/>
      <c r="W94" s="228">
        <f>ROUND((ROUND((ROUND((ROUND((ROUND((_15_同援日２．０*_15・基礎２),0)*_15・２人),0)*(1+_15・A早朝)),0)*(1+_15・盲ろう)),0)*(1+_15・区３)),0)</f>
        <v>820</v>
      </c>
      <c r="X94" s="69"/>
    </row>
    <row r="95" spans="1:24" ht="16.5" customHeight="1" x14ac:dyDescent="0.3">
      <c r="A95" s="2">
        <v>15</v>
      </c>
      <c r="B95" s="2">
        <v>8279</v>
      </c>
      <c r="C95" s="60" t="s">
        <v>8850</v>
      </c>
      <c r="D95" s="1"/>
      <c r="E95" s="68"/>
      <c r="F95" s="70"/>
      <c r="G95" s="61"/>
      <c r="H95" s="62"/>
      <c r="I95" s="63"/>
      <c r="J95" s="85"/>
      <c r="K95" s="64"/>
      <c r="L95" s="65"/>
      <c r="M95" s="99"/>
      <c r="N95" s="70"/>
      <c r="O95" s="61"/>
      <c r="P95" s="62"/>
      <c r="Q95" s="63"/>
      <c r="R95" s="75"/>
      <c r="S95" s="61"/>
      <c r="T95" s="62"/>
      <c r="U95" s="63"/>
      <c r="V95" s="75"/>
      <c r="W95" s="228">
        <f>ROUND((ROUND((_15_同援日２．０*(1+_15・A早朝)),0)*(1+_15・区４)),0)</f>
        <v>848</v>
      </c>
      <c r="X95" s="69"/>
    </row>
    <row r="96" spans="1:24" ht="16.5" customHeight="1" x14ac:dyDescent="0.3">
      <c r="A96" s="2">
        <v>15</v>
      </c>
      <c r="B96" s="2">
        <v>8280</v>
      </c>
      <c r="C96" s="60" t="s">
        <v>8849</v>
      </c>
      <c r="D96" s="1"/>
      <c r="E96" s="68"/>
      <c r="F96" s="70"/>
      <c r="G96" s="66"/>
      <c r="H96" s="57"/>
      <c r="I96" s="58"/>
      <c r="J96" s="83" t="s">
        <v>5895</v>
      </c>
      <c r="K96" s="64" t="s">
        <v>1</v>
      </c>
      <c r="L96" s="65">
        <v>1</v>
      </c>
      <c r="M96" s="99"/>
      <c r="N96" s="70"/>
      <c r="O96" s="67"/>
      <c r="P96" s="68"/>
      <c r="Q96" s="76"/>
      <c r="R96" s="70"/>
      <c r="S96" s="67"/>
      <c r="T96" s="68"/>
      <c r="U96" s="76"/>
      <c r="V96" s="70"/>
      <c r="W96" s="228">
        <f>ROUND((ROUND((ROUND((_15_同援日２．０*_15・２人),0)*(1+_15・A早朝)),0)*(1+_15・区４)),0)</f>
        <v>848</v>
      </c>
      <c r="X96" s="69"/>
    </row>
    <row r="97" spans="1:24" ht="16.5" customHeight="1" x14ac:dyDescent="0.3">
      <c r="A97" s="2">
        <v>15</v>
      </c>
      <c r="B97" s="2">
        <v>8281</v>
      </c>
      <c r="C97" s="60" t="s">
        <v>8848</v>
      </c>
      <c r="D97" s="1"/>
      <c r="E97" s="68"/>
      <c r="F97" s="70"/>
      <c r="G97" s="74" t="s">
        <v>5898</v>
      </c>
      <c r="H97" s="62"/>
      <c r="I97" s="63"/>
      <c r="J97" s="85"/>
      <c r="K97" s="64"/>
      <c r="L97" s="65"/>
      <c r="M97" s="99"/>
      <c r="N97" s="70"/>
      <c r="O97" s="67"/>
      <c r="P97" s="68"/>
      <c r="Q97" s="76"/>
      <c r="R97" s="70"/>
      <c r="S97" s="1" t="s">
        <v>17971</v>
      </c>
      <c r="T97" s="68"/>
      <c r="U97" s="76"/>
      <c r="V97" s="70"/>
      <c r="W97" s="228">
        <f>ROUND((ROUND((ROUND((_15_同援日２．０*_15・基礎２),0)*(1+_15・A早朝)),0)*(1+_15・区４)),0)</f>
        <v>764</v>
      </c>
      <c r="X97" s="69"/>
    </row>
    <row r="98" spans="1:24" ht="16.5" customHeight="1" x14ac:dyDescent="0.3">
      <c r="A98" s="2">
        <v>15</v>
      </c>
      <c r="B98" s="2">
        <v>8282</v>
      </c>
      <c r="C98" s="60" t="s">
        <v>8847</v>
      </c>
      <c r="D98" s="1"/>
      <c r="E98" s="68"/>
      <c r="F98" s="70"/>
      <c r="G98" s="106" t="s">
        <v>5896</v>
      </c>
      <c r="H98" s="57" t="s">
        <v>1</v>
      </c>
      <c r="I98" s="58">
        <v>0.9</v>
      </c>
      <c r="J98" s="83" t="s">
        <v>5895</v>
      </c>
      <c r="K98" s="64" t="s">
        <v>1</v>
      </c>
      <c r="L98" s="65">
        <v>1</v>
      </c>
      <c r="M98" s="99"/>
      <c r="N98" s="70"/>
      <c r="O98" s="66"/>
      <c r="P98" s="57"/>
      <c r="Q98" s="58"/>
      <c r="R98" s="77"/>
      <c r="S98" s="1" t="s">
        <v>17996</v>
      </c>
      <c r="T98" s="68"/>
      <c r="U98" s="76"/>
      <c r="V98" s="70"/>
      <c r="W98" s="228">
        <f>ROUND((ROUND((ROUND((ROUND((_15_同援日２．０*_15・基礎２),0)*_15・２人),0)*(1+_15・A早朝)),0)*(1+_15・区４)),0)</f>
        <v>764</v>
      </c>
      <c r="X98" s="69"/>
    </row>
    <row r="99" spans="1:24" ht="16.5" customHeight="1" x14ac:dyDescent="0.3">
      <c r="A99" s="2">
        <v>15</v>
      </c>
      <c r="B99" s="2">
        <v>8283</v>
      </c>
      <c r="C99" s="60" t="s">
        <v>8846</v>
      </c>
      <c r="D99" s="1"/>
      <c r="E99" s="68"/>
      <c r="F99" s="70"/>
      <c r="G99" s="61"/>
      <c r="H99" s="62"/>
      <c r="I99" s="63"/>
      <c r="J99" s="85"/>
      <c r="K99" s="64"/>
      <c r="L99" s="65"/>
      <c r="M99" s="99"/>
      <c r="N99" s="70"/>
      <c r="O99" s="74" t="s">
        <v>17987</v>
      </c>
      <c r="P99" s="62"/>
      <c r="Q99" s="63"/>
      <c r="R99" s="75"/>
      <c r="S99" s="67"/>
      <c r="T99" s="68" t="s">
        <v>1</v>
      </c>
      <c r="U99" s="76">
        <v>0.4</v>
      </c>
      <c r="V99" s="70" t="s">
        <v>422</v>
      </c>
      <c r="W99" s="228">
        <f>ROUND((ROUND((ROUND((_15_同援日２．０*(1+_15・A早朝)),0)*(1+_15・盲ろう)),0)*(1+_15・区４)),0)</f>
        <v>1061</v>
      </c>
      <c r="X99" s="69"/>
    </row>
    <row r="100" spans="1:24" ht="16.5" customHeight="1" x14ac:dyDescent="0.3">
      <c r="A100" s="2">
        <v>15</v>
      </c>
      <c r="B100" s="2">
        <v>8284</v>
      </c>
      <c r="C100" s="60" t="s">
        <v>8845</v>
      </c>
      <c r="D100" s="1"/>
      <c r="E100" s="68"/>
      <c r="F100" s="70"/>
      <c r="G100" s="66"/>
      <c r="H100" s="57"/>
      <c r="I100" s="58"/>
      <c r="J100" s="83" t="s">
        <v>5895</v>
      </c>
      <c r="K100" s="64" t="s">
        <v>1</v>
      </c>
      <c r="L100" s="65">
        <v>1</v>
      </c>
      <c r="M100" s="99"/>
      <c r="N100" s="70"/>
      <c r="O100" s="94" t="s">
        <v>8083</v>
      </c>
      <c r="P100" s="68"/>
      <c r="Q100" s="76"/>
      <c r="R100" s="70"/>
      <c r="S100" s="67"/>
      <c r="T100" s="68"/>
      <c r="U100" s="76"/>
      <c r="V100" s="70"/>
      <c r="W100" s="228">
        <f>ROUND((ROUND((ROUND((ROUND((_15_同援日２．０*_15・２人),0)*(1+_15・A早朝)),0)*(1+_15・盲ろう)),0)*(1+_15・区４)),0)</f>
        <v>1061</v>
      </c>
      <c r="X100" s="69"/>
    </row>
    <row r="101" spans="1:24" ht="16.5" customHeight="1" x14ac:dyDescent="0.3">
      <c r="A101" s="2">
        <v>15</v>
      </c>
      <c r="B101" s="2">
        <v>8285</v>
      </c>
      <c r="C101" s="60" t="s">
        <v>8844</v>
      </c>
      <c r="D101" s="1"/>
      <c r="E101" s="68"/>
      <c r="F101" s="70"/>
      <c r="G101" s="74" t="s">
        <v>16823</v>
      </c>
      <c r="H101" s="62"/>
      <c r="I101" s="63"/>
      <c r="J101" s="85"/>
      <c r="K101" s="64"/>
      <c r="L101" s="65"/>
      <c r="M101" s="99"/>
      <c r="N101" s="70"/>
      <c r="O101" s="67"/>
      <c r="P101" s="68" t="s">
        <v>1</v>
      </c>
      <c r="Q101" s="76">
        <v>0.25</v>
      </c>
      <c r="R101" s="70" t="s">
        <v>422</v>
      </c>
      <c r="S101" s="67"/>
      <c r="T101" s="68"/>
      <c r="U101" s="76"/>
      <c r="V101" s="70"/>
      <c r="W101" s="228">
        <f>ROUND((ROUND((ROUND((ROUND((_15_同援日２．０*_15・基礎２),0)*(1+_15・A早朝)),0)*(1+_15・盲ろう)),0)*(1+_15・区４)),0)</f>
        <v>956</v>
      </c>
      <c r="X101" s="69"/>
    </row>
    <row r="102" spans="1:24" ht="16.5" customHeight="1" x14ac:dyDescent="0.3">
      <c r="A102" s="2">
        <v>15</v>
      </c>
      <c r="B102" s="2">
        <v>8286</v>
      </c>
      <c r="C102" s="60" t="s">
        <v>8843</v>
      </c>
      <c r="D102" s="81"/>
      <c r="E102" s="57"/>
      <c r="F102" s="77"/>
      <c r="G102" s="106" t="s">
        <v>5896</v>
      </c>
      <c r="H102" s="57" t="s">
        <v>1</v>
      </c>
      <c r="I102" s="58">
        <v>0.9</v>
      </c>
      <c r="J102" s="83" t="s">
        <v>5895</v>
      </c>
      <c r="K102" s="64" t="s">
        <v>1</v>
      </c>
      <c r="L102" s="65">
        <v>1</v>
      </c>
      <c r="M102" s="99"/>
      <c r="N102" s="70"/>
      <c r="O102" s="66"/>
      <c r="P102" s="57"/>
      <c r="Q102" s="58"/>
      <c r="R102" s="77"/>
      <c r="S102" s="66"/>
      <c r="T102" s="57"/>
      <c r="U102" s="58"/>
      <c r="V102" s="77"/>
      <c r="W102" s="228">
        <f>ROUND((ROUND((ROUND((ROUND((ROUND((_15_同援日２．０*_15・基礎２),0)*_15・２人),0)*(1+_15・A早朝)),0)*(1+_15・盲ろう)),0)*(1+_15・区４)),0)</f>
        <v>956</v>
      </c>
      <c r="X102" s="69"/>
    </row>
    <row r="103" spans="1:24" ht="16.5" customHeight="1" x14ac:dyDescent="0.3">
      <c r="A103" s="2">
        <v>15</v>
      </c>
      <c r="B103" s="2">
        <v>8287</v>
      </c>
      <c r="C103" s="60" t="s">
        <v>8842</v>
      </c>
      <c r="D103" s="233" t="s">
        <v>17995</v>
      </c>
      <c r="E103" s="62"/>
      <c r="F103" s="75"/>
      <c r="G103" s="61"/>
      <c r="H103" s="62"/>
      <c r="I103" s="63"/>
      <c r="J103" s="85"/>
      <c r="K103" s="64"/>
      <c r="L103" s="65"/>
      <c r="M103" s="99"/>
      <c r="N103" s="70"/>
      <c r="O103" s="61"/>
      <c r="P103" s="62"/>
      <c r="Q103" s="63"/>
      <c r="R103" s="75"/>
      <c r="S103" s="61"/>
      <c r="T103" s="62"/>
      <c r="U103" s="63"/>
      <c r="V103" s="75"/>
      <c r="W103" s="228">
        <f>ROUND((_15_同援日２．５*(1+_15・A早朝)),0)</f>
        <v>685</v>
      </c>
      <c r="X103" s="69"/>
    </row>
    <row r="104" spans="1:24" ht="16.5" customHeight="1" x14ac:dyDescent="0.3">
      <c r="A104" s="2">
        <v>15</v>
      </c>
      <c r="B104" s="2">
        <v>8288</v>
      </c>
      <c r="C104" s="60" t="s">
        <v>8841</v>
      </c>
      <c r="D104" s="1" t="s">
        <v>17994</v>
      </c>
      <c r="E104" s="68"/>
      <c r="F104" s="70"/>
      <c r="G104" s="66"/>
      <c r="H104" s="57"/>
      <c r="I104" s="58"/>
      <c r="J104" s="83" t="s">
        <v>5895</v>
      </c>
      <c r="K104" s="64" t="s">
        <v>1</v>
      </c>
      <c r="L104" s="65">
        <v>1</v>
      </c>
      <c r="M104" s="99"/>
      <c r="N104" s="70"/>
      <c r="O104" s="67"/>
      <c r="P104" s="68"/>
      <c r="Q104" s="76"/>
      <c r="R104" s="70"/>
      <c r="S104" s="67"/>
      <c r="T104" s="68"/>
      <c r="U104" s="76"/>
      <c r="V104" s="70"/>
      <c r="W104" s="228">
        <f>ROUND((ROUND((_15_同援日２．５*_15・２人),0)*(1+_15・A早朝)),0)</f>
        <v>685</v>
      </c>
      <c r="X104" s="69"/>
    </row>
    <row r="105" spans="1:24" ht="16.5" customHeight="1" x14ac:dyDescent="0.3">
      <c r="A105" s="2">
        <v>15</v>
      </c>
      <c r="B105" s="2">
        <v>8289</v>
      </c>
      <c r="C105" s="60" t="s">
        <v>8840</v>
      </c>
      <c r="D105" s="1" t="s">
        <v>8499</v>
      </c>
      <c r="E105" s="68"/>
      <c r="F105" s="70"/>
      <c r="G105" s="74" t="s">
        <v>16823</v>
      </c>
      <c r="H105" s="62"/>
      <c r="I105" s="63"/>
      <c r="J105" s="85"/>
      <c r="K105" s="64"/>
      <c r="L105" s="65"/>
      <c r="M105" s="99"/>
      <c r="N105" s="70"/>
      <c r="O105" s="67"/>
      <c r="P105" s="68"/>
      <c r="Q105" s="76"/>
      <c r="R105" s="70"/>
      <c r="S105" s="67"/>
      <c r="T105" s="68"/>
      <c r="U105" s="76"/>
      <c r="V105" s="70"/>
      <c r="W105" s="228">
        <f>ROUND((ROUND((_15_同援日２．５*_15・基礎２),0)*(1+_15・A早朝)),0)</f>
        <v>616</v>
      </c>
      <c r="X105" s="69"/>
    </row>
    <row r="106" spans="1:24" ht="16.5" customHeight="1" x14ac:dyDescent="0.3">
      <c r="A106" s="2">
        <v>15</v>
      </c>
      <c r="B106" s="2">
        <v>8290</v>
      </c>
      <c r="C106" s="60" t="s">
        <v>8839</v>
      </c>
      <c r="D106" s="1"/>
      <c r="E106" s="227">
        <v>548</v>
      </c>
      <c r="F106" s="70" t="s">
        <v>0</v>
      </c>
      <c r="G106" s="106" t="s">
        <v>5896</v>
      </c>
      <c r="H106" s="57" t="s">
        <v>1</v>
      </c>
      <c r="I106" s="58">
        <v>0.9</v>
      </c>
      <c r="J106" s="83" t="s">
        <v>5895</v>
      </c>
      <c r="K106" s="64" t="s">
        <v>1</v>
      </c>
      <c r="L106" s="65">
        <v>1</v>
      </c>
      <c r="M106" s="99"/>
      <c r="N106" s="70"/>
      <c r="O106" s="66"/>
      <c r="P106" s="57"/>
      <c r="Q106" s="58"/>
      <c r="R106" s="77"/>
      <c r="S106" s="67"/>
      <c r="T106" s="68"/>
      <c r="U106" s="76"/>
      <c r="V106" s="70"/>
      <c r="W106" s="228">
        <f>ROUND((ROUND((ROUND((_15_同援日２．５*_15・基礎２),0)*_15・２人),0)*(1+_15・A早朝)),0)</f>
        <v>616</v>
      </c>
      <c r="X106" s="69"/>
    </row>
    <row r="107" spans="1:24" ht="16.5" customHeight="1" x14ac:dyDescent="0.3">
      <c r="A107" s="2">
        <v>15</v>
      </c>
      <c r="B107" s="2">
        <v>8291</v>
      </c>
      <c r="C107" s="60" t="s">
        <v>8838</v>
      </c>
      <c r="D107" s="1"/>
      <c r="E107" s="68"/>
      <c r="F107" s="70"/>
      <c r="G107" s="61"/>
      <c r="H107" s="62"/>
      <c r="I107" s="63"/>
      <c r="J107" s="85"/>
      <c r="K107" s="64"/>
      <c r="L107" s="65"/>
      <c r="M107" s="99"/>
      <c r="N107" s="70"/>
      <c r="O107" s="74" t="s">
        <v>17987</v>
      </c>
      <c r="P107" s="62"/>
      <c r="Q107" s="63"/>
      <c r="R107" s="75"/>
      <c r="S107" s="67"/>
      <c r="T107" s="68"/>
      <c r="U107" s="76"/>
      <c r="V107" s="70"/>
      <c r="W107" s="228">
        <f>ROUND((ROUND((_15_同援日２．５*(1+_15・A早朝)),0)*(1+_15・盲ろう)),0)</f>
        <v>856</v>
      </c>
      <c r="X107" s="69"/>
    </row>
    <row r="108" spans="1:24" ht="16.5" customHeight="1" x14ac:dyDescent="0.3">
      <c r="A108" s="2">
        <v>15</v>
      </c>
      <c r="B108" s="2">
        <v>8292</v>
      </c>
      <c r="C108" s="60" t="s">
        <v>8837</v>
      </c>
      <c r="D108" s="1"/>
      <c r="E108" s="68"/>
      <c r="F108" s="70"/>
      <c r="G108" s="66"/>
      <c r="H108" s="57"/>
      <c r="I108" s="58"/>
      <c r="J108" s="83" t="s">
        <v>5895</v>
      </c>
      <c r="K108" s="64" t="s">
        <v>1</v>
      </c>
      <c r="L108" s="65">
        <v>1</v>
      </c>
      <c r="M108" s="99"/>
      <c r="N108" s="70"/>
      <c r="O108" s="94" t="s">
        <v>17973</v>
      </c>
      <c r="P108" s="68"/>
      <c r="Q108" s="76"/>
      <c r="R108" s="70"/>
      <c r="S108" s="67"/>
      <c r="T108" s="68"/>
      <c r="U108" s="76"/>
      <c r="V108" s="70"/>
      <c r="W108" s="228">
        <f>ROUND((ROUND((ROUND((_15_同援日２．５*_15・２人),0)*(1+_15・A早朝)),0)*(1+_15・盲ろう)),0)</f>
        <v>856</v>
      </c>
      <c r="X108" s="69"/>
    </row>
    <row r="109" spans="1:24" ht="16.5" customHeight="1" x14ac:dyDescent="0.3">
      <c r="A109" s="2">
        <v>15</v>
      </c>
      <c r="B109" s="2">
        <v>8293</v>
      </c>
      <c r="C109" s="60" t="s">
        <v>8836</v>
      </c>
      <c r="D109" s="1"/>
      <c r="E109" s="68"/>
      <c r="F109" s="70"/>
      <c r="G109" s="74" t="s">
        <v>5898</v>
      </c>
      <c r="H109" s="62"/>
      <c r="I109" s="63"/>
      <c r="J109" s="85"/>
      <c r="K109" s="64"/>
      <c r="L109" s="65"/>
      <c r="M109" s="99"/>
      <c r="N109" s="70"/>
      <c r="O109" s="67"/>
      <c r="P109" s="68" t="s">
        <v>1</v>
      </c>
      <c r="Q109" s="76">
        <v>0.25</v>
      </c>
      <c r="R109" s="70" t="s">
        <v>422</v>
      </c>
      <c r="S109" s="67"/>
      <c r="T109" s="68"/>
      <c r="U109" s="76"/>
      <c r="V109" s="70"/>
      <c r="W109" s="228">
        <f>ROUND((ROUND((ROUND((_15_同援日２．５*_15・基礎２),0)*(1+_15・A早朝)),0)*(1+_15・盲ろう)),0)</f>
        <v>770</v>
      </c>
      <c r="X109" s="69"/>
    </row>
    <row r="110" spans="1:24" ht="16.5" customHeight="1" x14ac:dyDescent="0.3">
      <c r="A110" s="2">
        <v>15</v>
      </c>
      <c r="B110" s="2">
        <v>8294</v>
      </c>
      <c r="C110" s="60" t="s">
        <v>8835</v>
      </c>
      <c r="D110" s="1"/>
      <c r="E110" s="68"/>
      <c r="F110" s="70"/>
      <c r="G110" s="106" t="s">
        <v>5896</v>
      </c>
      <c r="H110" s="57" t="s">
        <v>1</v>
      </c>
      <c r="I110" s="58">
        <v>0.9</v>
      </c>
      <c r="J110" s="83" t="s">
        <v>5895</v>
      </c>
      <c r="K110" s="64" t="s">
        <v>1</v>
      </c>
      <c r="L110" s="65">
        <v>1</v>
      </c>
      <c r="M110" s="99"/>
      <c r="N110" s="70"/>
      <c r="O110" s="66"/>
      <c r="P110" s="57"/>
      <c r="Q110" s="58"/>
      <c r="R110" s="77"/>
      <c r="S110" s="66"/>
      <c r="T110" s="57"/>
      <c r="U110" s="58"/>
      <c r="V110" s="77"/>
      <c r="W110" s="228">
        <f>ROUND((ROUND((ROUND((ROUND((_15_同援日２．５*_15・基礎２),0)*_15・２人),0)*(1+_15・A早朝)),0)*(1+_15・盲ろう)),0)</f>
        <v>770</v>
      </c>
      <c r="X110" s="69"/>
    </row>
    <row r="111" spans="1:24" ht="16.5" customHeight="1" x14ac:dyDescent="0.3">
      <c r="A111" s="2">
        <v>15</v>
      </c>
      <c r="B111" s="2">
        <v>8295</v>
      </c>
      <c r="C111" s="60" t="s">
        <v>8834</v>
      </c>
      <c r="D111" s="1"/>
      <c r="E111" s="68"/>
      <c r="F111" s="70"/>
      <c r="G111" s="61"/>
      <c r="H111" s="62"/>
      <c r="I111" s="63"/>
      <c r="J111" s="85"/>
      <c r="K111" s="64"/>
      <c r="L111" s="65"/>
      <c r="M111" s="99"/>
      <c r="N111" s="70"/>
      <c r="O111" s="61"/>
      <c r="P111" s="62"/>
      <c r="Q111" s="63"/>
      <c r="R111" s="75"/>
      <c r="S111" s="61"/>
      <c r="T111" s="62"/>
      <c r="U111" s="63"/>
      <c r="V111" s="75"/>
      <c r="W111" s="228">
        <f>ROUND((ROUND((_15_同援日２．５*(1+_15・A早朝)),0)*(1+_15・区３)),0)</f>
        <v>822</v>
      </c>
      <c r="X111" s="69"/>
    </row>
    <row r="112" spans="1:24" ht="16.5" customHeight="1" x14ac:dyDescent="0.3">
      <c r="A112" s="2">
        <v>15</v>
      </c>
      <c r="B112" s="2">
        <v>8296</v>
      </c>
      <c r="C112" s="60" t="s">
        <v>8833</v>
      </c>
      <c r="D112" s="1"/>
      <c r="E112" s="68"/>
      <c r="F112" s="70"/>
      <c r="G112" s="66"/>
      <c r="H112" s="57"/>
      <c r="I112" s="58"/>
      <c r="J112" s="83" t="s">
        <v>5895</v>
      </c>
      <c r="K112" s="64" t="s">
        <v>1</v>
      </c>
      <c r="L112" s="65">
        <v>1</v>
      </c>
      <c r="M112" s="99"/>
      <c r="N112" s="70"/>
      <c r="O112" s="67"/>
      <c r="P112" s="68"/>
      <c r="Q112" s="76"/>
      <c r="R112" s="70"/>
      <c r="S112" s="67"/>
      <c r="T112" s="68"/>
      <c r="U112" s="76"/>
      <c r="V112" s="70"/>
      <c r="W112" s="228">
        <f>ROUND((ROUND((ROUND((_15_同援日２．５*_15・２人),0)*(1+_15・A早朝)),0)*(1+_15・区３)),0)</f>
        <v>822</v>
      </c>
      <c r="X112" s="69"/>
    </row>
    <row r="113" spans="1:24" ht="16.5" customHeight="1" x14ac:dyDescent="0.3">
      <c r="A113" s="2">
        <v>15</v>
      </c>
      <c r="B113" s="2">
        <v>8297</v>
      </c>
      <c r="C113" s="60" t="s">
        <v>8832</v>
      </c>
      <c r="D113" s="1"/>
      <c r="E113" s="68"/>
      <c r="F113" s="70"/>
      <c r="G113" s="74" t="s">
        <v>5898</v>
      </c>
      <c r="H113" s="62"/>
      <c r="I113" s="63"/>
      <c r="J113" s="85"/>
      <c r="K113" s="64"/>
      <c r="L113" s="65"/>
      <c r="M113" s="99"/>
      <c r="N113" s="70"/>
      <c r="O113" s="67"/>
      <c r="P113" s="68"/>
      <c r="Q113" s="76"/>
      <c r="R113" s="70"/>
      <c r="S113" s="1" t="s">
        <v>17974</v>
      </c>
      <c r="T113" s="68"/>
      <c r="U113" s="76"/>
      <c r="V113" s="70"/>
      <c r="W113" s="228">
        <f>ROUND((ROUND((ROUND((_15_同援日２．５*_15・基礎２),0)*(1+_15・A早朝)),0)*(1+_15・区３)),0)</f>
        <v>739</v>
      </c>
      <c r="X113" s="69"/>
    </row>
    <row r="114" spans="1:24" ht="16.5" customHeight="1" x14ac:dyDescent="0.3">
      <c r="A114" s="2">
        <v>15</v>
      </c>
      <c r="B114" s="2">
        <v>8298</v>
      </c>
      <c r="C114" s="60" t="s">
        <v>8831</v>
      </c>
      <c r="D114" s="1"/>
      <c r="E114" s="68"/>
      <c r="F114" s="70"/>
      <c r="G114" s="106" t="s">
        <v>16812</v>
      </c>
      <c r="H114" s="57" t="s">
        <v>1</v>
      </c>
      <c r="I114" s="58">
        <v>0.9</v>
      </c>
      <c r="J114" s="83" t="s">
        <v>5895</v>
      </c>
      <c r="K114" s="64" t="s">
        <v>1</v>
      </c>
      <c r="L114" s="65">
        <v>1</v>
      </c>
      <c r="M114" s="99"/>
      <c r="N114" s="70"/>
      <c r="O114" s="66"/>
      <c r="P114" s="57"/>
      <c r="Q114" s="58"/>
      <c r="R114" s="77"/>
      <c r="S114" s="1" t="s">
        <v>17980</v>
      </c>
      <c r="T114" s="68"/>
      <c r="U114" s="76"/>
      <c r="V114" s="70"/>
      <c r="W114" s="228">
        <f>ROUND((ROUND((ROUND((ROUND((_15_同援日２．５*_15・基礎２),0)*_15・２人),0)*(1+_15・A早朝)),0)*(1+_15・区３)),0)</f>
        <v>739</v>
      </c>
      <c r="X114" s="69"/>
    </row>
    <row r="115" spans="1:24" ht="16.5" customHeight="1" x14ac:dyDescent="0.3">
      <c r="A115" s="2">
        <v>15</v>
      </c>
      <c r="B115" s="2">
        <v>8299</v>
      </c>
      <c r="C115" s="60" t="s">
        <v>8830</v>
      </c>
      <c r="D115" s="1"/>
      <c r="E115" s="68"/>
      <c r="F115" s="70"/>
      <c r="G115" s="61"/>
      <c r="H115" s="62"/>
      <c r="I115" s="63"/>
      <c r="J115" s="85"/>
      <c r="K115" s="64"/>
      <c r="L115" s="65"/>
      <c r="M115" s="99"/>
      <c r="N115" s="70"/>
      <c r="O115" s="74" t="s">
        <v>8085</v>
      </c>
      <c r="P115" s="62"/>
      <c r="Q115" s="63"/>
      <c r="R115" s="75"/>
      <c r="S115" s="67"/>
      <c r="T115" s="68" t="s">
        <v>1</v>
      </c>
      <c r="U115" s="76">
        <v>0.2</v>
      </c>
      <c r="V115" s="70" t="s">
        <v>422</v>
      </c>
      <c r="W115" s="228">
        <f>ROUND((ROUND((ROUND((_15_同援日２．５*(1+_15・A早朝)),0)*(1+_15・盲ろう)),0)*(1+_15・区３)),0)</f>
        <v>1027</v>
      </c>
      <c r="X115" s="69"/>
    </row>
    <row r="116" spans="1:24" ht="16.5" customHeight="1" x14ac:dyDescent="0.3">
      <c r="A116" s="2">
        <v>15</v>
      </c>
      <c r="B116" s="2">
        <v>8300</v>
      </c>
      <c r="C116" s="60" t="s">
        <v>8829</v>
      </c>
      <c r="D116" s="1"/>
      <c r="E116" s="68"/>
      <c r="F116" s="70"/>
      <c r="G116" s="66"/>
      <c r="H116" s="57"/>
      <c r="I116" s="58"/>
      <c r="J116" s="83" t="s">
        <v>5895</v>
      </c>
      <c r="K116" s="64" t="s">
        <v>1</v>
      </c>
      <c r="L116" s="65">
        <v>1</v>
      </c>
      <c r="M116" s="99"/>
      <c r="N116" s="70"/>
      <c r="O116" s="94" t="s">
        <v>17968</v>
      </c>
      <c r="P116" s="68"/>
      <c r="Q116" s="76"/>
      <c r="R116" s="70"/>
      <c r="S116" s="67"/>
      <c r="T116" s="68"/>
      <c r="U116" s="76"/>
      <c r="V116" s="70"/>
      <c r="W116" s="228">
        <f>ROUND((ROUND((ROUND((ROUND((_15_同援日２．５*_15・２人),0)*(1+_15・A早朝)),0)*(1+_15・盲ろう)),0)*(1+_15・区３)),0)</f>
        <v>1027</v>
      </c>
      <c r="X116" s="69"/>
    </row>
    <row r="117" spans="1:24" ht="16.5" customHeight="1" x14ac:dyDescent="0.3">
      <c r="A117" s="2">
        <v>15</v>
      </c>
      <c r="B117" s="2">
        <v>8301</v>
      </c>
      <c r="C117" s="60" t="s">
        <v>8828</v>
      </c>
      <c r="D117" s="1"/>
      <c r="E117" s="68"/>
      <c r="F117" s="70"/>
      <c r="G117" s="74" t="s">
        <v>17993</v>
      </c>
      <c r="H117" s="62"/>
      <c r="I117" s="63"/>
      <c r="J117" s="85"/>
      <c r="K117" s="64"/>
      <c r="L117" s="65"/>
      <c r="M117" s="99"/>
      <c r="N117" s="70"/>
      <c r="O117" s="67"/>
      <c r="P117" s="68" t="s">
        <v>1</v>
      </c>
      <c r="Q117" s="76">
        <v>0.25</v>
      </c>
      <c r="R117" s="70" t="s">
        <v>422</v>
      </c>
      <c r="S117" s="67"/>
      <c r="T117" s="68"/>
      <c r="U117" s="76"/>
      <c r="V117" s="70"/>
      <c r="W117" s="228">
        <f>ROUND((ROUND((ROUND((ROUND((_15_同援日２．５*_15・基礎２),0)*(1+_15・A早朝)),0)*(1+_15・盲ろう)),0)*(1+_15・区３)),0)</f>
        <v>924</v>
      </c>
      <c r="X117" s="69"/>
    </row>
    <row r="118" spans="1:24" ht="16.5" customHeight="1" x14ac:dyDescent="0.3">
      <c r="A118" s="2">
        <v>15</v>
      </c>
      <c r="B118" s="2">
        <v>8302</v>
      </c>
      <c r="C118" s="60" t="s">
        <v>8827</v>
      </c>
      <c r="D118" s="1"/>
      <c r="E118" s="68"/>
      <c r="F118" s="70"/>
      <c r="G118" s="106" t="s">
        <v>16812</v>
      </c>
      <c r="H118" s="57" t="s">
        <v>1</v>
      </c>
      <c r="I118" s="58">
        <v>0.9</v>
      </c>
      <c r="J118" s="83" t="s">
        <v>5895</v>
      </c>
      <c r="K118" s="64" t="s">
        <v>1</v>
      </c>
      <c r="L118" s="65">
        <v>1</v>
      </c>
      <c r="M118" s="99"/>
      <c r="N118" s="70"/>
      <c r="O118" s="66"/>
      <c r="P118" s="57"/>
      <c r="Q118" s="58"/>
      <c r="R118" s="77"/>
      <c r="S118" s="66"/>
      <c r="T118" s="57"/>
      <c r="U118" s="58"/>
      <c r="V118" s="77"/>
      <c r="W118" s="228">
        <f>ROUND((ROUND((ROUND((ROUND((ROUND((_15_同援日２．５*_15・基礎２),0)*_15・２人),0)*(1+_15・A早朝)),0)*(1+_15・盲ろう)),0)*(1+_15・区３)),0)</f>
        <v>924</v>
      </c>
      <c r="X118" s="69"/>
    </row>
    <row r="119" spans="1:24" ht="16.5" customHeight="1" x14ac:dyDescent="0.3">
      <c r="A119" s="2">
        <v>15</v>
      </c>
      <c r="B119" s="2">
        <v>8303</v>
      </c>
      <c r="C119" s="60" t="s">
        <v>8826</v>
      </c>
      <c r="D119" s="1"/>
      <c r="E119" s="68"/>
      <c r="F119" s="70"/>
      <c r="G119" s="61"/>
      <c r="H119" s="62"/>
      <c r="I119" s="63"/>
      <c r="J119" s="85"/>
      <c r="K119" s="64"/>
      <c r="L119" s="65"/>
      <c r="M119" s="99"/>
      <c r="N119" s="70"/>
      <c r="O119" s="61"/>
      <c r="P119" s="62"/>
      <c r="Q119" s="63"/>
      <c r="R119" s="75"/>
      <c r="S119" s="61"/>
      <c r="T119" s="62"/>
      <c r="U119" s="63"/>
      <c r="V119" s="75"/>
      <c r="W119" s="228">
        <f>ROUND((ROUND((_15_同援日２．５*(1+_15・A早朝)),0)*(1+_15・区４)),0)</f>
        <v>959</v>
      </c>
      <c r="X119" s="69"/>
    </row>
    <row r="120" spans="1:24" ht="16.5" customHeight="1" x14ac:dyDescent="0.3">
      <c r="A120" s="2">
        <v>15</v>
      </c>
      <c r="B120" s="2">
        <v>8304</v>
      </c>
      <c r="C120" s="60" t="s">
        <v>8825</v>
      </c>
      <c r="D120" s="1"/>
      <c r="E120" s="68"/>
      <c r="F120" s="70"/>
      <c r="G120" s="66"/>
      <c r="H120" s="57"/>
      <c r="I120" s="58"/>
      <c r="J120" s="83" t="s">
        <v>5895</v>
      </c>
      <c r="K120" s="64" t="s">
        <v>1</v>
      </c>
      <c r="L120" s="65">
        <v>1</v>
      </c>
      <c r="M120" s="99"/>
      <c r="N120" s="70"/>
      <c r="O120" s="67"/>
      <c r="P120" s="68"/>
      <c r="Q120" s="76"/>
      <c r="R120" s="70"/>
      <c r="S120" s="67"/>
      <c r="T120" s="68"/>
      <c r="U120" s="76"/>
      <c r="V120" s="70"/>
      <c r="W120" s="228">
        <f>ROUND((ROUND((ROUND((_15_同援日２．５*_15・２人),0)*(1+_15・A早朝)),0)*(1+_15・区４)),0)</f>
        <v>959</v>
      </c>
      <c r="X120" s="69"/>
    </row>
    <row r="121" spans="1:24" ht="16.5" customHeight="1" x14ac:dyDescent="0.3">
      <c r="A121" s="2">
        <v>15</v>
      </c>
      <c r="B121" s="2">
        <v>8305</v>
      </c>
      <c r="C121" s="60" t="s">
        <v>8824</v>
      </c>
      <c r="D121" s="1"/>
      <c r="E121" s="68"/>
      <c r="F121" s="70"/>
      <c r="G121" s="74" t="s">
        <v>5898</v>
      </c>
      <c r="H121" s="62"/>
      <c r="I121" s="63"/>
      <c r="J121" s="85"/>
      <c r="K121" s="64"/>
      <c r="L121" s="65"/>
      <c r="M121" s="99"/>
      <c r="N121" s="70"/>
      <c r="O121" s="67"/>
      <c r="P121" s="68"/>
      <c r="Q121" s="76"/>
      <c r="R121" s="70"/>
      <c r="S121" s="1" t="s">
        <v>8089</v>
      </c>
      <c r="T121" s="68"/>
      <c r="U121" s="76"/>
      <c r="V121" s="70"/>
      <c r="W121" s="228">
        <f>ROUND((ROUND((ROUND((_15_同援日２．５*_15・基礎２),0)*(1+_15・A早朝)),0)*(1+_15・区４)),0)</f>
        <v>862</v>
      </c>
      <c r="X121" s="69"/>
    </row>
    <row r="122" spans="1:24" ht="16.5" customHeight="1" x14ac:dyDescent="0.3">
      <c r="A122" s="2">
        <v>15</v>
      </c>
      <c r="B122" s="2">
        <v>8306</v>
      </c>
      <c r="C122" s="60" t="s">
        <v>8823</v>
      </c>
      <c r="D122" s="1"/>
      <c r="E122" s="68"/>
      <c r="F122" s="70"/>
      <c r="G122" s="106" t="s">
        <v>16812</v>
      </c>
      <c r="H122" s="57" t="s">
        <v>1</v>
      </c>
      <c r="I122" s="58">
        <v>0.9</v>
      </c>
      <c r="J122" s="83" t="s">
        <v>5895</v>
      </c>
      <c r="K122" s="64" t="s">
        <v>1</v>
      </c>
      <c r="L122" s="65">
        <v>1</v>
      </c>
      <c r="M122" s="99"/>
      <c r="N122" s="70"/>
      <c r="O122" s="66"/>
      <c r="P122" s="57"/>
      <c r="Q122" s="58"/>
      <c r="R122" s="77"/>
      <c r="S122" s="1" t="s">
        <v>17970</v>
      </c>
      <c r="T122" s="68"/>
      <c r="U122" s="76"/>
      <c r="V122" s="70"/>
      <c r="W122" s="228">
        <f>ROUND((ROUND((ROUND((ROUND((_15_同援日２．５*_15・基礎２),0)*_15・２人),0)*(1+_15・A早朝)),0)*(1+_15・区４)),0)</f>
        <v>862</v>
      </c>
      <c r="X122" s="69"/>
    </row>
    <row r="123" spans="1:24" ht="16.5" customHeight="1" x14ac:dyDescent="0.3">
      <c r="A123" s="2">
        <v>15</v>
      </c>
      <c r="B123" s="2">
        <v>8307</v>
      </c>
      <c r="C123" s="60" t="s">
        <v>8822</v>
      </c>
      <c r="D123" s="1"/>
      <c r="E123" s="68"/>
      <c r="F123" s="70"/>
      <c r="G123" s="61"/>
      <c r="H123" s="62"/>
      <c r="I123" s="63"/>
      <c r="J123" s="85"/>
      <c r="K123" s="64"/>
      <c r="L123" s="65"/>
      <c r="M123" s="99"/>
      <c r="N123" s="70"/>
      <c r="O123" s="74" t="s">
        <v>17987</v>
      </c>
      <c r="P123" s="62"/>
      <c r="Q123" s="63"/>
      <c r="R123" s="75"/>
      <c r="S123" s="67"/>
      <c r="T123" s="68" t="s">
        <v>1</v>
      </c>
      <c r="U123" s="76">
        <v>0.4</v>
      </c>
      <c r="V123" s="70" t="s">
        <v>422</v>
      </c>
      <c r="W123" s="228">
        <f>ROUND((ROUND((ROUND((_15_同援日２．５*(1+_15・A早朝)),0)*(1+_15・盲ろう)),0)*(1+_15・区４)),0)</f>
        <v>1198</v>
      </c>
      <c r="X123" s="69"/>
    </row>
    <row r="124" spans="1:24" ht="16.5" customHeight="1" x14ac:dyDescent="0.3">
      <c r="A124" s="2">
        <v>15</v>
      </c>
      <c r="B124" s="2">
        <v>8308</v>
      </c>
      <c r="C124" s="60" t="s">
        <v>8821</v>
      </c>
      <c r="D124" s="1"/>
      <c r="E124" s="68"/>
      <c r="F124" s="70"/>
      <c r="G124" s="66"/>
      <c r="H124" s="57"/>
      <c r="I124" s="58"/>
      <c r="J124" s="83" t="s">
        <v>5895</v>
      </c>
      <c r="K124" s="64" t="s">
        <v>1</v>
      </c>
      <c r="L124" s="65">
        <v>1</v>
      </c>
      <c r="M124" s="99"/>
      <c r="N124" s="70"/>
      <c r="O124" s="94" t="s">
        <v>17968</v>
      </c>
      <c r="P124" s="68"/>
      <c r="Q124" s="76"/>
      <c r="R124" s="70"/>
      <c r="S124" s="67"/>
      <c r="T124" s="68"/>
      <c r="U124" s="76"/>
      <c r="V124" s="70"/>
      <c r="W124" s="228">
        <f>ROUND((ROUND((ROUND((ROUND((_15_同援日２．５*_15・２人),0)*(1+_15・A早朝)),0)*(1+_15・盲ろう)),0)*(1+_15・区４)),0)</f>
        <v>1198</v>
      </c>
      <c r="X124" s="69"/>
    </row>
    <row r="125" spans="1:24" ht="16.5" customHeight="1" x14ac:dyDescent="0.3">
      <c r="A125" s="2">
        <v>15</v>
      </c>
      <c r="B125" s="2">
        <v>8309</v>
      </c>
      <c r="C125" s="60" t="s">
        <v>8820</v>
      </c>
      <c r="D125" s="1"/>
      <c r="E125" s="68"/>
      <c r="F125" s="70"/>
      <c r="G125" s="74" t="s">
        <v>16823</v>
      </c>
      <c r="H125" s="62"/>
      <c r="I125" s="63"/>
      <c r="J125" s="85"/>
      <c r="K125" s="64"/>
      <c r="L125" s="65"/>
      <c r="M125" s="99"/>
      <c r="N125" s="70"/>
      <c r="O125" s="67"/>
      <c r="P125" s="68" t="s">
        <v>1</v>
      </c>
      <c r="Q125" s="76">
        <v>0.25</v>
      </c>
      <c r="R125" s="70" t="s">
        <v>422</v>
      </c>
      <c r="S125" s="67"/>
      <c r="T125" s="68"/>
      <c r="U125" s="76"/>
      <c r="V125" s="70"/>
      <c r="W125" s="228">
        <f>ROUND((ROUND((ROUND((ROUND((_15_同援日２．５*_15・基礎２),0)*(1+_15・A早朝)),0)*(1+_15・盲ろう)),0)*(1+_15・区４)),0)</f>
        <v>1078</v>
      </c>
      <c r="X125" s="69"/>
    </row>
    <row r="126" spans="1:24" ht="16.5" customHeight="1" x14ac:dyDescent="0.3">
      <c r="A126" s="2">
        <v>15</v>
      </c>
      <c r="B126" s="2">
        <v>8310</v>
      </c>
      <c r="C126" s="60" t="s">
        <v>8819</v>
      </c>
      <c r="D126" s="81"/>
      <c r="E126" s="57"/>
      <c r="F126" s="77"/>
      <c r="G126" s="106" t="s">
        <v>16812</v>
      </c>
      <c r="H126" s="57" t="s">
        <v>1</v>
      </c>
      <c r="I126" s="58">
        <v>0.9</v>
      </c>
      <c r="J126" s="83" t="s">
        <v>5895</v>
      </c>
      <c r="K126" s="64" t="s">
        <v>1</v>
      </c>
      <c r="L126" s="65">
        <v>1</v>
      </c>
      <c r="M126" s="101"/>
      <c r="N126" s="77"/>
      <c r="O126" s="66"/>
      <c r="P126" s="57"/>
      <c r="Q126" s="58"/>
      <c r="R126" s="77"/>
      <c r="S126" s="66"/>
      <c r="T126" s="57"/>
      <c r="U126" s="58"/>
      <c r="V126" s="77"/>
      <c r="W126" s="228">
        <f>ROUND((ROUND((ROUND((ROUND((ROUND((_15_同援日２．５*_15・基礎２),0)*_15・２人),0)*(1+_15・A早朝)),0)*(1+_15・盲ろう)),0)*(1+_15・区４)),0)</f>
        <v>1078</v>
      </c>
      <c r="X126" s="71"/>
    </row>
    <row r="127" spans="1:24" ht="16.5" customHeight="1" x14ac:dyDescent="0.3"/>
    <row r="128" spans="1:24" ht="16.5" customHeight="1" x14ac:dyDescent="0.3"/>
    <row r="129" spans="1:24" ht="16.5" customHeight="1" x14ac:dyDescent="0.3">
      <c r="B129" s="229" t="s">
        <v>17992</v>
      </c>
      <c r="C129" s="131"/>
      <c r="D129" s="72"/>
    </row>
    <row r="130" spans="1:24" ht="16.5" customHeight="1" x14ac:dyDescent="0.3">
      <c r="A130" s="50" t="s">
        <v>5864</v>
      </c>
      <c r="B130" s="51"/>
      <c r="C130" s="52" t="s">
        <v>5867</v>
      </c>
      <c r="D130" s="79" t="s">
        <v>5868</v>
      </c>
      <c r="E130" s="53"/>
      <c r="F130" s="53"/>
      <c r="G130" s="53"/>
      <c r="H130" s="53"/>
      <c r="I130" s="54"/>
      <c r="J130" s="53"/>
      <c r="K130" s="53"/>
      <c r="L130" s="54"/>
      <c r="M130" s="54"/>
      <c r="N130" s="53"/>
      <c r="O130" s="53"/>
      <c r="P130" s="53"/>
      <c r="Q130" s="54"/>
      <c r="R130" s="53"/>
      <c r="S130" s="53"/>
      <c r="T130" s="53"/>
      <c r="U130" s="54"/>
      <c r="V130" s="53"/>
      <c r="W130" s="55" t="s">
        <v>5869</v>
      </c>
      <c r="X130" s="55" t="s">
        <v>5871</v>
      </c>
    </row>
    <row r="131" spans="1:24" ht="16.5" customHeight="1" x14ac:dyDescent="0.3">
      <c r="A131" s="2" t="s">
        <v>5865</v>
      </c>
      <c r="B131" s="2" t="s">
        <v>5866</v>
      </c>
      <c r="C131" s="56"/>
      <c r="D131" s="73"/>
      <c r="E131" s="57"/>
      <c r="F131" s="57"/>
      <c r="G131" s="57"/>
      <c r="H131" s="57"/>
      <c r="I131" s="58"/>
      <c r="J131" s="57"/>
      <c r="K131" s="57"/>
      <c r="L131" s="58"/>
      <c r="M131" s="58"/>
      <c r="N131" s="57"/>
      <c r="O131" s="57"/>
      <c r="P131" s="57"/>
      <c r="Q131" s="58"/>
      <c r="R131" s="57"/>
      <c r="S131" s="57"/>
      <c r="T131" s="57"/>
      <c r="U131" s="58"/>
      <c r="V131" s="57"/>
      <c r="W131" s="59" t="s">
        <v>5870</v>
      </c>
      <c r="X131" s="59" t="s">
        <v>0</v>
      </c>
    </row>
    <row r="132" spans="1:24" ht="16.5" customHeight="1" x14ac:dyDescent="0.3">
      <c r="A132" s="2">
        <v>15</v>
      </c>
      <c r="B132" s="2">
        <v>8311</v>
      </c>
      <c r="C132" s="60" t="s">
        <v>8818</v>
      </c>
      <c r="D132" s="233" t="s">
        <v>17991</v>
      </c>
      <c r="E132" s="62"/>
      <c r="F132" s="75"/>
      <c r="G132" s="61"/>
      <c r="H132" s="62"/>
      <c r="I132" s="63"/>
      <c r="J132" s="85"/>
      <c r="K132" s="64"/>
      <c r="L132" s="65"/>
      <c r="M132" s="98"/>
      <c r="N132" s="75"/>
      <c r="O132" s="61"/>
      <c r="P132" s="62"/>
      <c r="Q132" s="63"/>
      <c r="R132" s="75"/>
      <c r="S132" s="61"/>
      <c r="T132" s="62"/>
      <c r="U132" s="63"/>
      <c r="V132" s="75"/>
      <c r="W132" s="120">
        <f>ROUND((_15_同援日０．５*(1+_15・A夜間)),0)</f>
        <v>230</v>
      </c>
      <c r="X132" s="52" t="s">
        <v>5863</v>
      </c>
    </row>
    <row r="133" spans="1:24" ht="16.5" customHeight="1" x14ac:dyDescent="0.3">
      <c r="A133" s="2">
        <v>15</v>
      </c>
      <c r="B133" s="2">
        <v>8312</v>
      </c>
      <c r="C133" s="60" t="s">
        <v>8817</v>
      </c>
      <c r="D133" s="1" t="s">
        <v>7928</v>
      </c>
      <c r="E133" s="68"/>
      <c r="F133" s="70"/>
      <c r="G133" s="66"/>
      <c r="H133" s="57"/>
      <c r="I133" s="58"/>
      <c r="J133" s="83" t="s">
        <v>5895</v>
      </c>
      <c r="K133" s="64" t="s">
        <v>1</v>
      </c>
      <c r="L133" s="65">
        <v>1</v>
      </c>
      <c r="M133" s="99"/>
      <c r="N133" s="70"/>
      <c r="O133" s="67"/>
      <c r="P133" s="68"/>
      <c r="Q133" s="76"/>
      <c r="R133" s="70"/>
      <c r="S133" s="67"/>
      <c r="T133" s="68"/>
      <c r="U133" s="76"/>
      <c r="V133" s="70"/>
      <c r="W133" s="120">
        <f>ROUND((ROUND((_15_同援日０．５*_15・２人),0)*(1+_15・A夜間)),0)</f>
        <v>230</v>
      </c>
      <c r="X133" s="69"/>
    </row>
    <row r="134" spans="1:24" ht="16.5" customHeight="1" x14ac:dyDescent="0.3">
      <c r="A134" s="2">
        <v>15</v>
      </c>
      <c r="B134" s="2">
        <v>8313</v>
      </c>
      <c r="C134" s="60" t="s">
        <v>8816</v>
      </c>
      <c r="D134" s="1"/>
      <c r="E134" s="68"/>
      <c r="F134" s="70"/>
      <c r="G134" s="74" t="s">
        <v>16823</v>
      </c>
      <c r="H134" s="62"/>
      <c r="I134" s="63"/>
      <c r="J134" s="85"/>
      <c r="K134" s="64"/>
      <c r="L134" s="65"/>
      <c r="M134" s="99"/>
      <c r="N134" s="70"/>
      <c r="O134" s="67"/>
      <c r="P134" s="68"/>
      <c r="Q134" s="76"/>
      <c r="R134" s="70"/>
      <c r="S134" s="67"/>
      <c r="T134" s="68"/>
      <c r="U134" s="76"/>
      <c r="V134" s="70"/>
      <c r="W134" s="120">
        <f>ROUND((ROUND((_15_同援日０．５*_15・基礎２),0)*(1+_15・A夜間)),0)</f>
        <v>208</v>
      </c>
      <c r="X134" s="69"/>
    </row>
    <row r="135" spans="1:24" ht="16.5" customHeight="1" x14ac:dyDescent="0.3">
      <c r="A135" s="2">
        <v>15</v>
      </c>
      <c r="B135" s="2">
        <v>8314</v>
      </c>
      <c r="C135" s="60" t="s">
        <v>8815</v>
      </c>
      <c r="D135" s="1"/>
      <c r="E135" s="119">
        <v>184</v>
      </c>
      <c r="F135" s="70" t="s">
        <v>0</v>
      </c>
      <c r="G135" s="106" t="s">
        <v>17864</v>
      </c>
      <c r="H135" s="57" t="s">
        <v>1</v>
      </c>
      <c r="I135" s="58">
        <v>0.9</v>
      </c>
      <c r="J135" s="83" t="s">
        <v>5895</v>
      </c>
      <c r="K135" s="64" t="s">
        <v>1</v>
      </c>
      <c r="L135" s="65">
        <v>1</v>
      </c>
      <c r="M135" s="99"/>
      <c r="N135" s="70"/>
      <c r="O135" s="66"/>
      <c r="P135" s="57"/>
      <c r="Q135" s="58"/>
      <c r="R135" s="77"/>
      <c r="S135" s="67"/>
      <c r="T135" s="68"/>
      <c r="U135" s="76"/>
      <c r="V135" s="70"/>
      <c r="W135" s="120">
        <f>ROUND((ROUND((ROUND((_15_同援日０．５*_15・基礎２),0)*_15・２人),0)*(1+_15・A夜間)),0)</f>
        <v>208</v>
      </c>
      <c r="X135" s="69"/>
    </row>
    <row r="136" spans="1:24" ht="16.5" customHeight="1" x14ac:dyDescent="0.3">
      <c r="A136" s="2">
        <v>15</v>
      </c>
      <c r="B136" s="2">
        <v>8315</v>
      </c>
      <c r="C136" s="60" t="s">
        <v>8814</v>
      </c>
      <c r="D136" s="1"/>
      <c r="E136" s="68"/>
      <c r="F136" s="70"/>
      <c r="G136" s="61"/>
      <c r="H136" s="62"/>
      <c r="I136" s="63"/>
      <c r="J136" s="85"/>
      <c r="K136" s="64"/>
      <c r="L136" s="65"/>
      <c r="M136" s="99"/>
      <c r="N136" s="70"/>
      <c r="O136" s="74" t="s">
        <v>17987</v>
      </c>
      <c r="P136" s="62"/>
      <c r="Q136" s="63"/>
      <c r="R136" s="75"/>
      <c r="S136" s="67"/>
      <c r="T136" s="68"/>
      <c r="U136" s="76"/>
      <c r="V136" s="70"/>
      <c r="W136" s="120">
        <f>ROUND((ROUND((_15_同援日０．５*(1+_15・A夜間)),0)*(1+_15・盲ろう)),0)</f>
        <v>288</v>
      </c>
      <c r="X136" s="69"/>
    </row>
    <row r="137" spans="1:24" ht="16.5" customHeight="1" x14ac:dyDescent="0.3">
      <c r="A137" s="2">
        <v>15</v>
      </c>
      <c r="B137" s="2">
        <v>8316</v>
      </c>
      <c r="C137" s="60" t="s">
        <v>8813</v>
      </c>
      <c r="D137" s="1"/>
      <c r="E137" s="68"/>
      <c r="F137" s="70"/>
      <c r="G137" s="66"/>
      <c r="H137" s="57"/>
      <c r="I137" s="58"/>
      <c r="J137" s="83" t="s">
        <v>5895</v>
      </c>
      <c r="K137" s="64" t="s">
        <v>1</v>
      </c>
      <c r="L137" s="65">
        <v>1</v>
      </c>
      <c r="M137" s="99" t="s">
        <v>7743</v>
      </c>
      <c r="N137" s="70"/>
      <c r="O137" s="94" t="s">
        <v>17968</v>
      </c>
      <c r="P137" s="68"/>
      <c r="Q137" s="76"/>
      <c r="R137" s="70"/>
      <c r="S137" s="67"/>
      <c r="T137" s="68"/>
      <c r="U137" s="76"/>
      <c r="V137" s="70"/>
      <c r="W137" s="120">
        <f>ROUND((ROUND((ROUND((_15_同援日０．５*_15・２人),0)*(1+_15・A夜間)),0)*(1+_15・盲ろう)),0)</f>
        <v>288</v>
      </c>
      <c r="X137" s="69"/>
    </row>
    <row r="138" spans="1:24" ht="16.5" customHeight="1" x14ac:dyDescent="0.3">
      <c r="A138" s="2">
        <v>15</v>
      </c>
      <c r="B138" s="2">
        <v>8317</v>
      </c>
      <c r="C138" s="60" t="s">
        <v>8812</v>
      </c>
      <c r="D138" s="1"/>
      <c r="E138" s="68"/>
      <c r="F138" s="70"/>
      <c r="G138" s="74" t="s">
        <v>16823</v>
      </c>
      <c r="H138" s="62"/>
      <c r="I138" s="63"/>
      <c r="J138" s="85"/>
      <c r="K138" s="64"/>
      <c r="L138" s="65"/>
      <c r="M138" s="99"/>
      <c r="N138" s="100" t="s">
        <v>8034</v>
      </c>
      <c r="O138" s="67"/>
      <c r="P138" s="68" t="s">
        <v>1</v>
      </c>
      <c r="Q138" s="76">
        <v>0.25</v>
      </c>
      <c r="R138" s="70" t="s">
        <v>422</v>
      </c>
      <c r="S138" s="67"/>
      <c r="T138" s="68"/>
      <c r="U138" s="76"/>
      <c r="V138" s="70"/>
      <c r="W138" s="120">
        <f>ROUND((ROUND((ROUND((_15_同援日０．５*_15・基礎２),0)*(1+_15・A夜間)),0)*(1+_15・盲ろう)),0)</f>
        <v>260</v>
      </c>
      <c r="X138" s="69"/>
    </row>
    <row r="139" spans="1:24" ht="16.5" customHeight="1" x14ac:dyDescent="0.3">
      <c r="A139" s="2">
        <v>15</v>
      </c>
      <c r="B139" s="2">
        <v>8318</v>
      </c>
      <c r="C139" s="60" t="s">
        <v>8811</v>
      </c>
      <c r="D139" s="1"/>
      <c r="E139" s="68"/>
      <c r="F139" s="70"/>
      <c r="G139" s="106" t="s">
        <v>16812</v>
      </c>
      <c r="H139" s="57" t="s">
        <v>1</v>
      </c>
      <c r="I139" s="58">
        <v>0.9</v>
      </c>
      <c r="J139" s="83" t="s">
        <v>5895</v>
      </c>
      <c r="K139" s="64" t="s">
        <v>1</v>
      </c>
      <c r="L139" s="65">
        <v>1</v>
      </c>
      <c r="M139" s="99"/>
      <c r="N139" s="70"/>
      <c r="O139" s="66"/>
      <c r="P139" s="57"/>
      <c r="Q139" s="58"/>
      <c r="R139" s="77"/>
      <c r="S139" s="66"/>
      <c r="T139" s="57"/>
      <c r="U139" s="58"/>
      <c r="V139" s="77"/>
      <c r="W139" s="120">
        <f>ROUND((ROUND((ROUND((ROUND((_15_同援日０．５*_15・基礎２),0)*_15・２人),0)*(1+_15・A夜間)),0)*(1+_15・盲ろう)),0)</f>
        <v>260</v>
      </c>
      <c r="X139" s="69"/>
    </row>
    <row r="140" spans="1:24" ht="16.5" customHeight="1" x14ac:dyDescent="0.3">
      <c r="A140" s="2">
        <v>15</v>
      </c>
      <c r="B140" s="2">
        <v>8319</v>
      </c>
      <c r="C140" s="60" t="s">
        <v>8810</v>
      </c>
      <c r="D140" s="1"/>
      <c r="E140" s="68"/>
      <c r="F140" s="70"/>
      <c r="G140" s="61"/>
      <c r="H140" s="62"/>
      <c r="I140" s="63"/>
      <c r="J140" s="85"/>
      <c r="K140" s="64"/>
      <c r="L140" s="65"/>
      <c r="M140" s="67" t="s">
        <v>1</v>
      </c>
      <c r="N140" s="93">
        <v>0.25</v>
      </c>
      <c r="O140" s="61"/>
      <c r="P140" s="62"/>
      <c r="Q140" s="63"/>
      <c r="R140" s="75"/>
      <c r="S140" s="61"/>
      <c r="T140" s="62"/>
      <c r="U140" s="63"/>
      <c r="V140" s="75"/>
      <c r="W140" s="120">
        <f>ROUND((ROUND((_15_同援日０．５*(1+_15・A夜間)),0)*(1+_15・区３)),0)</f>
        <v>276</v>
      </c>
      <c r="X140" s="69"/>
    </row>
    <row r="141" spans="1:24" ht="16.5" customHeight="1" x14ac:dyDescent="0.3">
      <c r="A141" s="2">
        <v>15</v>
      </c>
      <c r="B141" s="2">
        <v>8320</v>
      </c>
      <c r="C141" s="60" t="s">
        <v>8809</v>
      </c>
      <c r="D141" s="1"/>
      <c r="E141" s="68"/>
      <c r="F141" s="70"/>
      <c r="G141" s="66"/>
      <c r="H141" s="57"/>
      <c r="I141" s="58"/>
      <c r="J141" s="83" t="s">
        <v>5895</v>
      </c>
      <c r="K141" s="64" t="s">
        <v>1</v>
      </c>
      <c r="L141" s="65">
        <v>1</v>
      </c>
      <c r="M141" s="99"/>
      <c r="N141" s="100" t="s">
        <v>422</v>
      </c>
      <c r="O141" s="67"/>
      <c r="P141" s="68"/>
      <c r="Q141" s="76"/>
      <c r="R141" s="70"/>
      <c r="S141" s="67"/>
      <c r="T141" s="68"/>
      <c r="U141" s="76"/>
      <c r="V141" s="70"/>
      <c r="W141" s="120">
        <f>ROUND((ROUND((ROUND((_15_同援日０．５*_15・２人),0)*(1+_15・A夜間)),0)*(1+_15・区３)),0)</f>
        <v>276</v>
      </c>
      <c r="X141" s="69"/>
    </row>
    <row r="142" spans="1:24" ht="16.5" customHeight="1" x14ac:dyDescent="0.3">
      <c r="A142" s="2">
        <v>15</v>
      </c>
      <c r="B142" s="2">
        <v>8321</v>
      </c>
      <c r="C142" s="60" t="s">
        <v>8808</v>
      </c>
      <c r="D142" s="1"/>
      <c r="E142" s="68"/>
      <c r="F142" s="70"/>
      <c r="G142" s="74" t="s">
        <v>16823</v>
      </c>
      <c r="H142" s="62"/>
      <c r="I142" s="63"/>
      <c r="J142" s="85"/>
      <c r="K142" s="64"/>
      <c r="L142" s="65"/>
      <c r="M142" s="99"/>
      <c r="N142" s="70"/>
      <c r="O142" s="67"/>
      <c r="P142" s="68"/>
      <c r="Q142" s="76"/>
      <c r="R142" s="70"/>
      <c r="S142" s="1" t="s">
        <v>17974</v>
      </c>
      <c r="T142" s="68"/>
      <c r="U142" s="76"/>
      <c r="V142" s="70"/>
      <c r="W142" s="120">
        <f>ROUND((ROUND((ROUND((_15_同援日０．５*_15・基礎２),0)*(1+_15・A夜間)),0)*(1+_15・区３)),0)</f>
        <v>250</v>
      </c>
      <c r="X142" s="69"/>
    </row>
    <row r="143" spans="1:24" ht="16.5" customHeight="1" x14ac:dyDescent="0.3">
      <c r="A143" s="2">
        <v>15</v>
      </c>
      <c r="B143" s="2">
        <v>8322</v>
      </c>
      <c r="C143" s="60" t="s">
        <v>8807</v>
      </c>
      <c r="D143" s="1"/>
      <c r="E143" s="68"/>
      <c r="F143" s="70"/>
      <c r="G143" s="106" t="s">
        <v>17864</v>
      </c>
      <c r="H143" s="57" t="s">
        <v>1</v>
      </c>
      <c r="I143" s="58">
        <v>0.9</v>
      </c>
      <c r="J143" s="83" t="s">
        <v>5895</v>
      </c>
      <c r="K143" s="64" t="s">
        <v>1</v>
      </c>
      <c r="L143" s="65">
        <v>1</v>
      </c>
      <c r="M143" s="99"/>
      <c r="N143" s="70"/>
      <c r="O143" s="66"/>
      <c r="P143" s="57"/>
      <c r="Q143" s="58"/>
      <c r="R143" s="77"/>
      <c r="S143" s="1" t="s">
        <v>17970</v>
      </c>
      <c r="T143" s="68"/>
      <c r="U143" s="76"/>
      <c r="V143" s="70"/>
      <c r="W143" s="120">
        <f>ROUND((ROUND((ROUND((ROUND((_15_同援日０．５*_15・基礎２),0)*_15・２人),0)*(1+_15・A夜間)),0)*(1+_15・区３)),0)</f>
        <v>250</v>
      </c>
      <c r="X143" s="69"/>
    </row>
    <row r="144" spans="1:24" ht="16.5" customHeight="1" x14ac:dyDescent="0.3">
      <c r="A144" s="2">
        <v>15</v>
      </c>
      <c r="B144" s="2">
        <v>8323</v>
      </c>
      <c r="C144" s="60" t="s">
        <v>8806</v>
      </c>
      <c r="D144" s="1"/>
      <c r="E144" s="68"/>
      <c r="F144" s="70"/>
      <c r="G144" s="61"/>
      <c r="H144" s="62"/>
      <c r="I144" s="63"/>
      <c r="J144" s="85"/>
      <c r="K144" s="64"/>
      <c r="L144" s="65"/>
      <c r="M144" s="99"/>
      <c r="N144" s="70"/>
      <c r="O144" s="74" t="s">
        <v>17969</v>
      </c>
      <c r="P144" s="62"/>
      <c r="Q144" s="63"/>
      <c r="R144" s="75"/>
      <c r="S144" s="67"/>
      <c r="T144" s="68" t="s">
        <v>1</v>
      </c>
      <c r="U144" s="76">
        <v>0.2</v>
      </c>
      <c r="V144" s="70" t="s">
        <v>422</v>
      </c>
      <c r="W144" s="120">
        <f>ROUND((ROUND((ROUND((_15_同援日０．５*(1+_15・A夜間)),0)*(1+_15・盲ろう)),0)*(1+_15・区３)),0)</f>
        <v>346</v>
      </c>
      <c r="X144" s="69"/>
    </row>
    <row r="145" spans="1:24" ht="16.5" customHeight="1" x14ac:dyDescent="0.3">
      <c r="A145" s="2">
        <v>15</v>
      </c>
      <c r="B145" s="2">
        <v>8324</v>
      </c>
      <c r="C145" s="60" t="s">
        <v>8805</v>
      </c>
      <c r="D145" s="1"/>
      <c r="E145" s="68"/>
      <c r="F145" s="70"/>
      <c r="G145" s="66"/>
      <c r="H145" s="57"/>
      <c r="I145" s="58"/>
      <c r="J145" s="83" t="s">
        <v>5895</v>
      </c>
      <c r="K145" s="64" t="s">
        <v>1</v>
      </c>
      <c r="L145" s="65">
        <v>1</v>
      </c>
      <c r="M145" s="99"/>
      <c r="N145" s="70"/>
      <c r="O145" s="94" t="s">
        <v>17968</v>
      </c>
      <c r="P145" s="68"/>
      <c r="Q145" s="76"/>
      <c r="R145" s="70"/>
      <c r="S145" s="67"/>
      <c r="T145" s="68"/>
      <c r="U145" s="76"/>
      <c r="V145" s="70"/>
      <c r="W145" s="120">
        <f>ROUND((ROUND((ROUND((ROUND((_15_同援日０．５*_15・２人),0)*(1+_15・A夜間)),0)*(1+_15・盲ろう)),0)*(1+_15・区３)),0)</f>
        <v>346</v>
      </c>
      <c r="X145" s="69"/>
    </row>
    <row r="146" spans="1:24" ht="16.5" customHeight="1" x14ac:dyDescent="0.3">
      <c r="A146" s="2">
        <v>15</v>
      </c>
      <c r="B146" s="2">
        <v>8325</v>
      </c>
      <c r="C146" s="60" t="s">
        <v>8804</v>
      </c>
      <c r="D146" s="1"/>
      <c r="E146" s="68"/>
      <c r="F146" s="70"/>
      <c r="G146" s="74" t="s">
        <v>16823</v>
      </c>
      <c r="H146" s="62"/>
      <c r="I146" s="63"/>
      <c r="J146" s="85"/>
      <c r="K146" s="64"/>
      <c r="L146" s="65"/>
      <c r="M146" s="99"/>
      <c r="N146" s="70"/>
      <c r="O146" s="67"/>
      <c r="P146" s="68" t="s">
        <v>1</v>
      </c>
      <c r="Q146" s="76">
        <v>0.25</v>
      </c>
      <c r="R146" s="70" t="s">
        <v>422</v>
      </c>
      <c r="S146" s="67"/>
      <c r="T146" s="68"/>
      <c r="U146" s="76"/>
      <c r="V146" s="70"/>
      <c r="W146" s="120">
        <f>ROUND((ROUND((ROUND((ROUND((_15_同援日０．５*_15・基礎２),0)*(1+_15・A夜間)),0)*(1+_15・盲ろう)),0)*(1+_15・区３)),0)</f>
        <v>312</v>
      </c>
      <c r="X146" s="69"/>
    </row>
    <row r="147" spans="1:24" ht="16.5" customHeight="1" x14ac:dyDescent="0.3">
      <c r="A147" s="2">
        <v>15</v>
      </c>
      <c r="B147" s="2">
        <v>8326</v>
      </c>
      <c r="C147" s="60" t="s">
        <v>8803</v>
      </c>
      <c r="D147" s="1"/>
      <c r="E147" s="68"/>
      <c r="F147" s="70"/>
      <c r="G147" s="106" t="s">
        <v>16812</v>
      </c>
      <c r="H147" s="57" t="s">
        <v>1</v>
      </c>
      <c r="I147" s="58">
        <v>0.9</v>
      </c>
      <c r="J147" s="83" t="s">
        <v>5895</v>
      </c>
      <c r="K147" s="64" t="s">
        <v>1</v>
      </c>
      <c r="L147" s="65">
        <v>1</v>
      </c>
      <c r="M147" s="99"/>
      <c r="N147" s="70"/>
      <c r="O147" s="66"/>
      <c r="P147" s="57"/>
      <c r="Q147" s="58"/>
      <c r="R147" s="77"/>
      <c r="S147" s="66"/>
      <c r="T147" s="57"/>
      <c r="U147" s="58"/>
      <c r="V147" s="77"/>
      <c r="W147" s="120">
        <f>ROUND((ROUND((ROUND((ROUND((ROUND((_15_同援日０．５*_15・基礎２),0)*_15・２人),0)*(1+_15・A夜間)),0)*(1+_15・盲ろう)),0)*(1+_15・区３)),0)</f>
        <v>312</v>
      </c>
      <c r="X147" s="69"/>
    </row>
    <row r="148" spans="1:24" ht="16.5" customHeight="1" x14ac:dyDescent="0.3">
      <c r="A148" s="2">
        <v>15</v>
      </c>
      <c r="B148" s="2">
        <v>8327</v>
      </c>
      <c r="C148" s="60" t="s">
        <v>8802</v>
      </c>
      <c r="D148" s="1"/>
      <c r="E148" s="68"/>
      <c r="F148" s="70"/>
      <c r="G148" s="61"/>
      <c r="H148" s="62"/>
      <c r="I148" s="63"/>
      <c r="J148" s="85"/>
      <c r="K148" s="64"/>
      <c r="L148" s="65"/>
      <c r="M148" s="99"/>
      <c r="N148" s="70"/>
      <c r="O148" s="61"/>
      <c r="P148" s="62"/>
      <c r="Q148" s="63"/>
      <c r="R148" s="75"/>
      <c r="S148" s="61"/>
      <c r="T148" s="62"/>
      <c r="U148" s="63"/>
      <c r="V148" s="75"/>
      <c r="W148" s="120">
        <f>ROUND((ROUND((_15_同援日０．５*(1+_15・A夜間)),0)*(1+_15・区４)),0)</f>
        <v>322</v>
      </c>
      <c r="X148" s="69"/>
    </row>
    <row r="149" spans="1:24" ht="16.5" customHeight="1" x14ac:dyDescent="0.3">
      <c r="A149" s="2">
        <v>15</v>
      </c>
      <c r="B149" s="2">
        <v>8328</v>
      </c>
      <c r="C149" s="60" t="s">
        <v>8801</v>
      </c>
      <c r="D149" s="1"/>
      <c r="E149" s="68"/>
      <c r="F149" s="70"/>
      <c r="G149" s="66"/>
      <c r="H149" s="57"/>
      <c r="I149" s="58"/>
      <c r="J149" s="83" t="s">
        <v>5895</v>
      </c>
      <c r="K149" s="64" t="s">
        <v>1</v>
      </c>
      <c r="L149" s="65">
        <v>1</v>
      </c>
      <c r="M149" s="99"/>
      <c r="N149" s="70"/>
      <c r="O149" s="67"/>
      <c r="P149" s="68"/>
      <c r="Q149" s="76"/>
      <c r="R149" s="70"/>
      <c r="S149" s="67"/>
      <c r="T149" s="68"/>
      <c r="U149" s="76"/>
      <c r="V149" s="70"/>
      <c r="W149" s="120">
        <f>ROUND((ROUND((ROUND((_15_同援日０．５*_15・２人),0)*(1+_15・A夜間)),0)*(1+_15・区４)),0)</f>
        <v>322</v>
      </c>
      <c r="X149" s="69"/>
    </row>
    <row r="150" spans="1:24" ht="16.5" customHeight="1" x14ac:dyDescent="0.3">
      <c r="A150" s="2">
        <v>15</v>
      </c>
      <c r="B150" s="2">
        <v>8329</v>
      </c>
      <c r="C150" s="60" t="s">
        <v>8800</v>
      </c>
      <c r="D150" s="1"/>
      <c r="E150" s="68"/>
      <c r="F150" s="70"/>
      <c r="G150" s="74" t="s">
        <v>16823</v>
      </c>
      <c r="H150" s="62"/>
      <c r="I150" s="63"/>
      <c r="J150" s="85"/>
      <c r="K150" s="64"/>
      <c r="L150" s="65"/>
      <c r="M150" s="99"/>
      <c r="N150" s="70"/>
      <c r="O150" s="67"/>
      <c r="P150" s="68"/>
      <c r="Q150" s="76"/>
      <c r="R150" s="70"/>
      <c r="S150" s="1" t="s">
        <v>17971</v>
      </c>
      <c r="T150" s="68"/>
      <c r="U150" s="76"/>
      <c r="V150" s="70"/>
      <c r="W150" s="120">
        <f>ROUND((ROUND((ROUND((_15_同援日０．５*_15・基礎２),0)*(1+_15・A夜間)),0)*(1+_15・区４)),0)</f>
        <v>291</v>
      </c>
      <c r="X150" s="69"/>
    </row>
    <row r="151" spans="1:24" ht="16.5" customHeight="1" x14ac:dyDescent="0.3">
      <c r="A151" s="2">
        <v>15</v>
      </c>
      <c r="B151" s="2">
        <v>8330</v>
      </c>
      <c r="C151" s="60" t="s">
        <v>8799</v>
      </c>
      <c r="D151" s="1"/>
      <c r="E151" s="68"/>
      <c r="F151" s="70"/>
      <c r="G151" s="106" t="s">
        <v>16812</v>
      </c>
      <c r="H151" s="57" t="s">
        <v>1</v>
      </c>
      <c r="I151" s="58">
        <v>0.9</v>
      </c>
      <c r="J151" s="83" t="s">
        <v>5895</v>
      </c>
      <c r="K151" s="64" t="s">
        <v>1</v>
      </c>
      <c r="L151" s="65">
        <v>1</v>
      </c>
      <c r="M151" s="99"/>
      <c r="N151" s="70"/>
      <c r="O151" s="66"/>
      <c r="P151" s="57"/>
      <c r="Q151" s="58"/>
      <c r="R151" s="77"/>
      <c r="S151" s="1" t="s">
        <v>17970</v>
      </c>
      <c r="T151" s="68"/>
      <c r="U151" s="76"/>
      <c r="V151" s="70"/>
      <c r="W151" s="120">
        <f>ROUND((ROUND((ROUND((ROUND((_15_同援日０．５*_15・基礎２),0)*_15・２人),0)*(1+_15・A夜間)),0)*(1+_15・区４)),0)</f>
        <v>291</v>
      </c>
      <c r="X151" s="69"/>
    </row>
    <row r="152" spans="1:24" ht="16.5" customHeight="1" x14ac:dyDescent="0.3">
      <c r="A152" s="2">
        <v>15</v>
      </c>
      <c r="B152" s="2">
        <v>8331</v>
      </c>
      <c r="C152" s="60" t="s">
        <v>8798</v>
      </c>
      <c r="D152" s="1"/>
      <c r="E152" s="68"/>
      <c r="F152" s="70"/>
      <c r="G152" s="61"/>
      <c r="H152" s="62"/>
      <c r="I152" s="63"/>
      <c r="J152" s="85"/>
      <c r="K152" s="64"/>
      <c r="L152" s="65"/>
      <c r="M152" s="99"/>
      <c r="N152" s="70"/>
      <c r="O152" s="74" t="s">
        <v>17969</v>
      </c>
      <c r="P152" s="62"/>
      <c r="Q152" s="63"/>
      <c r="R152" s="75"/>
      <c r="S152" s="67"/>
      <c r="T152" s="68" t="s">
        <v>1</v>
      </c>
      <c r="U152" s="76">
        <v>0.4</v>
      </c>
      <c r="V152" s="70" t="s">
        <v>422</v>
      </c>
      <c r="W152" s="120">
        <f>ROUND((ROUND((ROUND((_15_同援日０．５*(1+_15・A夜間)),0)*(1+_15・盲ろう)),0)*(1+_15・区４)),0)</f>
        <v>403</v>
      </c>
      <c r="X152" s="69"/>
    </row>
    <row r="153" spans="1:24" ht="16.5" customHeight="1" x14ac:dyDescent="0.3">
      <c r="A153" s="2">
        <v>15</v>
      </c>
      <c r="B153" s="2">
        <v>8332</v>
      </c>
      <c r="C153" s="60" t="s">
        <v>8797</v>
      </c>
      <c r="D153" s="1"/>
      <c r="E153" s="68"/>
      <c r="F153" s="70"/>
      <c r="G153" s="66"/>
      <c r="H153" s="57"/>
      <c r="I153" s="58"/>
      <c r="J153" s="83" t="s">
        <v>5895</v>
      </c>
      <c r="K153" s="64" t="s">
        <v>1</v>
      </c>
      <c r="L153" s="65">
        <v>1</v>
      </c>
      <c r="M153" s="99"/>
      <c r="N153" s="70"/>
      <c r="O153" s="94" t="s">
        <v>17968</v>
      </c>
      <c r="P153" s="68"/>
      <c r="Q153" s="76"/>
      <c r="R153" s="70"/>
      <c r="S153" s="67"/>
      <c r="T153" s="68"/>
      <c r="U153" s="76"/>
      <c r="V153" s="70"/>
      <c r="W153" s="120">
        <f>ROUND((ROUND((ROUND((ROUND((_15_同援日０．５*_15・２人),0)*(1+_15・A夜間)),0)*(1+_15・盲ろう)),0)*(1+_15・区４)),0)</f>
        <v>403</v>
      </c>
      <c r="X153" s="69"/>
    </row>
    <row r="154" spans="1:24" ht="16.5" customHeight="1" x14ac:dyDescent="0.3">
      <c r="A154" s="2">
        <v>15</v>
      </c>
      <c r="B154" s="2">
        <v>8333</v>
      </c>
      <c r="C154" s="60" t="s">
        <v>8796</v>
      </c>
      <c r="D154" s="1"/>
      <c r="E154" s="68"/>
      <c r="F154" s="70"/>
      <c r="G154" s="74" t="s">
        <v>16823</v>
      </c>
      <c r="H154" s="62"/>
      <c r="I154" s="63"/>
      <c r="J154" s="85"/>
      <c r="K154" s="64"/>
      <c r="L154" s="65"/>
      <c r="M154" s="99"/>
      <c r="N154" s="70"/>
      <c r="O154" s="67"/>
      <c r="P154" s="68" t="s">
        <v>1</v>
      </c>
      <c r="Q154" s="76">
        <v>0.25</v>
      </c>
      <c r="R154" s="70" t="s">
        <v>422</v>
      </c>
      <c r="S154" s="67"/>
      <c r="T154" s="68"/>
      <c r="U154" s="76"/>
      <c r="V154" s="70"/>
      <c r="W154" s="120">
        <f>ROUND((ROUND((ROUND((ROUND((_15_同援日０．５*_15・基礎２),0)*(1+_15・A夜間)),0)*(1+_15・盲ろう)),0)*(1+_15・区４)),0)</f>
        <v>364</v>
      </c>
      <c r="X154" s="69"/>
    </row>
    <row r="155" spans="1:24" ht="16.5" customHeight="1" x14ac:dyDescent="0.3">
      <c r="A155" s="2">
        <v>15</v>
      </c>
      <c r="B155" s="2">
        <v>8334</v>
      </c>
      <c r="C155" s="60" t="s">
        <v>8795</v>
      </c>
      <c r="D155" s="81"/>
      <c r="E155" s="57"/>
      <c r="F155" s="77"/>
      <c r="G155" s="106" t="s">
        <v>16812</v>
      </c>
      <c r="H155" s="57" t="s">
        <v>1</v>
      </c>
      <c r="I155" s="58">
        <v>0.9</v>
      </c>
      <c r="J155" s="83" t="s">
        <v>5895</v>
      </c>
      <c r="K155" s="64" t="s">
        <v>1</v>
      </c>
      <c r="L155" s="65">
        <v>1</v>
      </c>
      <c r="M155" s="99"/>
      <c r="N155" s="70"/>
      <c r="O155" s="66"/>
      <c r="P155" s="57"/>
      <c r="Q155" s="58"/>
      <c r="R155" s="77"/>
      <c r="S155" s="66"/>
      <c r="T155" s="57"/>
      <c r="U155" s="58"/>
      <c r="V155" s="77"/>
      <c r="W155" s="120">
        <f>ROUND((ROUND((ROUND((ROUND((ROUND((_15_同援日０．５*_15・基礎２),0)*_15・２人),0)*(1+_15・A夜間)),0)*(1+_15・盲ろう)),0)*(1+_15・区４)),0)</f>
        <v>364</v>
      </c>
      <c r="X155" s="69"/>
    </row>
    <row r="156" spans="1:24" ht="16.5" customHeight="1" x14ac:dyDescent="0.3">
      <c r="A156" s="2">
        <v>15</v>
      </c>
      <c r="B156" s="2">
        <v>8335</v>
      </c>
      <c r="C156" s="60" t="s">
        <v>8794</v>
      </c>
      <c r="D156" s="233" t="s">
        <v>17990</v>
      </c>
      <c r="E156" s="62"/>
      <c r="F156" s="75"/>
      <c r="G156" s="61"/>
      <c r="H156" s="62"/>
      <c r="I156" s="63"/>
      <c r="J156" s="85"/>
      <c r="K156" s="64"/>
      <c r="L156" s="65"/>
      <c r="M156" s="99"/>
      <c r="N156" s="70"/>
      <c r="O156" s="61"/>
      <c r="P156" s="62"/>
      <c r="Q156" s="63"/>
      <c r="R156" s="75"/>
      <c r="S156" s="61"/>
      <c r="T156" s="62"/>
      <c r="U156" s="63"/>
      <c r="V156" s="75"/>
      <c r="W156" s="228">
        <f>ROUND((_15_同援日１．０*(1+_15・A夜間)),0)</f>
        <v>365</v>
      </c>
      <c r="X156" s="69"/>
    </row>
    <row r="157" spans="1:24" ht="16.5" customHeight="1" x14ac:dyDescent="0.3">
      <c r="A157" s="2">
        <v>15</v>
      </c>
      <c r="B157" s="2">
        <v>8336</v>
      </c>
      <c r="C157" s="60" t="s">
        <v>8793</v>
      </c>
      <c r="D157" s="1" t="s">
        <v>16874</v>
      </c>
      <c r="E157" s="68"/>
      <c r="F157" s="70"/>
      <c r="G157" s="66"/>
      <c r="H157" s="57"/>
      <c r="I157" s="58"/>
      <c r="J157" s="83" t="s">
        <v>5895</v>
      </c>
      <c r="K157" s="64" t="s">
        <v>1</v>
      </c>
      <c r="L157" s="65">
        <v>1</v>
      </c>
      <c r="M157" s="99"/>
      <c r="N157" s="70"/>
      <c r="O157" s="67"/>
      <c r="P157" s="68"/>
      <c r="Q157" s="76"/>
      <c r="R157" s="70"/>
      <c r="S157" s="67"/>
      <c r="T157" s="68"/>
      <c r="U157" s="76"/>
      <c r="V157" s="70"/>
      <c r="W157" s="228">
        <f>ROUND((ROUND((_15_同援日１．０*_15・２人),0)*(1+_15・A夜間)),0)</f>
        <v>365</v>
      </c>
      <c r="X157" s="69"/>
    </row>
    <row r="158" spans="1:24" ht="16.5" customHeight="1" x14ac:dyDescent="0.3">
      <c r="A158" s="2">
        <v>15</v>
      </c>
      <c r="B158" s="2">
        <v>8337</v>
      </c>
      <c r="C158" s="60" t="s">
        <v>8792</v>
      </c>
      <c r="D158" s="1" t="s">
        <v>8572</v>
      </c>
      <c r="E158" s="68"/>
      <c r="F158" s="70"/>
      <c r="G158" s="74" t="s">
        <v>16823</v>
      </c>
      <c r="H158" s="62"/>
      <c r="I158" s="63"/>
      <c r="J158" s="85"/>
      <c r="K158" s="64"/>
      <c r="L158" s="65"/>
      <c r="M158" s="99"/>
      <c r="N158" s="70"/>
      <c r="O158" s="67"/>
      <c r="P158" s="68"/>
      <c r="Q158" s="76"/>
      <c r="R158" s="70"/>
      <c r="S158" s="67"/>
      <c r="T158" s="68"/>
      <c r="U158" s="76"/>
      <c r="V158" s="70"/>
      <c r="W158" s="228">
        <f>ROUND((ROUND((_15_同援日１．０*_15・基礎２),0)*(1+_15・A夜間)),0)</f>
        <v>329</v>
      </c>
      <c r="X158" s="69"/>
    </row>
    <row r="159" spans="1:24" ht="16.5" customHeight="1" x14ac:dyDescent="0.3">
      <c r="A159" s="2">
        <v>15</v>
      </c>
      <c r="B159" s="2">
        <v>8338</v>
      </c>
      <c r="C159" s="60" t="s">
        <v>8791</v>
      </c>
      <c r="D159" s="1"/>
      <c r="E159" s="227">
        <v>292</v>
      </c>
      <c r="F159" s="70" t="s">
        <v>0</v>
      </c>
      <c r="G159" s="106" t="s">
        <v>17864</v>
      </c>
      <c r="H159" s="57" t="s">
        <v>1</v>
      </c>
      <c r="I159" s="58">
        <v>0.9</v>
      </c>
      <c r="J159" s="83" t="s">
        <v>5895</v>
      </c>
      <c r="K159" s="64" t="s">
        <v>1</v>
      </c>
      <c r="L159" s="65">
        <v>1</v>
      </c>
      <c r="M159" s="99"/>
      <c r="N159" s="70"/>
      <c r="O159" s="66"/>
      <c r="P159" s="57"/>
      <c r="Q159" s="58"/>
      <c r="R159" s="77"/>
      <c r="S159" s="67"/>
      <c r="T159" s="68"/>
      <c r="U159" s="76"/>
      <c r="V159" s="70"/>
      <c r="W159" s="228">
        <f>ROUND((ROUND((ROUND((_15_同援日１．０*_15・基礎２),0)*_15・２人),0)*(1+_15・A夜間)),0)</f>
        <v>329</v>
      </c>
      <c r="X159" s="69"/>
    </row>
    <row r="160" spans="1:24" ht="16.5" customHeight="1" x14ac:dyDescent="0.3">
      <c r="A160" s="2">
        <v>15</v>
      </c>
      <c r="B160" s="2">
        <v>8339</v>
      </c>
      <c r="C160" s="60" t="s">
        <v>8790</v>
      </c>
      <c r="D160" s="1"/>
      <c r="E160" s="68"/>
      <c r="F160" s="70"/>
      <c r="G160" s="61"/>
      <c r="H160" s="62"/>
      <c r="I160" s="63"/>
      <c r="J160" s="85"/>
      <c r="K160" s="64"/>
      <c r="L160" s="65"/>
      <c r="M160" s="99"/>
      <c r="N160" s="70"/>
      <c r="O160" s="74" t="s">
        <v>17969</v>
      </c>
      <c r="P160" s="62"/>
      <c r="Q160" s="63"/>
      <c r="R160" s="75"/>
      <c r="S160" s="67"/>
      <c r="T160" s="68"/>
      <c r="U160" s="76"/>
      <c r="V160" s="70"/>
      <c r="W160" s="228">
        <f>ROUND((ROUND((_15_同援日１．０*(1+_15・A夜間)),0)*(1+_15・盲ろう)),0)</f>
        <v>456</v>
      </c>
      <c r="X160" s="69"/>
    </row>
    <row r="161" spans="1:24" ht="16.5" customHeight="1" x14ac:dyDescent="0.3">
      <c r="A161" s="2">
        <v>15</v>
      </c>
      <c r="B161" s="2">
        <v>8340</v>
      </c>
      <c r="C161" s="60" t="s">
        <v>8789</v>
      </c>
      <c r="D161" s="1"/>
      <c r="E161" s="68"/>
      <c r="F161" s="70"/>
      <c r="G161" s="66"/>
      <c r="H161" s="57"/>
      <c r="I161" s="58"/>
      <c r="J161" s="83" t="s">
        <v>5895</v>
      </c>
      <c r="K161" s="64" t="s">
        <v>1</v>
      </c>
      <c r="L161" s="65">
        <v>1</v>
      </c>
      <c r="M161" s="99"/>
      <c r="N161" s="70"/>
      <c r="O161" s="94" t="s">
        <v>17968</v>
      </c>
      <c r="P161" s="68"/>
      <c r="Q161" s="76"/>
      <c r="R161" s="70"/>
      <c r="S161" s="67"/>
      <c r="T161" s="68"/>
      <c r="U161" s="76"/>
      <c r="V161" s="70"/>
      <c r="W161" s="228">
        <f>ROUND((ROUND((ROUND((_15_同援日１．０*_15・２人),0)*(1+_15・A夜間)),0)*(1+_15・盲ろう)),0)</f>
        <v>456</v>
      </c>
      <c r="X161" s="69"/>
    </row>
    <row r="162" spans="1:24" ht="16.5" customHeight="1" x14ac:dyDescent="0.3">
      <c r="A162" s="2">
        <v>15</v>
      </c>
      <c r="B162" s="2">
        <v>8341</v>
      </c>
      <c r="C162" s="60" t="s">
        <v>8788</v>
      </c>
      <c r="D162" s="1"/>
      <c r="E162" s="68"/>
      <c r="F162" s="70"/>
      <c r="G162" s="74" t="s">
        <v>17972</v>
      </c>
      <c r="H162" s="62"/>
      <c r="I162" s="63"/>
      <c r="J162" s="85"/>
      <c r="K162" s="64"/>
      <c r="L162" s="65"/>
      <c r="M162" s="99"/>
      <c r="N162" s="70"/>
      <c r="O162" s="67"/>
      <c r="P162" s="68" t="s">
        <v>1</v>
      </c>
      <c r="Q162" s="76">
        <v>0.25</v>
      </c>
      <c r="R162" s="70" t="s">
        <v>422</v>
      </c>
      <c r="S162" s="67"/>
      <c r="T162" s="68"/>
      <c r="U162" s="76"/>
      <c r="V162" s="70"/>
      <c r="W162" s="228">
        <f>ROUND((ROUND((ROUND((_15_同援日１．０*_15・基礎２),0)*(1+_15・A夜間)),0)*(1+_15・盲ろう)),0)</f>
        <v>411</v>
      </c>
      <c r="X162" s="69"/>
    </row>
    <row r="163" spans="1:24" ht="16.5" customHeight="1" x14ac:dyDescent="0.3">
      <c r="A163" s="2">
        <v>15</v>
      </c>
      <c r="B163" s="2">
        <v>8342</v>
      </c>
      <c r="C163" s="60" t="s">
        <v>8787</v>
      </c>
      <c r="D163" s="1"/>
      <c r="E163" s="68"/>
      <c r="F163" s="70"/>
      <c r="G163" s="106" t="s">
        <v>16812</v>
      </c>
      <c r="H163" s="57" t="s">
        <v>1</v>
      </c>
      <c r="I163" s="58">
        <v>0.9</v>
      </c>
      <c r="J163" s="83" t="s">
        <v>5895</v>
      </c>
      <c r="K163" s="64" t="s">
        <v>1</v>
      </c>
      <c r="L163" s="65">
        <v>1</v>
      </c>
      <c r="M163" s="99"/>
      <c r="N163" s="70"/>
      <c r="O163" s="66"/>
      <c r="P163" s="57"/>
      <c r="Q163" s="58"/>
      <c r="R163" s="77"/>
      <c r="S163" s="66"/>
      <c r="T163" s="57"/>
      <c r="U163" s="58"/>
      <c r="V163" s="77"/>
      <c r="W163" s="228">
        <f>ROUND((ROUND((ROUND((ROUND((_15_同援日１．０*_15・基礎２),0)*_15・２人),0)*(1+_15・A夜間)),0)*(1+_15・盲ろう)),0)</f>
        <v>411</v>
      </c>
      <c r="X163" s="69"/>
    </row>
    <row r="164" spans="1:24" ht="16.5" customHeight="1" x14ac:dyDescent="0.3">
      <c r="A164" s="2">
        <v>15</v>
      </c>
      <c r="B164" s="2">
        <v>8343</v>
      </c>
      <c r="C164" s="60" t="s">
        <v>8786</v>
      </c>
      <c r="D164" s="1"/>
      <c r="E164" s="68"/>
      <c r="F164" s="70"/>
      <c r="G164" s="61"/>
      <c r="H164" s="62"/>
      <c r="I164" s="63"/>
      <c r="J164" s="85"/>
      <c r="K164" s="64"/>
      <c r="L164" s="65"/>
      <c r="M164" s="99"/>
      <c r="N164" s="70"/>
      <c r="O164" s="61"/>
      <c r="P164" s="62"/>
      <c r="Q164" s="63"/>
      <c r="R164" s="75"/>
      <c r="S164" s="61"/>
      <c r="T164" s="62"/>
      <c r="U164" s="63"/>
      <c r="V164" s="75"/>
      <c r="W164" s="228">
        <f>ROUND((ROUND((_15_同援日１．０*(1+_15・A夜間)),0)*(1+_15・区３)),0)</f>
        <v>438</v>
      </c>
      <c r="X164" s="69"/>
    </row>
    <row r="165" spans="1:24" ht="16.5" customHeight="1" x14ac:dyDescent="0.3">
      <c r="A165" s="2">
        <v>15</v>
      </c>
      <c r="B165" s="2">
        <v>8344</v>
      </c>
      <c r="C165" s="60" t="s">
        <v>8785</v>
      </c>
      <c r="D165" s="1"/>
      <c r="E165" s="68"/>
      <c r="F165" s="70"/>
      <c r="G165" s="66"/>
      <c r="H165" s="57"/>
      <c r="I165" s="58"/>
      <c r="J165" s="83" t="s">
        <v>5895</v>
      </c>
      <c r="K165" s="64" t="s">
        <v>1</v>
      </c>
      <c r="L165" s="65">
        <v>1</v>
      </c>
      <c r="M165" s="99"/>
      <c r="N165" s="70"/>
      <c r="O165" s="67"/>
      <c r="P165" s="68"/>
      <c r="Q165" s="76"/>
      <c r="R165" s="70"/>
      <c r="S165" s="67"/>
      <c r="T165" s="68"/>
      <c r="U165" s="76"/>
      <c r="V165" s="70"/>
      <c r="W165" s="228">
        <f>ROUND((ROUND((ROUND((_15_同援日１．０*_15・２人),0)*(1+_15・A夜間)),0)*(1+_15・区３)),0)</f>
        <v>438</v>
      </c>
      <c r="X165" s="69"/>
    </row>
    <row r="166" spans="1:24" ht="16.5" customHeight="1" x14ac:dyDescent="0.3">
      <c r="A166" s="2">
        <v>15</v>
      </c>
      <c r="B166" s="2">
        <v>8345</v>
      </c>
      <c r="C166" s="60" t="s">
        <v>8784</v>
      </c>
      <c r="D166" s="1"/>
      <c r="E166" s="68"/>
      <c r="F166" s="70"/>
      <c r="G166" s="74" t="s">
        <v>16823</v>
      </c>
      <c r="H166" s="62"/>
      <c r="I166" s="63"/>
      <c r="J166" s="85"/>
      <c r="K166" s="64"/>
      <c r="L166" s="65"/>
      <c r="M166" s="99"/>
      <c r="N166" s="70"/>
      <c r="O166" s="67"/>
      <c r="P166" s="68"/>
      <c r="Q166" s="76"/>
      <c r="R166" s="70"/>
      <c r="S166" s="1" t="s">
        <v>17974</v>
      </c>
      <c r="T166" s="68"/>
      <c r="U166" s="76"/>
      <c r="V166" s="70"/>
      <c r="W166" s="228">
        <f>ROUND((ROUND((ROUND((_15_同援日１．０*_15・基礎２),0)*(1+_15・A夜間)),0)*(1+_15・区３)),0)</f>
        <v>395</v>
      </c>
      <c r="X166" s="69"/>
    </row>
    <row r="167" spans="1:24" ht="16.5" customHeight="1" x14ac:dyDescent="0.3">
      <c r="A167" s="2">
        <v>15</v>
      </c>
      <c r="B167" s="2">
        <v>8346</v>
      </c>
      <c r="C167" s="60" t="s">
        <v>8783</v>
      </c>
      <c r="D167" s="1"/>
      <c r="E167" s="68"/>
      <c r="F167" s="70"/>
      <c r="G167" s="106" t="s">
        <v>16812</v>
      </c>
      <c r="H167" s="57" t="s">
        <v>1</v>
      </c>
      <c r="I167" s="58">
        <v>0.9</v>
      </c>
      <c r="J167" s="83" t="s">
        <v>5895</v>
      </c>
      <c r="K167" s="64" t="s">
        <v>1</v>
      </c>
      <c r="L167" s="65">
        <v>1</v>
      </c>
      <c r="M167" s="99"/>
      <c r="N167" s="70"/>
      <c r="O167" s="66"/>
      <c r="P167" s="57"/>
      <c r="Q167" s="58"/>
      <c r="R167" s="77"/>
      <c r="S167" s="1" t="s">
        <v>17970</v>
      </c>
      <c r="T167" s="68"/>
      <c r="U167" s="76"/>
      <c r="V167" s="70"/>
      <c r="W167" s="228">
        <f>ROUND((ROUND((ROUND((ROUND((_15_同援日１．０*_15・基礎２),0)*_15・２人),0)*(1+_15・A夜間)),0)*(1+_15・区３)),0)</f>
        <v>395</v>
      </c>
      <c r="X167" s="69"/>
    </row>
    <row r="168" spans="1:24" ht="16.5" customHeight="1" x14ac:dyDescent="0.3">
      <c r="A168" s="2">
        <v>15</v>
      </c>
      <c r="B168" s="2">
        <v>8347</v>
      </c>
      <c r="C168" s="60" t="s">
        <v>8782</v>
      </c>
      <c r="D168" s="1"/>
      <c r="E168" s="68"/>
      <c r="F168" s="70"/>
      <c r="G168" s="61"/>
      <c r="H168" s="62"/>
      <c r="I168" s="63"/>
      <c r="J168" s="85"/>
      <c r="K168" s="64"/>
      <c r="L168" s="65"/>
      <c r="M168" s="99"/>
      <c r="N168" s="70"/>
      <c r="O168" s="74" t="s">
        <v>17969</v>
      </c>
      <c r="P168" s="62"/>
      <c r="Q168" s="63"/>
      <c r="R168" s="75"/>
      <c r="S168" s="67"/>
      <c r="T168" s="68" t="s">
        <v>1</v>
      </c>
      <c r="U168" s="76">
        <v>0.2</v>
      </c>
      <c r="V168" s="70" t="s">
        <v>422</v>
      </c>
      <c r="W168" s="228">
        <f>ROUND((ROUND((ROUND((_15_同援日１．０*(1+_15・A夜間)),0)*(1+_15・盲ろう)),0)*(1+_15・区３)),0)</f>
        <v>547</v>
      </c>
      <c r="X168" s="69"/>
    </row>
    <row r="169" spans="1:24" ht="16.5" customHeight="1" x14ac:dyDescent="0.3">
      <c r="A169" s="2">
        <v>15</v>
      </c>
      <c r="B169" s="2">
        <v>8348</v>
      </c>
      <c r="C169" s="60" t="s">
        <v>8781</v>
      </c>
      <c r="D169" s="1"/>
      <c r="E169" s="68"/>
      <c r="F169" s="70"/>
      <c r="G169" s="66"/>
      <c r="H169" s="57"/>
      <c r="I169" s="58"/>
      <c r="J169" s="83" t="s">
        <v>5895</v>
      </c>
      <c r="K169" s="64" t="s">
        <v>1</v>
      </c>
      <c r="L169" s="65">
        <v>1</v>
      </c>
      <c r="M169" s="99"/>
      <c r="N169" s="70"/>
      <c r="O169" s="94" t="s">
        <v>17975</v>
      </c>
      <c r="P169" s="68"/>
      <c r="Q169" s="76"/>
      <c r="R169" s="70"/>
      <c r="S169" s="67"/>
      <c r="T169" s="68"/>
      <c r="U169" s="76"/>
      <c r="V169" s="70"/>
      <c r="W169" s="228">
        <f>ROUND((ROUND((ROUND((ROUND((_15_同援日１．０*_15・２人),0)*(1+_15・A夜間)),0)*(1+_15・盲ろう)),0)*(1+_15・区３)),0)</f>
        <v>547</v>
      </c>
      <c r="X169" s="69"/>
    </row>
    <row r="170" spans="1:24" ht="16.5" customHeight="1" x14ac:dyDescent="0.3">
      <c r="A170" s="2">
        <v>15</v>
      </c>
      <c r="B170" s="2">
        <v>8349</v>
      </c>
      <c r="C170" s="60" t="s">
        <v>8780</v>
      </c>
      <c r="D170" s="1"/>
      <c r="E170" s="68"/>
      <c r="F170" s="70"/>
      <c r="G170" s="74" t="s">
        <v>17972</v>
      </c>
      <c r="H170" s="62"/>
      <c r="I170" s="63"/>
      <c r="J170" s="85"/>
      <c r="K170" s="64"/>
      <c r="L170" s="65"/>
      <c r="M170" s="99"/>
      <c r="N170" s="70"/>
      <c r="O170" s="67"/>
      <c r="P170" s="68" t="s">
        <v>1</v>
      </c>
      <c r="Q170" s="76">
        <v>0.25</v>
      </c>
      <c r="R170" s="70" t="s">
        <v>422</v>
      </c>
      <c r="S170" s="67"/>
      <c r="T170" s="68"/>
      <c r="U170" s="76"/>
      <c r="V170" s="70"/>
      <c r="W170" s="228">
        <f>ROUND((ROUND((ROUND((ROUND((_15_同援日１．０*_15・基礎２),0)*(1+_15・A夜間)),0)*(1+_15・盲ろう)),0)*(1+_15・区３)),0)</f>
        <v>493</v>
      </c>
      <c r="X170" s="69"/>
    </row>
    <row r="171" spans="1:24" ht="16.5" customHeight="1" x14ac:dyDescent="0.3">
      <c r="A171" s="2">
        <v>15</v>
      </c>
      <c r="B171" s="2">
        <v>8350</v>
      </c>
      <c r="C171" s="60" t="s">
        <v>8779</v>
      </c>
      <c r="D171" s="1"/>
      <c r="E171" s="68"/>
      <c r="F171" s="70"/>
      <c r="G171" s="106" t="s">
        <v>16812</v>
      </c>
      <c r="H171" s="57" t="s">
        <v>1</v>
      </c>
      <c r="I171" s="58">
        <v>0.9</v>
      </c>
      <c r="J171" s="83" t="s">
        <v>5895</v>
      </c>
      <c r="K171" s="64" t="s">
        <v>1</v>
      </c>
      <c r="L171" s="65">
        <v>1</v>
      </c>
      <c r="M171" s="99"/>
      <c r="N171" s="70"/>
      <c r="O171" s="66"/>
      <c r="P171" s="57"/>
      <c r="Q171" s="58"/>
      <c r="R171" s="77"/>
      <c r="S171" s="66"/>
      <c r="T171" s="57"/>
      <c r="U171" s="58"/>
      <c r="V171" s="77"/>
      <c r="W171" s="228">
        <f>ROUND((ROUND((ROUND((ROUND((ROUND((_15_同援日１．０*_15・基礎２),0)*_15・２人),0)*(1+_15・A夜間)),0)*(1+_15・盲ろう)),0)*(1+_15・区３)),0)</f>
        <v>493</v>
      </c>
      <c r="X171" s="69"/>
    </row>
    <row r="172" spans="1:24" ht="16.5" customHeight="1" x14ac:dyDescent="0.3">
      <c r="A172" s="2">
        <v>15</v>
      </c>
      <c r="B172" s="2">
        <v>8351</v>
      </c>
      <c r="C172" s="60" t="s">
        <v>8778</v>
      </c>
      <c r="D172" s="1"/>
      <c r="E172" s="68"/>
      <c r="F172" s="70"/>
      <c r="G172" s="61"/>
      <c r="H172" s="62"/>
      <c r="I172" s="63"/>
      <c r="J172" s="85"/>
      <c r="K172" s="64"/>
      <c r="L172" s="65"/>
      <c r="M172" s="99"/>
      <c r="N172" s="70"/>
      <c r="O172" s="61"/>
      <c r="P172" s="62"/>
      <c r="Q172" s="63"/>
      <c r="R172" s="75"/>
      <c r="S172" s="61"/>
      <c r="T172" s="62"/>
      <c r="U172" s="63"/>
      <c r="V172" s="75"/>
      <c r="W172" s="228">
        <f>ROUND((ROUND((_15_同援日１．０*(1+_15・A夜間)),0)*(1+_15・区４)),0)</f>
        <v>511</v>
      </c>
      <c r="X172" s="69"/>
    </row>
    <row r="173" spans="1:24" ht="16.5" customHeight="1" x14ac:dyDescent="0.3">
      <c r="A173" s="2">
        <v>15</v>
      </c>
      <c r="B173" s="2">
        <v>8352</v>
      </c>
      <c r="C173" s="60" t="s">
        <v>8777</v>
      </c>
      <c r="D173" s="1"/>
      <c r="E173" s="68"/>
      <c r="F173" s="70"/>
      <c r="G173" s="66"/>
      <c r="H173" s="57"/>
      <c r="I173" s="58"/>
      <c r="J173" s="83" t="s">
        <v>5895</v>
      </c>
      <c r="K173" s="64" t="s">
        <v>1</v>
      </c>
      <c r="L173" s="65">
        <v>1</v>
      </c>
      <c r="M173" s="99"/>
      <c r="N173" s="70"/>
      <c r="O173" s="67"/>
      <c r="P173" s="68"/>
      <c r="Q173" s="76"/>
      <c r="R173" s="70"/>
      <c r="S173" s="67"/>
      <c r="T173" s="68"/>
      <c r="U173" s="76"/>
      <c r="V173" s="70"/>
      <c r="W173" s="228">
        <f>ROUND((ROUND((ROUND((_15_同援日１．０*_15・２人),0)*(1+_15・A夜間)),0)*(1+_15・区４)),0)</f>
        <v>511</v>
      </c>
      <c r="X173" s="69"/>
    </row>
    <row r="174" spans="1:24" ht="16.5" customHeight="1" x14ac:dyDescent="0.3">
      <c r="A174" s="2">
        <v>15</v>
      </c>
      <c r="B174" s="2">
        <v>8353</v>
      </c>
      <c r="C174" s="60" t="s">
        <v>8776</v>
      </c>
      <c r="D174" s="1"/>
      <c r="E174" s="68"/>
      <c r="F174" s="70"/>
      <c r="G174" s="74" t="s">
        <v>16823</v>
      </c>
      <c r="H174" s="62"/>
      <c r="I174" s="63"/>
      <c r="J174" s="85"/>
      <c r="K174" s="64"/>
      <c r="L174" s="65"/>
      <c r="M174" s="99"/>
      <c r="N174" s="70"/>
      <c r="O174" s="67"/>
      <c r="P174" s="68"/>
      <c r="Q174" s="76"/>
      <c r="R174" s="70"/>
      <c r="S174" s="1" t="s">
        <v>17971</v>
      </c>
      <c r="T174" s="68"/>
      <c r="U174" s="76"/>
      <c r="V174" s="70"/>
      <c r="W174" s="228">
        <f>ROUND((ROUND((ROUND((_15_同援日１．０*_15・基礎２),0)*(1+_15・A夜間)),0)*(1+_15・区４)),0)</f>
        <v>461</v>
      </c>
      <c r="X174" s="69"/>
    </row>
    <row r="175" spans="1:24" ht="16.5" customHeight="1" x14ac:dyDescent="0.3">
      <c r="A175" s="2">
        <v>15</v>
      </c>
      <c r="B175" s="2">
        <v>8354</v>
      </c>
      <c r="C175" s="60" t="s">
        <v>8775</v>
      </c>
      <c r="D175" s="1"/>
      <c r="E175" s="68"/>
      <c r="F175" s="70"/>
      <c r="G175" s="106" t="s">
        <v>16812</v>
      </c>
      <c r="H175" s="57" t="s">
        <v>1</v>
      </c>
      <c r="I175" s="58">
        <v>0.9</v>
      </c>
      <c r="J175" s="83" t="s">
        <v>5895</v>
      </c>
      <c r="K175" s="64" t="s">
        <v>1</v>
      </c>
      <c r="L175" s="65">
        <v>1</v>
      </c>
      <c r="M175" s="99"/>
      <c r="N175" s="70"/>
      <c r="O175" s="66"/>
      <c r="P175" s="57"/>
      <c r="Q175" s="58"/>
      <c r="R175" s="77"/>
      <c r="S175" s="1" t="s">
        <v>17970</v>
      </c>
      <c r="T175" s="68"/>
      <c r="U175" s="76"/>
      <c r="V175" s="70"/>
      <c r="W175" s="228">
        <f>ROUND((ROUND((ROUND((ROUND((_15_同援日１．０*_15・基礎２),0)*_15・２人),0)*(1+_15・A夜間)),0)*(1+_15・区４)),0)</f>
        <v>461</v>
      </c>
      <c r="X175" s="69"/>
    </row>
    <row r="176" spans="1:24" ht="16.5" customHeight="1" x14ac:dyDescent="0.3">
      <c r="A176" s="2">
        <v>15</v>
      </c>
      <c r="B176" s="2">
        <v>8355</v>
      </c>
      <c r="C176" s="60" t="s">
        <v>8774</v>
      </c>
      <c r="D176" s="1"/>
      <c r="E176" s="68"/>
      <c r="F176" s="70"/>
      <c r="G176" s="61"/>
      <c r="H176" s="62"/>
      <c r="I176" s="63"/>
      <c r="J176" s="85"/>
      <c r="K176" s="64"/>
      <c r="L176" s="65"/>
      <c r="M176" s="99"/>
      <c r="N176" s="70"/>
      <c r="O176" s="74" t="s">
        <v>17987</v>
      </c>
      <c r="P176" s="62"/>
      <c r="Q176" s="63"/>
      <c r="R176" s="75"/>
      <c r="S176" s="67"/>
      <c r="T176" s="68" t="s">
        <v>1</v>
      </c>
      <c r="U176" s="76">
        <v>0.4</v>
      </c>
      <c r="V176" s="70" t="s">
        <v>422</v>
      </c>
      <c r="W176" s="228">
        <f>ROUND((ROUND((ROUND((_15_同援日１．０*(1+_15・A夜間)),0)*(1+_15・盲ろう)),0)*(1+_15・区４)),0)</f>
        <v>638</v>
      </c>
      <c r="X176" s="69"/>
    </row>
    <row r="177" spans="1:24" ht="16.5" customHeight="1" x14ac:dyDescent="0.3">
      <c r="A177" s="2">
        <v>15</v>
      </c>
      <c r="B177" s="2">
        <v>8356</v>
      </c>
      <c r="C177" s="60" t="s">
        <v>8773</v>
      </c>
      <c r="D177" s="1"/>
      <c r="E177" s="68"/>
      <c r="F177" s="70"/>
      <c r="G177" s="66"/>
      <c r="H177" s="57"/>
      <c r="I177" s="58"/>
      <c r="J177" s="83" t="s">
        <v>5895</v>
      </c>
      <c r="K177" s="64" t="s">
        <v>1</v>
      </c>
      <c r="L177" s="65">
        <v>1</v>
      </c>
      <c r="M177" s="99"/>
      <c r="N177" s="70"/>
      <c r="O177" s="94" t="s">
        <v>17973</v>
      </c>
      <c r="P177" s="68"/>
      <c r="Q177" s="76"/>
      <c r="R177" s="70"/>
      <c r="S177" s="67"/>
      <c r="T177" s="68"/>
      <c r="U177" s="76"/>
      <c r="V177" s="70"/>
      <c r="W177" s="228">
        <f>ROUND((ROUND((ROUND((ROUND((_15_同援日１．０*_15・２人),0)*(1+_15・A夜間)),0)*(1+_15・盲ろう)),0)*(1+_15・区４)),0)</f>
        <v>638</v>
      </c>
      <c r="X177" s="69"/>
    </row>
    <row r="178" spans="1:24" ht="16.5" customHeight="1" x14ac:dyDescent="0.3">
      <c r="A178" s="2">
        <v>15</v>
      </c>
      <c r="B178" s="2">
        <v>8357</v>
      </c>
      <c r="C178" s="60" t="s">
        <v>8772</v>
      </c>
      <c r="D178" s="1"/>
      <c r="E178" s="68"/>
      <c r="F178" s="70"/>
      <c r="G178" s="74" t="s">
        <v>16823</v>
      </c>
      <c r="H178" s="62"/>
      <c r="I178" s="63"/>
      <c r="J178" s="85"/>
      <c r="K178" s="64"/>
      <c r="L178" s="65"/>
      <c r="M178" s="99"/>
      <c r="N178" s="70"/>
      <c r="O178" s="67"/>
      <c r="P178" s="68" t="s">
        <v>1</v>
      </c>
      <c r="Q178" s="76">
        <v>0.25</v>
      </c>
      <c r="R178" s="70" t="s">
        <v>422</v>
      </c>
      <c r="S178" s="67"/>
      <c r="T178" s="68"/>
      <c r="U178" s="76"/>
      <c r="V178" s="70"/>
      <c r="W178" s="228">
        <f>ROUND((ROUND((ROUND((ROUND((_15_同援日１．０*_15・基礎２),0)*(1+_15・A夜間)),0)*(1+_15・盲ろう)),0)*(1+_15・区４)),0)</f>
        <v>575</v>
      </c>
      <c r="X178" s="69"/>
    </row>
    <row r="179" spans="1:24" ht="16.5" customHeight="1" x14ac:dyDescent="0.3">
      <c r="A179" s="2">
        <v>15</v>
      </c>
      <c r="B179" s="2">
        <v>8358</v>
      </c>
      <c r="C179" s="60" t="s">
        <v>8771</v>
      </c>
      <c r="D179" s="81"/>
      <c r="E179" s="57"/>
      <c r="F179" s="77"/>
      <c r="G179" s="106" t="s">
        <v>16812</v>
      </c>
      <c r="H179" s="57" t="s">
        <v>1</v>
      </c>
      <c r="I179" s="58">
        <v>0.9</v>
      </c>
      <c r="J179" s="83" t="s">
        <v>5895</v>
      </c>
      <c r="K179" s="64" t="s">
        <v>1</v>
      </c>
      <c r="L179" s="65">
        <v>1</v>
      </c>
      <c r="M179" s="99"/>
      <c r="N179" s="70"/>
      <c r="O179" s="66"/>
      <c r="P179" s="57"/>
      <c r="Q179" s="58"/>
      <c r="R179" s="77"/>
      <c r="S179" s="66"/>
      <c r="T179" s="57"/>
      <c r="U179" s="58"/>
      <c r="V179" s="77"/>
      <c r="W179" s="228">
        <f>ROUND((ROUND((ROUND((ROUND((ROUND((_15_同援日１．０*_15・基礎２),0)*_15・２人),0)*(1+_15・A夜間)),0)*(1+_15・盲ろう)),0)*(1+_15・区４)),0)</f>
        <v>575</v>
      </c>
      <c r="X179" s="69"/>
    </row>
    <row r="180" spans="1:24" ht="16.5" customHeight="1" x14ac:dyDescent="0.3">
      <c r="A180" s="2">
        <v>15</v>
      </c>
      <c r="B180" s="2">
        <v>8359</v>
      </c>
      <c r="C180" s="60" t="s">
        <v>8770</v>
      </c>
      <c r="D180" s="233" t="s">
        <v>17989</v>
      </c>
      <c r="E180" s="62"/>
      <c r="F180" s="75"/>
      <c r="G180" s="61"/>
      <c r="H180" s="62"/>
      <c r="I180" s="63"/>
      <c r="J180" s="85"/>
      <c r="K180" s="64"/>
      <c r="L180" s="65"/>
      <c r="M180" s="99"/>
      <c r="N180" s="70"/>
      <c r="O180" s="61"/>
      <c r="P180" s="62"/>
      <c r="Q180" s="63"/>
      <c r="R180" s="75"/>
      <c r="S180" s="61"/>
      <c r="T180" s="62"/>
      <c r="U180" s="63"/>
      <c r="V180" s="75"/>
      <c r="W180" s="228">
        <f>ROUND((_15_同援日１．５*(1+_15・A夜間)),0)</f>
        <v>526</v>
      </c>
      <c r="X180" s="69"/>
    </row>
    <row r="181" spans="1:24" ht="16.5" customHeight="1" x14ac:dyDescent="0.3">
      <c r="A181" s="2">
        <v>15</v>
      </c>
      <c r="B181" s="2">
        <v>8360</v>
      </c>
      <c r="C181" s="60" t="s">
        <v>8769</v>
      </c>
      <c r="D181" s="1" t="s">
        <v>16871</v>
      </c>
      <c r="E181" s="68"/>
      <c r="F181" s="70"/>
      <c r="G181" s="66"/>
      <c r="H181" s="57"/>
      <c r="I181" s="58"/>
      <c r="J181" s="83" t="s">
        <v>5895</v>
      </c>
      <c r="K181" s="64" t="s">
        <v>1</v>
      </c>
      <c r="L181" s="65">
        <v>1</v>
      </c>
      <c r="M181" s="99"/>
      <c r="N181" s="70"/>
      <c r="O181" s="67"/>
      <c r="P181" s="68"/>
      <c r="Q181" s="76"/>
      <c r="R181" s="70"/>
      <c r="S181" s="67"/>
      <c r="T181" s="68"/>
      <c r="U181" s="76"/>
      <c r="V181" s="70"/>
      <c r="W181" s="228">
        <f>ROUND((ROUND((_15_同援日１．５*_15・２人),0)*(1+_15・A夜間)),0)</f>
        <v>526</v>
      </c>
      <c r="X181" s="69"/>
    </row>
    <row r="182" spans="1:24" ht="16.5" customHeight="1" x14ac:dyDescent="0.3">
      <c r="A182" s="2">
        <v>15</v>
      </c>
      <c r="B182" s="2">
        <v>8361</v>
      </c>
      <c r="C182" s="60" t="s">
        <v>8768</v>
      </c>
      <c r="D182" s="1" t="s">
        <v>8767</v>
      </c>
      <c r="E182" s="68"/>
      <c r="F182" s="70"/>
      <c r="G182" s="74" t="s">
        <v>16823</v>
      </c>
      <c r="H182" s="62"/>
      <c r="I182" s="63"/>
      <c r="J182" s="85"/>
      <c r="K182" s="64"/>
      <c r="L182" s="65"/>
      <c r="M182" s="99"/>
      <c r="N182" s="70"/>
      <c r="O182" s="67"/>
      <c r="P182" s="68"/>
      <c r="Q182" s="76"/>
      <c r="R182" s="70"/>
      <c r="S182" s="67"/>
      <c r="T182" s="68"/>
      <c r="U182" s="76"/>
      <c r="V182" s="70"/>
      <c r="W182" s="228">
        <f>ROUND((ROUND((_15_同援日１．５*_15・基礎２),0)*(1+_15・A夜間)),0)</f>
        <v>474</v>
      </c>
      <c r="X182" s="69"/>
    </row>
    <row r="183" spans="1:24" ht="16.5" customHeight="1" x14ac:dyDescent="0.3">
      <c r="A183" s="2">
        <v>15</v>
      </c>
      <c r="B183" s="2">
        <v>8362</v>
      </c>
      <c r="C183" s="60" t="s">
        <v>8766</v>
      </c>
      <c r="D183" s="1"/>
      <c r="E183" s="227">
        <v>421</v>
      </c>
      <c r="F183" s="70" t="s">
        <v>0</v>
      </c>
      <c r="G183" s="106" t="s">
        <v>16812</v>
      </c>
      <c r="H183" s="57" t="s">
        <v>1</v>
      </c>
      <c r="I183" s="58">
        <v>0.9</v>
      </c>
      <c r="J183" s="83" t="s">
        <v>5895</v>
      </c>
      <c r="K183" s="64" t="s">
        <v>1</v>
      </c>
      <c r="L183" s="65">
        <v>1</v>
      </c>
      <c r="M183" s="99"/>
      <c r="N183" s="70"/>
      <c r="O183" s="66"/>
      <c r="P183" s="57"/>
      <c r="Q183" s="58"/>
      <c r="R183" s="77"/>
      <c r="S183" s="67"/>
      <c r="T183" s="68"/>
      <c r="U183" s="76"/>
      <c r="V183" s="70"/>
      <c r="W183" s="228">
        <f>ROUND((ROUND((ROUND((_15_同援日１．５*_15・基礎２),0)*_15・２人),0)*(1+_15・A夜間)),0)</f>
        <v>474</v>
      </c>
      <c r="X183" s="69"/>
    </row>
    <row r="184" spans="1:24" ht="16.5" customHeight="1" x14ac:dyDescent="0.3">
      <c r="A184" s="2">
        <v>15</v>
      </c>
      <c r="B184" s="2">
        <v>8363</v>
      </c>
      <c r="C184" s="60" t="s">
        <v>8765</v>
      </c>
      <c r="D184" s="1"/>
      <c r="E184" s="68"/>
      <c r="F184" s="70"/>
      <c r="G184" s="61"/>
      <c r="H184" s="62"/>
      <c r="I184" s="63"/>
      <c r="J184" s="85"/>
      <c r="K184" s="64"/>
      <c r="L184" s="65"/>
      <c r="M184" s="99"/>
      <c r="N184" s="70"/>
      <c r="O184" s="74" t="s">
        <v>8085</v>
      </c>
      <c r="P184" s="62"/>
      <c r="Q184" s="63"/>
      <c r="R184" s="75"/>
      <c r="S184" s="67"/>
      <c r="T184" s="68"/>
      <c r="U184" s="76"/>
      <c r="V184" s="70"/>
      <c r="W184" s="228">
        <f>ROUND((ROUND((_15_同援日１．５*(1+_15・A夜間)),0)*(1+_15・盲ろう)),0)</f>
        <v>658</v>
      </c>
      <c r="X184" s="69"/>
    </row>
    <row r="185" spans="1:24" ht="16.5" customHeight="1" x14ac:dyDescent="0.3">
      <c r="A185" s="2">
        <v>15</v>
      </c>
      <c r="B185" s="2">
        <v>8364</v>
      </c>
      <c r="C185" s="60" t="s">
        <v>8764</v>
      </c>
      <c r="D185" s="1"/>
      <c r="E185" s="68"/>
      <c r="F185" s="70"/>
      <c r="G185" s="66"/>
      <c r="H185" s="57"/>
      <c r="I185" s="58"/>
      <c r="J185" s="83" t="s">
        <v>5895</v>
      </c>
      <c r="K185" s="64" t="s">
        <v>1</v>
      </c>
      <c r="L185" s="65">
        <v>1</v>
      </c>
      <c r="M185" s="99"/>
      <c r="N185" s="70"/>
      <c r="O185" s="94" t="s">
        <v>17968</v>
      </c>
      <c r="P185" s="68"/>
      <c r="Q185" s="76"/>
      <c r="R185" s="70"/>
      <c r="S185" s="67"/>
      <c r="T185" s="68"/>
      <c r="U185" s="76"/>
      <c r="V185" s="70"/>
      <c r="W185" s="228">
        <f>ROUND((ROUND((ROUND((_15_同援日１．５*_15・２人),0)*(1+_15・A夜間)),0)*(1+_15・盲ろう)),0)</f>
        <v>658</v>
      </c>
      <c r="X185" s="69"/>
    </row>
    <row r="186" spans="1:24" ht="16.5" customHeight="1" x14ac:dyDescent="0.3">
      <c r="A186" s="2">
        <v>15</v>
      </c>
      <c r="B186" s="2">
        <v>8365</v>
      </c>
      <c r="C186" s="60" t="s">
        <v>8763</v>
      </c>
      <c r="D186" s="1"/>
      <c r="E186" s="68"/>
      <c r="F186" s="70"/>
      <c r="G186" s="74" t="s">
        <v>16823</v>
      </c>
      <c r="H186" s="62"/>
      <c r="I186" s="63"/>
      <c r="J186" s="85"/>
      <c r="K186" s="64"/>
      <c r="L186" s="65"/>
      <c r="M186" s="99"/>
      <c r="N186" s="70"/>
      <c r="O186" s="67"/>
      <c r="P186" s="68" t="s">
        <v>1</v>
      </c>
      <c r="Q186" s="76">
        <v>0.25</v>
      </c>
      <c r="R186" s="70" t="s">
        <v>422</v>
      </c>
      <c r="S186" s="67"/>
      <c r="T186" s="68"/>
      <c r="U186" s="76"/>
      <c r="V186" s="70"/>
      <c r="W186" s="228">
        <f>ROUND((ROUND((ROUND((_15_同援日１．５*_15・基礎２),0)*(1+_15・A夜間)),0)*(1+_15・盲ろう)),0)</f>
        <v>593</v>
      </c>
      <c r="X186" s="69"/>
    </row>
    <row r="187" spans="1:24" ht="16.5" customHeight="1" x14ac:dyDescent="0.3">
      <c r="A187" s="2">
        <v>15</v>
      </c>
      <c r="B187" s="2">
        <v>8366</v>
      </c>
      <c r="C187" s="60" t="s">
        <v>8762</v>
      </c>
      <c r="D187" s="1"/>
      <c r="E187" s="68"/>
      <c r="F187" s="70"/>
      <c r="G187" s="106" t="s">
        <v>16812</v>
      </c>
      <c r="H187" s="57" t="s">
        <v>1</v>
      </c>
      <c r="I187" s="58">
        <v>0.9</v>
      </c>
      <c r="J187" s="83" t="s">
        <v>5895</v>
      </c>
      <c r="K187" s="64" t="s">
        <v>1</v>
      </c>
      <c r="L187" s="65">
        <v>1</v>
      </c>
      <c r="M187" s="99"/>
      <c r="N187" s="70"/>
      <c r="O187" s="66"/>
      <c r="P187" s="57"/>
      <c r="Q187" s="58"/>
      <c r="R187" s="77"/>
      <c r="S187" s="66"/>
      <c r="T187" s="57"/>
      <c r="U187" s="58"/>
      <c r="V187" s="77"/>
      <c r="W187" s="228">
        <f>ROUND((ROUND((ROUND((ROUND((_15_同援日１．５*_15・基礎２),0)*_15・２人),0)*(1+_15・A夜間)),0)*(1+_15・盲ろう)),0)</f>
        <v>593</v>
      </c>
      <c r="X187" s="69"/>
    </row>
    <row r="188" spans="1:24" ht="16.5" customHeight="1" x14ac:dyDescent="0.3">
      <c r="A188" s="2">
        <v>15</v>
      </c>
      <c r="B188" s="2">
        <v>8367</v>
      </c>
      <c r="C188" s="60" t="s">
        <v>8761</v>
      </c>
      <c r="D188" s="1"/>
      <c r="E188" s="68"/>
      <c r="F188" s="70"/>
      <c r="G188" s="61"/>
      <c r="H188" s="62"/>
      <c r="I188" s="63"/>
      <c r="J188" s="85"/>
      <c r="K188" s="64"/>
      <c r="L188" s="65"/>
      <c r="M188" s="99"/>
      <c r="N188" s="70"/>
      <c r="O188" s="61"/>
      <c r="P188" s="62"/>
      <c r="Q188" s="63"/>
      <c r="R188" s="75"/>
      <c r="S188" s="61"/>
      <c r="T188" s="62"/>
      <c r="U188" s="63"/>
      <c r="V188" s="75"/>
      <c r="W188" s="228">
        <f>ROUND((ROUND((_15_同援日１．５*(1+_15・A夜間)),0)*(1+_15・区３)),0)</f>
        <v>631</v>
      </c>
      <c r="X188" s="69"/>
    </row>
    <row r="189" spans="1:24" ht="16.5" customHeight="1" x14ac:dyDescent="0.3">
      <c r="A189" s="2">
        <v>15</v>
      </c>
      <c r="B189" s="2">
        <v>8368</v>
      </c>
      <c r="C189" s="60" t="s">
        <v>8760</v>
      </c>
      <c r="D189" s="1"/>
      <c r="E189" s="68"/>
      <c r="F189" s="70"/>
      <c r="G189" s="66"/>
      <c r="H189" s="57"/>
      <c r="I189" s="58"/>
      <c r="J189" s="83" t="s">
        <v>5895</v>
      </c>
      <c r="K189" s="64" t="s">
        <v>1</v>
      </c>
      <c r="L189" s="65">
        <v>1</v>
      </c>
      <c r="M189" s="99"/>
      <c r="N189" s="70"/>
      <c r="O189" s="67"/>
      <c r="P189" s="68"/>
      <c r="Q189" s="76"/>
      <c r="R189" s="70"/>
      <c r="S189" s="67"/>
      <c r="T189" s="68"/>
      <c r="U189" s="76"/>
      <c r="V189" s="70"/>
      <c r="W189" s="228">
        <f>ROUND((ROUND((ROUND((_15_同援日１．５*_15・２人),0)*(1+_15・A夜間)),0)*(1+_15・区３)),0)</f>
        <v>631</v>
      </c>
      <c r="X189" s="69"/>
    </row>
    <row r="190" spans="1:24" ht="16.5" customHeight="1" x14ac:dyDescent="0.3">
      <c r="A190" s="2">
        <v>15</v>
      </c>
      <c r="B190" s="2">
        <v>8369</v>
      </c>
      <c r="C190" s="60" t="s">
        <v>8759</v>
      </c>
      <c r="D190" s="1"/>
      <c r="E190" s="68"/>
      <c r="F190" s="70"/>
      <c r="G190" s="74" t="s">
        <v>16823</v>
      </c>
      <c r="H190" s="62"/>
      <c r="I190" s="63"/>
      <c r="J190" s="85"/>
      <c r="K190" s="64"/>
      <c r="L190" s="65"/>
      <c r="M190" s="99"/>
      <c r="N190" s="70"/>
      <c r="O190" s="67"/>
      <c r="P190" s="68"/>
      <c r="Q190" s="76"/>
      <c r="R190" s="70"/>
      <c r="S190" s="1" t="s">
        <v>17974</v>
      </c>
      <c r="T190" s="68"/>
      <c r="U190" s="76"/>
      <c r="V190" s="70"/>
      <c r="W190" s="228">
        <f>ROUND((ROUND((ROUND((_15_同援日１．５*_15・基礎２),0)*(1+_15・A夜間)),0)*(1+_15・区３)),0)</f>
        <v>569</v>
      </c>
      <c r="X190" s="69"/>
    </row>
    <row r="191" spans="1:24" ht="16.5" customHeight="1" x14ac:dyDescent="0.3">
      <c r="A191" s="2">
        <v>15</v>
      </c>
      <c r="B191" s="2">
        <v>8370</v>
      </c>
      <c r="C191" s="60" t="s">
        <v>8758</v>
      </c>
      <c r="D191" s="1"/>
      <c r="E191" s="68"/>
      <c r="F191" s="70"/>
      <c r="G191" s="106" t="s">
        <v>16812</v>
      </c>
      <c r="H191" s="57" t="s">
        <v>1</v>
      </c>
      <c r="I191" s="58">
        <v>0.9</v>
      </c>
      <c r="J191" s="83" t="s">
        <v>5895</v>
      </c>
      <c r="K191" s="64" t="s">
        <v>1</v>
      </c>
      <c r="L191" s="65">
        <v>1</v>
      </c>
      <c r="M191" s="99"/>
      <c r="N191" s="70"/>
      <c r="O191" s="66"/>
      <c r="P191" s="57"/>
      <c r="Q191" s="58"/>
      <c r="R191" s="77"/>
      <c r="S191" s="1" t="s">
        <v>17980</v>
      </c>
      <c r="T191" s="68"/>
      <c r="U191" s="76"/>
      <c r="V191" s="70"/>
      <c r="W191" s="228">
        <f>ROUND((ROUND((ROUND((ROUND((_15_同援日１．５*_15・基礎２),0)*_15・２人),0)*(1+_15・A夜間)),0)*(1+_15・区３)),0)</f>
        <v>569</v>
      </c>
      <c r="X191" s="69"/>
    </row>
    <row r="192" spans="1:24" ht="16.5" customHeight="1" x14ac:dyDescent="0.3">
      <c r="A192" s="2">
        <v>15</v>
      </c>
      <c r="B192" s="2">
        <v>8371</v>
      </c>
      <c r="C192" s="60" t="s">
        <v>8757</v>
      </c>
      <c r="D192" s="1"/>
      <c r="E192" s="68"/>
      <c r="F192" s="70"/>
      <c r="G192" s="61"/>
      <c r="H192" s="62"/>
      <c r="I192" s="63"/>
      <c r="J192" s="85"/>
      <c r="K192" s="64"/>
      <c r="L192" s="65"/>
      <c r="M192" s="99"/>
      <c r="N192" s="70"/>
      <c r="O192" s="74" t="s">
        <v>17987</v>
      </c>
      <c r="P192" s="62"/>
      <c r="Q192" s="63"/>
      <c r="R192" s="75"/>
      <c r="S192" s="67"/>
      <c r="T192" s="68" t="s">
        <v>1</v>
      </c>
      <c r="U192" s="76">
        <v>0.2</v>
      </c>
      <c r="V192" s="70" t="s">
        <v>422</v>
      </c>
      <c r="W192" s="228">
        <f>ROUND((ROUND((ROUND((_15_同援日１．５*(1+_15・A夜間)),0)*(1+_15・盲ろう)),0)*(1+_15・区３)),0)</f>
        <v>790</v>
      </c>
      <c r="X192" s="69"/>
    </row>
    <row r="193" spans="1:24" ht="16.5" customHeight="1" x14ac:dyDescent="0.3">
      <c r="A193" s="2">
        <v>15</v>
      </c>
      <c r="B193" s="2">
        <v>8372</v>
      </c>
      <c r="C193" s="60" t="s">
        <v>8756</v>
      </c>
      <c r="D193" s="1"/>
      <c r="E193" s="68"/>
      <c r="F193" s="70"/>
      <c r="G193" s="66"/>
      <c r="H193" s="57"/>
      <c r="I193" s="58"/>
      <c r="J193" s="83" t="s">
        <v>5895</v>
      </c>
      <c r="K193" s="64" t="s">
        <v>1</v>
      </c>
      <c r="L193" s="65">
        <v>1</v>
      </c>
      <c r="M193" s="99"/>
      <c r="N193" s="70"/>
      <c r="O193" s="94" t="s">
        <v>17968</v>
      </c>
      <c r="P193" s="68"/>
      <c r="Q193" s="76"/>
      <c r="R193" s="70"/>
      <c r="S193" s="67"/>
      <c r="T193" s="68"/>
      <c r="U193" s="76"/>
      <c r="V193" s="70"/>
      <c r="W193" s="228">
        <f>ROUND((ROUND((ROUND((ROUND((_15_同援日１．５*_15・２人),0)*(1+_15・A夜間)),0)*(1+_15・盲ろう)),0)*(1+_15・区３)),0)</f>
        <v>790</v>
      </c>
      <c r="X193" s="69"/>
    </row>
    <row r="194" spans="1:24" ht="16.5" customHeight="1" x14ac:dyDescent="0.3">
      <c r="A194" s="2">
        <v>15</v>
      </c>
      <c r="B194" s="2">
        <v>8373</v>
      </c>
      <c r="C194" s="60" t="s">
        <v>8755</v>
      </c>
      <c r="D194" s="1"/>
      <c r="E194" s="68"/>
      <c r="F194" s="70"/>
      <c r="G194" s="74" t="s">
        <v>16823</v>
      </c>
      <c r="H194" s="62"/>
      <c r="I194" s="63"/>
      <c r="J194" s="85"/>
      <c r="K194" s="64"/>
      <c r="L194" s="65"/>
      <c r="M194" s="99"/>
      <c r="N194" s="70"/>
      <c r="O194" s="67"/>
      <c r="P194" s="68" t="s">
        <v>1</v>
      </c>
      <c r="Q194" s="76">
        <v>0.25</v>
      </c>
      <c r="R194" s="70" t="s">
        <v>422</v>
      </c>
      <c r="S194" s="67"/>
      <c r="T194" s="68"/>
      <c r="U194" s="76"/>
      <c r="V194" s="70"/>
      <c r="W194" s="228">
        <f>ROUND((ROUND((ROUND((ROUND((_15_同援日１．５*_15・基礎２),0)*(1+_15・A夜間)),0)*(1+_15・盲ろう)),0)*(1+_15・区３)),0)</f>
        <v>712</v>
      </c>
      <c r="X194" s="69"/>
    </row>
    <row r="195" spans="1:24" ht="16.5" customHeight="1" x14ac:dyDescent="0.3">
      <c r="A195" s="2">
        <v>15</v>
      </c>
      <c r="B195" s="2">
        <v>8374</v>
      </c>
      <c r="C195" s="60" t="s">
        <v>8754</v>
      </c>
      <c r="D195" s="1"/>
      <c r="E195" s="68"/>
      <c r="F195" s="70"/>
      <c r="G195" s="106" t="s">
        <v>16812</v>
      </c>
      <c r="H195" s="57" t="s">
        <v>1</v>
      </c>
      <c r="I195" s="58">
        <v>0.9</v>
      </c>
      <c r="J195" s="83" t="s">
        <v>5895</v>
      </c>
      <c r="K195" s="64" t="s">
        <v>1</v>
      </c>
      <c r="L195" s="65">
        <v>1</v>
      </c>
      <c r="M195" s="99"/>
      <c r="N195" s="70"/>
      <c r="O195" s="66"/>
      <c r="P195" s="57"/>
      <c r="Q195" s="58"/>
      <c r="R195" s="77"/>
      <c r="S195" s="66"/>
      <c r="T195" s="57"/>
      <c r="U195" s="58"/>
      <c r="V195" s="77"/>
      <c r="W195" s="228">
        <f>ROUND((ROUND((ROUND((ROUND((ROUND((_15_同援日１．５*_15・基礎２),0)*_15・２人),0)*(1+_15・A夜間)),0)*(1+_15・盲ろう)),0)*(1+_15・区３)),0)</f>
        <v>712</v>
      </c>
      <c r="X195" s="69"/>
    </row>
    <row r="196" spans="1:24" ht="16.5" customHeight="1" x14ac:dyDescent="0.3">
      <c r="A196" s="2">
        <v>15</v>
      </c>
      <c r="B196" s="2">
        <v>8375</v>
      </c>
      <c r="C196" s="60" t="s">
        <v>8753</v>
      </c>
      <c r="D196" s="1"/>
      <c r="E196" s="68"/>
      <c r="F196" s="70"/>
      <c r="G196" s="61"/>
      <c r="H196" s="62"/>
      <c r="I196" s="63"/>
      <c r="J196" s="85"/>
      <c r="K196" s="64"/>
      <c r="L196" s="65"/>
      <c r="M196" s="99"/>
      <c r="N196" s="70"/>
      <c r="O196" s="61"/>
      <c r="P196" s="62"/>
      <c r="Q196" s="63"/>
      <c r="R196" s="75"/>
      <c r="S196" s="61"/>
      <c r="T196" s="62"/>
      <c r="U196" s="63"/>
      <c r="V196" s="75"/>
      <c r="W196" s="228">
        <f>ROUND((ROUND((_15_同援日１．５*(1+_15・A夜間)),0)*(1+_15・区４)),0)</f>
        <v>736</v>
      </c>
      <c r="X196" s="69"/>
    </row>
    <row r="197" spans="1:24" ht="16.5" customHeight="1" x14ac:dyDescent="0.3">
      <c r="A197" s="2">
        <v>15</v>
      </c>
      <c r="B197" s="2">
        <v>8376</v>
      </c>
      <c r="C197" s="60" t="s">
        <v>8752</v>
      </c>
      <c r="D197" s="1"/>
      <c r="E197" s="68"/>
      <c r="F197" s="70"/>
      <c r="G197" s="66"/>
      <c r="H197" s="57"/>
      <c r="I197" s="58"/>
      <c r="J197" s="83" t="s">
        <v>5895</v>
      </c>
      <c r="K197" s="64" t="s">
        <v>1</v>
      </c>
      <c r="L197" s="65">
        <v>1</v>
      </c>
      <c r="M197" s="99"/>
      <c r="N197" s="70"/>
      <c r="O197" s="67"/>
      <c r="P197" s="68"/>
      <c r="Q197" s="76"/>
      <c r="R197" s="70"/>
      <c r="S197" s="67"/>
      <c r="T197" s="68"/>
      <c r="U197" s="76"/>
      <c r="V197" s="70"/>
      <c r="W197" s="228">
        <f>ROUND((ROUND((ROUND((_15_同援日１．５*_15・２人),0)*(1+_15・A夜間)),0)*(1+_15・区４)),0)</f>
        <v>736</v>
      </c>
      <c r="X197" s="69"/>
    </row>
    <row r="198" spans="1:24" ht="16.5" customHeight="1" x14ac:dyDescent="0.3">
      <c r="A198" s="2">
        <v>15</v>
      </c>
      <c r="B198" s="2">
        <v>8377</v>
      </c>
      <c r="C198" s="60" t="s">
        <v>8751</v>
      </c>
      <c r="D198" s="1"/>
      <c r="E198" s="68"/>
      <c r="F198" s="70"/>
      <c r="G198" s="74" t="s">
        <v>17972</v>
      </c>
      <c r="H198" s="62"/>
      <c r="I198" s="63"/>
      <c r="J198" s="85"/>
      <c r="K198" s="64"/>
      <c r="L198" s="65"/>
      <c r="M198" s="99"/>
      <c r="N198" s="70"/>
      <c r="O198" s="67"/>
      <c r="P198" s="68"/>
      <c r="Q198" s="76"/>
      <c r="R198" s="70"/>
      <c r="S198" s="1" t="s">
        <v>17988</v>
      </c>
      <c r="T198" s="68"/>
      <c r="U198" s="76"/>
      <c r="V198" s="70"/>
      <c r="W198" s="228">
        <f>ROUND((ROUND((ROUND((_15_同援日１．５*_15・基礎２),0)*(1+_15・A夜間)),0)*(1+_15・区４)),0)</f>
        <v>664</v>
      </c>
      <c r="X198" s="69"/>
    </row>
    <row r="199" spans="1:24" ht="16.5" customHeight="1" x14ac:dyDescent="0.3">
      <c r="A199" s="2">
        <v>15</v>
      </c>
      <c r="B199" s="2">
        <v>8378</v>
      </c>
      <c r="C199" s="60" t="s">
        <v>8750</v>
      </c>
      <c r="D199" s="1"/>
      <c r="E199" s="68"/>
      <c r="F199" s="70"/>
      <c r="G199" s="106" t="s">
        <v>16812</v>
      </c>
      <c r="H199" s="57" t="s">
        <v>1</v>
      </c>
      <c r="I199" s="58">
        <v>0.9</v>
      </c>
      <c r="J199" s="83" t="s">
        <v>5895</v>
      </c>
      <c r="K199" s="64" t="s">
        <v>1</v>
      </c>
      <c r="L199" s="65">
        <v>1</v>
      </c>
      <c r="M199" s="99"/>
      <c r="N199" s="70"/>
      <c r="O199" s="66"/>
      <c r="P199" s="57"/>
      <c r="Q199" s="58"/>
      <c r="R199" s="77"/>
      <c r="S199" s="1" t="s">
        <v>17970</v>
      </c>
      <c r="T199" s="68"/>
      <c r="U199" s="76"/>
      <c r="V199" s="70"/>
      <c r="W199" s="228">
        <f>ROUND((ROUND((ROUND((ROUND((_15_同援日１．５*_15・基礎２),0)*_15・２人),0)*(1+_15・A夜間)),0)*(1+_15・区４)),0)</f>
        <v>664</v>
      </c>
      <c r="X199" s="69"/>
    </row>
    <row r="200" spans="1:24" ht="16.5" customHeight="1" x14ac:dyDescent="0.3">
      <c r="A200" s="2">
        <v>15</v>
      </c>
      <c r="B200" s="2">
        <v>8379</v>
      </c>
      <c r="C200" s="60" t="s">
        <v>8749</v>
      </c>
      <c r="D200" s="1"/>
      <c r="E200" s="68"/>
      <c r="F200" s="70"/>
      <c r="G200" s="61"/>
      <c r="H200" s="62"/>
      <c r="I200" s="63"/>
      <c r="J200" s="85"/>
      <c r="K200" s="64"/>
      <c r="L200" s="65"/>
      <c r="M200" s="99"/>
      <c r="N200" s="70"/>
      <c r="O200" s="74" t="s">
        <v>17987</v>
      </c>
      <c r="P200" s="62"/>
      <c r="Q200" s="63"/>
      <c r="R200" s="75"/>
      <c r="S200" s="67"/>
      <c r="T200" s="68" t="s">
        <v>1</v>
      </c>
      <c r="U200" s="76">
        <v>0.4</v>
      </c>
      <c r="V200" s="70" t="s">
        <v>422</v>
      </c>
      <c r="W200" s="228">
        <f>ROUND((ROUND((ROUND((_15_同援日１．５*(1+_15・A夜間)),0)*(1+_15・盲ろう)),0)*(1+_15・区４)),0)</f>
        <v>921</v>
      </c>
      <c r="X200" s="69"/>
    </row>
    <row r="201" spans="1:24" ht="16.5" customHeight="1" x14ac:dyDescent="0.3">
      <c r="A201" s="2">
        <v>15</v>
      </c>
      <c r="B201" s="2">
        <v>8380</v>
      </c>
      <c r="C201" s="60" t="s">
        <v>8748</v>
      </c>
      <c r="D201" s="1"/>
      <c r="E201" s="68"/>
      <c r="F201" s="70"/>
      <c r="G201" s="66"/>
      <c r="H201" s="57"/>
      <c r="I201" s="58"/>
      <c r="J201" s="83" t="s">
        <v>5895</v>
      </c>
      <c r="K201" s="64" t="s">
        <v>1</v>
      </c>
      <c r="L201" s="65">
        <v>1</v>
      </c>
      <c r="M201" s="99"/>
      <c r="N201" s="70"/>
      <c r="O201" s="94" t="s">
        <v>17973</v>
      </c>
      <c r="P201" s="68"/>
      <c r="Q201" s="76"/>
      <c r="R201" s="70"/>
      <c r="S201" s="67"/>
      <c r="T201" s="68"/>
      <c r="U201" s="76"/>
      <c r="V201" s="70"/>
      <c r="W201" s="228">
        <f>ROUND((ROUND((ROUND((ROUND((_15_同援日１．５*_15・２人),0)*(1+_15・A夜間)),0)*(1+_15・盲ろう)),0)*(1+_15・区４)),0)</f>
        <v>921</v>
      </c>
      <c r="X201" s="69"/>
    </row>
    <row r="202" spans="1:24" ht="16.5" customHeight="1" x14ac:dyDescent="0.3">
      <c r="A202" s="2">
        <v>15</v>
      </c>
      <c r="B202" s="2">
        <v>8381</v>
      </c>
      <c r="C202" s="60" t="s">
        <v>8747</v>
      </c>
      <c r="D202" s="1"/>
      <c r="E202" s="68"/>
      <c r="F202" s="70"/>
      <c r="G202" s="74" t="s">
        <v>16823</v>
      </c>
      <c r="H202" s="62"/>
      <c r="I202" s="63"/>
      <c r="J202" s="85"/>
      <c r="K202" s="64"/>
      <c r="L202" s="65"/>
      <c r="M202" s="99"/>
      <c r="N202" s="70"/>
      <c r="O202" s="67"/>
      <c r="P202" s="68" t="s">
        <v>1</v>
      </c>
      <c r="Q202" s="76">
        <v>0.25</v>
      </c>
      <c r="R202" s="70" t="s">
        <v>422</v>
      </c>
      <c r="S202" s="67"/>
      <c r="T202" s="68"/>
      <c r="U202" s="76"/>
      <c r="V202" s="70"/>
      <c r="W202" s="228">
        <f>ROUND((ROUND((ROUND((ROUND((_15_同援日１．５*_15・基礎２),0)*(1+_15・A夜間)),0)*(1+_15・盲ろう)),0)*(1+_15・区４)),0)</f>
        <v>830</v>
      </c>
      <c r="X202" s="69"/>
    </row>
    <row r="203" spans="1:24" ht="16.5" customHeight="1" x14ac:dyDescent="0.3">
      <c r="A203" s="2">
        <v>15</v>
      </c>
      <c r="B203" s="2">
        <v>8382</v>
      </c>
      <c r="C203" s="60" t="s">
        <v>8746</v>
      </c>
      <c r="D203" s="81"/>
      <c r="E203" s="57"/>
      <c r="F203" s="77"/>
      <c r="G203" s="106" t="s">
        <v>16812</v>
      </c>
      <c r="H203" s="57" t="s">
        <v>1</v>
      </c>
      <c r="I203" s="58">
        <v>0.9</v>
      </c>
      <c r="J203" s="83" t="s">
        <v>5895</v>
      </c>
      <c r="K203" s="64" t="s">
        <v>1</v>
      </c>
      <c r="L203" s="65">
        <v>1</v>
      </c>
      <c r="M203" s="99"/>
      <c r="N203" s="70"/>
      <c r="O203" s="66"/>
      <c r="P203" s="57"/>
      <c r="Q203" s="58"/>
      <c r="R203" s="77"/>
      <c r="S203" s="66"/>
      <c r="T203" s="57"/>
      <c r="U203" s="58"/>
      <c r="V203" s="77"/>
      <c r="W203" s="228">
        <f>ROUND((ROUND((ROUND((ROUND((ROUND((_15_同援日１．５*_15・基礎２),0)*_15・２人),0)*(1+_15・A夜間)),0)*(1+_15・盲ろう)),0)*(1+_15・区４)),0)</f>
        <v>830</v>
      </c>
      <c r="X203" s="69"/>
    </row>
    <row r="204" spans="1:24" ht="16.5" customHeight="1" x14ac:dyDescent="0.3">
      <c r="A204" s="2">
        <v>15</v>
      </c>
      <c r="B204" s="2">
        <v>8383</v>
      </c>
      <c r="C204" s="60" t="s">
        <v>8745</v>
      </c>
      <c r="D204" s="233" t="s">
        <v>17986</v>
      </c>
      <c r="E204" s="62"/>
      <c r="F204" s="75"/>
      <c r="G204" s="61"/>
      <c r="H204" s="62"/>
      <c r="I204" s="63"/>
      <c r="J204" s="85"/>
      <c r="K204" s="64"/>
      <c r="L204" s="65"/>
      <c r="M204" s="99"/>
      <c r="N204" s="70"/>
      <c r="O204" s="61"/>
      <c r="P204" s="62"/>
      <c r="Q204" s="63"/>
      <c r="R204" s="75"/>
      <c r="S204" s="61"/>
      <c r="T204" s="62"/>
      <c r="U204" s="63"/>
      <c r="V204" s="75"/>
      <c r="W204" s="228">
        <f>ROUND((_15_同援日２．０*(1+_15・A夜間)),0)</f>
        <v>606</v>
      </c>
      <c r="X204" s="69"/>
    </row>
    <row r="205" spans="1:24" ht="16.5" customHeight="1" x14ac:dyDescent="0.3">
      <c r="A205" s="2">
        <v>15</v>
      </c>
      <c r="B205" s="2">
        <v>8384</v>
      </c>
      <c r="C205" s="60" t="s">
        <v>8744</v>
      </c>
      <c r="D205" s="1" t="s">
        <v>17985</v>
      </c>
      <c r="E205" s="68"/>
      <c r="F205" s="70"/>
      <c r="G205" s="66"/>
      <c r="H205" s="57"/>
      <c r="I205" s="58"/>
      <c r="J205" s="83" t="s">
        <v>5895</v>
      </c>
      <c r="K205" s="64" t="s">
        <v>1</v>
      </c>
      <c r="L205" s="65">
        <v>1</v>
      </c>
      <c r="M205" s="99"/>
      <c r="N205" s="70"/>
      <c r="O205" s="67"/>
      <c r="P205" s="68"/>
      <c r="Q205" s="76"/>
      <c r="R205" s="70"/>
      <c r="S205" s="67"/>
      <c r="T205" s="68"/>
      <c r="U205" s="76"/>
      <c r="V205" s="70"/>
      <c r="W205" s="228">
        <f>ROUND((ROUND((_15_同援日２．０*_15・２人),0)*(1+_15・A夜間)),0)</f>
        <v>606</v>
      </c>
      <c r="X205" s="69"/>
    </row>
    <row r="206" spans="1:24" ht="16.5" customHeight="1" x14ac:dyDescent="0.3">
      <c r="A206" s="2">
        <v>15</v>
      </c>
      <c r="B206" s="2">
        <v>8385</v>
      </c>
      <c r="C206" s="60" t="s">
        <v>8743</v>
      </c>
      <c r="D206" s="1" t="s">
        <v>6448</v>
      </c>
      <c r="E206" s="68"/>
      <c r="F206" s="70"/>
      <c r="G206" s="74" t="s">
        <v>16823</v>
      </c>
      <c r="H206" s="62"/>
      <c r="I206" s="63"/>
      <c r="J206" s="85"/>
      <c r="K206" s="64"/>
      <c r="L206" s="65"/>
      <c r="M206" s="99"/>
      <c r="N206" s="70"/>
      <c r="O206" s="67"/>
      <c r="P206" s="68"/>
      <c r="Q206" s="76"/>
      <c r="R206" s="70"/>
      <c r="S206" s="67"/>
      <c r="T206" s="68"/>
      <c r="U206" s="76"/>
      <c r="V206" s="70"/>
      <c r="W206" s="228">
        <f>ROUND((ROUND((_15_同援日２．０*_15・基礎２),0)*(1+_15・A夜間)),0)</f>
        <v>546</v>
      </c>
      <c r="X206" s="69"/>
    </row>
    <row r="207" spans="1:24" ht="16.5" customHeight="1" x14ac:dyDescent="0.3">
      <c r="A207" s="2">
        <v>15</v>
      </c>
      <c r="B207" s="2">
        <v>8386</v>
      </c>
      <c r="C207" s="60" t="s">
        <v>8742</v>
      </c>
      <c r="D207" s="1"/>
      <c r="E207" s="227">
        <v>485</v>
      </c>
      <c r="F207" s="70" t="s">
        <v>0</v>
      </c>
      <c r="G207" s="106" t="s">
        <v>16812</v>
      </c>
      <c r="H207" s="57" t="s">
        <v>1</v>
      </c>
      <c r="I207" s="58">
        <v>0.9</v>
      </c>
      <c r="J207" s="83" t="s">
        <v>5895</v>
      </c>
      <c r="K207" s="64" t="s">
        <v>1</v>
      </c>
      <c r="L207" s="65">
        <v>1</v>
      </c>
      <c r="M207" s="99"/>
      <c r="N207" s="70"/>
      <c r="O207" s="66"/>
      <c r="P207" s="57"/>
      <c r="Q207" s="58"/>
      <c r="R207" s="77"/>
      <c r="S207" s="67"/>
      <c r="T207" s="68"/>
      <c r="U207" s="76"/>
      <c r="V207" s="70"/>
      <c r="W207" s="228">
        <f>ROUND((ROUND((ROUND((_15_同援日２．０*_15・基礎２),0)*_15・２人),0)*(1+_15・A夜間)),0)</f>
        <v>546</v>
      </c>
      <c r="X207" s="69"/>
    </row>
    <row r="208" spans="1:24" ht="16.5" customHeight="1" x14ac:dyDescent="0.3">
      <c r="A208" s="2">
        <v>15</v>
      </c>
      <c r="B208" s="2">
        <v>8387</v>
      </c>
      <c r="C208" s="60" t="s">
        <v>8741</v>
      </c>
      <c r="D208" s="1"/>
      <c r="E208" s="68"/>
      <c r="F208" s="70"/>
      <c r="G208" s="61"/>
      <c r="H208" s="62"/>
      <c r="I208" s="63"/>
      <c r="J208" s="85"/>
      <c r="K208" s="64"/>
      <c r="L208" s="65"/>
      <c r="M208" s="99"/>
      <c r="N208" s="70"/>
      <c r="O208" s="74" t="s">
        <v>17969</v>
      </c>
      <c r="P208" s="62"/>
      <c r="Q208" s="63"/>
      <c r="R208" s="75"/>
      <c r="S208" s="67"/>
      <c r="T208" s="68"/>
      <c r="U208" s="76"/>
      <c r="V208" s="70"/>
      <c r="W208" s="228">
        <f>ROUND((ROUND((_15_同援日２．０*(1+_15・A夜間)),0)*(1+_15・盲ろう)),0)</f>
        <v>758</v>
      </c>
      <c r="X208" s="69"/>
    </row>
    <row r="209" spans="1:24" ht="16.5" customHeight="1" x14ac:dyDescent="0.3">
      <c r="A209" s="2">
        <v>15</v>
      </c>
      <c r="B209" s="2">
        <v>8388</v>
      </c>
      <c r="C209" s="60" t="s">
        <v>8740</v>
      </c>
      <c r="D209" s="1"/>
      <c r="E209" s="68"/>
      <c r="F209" s="70"/>
      <c r="G209" s="66"/>
      <c r="H209" s="57"/>
      <c r="I209" s="58"/>
      <c r="J209" s="83" t="s">
        <v>5895</v>
      </c>
      <c r="K209" s="64" t="s">
        <v>1</v>
      </c>
      <c r="L209" s="65">
        <v>1</v>
      </c>
      <c r="M209" s="99"/>
      <c r="N209" s="70"/>
      <c r="O209" s="94" t="s">
        <v>17968</v>
      </c>
      <c r="P209" s="68"/>
      <c r="Q209" s="76"/>
      <c r="R209" s="70"/>
      <c r="S209" s="67"/>
      <c r="T209" s="68"/>
      <c r="U209" s="76"/>
      <c r="V209" s="70"/>
      <c r="W209" s="228">
        <f>ROUND((ROUND((ROUND((_15_同援日２．０*_15・２人),0)*(1+_15・A夜間)),0)*(1+_15・盲ろう)),0)</f>
        <v>758</v>
      </c>
      <c r="X209" s="69"/>
    </row>
    <row r="210" spans="1:24" ht="16.5" customHeight="1" x14ac:dyDescent="0.3">
      <c r="A210" s="2">
        <v>15</v>
      </c>
      <c r="B210" s="2">
        <v>8389</v>
      </c>
      <c r="C210" s="60" t="s">
        <v>8739</v>
      </c>
      <c r="D210" s="1"/>
      <c r="E210" s="68"/>
      <c r="F210" s="70"/>
      <c r="G210" s="74" t="s">
        <v>16823</v>
      </c>
      <c r="H210" s="62"/>
      <c r="I210" s="63"/>
      <c r="J210" s="85"/>
      <c r="K210" s="64"/>
      <c r="L210" s="65"/>
      <c r="M210" s="99"/>
      <c r="N210" s="70"/>
      <c r="O210" s="67"/>
      <c r="P210" s="68" t="s">
        <v>1</v>
      </c>
      <c r="Q210" s="76">
        <v>0.25</v>
      </c>
      <c r="R210" s="70" t="s">
        <v>422</v>
      </c>
      <c r="S210" s="67"/>
      <c r="T210" s="68"/>
      <c r="U210" s="76"/>
      <c r="V210" s="70"/>
      <c r="W210" s="228">
        <f>ROUND((ROUND((ROUND((_15_同援日２．０*_15・基礎２),0)*(1+_15・A夜間)),0)*(1+_15・盲ろう)),0)</f>
        <v>683</v>
      </c>
      <c r="X210" s="69"/>
    </row>
    <row r="211" spans="1:24" ht="16.5" customHeight="1" x14ac:dyDescent="0.3">
      <c r="A211" s="2">
        <v>15</v>
      </c>
      <c r="B211" s="2">
        <v>8390</v>
      </c>
      <c r="C211" s="60" t="s">
        <v>8738</v>
      </c>
      <c r="D211" s="1"/>
      <c r="E211" s="68"/>
      <c r="F211" s="70"/>
      <c r="G211" s="106" t="s">
        <v>17864</v>
      </c>
      <c r="H211" s="57" t="s">
        <v>1</v>
      </c>
      <c r="I211" s="58">
        <v>0.9</v>
      </c>
      <c r="J211" s="83" t="s">
        <v>5895</v>
      </c>
      <c r="K211" s="64" t="s">
        <v>1</v>
      </c>
      <c r="L211" s="65">
        <v>1</v>
      </c>
      <c r="M211" s="99"/>
      <c r="N211" s="70"/>
      <c r="O211" s="66"/>
      <c r="P211" s="57"/>
      <c r="Q211" s="58"/>
      <c r="R211" s="77"/>
      <c r="S211" s="66"/>
      <c r="T211" s="57"/>
      <c r="U211" s="58"/>
      <c r="V211" s="77"/>
      <c r="W211" s="228">
        <f>ROUND((ROUND((ROUND((ROUND((_15_同援日２．０*_15・基礎２),0)*_15・２人),0)*(1+_15・A夜間)),0)*(1+_15・盲ろう)),0)</f>
        <v>683</v>
      </c>
      <c r="X211" s="69"/>
    </row>
    <row r="212" spans="1:24" ht="16.5" customHeight="1" x14ac:dyDescent="0.3">
      <c r="A212" s="2">
        <v>15</v>
      </c>
      <c r="B212" s="2">
        <v>8391</v>
      </c>
      <c r="C212" s="60" t="s">
        <v>8737</v>
      </c>
      <c r="D212" s="1"/>
      <c r="E212" s="68"/>
      <c r="F212" s="70"/>
      <c r="G212" s="61"/>
      <c r="H212" s="62"/>
      <c r="I212" s="63"/>
      <c r="J212" s="85"/>
      <c r="K212" s="64"/>
      <c r="L212" s="65"/>
      <c r="M212" s="99"/>
      <c r="N212" s="70"/>
      <c r="O212" s="61"/>
      <c r="P212" s="62"/>
      <c r="Q212" s="63"/>
      <c r="R212" s="75"/>
      <c r="S212" s="61"/>
      <c r="T212" s="62"/>
      <c r="U212" s="63"/>
      <c r="V212" s="75"/>
      <c r="W212" s="228">
        <f>ROUND((ROUND((_15_同援日２．０*(1+_15・A夜間)),0)*(1+_15・区３)),0)</f>
        <v>727</v>
      </c>
      <c r="X212" s="69"/>
    </row>
    <row r="213" spans="1:24" ht="16.5" customHeight="1" x14ac:dyDescent="0.3">
      <c r="A213" s="2">
        <v>15</v>
      </c>
      <c r="B213" s="2">
        <v>8392</v>
      </c>
      <c r="C213" s="60" t="s">
        <v>8736</v>
      </c>
      <c r="D213" s="1"/>
      <c r="E213" s="68"/>
      <c r="F213" s="70"/>
      <c r="G213" s="66"/>
      <c r="H213" s="57"/>
      <c r="I213" s="58"/>
      <c r="J213" s="83" t="s">
        <v>5895</v>
      </c>
      <c r="K213" s="64" t="s">
        <v>1</v>
      </c>
      <c r="L213" s="65">
        <v>1</v>
      </c>
      <c r="M213" s="99"/>
      <c r="N213" s="70"/>
      <c r="O213" s="67"/>
      <c r="P213" s="68"/>
      <c r="Q213" s="76"/>
      <c r="R213" s="70"/>
      <c r="S213" s="67"/>
      <c r="T213" s="68"/>
      <c r="U213" s="76"/>
      <c r="V213" s="70"/>
      <c r="W213" s="228">
        <f>ROUND((ROUND((ROUND((_15_同援日２．０*_15・２人),0)*(1+_15・A夜間)),0)*(1+_15・区３)),0)</f>
        <v>727</v>
      </c>
      <c r="X213" s="69"/>
    </row>
    <row r="214" spans="1:24" ht="16.5" customHeight="1" x14ac:dyDescent="0.3">
      <c r="A214" s="2">
        <v>15</v>
      </c>
      <c r="B214" s="2">
        <v>8393</v>
      </c>
      <c r="C214" s="60" t="s">
        <v>8735</v>
      </c>
      <c r="D214" s="1"/>
      <c r="E214" s="68"/>
      <c r="F214" s="70"/>
      <c r="G214" s="74" t="s">
        <v>16823</v>
      </c>
      <c r="H214" s="62"/>
      <c r="I214" s="63"/>
      <c r="J214" s="85"/>
      <c r="K214" s="64"/>
      <c r="L214" s="65"/>
      <c r="M214" s="99"/>
      <c r="N214" s="70"/>
      <c r="O214" s="67"/>
      <c r="P214" s="68"/>
      <c r="Q214" s="76"/>
      <c r="R214" s="70"/>
      <c r="S214" s="1" t="s">
        <v>17983</v>
      </c>
      <c r="T214" s="68"/>
      <c r="U214" s="76"/>
      <c r="V214" s="70"/>
      <c r="W214" s="228">
        <f>ROUND((ROUND((ROUND((_15_同援日２．０*_15・基礎２),0)*(1+_15・A夜間)),0)*(1+_15・区３)),0)</f>
        <v>655</v>
      </c>
      <c r="X214" s="69"/>
    </row>
    <row r="215" spans="1:24" ht="16.5" customHeight="1" x14ac:dyDescent="0.3">
      <c r="A215" s="2">
        <v>15</v>
      </c>
      <c r="B215" s="2">
        <v>8394</v>
      </c>
      <c r="C215" s="60" t="s">
        <v>8734</v>
      </c>
      <c r="D215" s="1"/>
      <c r="E215" s="68"/>
      <c r="F215" s="70"/>
      <c r="G215" s="106" t="s">
        <v>16812</v>
      </c>
      <c r="H215" s="57" t="s">
        <v>1</v>
      </c>
      <c r="I215" s="58">
        <v>0.9</v>
      </c>
      <c r="J215" s="83" t="s">
        <v>5895</v>
      </c>
      <c r="K215" s="64" t="s">
        <v>1</v>
      </c>
      <c r="L215" s="65">
        <v>1</v>
      </c>
      <c r="M215" s="99"/>
      <c r="N215" s="70"/>
      <c r="O215" s="66"/>
      <c r="P215" s="57"/>
      <c r="Q215" s="58"/>
      <c r="R215" s="77"/>
      <c r="S215" s="1" t="s">
        <v>17980</v>
      </c>
      <c r="T215" s="68"/>
      <c r="U215" s="76"/>
      <c r="V215" s="70"/>
      <c r="W215" s="228">
        <f>ROUND((ROUND((ROUND((ROUND((_15_同援日２．０*_15・基礎２),0)*_15・２人),0)*(1+_15・A夜間)),0)*(1+_15・区３)),0)</f>
        <v>655</v>
      </c>
      <c r="X215" s="69"/>
    </row>
    <row r="216" spans="1:24" ht="16.5" customHeight="1" x14ac:dyDescent="0.3">
      <c r="A216" s="2">
        <v>15</v>
      </c>
      <c r="B216" s="2">
        <v>8395</v>
      </c>
      <c r="C216" s="60" t="s">
        <v>8733</v>
      </c>
      <c r="D216" s="1"/>
      <c r="E216" s="68"/>
      <c r="F216" s="70"/>
      <c r="G216" s="61"/>
      <c r="H216" s="62"/>
      <c r="I216" s="63"/>
      <c r="J216" s="85"/>
      <c r="K216" s="64"/>
      <c r="L216" s="65"/>
      <c r="M216" s="99"/>
      <c r="N216" s="70"/>
      <c r="O216" s="74" t="s">
        <v>17969</v>
      </c>
      <c r="P216" s="62"/>
      <c r="Q216" s="63"/>
      <c r="R216" s="75"/>
      <c r="S216" s="67"/>
      <c r="T216" s="68" t="s">
        <v>1</v>
      </c>
      <c r="U216" s="76">
        <v>0.2</v>
      </c>
      <c r="V216" s="70" t="s">
        <v>422</v>
      </c>
      <c r="W216" s="228">
        <f>ROUND((ROUND((ROUND((_15_同援日２．０*(1+_15・A夜間)),0)*(1+_15・盲ろう)),0)*(1+_15・区３)),0)</f>
        <v>910</v>
      </c>
      <c r="X216" s="69"/>
    </row>
    <row r="217" spans="1:24" ht="16.5" customHeight="1" x14ac:dyDescent="0.3">
      <c r="A217" s="2">
        <v>15</v>
      </c>
      <c r="B217" s="2">
        <v>8396</v>
      </c>
      <c r="C217" s="60" t="s">
        <v>8732</v>
      </c>
      <c r="D217" s="1"/>
      <c r="E217" s="68"/>
      <c r="F217" s="70"/>
      <c r="G217" s="66"/>
      <c r="H217" s="57"/>
      <c r="I217" s="58"/>
      <c r="J217" s="83" t="s">
        <v>5895</v>
      </c>
      <c r="K217" s="64" t="s">
        <v>1</v>
      </c>
      <c r="L217" s="65">
        <v>1</v>
      </c>
      <c r="M217" s="99"/>
      <c r="N217" s="70"/>
      <c r="O217" s="94" t="s">
        <v>8083</v>
      </c>
      <c r="P217" s="68"/>
      <c r="Q217" s="76"/>
      <c r="R217" s="70"/>
      <c r="S217" s="67"/>
      <c r="T217" s="68"/>
      <c r="U217" s="76"/>
      <c r="V217" s="70"/>
      <c r="W217" s="228">
        <f>ROUND((ROUND((ROUND((ROUND((_15_同援日２．０*_15・２人),0)*(1+_15・A夜間)),0)*(1+_15・盲ろう)),0)*(1+_15・区３)),0)</f>
        <v>910</v>
      </c>
      <c r="X217" s="69"/>
    </row>
    <row r="218" spans="1:24" ht="16.5" customHeight="1" x14ac:dyDescent="0.3">
      <c r="A218" s="2">
        <v>15</v>
      </c>
      <c r="B218" s="2">
        <v>8397</v>
      </c>
      <c r="C218" s="60" t="s">
        <v>8731</v>
      </c>
      <c r="D218" s="1"/>
      <c r="E218" s="68"/>
      <c r="F218" s="70"/>
      <c r="G218" s="74" t="s">
        <v>16823</v>
      </c>
      <c r="H218" s="62"/>
      <c r="I218" s="63"/>
      <c r="J218" s="85"/>
      <c r="K218" s="64"/>
      <c r="L218" s="65"/>
      <c r="M218" s="99"/>
      <c r="N218" s="70"/>
      <c r="O218" s="67"/>
      <c r="P218" s="68" t="s">
        <v>1</v>
      </c>
      <c r="Q218" s="76">
        <v>0.25</v>
      </c>
      <c r="R218" s="70" t="s">
        <v>422</v>
      </c>
      <c r="S218" s="67"/>
      <c r="T218" s="68"/>
      <c r="U218" s="76"/>
      <c r="V218" s="70"/>
      <c r="W218" s="228">
        <f>ROUND((ROUND((ROUND((ROUND((_15_同援日２．０*_15・基礎２),0)*(1+_15・A夜間)),0)*(1+_15・盲ろう)),0)*(1+_15・区３)),0)</f>
        <v>820</v>
      </c>
      <c r="X218" s="69"/>
    </row>
    <row r="219" spans="1:24" ht="16.5" customHeight="1" x14ac:dyDescent="0.3">
      <c r="A219" s="2">
        <v>15</v>
      </c>
      <c r="B219" s="2">
        <v>8398</v>
      </c>
      <c r="C219" s="60" t="s">
        <v>8730</v>
      </c>
      <c r="D219" s="1"/>
      <c r="E219" s="68"/>
      <c r="F219" s="70"/>
      <c r="G219" s="106" t="s">
        <v>16812</v>
      </c>
      <c r="H219" s="57" t="s">
        <v>1</v>
      </c>
      <c r="I219" s="58">
        <v>0.9</v>
      </c>
      <c r="J219" s="83" t="s">
        <v>5895</v>
      </c>
      <c r="K219" s="64" t="s">
        <v>1</v>
      </c>
      <c r="L219" s="65">
        <v>1</v>
      </c>
      <c r="M219" s="99"/>
      <c r="N219" s="70"/>
      <c r="O219" s="66"/>
      <c r="P219" s="57"/>
      <c r="Q219" s="58"/>
      <c r="R219" s="77"/>
      <c r="S219" s="66"/>
      <c r="T219" s="57"/>
      <c r="U219" s="58"/>
      <c r="V219" s="77"/>
      <c r="W219" s="228">
        <f>ROUND((ROUND((ROUND((ROUND((ROUND((_15_同援日２．０*_15・基礎２),0)*_15・２人),0)*(1+_15・A夜間)),0)*(1+_15・盲ろう)),0)*(1+_15・区３)),0)</f>
        <v>820</v>
      </c>
      <c r="X219" s="69"/>
    </row>
    <row r="220" spans="1:24" ht="16.5" customHeight="1" x14ac:dyDescent="0.3">
      <c r="A220" s="2">
        <v>15</v>
      </c>
      <c r="B220" s="2">
        <v>8399</v>
      </c>
      <c r="C220" s="60" t="s">
        <v>8729</v>
      </c>
      <c r="D220" s="1"/>
      <c r="E220" s="68"/>
      <c r="F220" s="70"/>
      <c r="G220" s="61"/>
      <c r="H220" s="62"/>
      <c r="I220" s="63"/>
      <c r="J220" s="85"/>
      <c r="K220" s="64"/>
      <c r="L220" s="65"/>
      <c r="M220" s="99"/>
      <c r="N220" s="70"/>
      <c r="O220" s="61"/>
      <c r="P220" s="62"/>
      <c r="Q220" s="63"/>
      <c r="R220" s="75"/>
      <c r="S220" s="61"/>
      <c r="T220" s="62"/>
      <c r="U220" s="63"/>
      <c r="V220" s="75"/>
      <c r="W220" s="228">
        <f>ROUND((ROUND((_15_同援日２．０*(1+_15・A夜間)),0)*(1+_15・区４)),0)</f>
        <v>848</v>
      </c>
      <c r="X220" s="69"/>
    </row>
    <row r="221" spans="1:24" ht="16.5" customHeight="1" x14ac:dyDescent="0.3">
      <c r="A221" s="2">
        <v>15</v>
      </c>
      <c r="B221" s="2">
        <v>8400</v>
      </c>
      <c r="C221" s="60" t="s">
        <v>8728</v>
      </c>
      <c r="D221" s="1"/>
      <c r="E221" s="68"/>
      <c r="F221" s="70"/>
      <c r="G221" s="66"/>
      <c r="H221" s="57"/>
      <c r="I221" s="58"/>
      <c r="J221" s="83" t="s">
        <v>5895</v>
      </c>
      <c r="K221" s="64" t="s">
        <v>1</v>
      </c>
      <c r="L221" s="65">
        <v>1</v>
      </c>
      <c r="M221" s="99"/>
      <c r="N221" s="70"/>
      <c r="O221" s="67"/>
      <c r="P221" s="68"/>
      <c r="Q221" s="76"/>
      <c r="R221" s="70"/>
      <c r="S221" s="67"/>
      <c r="T221" s="68"/>
      <c r="U221" s="76"/>
      <c r="V221" s="70"/>
      <c r="W221" s="228">
        <f>ROUND((ROUND((ROUND((_15_同援日２．０*_15・２人),0)*(1+_15・A夜間)),0)*(1+_15・区４)),0)</f>
        <v>848</v>
      </c>
      <c r="X221" s="69"/>
    </row>
    <row r="222" spans="1:24" ht="16.5" customHeight="1" x14ac:dyDescent="0.3">
      <c r="A222" s="2">
        <v>15</v>
      </c>
      <c r="B222" s="2">
        <v>8401</v>
      </c>
      <c r="C222" s="60" t="s">
        <v>8727</v>
      </c>
      <c r="D222" s="1"/>
      <c r="E222" s="68"/>
      <c r="F222" s="70"/>
      <c r="G222" s="74" t="s">
        <v>16823</v>
      </c>
      <c r="H222" s="62"/>
      <c r="I222" s="63"/>
      <c r="J222" s="85"/>
      <c r="K222" s="64"/>
      <c r="L222" s="65"/>
      <c r="M222" s="99"/>
      <c r="N222" s="70"/>
      <c r="O222" s="67"/>
      <c r="P222" s="68"/>
      <c r="Q222" s="76"/>
      <c r="R222" s="70"/>
      <c r="S222" s="1" t="s">
        <v>17971</v>
      </c>
      <c r="T222" s="68"/>
      <c r="U222" s="76"/>
      <c r="V222" s="70"/>
      <c r="W222" s="228">
        <f>ROUND((ROUND((ROUND((_15_同援日２．０*_15・基礎２),0)*(1+_15・A夜間)),0)*(1+_15・区４)),0)</f>
        <v>764</v>
      </c>
      <c r="X222" s="69"/>
    </row>
    <row r="223" spans="1:24" ht="16.5" customHeight="1" x14ac:dyDescent="0.3">
      <c r="A223" s="2">
        <v>15</v>
      </c>
      <c r="B223" s="2">
        <v>8402</v>
      </c>
      <c r="C223" s="60" t="s">
        <v>8726</v>
      </c>
      <c r="D223" s="1"/>
      <c r="E223" s="68"/>
      <c r="F223" s="70"/>
      <c r="G223" s="106" t="s">
        <v>17864</v>
      </c>
      <c r="H223" s="57" t="s">
        <v>1</v>
      </c>
      <c r="I223" s="58">
        <v>0.9</v>
      </c>
      <c r="J223" s="83" t="s">
        <v>5895</v>
      </c>
      <c r="K223" s="64" t="s">
        <v>1</v>
      </c>
      <c r="L223" s="65">
        <v>1</v>
      </c>
      <c r="M223" s="99"/>
      <c r="N223" s="70"/>
      <c r="O223" s="66"/>
      <c r="P223" s="57"/>
      <c r="Q223" s="58"/>
      <c r="R223" s="77"/>
      <c r="S223" s="1" t="s">
        <v>17970</v>
      </c>
      <c r="T223" s="68"/>
      <c r="U223" s="76"/>
      <c r="V223" s="70"/>
      <c r="W223" s="228">
        <f>ROUND((ROUND((ROUND((ROUND((_15_同援日２．０*_15・基礎２),0)*_15・２人),0)*(1+_15・A夜間)),0)*(1+_15・区４)),0)</f>
        <v>764</v>
      </c>
      <c r="X223" s="69"/>
    </row>
    <row r="224" spans="1:24" ht="16.5" customHeight="1" x14ac:dyDescent="0.3">
      <c r="A224" s="2">
        <v>15</v>
      </c>
      <c r="B224" s="2">
        <v>8403</v>
      </c>
      <c r="C224" s="60" t="s">
        <v>8725</v>
      </c>
      <c r="D224" s="1"/>
      <c r="E224" s="68"/>
      <c r="F224" s="70"/>
      <c r="G224" s="61"/>
      <c r="H224" s="62"/>
      <c r="I224" s="63"/>
      <c r="J224" s="85"/>
      <c r="K224" s="64"/>
      <c r="L224" s="65"/>
      <c r="M224" s="99"/>
      <c r="N224" s="70"/>
      <c r="O224" s="74" t="s">
        <v>17969</v>
      </c>
      <c r="P224" s="62"/>
      <c r="Q224" s="63"/>
      <c r="R224" s="75"/>
      <c r="S224" s="67"/>
      <c r="T224" s="68" t="s">
        <v>1</v>
      </c>
      <c r="U224" s="76">
        <v>0.4</v>
      </c>
      <c r="V224" s="70" t="s">
        <v>422</v>
      </c>
      <c r="W224" s="228">
        <f>ROUND((ROUND((ROUND((_15_同援日２．０*(1+_15・A夜間)),0)*(1+_15・盲ろう)),0)*(1+_15・区４)),0)</f>
        <v>1061</v>
      </c>
      <c r="X224" s="69"/>
    </row>
    <row r="225" spans="1:24" ht="16.5" customHeight="1" x14ac:dyDescent="0.3">
      <c r="A225" s="2">
        <v>15</v>
      </c>
      <c r="B225" s="2">
        <v>8404</v>
      </c>
      <c r="C225" s="60" t="s">
        <v>8724</v>
      </c>
      <c r="D225" s="1"/>
      <c r="E225" s="68"/>
      <c r="F225" s="70"/>
      <c r="G225" s="66"/>
      <c r="H225" s="57"/>
      <c r="I225" s="58"/>
      <c r="J225" s="83" t="s">
        <v>5895</v>
      </c>
      <c r="K225" s="64" t="s">
        <v>1</v>
      </c>
      <c r="L225" s="65">
        <v>1</v>
      </c>
      <c r="M225" s="99"/>
      <c r="N225" s="70"/>
      <c r="O225" s="94" t="s">
        <v>17973</v>
      </c>
      <c r="P225" s="68"/>
      <c r="Q225" s="76"/>
      <c r="R225" s="70"/>
      <c r="S225" s="67"/>
      <c r="T225" s="68"/>
      <c r="U225" s="76"/>
      <c r="V225" s="70"/>
      <c r="W225" s="228">
        <f>ROUND((ROUND((ROUND((ROUND((_15_同援日２．０*_15・２人),0)*(1+_15・A夜間)),0)*(1+_15・盲ろう)),0)*(1+_15・区４)),0)</f>
        <v>1061</v>
      </c>
      <c r="X225" s="69"/>
    </row>
    <row r="226" spans="1:24" ht="16.5" customHeight="1" x14ac:dyDescent="0.3">
      <c r="A226" s="2">
        <v>15</v>
      </c>
      <c r="B226" s="2">
        <v>8405</v>
      </c>
      <c r="C226" s="60" t="s">
        <v>8723</v>
      </c>
      <c r="D226" s="1"/>
      <c r="E226" s="68"/>
      <c r="F226" s="70"/>
      <c r="G226" s="74" t="s">
        <v>16823</v>
      </c>
      <c r="H226" s="62"/>
      <c r="I226" s="63"/>
      <c r="J226" s="85"/>
      <c r="K226" s="64"/>
      <c r="L226" s="65"/>
      <c r="M226" s="99"/>
      <c r="N226" s="70"/>
      <c r="O226" s="67"/>
      <c r="P226" s="68" t="s">
        <v>1</v>
      </c>
      <c r="Q226" s="76">
        <v>0.25</v>
      </c>
      <c r="R226" s="70" t="s">
        <v>422</v>
      </c>
      <c r="S226" s="67"/>
      <c r="T226" s="68"/>
      <c r="U226" s="76"/>
      <c r="V226" s="70"/>
      <c r="W226" s="228">
        <f>ROUND((ROUND((ROUND((ROUND((_15_同援日２．０*_15・基礎２),0)*(1+_15・A夜間)),0)*(1+_15・盲ろう)),0)*(1+_15・区４)),0)</f>
        <v>956</v>
      </c>
      <c r="X226" s="69"/>
    </row>
    <row r="227" spans="1:24" ht="16.5" customHeight="1" x14ac:dyDescent="0.3">
      <c r="A227" s="2">
        <v>15</v>
      </c>
      <c r="B227" s="2">
        <v>8406</v>
      </c>
      <c r="C227" s="60" t="s">
        <v>8722</v>
      </c>
      <c r="D227" s="81"/>
      <c r="E227" s="57"/>
      <c r="F227" s="77"/>
      <c r="G227" s="106" t="s">
        <v>17864</v>
      </c>
      <c r="H227" s="57" t="s">
        <v>1</v>
      </c>
      <c r="I227" s="58">
        <v>0.9</v>
      </c>
      <c r="J227" s="83" t="s">
        <v>5895</v>
      </c>
      <c r="K227" s="64" t="s">
        <v>1</v>
      </c>
      <c r="L227" s="65">
        <v>1</v>
      </c>
      <c r="M227" s="99"/>
      <c r="N227" s="70"/>
      <c r="O227" s="66"/>
      <c r="P227" s="57"/>
      <c r="Q227" s="58"/>
      <c r="R227" s="77"/>
      <c r="S227" s="66"/>
      <c r="T227" s="57"/>
      <c r="U227" s="58"/>
      <c r="V227" s="77"/>
      <c r="W227" s="228">
        <f>ROUND((ROUND((ROUND((ROUND((ROUND((_15_同援日２．０*_15・基礎２),0)*_15・２人),0)*(1+_15・A夜間)),0)*(1+_15・盲ろう)),0)*(1+_15・区４)),0)</f>
        <v>956</v>
      </c>
      <c r="X227" s="69"/>
    </row>
    <row r="228" spans="1:24" ht="16.5" customHeight="1" x14ac:dyDescent="0.3">
      <c r="A228" s="2">
        <v>15</v>
      </c>
      <c r="B228" s="2">
        <v>8407</v>
      </c>
      <c r="C228" s="60" t="s">
        <v>8721</v>
      </c>
      <c r="D228" s="233" t="s">
        <v>17984</v>
      </c>
      <c r="E228" s="62"/>
      <c r="F228" s="75"/>
      <c r="G228" s="61"/>
      <c r="H228" s="62"/>
      <c r="I228" s="63"/>
      <c r="J228" s="85"/>
      <c r="K228" s="64"/>
      <c r="L228" s="65"/>
      <c r="M228" s="99"/>
      <c r="N228" s="70"/>
      <c r="O228" s="61"/>
      <c r="P228" s="62"/>
      <c r="Q228" s="63"/>
      <c r="R228" s="75"/>
      <c r="S228" s="61"/>
      <c r="T228" s="62"/>
      <c r="U228" s="63"/>
      <c r="V228" s="75"/>
      <c r="W228" s="228">
        <f>ROUND((_15_同援日２．５*(1+_15・A夜間)),0)</f>
        <v>685</v>
      </c>
      <c r="X228" s="69"/>
    </row>
    <row r="229" spans="1:24" ht="16.5" customHeight="1" x14ac:dyDescent="0.3">
      <c r="A229" s="2">
        <v>15</v>
      </c>
      <c r="B229" s="2">
        <v>8408</v>
      </c>
      <c r="C229" s="60" t="s">
        <v>8720</v>
      </c>
      <c r="D229" s="1" t="s">
        <v>16865</v>
      </c>
      <c r="E229" s="68"/>
      <c r="F229" s="70"/>
      <c r="G229" s="66"/>
      <c r="H229" s="57"/>
      <c r="I229" s="58"/>
      <c r="J229" s="83" t="s">
        <v>5895</v>
      </c>
      <c r="K229" s="64" t="s">
        <v>1</v>
      </c>
      <c r="L229" s="65">
        <v>1</v>
      </c>
      <c r="M229" s="99"/>
      <c r="N229" s="70"/>
      <c r="O229" s="67"/>
      <c r="P229" s="68"/>
      <c r="Q229" s="76"/>
      <c r="R229" s="70"/>
      <c r="S229" s="67"/>
      <c r="T229" s="68"/>
      <c r="U229" s="76"/>
      <c r="V229" s="70"/>
      <c r="W229" s="228">
        <f>ROUND((ROUND((_15_同援日２．５*_15・２人),0)*(1+_15・A夜間)),0)</f>
        <v>685</v>
      </c>
      <c r="X229" s="69"/>
    </row>
    <row r="230" spans="1:24" ht="16.5" customHeight="1" x14ac:dyDescent="0.3">
      <c r="A230" s="2">
        <v>15</v>
      </c>
      <c r="B230" s="2">
        <v>8409</v>
      </c>
      <c r="C230" s="60" t="s">
        <v>8719</v>
      </c>
      <c r="D230" s="1" t="s">
        <v>8499</v>
      </c>
      <c r="E230" s="68"/>
      <c r="F230" s="70"/>
      <c r="G230" s="74" t="s">
        <v>17972</v>
      </c>
      <c r="H230" s="62"/>
      <c r="I230" s="63"/>
      <c r="J230" s="85"/>
      <c r="K230" s="64"/>
      <c r="L230" s="65"/>
      <c r="M230" s="99"/>
      <c r="N230" s="70"/>
      <c r="O230" s="67"/>
      <c r="P230" s="68"/>
      <c r="Q230" s="76"/>
      <c r="R230" s="70"/>
      <c r="S230" s="67"/>
      <c r="T230" s="68"/>
      <c r="U230" s="76"/>
      <c r="V230" s="70"/>
      <c r="W230" s="228">
        <f>ROUND((ROUND((_15_同援日２．５*_15・基礎２),0)*(1+_15・A夜間)),0)</f>
        <v>616</v>
      </c>
      <c r="X230" s="69"/>
    </row>
    <row r="231" spans="1:24" ht="16.5" customHeight="1" x14ac:dyDescent="0.3">
      <c r="A231" s="2">
        <v>15</v>
      </c>
      <c r="B231" s="2">
        <v>8410</v>
      </c>
      <c r="C231" s="60" t="s">
        <v>8718</v>
      </c>
      <c r="D231" s="1"/>
      <c r="E231" s="227">
        <v>548</v>
      </c>
      <c r="F231" s="70" t="s">
        <v>0</v>
      </c>
      <c r="G231" s="106" t="s">
        <v>16812</v>
      </c>
      <c r="H231" s="57" t="s">
        <v>1</v>
      </c>
      <c r="I231" s="58">
        <v>0.9</v>
      </c>
      <c r="J231" s="83" t="s">
        <v>5895</v>
      </c>
      <c r="K231" s="64" t="s">
        <v>1</v>
      </c>
      <c r="L231" s="65">
        <v>1</v>
      </c>
      <c r="M231" s="99"/>
      <c r="N231" s="70"/>
      <c r="O231" s="66"/>
      <c r="P231" s="57"/>
      <c r="Q231" s="58"/>
      <c r="R231" s="77"/>
      <c r="S231" s="67"/>
      <c r="T231" s="68"/>
      <c r="U231" s="76"/>
      <c r="V231" s="70"/>
      <c r="W231" s="228">
        <f>ROUND((ROUND((ROUND((_15_同援日２．５*_15・基礎２),0)*_15・２人),0)*(1+_15・A夜間)),0)</f>
        <v>616</v>
      </c>
      <c r="X231" s="69"/>
    </row>
    <row r="232" spans="1:24" ht="16.5" customHeight="1" x14ac:dyDescent="0.3">
      <c r="A232" s="2">
        <v>15</v>
      </c>
      <c r="B232" s="2">
        <v>8411</v>
      </c>
      <c r="C232" s="60" t="s">
        <v>8717</v>
      </c>
      <c r="D232" s="1"/>
      <c r="E232" s="68"/>
      <c r="F232" s="70"/>
      <c r="G232" s="61"/>
      <c r="H232" s="62"/>
      <c r="I232" s="63"/>
      <c r="J232" s="85"/>
      <c r="K232" s="64"/>
      <c r="L232" s="65"/>
      <c r="M232" s="99"/>
      <c r="N232" s="70"/>
      <c r="O232" s="74" t="s">
        <v>17969</v>
      </c>
      <c r="P232" s="62"/>
      <c r="Q232" s="63"/>
      <c r="R232" s="75"/>
      <c r="S232" s="67"/>
      <c r="T232" s="68"/>
      <c r="U232" s="76"/>
      <c r="V232" s="70"/>
      <c r="W232" s="228">
        <f>ROUND((ROUND((_15_同援日２．５*(1+_15・A夜間)),0)*(1+_15・盲ろう)),0)</f>
        <v>856</v>
      </c>
      <c r="X232" s="69"/>
    </row>
    <row r="233" spans="1:24" ht="16.5" customHeight="1" x14ac:dyDescent="0.3">
      <c r="A233" s="2">
        <v>15</v>
      </c>
      <c r="B233" s="2">
        <v>8412</v>
      </c>
      <c r="C233" s="60" t="s">
        <v>8716</v>
      </c>
      <c r="D233" s="1"/>
      <c r="E233" s="68"/>
      <c r="F233" s="70"/>
      <c r="G233" s="66"/>
      <c r="H233" s="57"/>
      <c r="I233" s="58"/>
      <c r="J233" s="83" t="s">
        <v>5895</v>
      </c>
      <c r="K233" s="64" t="s">
        <v>1</v>
      </c>
      <c r="L233" s="65">
        <v>1</v>
      </c>
      <c r="M233" s="99"/>
      <c r="N233" s="70"/>
      <c r="O233" s="94" t="s">
        <v>17968</v>
      </c>
      <c r="P233" s="68"/>
      <c r="Q233" s="76"/>
      <c r="R233" s="70"/>
      <c r="S233" s="67"/>
      <c r="T233" s="68"/>
      <c r="U233" s="76"/>
      <c r="V233" s="70"/>
      <c r="W233" s="228">
        <f>ROUND((ROUND((ROUND((_15_同援日２．５*_15・２人),0)*(1+_15・A夜間)),0)*(1+_15・盲ろう)),0)</f>
        <v>856</v>
      </c>
      <c r="X233" s="69"/>
    </row>
    <row r="234" spans="1:24" ht="16.5" customHeight="1" x14ac:dyDescent="0.3">
      <c r="A234" s="2">
        <v>15</v>
      </c>
      <c r="B234" s="2">
        <v>8413</v>
      </c>
      <c r="C234" s="60" t="s">
        <v>8715</v>
      </c>
      <c r="D234" s="1"/>
      <c r="E234" s="68"/>
      <c r="F234" s="70"/>
      <c r="G234" s="74" t="s">
        <v>17972</v>
      </c>
      <c r="H234" s="62"/>
      <c r="I234" s="63"/>
      <c r="J234" s="85"/>
      <c r="K234" s="64"/>
      <c r="L234" s="65"/>
      <c r="M234" s="99"/>
      <c r="N234" s="70"/>
      <c r="O234" s="67"/>
      <c r="P234" s="68" t="s">
        <v>1</v>
      </c>
      <c r="Q234" s="76">
        <v>0.25</v>
      </c>
      <c r="R234" s="70" t="s">
        <v>422</v>
      </c>
      <c r="S234" s="67"/>
      <c r="T234" s="68"/>
      <c r="U234" s="76"/>
      <c r="V234" s="70"/>
      <c r="W234" s="228">
        <f>ROUND((ROUND((ROUND((_15_同援日２．５*_15・基礎２),0)*(1+_15・A夜間)),0)*(1+_15・盲ろう)),0)</f>
        <v>770</v>
      </c>
      <c r="X234" s="69"/>
    </row>
    <row r="235" spans="1:24" ht="16.5" customHeight="1" x14ac:dyDescent="0.3">
      <c r="A235" s="2">
        <v>15</v>
      </c>
      <c r="B235" s="2">
        <v>8414</v>
      </c>
      <c r="C235" s="60" t="s">
        <v>8714</v>
      </c>
      <c r="D235" s="1"/>
      <c r="E235" s="68"/>
      <c r="F235" s="70"/>
      <c r="G235" s="106" t="s">
        <v>17864</v>
      </c>
      <c r="H235" s="57" t="s">
        <v>1</v>
      </c>
      <c r="I235" s="58">
        <v>0.9</v>
      </c>
      <c r="J235" s="83" t="s">
        <v>5895</v>
      </c>
      <c r="K235" s="64" t="s">
        <v>1</v>
      </c>
      <c r="L235" s="65">
        <v>1</v>
      </c>
      <c r="M235" s="99"/>
      <c r="N235" s="70"/>
      <c r="O235" s="66"/>
      <c r="P235" s="57"/>
      <c r="Q235" s="58"/>
      <c r="R235" s="77"/>
      <c r="S235" s="66"/>
      <c r="T235" s="57"/>
      <c r="U235" s="58"/>
      <c r="V235" s="77"/>
      <c r="W235" s="228">
        <f>ROUND((ROUND((ROUND((ROUND((_15_同援日２．５*_15・基礎２),0)*_15・２人),0)*(1+_15・A夜間)),0)*(1+_15・盲ろう)),0)</f>
        <v>770</v>
      </c>
      <c r="X235" s="69"/>
    </row>
    <row r="236" spans="1:24" ht="16.5" customHeight="1" x14ac:dyDescent="0.3">
      <c r="A236" s="2">
        <v>15</v>
      </c>
      <c r="B236" s="2">
        <v>8415</v>
      </c>
      <c r="C236" s="60" t="s">
        <v>8713</v>
      </c>
      <c r="D236" s="1"/>
      <c r="E236" s="68"/>
      <c r="F236" s="70"/>
      <c r="G236" s="61"/>
      <c r="H236" s="62"/>
      <c r="I236" s="63"/>
      <c r="J236" s="85"/>
      <c r="K236" s="64"/>
      <c r="L236" s="65"/>
      <c r="M236" s="99"/>
      <c r="N236" s="70"/>
      <c r="O236" s="61"/>
      <c r="P236" s="62"/>
      <c r="Q236" s="63"/>
      <c r="R236" s="75"/>
      <c r="S236" s="61"/>
      <c r="T236" s="62"/>
      <c r="U236" s="63"/>
      <c r="V236" s="75"/>
      <c r="W236" s="228">
        <f>ROUND((ROUND((_15_同援日２．５*(1+_15・A夜間)),0)*(1+_15・区３)),0)</f>
        <v>822</v>
      </c>
      <c r="X236" s="69"/>
    </row>
    <row r="237" spans="1:24" ht="16.5" customHeight="1" x14ac:dyDescent="0.3">
      <c r="A237" s="2">
        <v>15</v>
      </c>
      <c r="B237" s="2">
        <v>8416</v>
      </c>
      <c r="C237" s="60" t="s">
        <v>8712</v>
      </c>
      <c r="D237" s="1"/>
      <c r="E237" s="68"/>
      <c r="F237" s="70"/>
      <c r="G237" s="66"/>
      <c r="H237" s="57"/>
      <c r="I237" s="58"/>
      <c r="J237" s="83" t="s">
        <v>5895</v>
      </c>
      <c r="K237" s="64" t="s">
        <v>1</v>
      </c>
      <c r="L237" s="65">
        <v>1</v>
      </c>
      <c r="M237" s="99"/>
      <c r="N237" s="70"/>
      <c r="O237" s="67"/>
      <c r="P237" s="68"/>
      <c r="Q237" s="76"/>
      <c r="R237" s="70"/>
      <c r="S237" s="67"/>
      <c r="T237" s="68"/>
      <c r="U237" s="76"/>
      <c r="V237" s="70"/>
      <c r="W237" s="228">
        <f>ROUND((ROUND((ROUND((_15_同援日２．５*_15・２人),0)*(1+_15・A夜間)),0)*(1+_15・区３)),0)</f>
        <v>822</v>
      </c>
      <c r="X237" s="69"/>
    </row>
    <row r="238" spans="1:24" ht="16.5" customHeight="1" x14ac:dyDescent="0.3">
      <c r="A238" s="2">
        <v>15</v>
      </c>
      <c r="B238" s="2">
        <v>8417</v>
      </c>
      <c r="C238" s="60" t="s">
        <v>8711</v>
      </c>
      <c r="D238" s="1"/>
      <c r="E238" s="68"/>
      <c r="F238" s="70"/>
      <c r="G238" s="74" t="s">
        <v>16823</v>
      </c>
      <c r="H238" s="62"/>
      <c r="I238" s="63"/>
      <c r="J238" s="85"/>
      <c r="K238" s="64"/>
      <c r="L238" s="65"/>
      <c r="M238" s="99"/>
      <c r="N238" s="70"/>
      <c r="O238" s="67"/>
      <c r="P238" s="68"/>
      <c r="Q238" s="76"/>
      <c r="R238" s="70"/>
      <c r="S238" s="1" t="s">
        <v>17983</v>
      </c>
      <c r="T238" s="68"/>
      <c r="U238" s="76"/>
      <c r="V238" s="70"/>
      <c r="W238" s="228">
        <f>ROUND((ROUND((ROUND((_15_同援日２．５*_15・基礎２),0)*(1+_15・A夜間)),0)*(1+_15・区３)),0)</f>
        <v>739</v>
      </c>
      <c r="X238" s="69"/>
    </row>
    <row r="239" spans="1:24" ht="16.5" customHeight="1" x14ac:dyDescent="0.3">
      <c r="A239" s="2">
        <v>15</v>
      </c>
      <c r="B239" s="2">
        <v>8418</v>
      </c>
      <c r="C239" s="60" t="s">
        <v>8710</v>
      </c>
      <c r="D239" s="1"/>
      <c r="E239" s="68"/>
      <c r="F239" s="70"/>
      <c r="G239" s="106" t="s">
        <v>17864</v>
      </c>
      <c r="H239" s="57" t="s">
        <v>1</v>
      </c>
      <c r="I239" s="58">
        <v>0.9</v>
      </c>
      <c r="J239" s="83" t="s">
        <v>5895</v>
      </c>
      <c r="K239" s="64" t="s">
        <v>1</v>
      </c>
      <c r="L239" s="65">
        <v>1</v>
      </c>
      <c r="M239" s="99"/>
      <c r="N239" s="70"/>
      <c r="O239" s="66"/>
      <c r="P239" s="57"/>
      <c r="Q239" s="58"/>
      <c r="R239" s="77"/>
      <c r="S239" s="1" t="s">
        <v>17970</v>
      </c>
      <c r="T239" s="68"/>
      <c r="U239" s="76"/>
      <c r="V239" s="70"/>
      <c r="W239" s="228">
        <f>ROUND((ROUND((ROUND((ROUND((_15_同援日２．５*_15・基礎２),0)*_15・２人),0)*(1+_15・A夜間)),0)*(1+_15・区３)),0)</f>
        <v>739</v>
      </c>
      <c r="X239" s="69"/>
    </row>
    <row r="240" spans="1:24" ht="16.5" customHeight="1" x14ac:dyDescent="0.3">
      <c r="A240" s="2">
        <v>15</v>
      </c>
      <c r="B240" s="2">
        <v>8419</v>
      </c>
      <c r="C240" s="60" t="s">
        <v>8709</v>
      </c>
      <c r="D240" s="1"/>
      <c r="E240" s="68"/>
      <c r="F240" s="70"/>
      <c r="G240" s="61"/>
      <c r="H240" s="62"/>
      <c r="I240" s="63"/>
      <c r="J240" s="85"/>
      <c r="K240" s="64"/>
      <c r="L240" s="65"/>
      <c r="M240" s="99"/>
      <c r="N240" s="70"/>
      <c r="O240" s="74" t="s">
        <v>17969</v>
      </c>
      <c r="P240" s="62"/>
      <c r="Q240" s="63"/>
      <c r="R240" s="75"/>
      <c r="S240" s="67"/>
      <c r="T240" s="68" t="s">
        <v>1</v>
      </c>
      <c r="U240" s="76">
        <v>0.2</v>
      </c>
      <c r="V240" s="70" t="s">
        <v>422</v>
      </c>
      <c r="W240" s="228">
        <f>ROUND((ROUND((ROUND((_15_同援日２．５*(1+_15・A夜間)),0)*(1+_15・盲ろう)),0)*(1+_15・区３)),0)</f>
        <v>1027</v>
      </c>
      <c r="X240" s="69"/>
    </row>
    <row r="241" spans="1:24" ht="16.5" customHeight="1" x14ac:dyDescent="0.3">
      <c r="A241" s="2">
        <v>15</v>
      </c>
      <c r="B241" s="2">
        <v>8420</v>
      </c>
      <c r="C241" s="60" t="s">
        <v>8708</v>
      </c>
      <c r="D241" s="1"/>
      <c r="E241" s="68"/>
      <c r="F241" s="70"/>
      <c r="G241" s="66"/>
      <c r="H241" s="57"/>
      <c r="I241" s="58"/>
      <c r="J241" s="83" t="s">
        <v>5895</v>
      </c>
      <c r="K241" s="64" t="s">
        <v>1</v>
      </c>
      <c r="L241" s="65">
        <v>1</v>
      </c>
      <c r="M241" s="99"/>
      <c r="N241" s="70"/>
      <c r="O241" s="94" t="s">
        <v>17968</v>
      </c>
      <c r="P241" s="68"/>
      <c r="Q241" s="76"/>
      <c r="R241" s="70"/>
      <c r="S241" s="67"/>
      <c r="T241" s="68"/>
      <c r="U241" s="76"/>
      <c r="V241" s="70"/>
      <c r="W241" s="228">
        <f>ROUND((ROUND((ROUND((ROUND((_15_同援日２．５*_15・２人),0)*(1+_15・A夜間)),0)*(1+_15・盲ろう)),0)*(1+_15・区３)),0)</f>
        <v>1027</v>
      </c>
      <c r="X241" s="69"/>
    </row>
    <row r="242" spans="1:24" ht="16.5" customHeight="1" x14ac:dyDescent="0.3">
      <c r="A242" s="2">
        <v>15</v>
      </c>
      <c r="B242" s="2">
        <v>8421</v>
      </c>
      <c r="C242" s="60" t="s">
        <v>8707</v>
      </c>
      <c r="D242" s="1"/>
      <c r="E242" s="68"/>
      <c r="F242" s="70"/>
      <c r="G242" s="74" t="s">
        <v>16823</v>
      </c>
      <c r="H242" s="62"/>
      <c r="I242" s="63"/>
      <c r="J242" s="85"/>
      <c r="K242" s="64"/>
      <c r="L242" s="65"/>
      <c r="M242" s="99"/>
      <c r="N242" s="70"/>
      <c r="O242" s="67"/>
      <c r="P242" s="68" t="s">
        <v>1</v>
      </c>
      <c r="Q242" s="76">
        <v>0.25</v>
      </c>
      <c r="R242" s="70" t="s">
        <v>422</v>
      </c>
      <c r="S242" s="67"/>
      <c r="T242" s="68"/>
      <c r="U242" s="76"/>
      <c r="V242" s="70"/>
      <c r="W242" s="228">
        <f>ROUND((ROUND((ROUND((ROUND((_15_同援日２．５*_15・基礎２),0)*(1+_15・A夜間)),0)*(1+_15・盲ろう)),0)*(1+_15・区３)),0)</f>
        <v>924</v>
      </c>
      <c r="X242" s="69"/>
    </row>
    <row r="243" spans="1:24" ht="16.5" customHeight="1" x14ac:dyDescent="0.3">
      <c r="A243" s="2">
        <v>15</v>
      </c>
      <c r="B243" s="2">
        <v>8422</v>
      </c>
      <c r="C243" s="60" t="s">
        <v>8706</v>
      </c>
      <c r="D243" s="1"/>
      <c r="E243" s="68"/>
      <c r="F243" s="70"/>
      <c r="G243" s="106" t="s">
        <v>16812</v>
      </c>
      <c r="H243" s="57" t="s">
        <v>1</v>
      </c>
      <c r="I243" s="58">
        <v>0.9</v>
      </c>
      <c r="J243" s="83" t="s">
        <v>5895</v>
      </c>
      <c r="K243" s="64" t="s">
        <v>1</v>
      </c>
      <c r="L243" s="65">
        <v>1</v>
      </c>
      <c r="M243" s="99"/>
      <c r="N243" s="70"/>
      <c r="O243" s="66"/>
      <c r="P243" s="57"/>
      <c r="Q243" s="58"/>
      <c r="R243" s="77"/>
      <c r="S243" s="66"/>
      <c r="T243" s="57"/>
      <c r="U243" s="58"/>
      <c r="V243" s="77"/>
      <c r="W243" s="228">
        <f>ROUND((ROUND((ROUND((ROUND((ROUND((_15_同援日２．５*_15・基礎２),0)*_15・２人),0)*(1+_15・A夜間)),0)*(1+_15・盲ろう)),0)*(1+_15・区３)),0)</f>
        <v>924</v>
      </c>
      <c r="X243" s="69"/>
    </row>
    <row r="244" spans="1:24" ht="16.5" customHeight="1" x14ac:dyDescent="0.3">
      <c r="A244" s="2">
        <v>15</v>
      </c>
      <c r="B244" s="2">
        <v>8423</v>
      </c>
      <c r="C244" s="60" t="s">
        <v>8705</v>
      </c>
      <c r="D244" s="1"/>
      <c r="E244" s="68"/>
      <c r="F244" s="70"/>
      <c r="G244" s="61"/>
      <c r="H244" s="62"/>
      <c r="I244" s="63"/>
      <c r="J244" s="85"/>
      <c r="K244" s="64"/>
      <c r="L244" s="65"/>
      <c r="M244" s="99"/>
      <c r="N244" s="70"/>
      <c r="O244" s="61"/>
      <c r="P244" s="62"/>
      <c r="Q244" s="63"/>
      <c r="R244" s="75"/>
      <c r="S244" s="61"/>
      <c r="T244" s="62"/>
      <c r="U244" s="63"/>
      <c r="V244" s="75"/>
      <c r="W244" s="228">
        <f>ROUND((ROUND((_15_同援日２．５*(1+_15・A夜間)),0)*(1+_15・区４)),0)</f>
        <v>959</v>
      </c>
      <c r="X244" s="69"/>
    </row>
    <row r="245" spans="1:24" ht="16.5" customHeight="1" x14ac:dyDescent="0.3">
      <c r="A245" s="2">
        <v>15</v>
      </c>
      <c r="B245" s="2">
        <v>8424</v>
      </c>
      <c r="C245" s="60" t="s">
        <v>8704</v>
      </c>
      <c r="D245" s="1"/>
      <c r="E245" s="68"/>
      <c r="F245" s="70"/>
      <c r="G245" s="66"/>
      <c r="H245" s="57"/>
      <c r="I245" s="58"/>
      <c r="J245" s="83" t="s">
        <v>5895</v>
      </c>
      <c r="K245" s="64" t="s">
        <v>1</v>
      </c>
      <c r="L245" s="65">
        <v>1</v>
      </c>
      <c r="M245" s="99"/>
      <c r="N245" s="70"/>
      <c r="O245" s="67"/>
      <c r="P245" s="68"/>
      <c r="Q245" s="76"/>
      <c r="R245" s="70"/>
      <c r="S245" s="67"/>
      <c r="T245" s="68"/>
      <c r="U245" s="76"/>
      <c r="V245" s="70"/>
      <c r="W245" s="228">
        <f>ROUND((ROUND((ROUND((_15_同援日２．５*_15・２人),0)*(1+_15・A夜間)),0)*(1+_15・区４)),0)</f>
        <v>959</v>
      </c>
      <c r="X245" s="69"/>
    </row>
    <row r="246" spans="1:24" ht="16.5" customHeight="1" x14ac:dyDescent="0.3">
      <c r="A246" s="2">
        <v>15</v>
      </c>
      <c r="B246" s="2">
        <v>8425</v>
      </c>
      <c r="C246" s="60" t="s">
        <v>8703</v>
      </c>
      <c r="D246" s="1"/>
      <c r="E246" s="68"/>
      <c r="F246" s="70"/>
      <c r="G246" s="74" t="s">
        <v>16823</v>
      </c>
      <c r="H246" s="62"/>
      <c r="I246" s="63"/>
      <c r="J246" s="85"/>
      <c r="K246" s="64"/>
      <c r="L246" s="65"/>
      <c r="M246" s="99"/>
      <c r="N246" s="70"/>
      <c r="O246" s="67"/>
      <c r="P246" s="68"/>
      <c r="Q246" s="76"/>
      <c r="R246" s="70"/>
      <c r="S246" s="1" t="s">
        <v>17971</v>
      </c>
      <c r="T246" s="68"/>
      <c r="U246" s="76"/>
      <c r="V246" s="70"/>
      <c r="W246" s="228">
        <f>ROUND((ROUND((ROUND((_15_同援日２．５*_15・基礎２),0)*(1+_15・A夜間)),0)*(1+_15・区４)),0)</f>
        <v>862</v>
      </c>
      <c r="X246" s="69"/>
    </row>
    <row r="247" spans="1:24" ht="16.5" customHeight="1" x14ac:dyDescent="0.3">
      <c r="A247" s="2">
        <v>15</v>
      </c>
      <c r="B247" s="2">
        <v>8426</v>
      </c>
      <c r="C247" s="60" t="s">
        <v>8702</v>
      </c>
      <c r="D247" s="1"/>
      <c r="E247" s="68"/>
      <c r="F247" s="70"/>
      <c r="G247" s="106" t="s">
        <v>17864</v>
      </c>
      <c r="H247" s="57" t="s">
        <v>1</v>
      </c>
      <c r="I247" s="58">
        <v>0.9</v>
      </c>
      <c r="J247" s="83" t="s">
        <v>5895</v>
      </c>
      <c r="K247" s="64" t="s">
        <v>1</v>
      </c>
      <c r="L247" s="65">
        <v>1</v>
      </c>
      <c r="M247" s="99"/>
      <c r="N247" s="70"/>
      <c r="O247" s="66"/>
      <c r="P247" s="57"/>
      <c r="Q247" s="58"/>
      <c r="R247" s="77"/>
      <c r="S247" s="1" t="s">
        <v>17970</v>
      </c>
      <c r="T247" s="68"/>
      <c r="U247" s="76"/>
      <c r="V247" s="70"/>
      <c r="W247" s="228">
        <f>ROUND((ROUND((ROUND((ROUND((_15_同援日２．５*_15・基礎２),0)*_15・２人),0)*(1+_15・A夜間)),0)*(1+_15・区４)),0)</f>
        <v>862</v>
      </c>
      <c r="X247" s="69"/>
    </row>
    <row r="248" spans="1:24" ht="16.5" customHeight="1" x14ac:dyDescent="0.3">
      <c r="A248" s="2">
        <v>15</v>
      </c>
      <c r="B248" s="2">
        <v>8427</v>
      </c>
      <c r="C248" s="60" t="s">
        <v>8701</v>
      </c>
      <c r="D248" s="1"/>
      <c r="E248" s="68"/>
      <c r="F248" s="70"/>
      <c r="G248" s="61"/>
      <c r="H248" s="62"/>
      <c r="I248" s="63"/>
      <c r="J248" s="85"/>
      <c r="K248" s="64"/>
      <c r="L248" s="65"/>
      <c r="M248" s="99"/>
      <c r="N248" s="70"/>
      <c r="O248" s="74" t="s">
        <v>17969</v>
      </c>
      <c r="P248" s="62"/>
      <c r="Q248" s="63"/>
      <c r="R248" s="75"/>
      <c r="S248" s="67"/>
      <c r="T248" s="68" t="s">
        <v>1</v>
      </c>
      <c r="U248" s="76">
        <v>0.4</v>
      </c>
      <c r="V248" s="70" t="s">
        <v>422</v>
      </c>
      <c r="W248" s="228">
        <f>ROUND((ROUND((ROUND((_15_同援日２．５*(1+_15・A夜間)),0)*(1+_15・盲ろう)),0)*(1+_15・区４)),0)</f>
        <v>1198</v>
      </c>
      <c r="X248" s="69"/>
    </row>
    <row r="249" spans="1:24" ht="16.5" customHeight="1" x14ac:dyDescent="0.3">
      <c r="A249" s="2">
        <v>15</v>
      </c>
      <c r="B249" s="2">
        <v>8428</v>
      </c>
      <c r="C249" s="60" t="s">
        <v>8700</v>
      </c>
      <c r="D249" s="1"/>
      <c r="E249" s="68"/>
      <c r="F249" s="70"/>
      <c r="G249" s="66"/>
      <c r="H249" s="57"/>
      <c r="I249" s="58"/>
      <c r="J249" s="83" t="s">
        <v>5895</v>
      </c>
      <c r="K249" s="64" t="s">
        <v>1</v>
      </c>
      <c r="L249" s="65">
        <v>1</v>
      </c>
      <c r="M249" s="99"/>
      <c r="N249" s="70"/>
      <c r="O249" s="94" t="s">
        <v>17968</v>
      </c>
      <c r="P249" s="68"/>
      <c r="Q249" s="76"/>
      <c r="R249" s="70"/>
      <c r="S249" s="67"/>
      <c r="T249" s="68"/>
      <c r="U249" s="76"/>
      <c r="V249" s="70"/>
      <c r="W249" s="228">
        <f>ROUND((ROUND((ROUND((ROUND((_15_同援日２．５*_15・２人),0)*(1+_15・A夜間)),0)*(1+_15・盲ろう)),0)*(1+_15・区４)),0)</f>
        <v>1198</v>
      </c>
      <c r="X249" s="69"/>
    </row>
    <row r="250" spans="1:24" ht="16.5" customHeight="1" x14ac:dyDescent="0.3">
      <c r="A250" s="2">
        <v>15</v>
      </c>
      <c r="B250" s="2">
        <v>8429</v>
      </c>
      <c r="C250" s="60" t="s">
        <v>8699</v>
      </c>
      <c r="D250" s="1"/>
      <c r="E250" s="68"/>
      <c r="F250" s="70"/>
      <c r="G250" s="74" t="s">
        <v>17972</v>
      </c>
      <c r="H250" s="62"/>
      <c r="I250" s="63"/>
      <c r="J250" s="85"/>
      <c r="K250" s="64"/>
      <c r="L250" s="65"/>
      <c r="M250" s="99"/>
      <c r="N250" s="70"/>
      <c r="O250" s="67"/>
      <c r="P250" s="68" t="s">
        <v>1</v>
      </c>
      <c r="Q250" s="76">
        <v>0.25</v>
      </c>
      <c r="R250" s="70" t="s">
        <v>422</v>
      </c>
      <c r="S250" s="67"/>
      <c r="T250" s="68"/>
      <c r="U250" s="76"/>
      <c r="V250" s="70"/>
      <c r="W250" s="228">
        <f>ROUND((ROUND((ROUND((ROUND((_15_同援日２．５*_15・基礎２),0)*(1+_15・A夜間)),0)*(1+_15・盲ろう)),0)*(1+_15・区４)),0)</f>
        <v>1078</v>
      </c>
      <c r="X250" s="69"/>
    </row>
    <row r="251" spans="1:24" ht="16.5" customHeight="1" x14ac:dyDescent="0.3">
      <c r="A251" s="2">
        <v>15</v>
      </c>
      <c r="B251" s="2">
        <v>8430</v>
      </c>
      <c r="C251" s="60" t="s">
        <v>8698</v>
      </c>
      <c r="D251" s="81"/>
      <c r="E251" s="57"/>
      <c r="F251" s="77"/>
      <c r="G251" s="106" t="s">
        <v>16812</v>
      </c>
      <c r="H251" s="57" t="s">
        <v>1</v>
      </c>
      <c r="I251" s="58">
        <v>0.9</v>
      </c>
      <c r="J251" s="83" t="s">
        <v>5895</v>
      </c>
      <c r="K251" s="64" t="s">
        <v>1</v>
      </c>
      <c r="L251" s="65">
        <v>1</v>
      </c>
      <c r="M251" s="99"/>
      <c r="N251" s="70"/>
      <c r="O251" s="66"/>
      <c r="P251" s="57"/>
      <c r="Q251" s="58"/>
      <c r="R251" s="77"/>
      <c r="S251" s="66"/>
      <c r="T251" s="57"/>
      <c r="U251" s="58"/>
      <c r="V251" s="77"/>
      <c r="W251" s="228">
        <f>ROUND((ROUND((ROUND((ROUND((ROUND((_15_同援日２．５*_15・基礎２),0)*_15・２人),0)*(1+_15・A夜間)),0)*(1+_15・盲ろう)),0)*(1+_15・区４)),0)</f>
        <v>1078</v>
      </c>
      <c r="X251" s="69"/>
    </row>
    <row r="252" spans="1:24" ht="16.5" customHeight="1" x14ac:dyDescent="0.3">
      <c r="A252" s="2">
        <v>15</v>
      </c>
      <c r="B252" s="2">
        <v>8431</v>
      </c>
      <c r="C252" s="60" t="s">
        <v>8697</v>
      </c>
      <c r="D252" s="233" t="s">
        <v>16306</v>
      </c>
      <c r="E252" s="62"/>
      <c r="F252" s="75"/>
      <c r="G252" s="61"/>
      <c r="H252" s="62"/>
      <c r="I252" s="63"/>
      <c r="J252" s="85"/>
      <c r="K252" s="64"/>
      <c r="L252" s="65"/>
      <c r="M252" s="99"/>
      <c r="N252" s="70"/>
      <c r="O252" s="61"/>
      <c r="P252" s="62"/>
      <c r="Q252" s="63"/>
      <c r="R252" s="75"/>
      <c r="S252" s="61"/>
      <c r="T252" s="62"/>
      <c r="U252" s="63"/>
      <c r="V252" s="75"/>
      <c r="W252" s="228">
        <f>ROUND((_15_同援日３．０*(1+_15・A夜間)),0)</f>
        <v>764</v>
      </c>
      <c r="X252" s="69"/>
    </row>
    <row r="253" spans="1:24" ht="16.5" customHeight="1" x14ac:dyDescent="0.3">
      <c r="A253" s="2">
        <v>15</v>
      </c>
      <c r="B253" s="2">
        <v>8432</v>
      </c>
      <c r="C253" s="60" t="s">
        <v>8696</v>
      </c>
      <c r="D253" s="1" t="s">
        <v>17982</v>
      </c>
      <c r="E253" s="68"/>
      <c r="F253" s="70"/>
      <c r="G253" s="66"/>
      <c r="H253" s="57"/>
      <c r="I253" s="58"/>
      <c r="J253" s="83" t="s">
        <v>5895</v>
      </c>
      <c r="K253" s="64" t="s">
        <v>1</v>
      </c>
      <c r="L253" s="65">
        <v>1</v>
      </c>
      <c r="M253" s="99"/>
      <c r="N253" s="70"/>
      <c r="O253" s="67"/>
      <c r="P253" s="68"/>
      <c r="Q253" s="76"/>
      <c r="R253" s="70"/>
      <c r="S253" s="67"/>
      <c r="T253" s="68"/>
      <c r="U253" s="76"/>
      <c r="V253" s="70"/>
      <c r="W253" s="228">
        <f>ROUND((ROUND((_15_同援日３．０*_15・２人),0)*(1+_15・A夜間)),0)</f>
        <v>764</v>
      </c>
      <c r="X253" s="69"/>
    </row>
    <row r="254" spans="1:24" ht="16.5" customHeight="1" x14ac:dyDescent="0.3">
      <c r="A254" s="2">
        <v>15</v>
      </c>
      <c r="B254" s="2">
        <v>8433</v>
      </c>
      <c r="C254" s="60" t="s">
        <v>8695</v>
      </c>
      <c r="D254" s="1" t="s">
        <v>8694</v>
      </c>
      <c r="E254" s="68"/>
      <c r="F254" s="70"/>
      <c r="G254" s="74" t="s">
        <v>17972</v>
      </c>
      <c r="H254" s="62"/>
      <c r="I254" s="63"/>
      <c r="J254" s="85"/>
      <c r="K254" s="64"/>
      <c r="L254" s="65"/>
      <c r="M254" s="99"/>
      <c r="N254" s="70"/>
      <c r="O254" s="67"/>
      <c r="P254" s="68"/>
      <c r="Q254" s="76"/>
      <c r="R254" s="70"/>
      <c r="S254" s="67"/>
      <c r="T254" s="68"/>
      <c r="U254" s="76"/>
      <c r="V254" s="70"/>
      <c r="W254" s="228">
        <f>ROUND((ROUND((_15_同援日３．０*_15・基礎２),0)*(1+_15・A夜間)),0)</f>
        <v>688</v>
      </c>
      <c r="X254" s="69"/>
    </row>
    <row r="255" spans="1:24" ht="16.5" customHeight="1" x14ac:dyDescent="0.3">
      <c r="A255" s="2">
        <v>15</v>
      </c>
      <c r="B255" s="2">
        <v>8434</v>
      </c>
      <c r="C255" s="60" t="s">
        <v>8693</v>
      </c>
      <c r="D255" s="1"/>
      <c r="E255" s="227">
        <v>611</v>
      </c>
      <c r="F255" s="70" t="s">
        <v>0</v>
      </c>
      <c r="G255" s="106" t="s">
        <v>16812</v>
      </c>
      <c r="H255" s="57" t="s">
        <v>1</v>
      </c>
      <c r="I255" s="58">
        <v>0.9</v>
      </c>
      <c r="J255" s="83" t="s">
        <v>5895</v>
      </c>
      <c r="K255" s="64" t="s">
        <v>1</v>
      </c>
      <c r="L255" s="65">
        <v>1</v>
      </c>
      <c r="M255" s="99"/>
      <c r="N255" s="70"/>
      <c r="O255" s="66"/>
      <c r="P255" s="57"/>
      <c r="Q255" s="58"/>
      <c r="R255" s="77"/>
      <c r="S255" s="67"/>
      <c r="T255" s="68"/>
      <c r="U255" s="76"/>
      <c r="V255" s="70"/>
      <c r="W255" s="228">
        <f>ROUND((ROUND((ROUND((_15_同援日３．０*_15・基礎２),0)*_15・２人),0)*(1+_15・A夜間)),0)</f>
        <v>688</v>
      </c>
      <c r="X255" s="69"/>
    </row>
    <row r="256" spans="1:24" ht="16.5" customHeight="1" x14ac:dyDescent="0.3">
      <c r="A256" s="2">
        <v>15</v>
      </c>
      <c r="B256" s="2">
        <v>8435</v>
      </c>
      <c r="C256" s="60" t="s">
        <v>8692</v>
      </c>
      <c r="D256" s="1"/>
      <c r="E256" s="68"/>
      <c r="F256" s="70"/>
      <c r="G256" s="61"/>
      <c r="H256" s="62"/>
      <c r="I256" s="63"/>
      <c r="J256" s="85"/>
      <c r="K256" s="64"/>
      <c r="L256" s="65"/>
      <c r="M256" s="99"/>
      <c r="N256" s="70"/>
      <c r="O256" s="74" t="s">
        <v>17969</v>
      </c>
      <c r="P256" s="62"/>
      <c r="Q256" s="63"/>
      <c r="R256" s="75"/>
      <c r="S256" s="67"/>
      <c r="T256" s="68"/>
      <c r="U256" s="76"/>
      <c r="V256" s="70"/>
      <c r="W256" s="228">
        <f>ROUND((ROUND((_15_同援日３．０*(1+_15・A夜間)),0)*(1+_15・盲ろう)),0)</f>
        <v>955</v>
      </c>
      <c r="X256" s="69"/>
    </row>
    <row r="257" spans="1:24" ht="16.5" customHeight="1" x14ac:dyDescent="0.3">
      <c r="A257" s="2">
        <v>15</v>
      </c>
      <c r="B257" s="2">
        <v>8436</v>
      </c>
      <c r="C257" s="60" t="s">
        <v>8691</v>
      </c>
      <c r="D257" s="1"/>
      <c r="E257" s="68"/>
      <c r="F257" s="70"/>
      <c r="G257" s="66"/>
      <c r="H257" s="57"/>
      <c r="I257" s="58"/>
      <c r="J257" s="83" t="s">
        <v>5895</v>
      </c>
      <c r="K257" s="64" t="s">
        <v>1</v>
      </c>
      <c r="L257" s="65">
        <v>1</v>
      </c>
      <c r="M257" s="99"/>
      <c r="N257" s="70"/>
      <c r="O257" s="94" t="s">
        <v>17968</v>
      </c>
      <c r="P257" s="68"/>
      <c r="Q257" s="76"/>
      <c r="R257" s="70"/>
      <c r="S257" s="67"/>
      <c r="T257" s="68"/>
      <c r="U257" s="76"/>
      <c r="V257" s="70"/>
      <c r="W257" s="228">
        <f>ROUND((ROUND((ROUND((_15_同援日３．０*_15・２人),0)*(1+_15・A夜間)),0)*(1+_15・盲ろう)),0)</f>
        <v>955</v>
      </c>
      <c r="X257" s="69"/>
    </row>
    <row r="258" spans="1:24" ht="16.5" customHeight="1" x14ac:dyDescent="0.3">
      <c r="A258" s="2">
        <v>15</v>
      </c>
      <c r="B258" s="2">
        <v>8437</v>
      </c>
      <c r="C258" s="60" t="s">
        <v>8690</v>
      </c>
      <c r="D258" s="1"/>
      <c r="E258" s="68"/>
      <c r="F258" s="70"/>
      <c r="G258" s="74" t="s">
        <v>16823</v>
      </c>
      <c r="H258" s="62"/>
      <c r="I258" s="63"/>
      <c r="J258" s="85"/>
      <c r="K258" s="64"/>
      <c r="L258" s="65"/>
      <c r="M258" s="99"/>
      <c r="N258" s="70"/>
      <c r="O258" s="67"/>
      <c r="P258" s="68" t="s">
        <v>1</v>
      </c>
      <c r="Q258" s="76">
        <v>0.25</v>
      </c>
      <c r="R258" s="70" t="s">
        <v>422</v>
      </c>
      <c r="S258" s="67"/>
      <c r="T258" s="68"/>
      <c r="U258" s="76"/>
      <c r="V258" s="70"/>
      <c r="W258" s="228">
        <f>ROUND((ROUND((ROUND((_15_同援日３．０*_15・基礎２),0)*(1+_15・A夜間)),0)*(1+_15・盲ろう)),0)</f>
        <v>860</v>
      </c>
      <c r="X258" s="69"/>
    </row>
    <row r="259" spans="1:24" ht="16.5" customHeight="1" x14ac:dyDescent="0.3">
      <c r="A259" s="2">
        <v>15</v>
      </c>
      <c r="B259" s="2">
        <v>8438</v>
      </c>
      <c r="C259" s="60" t="s">
        <v>8689</v>
      </c>
      <c r="D259" s="1"/>
      <c r="E259" s="68"/>
      <c r="F259" s="70"/>
      <c r="G259" s="106" t="s">
        <v>16812</v>
      </c>
      <c r="H259" s="57" t="s">
        <v>1</v>
      </c>
      <c r="I259" s="58">
        <v>0.9</v>
      </c>
      <c r="J259" s="83" t="s">
        <v>5895</v>
      </c>
      <c r="K259" s="64" t="s">
        <v>1</v>
      </c>
      <c r="L259" s="65">
        <v>1</v>
      </c>
      <c r="M259" s="99"/>
      <c r="N259" s="70"/>
      <c r="O259" s="66"/>
      <c r="P259" s="57"/>
      <c r="Q259" s="58"/>
      <c r="R259" s="77"/>
      <c r="S259" s="66"/>
      <c r="T259" s="57"/>
      <c r="U259" s="58"/>
      <c r="V259" s="77"/>
      <c r="W259" s="228">
        <f>ROUND((ROUND((ROUND((ROUND((_15_同援日３．０*_15・基礎２),0)*_15・２人),0)*(1+_15・A夜間)),0)*(1+_15・盲ろう)),0)</f>
        <v>860</v>
      </c>
      <c r="X259" s="69"/>
    </row>
    <row r="260" spans="1:24" ht="16.5" customHeight="1" x14ac:dyDescent="0.3">
      <c r="A260" s="2">
        <v>15</v>
      </c>
      <c r="B260" s="2">
        <v>8439</v>
      </c>
      <c r="C260" s="60" t="s">
        <v>8688</v>
      </c>
      <c r="D260" s="1"/>
      <c r="E260" s="68"/>
      <c r="F260" s="70"/>
      <c r="G260" s="61"/>
      <c r="H260" s="62"/>
      <c r="I260" s="63"/>
      <c r="J260" s="85"/>
      <c r="K260" s="64"/>
      <c r="L260" s="65"/>
      <c r="M260" s="99"/>
      <c r="N260" s="70"/>
      <c r="O260" s="61"/>
      <c r="P260" s="62"/>
      <c r="Q260" s="63"/>
      <c r="R260" s="75"/>
      <c r="S260" s="61"/>
      <c r="T260" s="62"/>
      <c r="U260" s="63"/>
      <c r="V260" s="75"/>
      <c r="W260" s="228">
        <f>ROUND((ROUND((_15_同援日３．０*(1+_15・A夜間)),0)*(1+_15・区３)),0)</f>
        <v>917</v>
      </c>
      <c r="X260" s="69"/>
    </row>
    <row r="261" spans="1:24" ht="16.5" customHeight="1" x14ac:dyDescent="0.3">
      <c r="A261" s="2">
        <v>15</v>
      </c>
      <c r="B261" s="2">
        <v>8440</v>
      </c>
      <c r="C261" s="60" t="s">
        <v>8687</v>
      </c>
      <c r="D261" s="1"/>
      <c r="E261" s="68"/>
      <c r="F261" s="70"/>
      <c r="G261" s="66"/>
      <c r="H261" s="57"/>
      <c r="I261" s="58"/>
      <c r="J261" s="83" t="s">
        <v>5895</v>
      </c>
      <c r="K261" s="64" t="s">
        <v>1</v>
      </c>
      <c r="L261" s="65">
        <v>1</v>
      </c>
      <c r="M261" s="99"/>
      <c r="N261" s="70"/>
      <c r="O261" s="67"/>
      <c r="P261" s="68"/>
      <c r="Q261" s="76"/>
      <c r="R261" s="70"/>
      <c r="S261" s="67"/>
      <c r="T261" s="68"/>
      <c r="U261" s="76"/>
      <c r="V261" s="70"/>
      <c r="W261" s="228">
        <f>ROUND((ROUND((ROUND((_15_同援日３．０*_15・２人),0)*(1+_15・A夜間)),0)*(1+_15・区３)),0)</f>
        <v>917</v>
      </c>
      <c r="X261" s="69"/>
    </row>
    <row r="262" spans="1:24" ht="16.5" customHeight="1" x14ac:dyDescent="0.3">
      <c r="A262" s="2">
        <v>15</v>
      </c>
      <c r="B262" s="2">
        <v>8441</v>
      </c>
      <c r="C262" s="60" t="s">
        <v>8686</v>
      </c>
      <c r="D262" s="1"/>
      <c r="E262" s="68"/>
      <c r="F262" s="70"/>
      <c r="G262" s="74" t="s">
        <v>16823</v>
      </c>
      <c r="H262" s="62"/>
      <c r="I262" s="63"/>
      <c r="J262" s="85"/>
      <c r="K262" s="64"/>
      <c r="L262" s="65"/>
      <c r="M262" s="99"/>
      <c r="N262" s="70"/>
      <c r="O262" s="67"/>
      <c r="P262" s="68"/>
      <c r="Q262" s="76"/>
      <c r="R262" s="70"/>
      <c r="S262" s="1" t="s">
        <v>17974</v>
      </c>
      <c r="T262" s="68"/>
      <c r="U262" s="76"/>
      <c r="V262" s="70"/>
      <c r="W262" s="228">
        <f>ROUND((ROUND((ROUND((_15_同援日３．０*_15・基礎２),0)*(1+_15・A夜間)),0)*(1+_15・区３)),0)</f>
        <v>826</v>
      </c>
      <c r="X262" s="69"/>
    </row>
    <row r="263" spans="1:24" ht="16.5" customHeight="1" x14ac:dyDescent="0.3">
      <c r="A263" s="2">
        <v>15</v>
      </c>
      <c r="B263" s="2">
        <v>8442</v>
      </c>
      <c r="C263" s="60" t="s">
        <v>8685</v>
      </c>
      <c r="D263" s="1"/>
      <c r="E263" s="68"/>
      <c r="F263" s="70"/>
      <c r="G263" s="106" t="s">
        <v>17864</v>
      </c>
      <c r="H263" s="57" t="s">
        <v>1</v>
      </c>
      <c r="I263" s="58">
        <v>0.9</v>
      </c>
      <c r="J263" s="83" t="s">
        <v>5895</v>
      </c>
      <c r="K263" s="64" t="s">
        <v>1</v>
      </c>
      <c r="L263" s="65">
        <v>1</v>
      </c>
      <c r="M263" s="99"/>
      <c r="N263" s="70"/>
      <c r="O263" s="66"/>
      <c r="P263" s="57"/>
      <c r="Q263" s="58"/>
      <c r="R263" s="77"/>
      <c r="S263" s="1" t="s">
        <v>17970</v>
      </c>
      <c r="T263" s="68"/>
      <c r="U263" s="76"/>
      <c r="V263" s="70"/>
      <c r="W263" s="228">
        <f>ROUND((ROUND((ROUND((ROUND((_15_同援日３．０*_15・基礎２),0)*_15・２人),0)*(1+_15・A夜間)),0)*(1+_15・区３)),0)</f>
        <v>826</v>
      </c>
      <c r="X263" s="69"/>
    </row>
    <row r="264" spans="1:24" ht="16.5" customHeight="1" x14ac:dyDescent="0.3">
      <c r="A264" s="2">
        <v>15</v>
      </c>
      <c r="B264" s="2">
        <v>8443</v>
      </c>
      <c r="C264" s="60" t="s">
        <v>8684</v>
      </c>
      <c r="D264" s="1"/>
      <c r="E264" s="68"/>
      <c r="F264" s="70"/>
      <c r="G264" s="61"/>
      <c r="H264" s="62"/>
      <c r="I264" s="63"/>
      <c r="J264" s="85"/>
      <c r="K264" s="64"/>
      <c r="L264" s="65"/>
      <c r="M264" s="99"/>
      <c r="N264" s="70"/>
      <c r="O264" s="74" t="s">
        <v>17969</v>
      </c>
      <c r="P264" s="62"/>
      <c r="Q264" s="63"/>
      <c r="R264" s="75"/>
      <c r="S264" s="67"/>
      <c r="T264" s="68" t="s">
        <v>1</v>
      </c>
      <c r="U264" s="76">
        <v>0.2</v>
      </c>
      <c r="V264" s="70" t="s">
        <v>422</v>
      </c>
      <c r="W264" s="228">
        <f>ROUND((ROUND((ROUND((_15_同援日３．０*(1+_15・A夜間)),0)*(1+_15・盲ろう)),0)*(1+_15・区３)),0)</f>
        <v>1146</v>
      </c>
      <c r="X264" s="69"/>
    </row>
    <row r="265" spans="1:24" ht="16.5" customHeight="1" x14ac:dyDescent="0.3">
      <c r="A265" s="2">
        <v>15</v>
      </c>
      <c r="B265" s="2">
        <v>8444</v>
      </c>
      <c r="C265" s="60" t="s">
        <v>8683</v>
      </c>
      <c r="D265" s="1"/>
      <c r="E265" s="68"/>
      <c r="F265" s="70"/>
      <c r="G265" s="66"/>
      <c r="H265" s="57"/>
      <c r="I265" s="58"/>
      <c r="J265" s="83" t="s">
        <v>5895</v>
      </c>
      <c r="K265" s="64" t="s">
        <v>1</v>
      </c>
      <c r="L265" s="65">
        <v>1</v>
      </c>
      <c r="M265" s="99"/>
      <c r="N265" s="70"/>
      <c r="O265" s="94" t="s">
        <v>17975</v>
      </c>
      <c r="P265" s="68"/>
      <c r="Q265" s="76"/>
      <c r="R265" s="70"/>
      <c r="S265" s="67"/>
      <c r="T265" s="68"/>
      <c r="U265" s="76"/>
      <c r="V265" s="70"/>
      <c r="W265" s="228">
        <f>ROUND((ROUND((ROUND((ROUND((_15_同援日３．０*_15・２人),0)*(1+_15・A夜間)),0)*(1+_15・盲ろう)),0)*(1+_15・区３)),0)</f>
        <v>1146</v>
      </c>
      <c r="X265" s="69"/>
    </row>
    <row r="266" spans="1:24" ht="16.5" customHeight="1" x14ac:dyDescent="0.3">
      <c r="A266" s="2">
        <v>15</v>
      </c>
      <c r="B266" s="2">
        <v>8445</v>
      </c>
      <c r="C266" s="60" t="s">
        <v>8682</v>
      </c>
      <c r="D266" s="1"/>
      <c r="E266" s="68"/>
      <c r="F266" s="70"/>
      <c r="G266" s="74" t="s">
        <v>16823</v>
      </c>
      <c r="H266" s="62"/>
      <c r="I266" s="63"/>
      <c r="J266" s="85"/>
      <c r="K266" s="64"/>
      <c r="L266" s="65"/>
      <c r="M266" s="99"/>
      <c r="N266" s="70"/>
      <c r="O266" s="67"/>
      <c r="P266" s="68" t="s">
        <v>1</v>
      </c>
      <c r="Q266" s="76">
        <v>0.25</v>
      </c>
      <c r="R266" s="70" t="s">
        <v>422</v>
      </c>
      <c r="S266" s="67"/>
      <c r="T266" s="68"/>
      <c r="U266" s="76"/>
      <c r="V266" s="70"/>
      <c r="W266" s="228">
        <f>ROUND((ROUND((ROUND((ROUND((_15_同援日３．０*_15・基礎２),0)*(1+_15・A夜間)),0)*(1+_15・盲ろう)),0)*(1+_15・区３)),0)</f>
        <v>1032</v>
      </c>
      <c r="X266" s="69"/>
    </row>
    <row r="267" spans="1:24" ht="16.5" customHeight="1" x14ac:dyDescent="0.3">
      <c r="A267" s="2">
        <v>15</v>
      </c>
      <c r="B267" s="2">
        <v>8446</v>
      </c>
      <c r="C267" s="60" t="s">
        <v>8681</v>
      </c>
      <c r="D267" s="1"/>
      <c r="E267" s="68"/>
      <c r="F267" s="70"/>
      <c r="G267" s="106" t="s">
        <v>17864</v>
      </c>
      <c r="H267" s="57" t="s">
        <v>1</v>
      </c>
      <c r="I267" s="58">
        <v>0.9</v>
      </c>
      <c r="J267" s="83" t="s">
        <v>5895</v>
      </c>
      <c r="K267" s="64" t="s">
        <v>1</v>
      </c>
      <c r="L267" s="65">
        <v>1</v>
      </c>
      <c r="M267" s="99"/>
      <c r="N267" s="70"/>
      <c r="O267" s="66"/>
      <c r="P267" s="57"/>
      <c r="Q267" s="58"/>
      <c r="R267" s="77"/>
      <c r="S267" s="66"/>
      <c r="T267" s="57"/>
      <c r="U267" s="58"/>
      <c r="V267" s="77"/>
      <c r="W267" s="228">
        <f>ROUND((ROUND((ROUND((ROUND((ROUND((_15_同援日３．０*_15・基礎２),0)*_15・２人),0)*(1+_15・A夜間)),0)*(1+_15・盲ろう)),0)*(1+_15・区３)),0)</f>
        <v>1032</v>
      </c>
      <c r="X267" s="69"/>
    </row>
    <row r="268" spans="1:24" ht="16.5" customHeight="1" x14ac:dyDescent="0.3">
      <c r="A268" s="2">
        <v>15</v>
      </c>
      <c r="B268" s="2">
        <v>8447</v>
      </c>
      <c r="C268" s="60" t="s">
        <v>8680</v>
      </c>
      <c r="D268" s="1"/>
      <c r="E268" s="68"/>
      <c r="F268" s="70"/>
      <c r="G268" s="61"/>
      <c r="H268" s="62"/>
      <c r="I268" s="63"/>
      <c r="J268" s="85"/>
      <c r="K268" s="64"/>
      <c r="L268" s="65"/>
      <c r="M268" s="99"/>
      <c r="N268" s="70"/>
      <c r="O268" s="61"/>
      <c r="P268" s="62"/>
      <c r="Q268" s="63"/>
      <c r="R268" s="75"/>
      <c r="S268" s="61"/>
      <c r="T268" s="62"/>
      <c r="U268" s="63"/>
      <c r="V268" s="75"/>
      <c r="W268" s="228">
        <f>ROUND((ROUND((_15_同援日３．０*(1+_15・A夜間)),0)*(1+_15・区４)),0)</f>
        <v>1070</v>
      </c>
      <c r="X268" s="69"/>
    </row>
    <row r="269" spans="1:24" ht="16.5" customHeight="1" x14ac:dyDescent="0.3">
      <c r="A269" s="2">
        <v>15</v>
      </c>
      <c r="B269" s="2">
        <v>8448</v>
      </c>
      <c r="C269" s="60" t="s">
        <v>8679</v>
      </c>
      <c r="D269" s="1"/>
      <c r="E269" s="68"/>
      <c r="F269" s="70"/>
      <c r="G269" s="66"/>
      <c r="H269" s="57"/>
      <c r="I269" s="58"/>
      <c r="J269" s="83" t="s">
        <v>5895</v>
      </c>
      <c r="K269" s="64" t="s">
        <v>1</v>
      </c>
      <c r="L269" s="65">
        <v>1</v>
      </c>
      <c r="M269" s="99"/>
      <c r="N269" s="70"/>
      <c r="O269" s="67"/>
      <c r="P269" s="68"/>
      <c r="Q269" s="76"/>
      <c r="R269" s="70"/>
      <c r="S269" s="67"/>
      <c r="T269" s="68"/>
      <c r="U269" s="76"/>
      <c r="V269" s="70"/>
      <c r="W269" s="228">
        <f>ROUND((ROUND((ROUND((_15_同援日３．０*_15・２人),0)*(1+_15・A夜間)),0)*(1+_15・区４)),0)</f>
        <v>1070</v>
      </c>
      <c r="X269" s="69"/>
    </row>
    <row r="270" spans="1:24" ht="16.5" customHeight="1" x14ac:dyDescent="0.3">
      <c r="A270" s="2">
        <v>15</v>
      </c>
      <c r="B270" s="2">
        <v>8449</v>
      </c>
      <c r="C270" s="60" t="s">
        <v>8678</v>
      </c>
      <c r="D270" s="1"/>
      <c r="E270" s="68"/>
      <c r="F270" s="70"/>
      <c r="G270" s="74" t="s">
        <v>16823</v>
      </c>
      <c r="H270" s="62"/>
      <c r="I270" s="63"/>
      <c r="J270" s="85"/>
      <c r="K270" s="64"/>
      <c r="L270" s="65"/>
      <c r="M270" s="99"/>
      <c r="N270" s="70"/>
      <c r="O270" s="67"/>
      <c r="P270" s="68"/>
      <c r="Q270" s="76"/>
      <c r="R270" s="70"/>
      <c r="S270" s="1" t="s">
        <v>17971</v>
      </c>
      <c r="T270" s="68"/>
      <c r="U270" s="76"/>
      <c r="V270" s="70"/>
      <c r="W270" s="228">
        <f>ROUND((ROUND((ROUND((_15_同援日３．０*_15・基礎２),0)*(1+_15・A夜間)),0)*(1+_15・区４)),0)</f>
        <v>963</v>
      </c>
      <c r="X270" s="69"/>
    </row>
    <row r="271" spans="1:24" ht="16.5" customHeight="1" x14ac:dyDescent="0.3">
      <c r="A271" s="2">
        <v>15</v>
      </c>
      <c r="B271" s="2">
        <v>8450</v>
      </c>
      <c r="C271" s="60" t="s">
        <v>8677</v>
      </c>
      <c r="D271" s="1"/>
      <c r="E271" s="68"/>
      <c r="F271" s="70"/>
      <c r="G271" s="106" t="s">
        <v>16812</v>
      </c>
      <c r="H271" s="57" t="s">
        <v>1</v>
      </c>
      <c r="I271" s="58">
        <v>0.9</v>
      </c>
      <c r="J271" s="83" t="s">
        <v>5895</v>
      </c>
      <c r="K271" s="64" t="s">
        <v>1</v>
      </c>
      <c r="L271" s="65">
        <v>1</v>
      </c>
      <c r="M271" s="99"/>
      <c r="N271" s="70"/>
      <c r="O271" s="66"/>
      <c r="P271" s="57"/>
      <c r="Q271" s="58"/>
      <c r="R271" s="77"/>
      <c r="S271" s="1" t="s">
        <v>17970</v>
      </c>
      <c r="T271" s="68"/>
      <c r="U271" s="76"/>
      <c r="V271" s="70"/>
      <c r="W271" s="228">
        <f>ROUND((ROUND((ROUND((ROUND((_15_同援日３．０*_15・基礎２),0)*_15・２人),0)*(1+_15・A夜間)),0)*(1+_15・区４)),0)</f>
        <v>963</v>
      </c>
      <c r="X271" s="69"/>
    </row>
    <row r="272" spans="1:24" ht="16.5" customHeight="1" x14ac:dyDescent="0.3">
      <c r="A272" s="2">
        <v>15</v>
      </c>
      <c r="B272" s="2">
        <v>8451</v>
      </c>
      <c r="C272" s="60" t="s">
        <v>8676</v>
      </c>
      <c r="D272" s="1"/>
      <c r="E272" s="68"/>
      <c r="F272" s="70"/>
      <c r="G272" s="61"/>
      <c r="H272" s="62"/>
      <c r="I272" s="63"/>
      <c r="J272" s="85"/>
      <c r="K272" s="64"/>
      <c r="L272" s="65"/>
      <c r="M272" s="99"/>
      <c r="N272" s="70"/>
      <c r="O272" s="74" t="s">
        <v>17969</v>
      </c>
      <c r="P272" s="62"/>
      <c r="Q272" s="63"/>
      <c r="R272" s="75"/>
      <c r="S272" s="67"/>
      <c r="T272" s="68" t="s">
        <v>1</v>
      </c>
      <c r="U272" s="76">
        <v>0.4</v>
      </c>
      <c r="V272" s="70" t="s">
        <v>422</v>
      </c>
      <c r="W272" s="228">
        <f>ROUND((ROUND((ROUND((_15_同援日３．０*(1+_15・A夜間)),0)*(1+_15・盲ろう)),0)*(1+_15・区４)),0)</f>
        <v>1337</v>
      </c>
      <c r="X272" s="69"/>
    </row>
    <row r="273" spans="1:24" ht="16.5" customHeight="1" x14ac:dyDescent="0.3">
      <c r="A273" s="2">
        <v>15</v>
      </c>
      <c r="B273" s="2">
        <v>8452</v>
      </c>
      <c r="C273" s="60" t="s">
        <v>8675</v>
      </c>
      <c r="D273" s="1"/>
      <c r="E273" s="68"/>
      <c r="F273" s="70"/>
      <c r="G273" s="66"/>
      <c r="H273" s="57"/>
      <c r="I273" s="58"/>
      <c r="J273" s="83" t="s">
        <v>5895</v>
      </c>
      <c r="K273" s="64" t="s">
        <v>1</v>
      </c>
      <c r="L273" s="65">
        <v>1</v>
      </c>
      <c r="M273" s="99"/>
      <c r="N273" s="70"/>
      <c r="O273" s="94" t="s">
        <v>17968</v>
      </c>
      <c r="P273" s="68"/>
      <c r="Q273" s="76"/>
      <c r="R273" s="70"/>
      <c r="S273" s="67"/>
      <c r="T273" s="68"/>
      <c r="U273" s="76"/>
      <c r="V273" s="70"/>
      <c r="W273" s="228">
        <f>ROUND((ROUND((ROUND((ROUND((_15_同援日３．０*_15・２人),0)*(1+_15・A夜間)),0)*(1+_15・盲ろう)),0)*(1+_15・区４)),0)</f>
        <v>1337</v>
      </c>
      <c r="X273" s="69"/>
    </row>
    <row r="274" spans="1:24" ht="16.5" customHeight="1" x14ac:dyDescent="0.3">
      <c r="A274" s="2">
        <v>15</v>
      </c>
      <c r="B274" s="2">
        <v>8453</v>
      </c>
      <c r="C274" s="60" t="s">
        <v>8674</v>
      </c>
      <c r="D274" s="1"/>
      <c r="E274" s="68"/>
      <c r="F274" s="70"/>
      <c r="G274" s="74" t="s">
        <v>16823</v>
      </c>
      <c r="H274" s="62"/>
      <c r="I274" s="63"/>
      <c r="J274" s="85"/>
      <c r="K274" s="64"/>
      <c r="L274" s="65"/>
      <c r="M274" s="99"/>
      <c r="N274" s="70"/>
      <c r="O274" s="67"/>
      <c r="P274" s="68" t="s">
        <v>1</v>
      </c>
      <c r="Q274" s="76">
        <v>0.25</v>
      </c>
      <c r="R274" s="70" t="s">
        <v>422</v>
      </c>
      <c r="S274" s="67"/>
      <c r="T274" s="68"/>
      <c r="U274" s="76"/>
      <c r="V274" s="70"/>
      <c r="W274" s="228">
        <f>ROUND((ROUND((ROUND((ROUND((_15_同援日３．０*_15・基礎２),0)*(1+_15・A夜間)),0)*(1+_15・盲ろう)),0)*(1+_15・区４)),0)</f>
        <v>1204</v>
      </c>
      <c r="X274" s="69"/>
    </row>
    <row r="275" spans="1:24" ht="16.5" customHeight="1" x14ac:dyDescent="0.3">
      <c r="A275" s="2">
        <v>15</v>
      </c>
      <c r="B275" s="2">
        <v>8454</v>
      </c>
      <c r="C275" s="60" t="s">
        <v>8673</v>
      </c>
      <c r="D275" s="81"/>
      <c r="E275" s="57"/>
      <c r="F275" s="77"/>
      <c r="G275" s="106" t="s">
        <v>5896</v>
      </c>
      <c r="H275" s="57" t="s">
        <v>1</v>
      </c>
      <c r="I275" s="58">
        <v>0.9</v>
      </c>
      <c r="J275" s="83" t="s">
        <v>5895</v>
      </c>
      <c r="K275" s="64" t="s">
        <v>1</v>
      </c>
      <c r="L275" s="65">
        <v>1</v>
      </c>
      <c r="M275" s="99"/>
      <c r="N275" s="70"/>
      <c r="O275" s="66"/>
      <c r="P275" s="57"/>
      <c r="Q275" s="58"/>
      <c r="R275" s="77"/>
      <c r="S275" s="66"/>
      <c r="T275" s="57"/>
      <c r="U275" s="58"/>
      <c r="V275" s="77"/>
      <c r="W275" s="228">
        <f>ROUND((ROUND((ROUND((ROUND((ROUND((_15_同援日３．０*_15・基礎２),0)*_15・２人),0)*(1+_15・A夜間)),0)*(1+_15・盲ろう)),0)*(1+_15・区４)),0)</f>
        <v>1204</v>
      </c>
      <c r="X275" s="69"/>
    </row>
    <row r="276" spans="1:24" ht="16.5" customHeight="1" x14ac:dyDescent="0.3">
      <c r="A276" s="2">
        <v>15</v>
      </c>
      <c r="B276" s="2">
        <v>8455</v>
      </c>
      <c r="C276" s="60" t="s">
        <v>8672</v>
      </c>
      <c r="D276" s="233" t="s">
        <v>17981</v>
      </c>
      <c r="E276" s="62"/>
      <c r="F276" s="75"/>
      <c r="G276" s="61"/>
      <c r="H276" s="62"/>
      <c r="I276" s="63"/>
      <c r="J276" s="85"/>
      <c r="K276" s="64"/>
      <c r="L276" s="65"/>
      <c r="M276" s="99"/>
      <c r="N276" s="70"/>
      <c r="O276" s="61"/>
      <c r="P276" s="62"/>
      <c r="Q276" s="63"/>
      <c r="R276" s="75"/>
      <c r="S276" s="61"/>
      <c r="T276" s="62"/>
      <c r="U276" s="63"/>
      <c r="V276" s="75"/>
      <c r="W276" s="228">
        <f>ROUND((_15_同援日３．５*(1+_15・A夜間)),0)</f>
        <v>843</v>
      </c>
      <c r="X276" s="69"/>
    </row>
    <row r="277" spans="1:24" ht="16.5" customHeight="1" x14ac:dyDescent="0.3">
      <c r="A277" s="2">
        <v>15</v>
      </c>
      <c r="B277" s="2">
        <v>8456</v>
      </c>
      <c r="C277" s="60" t="s">
        <v>8671</v>
      </c>
      <c r="D277" s="1" t="s">
        <v>16859</v>
      </c>
      <c r="E277" s="68"/>
      <c r="F277" s="70"/>
      <c r="G277" s="66"/>
      <c r="H277" s="57"/>
      <c r="I277" s="58"/>
      <c r="J277" s="83" t="s">
        <v>5895</v>
      </c>
      <c r="K277" s="64" t="s">
        <v>1</v>
      </c>
      <c r="L277" s="65">
        <v>1</v>
      </c>
      <c r="M277" s="99"/>
      <c r="N277" s="70"/>
      <c r="O277" s="67"/>
      <c r="P277" s="68"/>
      <c r="Q277" s="76"/>
      <c r="R277" s="70"/>
      <c r="S277" s="67"/>
      <c r="T277" s="68"/>
      <c r="U277" s="76"/>
      <c r="V277" s="70"/>
      <c r="W277" s="228">
        <f>ROUND((ROUND((_15_同援日３．５*_15・２人),0)*(1+_15・A夜間)),0)</f>
        <v>843</v>
      </c>
      <c r="X277" s="69"/>
    </row>
    <row r="278" spans="1:24" ht="16.5" customHeight="1" x14ac:dyDescent="0.3">
      <c r="A278" s="2">
        <v>15</v>
      </c>
      <c r="B278" s="2">
        <v>8457</v>
      </c>
      <c r="C278" s="60" t="s">
        <v>8670</v>
      </c>
      <c r="D278" s="1" t="s">
        <v>8450</v>
      </c>
      <c r="E278" s="68"/>
      <c r="F278" s="70"/>
      <c r="G278" s="74" t="s">
        <v>16823</v>
      </c>
      <c r="H278" s="62"/>
      <c r="I278" s="63"/>
      <c r="J278" s="85"/>
      <c r="K278" s="64"/>
      <c r="L278" s="65"/>
      <c r="M278" s="99"/>
      <c r="N278" s="70"/>
      <c r="O278" s="67"/>
      <c r="P278" s="68"/>
      <c r="Q278" s="76"/>
      <c r="R278" s="70"/>
      <c r="S278" s="67"/>
      <c r="T278" s="68"/>
      <c r="U278" s="76"/>
      <c r="V278" s="70"/>
      <c r="W278" s="228">
        <f>ROUND((ROUND((_15_同援日３．５*_15・基礎２),0)*(1+_15・A夜間)),0)</f>
        <v>759</v>
      </c>
      <c r="X278" s="69"/>
    </row>
    <row r="279" spans="1:24" ht="16.5" customHeight="1" x14ac:dyDescent="0.3">
      <c r="A279" s="2">
        <v>15</v>
      </c>
      <c r="B279" s="2">
        <v>8458</v>
      </c>
      <c r="C279" s="60" t="s">
        <v>8669</v>
      </c>
      <c r="D279" s="1"/>
      <c r="E279" s="227">
        <v>674</v>
      </c>
      <c r="F279" s="70" t="s">
        <v>0</v>
      </c>
      <c r="G279" s="106" t="s">
        <v>17850</v>
      </c>
      <c r="H279" s="57" t="s">
        <v>1</v>
      </c>
      <c r="I279" s="58">
        <v>0.9</v>
      </c>
      <c r="J279" s="83" t="s">
        <v>5895</v>
      </c>
      <c r="K279" s="64" t="s">
        <v>1</v>
      </c>
      <c r="L279" s="65">
        <v>1</v>
      </c>
      <c r="M279" s="99"/>
      <c r="N279" s="70"/>
      <c r="O279" s="66"/>
      <c r="P279" s="57"/>
      <c r="Q279" s="58"/>
      <c r="R279" s="77"/>
      <c r="S279" s="67"/>
      <c r="T279" s="68"/>
      <c r="U279" s="76"/>
      <c r="V279" s="70"/>
      <c r="W279" s="228">
        <f>ROUND((ROUND((ROUND((_15_同援日３．５*_15・基礎２),0)*_15・２人),0)*(1+_15・A夜間)),0)</f>
        <v>759</v>
      </c>
      <c r="X279" s="69"/>
    </row>
    <row r="280" spans="1:24" ht="16.5" customHeight="1" x14ac:dyDescent="0.3">
      <c r="A280" s="2">
        <v>15</v>
      </c>
      <c r="B280" s="2">
        <v>8459</v>
      </c>
      <c r="C280" s="60" t="s">
        <v>8668</v>
      </c>
      <c r="D280" s="1"/>
      <c r="E280" s="68"/>
      <c r="F280" s="70"/>
      <c r="G280" s="61"/>
      <c r="H280" s="62"/>
      <c r="I280" s="63"/>
      <c r="J280" s="85"/>
      <c r="K280" s="64"/>
      <c r="L280" s="65"/>
      <c r="M280" s="99"/>
      <c r="N280" s="70"/>
      <c r="O280" s="74" t="s">
        <v>17969</v>
      </c>
      <c r="P280" s="62"/>
      <c r="Q280" s="63"/>
      <c r="R280" s="75"/>
      <c r="S280" s="67"/>
      <c r="T280" s="68"/>
      <c r="U280" s="76"/>
      <c r="V280" s="70"/>
      <c r="W280" s="228">
        <f>ROUND((ROUND((_15_同援日３．５*(1+_15・A夜間)),0)*(1+_15・盲ろう)),0)</f>
        <v>1054</v>
      </c>
      <c r="X280" s="69"/>
    </row>
    <row r="281" spans="1:24" ht="16.5" customHeight="1" x14ac:dyDescent="0.3">
      <c r="A281" s="2">
        <v>15</v>
      </c>
      <c r="B281" s="2">
        <v>8460</v>
      </c>
      <c r="C281" s="60" t="s">
        <v>8667</v>
      </c>
      <c r="D281" s="1"/>
      <c r="E281" s="68"/>
      <c r="F281" s="70"/>
      <c r="G281" s="66"/>
      <c r="H281" s="57"/>
      <c r="I281" s="58"/>
      <c r="J281" s="83" t="s">
        <v>5895</v>
      </c>
      <c r="K281" s="64" t="s">
        <v>1</v>
      </c>
      <c r="L281" s="65">
        <v>1</v>
      </c>
      <c r="M281" s="99"/>
      <c r="N281" s="70"/>
      <c r="O281" s="94" t="s">
        <v>17968</v>
      </c>
      <c r="P281" s="68"/>
      <c r="Q281" s="76"/>
      <c r="R281" s="70"/>
      <c r="S281" s="67"/>
      <c r="T281" s="68"/>
      <c r="U281" s="76"/>
      <c r="V281" s="70"/>
      <c r="W281" s="228">
        <f>ROUND((ROUND((ROUND((_15_同援日３．５*_15・２人),0)*(1+_15・A夜間)),0)*(1+_15・盲ろう)),0)</f>
        <v>1054</v>
      </c>
      <c r="X281" s="69"/>
    </row>
    <row r="282" spans="1:24" ht="16.5" customHeight="1" x14ac:dyDescent="0.3">
      <c r="A282" s="2">
        <v>15</v>
      </c>
      <c r="B282" s="2">
        <v>8461</v>
      </c>
      <c r="C282" s="60" t="s">
        <v>8666</v>
      </c>
      <c r="D282" s="1"/>
      <c r="E282" s="68"/>
      <c r="F282" s="70"/>
      <c r="G282" s="74" t="s">
        <v>16823</v>
      </c>
      <c r="H282" s="62"/>
      <c r="I282" s="63"/>
      <c r="J282" s="85"/>
      <c r="K282" s="64"/>
      <c r="L282" s="65"/>
      <c r="M282" s="99"/>
      <c r="N282" s="70"/>
      <c r="O282" s="67"/>
      <c r="P282" s="68" t="s">
        <v>1</v>
      </c>
      <c r="Q282" s="76">
        <v>0.25</v>
      </c>
      <c r="R282" s="70" t="s">
        <v>422</v>
      </c>
      <c r="S282" s="67"/>
      <c r="T282" s="68"/>
      <c r="U282" s="76"/>
      <c r="V282" s="70"/>
      <c r="W282" s="228">
        <f>ROUND((ROUND((ROUND((_15_同援日３．５*_15・基礎２),0)*(1+_15・A夜間)),0)*(1+_15・盲ろう)),0)</f>
        <v>949</v>
      </c>
      <c r="X282" s="69"/>
    </row>
    <row r="283" spans="1:24" ht="16.5" customHeight="1" x14ac:dyDescent="0.3">
      <c r="A283" s="2">
        <v>15</v>
      </c>
      <c r="B283" s="2">
        <v>8462</v>
      </c>
      <c r="C283" s="60" t="s">
        <v>8665</v>
      </c>
      <c r="D283" s="1"/>
      <c r="E283" s="68"/>
      <c r="F283" s="70"/>
      <c r="G283" s="106" t="s">
        <v>16812</v>
      </c>
      <c r="H283" s="57" t="s">
        <v>1</v>
      </c>
      <c r="I283" s="58">
        <v>0.9</v>
      </c>
      <c r="J283" s="83" t="s">
        <v>5895</v>
      </c>
      <c r="K283" s="64" t="s">
        <v>1</v>
      </c>
      <c r="L283" s="65">
        <v>1</v>
      </c>
      <c r="M283" s="99"/>
      <c r="N283" s="70"/>
      <c r="O283" s="66"/>
      <c r="P283" s="57"/>
      <c r="Q283" s="58"/>
      <c r="R283" s="77"/>
      <c r="S283" s="66"/>
      <c r="T283" s="57"/>
      <c r="U283" s="58"/>
      <c r="V283" s="77"/>
      <c r="W283" s="228">
        <f>ROUND((ROUND((ROUND((ROUND((_15_同援日３．５*_15・基礎２),0)*_15・２人),0)*(1+_15・A夜間)),0)*(1+_15・盲ろう)),0)</f>
        <v>949</v>
      </c>
      <c r="X283" s="69"/>
    </row>
    <row r="284" spans="1:24" ht="16.5" customHeight="1" x14ac:dyDescent="0.3">
      <c r="A284" s="2">
        <v>15</v>
      </c>
      <c r="B284" s="2">
        <v>8463</v>
      </c>
      <c r="C284" s="60" t="s">
        <v>8664</v>
      </c>
      <c r="D284" s="1"/>
      <c r="E284" s="68"/>
      <c r="F284" s="70"/>
      <c r="G284" s="61"/>
      <c r="H284" s="62"/>
      <c r="I284" s="63"/>
      <c r="J284" s="85"/>
      <c r="K284" s="64"/>
      <c r="L284" s="65"/>
      <c r="M284" s="99"/>
      <c r="N284" s="70"/>
      <c r="O284" s="61"/>
      <c r="P284" s="62"/>
      <c r="Q284" s="63"/>
      <c r="R284" s="75"/>
      <c r="S284" s="61"/>
      <c r="T284" s="62"/>
      <c r="U284" s="63"/>
      <c r="V284" s="75"/>
      <c r="W284" s="228">
        <f>ROUND((ROUND((_15_同援日３．５*(1+_15・A夜間)),0)*(1+_15・区３)),0)</f>
        <v>1012</v>
      </c>
      <c r="X284" s="69"/>
    </row>
    <row r="285" spans="1:24" ht="16.5" customHeight="1" x14ac:dyDescent="0.3">
      <c r="A285" s="2">
        <v>15</v>
      </c>
      <c r="B285" s="2">
        <v>8464</v>
      </c>
      <c r="C285" s="60" t="s">
        <v>8663</v>
      </c>
      <c r="D285" s="1"/>
      <c r="E285" s="68"/>
      <c r="F285" s="70"/>
      <c r="G285" s="66"/>
      <c r="H285" s="57"/>
      <c r="I285" s="58"/>
      <c r="J285" s="83" t="s">
        <v>5895</v>
      </c>
      <c r="K285" s="64" t="s">
        <v>1</v>
      </c>
      <c r="L285" s="65">
        <v>1</v>
      </c>
      <c r="M285" s="99"/>
      <c r="N285" s="70"/>
      <c r="O285" s="67"/>
      <c r="P285" s="68"/>
      <c r="Q285" s="76"/>
      <c r="R285" s="70"/>
      <c r="S285" s="67"/>
      <c r="T285" s="68"/>
      <c r="U285" s="76"/>
      <c r="V285" s="70"/>
      <c r="W285" s="228">
        <f>ROUND((ROUND((ROUND((_15_同援日３．５*_15・２人),0)*(1+_15・A夜間)),0)*(1+_15・区３)),0)</f>
        <v>1012</v>
      </c>
      <c r="X285" s="69"/>
    </row>
    <row r="286" spans="1:24" ht="16.5" customHeight="1" x14ac:dyDescent="0.3">
      <c r="A286" s="2">
        <v>15</v>
      </c>
      <c r="B286" s="2">
        <v>8465</v>
      </c>
      <c r="C286" s="60" t="s">
        <v>8662</v>
      </c>
      <c r="D286" s="1"/>
      <c r="E286" s="68"/>
      <c r="F286" s="70"/>
      <c r="G286" s="74" t="s">
        <v>16823</v>
      </c>
      <c r="H286" s="62"/>
      <c r="I286" s="63"/>
      <c r="J286" s="85"/>
      <c r="K286" s="64"/>
      <c r="L286" s="65"/>
      <c r="M286" s="99"/>
      <c r="N286" s="70"/>
      <c r="O286" s="67"/>
      <c r="P286" s="68"/>
      <c r="Q286" s="76"/>
      <c r="R286" s="70"/>
      <c r="S286" s="1" t="s">
        <v>17974</v>
      </c>
      <c r="T286" s="68"/>
      <c r="U286" s="76"/>
      <c r="V286" s="70"/>
      <c r="W286" s="228">
        <f>ROUND((ROUND((ROUND((_15_同援日３．５*_15・基礎２),0)*(1+_15・A夜間)),0)*(1+_15・区３)),0)</f>
        <v>911</v>
      </c>
      <c r="X286" s="69"/>
    </row>
    <row r="287" spans="1:24" ht="16.5" customHeight="1" x14ac:dyDescent="0.3">
      <c r="A287" s="2">
        <v>15</v>
      </c>
      <c r="B287" s="2">
        <v>8466</v>
      </c>
      <c r="C287" s="60" t="s">
        <v>8661</v>
      </c>
      <c r="D287" s="1"/>
      <c r="E287" s="68"/>
      <c r="F287" s="70"/>
      <c r="G287" s="106" t="s">
        <v>16812</v>
      </c>
      <c r="H287" s="57" t="s">
        <v>1</v>
      </c>
      <c r="I287" s="58">
        <v>0.9</v>
      </c>
      <c r="J287" s="83" t="s">
        <v>5895</v>
      </c>
      <c r="K287" s="64" t="s">
        <v>1</v>
      </c>
      <c r="L287" s="65">
        <v>1</v>
      </c>
      <c r="M287" s="99"/>
      <c r="N287" s="70"/>
      <c r="O287" s="66"/>
      <c r="P287" s="57"/>
      <c r="Q287" s="58"/>
      <c r="R287" s="77"/>
      <c r="S287" s="1" t="s">
        <v>17970</v>
      </c>
      <c r="T287" s="68"/>
      <c r="U287" s="76"/>
      <c r="V287" s="70"/>
      <c r="W287" s="228">
        <f>ROUND((ROUND((ROUND((ROUND((_15_同援日３．５*_15・基礎２),0)*_15・２人),0)*(1+_15・A夜間)),0)*(1+_15・区３)),0)</f>
        <v>911</v>
      </c>
      <c r="X287" s="69"/>
    </row>
    <row r="288" spans="1:24" ht="16.5" customHeight="1" x14ac:dyDescent="0.3">
      <c r="A288" s="2">
        <v>15</v>
      </c>
      <c r="B288" s="2">
        <v>8467</v>
      </c>
      <c r="C288" s="60" t="s">
        <v>8660</v>
      </c>
      <c r="D288" s="1"/>
      <c r="E288" s="68"/>
      <c r="F288" s="70"/>
      <c r="G288" s="61"/>
      <c r="H288" s="62"/>
      <c r="I288" s="63"/>
      <c r="J288" s="85"/>
      <c r="K288" s="64"/>
      <c r="L288" s="65"/>
      <c r="M288" s="99"/>
      <c r="N288" s="70"/>
      <c r="O288" s="74" t="s">
        <v>17969</v>
      </c>
      <c r="P288" s="62"/>
      <c r="Q288" s="63"/>
      <c r="R288" s="75"/>
      <c r="S288" s="67"/>
      <c r="T288" s="68" t="s">
        <v>1</v>
      </c>
      <c r="U288" s="76">
        <v>0.2</v>
      </c>
      <c r="V288" s="70" t="s">
        <v>422</v>
      </c>
      <c r="W288" s="228">
        <f>ROUND((ROUND((ROUND((_15_同援日３．５*(1+_15・A夜間)),0)*(1+_15・盲ろう)),0)*(1+_15・区３)),0)</f>
        <v>1265</v>
      </c>
      <c r="X288" s="69"/>
    </row>
    <row r="289" spans="1:24" ht="16.5" customHeight="1" x14ac:dyDescent="0.3">
      <c r="A289" s="2">
        <v>15</v>
      </c>
      <c r="B289" s="2">
        <v>8468</v>
      </c>
      <c r="C289" s="60" t="s">
        <v>8659</v>
      </c>
      <c r="D289" s="1"/>
      <c r="E289" s="68"/>
      <c r="F289" s="70"/>
      <c r="G289" s="66"/>
      <c r="H289" s="57"/>
      <c r="I289" s="58"/>
      <c r="J289" s="83" t="s">
        <v>5895</v>
      </c>
      <c r="K289" s="64" t="s">
        <v>1</v>
      </c>
      <c r="L289" s="65">
        <v>1</v>
      </c>
      <c r="M289" s="99"/>
      <c r="N289" s="70"/>
      <c r="O289" s="94" t="s">
        <v>17975</v>
      </c>
      <c r="P289" s="68"/>
      <c r="Q289" s="76"/>
      <c r="R289" s="70"/>
      <c r="S289" s="67"/>
      <c r="T289" s="68"/>
      <c r="U289" s="76"/>
      <c r="V289" s="70"/>
      <c r="W289" s="228">
        <f>ROUND((ROUND((ROUND((ROUND((_15_同援日３．５*_15・２人),0)*(1+_15・A夜間)),0)*(1+_15・盲ろう)),0)*(1+_15・区３)),0)</f>
        <v>1265</v>
      </c>
      <c r="X289" s="69"/>
    </row>
    <row r="290" spans="1:24" ht="16.5" customHeight="1" x14ac:dyDescent="0.3">
      <c r="A290" s="2">
        <v>15</v>
      </c>
      <c r="B290" s="2">
        <v>8469</v>
      </c>
      <c r="C290" s="60" t="s">
        <v>8658</v>
      </c>
      <c r="D290" s="1"/>
      <c r="E290" s="68"/>
      <c r="F290" s="70"/>
      <c r="G290" s="74" t="s">
        <v>16823</v>
      </c>
      <c r="H290" s="62"/>
      <c r="I290" s="63"/>
      <c r="J290" s="85"/>
      <c r="K290" s="64"/>
      <c r="L290" s="65"/>
      <c r="M290" s="99"/>
      <c r="N290" s="70"/>
      <c r="O290" s="67"/>
      <c r="P290" s="68" t="s">
        <v>1</v>
      </c>
      <c r="Q290" s="76">
        <v>0.25</v>
      </c>
      <c r="R290" s="70" t="s">
        <v>422</v>
      </c>
      <c r="S290" s="67"/>
      <c r="T290" s="68"/>
      <c r="U290" s="76"/>
      <c r="V290" s="70"/>
      <c r="W290" s="228">
        <f>ROUND((ROUND((ROUND((ROUND((_15_同援日３．５*_15・基礎２),0)*(1+_15・A夜間)),0)*(1+_15・盲ろう)),0)*(1+_15・区３)),0)</f>
        <v>1139</v>
      </c>
      <c r="X290" s="69"/>
    </row>
    <row r="291" spans="1:24" ht="16.5" customHeight="1" x14ac:dyDescent="0.3">
      <c r="A291" s="2">
        <v>15</v>
      </c>
      <c r="B291" s="2">
        <v>8470</v>
      </c>
      <c r="C291" s="60" t="s">
        <v>8657</v>
      </c>
      <c r="D291" s="1"/>
      <c r="E291" s="68"/>
      <c r="F291" s="70"/>
      <c r="G291" s="106" t="s">
        <v>16812</v>
      </c>
      <c r="H291" s="57" t="s">
        <v>1</v>
      </c>
      <c r="I291" s="58">
        <v>0.9</v>
      </c>
      <c r="J291" s="83" t="s">
        <v>5895</v>
      </c>
      <c r="K291" s="64" t="s">
        <v>1</v>
      </c>
      <c r="L291" s="65">
        <v>1</v>
      </c>
      <c r="M291" s="99"/>
      <c r="N291" s="70"/>
      <c r="O291" s="66"/>
      <c r="P291" s="57"/>
      <c r="Q291" s="58"/>
      <c r="R291" s="77"/>
      <c r="S291" s="66"/>
      <c r="T291" s="57"/>
      <c r="U291" s="58"/>
      <c r="V291" s="77"/>
      <c r="W291" s="228">
        <f>ROUND((ROUND((ROUND((ROUND((ROUND((_15_同援日３．５*_15・基礎２),0)*_15・２人),0)*(1+_15・A夜間)),0)*(1+_15・盲ろう)),0)*(1+_15・区３)),0)</f>
        <v>1139</v>
      </c>
      <c r="X291" s="69"/>
    </row>
    <row r="292" spans="1:24" ht="16.5" customHeight="1" x14ac:dyDescent="0.3">
      <c r="A292" s="2">
        <v>15</v>
      </c>
      <c r="B292" s="2">
        <v>8471</v>
      </c>
      <c r="C292" s="60" t="s">
        <v>8656</v>
      </c>
      <c r="D292" s="1"/>
      <c r="E292" s="68"/>
      <c r="F292" s="70"/>
      <c r="G292" s="61"/>
      <c r="H292" s="62"/>
      <c r="I292" s="63"/>
      <c r="J292" s="85"/>
      <c r="K292" s="64"/>
      <c r="L292" s="65"/>
      <c r="M292" s="99"/>
      <c r="N292" s="70"/>
      <c r="O292" s="61"/>
      <c r="P292" s="62"/>
      <c r="Q292" s="63"/>
      <c r="R292" s="75"/>
      <c r="S292" s="61"/>
      <c r="T292" s="62"/>
      <c r="U292" s="63"/>
      <c r="V292" s="75"/>
      <c r="W292" s="228">
        <f>ROUND((ROUND((_15_同援日３．５*(1+_15・A夜間)),0)*(1+_15・区４)),0)</f>
        <v>1180</v>
      </c>
      <c r="X292" s="69"/>
    </row>
    <row r="293" spans="1:24" ht="16.5" customHeight="1" x14ac:dyDescent="0.3">
      <c r="A293" s="2">
        <v>15</v>
      </c>
      <c r="B293" s="2">
        <v>8472</v>
      </c>
      <c r="C293" s="60" t="s">
        <v>8655</v>
      </c>
      <c r="D293" s="1"/>
      <c r="E293" s="68"/>
      <c r="F293" s="70"/>
      <c r="G293" s="66"/>
      <c r="H293" s="57"/>
      <c r="I293" s="58"/>
      <c r="J293" s="83" t="s">
        <v>5895</v>
      </c>
      <c r="K293" s="64" t="s">
        <v>1</v>
      </c>
      <c r="L293" s="65">
        <v>1</v>
      </c>
      <c r="M293" s="99"/>
      <c r="N293" s="70"/>
      <c r="O293" s="67"/>
      <c r="P293" s="68"/>
      <c r="Q293" s="76"/>
      <c r="R293" s="70"/>
      <c r="S293" s="67"/>
      <c r="T293" s="68"/>
      <c r="U293" s="76"/>
      <c r="V293" s="70"/>
      <c r="W293" s="228">
        <f>ROUND((ROUND((ROUND((_15_同援日３．５*_15・２人),0)*(1+_15・A夜間)),0)*(1+_15・区４)),0)</f>
        <v>1180</v>
      </c>
      <c r="X293" s="69"/>
    </row>
    <row r="294" spans="1:24" ht="16.5" customHeight="1" x14ac:dyDescent="0.3">
      <c r="A294" s="2">
        <v>15</v>
      </c>
      <c r="B294" s="2">
        <v>8473</v>
      </c>
      <c r="C294" s="60" t="s">
        <v>8654</v>
      </c>
      <c r="D294" s="1"/>
      <c r="E294" s="68"/>
      <c r="F294" s="70"/>
      <c r="G294" s="74" t="s">
        <v>16823</v>
      </c>
      <c r="H294" s="62"/>
      <c r="I294" s="63"/>
      <c r="J294" s="85"/>
      <c r="K294" s="64"/>
      <c r="L294" s="65"/>
      <c r="M294" s="99"/>
      <c r="N294" s="70"/>
      <c r="O294" s="67"/>
      <c r="P294" s="68"/>
      <c r="Q294" s="76"/>
      <c r="R294" s="70"/>
      <c r="S294" s="1" t="s">
        <v>17971</v>
      </c>
      <c r="T294" s="68"/>
      <c r="U294" s="76"/>
      <c r="V294" s="70"/>
      <c r="W294" s="228">
        <f>ROUND((ROUND((ROUND((_15_同援日３．５*_15・基礎２),0)*(1+_15・A夜間)),0)*(1+_15・区４)),0)</f>
        <v>1063</v>
      </c>
      <c r="X294" s="69"/>
    </row>
    <row r="295" spans="1:24" ht="16.5" customHeight="1" x14ac:dyDescent="0.3">
      <c r="A295" s="2">
        <v>15</v>
      </c>
      <c r="B295" s="2">
        <v>8474</v>
      </c>
      <c r="C295" s="60" t="s">
        <v>8653</v>
      </c>
      <c r="D295" s="1"/>
      <c r="E295" s="68"/>
      <c r="F295" s="70"/>
      <c r="G295" s="106" t="s">
        <v>16812</v>
      </c>
      <c r="H295" s="57" t="s">
        <v>1</v>
      </c>
      <c r="I295" s="58">
        <v>0.9</v>
      </c>
      <c r="J295" s="83" t="s">
        <v>5895</v>
      </c>
      <c r="K295" s="64" t="s">
        <v>1</v>
      </c>
      <c r="L295" s="65">
        <v>1</v>
      </c>
      <c r="M295" s="99"/>
      <c r="N295" s="70"/>
      <c r="O295" s="66"/>
      <c r="P295" s="57"/>
      <c r="Q295" s="58"/>
      <c r="R295" s="77"/>
      <c r="S295" s="1" t="s">
        <v>17980</v>
      </c>
      <c r="T295" s="68"/>
      <c r="U295" s="76"/>
      <c r="V295" s="70"/>
      <c r="W295" s="228">
        <f>ROUND((ROUND((ROUND((ROUND((_15_同援日３．５*_15・基礎２),0)*_15・２人),0)*(1+_15・A夜間)),0)*(1+_15・区４)),0)</f>
        <v>1063</v>
      </c>
      <c r="X295" s="69"/>
    </row>
    <row r="296" spans="1:24" ht="16.5" customHeight="1" x14ac:dyDescent="0.3">
      <c r="A296" s="2">
        <v>15</v>
      </c>
      <c r="B296" s="2">
        <v>8475</v>
      </c>
      <c r="C296" s="60" t="s">
        <v>8652</v>
      </c>
      <c r="D296" s="1"/>
      <c r="E296" s="68"/>
      <c r="F296" s="70"/>
      <c r="G296" s="61"/>
      <c r="H296" s="62"/>
      <c r="I296" s="63"/>
      <c r="J296" s="85"/>
      <c r="K296" s="64"/>
      <c r="L296" s="65"/>
      <c r="M296" s="99"/>
      <c r="N296" s="70"/>
      <c r="O296" s="74" t="s">
        <v>17969</v>
      </c>
      <c r="P296" s="62"/>
      <c r="Q296" s="63"/>
      <c r="R296" s="75"/>
      <c r="S296" s="67"/>
      <c r="T296" s="68" t="s">
        <v>1</v>
      </c>
      <c r="U296" s="76">
        <v>0.4</v>
      </c>
      <c r="V296" s="70" t="s">
        <v>422</v>
      </c>
      <c r="W296" s="228">
        <f>ROUND((ROUND((ROUND((_15_同援日３．５*(1+_15・A夜間)),0)*(1+_15・盲ろう)),0)*(1+_15・区４)),0)</f>
        <v>1476</v>
      </c>
      <c r="X296" s="69"/>
    </row>
    <row r="297" spans="1:24" ht="16.5" customHeight="1" x14ac:dyDescent="0.3">
      <c r="A297" s="2">
        <v>15</v>
      </c>
      <c r="B297" s="2">
        <v>8476</v>
      </c>
      <c r="C297" s="60" t="s">
        <v>8651</v>
      </c>
      <c r="D297" s="1"/>
      <c r="E297" s="68"/>
      <c r="F297" s="70"/>
      <c r="G297" s="66"/>
      <c r="H297" s="57"/>
      <c r="I297" s="58"/>
      <c r="J297" s="83" t="s">
        <v>5895</v>
      </c>
      <c r="K297" s="64" t="s">
        <v>1</v>
      </c>
      <c r="L297" s="65">
        <v>1</v>
      </c>
      <c r="M297" s="99"/>
      <c r="N297" s="70"/>
      <c r="O297" s="94" t="s">
        <v>17968</v>
      </c>
      <c r="P297" s="68"/>
      <c r="Q297" s="76"/>
      <c r="R297" s="70"/>
      <c r="S297" s="67"/>
      <c r="T297" s="68"/>
      <c r="U297" s="76"/>
      <c r="V297" s="70"/>
      <c r="W297" s="228">
        <f>ROUND((ROUND((ROUND((ROUND((_15_同援日３．５*_15・２人),0)*(1+_15・A夜間)),0)*(1+_15・盲ろう)),0)*(1+_15・区４)),0)</f>
        <v>1476</v>
      </c>
      <c r="X297" s="69"/>
    </row>
    <row r="298" spans="1:24" ht="16.5" customHeight="1" x14ac:dyDescent="0.3">
      <c r="A298" s="2">
        <v>15</v>
      </c>
      <c r="B298" s="2">
        <v>8477</v>
      </c>
      <c r="C298" s="60" t="s">
        <v>8650</v>
      </c>
      <c r="D298" s="1"/>
      <c r="E298" s="68"/>
      <c r="F298" s="70"/>
      <c r="G298" s="74" t="s">
        <v>16823</v>
      </c>
      <c r="H298" s="62"/>
      <c r="I298" s="63"/>
      <c r="J298" s="85"/>
      <c r="K298" s="64"/>
      <c r="L298" s="65"/>
      <c r="M298" s="99"/>
      <c r="N298" s="70"/>
      <c r="O298" s="67"/>
      <c r="P298" s="68" t="s">
        <v>1</v>
      </c>
      <c r="Q298" s="76">
        <v>0.25</v>
      </c>
      <c r="R298" s="70" t="s">
        <v>422</v>
      </c>
      <c r="S298" s="67"/>
      <c r="T298" s="68"/>
      <c r="U298" s="76"/>
      <c r="V298" s="70"/>
      <c r="W298" s="228">
        <f>ROUND((ROUND((ROUND((ROUND((_15_同援日３．５*_15・基礎２),0)*(1+_15・A夜間)),0)*(1+_15・盲ろう)),0)*(1+_15・区４)),0)</f>
        <v>1329</v>
      </c>
      <c r="X298" s="69"/>
    </row>
    <row r="299" spans="1:24" ht="16.5" customHeight="1" x14ac:dyDescent="0.3">
      <c r="A299" s="2">
        <v>15</v>
      </c>
      <c r="B299" s="2">
        <v>8478</v>
      </c>
      <c r="C299" s="60" t="s">
        <v>8649</v>
      </c>
      <c r="D299" s="81"/>
      <c r="E299" s="57"/>
      <c r="F299" s="77"/>
      <c r="G299" s="106" t="s">
        <v>16812</v>
      </c>
      <c r="H299" s="57" t="s">
        <v>1</v>
      </c>
      <c r="I299" s="58">
        <v>0.9</v>
      </c>
      <c r="J299" s="83" t="s">
        <v>5895</v>
      </c>
      <c r="K299" s="64" t="s">
        <v>1</v>
      </c>
      <c r="L299" s="65">
        <v>1</v>
      </c>
      <c r="M299" s="99"/>
      <c r="N299" s="70"/>
      <c r="O299" s="66"/>
      <c r="P299" s="57"/>
      <c r="Q299" s="58"/>
      <c r="R299" s="77"/>
      <c r="S299" s="66"/>
      <c r="T299" s="57"/>
      <c r="U299" s="58"/>
      <c r="V299" s="77"/>
      <c r="W299" s="228">
        <f>ROUND((ROUND((ROUND((ROUND((ROUND((_15_同援日３．５*_15・基礎２),0)*_15・２人),0)*(1+_15・A夜間)),0)*(1+_15・盲ろう)),0)*(1+_15・区４)),0)</f>
        <v>1329</v>
      </c>
      <c r="X299" s="69"/>
    </row>
    <row r="300" spans="1:24" ht="16.5" customHeight="1" x14ac:dyDescent="0.3">
      <c r="A300" s="2">
        <v>15</v>
      </c>
      <c r="B300" s="2">
        <v>8479</v>
      </c>
      <c r="C300" s="60" t="s">
        <v>8648</v>
      </c>
      <c r="D300" s="233" t="s">
        <v>17979</v>
      </c>
      <c r="E300" s="62"/>
      <c r="F300" s="75"/>
      <c r="G300" s="61"/>
      <c r="H300" s="62"/>
      <c r="I300" s="63"/>
      <c r="J300" s="85"/>
      <c r="K300" s="64"/>
      <c r="L300" s="65"/>
      <c r="M300" s="99"/>
      <c r="N300" s="70"/>
      <c r="O300" s="61"/>
      <c r="P300" s="62"/>
      <c r="Q300" s="63"/>
      <c r="R300" s="75"/>
      <c r="S300" s="61"/>
      <c r="T300" s="62"/>
      <c r="U300" s="63"/>
      <c r="V300" s="75"/>
      <c r="W300" s="228">
        <f>ROUND((_15_同援日４．０*(1+_15・A夜間)),0)</f>
        <v>921</v>
      </c>
      <c r="X300" s="69"/>
    </row>
    <row r="301" spans="1:24" ht="16.5" customHeight="1" x14ac:dyDescent="0.3">
      <c r="A301" s="2">
        <v>15</v>
      </c>
      <c r="B301" s="2">
        <v>8480</v>
      </c>
      <c r="C301" s="60" t="s">
        <v>8647</v>
      </c>
      <c r="D301" s="1" t="s">
        <v>17978</v>
      </c>
      <c r="E301" s="68"/>
      <c r="F301" s="70"/>
      <c r="G301" s="66"/>
      <c r="H301" s="57"/>
      <c r="I301" s="58"/>
      <c r="J301" s="83" t="s">
        <v>5895</v>
      </c>
      <c r="K301" s="64" t="s">
        <v>1</v>
      </c>
      <c r="L301" s="65">
        <v>1</v>
      </c>
      <c r="M301" s="99"/>
      <c r="N301" s="70"/>
      <c r="O301" s="67"/>
      <c r="P301" s="68"/>
      <c r="Q301" s="76"/>
      <c r="R301" s="70"/>
      <c r="S301" s="67"/>
      <c r="T301" s="68"/>
      <c r="U301" s="76"/>
      <c r="V301" s="70"/>
      <c r="W301" s="228">
        <f>ROUND((ROUND((_15_同援日４．０*_15・２人),0)*(1+_15・A夜間)),0)</f>
        <v>921</v>
      </c>
      <c r="X301" s="69"/>
    </row>
    <row r="302" spans="1:24" ht="16.5" customHeight="1" x14ac:dyDescent="0.3">
      <c r="A302" s="2">
        <v>15</v>
      </c>
      <c r="B302" s="2">
        <v>8481</v>
      </c>
      <c r="C302" s="60" t="s">
        <v>8646</v>
      </c>
      <c r="D302" s="1" t="s">
        <v>8425</v>
      </c>
      <c r="E302" s="68"/>
      <c r="F302" s="70"/>
      <c r="G302" s="74" t="s">
        <v>16823</v>
      </c>
      <c r="H302" s="62"/>
      <c r="I302" s="63"/>
      <c r="J302" s="85"/>
      <c r="K302" s="64"/>
      <c r="L302" s="65"/>
      <c r="M302" s="99"/>
      <c r="N302" s="70"/>
      <c r="O302" s="67"/>
      <c r="P302" s="68"/>
      <c r="Q302" s="76"/>
      <c r="R302" s="70"/>
      <c r="S302" s="67"/>
      <c r="T302" s="68"/>
      <c r="U302" s="76"/>
      <c r="V302" s="70"/>
      <c r="W302" s="228">
        <f>ROUND((ROUND((_15_同援日４．０*_15・基礎２),0)*(1+_15・A夜間)),0)</f>
        <v>829</v>
      </c>
      <c r="X302" s="69"/>
    </row>
    <row r="303" spans="1:24" ht="16.5" customHeight="1" x14ac:dyDescent="0.3">
      <c r="A303" s="2">
        <v>15</v>
      </c>
      <c r="B303" s="2">
        <v>8482</v>
      </c>
      <c r="C303" s="60" t="s">
        <v>8645</v>
      </c>
      <c r="D303" s="1"/>
      <c r="E303" s="227">
        <v>737</v>
      </c>
      <c r="F303" s="70" t="s">
        <v>0</v>
      </c>
      <c r="G303" s="106" t="s">
        <v>16812</v>
      </c>
      <c r="H303" s="57" t="s">
        <v>1</v>
      </c>
      <c r="I303" s="58">
        <v>0.9</v>
      </c>
      <c r="J303" s="83" t="s">
        <v>5895</v>
      </c>
      <c r="K303" s="64" t="s">
        <v>1</v>
      </c>
      <c r="L303" s="65">
        <v>1</v>
      </c>
      <c r="M303" s="99"/>
      <c r="N303" s="70"/>
      <c r="O303" s="66"/>
      <c r="P303" s="57"/>
      <c r="Q303" s="58"/>
      <c r="R303" s="77"/>
      <c r="S303" s="67"/>
      <c r="T303" s="68"/>
      <c r="U303" s="76"/>
      <c r="V303" s="70"/>
      <c r="W303" s="228">
        <f>ROUND((ROUND((ROUND((_15_同援日４．０*_15・基礎２),0)*_15・２人),0)*(1+_15・A夜間)),0)</f>
        <v>829</v>
      </c>
      <c r="X303" s="69"/>
    </row>
    <row r="304" spans="1:24" ht="16.5" customHeight="1" x14ac:dyDescent="0.3">
      <c r="A304" s="2">
        <v>15</v>
      </c>
      <c r="B304" s="2">
        <v>8483</v>
      </c>
      <c r="C304" s="60" t="s">
        <v>8644</v>
      </c>
      <c r="D304" s="1"/>
      <c r="E304" s="68"/>
      <c r="F304" s="70"/>
      <c r="G304" s="61"/>
      <c r="H304" s="62"/>
      <c r="I304" s="63"/>
      <c r="J304" s="85"/>
      <c r="K304" s="64"/>
      <c r="L304" s="65"/>
      <c r="M304" s="99"/>
      <c r="N304" s="70"/>
      <c r="O304" s="74" t="s">
        <v>17969</v>
      </c>
      <c r="P304" s="62"/>
      <c r="Q304" s="63"/>
      <c r="R304" s="75"/>
      <c r="S304" s="67"/>
      <c r="T304" s="68"/>
      <c r="U304" s="76"/>
      <c r="V304" s="70"/>
      <c r="W304" s="228">
        <f>ROUND((ROUND((_15_同援日４．０*(1+_15・A夜間)),0)*(1+_15・盲ろう)),0)</f>
        <v>1151</v>
      </c>
      <c r="X304" s="69"/>
    </row>
    <row r="305" spans="1:24" ht="16.5" customHeight="1" x14ac:dyDescent="0.3">
      <c r="A305" s="2">
        <v>15</v>
      </c>
      <c r="B305" s="2">
        <v>8484</v>
      </c>
      <c r="C305" s="60" t="s">
        <v>8643</v>
      </c>
      <c r="D305" s="1"/>
      <c r="E305" s="68"/>
      <c r="F305" s="70"/>
      <c r="G305" s="66"/>
      <c r="H305" s="57"/>
      <c r="I305" s="58"/>
      <c r="J305" s="83" t="s">
        <v>5895</v>
      </c>
      <c r="K305" s="64" t="s">
        <v>1</v>
      </c>
      <c r="L305" s="65">
        <v>1</v>
      </c>
      <c r="M305" s="99"/>
      <c r="N305" s="70"/>
      <c r="O305" s="94" t="s">
        <v>17968</v>
      </c>
      <c r="P305" s="68"/>
      <c r="Q305" s="76"/>
      <c r="R305" s="70"/>
      <c r="S305" s="67"/>
      <c r="T305" s="68"/>
      <c r="U305" s="76"/>
      <c r="V305" s="70"/>
      <c r="W305" s="228">
        <f>ROUND((ROUND((ROUND((_15_同援日４．０*_15・２人),0)*(1+_15・A夜間)),0)*(1+_15・盲ろう)),0)</f>
        <v>1151</v>
      </c>
      <c r="X305" s="69"/>
    </row>
    <row r="306" spans="1:24" ht="16.5" customHeight="1" x14ac:dyDescent="0.3">
      <c r="A306" s="2">
        <v>15</v>
      </c>
      <c r="B306" s="2">
        <v>8485</v>
      </c>
      <c r="C306" s="60" t="s">
        <v>8642</v>
      </c>
      <c r="D306" s="1"/>
      <c r="E306" s="68"/>
      <c r="F306" s="70"/>
      <c r="G306" s="74" t="s">
        <v>17972</v>
      </c>
      <c r="H306" s="62"/>
      <c r="I306" s="63"/>
      <c r="J306" s="85"/>
      <c r="K306" s="64"/>
      <c r="L306" s="65"/>
      <c r="M306" s="99"/>
      <c r="N306" s="70"/>
      <c r="O306" s="67"/>
      <c r="P306" s="68" t="s">
        <v>1</v>
      </c>
      <c r="Q306" s="76">
        <v>0.25</v>
      </c>
      <c r="R306" s="70" t="s">
        <v>422</v>
      </c>
      <c r="S306" s="67"/>
      <c r="T306" s="68"/>
      <c r="U306" s="76"/>
      <c r="V306" s="70"/>
      <c r="W306" s="228">
        <f>ROUND((ROUND((ROUND((_15_同援日４．０*_15・基礎２),0)*(1+_15・A夜間)),0)*(1+_15・盲ろう)),0)</f>
        <v>1036</v>
      </c>
      <c r="X306" s="69"/>
    </row>
    <row r="307" spans="1:24" ht="16.5" customHeight="1" x14ac:dyDescent="0.3">
      <c r="A307" s="2">
        <v>15</v>
      </c>
      <c r="B307" s="2">
        <v>8486</v>
      </c>
      <c r="C307" s="60" t="s">
        <v>8641</v>
      </c>
      <c r="D307" s="1"/>
      <c r="E307" s="68"/>
      <c r="F307" s="70"/>
      <c r="G307" s="106" t="s">
        <v>5896</v>
      </c>
      <c r="H307" s="57" t="s">
        <v>1</v>
      </c>
      <c r="I307" s="58">
        <v>0.9</v>
      </c>
      <c r="J307" s="83" t="s">
        <v>5895</v>
      </c>
      <c r="K307" s="64" t="s">
        <v>1</v>
      </c>
      <c r="L307" s="65">
        <v>1</v>
      </c>
      <c r="M307" s="99"/>
      <c r="N307" s="70"/>
      <c r="O307" s="66"/>
      <c r="P307" s="57"/>
      <c r="Q307" s="58"/>
      <c r="R307" s="77"/>
      <c r="S307" s="66"/>
      <c r="T307" s="57"/>
      <c r="U307" s="58"/>
      <c r="V307" s="77"/>
      <c r="W307" s="228">
        <f>ROUND((ROUND((ROUND((ROUND((_15_同援日４．０*_15・基礎２),0)*_15・２人),0)*(1+_15・A夜間)),0)*(1+_15・盲ろう)),0)</f>
        <v>1036</v>
      </c>
      <c r="X307" s="69"/>
    </row>
    <row r="308" spans="1:24" ht="16.5" customHeight="1" x14ac:dyDescent="0.3">
      <c r="A308" s="2">
        <v>15</v>
      </c>
      <c r="B308" s="2">
        <v>8487</v>
      </c>
      <c r="C308" s="60" t="s">
        <v>8640</v>
      </c>
      <c r="D308" s="1"/>
      <c r="E308" s="68"/>
      <c r="F308" s="70"/>
      <c r="G308" s="61"/>
      <c r="H308" s="62"/>
      <c r="I308" s="63"/>
      <c r="J308" s="85"/>
      <c r="K308" s="64"/>
      <c r="L308" s="65"/>
      <c r="M308" s="99"/>
      <c r="N308" s="70"/>
      <c r="O308" s="61"/>
      <c r="P308" s="62"/>
      <c r="Q308" s="63"/>
      <c r="R308" s="75"/>
      <c r="S308" s="61"/>
      <c r="T308" s="62"/>
      <c r="U308" s="63"/>
      <c r="V308" s="75"/>
      <c r="W308" s="228">
        <f>ROUND((ROUND((_15_同援日４．０*(1+_15・A夜間)),0)*(1+_15・区３)),0)</f>
        <v>1105</v>
      </c>
      <c r="X308" s="69"/>
    </row>
    <row r="309" spans="1:24" ht="16.5" customHeight="1" x14ac:dyDescent="0.3">
      <c r="A309" s="2">
        <v>15</v>
      </c>
      <c r="B309" s="2">
        <v>8488</v>
      </c>
      <c r="C309" s="60" t="s">
        <v>8639</v>
      </c>
      <c r="D309" s="1"/>
      <c r="E309" s="68"/>
      <c r="F309" s="70"/>
      <c r="G309" s="66"/>
      <c r="H309" s="57"/>
      <c r="I309" s="58"/>
      <c r="J309" s="83" t="s">
        <v>5895</v>
      </c>
      <c r="K309" s="64" t="s">
        <v>1</v>
      </c>
      <c r="L309" s="65">
        <v>1</v>
      </c>
      <c r="M309" s="99"/>
      <c r="N309" s="70"/>
      <c r="O309" s="67"/>
      <c r="P309" s="68"/>
      <c r="Q309" s="76"/>
      <c r="R309" s="70"/>
      <c r="S309" s="67"/>
      <c r="T309" s="68"/>
      <c r="U309" s="76"/>
      <c r="V309" s="70"/>
      <c r="W309" s="228">
        <f>ROUND((ROUND((ROUND((_15_同援日４．０*_15・２人),0)*(1+_15・A夜間)),0)*(1+_15・区３)),0)</f>
        <v>1105</v>
      </c>
      <c r="X309" s="69"/>
    </row>
    <row r="310" spans="1:24" ht="16.5" customHeight="1" x14ac:dyDescent="0.3">
      <c r="A310" s="2">
        <v>15</v>
      </c>
      <c r="B310" s="2">
        <v>8489</v>
      </c>
      <c r="C310" s="60" t="s">
        <v>8638</v>
      </c>
      <c r="D310" s="1"/>
      <c r="E310" s="68"/>
      <c r="F310" s="70"/>
      <c r="G310" s="74" t="s">
        <v>16823</v>
      </c>
      <c r="H310" s="62"/>
      <c r="I310" s="63"/>
      <c r="J310" s="85"/>
      <c r="K310" s="64"/>
      <c r="L310" s="65"/>
      <c r="M310" s="99"/>
      <c r="N310" s="70"/>
      <c r="O310" s="67"/>
      <c r="P310" s="68"/>
      <c r="Q310" s="76"/>
      <c r="R310" s="70"/>
      <c r="S310" s="1" t="s">
        <v>17974</v>
      </c>
      <c r="T310" s="68"/>
      <c r="U310" s="76"/>
      <c r="V310" s="70"/>
      <c r="W310" s="228">
        <f>ROUND((ROUND((ROUND((_15_同援日４．０*_15・基礎２),0)*(1+_15・A夜間)),0)*(1+_15・区３)),0)</f>
        <v>995</v>
      </c>
      <c r="X310" s="69"/>
    </row>
    <row r="311" spans="1:24" ht="16.5" customHeight="1" x14ac:dyDescent="0.3">
      <c r="A311" s="2">
        <v>15</v>
      </c>
      <c r="B311" s="2">
        <v>8490</v>
      </c>
      <c r="C311" s="60" t="s">
        <v>8637</v>
      </c>
      <c r="D311" s="1"/>
      <c r="E311" s="68"/>
      <c r="F311" s="70"/>
      <c r="G311" s="106" t="s">
        <v>16812</v>
      </c>
      <c r="H311" s="57" t="s">
        <v>1</v>
      </c>
      <c r="I311" s="58">
        <v>0.9</v>
      </c>
      <c r="J311" s="83" t="s">
        <v>5895</v>
      </c>
      <c r="K311" s="64" t="s">
        <v>1</v>
      </c>
      <c r="L311" s="65">
        <v>1</v>
      </c>
      <c r="M311" s="99"/>
      <c r="N311" s="70"/>
      <c r="O311" s="66"/>
      <c r="P311" s="57"/>
      <c r="Q311" s="58"/>
      <c r="R311" s="77"/>
      <c r="S311" s="1" t="s">
        <v>17970</v>
      </c>
      <c r="T311" s="68"/>
      <c r="U311" s="76"/>
      <c r="V311" s="70"/>
      <c r="W311" s="228">
        <f>ROUND((ROUND((ROUND((ROUND((_15_同援日４．０*_15・基礎２),0)*_15・２人),0)*(1+_15・A夜間)),0)*(1+_15・区３)),0)</f>
        <v>995</v>
      </c>
      <c r="X311" s="69"/>
    </row>
    <row r="312" spans="1:24" ht="16.5" customHeight="1" x14ac:dyDescent="0.3">
      <c r="A312" s="2">
        <v>15</v>
      </c>
      <c r="B312" s="2">
        <v>8491</v>
      </c>
      <c r="C312" s="60" t="s">
        <v>8636</v>
      </c>
      <c r="D312" s="1"/>
      <c r="E312" s="68"/>
      <c r="F312" s="70"/>
      <c r="G312" s="61"/>
      <c r="H312" s="62"/>
      <c r="I312" s="63"/>
      <c r="J312" s="85"/>
      <c r="K312" s="64"/>
      <c r="L312" s="65"/>
      <c r="M312" s="99"/>
      <c r="N312" s="70"/>
      <c r="O312" s="74" t="s">
        <v>17969</v>
      </c>
      <c r="P312" s="62"/>
      <c r="Q312" s="63"/>
      <c r="R312" s="75"/>
      <c r="S312" s="67"/>
      <c r="T312" s="68" t="s">
        <v>1</v>
      </c>
      <c r="U312" s="76">
        <v>0.2</v>
      </c>
      <c r="V312" s="70" t="s">
        <v>422</v>
      </c>
      <c r="W312" s="228">
        <f>ROUND((ROUND((ROUND((_15_同援日４．０*(1+_15・A夜間)),0)*(1+_15・盲ろう)),0)*(1+_15・区３)),0)</f>
        <v>1381</v>
      </c>
      <c r="X312" s="69"/>
    </row>
    <row r="313" spans="1:24" ht="16.5" customHeight="1" x14ac:dyDescent="0.3">
      <c r="A313" s="2">
        <v>15</v>
      </c>
      <c r="B313" s="2">
        <v>8492</v>
      </c>
      <c r="C313" s="60" t="s">
        <v>8635</v>
      </c>
      <c r="D313" s="1"/>
      <c r="E313" s="68"/>
      <c r="F313" s="70"/>
      <c r="G313" s="66"/>
      <c r="H313" s="57"/>
      <c r="I313" s="58"/>
      <c r="J313" s="83" t="s">
        <v>5895</v>
      </c>
      <c r="K313" s="64" t="s">
        <v>1</v>
      </c>
      <c r="L313" s="65">
        <v>1</v>
      </c>
      <c r="M313" s="99"/>
      <c r="N313" s="70"/>
      <c r="O313" s="94" t="s">
        <v>17968</v>
      </c>
      <c r="P313" s="68"/>
      <c r="Q313" s="76"/>
      <c r="R313" s="70"/>
      <c r="S313" s="67"/>
      <c r="T313" s="68"/>
      <c r="U313" s="76"/>
      <c r="V313" s="70"/>
      <c r="W313" s="228">
        <f>ROUND((ROUND((ROUND((ROUND((_15_同援日４．０*_15・２人),0)*(1+_15・A夜間)),0)*(1+_15・盲ろう)),0)*(1+_15・区３)),0)</f>
        <v>1381</v>
      </c>
      <c r="X313" s="69"/>
    </row>
    <row r="314" spans="1:24" ht="16.5" customHeight="1" x14ac:dyDescent="0.3">
      <c r="A314" s="2">
        <v>15</v>
      </c>
      <c r="B314" s="2">
        <v>8493</v>
      </c>
      <c r="C314" s="60" t="s">
        <v>8634</v>
      </c>
      <c r="D314" s="1"/>
      <c r="E314" s="68"/>
      <c r="F314" s="70"/>
      <c r="G314" s="74" t="s">
        <v>5898</v>
      </c>
      <c r="H314" s="62"/>
      <c r="I314" s="63"/>
      <c r="J314" s="85"/>
      <c r="K314" s="64"/>
      <c r="L314" s="65"/>
      <c r="M314" s="99"/>
      <c r="N314" s="70"/>
      <c r="O314" s="67"/>
      <c r="P314" s="68" t="s">
        <v>1</v>
      </c>
      <c r="Q314" s="76">
        <v>0.25</v>
      </c>
      <c r="R314" s="70" t="s">
        <v>422</v>
      </c>
      <c r="S314" s="67"/>
      <c r="T314" s="68"/>
      <c r="U314" s="76"/>
      <c r="V314" s="70"/>
      <c r="W314" s="228">
        <f>ROUND((ROUND((ROUND((ROUND((_15_同援日４．０*_15・基礎２),0)*(1+_15・A夜間)),0)*(1+_15・盲ろう)),0)*(1+_15・区３)),0)</f>
        <v>1243</v>
      </c>
      <c r="X314" s="69"/>
    </row>
    <row r="315" spans="1:24" ht="16.5" customHeight="1" x14ac:dyDescent="0.3">
      <c r="A315" s="2">
        <v>15</v>
      </c>
      <c r="B315" s="2">
        <v>8494</v>
      </c>
      <c r="C315" s="60" t="s">
        <v>8633</v>
      </c>
      <c r="D315" s="1"/>
      <c r="E315" s="68"/>
      <c r="F315" s="70"/>
      <c r="G315" s="106" t="s">
        <v>16812</v>
      </c>
      <c r="H315" s="57" t="s">
        <v>1</v>
      </c>
      <c r="I315" s="58">
        <v>0.9</v>
      </c>
      <c r="J315" s="83" t="s">
        <v>5895</v>
      </c>
      <c r="K315" s="64" t="s">
        <v>1</v>
      </c>
      <c r="L315" s="65">
        <v>1</v>
      </c>
      <c r="M315" s="99"/>
      <c r="N315" s="70"/>
      <c r="O315" s="66"/>
      <c r="P315" s="57"/>
      <c r="Q315" s="58"/>
      <c r="R315" s="77"/>
      <c r="S315" s="66"/>
      <c r="T315" s="57"/>
      <c r="U315" s="58"/>
      <c r="V315" s="77"/>
      <c r="W315" s="228">
        <f>ROUND((ROUND((ROUND((ROUND((ROUND((_15_同援日４．０*_15・基礎２),0)*_15・２人),0)*(1+_15・A夜間)),0)*(1+_15・盲ろう)),0)*(1+_15・区３)),0)</f>
        <v>1243</v>
      </c>
      <c r="X315" s="69"/>
    </row>
    <row r="316" spans="1:24" ht="16.5" customHeight="1" x14ac:dyDescent="0.3">
      <c r="A316" s="2">
        <v>15</v>
      </c>
      <c r="B316" s="2">
        <v>8495</v>
      </c>
      <c r="C316" s="60" t="s">
        <v>8632</v>
      </c>
      <c r="D316" s="1"/>
      <c r="E316" s="68"/>
      <c r="F316" s="70"/>
      <c r="G316" s="61"/>
      <c r="H316" s="62"/>
      <c r="I316" s="63"/>
      <c r="J316" s="85"/>
      <c r="K316" s="64"/>
      <c r="L316" s="65"/>
      <c r="M316" s="99"/>
      <c r="N316" s="70"/>
      <c r="O316" s="61"/>
      <c r="P316" s="62"/>
      <c r="Q316" s="63"/>
      <c r="R316" s="75"/>
      <c r="S316" s="61"/>
      <c r="T316" s="62"/>
      <c r="U316" s="63"/>
      <c r="V316" s="75"/>
      <c r="W316" s="228">
        <f>ROUND((ROUND((_15_同援日４．０*(1+_15・A夜間)),0)*(1+_15・区４)),0)</f>
        <v>1289</v>
      </c>
      <c r="X316" s="69"/>
    </row>
    <row r="317" spans="1:24" ht="16.5" customHeight="1" x14ac:dyDescent="0.3">
      <c r="A317" s="2">
        <v>15</v>
      </c>
      <c r="B317" s="2">
        <v>8496</v>
      </c>
      <c r="C317" s="60" t="s">
        <v>8631</v>
      </c>
      <c r="D317" s="1"/>
      <c r="E317" s="68"/>
      <c r="F317" s="70"/>
      <c r="G317" s="66"/>
      <c r="H317" s="57"/>
      <c r="I317" s="58"/>
      <c r="J317" s="83" t="s">
        <v>5895</v>
      </c>
      <c r="K317" s="64" t="s">
        <v>1</v>
      </c>
      <c r="L317" s="65">
        <v>1</v>
      </c>
      <c r="M317" s="99"/>
      <c r="N317" s="70"/>
      <c r="O317" s="67"/>
      <c r="P317" s="68"/>
      <c r="Q317" s="76"/>
      <c r="R317" s="70"/>
      <c r="S317" s="67"/>
      <c r="T317" s="68"/>
      <c r="U317" s="76"/>
      <c r="V317" s="70"/>
      <c r="W317" s="228">
        <f>ROUND((ROUND((ROUND((_15_同援日４．０*_15・２人),0)*(1+_15・A夜間)),0)*(1+_15・区４)),0)</f>
        <v>1289</v>
      </c>
      <c r="X317" s="69"/>
    </row>
    <row r="318" spans="1:24" ht="16.5" customHeight="1" x14ac:dyDescent="0.3">
      <c r="A318" s="2">
        <v>15</v>
      </c>
      <c r="B318" s="2">
        <v>8497</v>
      </c>
      <c r="C318" s="60" t="s">
        <v>8630</v>
      </c>
      <c r="D318" s="1"/>
      <c r="E318" s="68"/>
      <c r="F318" s="70"/>
      <c r="G318" s="74" t="s">
        <v>17972</v>
      </c>
      <c r="H318" s="62"/>
      <c r="I318" s="63"/>
      <c r="J318" s="85"/>
      <c r="K318" s="64"/>
      <c r="L318" s="65"/>
      <c r="M318" s="99"/>
      <c r="N318" s="70"/>
      <c r="O318" s="67"/>
      <c r="P318" s="68"/>
      <c r="Q318" s="76"/>
      <c r="R318" s="70"/>
      <c r="S318" s="1" t="s">
        <v>17971</v>
      </c>
      <c r="T318" s="68"/>
      <c r="U318" s="76"/>
      <c r="V318" s="70"/>
      <c r="W318" s="228">
        <f>ROUND((ROUND((ROUND((_15_同援日４．０*_15・基礎２),0)*(1+_15・A夜間)),0)*(1+_15・区４)),0)</f>
        <v>1161</v>
      </c>
      <c r="X318" s="69"/>
    </row>
    <row r="319" spans="1:24" ht="16.5" customHeight="1" x14ac:dyDescent="0.3">
      <c r="A319" s="2">
        <v>15</v>
      </c>
      <c r="B319" s="2">
        <v>8498</v>
      </c>
      <c r="C319" s="60" t="s">
        <v>8629</v>
      </c>
      <c r="D319" s="1"/>
      <c r="E319" s="68"/>
      <c r="F319" s="70"/>
      <c r="G319" s="106" t="s">
        <v>16812</v>
      </c>
      <c r="H319" s="57" t="s">
        <v>1</v>
      </c>
      <c r="I319" s="58">
        <v>0.9</v>
      </c>
      <c r="J319" s="83" t="s">
        <v>5895</v>
      </c>
      <c r="K319" s="64" t="s">
        <v>1</v>
      </c>
      <c r="L319" s="65">
        <v>1</v>
      </c>
      <c r="M319" s="99"/>
      <c r="N319" s="70"/>
      <c r="O319" s="66"/>
      <c r="P319" s="57"/>
      <c r="Q319" s="58"/>
      <c r="R319" s="77"/>
      <c r="S319" s="1" t="s">
        <v>17970</v>
      </c>
      <c r="T319" s="68"/>
      <c r="U319" s="76"/>
      <c r="V319" s="70"/>
      <c r="W319" s="228">
        <f>ROUND((ROUND((ROUND((ROUND((_15_同援日４．０*_15・基礎２),0)*_15・２人),0)*(1+_15・A夜間)),0)*(1+_15・区４)),0)</f>
        <v>1161</v>
      </c>
      <c r="X319" s="69"/>
    </row>
    <row r="320" spans="1:24" ht="16.5" customHeight="1" x14ac:dyDescent="0.3">
      <c r="A320" s="2">
        <v>15</v>
      </c>
      <c r="B320" s="2">
        <v>8499</v>
      </c>
      <c r="C320" s="60" t="s">
        <v>8628</v>
      </c>
      <c r="D320" s="1"/>
      <c r="E320" s="68"/>
      <c r="F320" s="70"/>
      <c r="G320" s="61"/>
      <c r="H320" s="62"/>
      <c r="I320" s="63"/>
      <c r="J320" s="85"/>
      <c r="K320" s="64"/>
      <c r="L320" s="65"/>
      <c r="M320" s="99"/>
      <c r="N320" s="70"/>
      <c r="O320" s="74" t="s">
        <v>17969</v>
      </c>
      <c r="P320" s="62"/>
      <c r="Q320" s="63"/>
      <c r="R320" s="75"/>
      <c r="S320" s="67"/>
      <c r="T320" s="68" t="s">
        <v>1</v>
      </c>
      <c r="U320" s="76">
        <v>0.4</v>
      </c>
      <c r="V320" s="70" t="s">
        <v>422</v>
      </c>
      <c r="W320" s="228">
        <f>ROUND((ROUND((ROUND((_15_同援日４．０*(1+_15・A夜間)),0)*(1+_15・盲ろう)),0)*(1+_15・区４)),0)</f>
        <v>1611</v>
      </c>
      <c r="X320" s="69"/>
    </row>
    <row r="321" spans="1:24" ht="16.5" customHeight="1" x14ac:dyDescent="0.3">
      <c r="A321" s="2">
        <v>15</v>
      </c>
      <c r="B321" s="2">
        <v>8500</v>
      </c>
      <c r="C321" s="60" t="s">
        <v>8627</v>
      </c>
      <c r="D321" s="1"/>
      <c r="E321" s="68"/>
      <c r="F321" s="70"/>
      <c r="G321" s="66"/>
      <c r="H321" s="57"/>
      <c r="I321" s="58"/>
      <c r="J321" s="83" t="s">
        <v>5895</v>
      </c>
      <c r="K321" s="64" t="s">
        <v>1</v>
      </c>
      <c r="L321" s="65">
        <v>1</v>
      </c>
      <c r="M321" s="99"/>
      <c r="N321" s="70"/>
      <c r="O321" s="94" t="s">
        <v>17968</v>
      </c>
      <c r="P321" s="68"/>
      <c r="Q321" s="76"/>
      <c r="R321" s="70"/>
      <c r="S321" s="67"/>
      <c r="T321" s="68"/>
      <c r="U321" s="76"/>
      <c r="V321" s="70"/>
      <c r="W321" s="228">
        <f>ROUND((ROUND((ROUND((ROUND((_15_同援日４．０*_15・２人),0)*(1+_15・A夜間)),0)*(1+_15・盲ろう)),0)*(1+_15・区４)),0)</f>
        <v>1611</v>
      </c>
      <c r="X321" s="69"/>
    </row>
    <row r="322" spans="1:24" ht="16.5" customHeight="1" x14ac:dyDescent="0.3">
      <c r="A322" s="2">
        <v>15</v>
      </c>
      <c r="B322" s="2">
        <v>8501</v>
      </c>
      <c r="C322" s="60" t="s">
        <v>8626</v>
      </c>
      <c r="D322" s="1"/>
      <c r="E322" s="68"/>
      <c r="F322" s="70"/>
      <c r="G322" s="74" t="s">
        <v>16823</v>
      </c>
      <c r="H322" s="62"/>
      <c r="I322" s="63"/>
      <c r="J322" s="85"/>
      <c r="K322" s="64"/>
      <c r="L322" s="65"/>
      <c r="M322" s="99"/>
      <c r="N322" s="70"/>
      <c r="O322" s="67"/>
      <c r="P322" s="68" t="s">
        <v>1</v>
      </c>
      <c r="Q322" s="76">
        <v>0.25</v>
      </c>
      <c r="R322" s="70" t="s">
        <v>422</v>
      </c>
      <c r="S322" s="67"/>
      <c r="T322" s="68"/>
      <c r="U322" s="76"/>
      <c r="V322" s="70"/>
      <c r="W322" s="228">
        <f>ROUND((ROUND((ROUND((ROUND((_15_同援日４．０*_15・基礎２),0)*(1+_15・A夜間)),0)*(1+_15・盲ろう)),0)*(1+_15・区４)),0)</f>
        <v>1450</v>
      </c>
      <c r="X322" s="69"/>
    </row>
    <row r="323" spans="1:24" ht="16.5" customHeight="1" x14ac:dyDescent="0.3">
      <c r="A323" s="2">
        <v>15</v>
      </c>
      <c r="B323" s="2">
        <v>8502</v>
      </c>
      <c r="C323" s="60" t="s">
        <v>8625</v>
      </c>
      <c r="D323" s="81"/>
      <c r="E323" s="57"/>
      <c r="F323" s="77"/>
      <c r="G323" s="106" t="s">
        <v>17864</v>
      </c>
      <c r="H323" s="57" t="s">
        <v>1</v>
      </c>
      <c r="I323" s="58">
        <v>0.9</v>
      </c>
      <c r="J323" s="83" t="s">
        <v>5895</v>
      </c>
      <c r="K323" s="64" t="s">
        <v>1</v>
      </c>
      <c r="L323" s="65">
        <v>1</v>
      </c>
      <c r="M323" s="99"/>
      <c r="N323" s="70"/>
      <c r="O323" s="66"/>
      <c r="P323" s="57"/>
      <c r="Q323" s="58"/>
      <c r="R323" s="77"/>
      <c r="S323" s="66"/>
      <c r="T323" s="57"/>
      <c r="U323" s="58"/>
      <c r="V323" s="77"/>
      <c r="W323" s="228">
        <f>ROUND((ROUND((ROUND((ROUND((ROUND((_15_同援日４．０*_15・基礎２),0)*_15・２人),0)*(1+_15・A夜間)),0)*(1+_15・盲ろう)),0)*(1+_15・区４)),0)</f>
        <v>1450</v>
      </c>
      <c r="X323" s="69"/>
    </row>
    <row r="324" spans="1:24" ht="16.5" customHeight="1" x14ac:dyDescent="0.3">
      <c r="A324" s="2">
        <v>15</v>
      </c>
      <c r="B324" s="2">
        <v>8503</v>
      </c>
      <c r="C324" s="60" t="s">
        <v>8624</v>
      </c>
      <c r="D324" s="233" t="s">
        <v>17977</v>
      </c>
      <c r="E324" s="62"/>
      <c r="F324" s="75"/>
      <c r="G324" s="61"/>
      <c r="H324" s="62"/>
      <c r="I324" s="63"/>
      <c r="J324" s="85"/>
      <c r="K324" s="64"/>
      <c r="L324" s="65"/>
      <c r="M324" s="99"/>
      <c r="N324" s="70"/>
      <c r="O324" s="61"/>
      <c r="P324" s="62"/>
      <c r="Q324" s="63"/>
      <c r="R324" s="75"/>
      <c r="S324" s="61"/>
      <c r="T324" s="62"/>
      <c r="U324" s="63"/>
      <c r="V324" s="75"/>
      <c r="W324" s="228">
        <f>ROUND((_15_同援日４．５*(1+_15・A夜間)),0)</f>
        <v>1000</v>
      </c>
      <c r="X324" s="69"/>
    </row>
    <row r="325" spans="1:24" ht="16.5" customHeight="1" x14ac:dyDescent="0.3">
      <c r="A325" s="2">
        <v>15</v>
      </c>
      <c r="B325" s="2">
        <v>8504</v>
      </c>
      <c r="C325" s="60" t="s">
        <v>8623</v>
      </c>
      <c r="D325" s="1" t="s">
        <v>17976</v>
      </c>
      <c r="E325" s="68"/>
      <c r="F325" s="70"/>
      <c r="G325" s="66"/>
      <c r="H325" s="57"/>
      <c r="I325" s="58"/>
      <c r="J325" s="83" t="s">
        <v>5895</v>
      </c>
      <c r="K325" s="64" t="s">
        <v>1</v>
      </c>
      <c r="L325" s="65">
        <v>1</v>
      </c>
      <c r="M325" s="99"/>
      <c r="N325" s="70"/>
      <c r="O325" s="67"/>
      <c r="P325" s="68"/>
      <c r="Q325" s="76"/>
      <c r="R325" s="70"/>
      <c r="S325" s="67"/>
      <c r="T325" s="68"/>
      <c r="U325" s="76"/>
      <c r="V325" s="70"/>
      <c r="W325" s="228">
        <f>ROUND((ROUND((_15_同援日４．５*_15・２人),0)*(1+_15・A夜間)),0)</f>
        <v>1000</v>
      </c>
      <c r="X325" s="69"/>
    </row>
    <row r="326" spans="1:24" ht="16.5" customHeight="1" x14ac:dyDescent="0.3">
      <c r="A326" s="2">
        <v>15</v>
      </c>
      <c r="B326" s="2">
        <v>8505</v>
      </c>
      <c r="C326" s="60" t="s">
        <v>8622</v>
      </c>
      <c r="D326" s="1" t="s">
        <v>8621</v>
      </c>
      <c r="E326" s="68"/>
      <c r="F326" s="70"/>
      <c r="G326" s="74" t="s">
        <v>17972</v>
      </c>
      <c r="H326" s="62"/>
      <c r="I326" s="63"/>
      <c r="J326" s="85"/>
      <c r="K326" s="64"/>
      <c r="L326" s="65"/>
      <c r="M326" s="99"/>
      <c r="N326" s="70"/>
      <c r="O326" s="67"/>
      <c r="P326" s="68"/>
      <c r="Q326" s="76"/>
      <c r="R326" s="70"/>
      <c r="S326" s="67"/>
      <c r="T326" s="68"/>
      <c r="U326" s="76"/>
      <c r="V326" s="70"/>
      <c r="W326" s="228">
        <f>ROUND((ROUND((_15_同援日４．５*_15・基礎２),0)*(1+_15・A夜間)),0)</f>
        <v>900</v>
      </c>
      <c r="X326" s="69"/>
    </row>
    <row r="327" spans="1:24" ht="16.5" customHeight="1" x14ac:dyDescent="0.3">
      <c r="A327" s="2">
        <v>15</v>
      </c>
      <c r="B327" s="2">
        <v>8506</v>
      </c>
      <c r="C327" s="60" t="s">
        <v>8620</v>
      </c>
      <c r="D327" s="1"/>
      <c r="E327" s="227">
        <v>800</v>
      </c>
      <c r="F327" s="70" t="s">
        <v>0</v>
      </c>
      <c r="G327" s="106" t="s">
        <v>16812</v>
      </c>
      <c r="H327" s="57" t="s">
        <v>1</v>
      </c>
      <c r="I327" s="58">
        <v>0.9</v>
      </c>
      <c r="J327" s="83" t="s">
        <v>5895</v>
      </c>
      <c r="K327" s="64" t="s">
        <v>1</v>
      </c>
      <c r="L327" s="65">
        <v>1</v>
      </c>
      <c r="M327" s="99"/>
      <c r="N327" s="70"/>
      <c r="O327" s="66"/>
      <c r="P327" s="57"/>
      <c r="Q327" s="58"/>
      <c r="R327" s="77"/>
      <c r="S327" s="67"/>
      <c r="T327" s="68"/>
      <c r="U327" s="76"/>
      <c r="V327" s="70"/>
      <c r="W327" s="228">
        <f>ROUND((ROUND((ROUND((_15_同援日４．５*_15・基礎２),0)*_15・２人),0)*(1+_15・A夜間)),0)</f>
        <v>900</v>
      </c>
      <c r="X327" s="69"/>
    </row>
    <row r="328" spans="1:24" ht="16.5" customHeight="1" x14ac:dyDescent="0.3">
      <c r="A328" s="2">
        <v>15</v>
      </c>
      <c r="B328" s="2">
        <v>8507</v>
      </c>
      <c r="C328" s="60" t="s">
        <v>8619</v>
      </c>
      <c r="D328" s="1"/>
      <c r="E328" s="68"/>
      <c r="F328" s="70"/>
      <c r="G328" s="61"/>
      <c r="H328" s="62"/>
      <c r="I328" s="63"/>
      <c r="J328" s="85"/>
      <c r="K328" s="64"/>
      <c r="L328" s="65"/>
      <c r="M328" s="99"/>
      <c r="N328" s="70"/>
      <c r="O328" s="74" t="s">
        <v>17969</v>
      </c>
      <c r="P328" s="62"/>
      <c r="Q328" s="63"/>
      <c r="R328" s="75"/>
      <c r="S328" s="67"/>
      <c r="T328" s="68"/>
      <c r="U328" s="76"/>
      <c r="V328" s="70"/>
      <c r="W328" s="228">
        <f>ROUND((ROUND((_15_同援日４．５*(1+_15・A夜間)),0)*(1+_15・盲ろう)),0)</f>
        <v>1250</v>
      </c>
      <c r="X328" s="69"/>
    </row>
    <row r="329" spans="1:24" ht="16.5" customHeight="1" x14ac:dyDescent="0.3">
      <c r="A329" s="2">
        <v>15</v>
      </c>
      <c r="B329" s="2">
        <v>8508</v>
      </c>
      <c r="C329" s="60" t="s">
        <v>8618</v>
      </c>
      <c r="D329" s="1"/>
      <c r="E329" s="68"/>
      <c r="F329" s="70"/>
      <c r="G329" s="66"/>
      <c r="H329" s="57"/>
      <c r="I329" s="58"/>
      <c r="J329" s="83" t="s">
        <v>5895</v>
      </c>
      <c r="K329" s="64" t="s">
        <v>1</v>
      </c>
      <c r="L329" s="65">
        <v>1</v>
      </c>
      <c r="M329" s="99"/>
      <c r="N329" s="70"/>
      <c r="O329" s="94" t="s">
        <v>17975</v>
      </c>
      <c r="P329" s="68"/>
      <c r="Q329" s="76"/>
      <c r="R329" s="70"/>
      <c r="S329" s="67"/>
      <c r="T329" s="68"/>
      <c r="U329" s="76"/>
      <c r="V329" s="70"/>
      <c r="W329" s="228">
        <f>ROUND((ROUND((ROUND((_15_同援日４．５*_15・２人),0)*(1+_15・A夜間)),0)*(1+_15・盲ろう)),0)</f>
        <v>1250</v>
      </c>
      <c r="X329" s="69"/>
    </row>
    <row r="330" spans="1:24" ht="16.5" customHeight="1" x14ac:dyDescent="0.3">
      <c r="A330" s="2">
        <v>15</v>
      </c>
      <c r="B330" s="2">
        <v>8509</v>
      </c>
      <c r="C330" s="60" t="s">
        <v>8617</v>
      </c>
      <c r="D330" s="1"/>
      <c r="E330" s="68"/>
      <c r="F330" s="70"/>
      <c r="G330" s="74" t="s">
        <v>16823</v>
      </c>
      <c r="H330" s="62"/>
      <c r="I330" s="63"/>
      <c r="J330" s="85"/>
      <c r="K330" s="64"/>
      <c r="L330" s="65"/>
      <c r="M330" s="99"/>
      <c r="N330" s="70"/>
      <c r="O330" s="67"/>
      <c r="P330" s="68" t="s">
        <v>1</v>
      </c>
      <c r="Q330" s="76">
        <v>0.25</v>
      </c>
      <c r="R330" s="70" t="s">
        <v>422</v>
      </c>
      <c r="S330" s="67"/>
      <c r="T330" s="68"/>
      <c r="U330" s="76"/>
      <c r="V330" s="70"/>
      <c r="W330" s="228">
        <f>ROUND((ROUND((ROUND((_15_同援日４．５*_15・基礎２),0)*(1+_15・A夜間)),0)*(1+_15・盲ろう)),0)</f>
        <v>1125</v>
      </c>
      <c r="X330" s="69"/>
    </row>
    <row r="331" spans="1:24" ht="16.5" customHeight="1" x14ac:dyDescent="0.3">
      <c r="A331" s="2">
        <v>15</v>
      </c>
      <c r="B331" s="2">
        <v>8510</v>
      </c>
      <c r="C331" s="60" t="s">
        <v>8616</v>
      </c>
      <c r="D331" s="1"/>
      <c r="E331" s="68"/>
      <c r="F331" s="70"/>
      <c r="G331" s="106" t="s">
        <v>16812</v>
      </c>
      <c r="H331" s="57" t="s">
        <v>1</v>
      </c>
      <c r="I331" s="58">
        <v>0.9</v>
      </c>
      <c r="J331" s="83" t="s">
        <v>5895</v>
      </c>
      <c r="K331" s="64" t="s">
        <v>1</v>
      </c>
      <c r="L331" s="65">
        <v>1</v>
      </c>
      <c r="M331" s="99"/>
      <c r="N331" s="70"/>
      <c r="O331" s="66"/>
      <c r="P331" s="57"/>
      <c r="Q331" s="58"/>
      <c r="R331" s="77"/>
      <c r="S331" s="66"/>
      <c r="T331" s="57"/>
      <c r="U331" s="58"/>
      <c r="V331" s="77"/>
      <c r="W331" s="228">
        <f>ROUND((ROUND((ROUND((ROUND((_15_同援日４．５*_15・基礎２),0)*_15・２人),0)*(1+_15・A夜間)),0)*(1+_15・盲ろう)),0)</f>
        <v>1125</v>
      </c>
      <c r="X331" s="69"/>
    </row>
    <row r="332" spans="1:24" ht="16.5" customHeight="1" x14ac:dyDescent="0.3">
      <c r="A332" s="2">
        <v>15</v>
      </c>
      <c r="B332" s="2">
        <v>8511</v>
      </c>
      <c r="C332" s="60" t="s">
        <v>8615</v>
      </c>
      <c r="D332" s="1"/>
      <c r="E332" s="68"/>
      <c r="F332" s="70"/>
      <c r="G332" s="61"/>
      <c r="H332" s="62"/>
      <c r="I332" s="63"/>
      <c r="J332" s="85"/>
      <c r="K332" s="64"/>
      <c r="L332" s="65"/>
      <c r="M332" s="99"/>
      <c r="N332" s="70"/>
      <c r="O332" s="61"/>
      <c r="P332" s="62"/>
      <c r="Q332" s="63"/>
      <c r="R332" s="75"/>
      <c r="S332" s="61"/>
      <c r="T332" s="62"/>
      <c r="U332" s="63"/>
      <c r="V332" s="75"/>
      <c r="W332" s="228">
        <f>ROUND((ROUND((_15_同援日４．５*(1+_15・A夜間)),0)*(1+_15・区３)),0)</f>
        <v>1200</v>
      </c>
      <c r="X332" s="69"/>
    </row>
    <row r="333" spans="1:24" ht="16.5" customHeight="1" x14ac:dyDescent="0.3">
      <c r="A333" s="2">
        <v>15</v>
      </c>
      <c r="B333" s="2">
        <v>8512</v>
      </c>
      <c r="C333" s="60" t="s">
        <v>8614</v>
      </c>
      <c r="D333" s="1"/>
      <c r="E333" s="68"/>
      <c r="F333" s="70"/>
      <c r="G333" s="66"/>
      <c r="H333" s="57"/>
      <c r="I333" s="58"/>
      <c r="J333" s="83" t="s">
        <v>5895</v>
      </c>
      <c r="K333" s="64" t="s">
        <v>1</v>
      </c>
      <c r="L333" s="65">
        <v>1</v>
      </c>
      <c r="M333" s="99"/>
      <c r="N333" s="70"/>
      <c r="O333" s="67"/>
      <c r="P333" s="68"/>
      <c r="Q333" s="76"/>
      <c r="R333" s="70"/>
      <c r="S333" s="67"/>
      <c r="T333" s="68"/>
      <c r="U333" s="76"/>
      <c r="V333" s="70"/>
      <c r="W333" s="228">
        <f>ROUND((ROUND((ROUND((_15_同援日４．５*_15・２人),0)*(1+_15・A夜間)),0)*(1+_15・区３)),0)</f>
        <v>1200</v>
      </c>
      <c r="X333" s="69"/>
    </row>
    <row r="334" spans="1:24" ht="16.5" customHeight="1" x14ac:dyDescent="0.3">
      <c r="A334" s="2">
        <v>15</v>
      </c>
      <c r="B334" s="2">
        <v>8513</v>
      </c>
      <c r="C334" s="60" t="s">
        <v>8613</v>
      </c>
      <c r="D334" s="1"/>
      <c r="E334" s="68"/>
      <c r="F334" s="70"/>
      <c r="G334" s="74" t="s">
        <v>16823</v>
      </c>
      <c r="H334" s="62"/>
      <c r="I334" s="63"/>
      <c r="J334" s="85"/>
      <c r="K334" s="64"/>
      <c r="L334" s="65"/>
      <c r="M334" s="99"/>
      <c r="N334" s="70"/>
      <c r="O334" s="67"/>
      <c r="P334" s="68"/>
      <c r="Q334" s="76"/>
      <c r="R334" s="70"/>
      <c r="S334" s="1" t="s">
        <v>17974</v>
      </c>
      <c r="T334" s="68"/>
      <c r="U334" s="76"/>
      <c r="V334" s="70"/>
      <c r="W334" s="228">
        <f>ROUND((ROUND((ROUND((_15_同援日４．５*_15・基礎２),0)*(1+_15・A夜間)),0)*(1+_15・区３)),0)</f>
        <v>1080</v>
      </c>
      <c r="X334" s="69"/>
    </row>
    <row r="335" spans="1:24" ht="16.5" customHeight="1" x14ac:dyDescent="0.3">
      <c r="A335" s="2">
        <v>15</v>
      </c>
      <c r="B335" s="2">
        <v>8514</v>
      </c>
      <c r="C335" s="60" t="s">
        <v>8612</v>
      </c>
      <c r="D335" s="1"/>
      <c r="E335" s="68"/>
      <c r="F335" s="70"/>
      <c r="G335" s="106" t="s">
        <v>16812</v>
      </c>
      <c r="H335" s="57" t="s">
        <v>1</v>
      </c>
      <c r="I335" s="58">
        <v>0.9</v>
      </c>
      <c r="J335" s="83" t="s">
        <v>5895</v>
      </c>
      <c r="K335" s="64" t="s">
        <v>1</v>
      </c>
      <c r="L335" s="65">
        <v>1</v>
      </c>
      <c r="M335" s="99"/>
      <c r="N335" s="70"/>
      <c r="O335" s="66"/>
      <c r="P335" s="57"/>
      <c r="Q335" s="58"/>
      <c r="R335" s="77"/>
      <c r="S335" s="1" t="s">
        <v>17970</v>
      </c>
      <c r="T335" s="68"/>
      <c r="U335" s="76"/>
      <c r="V335" s="70"/>
      <c r="W335" s="228">
        <f>ROUND((ROUND((ROUND((ROUND((_15_同援日４．５*_15・基礎２),0)*_15・２人),0)*(1+_15・A夜間)),0)*(1+_15・区３)),0)</f>
        <v>1080</v>
      </c>
      <c r="X335" s="69"/>
    </row>
    <row r="336" spans="1:24" ht="16.5" customHeight="1" x14ac:dyDescent="0.3">
      <c r="A336" s="2">
        <v>15</v>
      </c>
      <c r="B336" s="2">
        <v>8515</v>
      </c>
      <c r="C336" s="60" t="s">
        <v>8611</v>
      </c>
      <c r="D336" s="1"/>
      <c r="E336" s="68"/>
      <c r="F336" s="70"/>
      <c r="G336" s="61"/>
      <c r="H336" s="62"/>
      <c r="I336" s="63"/>
      <c r="J336" s="85"/>
      <c r="K336" s="64"/>
      <c r="L336" s="65"/>
      <c r="M336" s="99"/>
      <c r="N336" s="70"/>
      <c r="O336" s="74" t="s">
        <v>17969</v>
      </c>
      <c r="P336" s="62"/>
      <c r="Q336" s="63"/>
      <c r="R336" s="75"/>
      <c r="S336" s="67"/>
      <c r="T336" s="68" t="s">
        <v>1</v>
      </c>
      <c r="U336" s="76">
        <v>0.2</v>
      </c>
      <c r="V336" s="70" t="s">
        <v>422</v>
      </c>
      <c r="W336" s="228">
        <f>ROUND((ROUND((ROUND((_15_同援日４．５*(1+_15・A夜間)),0)*(1+_15・盲ろう)),0)*(1+_15・区３)),0)</f>
        <v>1500</v>
      </c>
      <c r="X336" s="69"/>
    </row>
    <row r="337" spans="1:24" ht="16.5" customHeight="1" x14ac:dyDescent="0.3">
      <c r="A337" s="2">
        <v>15</v>
      </c>
      <c r="B337" s="2">
        <v>8516</v>
      </c>
      <c r="C337" s="60" t="s">
        <v>8610</v>
      </c>
      <c r="D337" s="1"/>
      <c r="E337" s="68"/>
      <c r="F337" s="70"/>
      <c r="G337" s="66"/>
      <c r="H337" s="57"/>
      <c r="I337" s="58"/>
      <c r="J337" s="83" t="s">
        <v>5895</v>
      </c>
      <c r="K337" s="64" t="s">
        <v>1</v>
      </c>
      <c r="L337" s="65">
        <v>1</v>
      </c>
      <c r="M337" s="99"/>
      <c r="N337" s="70"/>
      <c r="O337" s="94" t="s">
        <v>17973</v>
      </c>
      <c r="P337" s="68"/>
      <c r="Q337" s="76"/>
      <c r="R337" s="70"/>
      <c r="S337" s="67"/>
      <c r="T337" s="68"/>
      <c r="U337" s="76"/>
      <c r="V337" s="70"/>
      <c r="W337" s="228">
        <f>ROUND((ROUND((ROUND((ROUND((_15_同援日４．５*_15・２人),0)*(1+_15・A夜間)),0)*(1+_15・盲ろう)),0)*(1+_15・区３)),0)</f>
        <v>1500</v>
      </c>
      <c r="X337" s="69"/>
    </row>
    <row r="338" spans="1:24" ht="16.5" customHeight="1" x14ac:dyDescent="0.3">
      <c r="A338" s="2">
        <v>15</v>
      </c>
      <c r="B338" s="2">
        <v>8517</v>
      </c>
      <c r="C338" s="60" t="s">
        <v>8609</v>
      </c>
      <c r="D338" s="1"/>
      <c r="E338" s="68"/>
      <c r="F338" s="70"/>
      <c r="G338" s="74" t="s">
        <v>17972</v>
      </c>
      <c r="H338" s="62"/>
      <c r="I338" s="63"/>
      <c r="J338" s="85"/>
      <c r="K338" s="64"/>
      <c r="L338" s="65"/>
      <c r="M338" s="99"/>
      <c r="N338" s="70"/>
      <c r="O338" s="67"/>
      <c r="P338" s="68" t="s">
        <v>1</v>
      </c>
      <c r="Q338" s="76">
        <v>0.25</v>
      </c>
      <c r="R338" s="70" t="s">
        <v>422</v>
      </c>
      <c r="S338" s="67"/>
      <c r="T338" s="68"/>
      <c r="U338" s="76"/>
      <c r="V338" s="70"/>
      <c r="W338" s="228">
        <f>ROUND((ROUND((ROUND((ROUND((_15_同援日４．５*_15・基礎２),0)*(1+_15・A夜間)),0)*(1+_15・盲ろう)),0)*(1+_15・区３)),0)</f>
        <v>1350</v>
      </c>
      <c r="X338" s="69"/>
    </row>
    <row r="339" spans="1:24" ht="16.5" customHeight="1" x14ac:dyDescent="0.3">
      <c r="A339" s="2">
        <v>15</v>
      </c>
      <c r="B339" s="2">
        <v>8518</v>
      </c>
      <c r="C339" s="60" t="s">
        <v>8608</v>
      </c>
      <c r="D339" s="1"/>
      <c r="E339" s="68"/>
      <c r="F339" s="70"/>
      <c r="G339" s="106" t="s">
        <v>16812</v>
      </c>
      <c r="H339" s="57" t="s">
        <v>1</v>
      </c>
      <c r="I339" s="58">
        <v>0.9</v>
      </c>
      <c r="J339" s="83" t="s">
        <v>5895</v>
      </c>
      <c r="K339" s="64" t="s">
        <v>1</v>
      </c>
      <c r="L339" s="65">
        <v>1</v>
      </c>
      <c r="M339" s="99"/>
      <c r="N339" s="70"/>
      <c r="O339" s="66"/>
      <c r="P339" s="57"/>
      <c r="Q339" s="58"/>
      <c r="R339" s="77"/>
      <c r="S339" s="66"/>
      <c r="T339" s="57"/>
      <c r="U339" s="58"/>
      <c r="V339" s="77"/>
      <c r="W339" s="228">
        <f>ROUND((ROUND((ROUND((ROUND((ROUND((_15_同援日４．５*_15・基礎２),0)*_15・２人),0)*(1+_15・A夜間)),0)*(1+_15・盲ろう)),0)*(1+_15・区３)),0)</f>
        <v>1350</v>
      </c>
      <c r="X339" s="69"/>
    </row>
    <row r="340" spans="1:24" ht="16.5" customHeight="1" x14ac:dyDescent="0.3">
      <c r="A340" s="2">
        <v>15</v>
      </c>
      <c r="B340" s="2">
        <v>8519</v>
      </c>
      <c r="C340" s="60" t="s">
        <v>8607</v>
      </c>
      <c r="D340" s="1"/>
      <c r="E340" s="68"/>
      <c r="F340" s="70"/>
      <c r="G340" s="61"/>
      <c r="H340" s="62"/>
      <c r="I340" s="63"/>
      <c r="J340" s="85"/>
      <c r="K340" s="64"/>
      <c r="L340" s="65"/>
      <c r="M340" s="99"/>
      <c r="N340" s="70"/>
      <c r="O340" s="61"/>
      <c r="P340" s="62"/>
      <c r="Q340" s="63"/>
      <c r="R340" s="75"/>
      <c r="S340" s="61"/>
      <c r="T340" s="62"/>
      <c r="U340" s="63"/>
      <c r="V340" s="75"/>
      <c r="W340" s="228">
        <f>ROUND((ROUND((_15_同援日４．５*(1+_15・A夜間)),0)*(1+_15・区４)),0)</f>
        <v>1400</v>
      </c>
      <c r="X340" s="69"/>
    </row>
    <row r="341" spans="1:24" ht="16.5" customHeight="1" x14ac:dyDescent="0.3">
      <c r="A341" s="2">
        <v>15</v>
      </c>
      <c r="B341" s="2">
        <v>8520</v>
      </c>
      <c r="C341" s="60" t="s">
        <v>8606</v>
      </c>
      <c r="D341" s="1"/>
      <c r="E341" s="68"/>
      <c r="F341" s="70"/>
      <c r="G341" s="66"/>
      <c r="H341" s="57"/>
      <c r="I341" s="58"/>
      <c r="J341" s="83" t="s">
        <v>5895</v>
      </c>
      <c r="K341" s="64" t="s">
        <v>1</v>
      </c>
      <c r="L341" s="65">
        <v>1</v>
      </c>
      <c r="M341" s="99"/>
      <c r="N341" s="70"/>
      <c r="O341" s="67"/>
      <c r="P341" s="68"/>
      <c r="Q341" s="76"/>
      <c r="R341" s="70"/>
      <c r="S341" s="67"/>
      <c r="T341" s="68"/>
      <c r="U341" s="76"/>
      <c r="V341" s="70"/>
      <c r="W341" s="228">
        <f>ROUND((ROUND((ROUND((_15_同援日４．５*_15・２人),0)*(1+_15・A夜間)),0)*(1+_15・区４)),0)</f>
        <v>1400</v>
      </c>
      <c r="X341" s="69"/>
    </row>
    <row r="342" spans="1:24" ht="16.5" customHeight="1" x14ac:dyDescent="0.3">
      <c r="A342" s="2">
        <v>15</v>
      </c>
      <c r="B342" s="2">
        <v>8521</v>
      </c>
      <c r="C342" s="60" t="s">
        <v>8605</v>
      </c>
      <c r="D342" s="1"/>
      <c r="E342" s="68"/>
      <c r="F342" s="70"/>
      <c r="G342" s="74" t="s">
        <v>16823</v>
      </c>
      <c r="H342" s="62"/>
      <c r="I342" s="63"/>
      <c r="J342" s="85"/>
      <c r="K342" s="64"/>
      <c r="L342" s="65"/>
      <c r="M342" s="99"/>
      <c r="N342" s="70"/>
      <c r="O342" s="67"/>
      <c r="P342" s="68"/>
      <c r="Q342" s="76"/>
      <c r="R342" s="70"/>
      <c r="S342" s="1" t="s">
        <v>17971</v>
      </c>
      <c r="T342" s="68"/>
      <c r="U342" s="76"/>
      <c r="V342" s="70"/>
      <c r="W342" s="228">
        <f>ROUND((ROUND((ROUND((_15_同援日４．５*_15・基礎２),0)*(1+_15・A夜間)),0)*(1+_15・区４)),0)</f>
        <v>1260</v>
      </c>
      <c r="X342" s="69"/>
    </row>
    <row r="343" spans="1:24" ht="16.5" customHeight="1" x14ac:dyDescent="0.3">
      <c r="A343" s="2">
        <v>15</v>
      </c>
      <c r="B343" s="2">
        <v>8522</v>
      </c>
      <c r="C343" s="60" t="s">
        <v>8604</v>
      </c>
      <c r="D343" s="1"/>
      <c r="E343" s="68"/>
      <c r="F343" s="70"/>
      <c r="G343" s="106" t="s">
        <v>17864</v>
      </c>
      <c r="H343" s="57" t="s">
        <v>1</v>
      </c>
      <c r="I343" s="58">
        <v>0.9</v>
      </c>
      <c r="J343" s="83" t="s">
        <v>5895</v>
      </c>
      <c r="K343" s="64" t="s">
        <v>1</v>
      </c>
      <c r="L343" s="65">
        <v>1</v>
      </c>
      <c r="M343" s="99"/>
      <c r="N343" s="70"/>
      <c r="O343" s="66"/>
      <c r="P343" s="57"/>
      <c r="Q343" s="58"/>
      <c r="R343" s="77"/>
      <c r="S343" s="1" t="s">
        <v>17970</v>
      </c>
      <c r="T343" s="68"/>
      <c r="U343" s="76"/>
      <c r="V343" s="70"/>
      <c r="W343" s="228">
        <f>ROUND((ROUND((ROUND((ROUND((_15_同援日４．５*_15・基礎２),0)*_15・２人),0)*(1+_15・A夜間)),0)*(1+_15・区４)),0)</f>
        <v>1260</v>
      </c>
      <c r="X343" s="69"/>
    </row>
    <row r="344" spans="1:24" ht="16.5" customHeight="1" x14ac:dyDescent="0.3">
      <c r="A344" s="2">
        <v>15</v>
      </c>
      <c r="B344" s="2">
        <v>8523</v>
      </c>
      <c r="C344" s="60" t="s">
        <v>8603</v>
      </c>
      <c r="D344" s="1"/>
      <c r="E344" s="68"/>
      <c r="F344" s="70"/>
      <c r="G344" s="61"/>
      <c r="H344" s="62"/>
      <c r="I344" s="63"/>
      <c r="J344" s="85"/>
      <c r="K344" s="64"/>
      <c r="L344" s="65"/>
      <c r="M344" s="99"/>
      <c r="N344" s="70"/>
      <c r="O344" s="74" t="s">
        <v>17969</v>
      </c>
      <c r="P344" s="62"/>
      <c r="Q344" s="63"/>
      <c r="R344" s="75"/>
      <c r="S344" s="67"/>
      <c r="T344" s="68" t="s">
        <v>1</v>
      </c>
      <c r="U344" s="76">
        <v>0.4</v>
      </c>
      <c r="V344" s="70" t="s">
        <v>422</v>
      </c>
      <c r="W344" s="228">
        <f>ROUND((ROUND((ROUND((_15_同援日４．５*(1+_15・A夜間)),0)*(1+_15・盲ろう)),0)*(1+_15・区４)),0)</f>
        <v>1750</v>
      </c>
      <c r="X344" s="69"/>
    </row>
    <row r="345" spans="1:24" ht="16.5" customHeight="1" x14ac:dyDescent="0.3">
      <c r="A345" s="2">
        <v>15</v>
      </c>
      <c r="B345" s="2">
        <v>8524</v>
      </c>
      <c r="C345" s="60" t="s">
        <v>8602</v>
      </c>
      <c r="D345" s="1"/>
      <c r="E345" s="68"/>
      <c r="F345" s="70"/>
      <c r="G345" s="66"/>
      <c r="H345" s="57"/>
      <c r="I345" s="58"/>
      <c r="J345" s="83" t="s">
        <v>5895</v>
      </c>
      <c r="K345" s="64" t="s">
        <v>1</v>
      </c>
      <c r="L345" s="65">
        <v>1</v>
      </c>
      <c r="M345" s="99"/>
      <c r="N345" s="70"/>
      <c r="O345" s="94" t="s">
        <v>17968</v>
      </c>
      <c r="P345" s="68"/>
      <c r="Q345" s="76"/>
      <c r="R345" s="70"/>
      <c r="S345" s="67"/>
      <c r="T345" s="68"/>
      <c r="U345" s="76"/>
      <c r="V345" s="70"/>
      <c r="W345" s="228">
        <f>ROUND((ROUND((ROUND((ROUND((_15_同援日４．５*_15・２人),0)*(1+_15・A夜間)),0)*(1+_15・盲ろう)),0)*(1+_15・区４)),0)</f>
        <v>1750</v>
      </c>
      <c r="X345" s="69"/>
    </row>
    <row r="346" spans="1:24" ht="16.5" customHeight="1" x14ac:dyDescent="0.3">
      <c r="A346" s="2">
        <v>15</v>
      </c>
      <c r="B346" s="2">
        <v>8525</v>
      </c>
      <c r="C346" s="60" t="s">
        <v>8601</v>
      </c>
      <c r="D346" s="1"/>
      <c r="E346" s="68"/>
      <c r="F346" s="70"/>
      <c r="G346" s="74" t="s">
        <v>16823</v>
      </c>
      <c r="H346" s="62"/>
      <c r="I346" s="63"/>
      <c r="J346" s="85"/>
      <c r="K346" s="64"/>
      <c r="L346" s="65"/>
      <c r="M346" s="99"/>
      <c r="N346" s="70"/>
      <c r="O346" s="67"/>
      <c r="P346" s="68" t="s">
        <v>1</v>
      </c>
      <c r="Q346" s="76">
        <v>0.25</v>
      </c>
      <c r="R346" s="70" t="s">
        <v>422</v>
      </c>
      <c r="S346" s="67"/>
      <c r="T346" s="68"/>
      <c r="U346" s="76"/>
      <c r="V346" s="70"/>
      <c r="W346" s="228">
        <f>ROUND((ROUND((ROUND((ROUND((_15_同援日４．５*_15・基礎２),0)*(1+_15・A夜間)),0)*(1+_15・盲ろう)),0)*(1+_15・区４)),0)</f>
        <v>1575</v>
      </c>
      <c r="X346" s="69"/>
    </row>
    <row r="347" spans="1:24" ht="16.5" customHeight="1" x14ac:dyDescent="0.3">
      <c r="A347" s="2">
        <v>15</v>
      </c>
      <c r="B347" s="2">
        <v>8526</v>
      </c>
      <c r="C347" s="60" t="s">
        <v>8600</v>
      </c>
      <c r="D347" s="81"/>
      <c r="E347" s="57"/>
      <c r="F347" s="77"/>
      <c r="G347" s="106" t="s">
        <v>17864</v>
      </c>
      <c r="H347" s="57" t="s">
        <v>1</v>
      </c>
      <c r="I347" s="58">
        <v>0.9</v>
      </c>
      <c r="J347" s="83" t="s">
        <v>5895</v>
      </c>
      <c r="K347" s="64" t="s">
        <v>1</v>
      </c>
      <c r="L347" s="65">
        <v>1</v>
      </c>
      <c r="M347" s="101"/>
      <c r="N347" s="77"/>
      <c r="O347" s="66"/>
      <c r="P347" s="57"/>
      <c r="Q347" s="58"/>
      <c r="R347" s="77"/>
      <c r="S347" s="66"/>
      <c r="T347" s="57"/>
      <c r="U347" s="58"/>
      <c r="V347" s="77"/>
      <c r="W347" s="228">
        <f>ROUND((ROUND((ROUND((ROUND((ROUND((_15_同援日４．５*_15・基礎２),0)*_15・２人),0)*(1+_15・A夜間)),0)*(1+_15・盲ろう)),0)*(1+_15・区４)),0)</f>
        <v>1575</v>
      </c>
      <c r="X347" s="71"/>
    </row>
    <row r="348" spans="1:24" ht="16.5" customHeight="1" x14ac:dyDescent="0.3"/>
    <row r="349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02" max="16383" man="1"/>
    <brk id="203" max="16383" man="1"/>
    <brk id="299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0000"/>
    <pageSetUpPr fitToPage="1"/>
  </sheetPr>
  <dimension ref="A1:X320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3.1015625" style="45" bestFit="1" customWidth="1"/>
    <col min="5" max="5" width="5.3671875" style="46" bestFit="1" customWidth="1"/>
    <col min="6" max="6" width="4.734375" style="46" bestFit="1" customWidth="1"/>
    <col min="7" max="7" width="16.62890625" style="46" customWidth="1"/>
    <col min="8" max="8" width="3.1015625" style="46" bestFit="1" customWidth="1"/>
    <col min="9" max="9" width="4.1015625" style="47" bestFit="1" customWidth="1"/>
    <col min="10" max="10" width="26.62890625" style="46" bestFit="1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12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10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18023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>
        <v>8527</v>
      </c>
      <c r="C7" s="60" t="s">
        <v>9254</v>
      </c>
      <c r="D7" s="233" t="s">
        <v>18022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ROUND((_15_同援日０．５*(1+_15・A深夜)),0)</f>
        <v>276</v>
      </c>
      <c r="X7" s="52" t="s">
        <v>5863</v>
      </c>
    </row>
    <row r="8" spans="1:24" ht="16.5" customHeight="1" x14ac:dyDescent="0.3">
      <c r="A8" s="2">
        <v>15</v>
      </c>
      <c r="B8" s="2">
        <v>8528</v>
      </c>
      <c r="C8" s="60" t="s">
        <v>9253</v>
      </c>
      <c r="D8" s="1" t="s">
        <v>17079</v>
      </c>
      <c r="E8" s="68"/>
      <c r="F8" s="70"/>
      <c r="G8" s="66"/>
      <c r="H8" s="57"/>
      <c r="I8" s="58"/>
      <c r="J8" s="83" t="s">
        <v>5895</v>
      </c>
      <c r="K8" s="64" t="s">
        <v>1</v>
      </c>
      <c r="L8" s="65">
        <v>1</v>
      </c>
      <c r="M8" s="99"/>
      <c r="N8" s="70"/>
      <c r="O8" s="67"/>
      <c r="P8" s="68"/>
      <c r="Q8" s="76"/>
      <c r="R8" s="70"/>
      <c r="S8" s="67"/>
      <c r="T8" s="68"/>
      <c r="U8" s="76"/>
      <c r="V8" s="70"/>
      <c r="W8" s="120">
        <f>ROUND((ROUND((_15_同援日０．５*_15・２人),0)*(1+_15・A深夜)),0)</f>
        <v>276</v>
      </c>
      <c r="X8" s="69"/>
    </row>
    <row r="9" spans="1:24" ht="16.5" customHeight="1" x14ac:dyDescent="0.3">
      <c r="A9" s="2">
        <v>15</v>
      </c>
      <c r="B9" s="2">
        <v>8529</v>
      </c>
      <c r="C9" s="60" t="s">
        <v>9252</v>
      </c>
      <c r="D9" s="1"/>
      <c r="E9" s="68"/>
      <c r="F9" s="70"/>
      <c r="G9" s="74" t="s">
        <v>16823</v>
      </c>
      <c r="H9" s="62"/>
      <c r="I9" s="63"/>
      <c r="J9" s="85"/>
      <c r="K9" s="64"/>
      <c r="L9" s="65"/>
      <c r="M9" s="99"/>
      <c r="N9" s="70"/>
      <c r="O9" s="67"/>
      <c r="P9" s="68"/>
      <c r="Q9" s="76"/>
      <c r="R9" s="70"/>
      <c r="S9" s="67"/>
      <c r="T9" s="68"/>
      <c r="U9" s="76"/>
      <c r="V9" s="70"/>
      <c r="W9" s="120">
        <f>ROUND((ROUND((_15_同援日０．５*_15・基礎２),0)*(1+_15・A深夜)),0)</f>
        <v>249</v>
      </c>
      <c r="X9" s="69"/>
    </row>
    <row r="10" spans="1:24" ht="16.5" customHeight="1" x14ac:dyDescent="0.3">
      <c r="A10" s="2">
        <v>15</v>
      </c>
      <c r="B10" s="2">
        <v>8530</v>
      </c>
      <c r="C10" s="60" t="s">
        <v>9251</v>
      </c>
      <c r="D10" s="1"/>
      <c r="E10" s="119">
        <v>184</v>
      </c>
      <c r="F10" s="70" t="s">
        <v>0</v>
      </c>
      <c r="G10" s="106" t="s">
        <v>16812</v>
      </c>
      <c r="H10" s="57" t="s">
        <v>1</v>
      </c>
      <c r="I10" s="58">
        <v>0.9</v>
      </c>
      <c r="J10" s="83" t="s">
        <v>5895</v>
      </c>
      <c r="K10" s="64" t="s">
        <v>1</v>
      </c>
      <c r="L10" s="65">
        <v>1</v>
      </c>
      <c r="M10" s="99"/>
      <c r="N10" s="70"/>
      <c r="O10" s="66"/>
      <c r="P10" s="57"/>
      <c r="Q10" s="58"/>
      <c r="R10" s="77"/>
      <c r="S10" s="67"/>
      <c r="T10" s="68"/>
      <c r="U10" s="76"/>
      <c r="V10" s="70"/>
      <c r="W10" s="120">
        <f>ROUND((ROUND((ROUND((_15_同援日０．５*_15・基礎２),0)*_15・２人),0)*(1+_15・A深夜)),0)</f>
        <v>249</v>
      </c>
      <c r="X10" s="69"/>
    </row>
    <row r="11" spans="1:24" ht="16.5" customHeight="1" x14ac:dyDescent="0.3">
      <c r="A11" s="2">
        <v>15</v>
      </c>
      <c r="B11" s="2">
        <v>8531</v>
      </c>
      <c r="C11" s="60" t="s">
        <v>9250</v>
      </c>
      <c r="D11" s="1"/>
      <c r="E11" s="68"/>
      <c r="F11" s="70"/>
      <c r="G11" s="61"/>
      <c r="H11" s="62"/>
      <c r="I11" s="63"/>
      <c r="J11" s="85"/>
      <c r="K11" s="64"/>
      <c r="L11" s="65"/>
      <c r="M11" s="99"/>
      <c r="N11" s="70"/>
      <c r="O11" s="74" t="s">
        <v>17969</v>
      </c>
      <c r="P11" s="62"/>
      <c r="Q11" s="63"/>
      <c r="R11" s="75"/>
      <c r="S11" s="67"/>
      <c r="T11" s="68"/>
      <c r="U11" s="76"/>
      <c r="V11" s="70"/>
      <c r="W11" s="120">
        <f>ROUND((ROUND((_15_同援日０．５*(1+_15・A深夜)),0)*(1+_15・盲ろう)),0)</f>
        <v>345</v>
      </c>
      <c r="X11" s="69"/>
    </row>
    <row r="12" spans="1:24" ht="16.5" customHeight="1" x14ac:dyDescent="0.3">
      <c r="A12" s="2">
        <v>15</v>
      </c>
      <c r="B12" s="2">
        <v>8532</v>
      </c>
      <c r="C12" s="60" t="s">
        <v>9249</v>
      </c>
      <c r="D12" s="1"/>
      <c r="E12" s="68"/>
      <c r="F12" s="70"/>
      <c r="G12" s="66"/>
      <c r="H12" s="57"/>
      <c r="I12" s="58"/>
      <c r="J12" s="83" t="s">
        <v>5895</v>
      </c>
      <c r="K12" s="64" t="s">
        <v>1</v>
      </c>
      <c r="L12" s="65">
        <v>1</v>
      </c>
      <c r="M12" s="99" t="s">
        <v>7920</v>
      </c>
      <c r="N12" s="70"/>
      <c r="O12" s="94" t="s">
        <v>17968</v>
      </c>
      <c r="P12" s="68"/>
      <c r="Q12" s="76"/>
      <c r="R12" s="70"/>
      <c r="S12" s="67"/>
      <c r="T12" s="68"/>
      <c r="U12" s="76"/>
      <c r="V12" s="70"/>
      <c r="W12" s="120">
        <f>ROUND((ROUND((ROUND((_15_同援日０．５*_15・２人),0)*(1+_15・A深夜)),0)*(1+_15・盲ろう)),0)</f>
        <v>345</v>
      </c>
      <c r="X12" s="69"/>
    </row>
    <row r="13" spans="1:24" ht="16.5" customHeight="1" x14ac:dyDescent="0.3">
      <c r="A13" s="2">
        <v>15</v>
      </c>
      <c r="B13" s="2">
        <v>8533</v>
      </c>
      <c r="C13" s="60" t="s">
        <v>9248</v>
      </c>
      <c r="D13" s="1"/>
      <c r="E13" s="68"/>
      <c r="F13" s="70"/>
      <c r="G13" s="74" t="s">
        <v>16823</v>
      </c>
      <c r="H13" s="62"/>
      <c r="I13" s="63"/>
      <c r="J13" s="85"/>
      <c r="K13" s="64"/>
      <c r="L13" s="65"/>
      <c r="M13" s="99"/>
      <c r="N13" s="100" t="s">
        <v>8034</v>
      </c>
      <c r="O13" s="67"/>
      <c r="P13" s="68" t="s">
        <v>1</v>
      </c>
      <c r="Q13" s="76">
        <v>0.25</v>
      </c>
      <c r="R13" s="70" t="s">
        <v>422</v>
      </c>
      <c r="S13" s="67"/>
      <c r="T13" s="68"/>
      <c r="U13" s="76"/>
      <c r="V13" s="70"/>
      <c r="W13" s="120">
        <f>ROUND((ROUND((ROUND((_15_同援日０．５*_15・基礎２),0)*(1+_15・A深夜)),0)*(1+_15・盲ろう)),0)</f>
        <v>311</v>
      </c>
      <c r="X13" s="69"/>
    </row>
    <row r="14" spans="1:24" ht="16.5" customHeight="1" x14ac:dyDescent="0.3">
      <c r="A14" s="2">
        <v>15</v>
      </c>
      <c r="B14" s="2">
        <v>8534</v>
      </c>
      <c r="C14" s="60" t="s">
        <v>9247</v>
      </c>
      <c r="D14" s="1"/>
      <c r="E14" s="68"/>
      <c r="F14" s="70"/>
      <c r="G14" s="106" t="s">
        <v>17077</v>
      </c>
      <c r="H14" s="57" t="s">
        <v>1</v>
      </c>
      <c r="I14" s="58">
        <v>0.9</v>
      </c>
      <c r="J14" s="83" t="s">
        <v>5895</v>
      </c>
      <c r="K14" s="64" t="s">
        <v>1</v>
      </c>
      <c r="L14" s="65">
        <v>1</v>
      </c>
      <c r="M14" s="99"/>
      <c r="N14" s="70"/>
      <c r="O14" s="66"/>
      <c r="P14" s="57"/>
      <c r="Q14" s="58"/>
      <c r="R14" s="77"/>
      <c r="S14" s="66"/>
      <c r="T14" s="57"/>
      <c r="U14" s="58"/>
      <c r="V14" s="77"/>
      <c r="W14" s="120">
        <f>ROUND((ROUND((ROUND((ROUND((_15_同援日０．５*_15・基礎２),0)*_15・２人),0)*(1+_15・A深夜)),0)*(1+_15・盲ろう)),0)</f>
        <v>311</v>
      </c>
      <c r="X14" s="69"/>
    </row>
    <row r="15" spans="1:24" ht="16.5" customHeight="1" x14ac:dyDescent="0.3">
      <c r="A15" s="2">
        <v>15</v>
      </c>
      <c r="B15" s="2">
        <v>8535</v>
      </c>
      <c r="C15" s="60" t="s">
        <v>9246</v>
      </c>
      <c r="D15" s="1"/>
      <c r="E15" s="68"/>
      <c r="F15" s="70"/>
      <c r="G15" s="61"/>
      <c r="H15" s="62"/>
      <c r="I15" s="63"/>
      <c r="J15" s="85"/>
      <c r="K15" s="64"/>
      <c r="L15" s="65"/>
      <c r="M15" s="67" t="s">
        <v>1</v>
      </c>
      <c r="N15" s="93">
        <v>0.5</v>
      </c>
      <c r="O15" s="61"/>
      <c r="P15" s="62"/>
      <c r="Q15" s="63"/>
      <c r="R15" s="75"/>
      <c r="S15" s="61"/>
      <c r="T15" s="62"/>
      <c r="U15" s="63"/>
      <c r="V15" s="75"/>
      <c r="W15" s="120">
        <f>ROUND((ROUND((_15_同援日０．５*(1+_15・A深夜)),0)*(1+_15・区３)),0)</f>
        <v>331</v>
      </c>
      <c r="X15" s="69"/>
    </row>
    <row r="16" spans="1:24" ht="16.5" customHeight="1" x14ac:dyDescent="0.3">
      <c r="A16" s="2">
        <v>15</v>
      </c>
      <c r="B16" s="2">
        <v>8536</v>
      </c>
      <c r="C16" s="60" t="s">
        <v>9245</v>
      </c>
      <c r="D16" s="1"/>
      <c r="E16" s="68"/>
      <c r="F16" s="70"/>
      <c r="G16" s="66"/>
      <c r="H16" s="57"/>
      <c r="I16" s="58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7"/>
      <c r="P16" s="68"/>
      <c r="Q16" s="76"/>
      <c r="R16" s="70"/>
      <c r="S16" s="67"/>
      <c r="T16" s="68"/>
      <c r="U16" s="76"/>
      <c r="V16" s="70"/>
      <c r="W16" s="120">
        <f>ROUND((ROUND((ROUND((_15_同援日０．５*_15・２人),0)*(1+_15・A深夜)),0)*(1+_15・区３)),0)</f>
        <v>331</v>
      </c>
      <c r="X16" s="69"/>
    </row>
    <row r="17" spans="1:24" ht="16.5" customHeight="1" x14ac:dyDescent="0.3">
      <c r="A17" s="2">
        <v>15</v>
      </c>
      <c r="B17" s="2">
        <v>8537</v>
      </c>
      <c r="C17" s="60" t="s">
        <v>9244</v>
      </c>
      <c r="D17" s="1"/>
      <c r="E17" s="68"/>
      <c r="F17" s="70"/>
      <c r="G17" s="74" t="s">
        <v>16823</v>
      </c>
      <c r="H17" s="62"/>
      <c r="I17" s="63"/>
      <c r="J17" s="85"/>
      <c r="K17" s="64"/>
      <c r="L17" s="65"/>
      <c r="M17" s="99"/>
      <c r="N17" s="70"/>
      <c r="O17" s="67"/>
      <c r="P17" s="68"/>
      <c r="Q17" s="76"/>
      <c r="R17" s="70"/>
      <c r="S17" s="1" t="s">
        <v>17974</v>
      </c>
      <c r="T17" s="68"/>
      <c r="U17" s="76"/>
      <c r="V17" s="70"/>
      <c r="W17" s="120">
        <f>ROUND((ROUND((ROUND((_15_同援日０．５*_15・基礎２),0)*(1+_15・A深夜)),0)*(1+_15・区３)),0)</f>
        <v>299</v>
      </c>
      <c r="X17" s="69"/>
    </row>
    <row r="18" spans="1:24" ht="16.5" customHeight="1" x14ac:dyDescent="0.3">
      <c r="A18" s="2">
        <v>15</v>
      </c>
      <c r="B18" s="2">
        <v>8538</v>
      </c>
      <c r="C18" s="60" t="s">
        <v>9243</v>
      </c>
      <c r="D18" s="1"/>
      <c r="E18" s="68"/>
      <c r="F18" s="70"/>
      <c r="G18" s="106" t="s">
        <v>16812</v>
      </c>
      <c r="H18" s="57" t="s">
        <v>1</v>
      </c>
      <c r="I18" s="58">
        <v>0.9</v>
      </c>
      <c r="J18" s="83" t="s">
        <v>5895</v>
      </c>
      <c r="K18" s="64" t="s">
        <v>1</v>
      </c>
      <c r="L18" s="65">
        <v>1</v>
      </c>
      <c r="M18" s="99"/>
      <c r="N18" s="70"/>
      <c r="O18" s="66"/>
      <c r="P18" s="57"/>
      <c r="Q18" s="58"/>
      <c r="R18" s="77"/>
      <c r="S18" s="1" t="s">
        <v>18006</v>
      </c>
      <c r="T18" s="68"/>
      <c r="U18" s="76"/>
      <c r="V18" s="70"/>
      <c r="W18" s="120">
        <f>ROUND((ROUND((ROUND((ROUND((_15_同援日０．５*_15・基礎２),0)*_15・２人),0)*(1+_15・A深夜)),0)*(1+_15・区３)),0)</f>
        <v>299</v>
      </c>
      <c r="X18" s="69"/>
    </row>
    <row r="19" spans="1:24" ht="16.5" customHeight="1" x14ac:dyDescent="0.3">
      <c r="A19" s="2">
        <v>15</v>
      </c>
      <c r="B19" s="2">
        <v>8539</v>
      </c>
      <c r="C19" s="60" t="s">
        <v>9242</v>
      </c>
      <c r="D19" s="1"/>
      <c r="E19" s="68"/>
      <c r="F19" s="70"/>
      <c r="G19" s="61"/>
      <c r="H19" s="62"/>
      <c r="I19" s="63"/>
      <c r="J19" s="85"/>
      <c r="K19" s="64"/>
      <c r="L19" s="65"/>
      <c r="M19" s="99"/>
      <c r="N19" s="70"/>
      <c r="O19" s="74" t="s">
        <v>17969</v>
      </c>
      <c r="P19" s="62"/>
      <c r="Q19" s="63"/>
      <c r="R19" s="75"/>
      <c r="S19" s="67"/>
      <c r="T19" s="68" t="s">
        <v>1</v>
      </c>
      <c r="U19" s="76">
        <v>0.2</v>
      </c>
      <c r="V19" s="70" t="s">
        <v>422</v>
      </c>
      <c r="W19" s="120">
        <f>ROUND((ROUND((ROUND((_15_同援日０．５*(1+_15・A深夜)),0)*(1+_15・盲ろう)),0)*(1+_15・区３)),0)</f>
        <v>414</v>
      </c>
      <c r="X19" s="69"/>
    </row>
    <row r="20" spans="1:24" ht="16.5" customHeight="1" x14ac:dyDescent="0.3">
      <c r="A20" s="2">
        <v>15</v>
      </c>
      <c r="B20" s="2">
        <v>8540</v>
      </c>
      <c r="C20" s="60" t="s">
        <v>9241</v>
      </c>
      <c r="D20" s="1"/>
      <c r="E20" s="68"/>
      <c r="F20" s="70"/>
      <c r="G20" s="66"/>
      <c r="H20" s="57"/>
      <c r="I20" s="58"/>
      <c r="J20" s="83" t="s">
        <v>5895</v>
      </c>
      <c r="K20" s="64" t="s">
        <v>1</v>
      </c>
      <c r="L20" s="65">
        <v>1</v>
      </c>
      <c r="M20" s="99"/>
      <c r="N20" s="70"/>
      <c r="O20" s="94" t="s">
        <v>17968</v>
      </c>
      <c r="P20" s="68"/>
      <c r="Q20" s="76"/>
      <c r="R20" s="70"/>
      <c r="S20" s="67"/>
      <c r="T20" s="68"/>
      <c r="U20" s="76"/>
      <c r="V20" s="70"/>
      <c r="W20" s="120">
        <f>ROUND((ROUND((ROUND((ROUND((_15_同援日０．５*_15・２人),0)*(1+_15・A深夜)),0)*(1+_15・盲ろう)),0)*(1+_15・区３)),0)</f>
        <v>414</v>
      </c>
      <c r="X20" s="69"/>
    </row>
    <row r="21" spans="1:24" ht="16.5" customHeight="1" x14ac:dyDescent="0.3">
      <c r="A21" s="2">
        <v>15</v>
      </c>
      <c r="B21" s="2">
        <v>8541</v>
      </c>
      <c r="C21" s="60" t="s">
        <v>9240</v>
      </c>
      <c r="D21" s="1"/>
      <c r="E21" s="68"/>
      <c r="F21" s="70"/>
      <c r="G21" s="74" t="s">
        <v>16823</v>
      </c>
      <c r="H21" s="62"/>
      <c r="I21" s="63"/>
      <c r="J21" s="85"/>
      <c r="K21" s="64"/>
      <c r="L21" s="65"/>
      <c r="M21" s="99"/>
      <c r="N21" s="70"/>
      <c r="O21" s="67"/>
      <c r="P21" s="68" t="s">
        <v>1</v>
      </c>
      <c r="Q21" s="76">
        <v>0.25</v>
      </c>
      <c r="R21" s="70" t="s">
        <v>422</v>
      </c>
      <c r="S21" s="67"/>
      <c r="T21" s="68"/>
      <c r="U21" s="76"/>
      <c r="V21" s="70"/>
      <c r="W21" s="120">
        <f>ROUND((ROUND((ROUND((ROUND((_15_同援日０．５*_15・基礎２),0)*(1+_15・A深夜)),0)*(1+_15・盲ろう)),0)*(1+_15・区３)),0)</f>
        <v>373</v>
      </c>
      <c r="X21" s="69"/>
    </row>
    <row r="22" spans="1:24" ht="16.5" customHeight="1" x14ac:dyDescent="0.3">
      <c r="A22" s="2">
        <v>15</v>
      </c>
      <c r="B22" s="2">
        <v>8542</v>
      </c>
      <c r="C22" s="60" t="s">
        <v>9239</v>
      </c>
      <c r="D22" s="1"/>
      <c r="E22" s="68"/>
      <c r="F22" s="70"/>
      <c r="G22" s="106" t="s">
        <v>17077</v>
      </c>
      <c r="H22" s="57" t="s">
        <v>1</v>
      </c>
      <c r="I22" s="58">
        <v>0.9</v>
      </c>
      <c r="J22" s="83" t="s">
        <v>5895</v>
      </c>
      <c r="K22" s="64" t="s">
        <v>1</v>
      </c>
      <c r="L22" s="65">
        <v>1</v>
      </c>
      <c r="M22" s="99"/>
      <c r="N22" s="70"/>
      <c r="O22" s="66"/>
      <c r="P22" s="57"/>
      <c r="Q22" s="58"/>
      <c r="R22" s="77"/>
      <c r="S22" s="66"/>
      <c r="T22" s="57"/>
      <c r="U22" s="58"/>
      <c r="V22" s="77"/>
      <c r="W22" s="120">
        <f>ROUND((ROUND((ROUND((ROUND((ROUND((_15_同援日０．５*_15・基礎２),0)*_15・２人),0)*(1+_15・A深夜)),0)*(1+_15・盲ろう)),0)*(1+_15・区３)),0)</f>
        <v>373</v>
      </c>
      <c r="X22" s="69"/>
    </row>
    <row r="23" spans="1:24" ht="16.5" customHeight="1" x14ac:dyDescent="0.3">
      <c r="A23" s="2">
        <v>15</v>
      </c>
      <c r="B23" s="2">
        <v>8543</v>
      </c>
      <c r="C23" s="60" t="s">
        <v>9238</v>
      </c>
      <c r="D23" s="1"/>
      <c r="E23" s="68"/>
      <c r="F23" s="70"/>
      <c r="G23" s="61"/>
      <c r="H23" s="62"/>
      <c r="I23" s="63"/>
      <c r="J23" s="85"/>
      <c r="K23" s="64"/>
      <c r="L23" s="65"/>
      <c r="M23" s="99"/>
      <c r="N23" s="70"/>
      <c r="O23" s="61"/>
      <c r="P23" s="62"/>
      <c r="Q23" s="63"/>
      <c r="R23" s="75"/>
      <c r="S23" s="61"/>
      <c r="T23" s="62"/>
      <c r="U23" s="63"/>
      <c r="V23" s="75"/>
      <c r="W23" s="120">
        <f>ROUND((ROUND((_15_同援日０．５*(1+_15・A深夜)),0)*(1+_15・区４)),0)</f>
        <v>386</v>
      </c>
      <c r="X23" s="69"/>
    </row>
    <row r="24" spans="1:24" ht="16.5" customHeight="1" x14ac:dyDescent="0.3">
      <c r="A24" s="2">
        <v>15</v>
      </c>
      <c r="B24" s="2">
        <v>8544</v>
      </c>
      <c r="C24" s="60" t="s">
        <v>9237</v>
      </c>
      <c r="D24" s="1"/>
      <c r="E24" s="68"/>
      <c r="F24" s="70"/>
      <c r="G24" s="66"/>
      <c r="H24" s="57"/>
      <c r="I24" s="58"/>
      <c r="J24" s="83" t="s">
        <v>5895</v>
      </c>
      <c r="K24" s="64" t="s">
        <v>1</v>
      </c>
      <c r="L24" s="65">
        <v>1</v>
      </c>
      <c r="M24" s="99"/>
      <c r="N24" s="70"/>
      <c r="O24" s="67"/>
      <c r="P24" s="68"/>
      <c r="Q24" s="76"/>
      <c r="R24" s="70"/>
      <c r="S24" s="67"/>
      <c r="T24" s="68"/>
      <c r="U24" s="76"/>
      <c r="V24" s="70"/>
      <c r="W24" s="120">
        <f>ROUND((ROUND((ROUND((_15_同援日０．５*_15・２人),0)*(1+_15・A深夜)),0)*(1+_15・区４)),0)</f>
        <v>386</v>
      </c>
      <c r="X24" s="69"/>
    </row>
    <row r="25" spans="1:24" ht="16.5" customHeight="1" x14ac:dyDescent="0.3">
      <c r="A25" s="2">
        <v>15</v>
      </c>
      <c r="B25" s="2">
        <v>8545</v>
      </c>
      <c r="C25" s="60" t="s">
        <v>9236</v>
      </c>
      <c r="D25" s="1"/>
      <c r="E25" s="68"/>
      <c r="F25" s="70"/>
      <c r="G25" s="74" t="s">
        <v>16823</v>
      </c>
      <c r="H25" s="62"/>
      <c r="I25" s="63"/>
      <c r="J25" s="85"/>
      <c r="K25" s="64"/>
      <c r="L25" s="65"/>
      <c r="M25" s="99"/>
      <c r="N25" s="70"/>
      <c r="O25" s="67"/>
      <c r="P25" s="68"/>
      <c r="Q25" s="76"/>
      <c r="R25" s="70"/>
      <c r="S25" s="1" t="s">
        <v>17971</v>
      </c>
      <c r="T25" s="68"/>
      <c r="U25" s="76"/>
      <c r="V25" s="70"/>
      <c r="W25" s="120">
        <f>ROUND((ROUND((ROUND((_15_同援日０．５*_15・基礎２),0)*(1+_15・A深夜)),0)*(1+_15・区４)),0)</f>
        <v>349</v>
      </c>
      <c r="X25" s="69"/>
    </row>
    <row r="26" spans="1:24" ht="16.5" customHeight="1" x14ac:dyDescent="0.3">
      <c r="A26" s="2">
        <v>15</v>
      </c>
      <c r="B26" s="2">
        <v>8546</v>
      </c>
      <c r="C26" s="60" t="s">
        <v>9235</v>
      </c>
      <c r="D26" s="1"/>
      <c r="E26" s="68"/>
      <c r="F26" s="70"/>
      <c r="G26" s="106" t="s">
        <v>16812</v>
      </c>
      <c r="H26" s="57" t="s">
        <v>1</v>
      </c>
      <c r="I26" s="58">
        <v>0.9</v>
      </c>
      <c r="J26" s="83" t="s">
        <v>5895</v>
      </c>
      <c r="K26" s="64" t="s">
        <v>1</v>
      </c>
      <c r="L26" s="65">
        <v>1</v>
      </c>
      <c r="M26" s="99"/>
      <c r="N26" s="70"/>
      <c r="O26" s="66"/>
      <c r="P26" s="57"/>
      <c r="Q26" s="58"/>
      <c r="R26" s="77"/>
      <c r="S26" s="1" t="s">
        <v>18006</v>
      </c>
      <c r="T26" s="68"/>
      <c r="U26" s="76"/>
      <c r="V26" s="70"/>
      <c r="W26" s="120">
        <f>ROUND((ROUND((ROUND((ROUND((_15_同援日０．５*_15・基礎２),0)*_15・２人),0)*(1+_15・A深夜)),0)*(1+_15・区４)),0)</f>
        <v>349</v>
      </c>
      <c r="X26" s="69"/>
    </row>
    <row r="27" spans="1:24" ht="16.5" customHeight="1" x14ac:dyDescent="0.3">
      <c r="A27" s="2">
        <v>15</v>
      </c>
      <c r="B27" s="2">
        <v>8547</v>
      </c>
      <c r="C27" s="60" t="s">
        <v>9234</v>
      </c>
      <c r="D27" s="1"/>
      <c r="E27" s="68"/>
      <c r="F27" s="70"/>
      <c r="G27" s="61"/>
      <c r="H27" s="62"/>
      <c r="I27" s="63"/>
      <c r="J27" s="85"/>
      <c r="K27" s="64"/>
      <c r="L27" s="65"/>
      <c r="M27" s="99"/>
      <c r="N27" s="70"/>
      <c r="O27" s="74" t="s">
        <v>17969</v>
      </c>
      <c r="P27" s="62"/>
      <c r="Q27" s="63"/>
      <c r="R27" s="75"/>
      <c r="S27" s="67"/>
      <c r="T27" s="68" t="s">
        <v>1</v>
      </c>
      <c r="U27" s="76">
        <v>0.4</v>
      </c>
      <c r="V27" s="70" t="s">
        <v>422</v>
      </c>
      <c r="W27" s="120">
        <f>ROUND((ROUND((ROUND((_15_同援日０．５*(1+_15・A深夜)),0)*(1+_15・盲ろう)),0)*(1+_15・区４)),0)</f>
        <v>483</v>
      </c>
      <c r="X27" s="69"/>
    </row>
    <row r="28" spans="1:24" ht="16.5" customHeight="1" x14ac:dyDescent="0.3">
      <c r="A28" s="2">
        <v>15</v>
      </c>
      <c r="B28" s="2">
        <v>8548</v>
      </c>
      <c r="C28" s="60" t="s">
        <v>9233</v>
      </c>
      <c r="D28" s="1"/>
      <c r="E28" s="68"/>
      <c r="F28" s="70"/>
      <c r="G28" s="66"/>
      <c r="H28" s="57"/>
      <c r="I28" s="58"/>
      <c r="J28" s="83" t="s">
        <v>5895</v>
      </c>
      <c r="K28" s="64" t="s">
        <v>1</v>
      </c>
      <c r="L28" s="65">
        <v>1</v>
      </c>
      <c r="M28" s="99"/>
      <c r="N28" s="70"/>
      <c r="O28" s="94" t="s">
        <v>18004</v>
      </c>
      <c r="P28" s="68"/>
      <c r="Q28" s="76"/>
      <c r="R28" s="70"/>
      <c r="S28" s="67"/>
      <c r="T28" s="68"/>
      <c r="U28" s="76"/>
      <c r="V28" s="70"/>
      <c r="W28" s="120">
        <f>ROUND((ROUND((ROUND((ROUND((_15_同援日０．５*_15・２人),0)*(1+_15・A深夜)),0)*(1+_15・盲ろう)),0)*(1+_15・区４)),0)</f>
        <v>483</v>
      </c>
      <c r="X28" s="69"/>
    </row>
    <row r="29" spans="1:24" ht="16.5" customHeight="1" x14ac:dyDescent="0.3">
      <c r="A29" s="2">
        <v>15</v>
      </c>
      <c r="B29" s="2">
        <v>8549</v>
      </c>
      <c r="C29" s="60" t="s">
        <v>9232</v>
      </c>
      <c r="D29" s="1"/>
      <c r="E29" s="68"/>
      <c r="F29" s="70"/>
      <c r="G29" s="74" t="s">
        <v>16823</v>
      </c>
      <c r="H29" s="62"/>
      <c r="I29" s="63"/>
      <c r="J29" s="85"/>
      <c r="K29" s="64"/>
      <c r="L29" s="65"/>
      <c r="M29" s="99"/>
      <c r="N29" s="70"/>
      <c r="O29" s="67"/>
      <c r="P29" s="68" t="s">
        <v>1</v>
      </c>
      <c r="Q29" s="76">
        <v>0.25</v>
      </c>
      <c r="R29" s="70" t="s">
        <v>422</v>
      </c>
      <c r="S29" s="67"/>
      <c r="T29" s="68"/>
      <c r="U29" s="76"/>
      <c r="V29" s="70"/>
      <c r="W29" s="120">
        <f>ROUND((ROUND((ROUND((ROUND((_15_同援日０．５*_15・基礎２),0)*(1+_15・A深夜)),0)*(1+_15・盲ろう)),0)*(1+_15・区４)),0)</f>
        <v>435</v>
      </c>
      <c r="X29" s="69"/>
    </row>
    <row r="30" spans="1:24" ht="16.5" customHeight="1" x14ac:dyDescent="0.3">
      <c r="A30" s="2">
        <v>15</v>
      </c>
      <c r="B30" s="2">
        <v>8550</v>
      </c>
      <c r="C30" s="60" t="s">
        <v>9231</v>
      </c>
      <c r="D30" s="81"/>
      <c r="E30" s="57"/>
      <c r="F30" s="77"/>
      <c r="G30" s="106" t="s">
        <v>16812</v>
      </c>
      <c r="H30" s="57" t="s">
        <v>1</v>
      </c>
      <c r="I30" s="58">
        <v>0.9</v>
      </c>
      <c r="J30" s="83" t="s">
        <v>5895</v>
      </c>
      <c r="K30" s="64" t="s">
        <v>1</v>
      </c>
      <c r="L30" s="65">
        <v>1</v>
      </c>
      <c r="M30" s="99"/>
      <c r="N30" s="70"/>
      <c r="O30" s="66"/>
      <c r="P30" s="57"/>
      <c r="Q30" s="58"/>
      <c r="R30" s="77"/>
      <c r="S30" s="66"/>
      <c r="T30" s="57"/>
      <c r="U30" s="58"/>
      <c r="V30" s="77"/>
      <c r="W30" s="120">
        <f>ROUND((ROUND((ROUND((ROUND((ROUND((_15_同援日０．５*_15・基礎２),0)*_15・２人),0)*(1+_15・A深夜)),0)*(1+_15・盲ろう)),0)*(1+_15・区４)),0)</f>
        <v>435</v>
      </c>
      <c r="X30" s="69"/>
    </row>
    <row r="31" spans="1:24" ht="16.5" customHeight="1" x14ac:dyDescent="0.3">
      <c r="A31" s="2">
        <v>15</v>
      </c>
      <c r="B31" s="2">
        <v>8551</v>
      </c>
      <c r="C31" s="60" t="s">
        <v>9230</v>
      </c>
      <c r="D31" s="233" t="s">
        <v>16308</v>
      </c>
      <c r="E31" s="62"/>
      <c r="F31" s="75"/>
      <c r="G31" s="61"/>
      <c r="H31" s="62"/>
      <c r="I31" s="63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228">
        <f>ROUND((_15_同援日１．０*(1+_15・A深夜)),0)</f>
        <v>438</v>
      </c>
      <c r="X31" s="69"/>
    </row>
    <row r="32" spans="1:24" ht="16.5" customHeight="1" x14ac:dyDescent="0.3">
      <c r="A32" s="2">
        <v>15</v>
      </c>
      <c r="B32" s="2">
        <v>8552</v>
      </c>
      <c r="C32" s="60" t="s">
        <v>9229</v>
      </c>
      <c r="D32" s="1" t="s">
        <v>17085</v>
      </c>
      <c r="E32" s="68"/>
      <c r="F32" s="70"/>
      <c r="G32" s="66"/>
      <c r="H32" s="57"/>
      <c r="I32" s="58"/>
      <c r="J32" s="83" t="s">
        <v>5895</v>
      </c>
      <c r="K32" s="64" t="s">
        <v>1</v>
      </c>
      <c r="L32" s="65">
        <v>1</v>
      </c>
      <c r="M32" s="99"/>
      <c r="N32" s="70"/>
      <c r="O32" s="67"/>
      <c r="P32" s="68"/>
      <c r="Q32" s="76"/>
      <c r="R32" s="70"/>
      <c r="S32" s="67"/>
      <c r="T32" s="68"/>
      <c r="U32" s="76"/>
      <c r="V32" s="70"/>
      <c r="W32" s="228">
        <f>ROUND((ROUND((_15_同援日１．０*_15・２人),0)*(1+_15・A深夜)),0)</f>
        <v>438</v>
      </c>
      <c r="X32" s="69"/>
    </row>
    <row r="33" spans="1:24" ht="16.5" customHeight="1" x14ac:dyDescent="0.3">
      <c r="A33" s="2">
        <v>15</v>
      </c>
      <c r="B33" s="2">
        <v>8553</v>
      </c>
      <c r="C33" s="60" t="s">
        <v>9228</v>
      </c>
      <c r="D33" s="1" t="s">
        <v>8572</v>
      </c>
      <c r="E33" s="68"/>
      <c r="F33" s="70"/>
      <c r="G33" s="74" t="s">
        <v>16823</v>
      </c>
      <c r="H33" s="62"/>
      <c r="I33" s="63"/>
      <c r="J33" s="85"/>
      <c r="K33" s="64"/>
      <c r="L33" s="65"/>
      <c r="M33" s="99"/>
      <c r="N33" s="70"/>
      <c r="O33" s="67"/>
      <c r="P33" s="68"/>
      <c r="Q33" s="76"/>
      <c r="R33" s="70"/>
      <c r="S33" s="67"/>
      <c r="T33" s="68"/>
      <c r="U33" s="76"/>
      <c r="V33" s="70"/>
      <c r="W33" s="228">
        <f>ROUND((ROUND((_15_同援日１．０*_15・基礎２),0)*(1+_15・A深夜)),0)</f>
        <v>395</v>
      </c>
      <c r="X33" s="69"/>
    </row>
    <row r="34" spans="1:24" ht="16.5" customHeight="1" x14ac:dyDescent="0.3">
      <c r="A34" s="2">
        <v>15</v>
      </c>
      <c r="B34" s="2">
        <v>8554</v>
      </c>
      <c r="C34" s="60" t="s">
        <v>9227</v>
      </c>
      <c r="D34" s="1"/>
      <c r="E34" s="227">
        <v>292</v>
      </c>
      <c r="F34" s="70" t="s">
        <v>0</v>
      </c>
      <c r="G34" s="106" t="s">
        <v>16812</v>
      </c>
      <c r="H34" s="57" t="s">
        <v>1</v>
      </c>
      <c r="I34" s="58">
        <v>0.9</v>
      </c>
      <c r="J34" s="83" t="s">
        <v>5895</v>
      </c>
      <c r="K34" s="64" t="s">
        <v>1</v>
      </c>
      <c r="L34" s="65">
        <v>1</v>
      </c>
      <c r="M34" s="99"/>
      <c r="N34" s="70"/>
      <c r="O34" s="66"/>
      <c r="P34" s="57"/>
      <c r="Q34" s="58"/>
      <c r="R34" s="77"/>
      <c r="S34" s="67"/>
      <c r="T34" s="68"/>
      <c r="U34" s="76"/>
      <c r="V34" s="70"/>
      <c r="W34" s="228">
        <f>ROUND((ROUND((ROUND((_15_同援日１．０*_15・基礎２),0)*_15・２人),0)*(1+_15・A深夜)),0)</f>
        <v>395</v>
      </c>
      <c r="X34" s="69"/>
    </row>
    <row r="35" spans="1:24" ht="16.5" customHeight="1" x14ac:dyDescent="0.3">
      <c r="A35" s="2">
        <v>15</v>
      </c>
      <c r="B35" s="2">
        <v>8555</v>
      </c>
      <c r="C35" s="60" t="s">
        <v>9226</v>
      </c>
      <c r="D35" s="1"/>
      <c r="E35" s="68"/>
      <c r="F35" s="70"/>
      <c r="G35" s="61"/>
      <c r="H35" s="62"/>
      <c r="I35" s="63"/>
      <c r="J35" s="85"/>
      <c r="K35" s="64"/>
      <c r="L35" s="65"/>
      <c r="M35" s="99"/>
      <c r="N35" s="70"/>
      <c r="O35" s="74" t="s">
        <v>18005</v>
      </c>
      <c r="P35" s="62"/>
      <c r="Q35" s="63"/>
      <c r="R35" s="75"/>
      <c r="S35" s="67"/>
      <c r="T35" s="68"/>
      <c r="U35" s="76"/>
      <c r="V35" s="70"/>
      <c r="W35" s="228">
        <f>ROUND((ROUND((_15_同援日１．０*(1+_15・A深夜)),0)*(1+_15・盲ろう)),0)</f>
        <v>548</v>
      </c>
      <c r="X35" s="69"/>
    </row>
    <row r="36" spans="1:24" ht="16.5" customHeight="1" x14ac:dyDescent="0.3">
      <c r="A36" s="2">
        <v>15</v>
      </c>
      <c r="B36" s="2">
        <v>8556</v>
      </c>
      <c r="C36" s="60" t="s">
        <v>9225</v>
      </c>
      <c r="D36" s="1"/>
      <c r="E36" s="68"/>
      <c r="F36" s="70"/>
      <c r="G36" s="66"/>
      <c r="H36" s="57"/>
      <c r="I36" s="58"/>
      <c r="J36" s="83" t="s">
        <v>5895</v>
      </c>
      <c r="K36" s="64" t="s">
        <v>1</v>
      </c>
      <c r="L36" s="65">
        <v>1</v>
      </c>
      <c r="M36" s="99"/>
      <c r="N36" s="70"/>
      <c r="O36" s="94" t="s">
        <v>18004</v>
      </c>
      <c r="P36" s="68"/>
      <c r="Q36" s="76"/>
      <c r="R36" s="70"/>
      <c r="S36" s="67"/>
      <c r="T36" s="68"/>
      <c r="U36" s="76"/>
      <c r="V36" s="70"/>
      <c r="W36" s="228">
        <f>ROUND((ROUND((ROUND((_15_同援日１．０*_15・２人),0)*(1+_15・A深夜)),0)*(1+_15・盲ろう)),0)</f>
        <v>548</v>
      </c>
      <c r="X36" s="69"/>
    </row>
    <row r="37" spans="1:24" ht="16.5" customHeight="1" x14ac:dyDescent="0.3">
      <c r="A37" s="2">
        <v>15</v>
      </c>
      <c r="B37" s="2">
        <v>8557</v>
      </c>
      <c r="C37" s="60" t="s">
        <v>9224</v>
      </c>
      <c r="D37" s="1"/>
      <c r="E37" s="68"/>
      <c r="F37" s="70"/>
      <c r="G37" s="74" t="s">
        <v>17078</v>
      </c>
      <c r="H37" s="62"/>
      <c r="I37" s="63"/>
      <c r="J37" s="85"/>
      <c r="K37" s="64"/>
      <c r="L37" s="65"/>
      <c r="M37" s="99"/>
      <c r="N37" s="70"/>
      <c r="O37" s="67"/>
      <c r="P37" s="68" t="s">
        <v>1</v>
      </c>
      <c r="Q37" s="76">
        <v>0.25</v>
      </c>
      <c r="R37" s="70" t="s">
        <v>422</v>
      </c>
      <c r="S37" s="67"/>
      <c r="T37" s="68"/>
      <c r="U37" s="76"/>
      <c r="V37" s="70"/>
      <c r="W37" s="228">
        <f>ROUND((ROUND((ROUND((_15_同援日１．０*_15・基礎２),0)*(1+_15・A深夜)),0)*(1+_15・盲ろう)),0)</f>
        <v>494</v>
      </c>
      <c r="X37" s="69"/>
    </row>
    <row r="38" spans="1:24" ht="16.5" customHeight="1" x14ac:dyDescent="0.3">
      <c r="A38" s="2">
        <v>15</v>
      </c>
      <c r="B38" s="2">
        <v>8558</v>
      </c>
      <c r="C38" s="60" t="s">
        <v>9223</v>
      </c>
      <c r="D38" s="1"/>
      <c r="E38" s="68"/>
      <c r="F38" s="70"/>
      <c r="G38" s="106" t="s">
        <v>17077</v>
      </c>
      <c r="H38" s="57" t="s">
        <v>1</v>
      </c>
      <c r="I38" s="58">
        <v>0.9</v>
      </c>
      <c r="J38" s="83" t="s">
        <v>5895</v>
      </c>
      <c r="K38" s="64" t="s">
        <v>1</v>
      </c>
      <c r="L38" s="65">
        <v>1</v>
      </c>
      <c r="M38" s="99"/>
      <c r="N38" s="70"/>
      <c r="O38" s="66"/>
      <c r="P38" s="57"/>
      <c r="Q38" s="58"/>
      <c r="R38" s="77"/>
      <c r="S38" s="66"/>
      <c r="T38" s="57"/>
      <c r="U38" s="58"/>
      <c r="V38" s="77"/>
      <c r="W38" s="228">
        <f>ROUND((ROUND((ROUND((ROUND((_15_同援日１．０*_15・基礎２),0)*_15・２人),0)*(1+_15・A深夜)),0)*(1+_15・盲ろう)),0)</f>
        <v>494</v>
      </c>
      <c r="X38" s="69"/>
    </row>
    <row r="39" spans="1:24" ht="16.5" customHeight="1" x14ac:dyDescent="0.3">
      <c r="A39" s="2">
        <v>15</v>
      </c>
      <c r="B39" s="2">
        <v>8559</v>
      </c>
      <c r="C39" s="60" t="s">
        <v>9222</v>
      </c>
      <c r="D39" s="1"/>
      <c r="E39" s="68"/>
      <c r="F39" s="70"/>
      <c r="G39" s="61"/>
      <c r="H39" s="62"/>
      <c r="I39" s="63"/>
      <c r="J39" s="85"/>
      <c r="K39" s="64"/>
      <c r="L39" s="65"/>
      <c r="M39" s="99"/>
      <c r="N39" s="70"/>
      <c r="O39" s="61"/>
      <c r="P39" s="62"/>
      <c r="Q39" s="63"/>
      <c r="R39" s="75"/>
      <c r="S39" s="61"/>
      <c r="T39" s="62"/>
      <c r="U39" s="63"/>
      <c r="V39" s="75"/>
      <c r="W39" s="228">
        <f>ROUND((ROUND((_15_同援日１．０*(1+_15・A深夜)),0)*(1+_15・区３)),0)</f>
        <v>526</v>
      </c>
      <c r="X39" s="69"/>
    </row>
    <row r="40" spans="1:24" ht="16.5" customHeight="1" x14ac:dyDescent="0.3">
      <c r="A40" s="2">
        <v>15</v>
      </c>
      <c r="B40" s="2">
        <v>8560</v>
      </c>
      <c r="C40" s="60" t="s">
        <v>9221</v>
      </c>
      <c r="D40" s="1"/>
      <c r="E40" s="68"/>
      <c r="F40" s="70"/>
      <c r="G40" s="66"/>
      <c r="H40" s="57"/>
      <c r="I40" s="58"/>
      <c r="J40" s="83" t="s">
        <v>5895</v>
      </c>
      <c r="K40" s="64" t="s">
        <v>1</v>
      </c>
      <c r="L40" s="65">
        <v>1</v>
      </c>
      <c r="M40" s="99"/>
      <c r="N40" s="70"/>
      <c r="O40" s="67"/>
      <c r="P40" s="68"/>
      <c r="Q40" s="76"/>
      <c r="R40" s="70"/>
      <c r="S40" s="67"/>
      <c r="T40" s="68"/>
      <c r="U40" s="76"/>
      <c r="V40" s="70"/>
      <c r="W40" s="228">
        <f>ROUND((ROUND((ROUND((_15_同援日１．０*_15・２人),0)*(1+_15・A深夜)),0)*(1+_15・区３)),0)</f>
        <v>526</v>
      </c>
      <c r="X40" s="69"/>
    </row>
    <row r="41" spans="1:24" ht="16.5" customHeight="1" x14ac:dyDescent="0.3">
      <c r="A41" s="2">
        <v>15</v>
      </c>
      <c r="B41" s="2">
        <v>8561</v>
      </c>
      <c r="C41" s="60" t="s">
        <v>9220</v>
      </c>
      <c r="D41" s="1"/>
      <c r="E41" s="68"/>
      <c r="F41" s="70"/>
      <c r="G41" s="74" t="s">
        <v>17078</v>
      </c>
      <c r="H41" s="62"/>
      <c r="I41" s="63"/>
      <c r="J41" s="85"/>
      <c r="K41" s="64"/>
      <c r="L41" s="65"/>
      <c r="M41" s="99"/>
      <c r="N41" s="70"/>
      <c r="O41" s="67"/>
      <c r="P41" s="68"/>
      <c r="Q41" s="76"/>
      <c r="R41" s="70"/>
      <c r="S41" s="1" t="s">
        <v>17974</v>
      </c>
      <c r="T41" s="68"/>
      <c r="U41" s="76"/>
      <c r="V41" s="70"/>
      <c r="W41" s="228">
        <f>ROUND((ROUND((ROUND((_15_同援日１．０*_15・基礎２),0)*(1+_15・A深夜)),0)*(1+_15・区３)),0)</f>
        <v>474</v>
      </c>
      <c r="X41" s="69"/>
    </row>
    <row r="42" spans="1:24" ht="16.5" customHeight="1" x14ac:dyDescent="0.3">
      <c r="A42" s="2">
        <v>15</v>
      </c>
      <c r="B42" s="2">
        <v>8562</v>
      </c>
      <c r="C42" s="60" t="s">
        <v>9219</v>
      </c>
      <c r="D42" s="1"/>
      <c r="E42" s="68"/>
      <c r="F42" s="70"/>
      <c r="G42" s="106" t="s">
        <v>16812</v>
      </c>
      <c r="H42" s="57" t="s">
        <v>1</v>
      </c>
      <c r="I42" s="58">
        <v>0.9</v>
      </c>
      <c r="J42" s="83" t="s">
        <v>5895</v>
      </c>
      <c r="K42" s="64" t="s">
        <v>1</v>
      </c>
      <c r="L42" s="65">
        <v>1</v>
      </c>
      <c r="M42" s="99"/>
      <c r="N42" s="70"/>
      <c r="O42" s="66"/>
      <c r="P42" s="57"/>
      <c r="Q42" s="58"/>
      <c r="R42" s="77"/>
      <c r="S42" s="1" t="s">
        <v>17970</v>
      </c>
      <c r="T42" s="68"/>
      <c r="U42" s="76"/>
      <c r="V42" s="70"/>
      <c r="W42" s="228">
        <f>ROUND((ROUND((ROUND((ROUND((_15_同援日１．０*_15・基礎２),0)*_15・２人),0)*(1+_15・A深夜)),0)*(1+_15・区３)),0)</f>
        <v>474</v>
      </c>
      <c r="X42" s="69"/>
    </row>
    <row r="43" spans="1:24" ht="16.5" customHeight="1" x14ac:dyDescent="0.3">
      <c r="A43" s="2">
        <v>15</v>
      </c>
      <c r="B43" s="2">
        <v>8563</v>
      </c>
      <c r="C43" s="60" t="s">
        <v>9218</v>
      </c>
      <c r="D43" s="1"/>
      <c r="E43" s="68"/>
      <c r="F43" s="70"/>
      <c r="G43" s="61"/>
      <c r="H43" s="62"/>
      <c r="I43" s="63"/>
      <c r="J43" s="85"/>
      <c r="K43" s="64"/>
      <c r="L43" s="65"/>
      <c r="M43" s="99"/>
      <c r="N43" s="70"/>
      <c r="O43" s="74" t="s">
        <v>18005</v>
      </c>
      <c r="P43" s="62"/>
      <c r="Q43" s="63"/>
      <c r="R43" s="75"/>
      <c r="S43" s="67"/>
      <c r="T43" s="68" t="s">
        <v>1</v>
      </c>
      <c r="U43" s="76">
        <v>0.2</v>
      </c>
      <c r="V43" s="70" t="s">
        <v>422</v>
      </c>
      <c r="W43" s="228">
        <f>ROUND((ROUND((ROUND((_15_同援日１．０*(1+_15・A深夜)),0)*(1+_15・盲ろう)),0)*(1+_15・区３)),0)</f>
        <v>658</v>
      </c>
      <c r="X43" s="69"/>
    </row>
    <row r="44" spans="1:24" ht="16.5" customHeight="1" x14ac:dyDescent="0.3">
      <c r="A44" s="2">
        <v>15</v>
      </c>
      <c r="B44" s="2">
        <v>8564</v>
      </c>
      <c r="C44" s="60" t="s">
        <v>9217</v>
      </c>
      <c r="D44" s="1"/>
      <c r="E44" s="68"/>
      <c r="F44" s="70"/>
      <c r="G44" s="66"/>
      <c r="H44" s="57"/>
      <c r="I44" s="58"/>
      <c r="J44" s="83" t="s">
        <v>5895</v>
      </c>
      <c r="K44" s="64" t="s">
        <v>1</v>
      </c>
      <c r="L44" s="65">
        <v>1</v>
      </c>
      <c r="M44" s="99"/>
      <c r="N44" s="70"/>
      <c r="O44" s="94" t="s">
        <v>18004</v>
      </c>
      <c r="P44" s="68"/>
      <c r="Q44" s="76"/>
      <c r="R44" s="70"/>
      <c r="S44" s="67"/>
      <c r="T44" s="68"/>
      <c r="U44" s="76"/>
      <c r="V44" s="70"/>
      <c r="W44" s="228">
        <f>ROUND((ROUND((ROUND((ROUND((_15_同援日１．０*_15・２人),0)*(1+_15・A深夜)),0)*(1+_15・盲ろう)),0)*(1+_15・区３)),0)</f>
        <v>658</v>
      </c>
      <c r="X44" s="69"/>
    </row>
    <row r="45" spans="1:24" ht="16.5" customHeight="1" x14ac:dyDescent="0.3">
      <c r="A45" s="2">
        <v>15</v>
      </c>
      <c r="B45" s="2">
        <v>8565</v>
      </c>
      <c r="C45" s="60" t="s">
        <v>9216</v>
      </c>
      <c r="D45" s="1"/>
      <c r="E45" s="68"/>
      <c r="F45" s="70"/>
      <c r="G45" s="74" t="s">
        <v>17078</v>
      </c>
      <c r="H45" s="62"/>
      <c r="I45" s="63"/>
      <c r="J45" s="85"/>
      <c r="K45" s="64"/>
      <c r="L45" s="65"/>
      <c r="M45" s="99"/>
      <c r="N45" s="70"/>
      <c r="O45" s="67"/>
      <c r="P45" s="68" t="s">
        <v>1</v>
      </c>
      <c r="Q45" s="76">
        <v>0.25</v>
      </c>
      <c r="R45" s="70" t="s">
        <v>422</v>
      </c>
      <c r="S45" s="67"/>
      <c r="T45" s="68"/>
      <c r="U45" s="76"/>
      <c r="V45" s="70"/>
      <c r="W45" s="228">
        <f>ROUND((ROUND((ROUND((ROUND((_15_同援日１．０*_15・基礎２),0)*(1+_15・A深夜)),0)*(1+_15・盲ろう)),0)*(1+_15・区３)),0)</f>
        <v>593</v>
      </c>
      <c r="X45" s="69"/>
    </row>
    <row r="46" spans="1:24" ht="16.5" customHeight="1" x14ac:dyDescent="0.3">
      <c r="A46" s="2">
        <v>15</v>
      </c>
      <c r="B46" s="2">
        <v>8566</v>
      </c>
      <c r="C46" s="60" t="s">
        <v>9215</v>
      </c>
      <c r="D46" s="1"/>
      <c r="E46" s="68"/>
      <c r="F46" s="70"/>
      <c r="G46" s="106" t="s">
        <v>16812</v>
      </c>
      <c r="H46" s="57" t="s">
        <v>1</v>
      </c>
      <c r="I46" s="58">
        <v>0.9</v>
      </c>
      <c r="J46" s="83" t="s">
        <v>5895</v>
      </c>
      <c r="K46" s="64" t="s">
        <v>1</v>
      </c>
      <c r="L46" s="65">
        <v>1</v>
      </c>
      <c r="M46" s="99"/>
      <c r="N46" s="70"/>
      <c r="O46" s="66"/>
      <c r="P46" s="57"/>
      <c r="Q46" s="58"/>
      <c r="R46" s="77"/>
      <c r="S46" s="66"/>
      <c r="T46" s="57"/>
      <c r="U46" s="58"/>
      <c r="V46" s="77"/>
      <c r="W46" s="228">
        <f>ROUND((ROUND((ROUND((ROUND((ROUND((_15_同援日１．０*_15・基礎２),0)*_15・２人),0)*(1+_15・A深夜)),0)*(1+_15・盲ろう)),0)*(1+_15・区３)),0)</f>
        <v>593</v>
      </c>
      <c r="X46" s="69"/>
    </row>
    <row r="47" spans="1:24" ht="16.5" customHeight="1" x14ac:dyDescent="0.3">
      <c r="A47" s="2">
        <v>15</v>
      </c>
      <c r="B47" s="2">
        <v>8567</v>
      </c>
      <c r="C47" s="60" t="s">
        <v>9214</v>
      </c>
      <c r="D47" s="1"/>
      <c r="E47" s="68"/>
      <c r="F47" s="70"/>
      <c r="G47" s="61"/>
      <c r="H47" s="62"/>
      <c r="I47" s="63"/>
      <c r="J47" s="85"/>
      <c r="K47" s="64"/>
      <c r="L47" s="65"/>
      <c r="M47" s="99"/>
      <c r="N47" s="70"/>
      <c r="O47" s="61"/>
      <c r="P47" s="62"/>
      <c r="Q47" s="63"/>
      <c r="R47" s="75"/>
      <c r="S47" s="61"/>
      <c r="T47" s="62"/>
      <c r="U47" s="63"/>
      <c r="V47" s="75"/>
      <c r="W47" s="228">
        <f>ROUND((ROUND((_15_同援日１．０*(1+_15・A深夜)),0)*(1+_15・区４)),0)</f>
        <v>613</v>
      </c>
      <c r="X47" s="69"/>
    </row>
    <row r="48" spans="1:24" ht="16.5" customHeight="1" x14ac:dyDescent="0.3">
      <c r="A48" s="2">
        <v>15</v>
      </c>
      <c r="B48" s="2">
        <v>8568</v>
      </c>
      <c r="C48" s="60" t="s">
        <v>9213</v>
      </c>
      <c r="D48" s="1"/>
      <c r="E48" s="68"/>
      <c r="F48" s="70"/>
      <c r="G48" s="66"/>
      <c r="H48" s="57"/>
      <c r="I48" s="58"/>
      <c r="J48" s="83" t="s">
        <v>5895</v>
      </c>
      <c r="K48" s="64" t="s">
        <v>1</v>
      </c>
      <c r="L48" s="65">
        <v>1</v>
      </c>
      <c r="M48" s="99"/>
      <c r="N48" s="70"/>
      <c r="O48" s="67"/>
      <c r="P48" s="68"/>
      <c r="Q48" s="76"/>
      <c r="R48" s="70"/>
      <c r="S48" s="67"/>
      <c r="T48" s="68"/>
      <c r="U48" s="76"/>
      <c r="V48" s="70"/>
      <c r="W48" s="228">
        <f>ROUND((ROUND((ROUND((_15_同援日１．０*_15・２人),0)*(1+_15・A深夜)),0)*(1+_15・区４)),0)</f>
        <v>613</v>
      </c>
      <c r="X48" s="69"/>
    </row>
    <row r="49" spans="1:24" ht="16.5" customHeight="1" x14ac:dyDescent="0.3">
      <c r="A49" s="2">
        <v>15</v>
      </c>
      <c r="B49" s="2">
        <v>8569</v>
      </c>
      <c r="C49" s="60" t="s">
        <v>9212</v>
      </c>
      <c r="D49" s="1"/>
      <c r="E49" s="68"/>
      <c r="F49" s="70"/>
      <c r="G49" s="74" t="s">
        <v>16823</v>
      </c>
      <c r="H49" s="62"/>
      <c r="I49" s="63"/>
      <c r="J49" s="85"/>
      <c r="K49" s="64"/>
      <c r="L49" s="65"/>
      <c r="M49" s="99"/>
      <c r="N49" s="70"/>
      <c r="O49" s="67"/>
      <c r="P49" s="68"/>
      <c r="Q49" s="76"/>
      <c r="R49" s="70"/>
      <c r="S49" s="1" t="s">
        <v>17971</v>
      </c>
      <c r="T49" s="68"/>
      <c r="U49" s="76"/>
      <c r="V49" s="70"/>
      <c r="W49" s="228">
        <f>ROUND((ROUND((ROUND((_15_同援日１．０*_15・基礎２),0)*(1+_15・A深夜)),0)*(1+_15・区４)),0)</f>
        <v>553</v>
      </c>
      <c r="X49" s="69"/>
    </row>
    <row r="50" spans="1:24" ht="16.5" customHeight="1" x14ac:dyDescent="0.3">
      <c r="A50" s="2">
        <v>15</v>
      </c>
      <c r="B50" s="2">
        <v>8570</v>
      </c>
      <c r="C50" s="60" t="s">
        <v>9211</v>
      </c>
      <c r="D50" s="1"/>
      <c r="E50" s="68"/>
      <c r="F50" s="70"/>
      <c r="G50" s="106" t="s">
        <v>17077</v>
      </c>
      <c r="H50" s="57" t="s">
        <v>1</v>
      </c>
      <c r="I50" s="58">
        <v>0.9</v>
      </c>
      <c r="J50" s="83" t="s">
        <v>5895</v>
      </c>
      <c r="K50" s="64" t="s">
        <v>1</v>
      </c>
      <c r="L50" s="65">
        <v>1</v>
      </c>
      <c r="M50" s="99"/>
      <c r="N50" s="70"/>
      <c r="O50" s="66"/>
      <c r="P50" s="57"/>
      <c r="Q50" s="58"/>
      <c r="R50" s="77"/>
      <c r="S50" s="1" t="s">
        <v>17970</v>
      </c>
      <c r="T50" s="68"/>
      <c r="U50" s="76"/>
      <c r="V50" s="70"/>
      <c r="W50" s="228">
        <f>ROUND((ROUND((ROUND((ROUND((_15_同援日１．０*_15・基礎２),0)*_15・２人),0)*(1+_15・A深夜)),0)*(1+_15・区４)),0)</f>
        <v>553</v>
      </c>
      <c r="X50" s="69"/>
    </row>
    <row r="51" spans="1:24" ht="16.5" customHeight="1" x14ac:dyDescent="0.3">
      <c r="A51" s="2">
        <v>15</v>
      </c>
      <c r="B51" s="2">
        <v>8571</v>
      </c>
      <c r="C51" s="60" t="s">
        <v>9210</v>
      </c>
      <c r="D51" s="1"/>
      <c r="E51" s="68"/>
      <c r="F51" s="70"/>
      <c r="G51" s="61"/>
      <c r="H51" s="62"/>
      <c r="I51" s="63"/>
      <c r="J51" s="85"/>
      <c r="K51" s="64"/>
      <c r="L51" s="65"/>
      <c r="M51" s="99"/>
      <c r="N51" s="70"/>
      <c r="O51" s="74" t="s">
        <v>17969</v>
      </c>
      <c r="P51" s="62"/>
      <c r="Q51" s="63"/>
      <c r="R51" s="75"/>
      <c r="S51" s="67"/>
      <c r="T51" s="68" t="s">
        <v>1</v>
      </c>
      <c r="U51" s="76">
        <v>0.4</v>
      </c>
      <c r="V51" s="70" t="s">
        <v>422</v>
      </c>
      <c r="W51" s="228">
        <f>ROUND((ROUND((ROUND((_15_同援日１．０*(1+_15・A深夜)),0)*(1+_15・盲ろう)),0)*(1+_15・区４)),0)</f>
        <v>767</v>
      </c>
      <c r="X51" s="69"/>
    </row>
    <row r="52" spans="1:24" ht="16.5" customHeight="1" x14ac:dyDescent="0.3">
      <c r="A52" s="2">
        <v>15</v>
      </c>
      <c r="B52" s="2">
        <v>8572</v>
      </c>
      <c r="C52" s="60" t="s">
        <v>9209</v>
      </c>
      <c r="D52" s="1"/>
      <c r="E52" s="68"/>
      <c r="F52" s="70"/>
      <c r="G52" s="66"/>
      <c r="H52" s="57"/>
      <c r="I52" s="58"/>
      <c r="J52" s="83" t="s">
        <v>5895</v>
      </c>
      <c r="K52" s="64" t="s">
        <v>1</v>
      </c>
      <c r="L52" s="65">
        <v>1</v>
      </c>
      <c r="M52" s="99"/>
      <c r="N52" s="70"/>
      <c r="O52" s="94" t="s">
        <v>17968</v>
      </c>
      <c r="P52" s="68"/>
      <c r="Q52" s="76"/>
      <c r="R52" s="70"/>
      <c r="S52" s="67"/>
      <c r="T52" s="68"/>
      <c r="U52" s="76"/>
      <c r="V52" s="70"/>
      <c r="W52" s="228">
        <f>ROUND((ROUND((ROUND((ROUND((_15_同援日１．０*_15・２人),0)*(1+_15・A深夜)),0)*(1+_15・盲ろう)),0)*(1+_15・区４)),0)</f>
        <v>767</v>
      </c>
      <c r="X52" s="69"/>
    </row>
    <row r="53" spans="1:24" ht="16.5" customHeight="1" x14ac:dyDescent="0.3">
      <c r="A53" s="2">
        <v>15</v>
      </c>
      <c r="B53" s="2">
        <v>8573</v>
      </c>
      <c r="C53" s="60" t="s">
        <v>9208</v>
      </c>
      <c r="D53" s="1"/>
      <c r="E53" s="68"/>
      <c r="F53" s="70"/>
      <c r="G53" s="74" t="s">
        <v>16823</v>
      </c>
      <c r="H53" s="62"/>
      <c r="I53" s="63"/>
      <c r="J53" s="85"/>
      <c r="K53" s="64"/>
      <c r="L53" s="65"/>
      <c r="M53" s="99"/>
      <c r="N53" s="70"/>
      <c r="O53" s="67"/>
      <c r="P53" s="68" t="s">
        <v>1</v>
      </c>
      <c r="Q53" s="76">
        <v>0.25</v>
      </c>
      <c r="R53" s="70" t="s">
        <v>422</v>
      </c>
      <c r="S53" s="67"/>
      <c r="T53" s="68"/>
      <c r="U53" s="76"/>
      <c r="V53" s="70"/>
      <c r="W53" s="228">
        <f>ROUND((ROUND((ROUND((ROUND((_15_同援日１．０*_15・基礎２),0)*(1+_15・A深夜)),0)*(1+_15・盲ろう)),0)*(1+_15・区４)),0)</f>
        <v>692</v>
      </c>
      <c r="X53" s="69"/>
    </row>
    <row r="54" spans="1:24" ht="16.5" customHeight="1" x14ac:dyDescent="0.3">
      <c r="A54" s="2">
        <v>15</v>
      </c>
      <c r="B54" s="2">
        <v>8574</v>
      </c>
      <c r="C54" s="60" t="s">
        <v>9207</v>
      </c>
      <c r="D54" s="81"/>
      <c r="E54" s="57"/>
      <c r="F54" s="77"/>
      <c r="G54" s="106" t="s">
        <v>16812</v>
      </c>
      <c r="H54" s="57" t="s">
        <v>1</v>
      </c>
      <c r="I54" s="58">
        <v>0.9</v>
      </c>
      <c r="J54" s="83" t="s">
        <v>5895</v>
      </c>
      <c r="K54" s="64" t="s">
        <v>1</v>
      </c>
      <c r="L54" s="65">
        <v>1</v>
      </c>
      <c r="M54" s="99"/>
      <c r="N54" s="70"/>
      <c r="O54" s="66"/>
      <c r="P54" s="57"/>
      <c r="Q54" s="58"/>
      <c r="R54" s="77"/>
      <c r="S54" s="66"/>
      <c r="T54" s="57"/>
      <c r="U54" s="58"/>
      <c r="V54" s="77"/>
      <c r="W54" s="228">
        <f>ROUND((ROUND((ROUND((ROUND((ROUND((_15_同援日１．０*_15・基礎２),0)*_15・２人),0)*(1+_15・A深夜)),0)*(1+_15・盲ろう)),0)*(1+_15・区４)),0)</f>
        <v>692</v>
      </c>
      <c r="X54" s="69"/>
    </row>
    <row r="55" spans="1:24" ht="16.5" customHeight="1" x14ac:dyDescent="0.3">
      <c r="A55" s="2">
        <v>15</v>
      </c>
      <c r="B55" s="2">
        <v>8575</v>
      </c>
      <c r="C55" s="60" t="s">
        <v>9206</v>
      </c>
      <c r="D55" s="233" t="s">
        <v>18021</v>
      </c>
      <c r="E55" s="62"/>
      <c r="F55" s="75"/>
      <c r="G55" s="61"/>
      <c r="H55" s="62"/>
      <c r="I55" s="63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228">
        <f>ROUND((_15_同援日１．５*(1+_15・A深夜)),0)</f>
        <v>632</v>
      </c>
      <c r="X55" s="69"/>
    </row>
    <row r="56" spans="1:24" ht="16.5" customHeight="1" x14ac:dyDescent="0.3">
      <c r="A56" s="2">
        <v>15</v>
      </c>
      <c r="B56" s="2">
        <v>8576</v>
      </c>
      <c r="C56" s="60" t="s">
        <v>9205</v>
      </c>
      <c r="D56" s="1" t="s">
        <v>17088</v>
      </c>
      <c r="E56" s="68"/>
      <c r="F56" s="70"/>
      <c r="G56" s="66"/>
      <c r="H56" s="57"/>
      <c r="I56" s="58"/>
      <c r="J56" s="83" t="s">
        <v>5895</v>
      </c>
      <c r="K56" s="64" t="s">
        <v>1</v>
      </c>
      <c r="L56" s="65">
        <v>1</v>
      </c>
      <c r="M56" s="99"/>
      <c r="N56" s="70"/>
      <c r="O56" s="67"/>
      <c r="P56" s="68"/>
      <c r="Q56" s="76"/>
      <c r="R56" s="70"/>
      <c r="S56" s="67"/>
      <c r="T56" s="68"/>
      <c r="U56" s="76"/>
      <c r="V56" s="70"/>
      <c r="W56" s="228">
        <f>ROUND((ROUND((_15_同援日１．５*_15・２人),0)*(1+_15・A深夜)),0)</f>
        <v>632</v>
      </c>
      <c r="X56" s="69"/>
    </row>
    <row r="57" spans="1:24" ht="16.5" customHeight="1" x14ac:dyDescent="0.3">
      <c r="A57" s="2">
        <v>15</v>
      </c>
      <c r="B57" s="2">
        <v>8577</v>
      </c>
      <c r="C57" s="60" t="s">
        <v>9204</v>
      </c>
      <c r="D57" s="1" t="s">
        <v>8767</v>
      </c>
      <c r="E57" s="68"/>
      <c r="F57" s="70"/>
      <c r="G57" s="74" t="s">
        <v>17078</v>
      </c>
      <c r="H57" s="62"/>
      <c r="I57" s="63"/>
      <c r="J57" s="85"/>
      <c r="K57" s="64"/>
      <c r="L57" s="65"/>
      <c r="M57" s="99"/>
      <c r="N57" s="70"/>
      <c r="O57" s="67"/>
      <c r="P57" s="68"/>
      <c r="Q57" s="76"/>
      <c r="R57" s="70"/>
      <c r="S57" s="67"/>
      <c r="T57" s="68"/>
      <c r="U57" s="76"/>
      <c r="V57" s="70"/>
      <c r="W57" s="228">
        <f>ROUND((ROUND((_15_同援日１．５*_15・基礎２),0)*(1+_15・A深夜)),0)</f>
        <v>569</v>
      </c>
      <c r="X57" s="69"/>
    </row>
    <row r="58" spans="1:24" ht="16.5" customHeight="1" x14ac:dyDescent="0.3">
      <c r="A58" s="2">
        <v>15</v>
      </c>
      <c r="B58" s="2">
        <v>8578</v>
      </c>
      <c r="C58" s="60" t="s">
        <v>9203</v>
      </c>
      <c r="D58" s="1"/>
      <c r="E58" s="227">
        <v>421</v>
      </c>
      <c r="F58" s="70" t="s">
        <v>0</v>
      </c>
      <c r="G58" s="106" t="s">
        <v>17077</v>
      </c>
      <c r="H58" s="57" t="s">
        <v>1</v>
      </c>
      <c r="I58" s="58">
        <v>0.9</v>
      </c>
      <c r="J58" s="83" t="s">
        <v>5895</v>
      </c>
      <c r="K58" s="64" t="s">
        <v>1</v>
      </c>
      <c r="L58" s="65">
        <v>1</v>
      </c>
      <c r="M58" s="99"/>
      <c r="N58" s="70"/>
      <c r="O58" s="66"/>
      <c r="P58" s="57"/>
      <c r="Q58" s="58"/>
      <c r="R58" s="77"/>
      <c r="S58" s="67"/>
      <c r="T58" s="68"/>
      <c r="U58" s="76"/>
      <c r="V58" s="70"/>
      <c r="W58" s="228">
        <f>ROUND((ROUND((ROUND((_15_同援日１．５*_15・基礎２),0)*_15・２人),0)*(1+_15・A深夜)),0)</f>
        <v>569</v>
      </c>
      <c r="X58" s="69"/>
    </row>
    <row r="59" spans="1:24" ht="16.5" customHeight="1" x14ac:dyDescent="0.3">
      <c r="A59" s="2">
        <v>15</v>
      </c>
      <c r="B59" s="2">
        <v>8579</v>
      </c>
      <c r="C59" s="60" t="s">
        <v>9202</v>
      </c>
      <c r="D59" s="1"/>
      <c r="E59" s="68"/>
      <c r="F59" s="70"/>
      <c r="G59" s="61"/>
      <c r="H59" s="62"/>
      <c r="I59" s="63"/>
      <c r="J59" s="85"/>
      <c r="K59" s="64"/>
      <c r="L59" s="65"/>
      <c r="M59" s="99"/>
      <c r="N59" s="70"/>
      <c r="O59" s="74" t="s">
        <v>18005</v>
      </c>
      <c r="P59" s="62"/>
      <c r="Q59" s="63"/>
      <c r="R59" s="75"/>
      <c r="S59" s="67"/>
      <c r="T59" s="68"/>
      <c r="U59" s="76"/>
      <c r="V59" s="70"/>
      <c r="W59" s="228">
        <f>ROUND((ROUND((_15_同援日１．５*(1+_15・A深夜)),0)*(1+_15・盲ろう)),0)</f>
        <v>790</v>
      </c>
      <c r="X59" s="69"/>
    </row>
    <row r="60" spans="1:24" ht="16.5" customHeight="1" x14ac:dyDescent="0.3">
      <c r="A60" s="2">
        <v>15</v>
      </c>
      <c r="B60" s="2">
        <v>8580</v>
      </c>
      <c r="C60" s="60" t="s">
        <v>9201</v>
      </c>
      <c r="D60" s="1"/>
      <c r="E60" s="68"/>
      <c r="F60" s="70"/>
      <c r="G60" s="66"/>
      <c r="H60" s="57"/>
      <c r="I60" s="58"/>
      <c r="J60" s="83" t="s">
        <v>5895</v>
      </c>
      <c r="K60" s="64" t="s">
        <v>1</v>
      </c>
      <c r="L60" s="65">
        <v>1</v>
      </c>
      <c r="M60" s="99"/>
      <c r="N60" s="70"/>
      <c r="O60" s="94" t="s">
        <v>18004</v>
      </c>
      <c r="P60" s="68"/>
      <c r="Q60" s="76"/>
      <c r="R60" s="70"/>
      <c r="S60" s="67"/>
      <c r="T60" s="68"/>
      <c r="U60" s="76"/>
      <c r="V60" s="70"/>
      <c r="W60" s="228">
        <f>ROUND((ROUND((ROUND((_15_同援日１．５*_15・２人),0)*(1+_15・A深夜)),0)*(1+_15・盲ろう)),0)</f>
        <v>790</v>
      </c>
      <c r="X60" s="69"/>
    </row>
    <row r="61" spans="1:24" ht="16.5" customHeight="1" x14ac:dyDescent="0.3">
      <c r="A61" s="2">
        <v>15</v>
      </c>
      <c r="B61" s="2">
        <v>8581</v>
      </c>
      <c r="C61" s="60" t="s">
        <v>9200</v>
      </c>
      <c r="D61" s="1"/>
      <c r="E61" s="68"/>
      <c r="F61" s="70"/>
      <c r="G61" s="74" t="s">
        <v>17078</v>
      </c>
      <c r="H61" s="62"/>
      <c r="I61" s="63"/>
      <c r="J61" s="85"/>
      <c r="K61" s="64"/>
      <c r="L61" s="65"/>
      <c r="M61" s="99"/>
      <c r="N61" s="70"/>
      <c r="O61" s="67"/>
      <c r="P61" s="68" t="s">
        <v>1</v>
      </c>
      <c r="Q61" s="76">
        <v>0.25</v>
      </c>
      <c r="R61" s="70" t="s">
        <v>422</v>
      </c>
      <c r="S61" s="67"/>
      <c r="T61" s="68"/>
      <c r="U61" s="76"/>
      <c r="V61" s="70"/>
      <c r="W61" s="228">
        <f>ROUND((ROUND((ROUND((_15_同援日１．５*_15・基礎２),0)*(1+_15・A深夜)),0)*(1+_15・盲ろう)),0)</f>
        <v>711</v>
      </c>
      <c r="X61" s="69"/>
    </row>
    <row r="62" spans="1:24" ht="16.5" customHeight="1" x14ac:dyDescent="0.3">
      <c r="A62" s="2">
        <v>15</v>
      </c>
      <c r="B62" s="2">
        <v>8582</v>
      </c>
      <c r="C62" s="60" t="s">
        <v>9199</v>
      </c>
      <c r="D62" s="1"/>
      <c r="E62" s="68"/>
      <c r="F62" s="70"/>
      <c r="G62" s="106" t="s">
        <v>17077</v>
      </c>
      <c r="H62" s="57" t="s">
        <v>1</v>
      </c>
      <c r="I62" s="58">
        <v>0.9</v>
      </c>
      <c r="J62" s="83" t="s">
        <v>5895</v>
      </c>
      <c r="K62" s="64" t="s">
        <v>1</v>
      </c>
      <c r="L62" s="65">
        <v>1</v>
      </c>
      <c r="M62" s="99"/>
      <c r="N62" s="70"/>
      <c r="O62" s="66"/>
      <c r="P62" s="57"/>
      <c r="Q62" s="58"/>
      <c r="R62" s="77"/>
      <c r="S62" s="66"/>
      <c r="T62" s="57"/>
      <c r="U62" s="58"/>
      <c r="V62" s="77"/>
      <c r="W62" s="228">
        <f>ROUND((ROUND((ROUND((ROUND((_15_同援日１．５*_15・基礎２),0)*_15・２人),0)*(1+_15・A深夜)),0)*(1+_15・盲ろう)),0)</f>
        <v>711</v>
      </c>
      <c r="X62" s="69"/>
    </row>
    <row r="63" spans="1:24" ht="16.5" customHeight="1" x14ac:dyDescent="0.3">
      <c r="A63" s="2">
        <v>15</v>
      </c>
      <c r="B63" s="2">
        <v>8583</v>
      </c>
      <c r="C63" s="60" t="s">
        <v>9198</v>
      </c>
      <c r="D63" s="1"/>
      <c r="E63" s="68"/>
      <c r="F63" s="70"/>
      <c r="G63" s="61"/>
      <c r="H63" s="62"/>
      <c r="I63" s="63"/>
      <c r="J63" s="85"/>
      <c r="K63" s="64"/>
      <c r="L63" s="65"/>
      <c r="M63" s="99"/>
      <c r="N63" s="70"/>
      <c r="O63" s="61"/>
      <c r="P63" s="62"/>
      <c r="Q63" s="63"/>
      <c r="R63" s="75"/>
      <c r="S63" s="61"/>
      <c r="T63" s="62"/>
      <c r="U63" s="63"/>
      <c r="V63" s="75"/>
      <c r="W63" s="228">
        <f>ROUND((ROUND((_15_同援日１．５*(1+_15・A深夜)),0)*(1+_15・区３)),0)</f>
        <v>758</v>
      </c>
      <c r="X63" s="69"/>
    </row>
    <row r="64" spans="1:24" ht="16.5" customHeight="1" x14ac:dyDescent="0.3">
      <c r="A64" s="2">
        <v>15</v>
      </c>
      <c r="B64" s="2">
        <v>8584</v>
      </c>
      <c r="C64" s="60" t="s">
        <v>9197</v>
      </c>
      <c r="D64" s="1"/>
      <c r="E64" s="68"/>
      <c r="F64" s="70"/>
      <c r="G64" s="66"/>
      <c r="H64" s="57"/>
      <c r="I64" s="58"/>
      <c r="J64" s="83" t="s">
        <v>5895</v>
      </c>
      <c r="K64" s="64" t="s">
        <v>1</v>
      </c>
      <c r="L64" s="65">
        <v>1</v>
      </c>
      <c r="M64" s="99"/>
      <c r="N64" s="70"/>
      <c r="O64" s="67"/>
      <c r="P64" s="68"/>
      <c r="Q64" s="76"/>
      <c r="R64" s="70"/>
      <c r="S64" s="67"/>
      <c r="T64" s="68"/>
      <c r="U64" s="76"/>
      <c r="V64" s="70"/>
      <c r="W64" s="228">
        <f>ROUND((ROUND((ROUND((_15_同援日１．５*_15・２人),0)*(1+_15・A深夜)),0)*(1+_15・区３)),0)</f>
        <v>758</v>
      </c>
      <c r="X64" s="69"/>
    </row>
    <row r="65" spans="1:24" ht="16.5" customHeight="1" x14ac:dyDescent="0.3">
      <c r="A65" s="2">
        <v>15</v>
      </c>
      <c r="B65" s="2">
        <v>8585</v>
      </c>
      <c r="C65" s="60" t="s">
        <v>9196</v>
      </c>
      <c r="D65" s="1"/>
      <c r="E65" s="68"/>
      <c r="F65" s="70"/>
      <c r="G65" s="74" t="s">
        <v>17078</v>
      </c>
      <c r="H65" s="62"/>
      <c r="I65" s="63"/>
      <c r="J65" s="85"/>
      <c r="K65" s="64"/>
      <c r="L65" s="65"/>
      <c r="M65" s="99"/>
      <c r="N65" s="70"/>
      <c r="O65" s="67"/>
      <c r="P65" s="68"/>
      <c r="Q65" s="76"/>
      <c r="R65" s="70"/>
      <c r="S65" s="1" t="s">
        <v>17974</v>
      </c>
      <c r="T65" s="68"/>
      <c r="U65" s="76"/>
      <c r="V65" s="70"/>
      <c r="W65" s="228">
        <f>ROUND((ROUND((ROUND((_15_同援日１．５*_15・基礎２),0)*(1+_15・A深夜)),0)*(1+_15・区３)),0)</f>
        <v>683</v>
      </c>
      <c r="X65" s="69"/>
    </row>
    <row r="66" spans="1:24" ht="16.5" customHeight="1" x14ac:dyDescent="0.3">
      <c r="A66" s="2">
        <v>15</v>
      </c>
      <c r="B66" s="2">
        <v>8586</v>
      </c>
      <c r="C66" s="60" t="s">
        <v>9195</v>
      </c>
      <c r="D66" s="1"/>
      <c r="E66" s="68"/>
      <c r="F66" s="70"/>
      <c r="G66" s="106" t="s">
        <v>17077</v>
      </c>
      <c r="H66" s="57" t="s">
        <v>1</v>
      </c>
      <c r="I66" s="58">
        <v>0.9</v>
      </c>
      <c r="J66" s="83" t="s">
        <v>5895</v>
      </c>
      <c r="K66" s="64" t="s">
        <v>1</v>
      </c>
      <c r="L66" s="65">
        <v>1</v>
      </c>
      <c r="M66" s="99"/>
      <c r="N66" s="70"/>
      <c r="O66" s="66"/>
      <c r="P66" s="57"/>
      <c r="Q66" s="58"/>
      <c r="R66" s="77"/>
      <c r="S66" s="1" t="s">
        <v>18006</v>
      </c>
      <c r="T66" s="68"/>
      <c r="U66" s="76"/>
      <c r="V66" s="70"/>
      <c r="W66" s="228">
        <f>ROUND((ROUND((ROUND((ROUND((_15_同援日１．５*_15・基礎２),0)*_15・２人),0)*(1+_15・A深夜)),0)*(1+_15・区３)),0)</f>
        <v>683</v>
      </c>
      <c r="X66" s="69"/>
    </row>
    <row r="67" spans="1:24" ht="16.5" customHeight="1" x14ac:dyDescent="0.3">
      <c r="A67" s="2">
        <v>15</v>
      </c>
      <c r="B67" s="2">
        <v>8587</v>
      </c>
      <c r="C67" s="60" t="s">
        <v>9194</v>
      </c>
      <c r="D67" s="1"/>
      <c r="E67" s="68"/>
      <c r="F67" s="70"/>
      <c r="G67" s="61"/>
      <c r="H67" s="62"/>
      <c r="I67" s="63"/>
      <c r="J67" s="85"/>
      <c r="K67" s="64"/>
      <c r="L67" s="65"/>
      <c r="M67" s="99"/>
      <c r="N67" s="70"/>
      <c r="O67" s="74" t="s">
        <v>18005</v>
      </c>
      <c r="P67" s="62"/>
      <c r="Q67" s="63"/>
      <c r="R67" s="75"/>
      <c r="S67" s="67"/>
      <c r="T67" s="68" t="s">
        <v>1</v>
      </c>
      <c r="U67" s="76">
        <v>0.2</v>
      </c>
      <c r="V67" s="70" t="s">
        <v>422</v>
      </c>
      <c r="W67" s="228">
        <f>ROUND((ROUND((ROUND((_15_同援日１．５*(1+_15・A深夜)),0)*(1+_15・盲ろう)),0)*(1+_15・区３)),0)</f>
        <v>948</v>
      </c>
      <c r="X67" s="69"/>
    </row>
    <row r="68" spans="1:24" ht="16.5" customHeight="1" x14ac:dyDescent="0.3">
      <c r="A68" s="2">
        <v>15</v>
      </c>
      <c r="B68" s="2">
        <v>8588</v>
      </c>
      <c r="C68" s="60" t="s">
        <v>9193</v>
      </c>
      <c r="D68" s="1"/>
      <c r="E68" s="68"/>
      <c r="F68" s="70"/>
      <c r="G68" s="66"/>
      <c r="H68" s="57"/>
      <c r="I68" s="58"/>
      <c r="J68" s="83" t="s">
        <v>5895</v>
      </c>
      <c r="K68" s="64" t="s">
        <v>1</v>
      </c>
      <c r="L68" s="65">
        <v>1</v>
      </c>
      <c r="M68" s="99"/>
      <c r="N68" s="70"/>
      <c r="O68" s="94" t="s">
        <v>17968</v>
      </c>
      <c r="P68" s="68"/>
      <c r="Q68" s="76"/>
      <c r="R68" s="70"/>
      <c r="S68" s="67"/>
      <c r="T68" s="68"/>
      <c r="U68" s="76"/>
      <c r="V68" s="70"/>
      <c r="W68" s="228">
        <f>ROUND((ROUND((ROUND((ROUND((_15_同援日１．５*_15・２人),0)*(1+_15・A深夜)),0)*(1+_15・盲ろう)),0)*(1+_15・区３)),0)</f>
        <v>948</v>
      </c>
      <c r="X68" s="69"/>
    </row>
    <row r="69" spans="1:24" ht="16.5" customHeight="1" x14ac:dyDescent="0.3">
      <c r="A69" s="2">
        <v>15</v>
      </c>
      <c r="B69" s="2">
        <v>8589</v>
      </c>
      <c r="C69" s="60" t="s">
        <v>9192</v>
      </c>
      <c r="D69" s="1"/>
      <c r="E69" s="68"/>
      <c r="F69" s="70"/>
      <c r="G69" s="74" t="s">
        <v>17078</v>
      </c>
      <c r="H69" s="62"/>
      <c r="I69" s="63"/>
      <c r="J69" s="85"/>
      <c r="K69" s="64"/>
      <c r="L69" s="65"/>
      <c r="M69" s="99"/>
      <c r="N69" s="70"/>
      <c r="O69" s="67"/>
      <c r="P69" s="68" t="s">
        <v>1</v>
      </c>
      <c r="Q69" s="76">
        <v>0.25</v>
      </c>
      <c r="R69" s="70" t="s">
        <v>422</v>
      </c>
      <c r="S69" s="67"/>
      <c r="T69" s="68"/>
      <c r="U69" s="76"/>
      <c r="V69" s="70"/>
      <c r="W69" s="228">
        <f>ROUND((ROUND((ROUND((ROUND((_15_同援日１．５*_15・基礎２),0)*(1+_15・A深夜)),0)*(1+_15・盲ろう)),0)*(1+_15・区３)),0)</f>
        <v>853</v>
      </c>
      <c r="X69" s="69"/>
    </row>
    <row r="70" spans="1:24" ht="16.5" customHeight="1" x14ac:dyDescent="0.3">
      <c r="A70" s="2">
        <v>15</v>
      </c>
      <c r="B70" s="2">
        <v>8590</v>
      </c>
      <c r="C70" s="60" t="s">
        <v>9191</v>
      </c>
      <c r="D70" s="1"/>
      <c r="E70" s="68"/>
      <c r="F70" s="70"/>
      <c r="G70" s="106" t="s">
        <v>17077</v>
      </c>
      <c r="H70" s="57" t="s">
        <v>1</v>
      </c>
      <c r="I70" s="58">
        <v>0.9</v>
      </c>
      <c r="J70" s="83" t="s">
        <v>5895</v>
      </c>
      <c r="K70" s="64" t="s">
        <v>1</v>
      </c>
      <c r="L70" s="65">
        <v>1</v>
      </c>
      <c r="M70" s="99"/>
      <c r="N70" s="70"/>
      <c r="O70" s="66"/>
      <c r="P70" s="57"/>
      <c r="Q70" s="58"/>
      <c r="R70" s="77"/>
      <c r="S70" s="66"/>
      <c r="T70" s="57"/>
      <c r="U70" s="58"/>
      <c r="V70" s="77"/>
      <c r="W70" s="228">
        <f>ROUND((ROUND((ROUND((ROUND((ROUND((_15_同援日１．５*_15・基礎２),0)*_15・２人),0)*(1+_15・A深夜)),0)*(1+_15・盲ろう)),0)*(1+_15・区３)),0)</f>
        <v>853</v>
      </c>
      <c r="X70" s="69"/>
    </row>
    <row r="71" spans="1:24" ht="16.5" customHeight="1" x14ac:dyDescent="0.3">
      <c r="A71" s="2">
        <v>15</v>
      </c>
      <c r="B71" s="2">
        <v>8591</v>
      </c>
      <c r="C71" s="60" t="s">
        <v>9190</v>
      </c>
      <c r="D71" s="1"/>
      <c r="E71" s="68"/>
      <c r="F71" s="70"/>
      <c r="G71" s="61"/>
      <c r="H71" s="62"/>
      <c r="I71" s="63"/>
      <c r="J71" s="85"/>
      <c r="K71" s="64"/>
      <c r="L71" s="65"/>
      <c r="M71" s="99"/>
      <c r="N71" s="70"/>
      <c r="O71" s="61"/>
      <c r="P71" s="62"/>
      <c r="Q71" s="63"/>
      <c r="R71" s="75"/>
      <c r="S71" s="61"/>
      <c r="T71" s="62"/>
      <c r="U71" s="63"/>
      <c r="V71" s="75"/>
      <c r="W71" s="228">
        <f>ROUND((ROUND((_15_同援日１．５*(1+_15・A深夜)),0)*(1+_15・区４)),0)</f>
        <v>885</v>
      </c>
      <c r="X71" s="69"/>
    </row>
    <row r="72" spans="1:24" ht="16.5" customHeight="1" x14ac:dyDescent="0.3">
      <c r="A72" s="2">
        <v>15</v>
      </c>
      <c r="B72" s="2">
        <v>8592</v>
      </c>
      <c r="C72" s="60" t="s">
        <v>9189</v>
      </c>
      <c r="D72" s="1"/>
      <c r="E72" s="68"/>
      <c r="F72" s="70"/>
      <c r="G72" s="66"/>
      <c r="H72" s="57"/>
      <c r="I72" s="58"/>
      <c r="J72" s="83" t="s">
        <v>5895</v>
      </c>
      <c r="K72" s="64" t="s">
        <v>1</v>
      </c>
      <c r="L72" s="65">
        <v>1</v>
      </c>
      <c r="M72" s="99"/>
      <c r="N72" s="70"/>
      <c r="O72" s="67"/>
      <c r="P72" s="68"/>
      <c r="Q72" s="76"/>
      <c r="R72" s="70"/>
      <c r="S72" s="67"/>
      <c r="T72" s="68"/>
      <c r="U72" s="76"/>
      <c r="V72" s="70"/>
      <c r="W72" s="228">
        <f>ROUND((ROUND((ROUND((_15_同援日１．５*_15・２人),0)*(1+_15・A深夜)),0)*(1+_15・区４)),0)</f>
        <v>885</v>
      </c>
      <c r="X72" s="69"/>
    </row>
    <row r="73" spans="1:24" ht="16.5" customHeight="1" x14ac:dyDescent="0.3">
      <c r="A73" s="2">
        <v>15</v>
      </c>
      <c r="B73" s="2">
        <v>8593</v>
      </c>
      <c r="C73" s="60" t="s">
        <v>9188</v>
      </c>
      <c r="D73" s="1"/>
      <c r="E73" s="68"/>
      <c r="F73" s="70"/>
      <c r="G73" s="74" t="s">
        <v>16823</v>
      </c>
      <c r="H73" s="62"/>
      <c r="I73" s="63"/>
      <c r="J73" s="85"/>
      <c r="K73" s="64"/>
      <c r="L73" s="65"/>
      <c r="M73" s="99"/>
      <c r="N73" s="70"/>
      <c r="O73" s="67"/>
      <c r="P73" s="68"/>
      <c r="Q73" s="76"/>
      <c r="R73" s="70"/>
      <c r="S73" s="1" t="s">
        <v>18009</v>
      </c>
      <c r="T73" s="68"/>
      <c r="U73" s="76"/>
      <c r="V73" s="70"/>
      <c r="W73" s="228">
        <f>ROUND((ROUND((ROUND((_15_同援日１．５*_15・基礎２),0)*(1+_15・A深夜)),0)*(1+_15・区４)),0)</f>
        <v>797</v>
      </c>
      <c r="X73" s="69"/>
    </row>
    <row r="74" spans="1:24" ht="16.5" customHeight="1" x14ac:dyDescent="0.3">
      <c r="A74" s="2">
        <v>15</v>
      </c>
      <c r="B74" s="2">
        <v>8594</v>
      </c>
      <c r="C74" s="60" t="s">
        <v>9187</v>
      </c>
      <c r="D74" s="1"/>
      <c r="E74" s="68"/>
      <c r="F74" s="70"/>
      <c r="G74" s="106" t="s">
        <v>17077</v>
      </c>
      <c r="H74" s="57" t="s">
        <v>1</v>
      </c>
      <c r="I74" s="58">
        <v>0.9</v>
      </c>
      <c r="J74" s="83" t="s">
        <v>5895</v>
      </c>
      <c r="K74" s="64" t="s">
        <v>1</v>
      </c>
      <c r="L74" s="65">
        <v>1</v>
      </c>
      <c r="M74" s="99"/>
      <c r="N74" s="70"/>
      <c r="O74" s="66"/>
      <c r="P74" s="57"/>
      <c r="Q74" s="58"/>
      <c r="R74" s="77"/>
      <c r="S74" s="1" t="s">
        <v>18006</v>
      </c>
      <c r="T74" s="68"/>
      <c r="U74" s="76"/>
      <c r="V74" s="70"/>
      <c r="W74" s="228">
        <f>ROUND((ROUND((ROUND((ROUND((_15_同援日１．５*_15・基礎２),0)*_15・２人),0)*(1+_15・A深夜)),0)*(1+_15・区４)),0)</f>
        <v>797</v>
      </c>
      <c r="X74" s="69"/>
    </row>
    <row r="75" spans="1:24" ht="16.5" customHeight="1" x14ac:dyDescent="0.3">
      <c r="A75" s="2">
        <v>15</v>
      </c>
      <c r="B75" s="2">
        <v>8595</v>
      </c>
      <c r="C75" s="60" t="s">
        <v>9186</v>
      </c>
      <c r="D75" s="1"/>
      <c r="E75" s="68"/>
      <c r="F75" s="70"/>
      <c r="G75" s="61"/>
      <c r="H75" s="62"/>
      <c r="I75" s="63"/>
      <c r="J75" s="85"/>
      <c r="K75" s="64"/>
      <c r="L75" s="65"/>
      <c r="M75" s="99"/>
      <c r="N75" s="70"/>
      <c r="O75" s="74" t="s">
        <v>8085</v>
      </c>
      <c r="P75" s="62"/>
      <c r="Q75" s="63"/>
      <c r="R75" s="75"/>
      <c r="S75" s="67"/>
      <c r="T75" s="68" t="s">
        <v>1</v>
      </c>
      <c r="U75" s="76">
        <v>0.4</v>
      </c>
      <c r="V75" s="70" t="s">
        <v>422</v>
      </c>
      <c r="W75" s="228">
        <f>ROUND((ROUND((ROUND((_15_同援日１．５*(1+_15・A深夜)),0)*(1+_15・盲ろう)),0)*(1+_15・区４)),0)</f>
        <v>1106</v>
      </c>
      <c r="X75" s="69"/>
    </row>
    <row r="76" spans="1:24" ht="16.5" customHeight="1" x14ac:dyDescent="0.3">
      <c r="A76" s="2">
        <v>15</v>
      </c>
      <c r="B76" s="2">
        <v>8596</v>
      </c>
      <c r="C76" s="60" t="s">
        <v>9185</v>
      </c>
      <c r="D76" s="1"/>
      <c r="E76" s="68"/>
      <c r="F76" s="70"/>
      <c r="G76" s="66"/>
      <c r="H76" s="57"/>
      <c r="I76" s="58"/>
      <c r="J76" s="83" t="s">
        <v>5895</v>
      </c>
      <c r="K76" s="64" t="s">
        <v>1</v>
      </c>
      <c r="L76" s="65">
        <v>1</v>
      </c>
      <c r="M76" s="99"/>
      <c r="N76" s="70"/>
      <c r="O76" s="94" t="s">
        <v>18004</v>
      </c>
      <c r="P76" s="68"/>
      <c r="Q76" s="76"/>
      <c r="R76" s="70"/>
      <c r="S76" s="67"/>
      <c r="T76" s="68"/>
      <c r="U76" s="76"/>
      <c r="V76" s="70"/>
      <c r="W76" s="228">
        <f>ROUND((ROUND((ROUND((ROUND((_15_同援日１．５*_15・２人),0)*(1+_15・A深夜)),0)*(1+_15・盲ろう)),0)*(1+_15・区４)),0)</f>
        <v>1106</v>
      </c>
      <c r="X76" s="69"/>
    </row>
    <row r="77" spans="1:24" ht="16.5" customHeight="1" x14ac:dyDescent="0.3">
      <c r="A77" s="2">
        <v>15</v>
      </c>
      <c r="B77" s="2">
        <v>8597</v>
      </c>
      <c r="C77" s="60" t="s">
        <v>9184</v>
      </c>
      <c r="D77" s="1"/>
      <c r="E77" s="68"/>
      <c r="F77" s="70"/>
      <c r="G77" s="74" t="s">
        <v>17078</v>
      </c>
      <c r="H77" s="62"/>
      <c r="I77" s="63"/>
      <c r="J77" s="85"/>
      <c r="K77" s="64"/>
      <c r="L77" s="65"/>
      <c r="M77" s="99"/>
      <c r="N77" s="70"/>
      <c r="O77" s="67"/>
      <c r="P77" s="68" t="s">
        <v>1</v>
      </c>
      <c r="Q77" s="76">
        <v>0.25</v>
      </c>
      <c r="R77" s="70" t="s">
        <v>422</v>
      </c>
      <c r="S77" s="67"/>
      <c r="T77" s="68"/>
      <c r="U77" s="76"/>
      <c r="V77" s="70"/>
      <c r="W77" s="228">
        <f>ROUND((ROUND((ROUND((ROUND((_15_同援日１．５*_15・基礎２),0)*(1+_15・A深夜)),0)*(1+_15・盲ろう)),0)*(1+_15・区４)),0)</f>
        <v>995</v>
      </c>
      <c r="X77" s="69"/>
    </row>
    <row r="78" spans="1:24" ht="16.5" customHeight="1" x14ac:dyDescent="0.3">
      <c r="A78" s="2">
        <v>15</v>
      </c>
      <c r="B78" s="2">
        <v>8598</v>
      </c>
      <c r="C78" s="60" t="s">
        <v>9183</v>
      </c>
      <c r="D78" s="81"/>
      <c r="E78" s="57"/>
      <c r="F78" s="77"/>
      <c r="G78" s="106" t="s">
        <v>17077</v>
      </c>
      <c r="H78" s="57" t="s">
        <v>1</v>
      </c>
      <c r="I78" s="58">
        <v>0.9</v>
      </c>
      <c r="J78" s="83" t="s">
        <v>5895</v>
      </c>
      <c r="K78" s="64" t="s">
        <v>1</v>
      </c>
      <c r="L78" s="65">
        <v>1</v>
      </c>
      <c r="M78" s="99"/>
      <c r="N78" s="70"/>
      <c r="O78" s="66"/>
      <c r="P78" s="57"/>
      <c r="Q78" s="58"/>
      <c r="R78" s="77"/>
      <c r="S78" s="66"/>
      <c r="T78" s="57"/>
      <c r="U78" s="58"/>
      <c r="V78" s="77"/>
      <c r="W78" s="228">
        <f>ROUND((ROUND((ROUND((ROUND((ROUND((_15_同援日１．５*_15・基礎２),0)*_15・２人),0)*(1+_15・A深夜)),0)*(1+_15・盲ろう)),0)*(1+_15・区４)),0)</f>
        <v>995</v>
      </c>
      <c r="X78" s="69"/>
    </row>
    <row r="79" spans="1:24" ht="16.5" customHeight="1" x14ac:dyDescent="0.3">
      <c r="A79" s="2">
        <v>15</v>
      </c>
      <c r="B79" s="2">
        <v>8599</v>
      </c>
      <c r="C79" s="60" t="s">
        <v>9182</v>
      </c>
      <c r="D79" s="233" t="s">
        <v>18020</v>
      </c>
      <c r="E79" s="62"/>
      <c r="F79" s="75"/>
      <c r="G79" s="61"/>
      <c r="H79" s="62"/>
      <c r="I79" s="63"/>
      <c r="J79" s="85"/>
      <c r="K79" s="64"/>
      <c r="L79" s="65"/>
      <c r="M79" s="99"/>
      <c r="N79" s="70"/>
      <c r="O79" s="61"/>
      <c r="P79" s="62"/>
      <c r="Q79" s="63"/>
      <c r="R79" s="75"/>
      <c r="S79" s="61"/>
      <c r="T79" s="62"/>
      <c r="U79" s="63"/>
      <c r="V79" s="75"/>
      <c r="W79" s="228">
        <f>ROUND((_15_同援日２．０*(1+_15・A深夜)),0)</f>
        <v>728</v>
      </c>
      <c r="X79" s="69"/>
    </row>
    <row r="80" spans="1:24" ht="16.5" customHeight="1" x14ac:dyDescent="0.3">
      <c r="A80" s="2">
        <v>15</v>
      </c>
      <c r="B80" s="2">
        <v>8600</v>
      </c>
      <c r="C80" s="60" t="s">
        <v>9181</v>
      </c>
      <c r="D80" s="1" t="s">
        <v>16868</v>
      </c>
      <c r="E80" s="68"/>
      <c r="F80" s="70"/>
      <c r="G80" s="66"/>
      <c r="H80" s="57"/>
      <c r="I80" s="58"/>
      <c r="J80" s="83" t="s">
        <v>5895</v>
      </c>
      <c r="K80" s="64" t="s">
        <v>1</v>
      </c>
      <c r="L80" s="65">
        <v>1</v>
      </c>
      <c r="M80" s="99"/>
      <c r="N80" s="70"/>
      <c r="O80" s="67"/>
      <c r="P80" s="68"/>
      <c r="Q80" s="76"/>
      <c r="R80" s="70"/>
      <c r="S80" s="67"/>
      <c r="T80" s="68"/>
      <c r="U80" s="76"/>
      <c r="V80" s="70"/>
      <c r="W80" s="228">
        <f>ROUND((ROUND((_15_同援日２．０*_15・２人),0)*(1+_15・A深夜)),0)</f>
        <v>728</v>
      </c>
      <c r="X80" s="69"/>
    </row>
    <row r="81" spans="1:24" ht="16.5" customHeight="1" x14ac:dyDescent="0.3">
      <c r="A81" s="2">
        <v>15</v>
      </c>
      <c r="B81" s="2">
        <v>8601</v>
      </c>
      <c r="C81" s="60" t="s">
        <v>9180</v>
      </c>
      <c r="D81" s="1" t="s">
        <v>6448</v>
      </c>
      <c r="E81" s="68"/>
      <c r="F81" s="70"/>
      <c r="G81" s="74" t="s">
        <v>17078</v>
      </c>
      <c r="H81" s="62"/>
      <c r="I81" s="63"/>
      <c r="J81" s="85"/>
      <c r="K81" s="64"/>
      <c r="L81" s="65"/>
      <c r="M81" s="99"/>
      <c r="N81" s="70"/>
      <c r="O81" s="67"/>
      <c r="P81" s="68"/>
      <c r="Q81" s="76"/>
      <c r="R81" s="70"/>
      <c r="S81" s="67"/>
      <c r="T81" s="68"/>
      <c r="U81" s="76"/>
      <c r="V81" s="70"/>
      <c r="W81" s="228">
        <f>ROUND((ROUND((_15_同援日２．０*_15・基礎２),0)*(1+_15・A深夜)),0)</f>
        <v>656</v>
      </c>
      <c r="X81" s="69"/>
    </row>
    <row r="82" spans="1:24" ht="16.5" customHeight="1" x14ac:dyDescent="0.3">
      <c r="A82" s="2">
        <v>15</v>
      </c>
      <c r="B82" s="2">
        <v>8602</v>
      </c>
      <c r="C82" s="60" t="s">
        <v>9179</v>
      </c>
      <c r="D82" s="1"/>
      <c r="E82" s="227">
        <v>485</v>
      </c>
      <c r="F82" s="70" t="s">
        <v>0</v>
      </c>
      <c r="G82" s="106" t="s">
        <v>17077</v>
      </c>
      <c r="H82" s="57" t="s">
        <v>1</v>
      </c>
      <c r="I82" s="58">
        <v>0.9</v>
      </c>
      <c r="J82" s="83" t="s">
        <v>5895</v>
      </c>
      <c r="K82" s="64" t="s">
        <v>1</v>
      </c>
      <c r="L82" s="65">
        <v>1</v>
      </c>
      <c r="M82" s="99"/>
      <c r="N82" s="70"/>
      <c r="O82" s="66"/>
      <c r="P82" s="57"/>
      <c r="Q82" s="58"/>
      <c r="R82" s="77"/>
      <c r="S82" s="67"/>
      <c r="T82" s="68"/>
      <c r="U82" s="76"/>
      <c r="V82" s="70"/>
      <c r="W82" s="228">
        <f>ROUND((ROUND((ROUND((_15_同援日２．０*_15・基礎２),0)*_15・２人),0)*(1+_15・A深夜)),0)</f>
        <v>656</v>
      </c>
      <c r="X82" s="69"/>
    </row>
    <row r="83" spans="1:24" ht="16.5" customHeight="1" x14ac:dyDescent="0.3">
      <c r="A83" s="2">
        <v>15</v>
      </c>
      <c r="B83" s="2">
        <v>8603</v>
      </c>
      <c r="C83" s="60" t="s">
        <v>9178</v>
      </c>
      <c r="D83" s="1"/>
      <c r="E83" s="68"/>
      <c r="F83" s="70"/>
      <c r="G83" s="61"/>
      <c r="H83" s="62"/>
      <c r="I83" s="63"/>
      <c r="J83" s="85"/>
      <c r="K83" s="64"/>
      <c r="L83" s="65"/>
      <c r="M83" s="99"/>
      <c r="N83" s="70"/>
      <c r="O83" s="74" t="s">
        <v>18005</v>
      </c>
      <c r="P83" s="62"/>
      <c r="Q83" s="63"/>
      <c r="R83" s="75"/>
      <c r="S83" s="67"/>
      <c r="T83" s="68"/>
      <c r="U83" s="76"/>
      <c r="V83" s="70"/>
      <c r="W83" s="228">
        <f>ROUND((ROUND((_15_同援日２．０*(1+_15・A深夜)),0)*(1+_15・盲ろう)),0)</f>
        <v>910</v>
      </c>
      <c r="X83" s="69"/>
    </row>
    <row r="84" spans="1:24" ht="16.5" customHeight="1" x14ac:dyDescent="0.3">
      <c r="A84" s="2">
        <v>15</v>
      </c>
      <c r="B84" s="2">
        <v>8604</v>
      </c>
      <c r="C84" s="60" t="s">
        <v>9177</v>
      </c>
      <c r="D84" s="1"/>
      <c r="E84" s="68"/>
      <c r="F84" s="70"/>
      <c r="G84" s="66"/>
      <c r="H84" s="57"/>
      <c r="I84" s="58"/>
      <c r="J84" s="83" t="s">
        <v>5895</v>
      </c>
      <c r="K84" s="64" t="s">
        <v>1</v>
      </c>
      <c r="L84" s="65">
        <v>1</v>
      </c>
      <c r="M84" s="99"/>
      <c r="N84" s="70"/>
      <c r="O84" s="94" t="s">
        <v>17968</v>
      </c>
      <c r="P84" s="68"/>
      <c r="Q84" s="76"/>
      <c r="R84" s="70"/>
      <c r="S84" s="67"/>
      <c r="T84" s="68"/>
      <c r="U84" s="76"/>
      <c r="V84" s="70"/>
      <c r="W84" s="228">
        <f>ROUND((ROUND((ROUND((_15_同援日２．０*_15・２人),0)*(1+_15・A深夜)),0)*(1+_15・盲ろう)),0)</f>
        <v>910</v>
      </c>
      <c r="X84" s="69"/>
    </row>
    <row r="85" spans="1:24" ht="16.5" customHeight="1" x14ac:dyDescent="0.3">
      <c r="A85" s="2">
        <v>15</v>
      </c>
      <c r="B85" s="2">
        <v>8605</v>
      </c>
      <c r="C85" s="60" t="s">
        <v>9176</v>
      </c>
      <c r="D85" s="1"/>
      <c r="E85" s="68"/>
      <c r="F85" s="70"/>
      <c r="G85" s="74" t="s">
        <v>17078</v>
      </c>
      <c r="H85" s="62"/>
      <c r="I85" s="63"/>
      <c r="J85" s="85"/>
      <c r="K85" s="64"/>
      <c r="L85" s="65"/>
      <c r="M85" s="99"/>
      <c r="N85" s="70"/>
      <c r="O85" s="67"/>
      <c r="P85" s="68" t="s">
        <v>1</v>
      </c>
      <c r="Q85" s="76">
        <v>0.25</v>
      </c>
      <c r="R85" s="70" t="s">
        <v>422</v>
      </c>
      <c r="S85" s="67"/>
      <c r="T85" s="68"/>
      <c r="U85" s="76"/>
      <c r="V85" s="70"/>
      <c r="W85" s="228">
        <f>ROUND((ROUND((ROUND((_15_同援日２．０*_15・基礎２),0)*(1+_15・A深夜)),0)*(1+_15・盲ろう)),0)</f>
        <v>820</v>
      </c>
      <c r="X85" s="69"/>
    </row>
    <row r="86" spans="1:24" ht="16.5" customHeight="1" x14ac:dyDescent="0.3">
      <c r="A86" s="2">
        <v>15</v>
      </c>
      <c r="B86" s="2">
        <v>8606</v>
      </c>
      <c r="C86" s="60" t="s">
        <v>9175</v>
      </c>
      <c r="D86" s="1"/>
      <c r="E86" s="68"/>
      <c r="F86" s="70"/>
      <c r="G86" s="106" t="s">
        <v>16812</v>
      </c>
      <c r="H86" s="57" t="s">
        <v>1</v>
      </c>
      <c r="I86" s="58">
        <v>0.9</v>
      </c>
      <c r="J86" s="83" t="s">
        <v>5895</v>
      </c>
      <c r="K86" s="64" t="s">
        <v>1</v>
      </c>
      <c r="L86" s="65">
        <v>1</v>
      </c>
      <c r="M86" s="99"/>
      <c r="N86" s="70"/>
      <c r="O86" s="66"/>
      <c r="P86" s="57"/>
      <c r="Q86" s="58"/>
      <c r="R86" s="77"/>
      <c r="S86" s="66"/>
      <c r="T86" s="57"/>
      <c r="U86" s="58"/>
      <c r="V86" s="77"/>
      <c r="W86" s="228">
        <f>ROUND((ROUND((ROUND((ROUND((_15_同援日２．０*_15・基礎２),0)*_15・２人),0)*(1+_15・A深夜)),0)*(1+_15・盲ろう)),0)</f>
        <v>820</v>
      </c>
      <c r="X86" s="69"/>
    </row>
    <row r="87" spans="1:24" ht="16.5" customHeight="1" x14ac:dyDescent="0.3">
      <c r="A87" s="2">
        <v>15</v>
      </c>
      <c r="B87" s="2">
        <v>8607</v>
      </c>
      <c r="C87" s="60" t="s">
        <v>9174</v>
      </c>
      <c r="D87" s="1"/>
      <c r="E87" s="68"/>
      <c r="F87" s="70"/>
      <c r="G87" s="61"/>
      <c r="H87" s="62"/>
      <c r="I87" s="63"/>
      <c r="J87" s="85"/>
      <c r="K87" s="64"/>
      <c r="L87" s="65"/>
      <c r="M87" s="99"/>
      <c r="N87" s="70"/>
      <c r="O87" s="61"/>
      <c r="P87" s="62"/>
      <c r="Q87" s="63"/>
      <c r="R87" s="75"/>
      <c r="S87" s="61"/>
      <c r="T87" s="62"/>
      <c r="U87" s="63"/>
      <c r="V87" s="75"/>
      <c r="W87" s="228">
        <f>ROUND((ROUND((_15_同援日２．０*(1+_15・A深夜)),0)*(1+_15・区３)),0)</f>
        <v>874</v>
      </c>
      <c r="X87" s="69"/>
    </row>
    <row r="88" spans="1:24" ht="16.5" customHeight="1" x14ac:dyDescent="0.3">
      <c r="A88" s="2">
        <v>15</v>
      </c>
      <c r="B88" s="2">
        <v>8608</v>
      </c>
      <c r="C88" s="60" t="s">
        <v>9173</v>
      </c>
      <c r="D88" s="1"/>
      <c r="E88" s="68"/>
      <c r="F88" s="70"/>
      <c r="G88" s="66"/>
      <c r="H88" s="57"/>
      <c r="I88" s="58"/>
      <c r="J88" s="83" t="s">
        <v>5895</v>
      </c>
      <c r="K88" s="64" t="s">
        <v>1</v>
      </c>
      <c r="L88" s="65">
        <v>1</v>
      </c>
      <c r="M88" s="99"/>
      <c r="N88" s="70"/>
      <c r="O88" s="67"/>
      <c r="P88" s="68"/>
      <c r="Q88" s="76"/>
      <c r="R88" s="70"/>
      <c r="S88" s="67"/>
      <c r="T88" s="68"/>
      <c r="U88" s="76"/>
      <c r="V88" s="70"/>
      <c r="W88" s="228">
        <f>ROUND((ROUND((ROUND((_15_同援日２．０*_15・２人),0)*(1+_15・A深夜)),0)*(1+_15・区３)),0)</f>
        <v>874</v>
      </c>
      <c r="X88" s="69"/>
    </row>
    <row r="89" spans="1:24" ht="16.5" customHeight="1" x14ac:dyDescent="0.3">
      <c r="A89" s="2">
        <v>15</v>
      </c>
      <c r="B89" s="2">
        <v>8609</v>
      </c>
      <c r="C89" s="60" t="s">
        <v>9172</v>
      </c>
      <c r="D89" s="1"/>
      <c r="E89" s="68"/>
      <c r="F89" s="70"/>
      <c r="G89" s="74" t="s">
        <v>16823</v>
      </c>
      <c r="H89" s="62"/>
      <c r="I89" s="63"/>
      <c r="J89" s="85"/>
      <c r="K89" s="64"/>
      <c r="L89" s="65"/>
      <c r="M89" s="99"/>
      <c r="N89" s="70"/>
      <c r="O89" s="67"/>
      <c r="P89" s="68"/>
      <c r="Q89" s="76"/>
      <c r="R89" s="70"/>
      <c r="S89" s="1" t="s">
        <v>8098</v>
      </c>
      <c r="T89" s="68"/>
      <c r="U89" s="76"/>
      <c r="V89" s="70"/>
      <c r="W89" s="228">
        <f>ROUND((ROUND((ROUND((_15_同援日２．０*_15・基礎２),0)*(1+_15・A深夜)),0)*(1+_15・区３)),0)</f>
        <v>787</v>
      </c>
      <c r="X89" s="69"/>
    </row>
    <row r="90" spans="1:24" ht="16.5" customHeight="1" x14ac:dyDescent="0.3">
      <c r="A90" s="2">
        <v>15</v>
      </c>
      <c r="B90" s="2">
        <v>8610</v>
      </c>
      <c r="C90" s="60" t="s">
        <v>9171</v>
      </c>
      <c r="D90" s="1"/>
      <c r="E90" s="68"/>
      <c r="F90" s="70"/>
      <c r="G90" s="106" t="s">
        <v>16812</v>
      </c>
      <c r="H90" s="57" t="s">
        <v>1</v>
      </c>
      <c r="I90" s="58">
        <v>0.9</v>
      </c>
      <c r="J90" s="83" t="s">
        <v>5895</v>
      </c>
      <c r="K90" s="64" t="s">
        <v>1</v>
      </c>
      <c r="L90" s="65">
        <v>1</v>
      </c>
      <c r="M90" s="99"/>
      <c r="N90" s="70"/>
      <c r="O90" s="66"/>
      <c r="P90" s="57"/>
      <c r="Q90" s="58"/>
      <c r="R90" s="77"/>
      <c r="S90" s="1" t="s">
        <v>17970</v>
      </c>
      <c r="T90" s="68"/>
      <c r="U90" s="76"/>
      <c r="V90" s="70"/>
      <c r="W90" s="228">
        <f>ROUND((ROUND((ROUND((ROUND((_15_同援日２．０*_15・基礎２),0)*_15・２人),0)*(1+_15・A深夜)),0)*(1+_15・区３)),0)</f>
        <v>787</v>
      </c>
      <c r="X90" s="69"/>
    </row>
    <row r="91" spans="1:24" ht="16.5" customHeight="1" x14ac:dyDescent="0.3">
      <c r="A91" s="2">
        <v>15</v>
      </c>
      <c r="B91" s="2">
        <v>8611</v>
      </c>
      <c r="C91" s="60" t="s">
        <v>9170</v>
      </c>
      <c r="D91" s="1"/>
      <c r="E91" s="68"/>
      <c r="F91" s="70"/>
      <c r="G91" s="61"/>
      <c r="H91" s="62"/>
      <c r="I91" s="63"/>
      <c r="J91" s="85"/>
      <c r="K91" s="64"/>
      <c r="L91" s="65"/>
      <c r="M91" s="99"/>
      <c r="N91" s="70"/>
      <c r="O91" s="74" t="s">
        <v>18005</v>
      </c>
      <c r="P91" s="62"/>
      <c r="Q91" s="63"/>
      <c r="R91" s="75"/>
      <c r="S91" s="67"/>
      <c r="T91" s="68" t="s">
        <v>1</v>
      </c>
      <c r="U91" s="76">
        <v>0.2</v>
      </c>
      <c r="V91" s="70" t="s">
        <v>422</v>
      </c>
      <c r="W91" s="228">
        <f>ROUND((ROUND((ROUND((_15_同援日２．０*(1+_15・A深夜)),0)*(1+_15・盲ろう)),0)*(1+_15・区３)),0)</f>
        <v>1092</v>
      </c>
      <c r="X91" s="69"/>
    </row>
    <row r="92" spans="1:24" ht="16.5" customHeight="1" x14ac:dyDescent="0.3">
      <c r="A92" s="2">
        <v>15</v>
      </c>
      <c r="B92" s="2">
        <v>8612</v>
      </c>
      <c r="C92" s="60" t="s">
        <v>9169</v>
      </c>
      <c r="D92" s="1"/>
      <c r="E92" s="68"/>
      <c r="F92" s="70"/>
      <c r="G92" s="66"/>
      <c r="H92" s="57"/>
      <c r="I92" s="58"/>
      <c r="J92" s="83" t="s">
        <v>5895</v>
      </c>
      <c r="K92" s="64" t="s">
        <v>1</v>
      </c>
      <c r="L92" s="65">
        <v>1</v>
      </c>
      <c r="M92" s="99"/>
      <c r="N92" s="70"/>
      <c r="O92" s="94" t="s">
        <v>18004</v>
      </c>
      <c r="P92" s="68"/>
      <c r="Q92" s="76"/>
      <c r="R92" s="70"/>
      <c r="S92" s="67"/>
      <c r="T92" s="68"/>
      <c r="U92" s="76"/>
      <c r="V92" s="70"/>
      <c r="W92" s="228">
        <f>ROUND((ROUND((ROUND((ROUND((_15_同援日２．０*_15・２人),0)*(1+_15・A深夜)),0)*(1+_15・盲ろう)),0)*(1+_15・区３)),0)</f>
        <v>1092</v>
      </c>
      <c r="X92" s="69"/>
    </row>
    <row r="93" spans="1:24" ht="16.5" customHeight="1" x14ac:dyDescent="0.3">
      <c r="A93" s="2">
        <v>15</v>
      </c>
      <c r="B93" s="2">
        <v>8613</v>
      </c>
      <c r="C93" s="60" t="s">
        <v>9168</v>
      </c>
      <c r="D93" s="1"/>
      <c r="E93" s="68"/>
      <c r="F93" s="70"/>
      <c r="G93" s="74" t="s">
        <v>17078</v>
      </c>
      <c r="H93" s="62"/>
      <c r="I93" s="63"/>
      <c r="J93" s="85"/>
      <c r="K93" s="64"/>
      <c r="L93" s="65"/>
      <c r="M93" s="99"/>
      <c r="N93" s="70"/>
      <c r="O93" s="67"/>
      <c r="P93" s="68" t="s">
        <v>1</v>
      </c>
      <c r="Q93" s="76">
        <v>0.25</v>
      </c>
      <c r="R93" s="70" t="s">
        <v>422</v>
      </c>
      <c r="S93" s="67"/>
      <c r="T93" s="68"/>
      <c r="U93" s="76"/>
      <c r="V93" s="70"/>
      <c r="W93" s="228">
        <f>ROUND((ROUND((ROUND((ROUND((_15_同援日２．０*_15・基礎２),0)*(1+_15・A深夜)),0)*(1+_15・盲ろう)),0)*(1+_15・区３)),0)</f>
        <v>984</v>
      </c>
      <c r="X93" s="69"/>
    </row>
    <row r="94" spans="1:24" ht="16.5" customHeight="1" x14ac:dyDescent="0.3">
      <c r="A94" s="2">
        <v>15</v>
      </c>
      <c r="B94" s="2">
        <v>8614</v>
      </c>
      <c r="C94" s="60" t="s">
        <v>9167</v>
      </c>
      <c r="D94" s="1"/>
      <c r="E94" s="68"/>
      <c r="F94" s="70"/>
      <c r="G94" s="106" t="s">
        <v>17077</v>
      </c>
      <c r="H94" s="57" t="s">
        <v>1</v>
      </c>
      <c r="I94" s="58">
        <v>0.9</v>
      </c>
      <c r="J94" s="83" t="s">
        <v>5895</v>
      </c>
      <c r="K94" s="64" t="s">
        <v>1</v>
      </c>
      <c r="L94" s="65">
        <v>1</v>
      </c>
      <c r="M94" s="99"/>
      <c r="N94" s="70"/>
      <c r="O94" s="66"/>
      <c r="P94" s="57"/>
      <c r="Q94" s="58"/>
      <c r="R94" s="77"/>
      <c r="S94" s="66"/>
      <c r="T94" s="57"/>
      <c r="U94" s="58"/>
      <c r="V94" s="77"/>
      <c r="W94" s="228">
        <f>ROUND((ROUND((ROUND((ROUND((ROUND((_15_同援日２．０*_15・基礎２),0)*_15・２人),0)*(1+_15・A深夜)),0)*(1+_15・盲ろう)),0)*(1+_15・区３)),0)</f>
        <v>984</v>
      </c>
      <c r="X94" s="69"/>
    </row>
    <row r="95" spans="1:24" ht="16.5" customHeight="1" x14ac:dyDescent="0.3">
      <c r="A95" s="2">
        <v>15</v>
      </c>
      <c r="B95" s="2">
        <v>8615</v>
      </c>
      <c r="C95" s="60" t="s">
        <v>9166</v>
      </c>
      <c r="D95" s="1"/>
      <c r="E95" s="68"/>
      <c r="F95" s="70"/>
      <c r="G95" s="61"/>
      <c r="H95" s="62"/>
      <c r="I95" s="63"/>
      <c r="J95" s="85"/>
      <c r="K95" s="64"/>
      <c r="L95" s="65"/>
      <c r="M95" s="99"/>
      <c r="N95" s="70"/>
      <c r="O95" s="61"/>
      <c r="P95" s="62"/>
      <c r="Q95" s="63"/>
      <c r="R95" s="75"/>
      <c r="S95" s="61"/>
      <c r="T95" s="62"/>
      <c r="U95" s="63"/>
      <c r="V95" s="75"/>
      <c r="W95" s="228">
        <f>ROUND((ROUND((_15_同援日２．０*(1+_15・A深夜)),0)*(1+_15・区４)),0)</f>
        <v>1019</v>
      </c>
      <c r="X95" s="69"/>
    </row>
    <row r="96" spans="1:24" ht="16.5" customHeight="1" x14ac:dyDescent="0.3">
      <c r="A96" s="2">
        <v>15</v>
      </c>
      <c r="B96" s="2">
        <v>8616</v>
      </c>
      <c r="C96" s="60" t="s">
        <v>9165</v>
      </c>
      <c r="D96" s="1"/>
      <c r="E96" s="68"/>
      <c r="F96" s="70"/>
      <c r="G96" s="66"/>
      <c r="H96" s="57"/>
      <c r="I96" s="58"/>
      <c r="J96" s="83" t="s">
        <v>5895</v>
      </c>
      <c r="K96" s="64" t="s">
        <v>1</v>
      </c>
      <c r="L96" s="65">
        <v>1</v>
      </c>
      <c r="M96" s="99"/>
      <c r="N96" s="70"/>
      <c r="O96" s="67"/>
      <c r="P96" s="68"/>
      <c r="Q96" s="76"/>
      <c r="R96" s="70"/>
      <c r="S96" s="67"/>
      <c r="T96" s="68"/>
      <c r="U96" s="76"/>
      <c r="V96" s="70"/>
      <c r="W96" s="228">
        <f>ROUND((ROUND((ROUND((_15_同援日２．０*_15・２人),0)*(1+_15・A深夜)),0)*(1+_15・区４)),0)</f>
        <v>1019</v>
      </c>
      <c r="X96" s="69"/>
    </row>
    <row r="97" spans="1:24" ht="16.5" customHeight="1" x14ac:dyDescent="0.3">
      <c r="A97" s="2">
        <v>15</v>
      </c>
      <c r="B97" s="2">
        <v>8617</v>
      </c>
      <c r="C97" s="60" t="s">
        <v>9164</v>
      </c>
      <c r="D97" s="1"/>
      <c r="E97" s="68"/>
      <c r="F97" s="70"/>
      <c r="G97" s="74" t="s">
        <v>16823</v>
      </c>
      <c r="H97" s="62"/>
      <c r="I97" s="63"/>
      <c r="J97" s="85"/>
      <c r="K97" s="64"/>
      <c r="L97" s="65"/>
      <c r="M97" s="99"/>
      <c r="N97" s="70"/>
      <c r="O97" s="67"/>
      <c r="P97" s="68"/>
      <c r="Q97" s="76"/>
      <c r="R97" s="70"/>
      <c r="S97" s="1" t="s">
        <v>17971</v>
      </c>
      <c r="T97" s="68"/>
      <c r="U97" s="76"/>
      <c r="V97" s="70"/>
      <c r="W97" s="228">
        <f>ROUND((ROUND((ROUND((_15_同援日２．０*_15・基礎２),0)*(1+_15・A深夜)),0)*(1+_15・区４)),0)</f>
        <v>918</v>
      </c>
      <c r="X97" s="69"/>
    </row>
    <row r="98" spans="1:24" ht="16.5" customHeight="1" x14ac:dyDescent="0.3">
      <c r="A98" s="2">
        <v>15</v>
      </c>
      <c r="B98" s="2">
        <v>8618</v>
      </c>
      <c r="C98" s="60" t="s">
        <v>9163</v>
      </c>
      <c r="D98" s="1"/>
      <c r="E98" s="68"/>
      <c r="F98" s="70"/>
      <c r="G98" s="106" t="s">
        <v>17077</v>
      </c>
      <c r="H98" s="57" t="s">
        <v>1</v>
      </c>
      <c r="I98" s="58">
        <v>0.9</v>
      </c>
      <c r="J98" s="83" t="s">
        <v>5895</v>
      </c>
      <c r="K98" s="64" t="s">
        <v>1</v>
      </c>
      <c r="L98" s="65">
        <v>1</v>
      </c>
      <c r="M98" s="99"/>
      <c r="N98" s="70"/>
      <c r="O98" s="66"/>
      <c r="P98" s="57"/>
      <c r="Q98" s="58"/>
      <c r="R98" s="77"/>
      <c r="S98" s="1" t="s">
        <v>18006</v>
      </c>
      <c r="T98" s="68"/>
      <c r="U98" s="76"/>
      <c r="V98" s="70"/>
      <c r="W98" s="228">
        <f>ROUND((ROUND((ROUND((ROUND((_15_同援日２．０*_15・基礎２),0)*_15・２人),0)*(1+_15・A深夜)),0)*(1+_15・区４)),0)</f>
        <v>918</v>
      </c>
      <c r="X98" s="69"/>
    </row>
    <row r="99" spans="1:24" ht="16.5" customHeight="1" x14ac:dyDescent="0.3">
      <c r="A99" s="2">
        <v>15</v>
      </c>
      <c r="B99" s="2">
        <v>8619</v>
      </c>
      <c r="C99" s="60" t="s">
        <v>9162</v>
      </c>
      <c r="D99" s="1"/>
      <c r="E99" s="68"/>
      <c r="F99" s="70"/>
      <c r="G99" s="61"/>
      <c r="H99" s="62"/>
      <c r="I99" s="63"/>
      <c r="J99" s="85"/>
      <c r="K99" s="64"/>
      <c r="L99" s="65"/>
      <c r="M99" s="99"/>
      <c r="N99" s="70"/>
      <c r="O99" s="74" t="s">
        <v>18005</v>
      </c>
      <c r="P99" s="62"/>
      <c r="Q99" s="63"/>
      <c r="R99" s="75"/>
      <c r="S99" s="67"/>
      <c r="T99" s="68" t="s">
        <v>1</v>
      </c>
      <c r="U99" s="76">
        <v>0.4</v>
      </c>
      <c r="V99" s="70" t="s">
        <v>422</v>
      </c>
      <c r="W99" s="228">
        <f>ROUND((ROUND((ROUND((_15_同援日２．０*(1+_15・A深夜)),0)*(1+_15・盲ろう)),0)*(1+_15・区４)),0)</f>
        <v>1274</v>
      </c>
      <c r="X99" s="69"/>
    </row>
    <row r="100" spans="1:24" ht="16.5" customHeight="1" x14ac:dyDescent="0.3">
      <c r="A100" s="2">
        <v>15</v>
      </c>
      <c r="B100" s="2">
        <v>8620</v>
      </c>
      <c r="C100" s="60" t="s">
        <v>9161</v>
      </c>
      <c r="D100" s="1"/>
      <c r="E100" s="68"/>
      <c r="F100" s="70"/>
      <c r="G100" s="66"/>
      <c r="H100" s="57"/>
      <c r="I100" s="58"/>
      <c r="J100" s="83" t="s">
        <v>5895</v>
      </c>
      <c r="K100" s="64" t="s">
        <v>1</v>
      </c>
      <c r="L100" s="65">
        <v>1</v>
      </c>
      <c r="M100" s="99"/>
      <c r="N100" s="70"/>
      <c r="O100" s="94" t="s">
        <v>17968</v>
      </c>
      <c r="P100" s="68"/>
      <c r="Q100" s="76"/>
      <c r="R100" s="70"/>
      <c r="S100" s="67"/>
      <c r="T100" s="68"/>
      <c r="U100" s="76"/>
      <c r="V100" s="70"/>
      <c r="W100" s="228">
        <f>ROUND((ROUND((ROUND((ROUND((_15_同援日２．０*_15・２人),0)*(1+_15・A深夜)),0)*(1+_15・盲ろう)),0)*(1+_15・区４)),0)</f>
        <v>1274</v>
      </c>
      <c r="X100" s="69"/>
    </row>
    <row r="101" spans="1:24" ht="16.5" customHeight="1" x14ac:dyDescent="0.3">
      <c r="A101" s="2">
        <v>15</v>
      </c>
      <c r="B101" s="2">
        <v>8621</v>
      </c>
      <c r="C101" s="60" t="s">
        <v>9160</v>
      </c>
      <c r="D101" s="1"/>
      <c r="E101" s="68"/>
      <c r="F101" s="70"/>
      <c r="G101" s="74" t="s">
        <v>17078</v>
      </c>
      <c r="H101" s="62"/>
      <c r="I101" s="63"/>
      <c r="J101" s="85"/>
      <c r="K101" s="64"/>
      <c r="L101" s="65"/>
      <c r="M101" s="99"/>
      <c r="N101" s="70"/>
      <c r="O101" s="67"/>
      <c r="P101" s="68" t="s">
        <v>1</v>
      </c>
      <c r="Q101" s="76">
        <v>0.25</v>
      </c>
      <c r="R101" s="70" t="s">
        <v>422</v>
      </c>
      <c r="S101" s="67"/>
      <c r="T101" s="68"/>
      <c r="U101" s="76"/>
      <c r="V101" s="70"/>
      <c r="W101" s="228">
        <f>ROUND((ROUND((ROUND((ROUND((_15_同援日２．０*_15・基礎２),0)*(1+_15・A深夜)),0)*(1+_15・盲ろう)),0)*(1+_15・区４)),0)</f>
        <v>1148</v>
      </c>
      <c r="X101" s="69"/>
    </row>
    <row r="102" spans="1:24" ht="16.5" customHeight="1" x14ac:dyDescent="0.3">
      <c r="A102" s="2">
        <v>15</v>
      </c>
      <c r="B102" s="2">
        <v>8622</v>
      </c>
      <c r="C102" s="60" t="s">
        <v>9159</v>
      </c>
      <c r="D102" s="81"/>
      <c r="E102" s="57"/>
      <c r="F102" s="77"/>
      <c r="G102" s="106" t="s">
        <v>17077</v>
      </c>
      <c r="H102" s="57" t="s">
        <v>1</v>
      </c>
      <c r="I102" s="58">
        <v>0.9</v>
      </c>
      <c r="J102" s="83" t="s">
        <v>5895</v>
      </c>
      <c r="K102" s="64" t="s">
        <v>1</v>
      </c>
      <c r="L102" s="65">
        <v>1</v>
      </c>
      <c r="M102" s="99"/>
      <c r="N102" s="70"/>
      <c r="O102" s="66"/>
      <c r="P102" s="57"/>
      <c r="Q102" s="58"/>
      <c r="R102" s="77"/>
      <c r="S102" s="66"/>
      <c r="T102" s="57"/>
      <c r="U102" s="58"/>
      <c r="V102" s="77"/>
      <c r="W102" s="228">
        <f>ROUND((ROUND((ROUND((ROUND((ROUND((_15_同援日２．０*_15・基礎２),0)*_15・２人),0)*(1+_15・A深夜)),0)*(1+_15・盲ろう)),0)*(1+_15・区４)),0)</f>
        <v>1148</v>
      </c>
      <c r="X102" s="69"/>
    </row>
    <row r="103" spans="1:24" ht="16.5" customHeight="1" x14ac:dyDescent="0.3">
      <c r="A103" s="2">
        <v>15</v>
      </c>
      <c r="B103" s="2">
        <v>8623</v>
      </c>
      <c r="C103" s="60" t="s">
        <v>9158</v>
      </c>
      <c r="D103" s="233" t="s">
        <v>18019</v>
      </c>
      <c r="E103" s="62"/>
      <c r="F103" s="75"/>
      <c r="G103" s="61"/>
      <c r="H103" s="62"/>
      <c r="I103" s="63"/>
      <c r="J103" s="85"/>
      <c r="K103" s="64"/>
      <c r="L103" s="65"/>
      <c r="M103" s="99"/>
      <c r="N103" s="70"/>
      <c r="O103" s="61"/>
      <c r="P103" s="62"/>
      <c r="Q103" s="63"/>
      <c r="R103" s="75"/>
      <c r="S103" s="61"/>
      <c r="T103" s="62"/>
      <c r="U103" s="63"/>
      <c r="V103" s="75"/>
      <c r="W103" s="228">
        <f>ROUND((_15_同援日２．５*(1+_15・A深夜)),0)</f>
        <v>822</v>
      </c>
      <c r="X103" s="69"/>
    </row>
    <row r="104" spans="1:24" ht="16.5" customHeight="1" x14ac:dyDescent="0.3">
      <c r="A104" s="2">
        <v>15</v>
      </c>
      <c r="B104" s="2">
        <v>8624</v>
      </c>
      <c r="C104" s="60" t="s">
        <v>9157</v>
      </c>
      <c r="D104" s="1" t="s">
        <v>18018</v>
      </c>
      <c r="E104" s="68"/>
      <c r="F104" s="70"/>
      <c r="G104" s="66"/>
      <c r="H104" s="57"/>
      <c r="I104" s="58"/>
      <c r="J104" s="83" t="s">
        <v>5895</v>
      </c>
      <c r="K104" s="64" t="s">
        <v>1</v>
      </c>
      <c r="L104" s="65">
        <v>1</v>
      </c>
      <c r="M104" s="99"/>
      <c r="N104" s="70"/>
      <c r="O104" s="67"/>
      <c r="P104" s="68"/>
      <c r="Q104" s="76"/>
      <c r="R104" s="70"/>
      <c r="S104" s="67"/>
      <c r="T104" s="68"/>
      <c r="U104" s="76"/>
      <c r="V104" s="70"/>
      <c r="W104" s="228">
        <f>ROUND((ROUND((_15_同援日２．５*_15・２人),0)*(1+_15・A深夜)),0)</f>
        <v>822</v>
      </c>
      <c r="X104" s="69"/>
    </row>
    <row r="105" spans="1:24" ht="16.5" customHeight="1" x14ac:dyDescent="0.3">
      <c r="A105" s="2">
        <v>15</v>
      </c>
      <c r="B105" s="2">
        <v>8625</v>
      </c>
      <c r="C105" s="60" t="s">
        <v>9156</v>
      </c>
      <c r="D105" s="1" t="s">
        <v>8499</v>
      </c>
      <c r="E105" s="68"/>
      <c r="F105" s="70"/>
      <c r="G105" s="74" t="s">
        <v>17078</v>
      </c>
      <c r="H105" s="62"/>
      <c r="I105" s="63"/>
      <c r="J105" s="85"/>
      <c r="K105" s="64"/>
      <c r="L105" s="65"/>
      <c r="M105" s="99"/>
      <c r="N105" s="70"/>
      <c r="O105" s="67"/>
      <c r="P105" s="68"/>
      <c r="Q105" s="76"/>
      <c r="R105" s="70"/>
      <c r="S105" s="67"/>
      <c r="T105" s="68"/>
      <c r="U105" s="76"/>
      <c r="V105" s="70"/>
      <c r="W105" s="228">
        <f>ROUND((ROUND((_15_同援日２．５*_15・基礎２),0)*(1+_15・A深夜)),0)</f>
        <v>740</v>
      </c>
      <c r="X105" s="69"/>
    </row>
    <row r="106" spans="1:24" ht="16.5" customHeight="1" x14ac:dyDescent="0.3">
      <c r="A106" s="2">
        <v>15</v>
      </c>
      <c r="B106" s="2">
        <v>8626</v>
      </c>
      <c r="C106" s="60" t="s">
        <v>9155</v>
      </c>
      <c r="D106" s="1"/>
      <c r="E106" s="227">
        <v>548</v>
      </c>
      <c r="F106" s="70" t="s">
        <v>0</v>
      </c>
      <c r="G106" s="106" t="s">
        <v>16812</v>
      </c>
      <c r="H106" s="57" t="s">
        <v>1</v>
      </c>
      <c r="I106" s="58">
        <v>0.9</v>
      </c>
      <c r="J106" s="83" t="s">
        <v>5895</v>
      </c>
      <c r="K106" s="64" t="s">
        <v>1</v>
      </c>
      <c r="L106" s="65">
        <v>1</v>
      </c>
      <c r="M106" s="99"/>
      <c r="N106" s="70"/>
      <c r="O106" s="66"/>
      <c r="P106" s="57"/>
      <c r="Q106" s="58"/>
      <c r="R106" s="77"/>
      <c r="S106" s="67"/>
      <c r="T106" s="68"/>
      <c r="U106" s="76"/>
      <c r="V106" s="70"/>
      <c r="W106" s="228">
        <f>ROUND((ROUND((ROUND((_15_同援日２．５*_15・基礎２),0)*_15・２人),0)*(1+_15・A深夜)),0)</f>
        <v>740</v>
      </c>
      <c r="X106" s="69"/>
    </row>
    <row r="107" spans="1:24" ht="16.5" customHeight="1" x14ac:dyDescent="0.3">
      <c r="A107" s="2">
        <v>15</v>
      </c>
      <c r="B107" s="2">
        <v>8627</v>
      </c>
      <c r="C107" s="60" t="s">
        <v>9154</v>
      </c>
      <c r="D107" s="1"/>
      <c r="E107" s="68"/>
      <c r="F107" s="70"/>
      <c r="G107" s="61"/>
      <c r="H107" s="62"/>
      <c r="I107" s="63"/>
      <c r="J107" s="85"/>
      <c r="K107" s="64"/>
      <c r="L107" s="65"/>
      <c r="M107" s="99"/>
      <c r="N107" s="70"/>
      <c r="O107" s="74" t="s">
        <v>18005</v>
      </c>
      <c r="P107" s="62"/>
      <c r="Q107" s="63"/>
      <c r="R107" s="75"/>
      <c r="S107" s="67"/>
      <c r="T107" s="68"/>
      <c r="U107" s="76"/>
      <c r="V107" s="70"/>
      <c r="W107" s="228">
        <f>ROUND((ROUND((_15_同援日２．５*(1+_15・A深夜)),0)*(1+_15・盲ろう)),0)</f>
        <v>1028</v>
      </c>
      <c r="X107" s="69"/>
    </row>
    <row r="108" spans="1:24" ht="16.5" customHeight="1" x14ac:dyDescent="0.3">
      <c r="A108" s="2">
        <v>15</v>
      </c>
      <c r="B108" s="2">
        <v>8628</v>
      </c>
      <c r="C108" s="60" t="s">
        <v>9153</v>
      </c>
      <c r="D108" s="1"/>
      <c r="E108" s="68"/>
      <c r="F108" s="70"/>
      <c r="G108" s="66"/>
      <c r="H108" s="57"/>
      <c r="I108" s="58"/>
      <c r="J108" s="83" t="s">
        <v>5895</v>
      </c>
      <c r="K108" s="64" t="s">
        <v>1</v>
      </c>
      <c r="L108" s="65">
        <v>1</v>
      </c>
      <c r="M108" s="99"/>
      <c r="N108" s="70"/>
      <c r="O108" s="94" t="s">
        <v>17968</v>
      </c>
      <c r="P108" s="68"/>
      <c r="Q108" s="76"/>
      <c r="R108" s="70"/>
      <c r="S108" s="67"/>
      <c r="T108" s="68"/>
      <c r="U108" s="76"/>
      <c r="V108" s="70"/>
      <c r="W108" s="228">
        <f>ROUND((ROUND((ROUND((_15_同援日２．５*_15・２人),0)*(1+_15・A深夜)),0)*(1+_15・盲ろう)),0)</f>
        <v>1028</v>
      </c>
      <c r="X108" s="69"/>
    </row>
    <row r="109" spans="1:24" ht="16.5" customHeight="1" x14ac:dyDescent="0.3">
      <c r="A109" s="2">
        <v>15</v>
      </c>
      <c r="B109" s="2">
        <v>8629</v>
      </c>
      <c r="C109" s="60" t="s">
        <v>9152</v>
      </c>
      <c r="D109" s="1"/>
      <c r="E109" s="68"/>
      <c r="F109" s="70"/>
      <c r="G109" s="74" t="s">
        <v>17078</v>
      </c>
      <c r="H109" s="62"/>
      <c r="I109" s="63"/>
      <c r="J109" s="85"/>
      <c r="K109" s="64"/>
      <c r="L109" s="65"/>
      <c r="M109" s="99"/>
      <c r="N109" s="70"/>
      <c r="O109" s="67"/>
      <c r="P109" s="68" t="s">
        <v>1</v>
      </c>
      <c r="Q109" s="76">
        <v>0.25</v>
      </c>
      <c r="R109" s="70" t="s">
        <v>422</v>
      </c>
      <c r="S109" s="67"/>
      <c r="T109" s="68"/>
      <c r="U109" s="76"/>
      <c r="V109" s="70"/>
      <c r="W109" s="228">
        <f>ROUND((ROUND((ROUND((_15_同援日２．５*_15・基礎２),0)*(1+_15・A深夜)),0)*(1+_15・盲ろう)),0)</f>
        <v>925</v>
      </c>
      <c r="X109" s="69"/>
    </row>
    <row r="110" spans="1:24" ht="16.5" customHeight="1" x14ac:dyDescent="0.3">
      <c r="A110" s="2">
        <v>15</v>
      </c>
      <c r="B110" s="2">
        <v>8630</v>
      </c>
      <c r="C110" s="60" t="s">
        <v>9151</v>
      </c>
      <c r="D110" s="1"/>
      <c r="E110" s="68"/>
      <c r="F110" s="70"/>
      <c r="G110" s="106" t="s">
        <v>17077</v>
      </c>
      <c r="H110" s="57" t="s">
        <v>1</v>
      </c>
      <c r="I110" s="58">
        <v>0.9</v>
      </c>
      <c r="J110" s="83" t="s">
        <v>5895</v>
      </c>
      <c r="K110" s="64" t="s">
        <v>1</v>
      </c>
      <c r="L110" s="65">
        <v>1</v>
      </c>
      <c r="M110" s="99"/>
      <c r="N110" s="70"/>
      <c r="O110" s="66"/>
      <c r="P110" s="57"/>
      <c r="Q110" s="58"/>
      <c r="R110" s="77"/>
      <c r="S110" s="66"/>
      <c r="T110" s="57"/>
      <c r="U110" s="58"/>
      <c r="V110" s="77"/>
      <c r="W110" s="228">
        <f>ROUND((ROUND((ROUND((ROUND((_15_同援日２．５*_15・基礎２),0)*_15・２人),0)*(1+_15・A深夜)),0)*(1+_15・盲ろう)),0)</f>
        <v>925</v>
      </c>
      <c r="X110" s="69"/>
    </row>
    <row r="111" spans="1:24" ht="16.5" customHeight="1" x14ac:dyDescent="0.3">
      <c r="A111" s="2">
        <v>15</v>
      </c>
      <c r="B111" s="2">
        <v>8631</v>
      </c>
      <c r="C111" s="60" t="s">
        <v>9150</v>
      </c>
      <c r="D111" s="1"/>
      <c r="E111" s="68"/>
      <c r="F111" s="70"/>
      <c r="G111" s="61"/>
      <c r="H111" s="62"/>
      <c r="I111" s="63"/>
      <c r="J111" s="85"/>
      <c r="K111" s="64"/>
      <c r="L111" s="65"/>
      <c r="M111" s="99"/>
      <c r="N111" s="70"/>
      <c r="O111" s="61"/>
      <c r="P111" s="62"/>
      <c r="Q111" s="63"/>
      <c r="R111" s="75"/>
      <c r="S111" s="61"/>
      <c r="T111" s="62"/>
      <c r="U111" s="63"/>
      <c r="V111" s="75"/>
      <c r="W111" s="228">
        <f>ROUND((ROUND((_15_同援日２．５*(1+_15・A深夜)),0)*(1+_15・区３)),0)</f>
        <v>986</v>
      </c>
      <c r="X111" s="69"/>
    </row>
    <row r="112" spans="1:24" ht="16.5" customHeight="1" x14ac:dyDescent="0.3">
      <c r="A112" s="2">
        <v>15</v>
      </c>
      <c r="B112" s="2">
        <v>8632</v>
      </c>
      <c r="C112" s="60" t="s">
        <v>9149</v>
      </c>
      <c r="D112" s="1"/>
      <c r="E112" s="68"/>
      <c r="F112" s="70"/>
      <c r="G112" s="66"/>
      <c r="H112" s="57"/>
      <c r="I112" s="58"/>
      <c r="J112" s="83" t="s">
        <v>5895</v>
      </c>
      <c r="K112" s="64" t="s">
        <v>1</v>
      </c>
      <c r="L112" s="65">
        <v>1</v>
      </c>
      <c r="M112" s="99"/>
      <c r="N112" s="70"/>
      <c r="O112" s="67"/>
      <c r="P112" s="68"/>
      <c r="Q112" s="76"/>
      <c r="R112" s="70"/>
      <c r="S112" s="67"/>
      <c r="T112" s="68"/>
      <c r="U112" s="76"/>
      <c r="V112" s="70"/>
      <c r="W112" s="228">
        <f>ROUND((ROUND((ROUND((_15_同援日２．５*_15・２人),0)*(1+_15・A深夜)),0)*(1+_15・区３)),0)</f>
        <v>986</v>
      </c>
      <c r="X112" s="69"/>
    </row>
    <row r="113" spans="1:24" ht="16.5" customHeight="1" x14ac:dyDescent="0.3">
      <c r="A113" s="2">
        <v>15</v>
      </c>
      <c r="B113" s="2">
        <v>8633</v>
      </c>
      <c r="C113" s="60" t="s">
        <v>9148</v>
      </c>
      <c r="D113" s="1"/>
      <c r="E113" s="68"/>
      <c r="F113" s="70"/>
      <c r="G113" s="74" t="s">
        <v>17078</v>
      </c>
      <c r="H113" s="62"/>
      <c r="I113" s="63"/>
      <c r="J113" s="85"/>
      <c r="K113" s="64"/>
      <c r="L113" s="65"/>
      <c r="M113" s="99"/>
      <c r="N113" s="70"/>
      <c r="O113" s="67"/>
      <c r="P113" s="68"/>
      <c r="Q113" s="76"/>
      <c r="R113" s="70"/>
      <c r="S113" s="1" t="s">
        <v>18010</v>
      </c>
      <c r="T113" s="68"/>
      <c r="U113" s="76"/>
      <c r="V113" s="70"/>
      <c r="W113" s="228">
        <f>ROUND((ROUND((ROUND((_15_同援日２．５*_15・基礎２),0)*(1+_15・A深夜)),0)*(1+_15・区３)),0)</f>
        <v>888</v>
      </c>
      <c r="X113" s="69"/>
    </row>
    <row r="114" spans="1:24" ht="16.5" customHeight="1" x14ac:dyDescent="0.3">
      <c r="A114" s="2">
        <v>15</v>
      </c>
      <c r="B114" s="2">
        <v>8634</v>
      </c>
      <c r="C114" s="60" t="s">
        <v>9147</v>
      </c>
      <c r="D114" s="1"/>
      <c r="E114" s="68"/>
      <c r="F114" s="70"/>
      <c r="G114" s="106" t="s">
        <v>16812</v>
      </c>
      <c r="H114" s="57" t="s">
        <v>1</v>
      </c>
      <c r="I114" s="58">
        <v>0.9</v>
      </c>
      <c r="J114" s="83" t="s">
        <v>5895</v>
      </c>
      <c r="K114" s="64" t="s">
        <v>1</v>
      </c>
      <c r="L114" s="65">
        <v>1</v>
      </c>
      <c r="M114" s="99"/>
      <c r="N114" s="70"/>
      <c r="O114" s="66"/>
      <c r="P114" s="57"/>
      <c r="Q114" s="58"/>
      <c r="R114" s="77"/>
      <c r="S114" s="1" t="s">
        <v>18006</v>
      </c>
      <c r="T114" s="68"/>
      <c r="U114" s="76"/>
      <c r="V114" s="70"/>
      <c r="W114" s="228">
        <f>ROUND((ROUND((ROUND((ROUND((_15_同援日２．５*_15・基礎２),0)*_15・２人),0)*(1+_15・A深夜)),0)*(1+_15・区３)),0)</f>
        <v>888</v>
      </c>
      <c r="X114" s="69"/>
    </row>
    <row r="115" spans="1:24" ht="16.5" customHeight="1" x14ac:dyDescent="0.3">
      <c r="A115" s="2">
        <v>15</v>
      </c>
      <c r="B115" s="2">
        <v>8635</v>
      </c>
      <c r="C115" s="60" t="s">
        <v>9146</v>
      </c>
      <c r="D115" s="1"/>
      <c r="E115" s="68"/>
      <c r="F115" s="70"/>
      <c r="G115" s="61"/>
      <c r="H115" s="62"/>
      <c r="I115" s="63"/>
      <c r="J115" s="85"/>
      <c r="K115" s="64"/>
      <c r="L115" s="65"/>
      <c r="M115" s="99"/>
      <c r="N115" s="70"/>
      <c r="O115" s="74" t="s">
        <v>17969</v>
      </c>
      <c r="P115" s="62"/>
      <c r="Q115" s="63"/>
      <c r="R115" s="75"/>
      <c r="S115" s="67"/>
      <c r="T115" s="68" t="s">
        <v>1</v>
      </c>
      <c r="U115" s="76">
        <v>0.2</v>
      </c>
      <c r="V115" s="70" t="s">
        <v>422</v>
      </c>
      <c r="W115" s="228">
        <f>ROUND((ROUND((ROUND((_15_同援日２．５*(1+_15・A深夜)),0)*(1+_15・盲ろう)),0)*(1+_15・区３)),0)</f>
        <v>1234</v>
      </c>
      <c r="X115" s="69"/>
    </row>
    <row r="116" spans="1:24" ht="16.5" customHeight="1" x14ac:dyDescent="0.3">
      <c r="A116" s="2">
        <v>15</v>
      </c>
      <c r="B116" s="2">
        <v>8636</v>
      </c>
      <c r="C116" s="60" t="s">
        <v>9145</v>
      </c>
      <c r="D116" s="1"/>
      <c r="E116" s="68"/>
      <c r="F116" s="70"/>
      <c r="G116" s="66"/>
      <c r="H116" s="57"/>
      <c r="I116" s="58"/>
      <c r="J116" s="83" t="s">
        <v>5895</v>
      </c>
      <c r="K116" s="64" t="s">
        <v>1</v>
      </c>
      <c r="L116" s="65">
        <v>1</v>
      </c>
      <c r="M116" s="99"/>
      <c r="N116" s="70"/>
      <c r="O116" s="94" t="s">
        <v>8083</v>
      </c>
      <c r="P116" s="68"/>
      <c r="Q116" s="76"/>
      <c r="R116" s="70"/>
      <c r="S116" s="67"/>
      <c r="T116" s="68"/>
      <c r="U116" s="76"/>
      <c r="V116" s="70"/>
      <c r="W116" s="228">
        <f>ROUND((ROUND((ROUND((ROUND((_15_同援日２．５*_15・２人),0)*(1+_15・A深夜)),0)*(1+_15・盲ろう)),0)*(1+_15・区３)),0)</f>
        <v>1234</v>
      </c>
      <c r="X116" s="69"/>
    </row>
    <row r="117" spans="1:24" ht="16.5" customHeight="1" x14ac:dyDescent="0.3">
      <c r="A117" s="2">
        <v>15</v>
      </c>
      <c r="B117" s="2">
        <v>8637</v>
      </c>
      <c r="C117" s="60" t="s">
        <v>9144</v>
      </c>
      <c r="D117" s="1"/>
      <c r="E117" s="68"/>
      <c r="F117" s="70"/>
      <c r="G117" s="74" t="s">
        <v>16823</v>
      </c>
      <c r="H117" s="62"/>
      <c r="I117" s="63"/>
      <c r="J117" s="85"/>
      <c r="K117" s="64"/>
      <c r="L117" s="65"/>
      <c r="M117" s="99"/>
      <c r="N117" s="70"/>
      <c r="O117" s="67"/>
      <c r="P117" s="68" t="s">
        <v>1</v>
      </c>
      <c r="Q117" s="76">
        <v>0.25</v>
      </c>
      <c r="R117" s="70" t="s">
        <v>422</v>
      </c>
      <c r="S117" s="67"/>
      <c r="T117" s="68"/>
      <c r="U117" s="76"/>
      <c r="V117" s="70"/>
      <c r="W117" s="228">
        <f>ROUND((ROUND((ROUND((ROUND((_15_同援日２．５*_15・基礎２),0)*(1+_15・A深夜)),0)*(1+_15・盲ろう)),0)*(1+_15・区３)),0)</f>
        <v>1110</v>
      </c>
      <c r="X117" s="69"/>
    </row>
    <row r="118" spans="1:24" ht="16.5" customHeight="1" x14ac:dyDescent="0.3">
      <c r="A118" s="2">
        <v>15</v>
      </c>
      <c r="B118" s="2">
        <v>8638</v>
      </c>
      <c r="C118" s="60" t="s">
        <v>9143</v>
      </c>
      <c r="D118" s="1"/>
      <c r="E118" s="68"/>
      <c r="F118" s="70"/>
      <c r="G118" s="106" t="s">
        <v>17077</v>
      </c>
      <c r="H118" s="57" t="s">
        <v>1</v>
      </c>
      <c r="I118" s="58">
        <v>0.9</v>
      </c>
      <c r="J118" s="83" t="s">
        <v>5895</v>
      </c>
      <c r="K118" s="64" t="s">
        <v>1</v>
      </c>
      <c r="L118" s="65">
        <v>1</v>
      </c>
      <c r="M118" s="99"/>
      <c r="N118" s="70"/>
      <c r="O118" s="66"/>
      <c r="P118" s="57"/>
      <c r="Q118" s="58"/>
      <c r="R118" s="77"/>
      <c r="S118" s="66"/>
      <c r="T118" s="57"/>
      <c r="U118" s="58"/>
      <c r="V118" s="77"/>
      <c r="W118" s="228">
        <f>ROUND((ROUND((ROUND((ROUND((ROUND((_15_同援日２．５*_15・基礎２),0)*_15・２人),0)*(1+_15・A深夜)),0)*(1+_15・盲ろう)),0)*(1+_15・区３)),0)</f>
        <v>1110</v>
      </c>
      <c r="X118" s="69"/>
    </row>
    <row r="119" spans="1:24" ht="16.5" customHeight="1" x14ac:dyDescent="0.3">
      <c r="A119" s="2">
        <v>15</v>
      </c>
      <c r="B119" s="2">
        <v>8639</v>
      </c>
      <c r="C119" s="60" t="s">
        <v>9142</v>
      </c>
      <c r="D119" s="1"/>
      <c r="E119" s="68"/>
      <c r="F119" s="70"/>
      <c r="G119" s="61"/>
      <c r="H119" s="62"/>
      <c r="I119" s="63"/>
      <c r="J119" s="85"/>
      <c r="K119" s="64"/>
      <c r="L119" s="65"/>
      <c r="M119" s="99"/>
      <c r="N119" s="70"/>
      <c r="O119" s="61"/>
      <c r="P119" s="62"/>
      <c r="Q119" s="63"/>
      <c r="R119" s="75"/>
      <c r="S119" s="61"/>
      <c r="T119" s="62"/>
      <c r="U119" s="63"/>
      <c r="V119" s="75"/>
      <c r="W119" s="228">
        <f>ROUND((ROUND((_15_同援日２．５*(1+_15・A深夜)),0)*(1+_15・区４)),0)</f>
        <v>1151</v>
      </c>
      <c r="X119" s="69"/>
    </row>
    <row r="120" spans="1:24" ht="16.5" customHeight="1" x14ac:dyDescent="0.3">
      <c r="A120" s="2">
        <v>15</v>
      </c>
      <c r="B120" s="2">
        <v>8640</v>
      </c>
      <c r="C120" s="60" t="s">
        <v>9141</v>
      </c>
      <c r="D120" s="1"/>
      <c r="E120" s="68"/>
      <c r="F120" s="70"/>
      <c r="G120" s="66"/>
      <c r="H120" s="57"/>
      <c r="I120" s="58"/>
      <c r="J120" s="83" t="s">
        <v>5895</v>
      </c>
      <c r="K120" s="64" t="s">
        <v>1</v>
      </c>
      <c r="L120" s="65">
        <v>1</v>
      </c>
      <c r="M120" s="99"/>
      <c r="N120" s="70"/>
      <c r="O120" s="67"/>
      <c r="P120" s="68"/>
      <c r="Q120" s="76"/>
      <c r="R120" s="70"/>
      <c r="S120" s="67"/>
      <c r="T120" s="68"/>
      <c r="U120" s="76"/>
      <c r="V120" s="70"/>
      <c r="W120" s="228">
        <f>ROUND((ROUND((ROUND((_15_同援日２．５*_15・２人),0)*(1+_15・A深夜)),0)*(1+_15・区４)),0)</f>
        <v>1151</v>
      </c>
      <c r="X120" s="69"/>
    </row>
    <row r="121" spans="1:24" ht="16.5" customHeight="1" x14ac:dyDescent="0.3">
      <c r="A121" s="2">
        <v>15</v>
      </c>
      <c r="B121" s="2">
        <v>8641</v>
      </c>
      <c r="C121" s="60" t="s">
        <v>9140</v>
      </c>
      <c r="D121" s="1"/>
      <c r="E121" s="68"/>
      <c r="F121" s="70"/>
      <c r="G121" s="74" t="s">
        <v>16823</v>
      </c>
      <c r="H121" s="62"/>
      <c r="I121" s="63"/>
      <c r="J121" s="85"/>
      <c r="K121" s="64"/>
      <c r="L121" s="65"/>
      <c r="M121" s="99"/>
      <c r="N121" s="70"/>
      <c r="O121" s="67"/>
      <c r="P121" s="68"/>
      <c r="Q121" s="76"/>
      <c r="R121" s="70"/>
      <c r="S121" s="1" t="s">
        <v>18009</v>
      </c>
      <c r="T121" s="68"/>
      <c r="U121" s="76"/>
      <c r="V121" s="70"/>
      <c r="W121" s="228">
        <f>ROUND((ROUND((ROUND((_15_同援日２．５*_15・基礎２),0)*(1+_15・A深夜)),0)*(1+_15・区４)),0)</f>
        <v>1036</v>
      </c>
      <c r="X121" s="69"/>
    </row>
    <row r="122" spans="1:24" ht="16.5" customHeight="1" x14ac:dyDescent="0.3">
      <c r="A122" s="2">
        <v>15</v>
      </c>
      <c r="B122" s="2">
        <v>8642</v>
      </c>
      <c r="C122" s="60" t="s">
        <v>9139</v>
      </c>
      <c r="D122" s="1"/>
      <c r="E122" s="68"/>
      <c r="F122" s="70"/>
      <c r="G122" s="106" t="s">
        <v>16812</v>
      </c>
      <c r="H122" s="57" t="s">
        <v>1</v>
      </c>
      <c r="I122" s="58">
        <v>0.9</v>
      </c>
      <c r="J122" s="83" t="s">
        <v>5895</v>
      </c>
      <c r="K122" s="64" t="s">
        <v>1</v>
      </c>
      <c r="L122" s="65">
        <v>1</v>
      </c>
      <c r="M122" s="99"/>
      <c r="N122" s="70"/>
      <c r="O122" s="66"/>
      <c r="P122" s="57"/>
      <c r="Q122" s="58"/>
      <c r="R122" s="77"/>
      <c r="S122" s="1" t="s">
        <v>18006</v>
      </c>
      <c r="T122" s="68"/>
      <c r="U122" s="76"/>
      <c r="V122" s="70"/>
      <c r="W122" s="228">
        <f>ROUND((ROUND((ROUND((ROUND((_15_同援日２．５*_15・基礎２),0)*_15・２人),0)*(1+_15・A深夜)),0)*(1+_15・区４)),0)</f>
        <v>1036</v>
      </c>
      <c r="X122" s="69"/>
    </row>
    <row r="123" spans="1:24" ht="16.5" customHeight="1" x14ac:dyDescent="0.3">
      <c r="A123" s="2">
        <v>15</v>
      </c>
      <c r="B123" s="2">
        <v>8643</v>
      </c>
      <c r="C123" s="60" t="s">
        <v>9138</v>
      </c>
      <c r="D123" s="1"/>
      <c r="E123" s="68"/>
      <c r="F123" s="70"/>
      <c r="G123" s="61"/>
      <c r="H123" s="62"/>
      <c r="I123" s="63"/>
      <c r="J123" s="85"/>
      <c r="K123" s="64"/>
      <c r="L123" s="65"/>
      <c r="M123" s="99"/>
      <c r="N123" s="70"/>
      <c r="O123" s="74" t="s">
        <v>17969</v>
      </c>
      <c r="P123" s="62"/>
      <c r="Q123" s="63"/>
      <c r="R123" s="75"/>
      <c r="S123" s="67"/>
      <c r="T123" s="68" t="s">
        <v>1</v>
      </c>
      <c r="U123" s="76">
        <v>0.4</v>
      </c>
      <c r="V123" s="70" t="s">
        <v>422</v>
      </c>
      <c r="W123" s="228">
        <f>ROUND((ROUND((ROUND((_15_同援日２．５*(1+_15・A深夜)),0)*(1+_15・盲ろう)),0)*(1+_15・区４)),0)</f>
        <v>1439</v>
      </c>
      <c r="X123" s="69"/>
    </row>
    <row r="124" spans="1:24" ht="16.5" customHeight="1" x14ac:dyDescent="0.3">
      <c r="A124" s="2">
        <v>15</v>
      </c>
      <c r="B124" s="2">
        <v>8644</v>
      </c>
      <c r="C124" s="60" t="s">
        <v>9137</v>
      </c>
      <c r="D124" s="1"/>
      <c r="E124" s="68"/>
      <c r="F124" s="70"/>
      <c r="G124" s="66"/>
      <c r="H124" s="57"/>
      <c r="I124" s="58"/>
      <c r="J124" s="83" t="s">
        <v>5895</v>
      </c>
      <c r="K124" s="64" t="s">
        <v>1</v>
      </c>
      <c r="L124" s="65">
        <v>1</v>
      </c>
      <c r="M124" s="99"/>
      <c r="N124" s="70"/>
      <c r="O124" s="94" t="s">
        <v>18004</v>
      </c>
      <c r="P124" s="68"/>
      <c r="Q124" s="76"/>
      <c r="R124" s="70"/>
      <c r="S124" s="67"/>
      <c r="T124" s="68"/>
      <c r="U124" s="76"/>
      <c r="V124" s="70"/>
      <c r="W124" s="228">
        <f>ROUND((ROUND((ROUND((ROUND((_15_同援日２．５*_15・２人),0)*(1+_15・A深夜)),0)*(1+_15・盲ろう)),0)*(1+_15・区４)),0)</f>
        <v>1439</v>
      </c>
      <c r="X124" s="69"/>
    </row>
    <row r="125" spans="1:24" ht="16.5" customHeight="1" x14ac:dyDescent="0.3">
      <c r="A125" s="2">
        <v>15</v>
      </c>
      <c r="B125" s="2">
        <v>8645</v>
      </c>
      <c r="C125" s="60" t="s">
        <v>9136</v>
      </c>
      <c r="D125" s="1"/>
      <c r="E125" s="68"/>
      <c r="F125" s="70"/>
      <c r="G125" s="74" t="s">
        <v>16823</v>
      </c>
      <c r="H125" s="62"/>
      <c r="I125" s="63"/>
      <c r="J125" s="85"/>
      <c r="K125" s="64"/>
      <c r="L125" s="65"/>
      <c r="M125" s="99"/>
      <c r="N125" s="70"/>
      <c r="O125" s="67"/>
      <c r="P125" s="68" t="s">
        <v>1</v>
      </c>
      <c r="Q125" s="76">
        <v>0.25</v>
      </c>
      <c r="R125" s="70" t="s">
        <v>422</v>
      </c>
      <c r="S125" s="67"/>
      <c r="T125" s="68"/>
      <c r="U125" s="76"/>
      <c r="V125" s="70"/>
      <c r="W125" s="228">
        <f>ROUND((ROUND((ROUND((ROUND((_15_同援日２．５*_15・基礎２),0)*(1+_15・A深夜)),0)*(1+_15・盲ろう)),0)*(1+_15・区４)),0)</f>
        <v>1295</v>
      </c>
      <c r="X125" s="69"/>
    </row>
    <row r="126" spans="1:24" ht="16.5" customHeight="1" x14ac:dyDescent="0.3">
      <c r="A126" s="2">
        <v>15</v>
      </c>
      <c r="B126" s="2">
        <v>8646</v>
      </c>
      <c r="C126" s="60" t="s">
        <v>9135</v>
      </c>
      <c r="D126" s="81"/>
      <c r="E126" s="57"/>
      <c r="F126" s="77"/>
      <c r="G126" s="106" t="s">
        <v>16812</v>
      </c>
      <c r="H126" s="57" t="s">
        <v>1</v>
      </c>
      <c r="I126" s="58">
        <v>0.9</v>
      </c>
      <c r="J126" s="83" t="s">
        <v>5895</v>
      </c>
      <c r="K126" s="64" t="s">
        <v>1</v>
      </c>
      <c r="L126" s="65">
        <v>1</v>
      </c>
      <c r="M126" s="99"/>
      <c r="N126" s="70"/>
      <c r="O126" s="66"/>
      <c r="P126" s="57"/>
      <c r="Q126" s="58"/>
      <c r="R126" s="77"/>
      <c r="S126" s="66"/>
      <c r="T126" s="57"/>
      <c r="U126" s="58"/>
      <c r="V126" s="77"/>
      <c r="W126" s="228">
        <f>ROUND((ROUND((ROUND((ROUND((ROUND((_15_同援日２．５*_15・基礎２),0)*_15・２人),0)*(1+_15・A深夜)),0)*(1+_15・盲ろう)),0)*(1+_15・区４)),0)</f>
        <v>1295</v>
      </c>
      <c r="X126" s="69"/>
    </row>
    <row r="127" spans="1:24" ht="16.5" customHeight="1" x14ac:dyDescent="0.3">
      <c r="A127" s="2">
        <v>15</v>
      </c>
      <c r="B127" s="2">
        <v>8647</v>
      </c>
      <c r="C127" s="60" t="s">
        <v>9134</v>
      </c>
      <c r="D127" s="233" t="s">
        <v>18017</v>
      </c>
      <c r="E127" s="62"/>
      <c r="F127" s="75"/>
      <c r="G127" s="61"/>
      <c r="H127" s="62"/>
      <c r="I127" s="63"/>
      <c r="J127" s="85"/>
      <c r="K127" s="64"/>
      <c r="L127" s="65"/>
      <c r="M127" s="99"/>
      <c r="N127" s="70"/>
      <c r="O127" s="61"/>
      <c r="P127" s="62"/>
      <c r="Q127" s="63"/>
      <c r="R127" s="75"/>
      <c r="S127" s="61"/>
      <c r="T127" s="62"/>
      <c r="U127" s="63"/>
      <c r="V127" s="75"/>
      <c r="W127" s="228">
        <f>ROUND((_15_同援日３．０*(1+_15・A深夜)),0)</f>
        <v>917</v>
      </c>
      <c r="X127" s="69"/>
    </row>
    <row r="128" spans="1:24" ht="16.5" customHeight="1" x14ac:dyDescent="0.3">
      <c r="A128" s="2">
        <v>15</v>
      </c>
      <c r="B128" s="2">
        <v>8648</v>
      </c>
      <c r="C128" s="60" t="s">
        <v>9133</v>
      </c>
      <c r="D128" s="1" t="s">
        <v>16862</v>
      </c>
      <c r="E128" s="68"/>
      <c r="F128" s="70"/>
      <c r="G128" s="66"/>
      <c r="H128" s="57"/>
      <c r="I128" s="58"/>
      <c r="J128" s="83" t="s">
        <v>5895</v>
      </c>
      <c r="K128" s="64" t="s">
        <v>1</v>
      </c>
      <c r="L128" s="65">
        <v>1</v>
      </c>
      <c r="M128" s="99"/>
      <c r="N128" s="70"/>
      <c r="O128" s="67"/>
      <c r="P128" s="68"/>
      <c r="Q128" s="76"/>
      <c r="R128" s="70"/>
      <c r="S128" s="67"/>
      <c r="T128" s="68"/>
      <c r="U128" s="76"/>
      <c r="V128" s="70"/>
      <c r="W128" s="228">
        <f>ROUND((ROUND((_15_同援日３．０*_15・２人),0)*(1+_15・A深夜)),0)</f>
        <v>917</v>
      </c>
      <c r="X128" s="69"/>
    </row>
    <row r="129" spans="1:24" ht="16.5" customHeight="1" x14ac:dyDescent="0.3">
      <c r="A129" s="2">
        <v>15</v>
      </c>
      <c r="B129" s="2">
        <v>8649</v>
      </c>
      <c r="C129" s="60" t="s">
        <v>9132</v>
      </c>
      <c r="D129" s="1" t="s">
        <v>8694</v>
      </c>
      <c r="E129" s="68"/>
      <c r="F129" s="70"/>
      <c r="G129" s="74" t="s">
        <v>17078</v>
      </c>
      <c r="H129" s="62"/>
      <c r="I129" s="63"/>
      <c r="J129" s="85"/>
      <c r="K129" s="64"/>
      <c r="L129" s="65"/>
      <c r="M129" s="99"/>
      <c r="N129" s="70"/>
      <c r="O129" s="67"/>
      <c r="P129" s="68"/>
      <c r="Q129" s="76"/>
      <c r="R129" s="70"/>
      <c r="S129" s="67"/>
      <c r="T129" s="68"/>
      <c r="U129" s="76"/>
      <c r="V129" s="70"/>
      <c r="W129" s="228">
        <f>ROUND((ROUND((_15_同援日３．０*_15・基礎２),0)*(1+_15・A深夜)),0)</f>
        <v>825</v>
      </c>
      <c r="X129" s="69"/>
    </row>
    <row r="130" spans="1:24" ht="16.5" customHeight="1" x14ac:dyDescent="0.3">
      <c r="A130" s="2">
        <v>15</v>
      </c>
      <c r="B130" s="2">
        <v>8650</v>
      </c>
      <c r="C130" s="60" t="s">
        <v>9131</v>
      </c>
      <c r="D130" s="1"/>
      <c r="E130" s="227">
        <v>611</v>
      </c>
      <c r="F130" s="70" t="s">
        <v>0</v>
      </c>
      <c r="G130" s="106" t="s">
        <v>17077</v>
      </c>
      <c r="H130" s="57" t="s">
        <v>1</v>
      </c>
      <c r="I130" s="58">
        <v>0.9</v>
      </c>
      <c r="J130" s="83" t="s">
        <v>5895</v>
      </c>
      <c r="K130" s="64" t="s">
        <v>1</v>
      </c>
      <c r="L130" s="65">
        <v>1</v>
      </c>
      <c r="M130" s="99"/>
      <c r="N130" s="70"/>
      <c r="O130" s="66"/>
      <c r="P130" s="57"/>
      <c r="Q130" s="58"/>
      <c r="R130" s="77"/>
      <c r="S130" s="67"/>
      <c r="T130" s="68"/>
      <c r="U130" s="76"/>
      <c r="V130" s="70"/>
      <c r="W130" s="228">
        <f>ROUND((ROUND((ROUND((_15_同援日３．０*_15・基礎２),0)*_15・２人),0)*(1+_15・A深夜)),0)</f>
        <v>825</v>
      </c>
      <c r="X130" s="69"/>
    </row>
    <row r="131" spans="1:24" ht="16.5" customHeight="1" x14ac:dyDescent="0.3">
      <c r="A131" s="2">
        <v>15</v>
      </c>
      <c r="B131" s="2">
        <v>8651</v>
      </c>
      <c r="C131" s="60" t="s">
        <v>9130</v>
      </c>
      <c r="D131" s="1"/>
      <c r="E131" s="68"/>
      <c r="F131" s="70"/>
      <c r="G131" s="61"/>
      <c r="H131" s="62"/>
      <c r="I131" s="63"/>
      <c r="J131" s="85"/>
      <c r="K131" s="64"/>
      <c r="L131" s="65"/>
      <c r="M131" s="99"/>
      <c r="N131" s="70"/>
      <c r="O131" s="74" t="s">
        <v>17969</v>
      </c>
      <c r="P131" s="62"/>
      <c r="Q131" s="63"/>
      <c r="R131" s="75"/>
      <c r="S131" s="67"/>
      <c r="T131" s="68"/>
      <c r="U131" s="76"/>
      <c r="V131" s="70"/>
      <c r="W131" s="228">
        <f>ROUND((ROUND((_15_同援日３．０*(1+_15・A深夜)),0)*(1+_15・盲ろう)),0)</f>
        <v>1146</v>
      </c>
      <c r="X131" s="69"/>
    </row>
    <row r="132" spans="1:24" ht="16.5" customHeight="1" x14ac:dyDescent="0.3">
      <c r="A132" s="2">
        <v>15</v>
      </c>
      <c r="B132" s="2">
        <v>8652</v>
      </c>
      <c r="C132" s="60" t="s">
        <v>9129</v>
      </c>
      <c r="D132" s="1"/>
      <c r="E132" s="68"/>
      <c r="F132" s="70"/>
      <c r="G132" s="66"/>
      <c r="H132" s="57"/>
      <c r="I132" s="58"/>
      <c r="J132" s="83" t="s">
        <v>5895</v>
      </c>
      <c r="K132" s="64" t="s">
        <v>1</v>
      </c>
      <c r="L132" s="65">
        <v>1</v>
      </c>
      <c r="M132" s="99"/>
      <c r="N132" s="70"/>
      <c r="O132" s="94" t="s">
        <v>18004</v>
      </c>
      <c r="P132" s="68"/>
      <c r="Q132" s="76"/>
      <c r="R132" s="70"/>
      <c r="S132" s="67"/>
      <c r="T132" s="68"/>
      <c r="U132" s="76"/>
      <c r="V132" s="70"/>
      <c r="W132" s="228">
        <f>ROUND((ROUND((ROUND((_15_同援日３．０*_15・２人),0)*(1+_15・A深夜)),0)*(1+_15・盲ろう)),0)</f>
        <v>1146</v>
      </c>
      <c r="X132" s="69"/>
    </row>
    <row r="133" spans="1:24" ht="16.5" customHeight="1" x14ac:dyDescent="0.3">
      <c r="A133" s="2">
        <v>15</v>
      </c>
      <c r="B133" s="2">
        <v>8653</v>
      </c>
      <c r="C133" s="60" t="s">
        <v>9128</v>
      </c>
      <c r="D133" s="1"/>
      <c r="E133" s="68"/>
      <c r="F133" s="70"/>
      <c r="G133" s="74" t="s">
        <v>17078</v>
      </c>
      <c r="H133" s="62"/>
      <c r="I133" s="63"/>
      <c r="J133" s="85"/>
      <c r="K133" s="64"/>
      <c r="L133" s="65"/>
      <c r="M133" s="99"/>
      <c r="N133" s="70"/>
      <c r="O133" s="67"/>
      <c r="P133" s="68" t="s">
        <v>1</v>
      </c>
      <c r="Q133" s="76">
        <v>0.25</v>
      </c>
      <c r="R133" s="70" t="s">
        <v>422</v>
      </c>
      <c r="S133" s="67"/>
      <c r="T133" s="68"/>
      <c r="U133" s="76"/>
      <c r="V133" s="70"/>
      <c r="W133" s="228">
        <f>ROUND((ROUND((ROUND((_15_同援日３．０*_15・基礎２),0)*(1+_15・A深夜)),0)*(1+_15・盲ろう)),0)</f>
        <v>1031</v>
      </c>
      <c r="X133" s="69"/>
    </row>
    <row r="134" spans="1:24" ht="16.5" customHeight="1" x14ac:dyDescent="0.3">
      <c r="A134" s="2">
        <v>15</v>
      </c>
      <c r="B134" s="2">
        <v>8654</v>
      </c>
      <c r="C134" s="60" t="s">
        <v>9127</v>
      </c>
      <c r="D134" s="1"/>
      <c r="E134" s="68"/>
      <c r="F134" s="70"/>
      <c r="G134" s="106" t="s">
        <v>17077</v>
      </c>
      <c r="H134" s="57" t="s">
        <v>1</v>
      </c>
      <c r="I134" s="58">
        <v>0.9</v>
      </c>
      <c r="J134" s="83" t="s">
        <v>5895</v>
      </c>
      <c r="K134" s="64" t="s">
        <v>1</v>
      </c>
      <c r="L134" s="65">
        <v>1</v>
      </c>
      <c r="M134" s="99"/>
      <c r="N134" s="70"/>
      <c r="O134" s="66"/>
      <c r="P134" s="57"/>
      <c r="Q134" s="58"/>
      <c r="R134" s="77"/>
      <c r="S134" s="66"/>
      <c r="T134" s="57"/>
      <c r="U134" s="58"/>
      <c r="V134" s="77"/>
      <c r="W134" s="228">
        <f>ROUND((ROUND((ROUND((ROUND((_15_同援日３．０*_15・基礎２),0)*_15・２人),0)*(1+_15・A深夜)),0)*(1+_15・盲ろう)),0)</f>
        <v>1031</v>
      </c>
      <c r="X134" s="69"/>
    </row>
    <row r="135" spans="1:24" ht="16.5" customHeight="1" x14ac:dyDescent="0.3">
      <c r="A135" s="2">
        <v>15</v>
      </c>
      <c r="B135" s="2">
        <v>8655</v>
      </c>
      <c r="C135" s="60" t="s">
        <v>9126</v>
      </c>
      <c r="D135" s="1"/>
      <c r="E135" s="68"/>
      <c r="F135" s="70"/>
      <c r="G135" s="61"/>
      <c r="H135" s="62"/>
      <c r="I135" s="63"/>
      <c r="J135" s="85"/>
      <c r="K135" s="64"/>
      <c r="L135" s="65"/>
      <c r="M135" s="99"/>
      <c r="N135" s="70"/>
      <c r="O135" s="61"/>
      <c r="P135" s="62"/>
      <c r="Q135" s="63"/>
      <c r="R135" s="75"/>
      <c r="S135" s="61"/>
      <c r="T135" s="62"/>
      <c r="U135" s="63"/>
      <c r="V135" s="75"/>
      <c r="W135" s="228">
        <f>ROUND((ROUND((_15_同援日３．０*(1+_15・A深夜)),0)*(1+_15・区３)),0)</f>
        <v>1100</v>
      </c>
      <c r="X135" s="69"/>
    </row>
    <row r="136" spans="1:24" ht="16.5" customHeight="1" x14ac:dyDescent="0.3">
      <c r="A136" s="2">
        <v>15</v>
      </c>
      <c r="B136" s="2">
        <v>8656</v>
      </c>
      <c r="C136" s="60" t="s">
        <v>9125</v>
      </c>
      <c r="D136" s="1"/>
      <c r="E136" s="68"/>
      <c r="F136" s="70"/>
      <c r="G136" s="66"/>
      <c r="H136" s="57"/>
      <c r="I136" s="58"/>
      <c r="J136" s="83" t="s">
        <v>5895</v>
      </c>
      <c r="K136" s="64" t="s">
        <v>1</v>
      </c>
      <c r="L136" s="65">
        <v>1</v>
      </c>
      <c r="M136" s="99"/>
      <c r="N136" s="70"/>
      <c r="O136" s="67"/>
      <c r="P136" s="68"/>
      <c r="Q136" s="76"/>
      <c r="R136" s="70"/>
      <c r="S136" s="67"/>
      <c r="T136" s="68"/>
      <c r="U136" s="76"/>
      <c r="V136" s="70"/>
      <c r="W136" s="228">
        <f>ROUND((ROUND((ROUND((_15_同援日３．０*_15・２人),0)*(1+_15・A深夜)),0)*(1+_15・区３)),0)</f>
        <v>1100</v>
      </c>
      <c r="X136" s="69"/>
    </row>
    <row r="137" spans="1:24" ht="16.5" customHeight="1" x14ac:dyDescent="0.3">
      <c r="A137" s="2">
        <v>15</v>
      </c>
      <c r="B137" s="2">
        <v>8657</v>
      </c>
      <c r="C137" s="60" t="s">
        <v>9124</v>
      </c>
      <c r="D137" s="1"/>
      <c r="E137" s="68"/>
      <c r="F137" s="70"/>
      <c r="G137" s="74" t="s">
        <v>17078</v>
      </c>
      <c r="H137" s="62"/>
      <c r="I137" s="63"/>
      <c r="J137" s="85"/>
      <c r="K137" s="64"/>
      <c r="L137" s="65"/>
      <c r="M137" s="99"/>
      <c r="N137" s="70"/>
      <c r="O137" s="67"/>
      <c r="P137" s="68"/>
      <c r="Q137" s="76"/>
      <c r="R137" s="70"/>
      <c r="S137" s="1" t="s">
        <v>17974</v>
      </c>
      <c r="T137" s="68"/>
      <c r="U137" s="76"/>
      <c r="V137" s="70"/>
      <c r="W137" s="228">
        <f>ROUND((ROUND((ROUND((_15_同援日３．０*_15・基礎２),0)*(1+_15・A深夜)),0)*(1+_15・区３)),0)</f>
        <v>990</v>
      </c>
      <c r="X137" s="69"/>
    </row>
    <row r="138" spans="1:24" ht="16.5" customHeight="1" x14ac:dyDescent="0.3">
      <c r="A138" s="2">
        <v>15</v>
      </c>
      <c r="B138" s="2">
        <v>8658</v>
      </c>
      <c r="C138" s="60" t="s">
        <v>9123</v>
      </c>
      <c r="D138" s="1"/>
      <c r="E138" s="68"/>
      <c r="F138" s="70"/>
      <c r="G138" s="106" t="s">
        <v>17077</v>
      </c>
      <c r="H138" s="57" t="s">
        <v>1</v>
      </c>
      <c r="I138" s="58">
        <v>0.9</v>
      </c>
      <c r="J138" s="83" t="s">
        <v>5895</v>
      </c>
      <c r="K138" s="64" t="s">
        <v>1</v>
      </c>
      <c r="L138" s="65">
        <v>1</v>
      </c>
      <c r="M138" s="99"/>
      <c r="N138" s="70"/>
      <c r="O138" s="66"/>
      <c r="P138" s="57"/>
      <c r="Q138" s="58"/>
      <c r="R138" s="77"/>
      <c r="S138" s="1" t="s">
        <v>18006</v>
      </c>
      <c r="T138" s="68"/>
      <c r="U138" s="76"/>
      <c r="V138" s="70"/>
      <c r="W138" s="228">
        <f>ROUND((ROUND((ROUND((ROUND((_15_同援日３．０*_15・基礎２),0)*_15・２人),0)*(1+_15・A深夜)),0)*(1+_15・区３)),0)</f>
        <v>990</v>
      </c>
      <c r="X138" s="69"/>
    </row>
    <row r="139" spans="1:24" ht="16.5" customHeight="1" x14ac:dyDescent="0.3">
      <c r="A139" s="2">
        <v>15</v>
      </c>
      <c r="B139" s="2">
        <v>8659</v>
      </c>
      <c r="C139" s="60" t="s">
        <v>9122</v>
      </c>
      <c r="D139" s="1"/>
      <c r="E139" s="68"/>
      <c r="F139" s="70"/>
      <c r="G139" s="61"/>
      <c r="H139" s="62"/>
      <c r="I139" s="63"/>
      <c r="J139" s="85"/>
      <c r="K139" s="64"/>
      <c r="L139" s="65"/>
      <c r="M139" s="99"/>
      <c r="N139" s="70"/>
      <c r="O139" s="74" t="s">
        <v>8085</v>
      </c>
      <c r="P139" s="62"/>
      <c r="Q139" s="63"/>
      <c r="R139" s="75"/>
      <c r="S139" s="67"/>
      <c r="T139" s="68" t="s">
        <v>1</v>
      </c>
      <c r="U139" s="76">
        <v>0.2</v>
      </c>
      <c r="V139" s="70" t="s">
        <v>422</v>
      </c>
      <c r="W139" s="228">
        <f>ROUND((ROUND((ROUND((_15_同援日３．０*(1+_15・A深夜)),0)*(1+_15・盲ろう)),0)*(1+_15・区３)),0)</f>
        <v>1375</v>
      </c>
      <c r="X139" s="69"/>
    </row>
    <row r="140" spans="1:24" ht="16.5" customHeight="1" x14ac:dyDescent="0.3">
      <c r="A140" s="2">
        <v>15</v>
      </c>
      <c r="B140" s="2">
        <v>8660</v>
      </c>
      <c r="C140" s="60" t="s">
        <v>9121</v>
      </c>
      <c r="D140" s="1"/>
      <c r="E140" s="68"/>
      <c r="F140" s="70"/>
      <c r="G140" s="66"/>
      <c r="H140" s="57"/>
      <c r="I140" s="58"/>
      <c r="J140" s="83" t="s">
        <v>5895</v>
      </c>
      <c r="K140" s="64" t="s">
        <v>1</v>
      </c>
      <c r="L140" s="65">
        <v>1</v>
      </c>
      <c r="M140" s="99"/>
      <c r="N140" s="70"/>
      <c r="O140" s="94" t="s">
        <v>18004</v>
      </c>
      <c r="P140" s="68"/>
      <c r="Q140" s="76"/>
      <c r="R140" s="70"/>
      <c r="S140" s="67"/>
      <c r="T140" s="68"/>
      <c r="U140" s="76"/>
      <c r="V140" s="70"/>
      <c r="W140" s="228">
        <f>ROUND((ROUND((ROUND((ROUND((_15_同援日３．０*_15・２人),0)*(1+_15・A深夜)),0)*(1+_15・盲ろう)),0)*(1+_15・区３)),0)</f>
        <v>1375</v>
      </c>
      <c r="X140" s="69"/>
    </row>
    <row r="141" spans="1:24" ht="16.5" customHeight="1" x14ac:dyDescent="0.3">
      <c r="A141" s="2">
        <v>15</v>
      </c>
      <c r="B141" s="2">
        <v>8661</v>
      </c>
      <c r="C141" s="60" t="s">
        <v>9120</v>
      </c>
      <c r="D141" s="1"/>
      <c r="E141" s="68"/>
      <c r="F141" s="70"/>
      <c r="G141" s="74" t="s">
        <v>17078</v>
      </c>
      <c r="H141" s="62"/>
      <c r="I141" s="63"/>
      <c r="J141" s="85"/>
      <c r="K141" s="64"/>
      <c r="L141" s="65"/>
      <c r="M141" s="99"/>
      <c r="N141" s="70"/>
      <c r="O141" s="67"/>
      <c r="P141" s="68" t="s">
        <v>1</v>
      </c>
      <c r="Q141" s="76">
        <v>0.25</v>
      </c>
      <c r="R141" s="70" t="s">
        <v>422</v>
      </c>
      <c r="S141" s="67"/>
      <c r="T141" s="68"/>
      <c r="U141" s="76"/>
      <c r="V141" s="70"/>
      <c r="W141" s="228">
        <f>ROUND((ROUND((ROUND((ROUND((_15_同援日３．０*_15・基礎２),0)*(1+_15・A深夜)),0)*(1+_15・盲ろう)),0)*(1+_15・区３)),0)</f>
        <v>1237</v>
      </c>
      <c r="X141" s="69"/>
    </row>
    <row r="142" spans="1:24" ht="16.5" customHeight="1" x14ac:dyDescent="0.3">
      <c r="A142" s="2">
        <v>15</v>
      </c>
      <c r="B142" s="2">
        <v>8662</v>
      </c>
      <c r="C142" s="60" t="s">
        <v>9119</v>
      </c>
      <c r="D142" s="1"/>
      <c r="E142" s="68"/>
      <c r="F142" s="70"/>
      <c r="G142" s="106" t="s">
        <v>17077</v>
      </c>
      <c r="H142" s="57" t="s">
        <v>1</v>
      </c>
      <c r="I142" s="58">
        <v>0.9</v>
      </c>
      <c r="J142" s="83" t="s">
        <v>5895</v>
      </c>
      <c r="K142" s="64" t="s">
        <v>1</v>
      </c>
      <c r="L142" s="65">
        <v>1</v>
      </c>
      <c r="M142" s="99"/>
      <c r="N142" s="70"/>
      <c r="O142" s="66"/>
      <c r="P142" s="57"/>
      <c r="Q142" s="58"/>
      <c r="R142" s="77"/>
      <c r="S142" s="66"/>
      <c r="T142" s="57"/>
      <c r="U142" s="58"/>
      <c r="V142" s="77"/>
      <c r="W142" s="228">
        <f>ROUND((ROUND((ROUND((ROUND((ROUND((_15_同援日３．０*_15・基礎２),0)*_15・２人),0)*(1+_15・A深夜)),0)*(1+_15・盲ろう)),0)*(1+_15・区３)),0)</f>
        <v>1237</v>
      </c>
      <c r="X142" s="69"/>
    </row>
    <row r="143" spans="1:24" ht="16.5" customHeight="1" x14ac:dyDescent="0.3">
      <c r="A143" s="2">
        <v>15</v>
      </c>
      <c r="B143" s="2">
        <v>8663</v>
      </c>
      <c r="C143" s="60" t="s">
        <v>9118</v>
      </c>
      <c r="D143" s="1"/>
      <c r="E143" s="68"/>
      <c r="F143" s="70"/>
      <c r="G143" s="61"/>
      <c r="H143" s="62"/>
      <c r="I143" s="63"/>
      <c r="J143" s="85"/>
      <c r="K143" s="64"/>
      <c r="L143" s="65"/>
      <c r="M143" s="99"/>
      <c r="N143" s="70"/>
      <c r="O143" s="61"/>
      <c r="P143" s="62"/>
      <c r="Q143" s="63"/>
      <c r="R143" s="75"/>
      <c r="S143" s="61"/>
      <c r="T143" s="62"/>
      <c r="U143" s="63"/>
      <c r="V143" s="75"/>
      <c r="W143" s="228">
        <f>ROUND((ROUND((_15_同援日３．０*(1+_15・A深夜)),0)*(1+_15・区４)),0)</f>
        <v>1284</v>
      </c>
      <c r="X143" s="69"/>
    </row>
    <row r="144" spans="1:24" ht="16.5" customHeight="1" x14ac:dyDescent="0.3">
      <c r="A144" s="2">
        <v>15</v>
      </c>
      <c r="B144" s="2">
        <v>8664</v>
      </c>
      <c r="C144" s="60" t="s">
        <v>9117</v>
      </c>
      <c r="D144" s="1"/>
      <c r="E144" s="68"/>
      <c r="F144" s="70"/>
      <c r="G144" s="66"/>
      <c r="H144" s="57"/>
      <c r="I144" s="58"/>
      <c r="J144" s="83" t="s">
        <v>5895</v>
      </c>
      <c r="K144" s="64" t="s">
        <v>1</v>
      </c>
      <c r="L144" s="65">
        <v>1</v>
      </c>
      <c r="M144" s="99"/>
      <c r="N144" s="70"/>
      <c r="O144" s="67"/>
      <c r="P144" s="68"/>
      <c r="Q144" s="76"/>
      <c r="R144" s="70"/>
      <c r="S144" s="67"/>
      <c r="T144" s="68"/>
      <c r="U144" s="76"/>
      <c r="V144" s="70"/>
      <c r="W144" s="228">
        <f>ROUND((ROUND((ROUND((_15_同援日３．０*_15・２人),0)*(1+_15・A深夜)),0)*(1+_15・区４)),0)</f>
        <v>1284</v>
      </c>
      <c r="X144" s="69"/>
    </row>
    <row r="145" spans="1:24" ht="16.5" customHeight="1" x14ac:dyDescent="0.3">
      <c r="A145" s="2">
        <v>15</v>
      </c>
      <c r="B145" s="2">
        <v>8665</v>
      </c>
      <c r="C145" s="60" t="s">
        <v>9116</v>
      </c>
      <c r="D145" s="1"/>
      <c r="E145" s="68"/>
      <c r="F145" s="70"/>
      <c r="G145" s="74" t="s">
        <v>16823</v>
      </c>
      <c r="H145" s="62"/>
      <c r="I145" s="63"/>
      <c r="J145" s="85"/>
      <c r="K145" s="64"/>
      <c r="L145" s="65"/>
      <c r="M145" s="99"/>
      <c r="N145" s="70"/>
      <c r="O145" s="67"/>
      <c r="P145" s="68"/>
      <c r="Q145" s="76"/>
      <c r="R145" s="70"/>
      <c r="S145" s="1" t="s">
        <v>18009</v>
      </c>
      <c r="T145" s="68"/>
      <c r="U145" s="76"/>
      <c r="V145" s="70"/>
      <c r="W145" s="228">
        <f>ROUND((ROUND((ROUND((_15_同援日３．０*_15・基礎２),0)*(1+_15・A深夜)),0)*(1+_15・区４)),0)</f>
        <v>1155</v>
      </c>
      <c r="X145" s="69"/>
    </row>
    <row r="146" spans="1:24" ht="16.5" customHeight="1" x14ac:dyDescent="0.3">
      <c r="A146" s="2">
        <v>15</v>
      </c>
      <c r="B146" s="2">
        <v>8666</v>
      </c>
      <c r="C146" s="60" t="s">
        <v>9115</v>
      </c>
      <c r="D146" s="1"/>
      <c r="E146" s="68"/>
      <c r="F146" s="70"/>
      <c r="G146" s="106" t="s">
        <v>17077</v>
      </c>
      <c r="H146" s="57" t="s">
        <v>1</v>
      </c>
      <c r="I146" s="58">
        <v>0.9</v>
      </c>
      <c r="J146" s="83" t="s">
        <v>5895</v>
      </c>
      <c r="K146" s="64" t="s">
        <v>1</v>
      </c>
      <c r="L146" s="65">
        <v>1</v>
      </c>
      <c r="M146" s="99"/>
      <c r="N146" s="70"/>
      <c r="O146" s="66"/>
      <c r="P146" s="57"/>
      <c r="Q146" s="58"/>
      <c r="R146" s="77"/>
      <c r="S146" s="1" t="s">
        <v>17970</v>
      </c>
      <c r="T146" s="68"/>
      <c r="U146" s="76"/>
      <c r="V146" s="70"/>
      <c r="W146" s="228">
        <f>ROUND((ROUND((ROUND((ROUND((_15_同援日３．０*_15・基礎２),0)*_15・２人),0)*(1+_15・A深夜)),0)*(1+_15・区４)),0)</f>
        <v>1155</v>
      </c>
      <c r="X146" s="69"/>
    </row>
    <row r="147" spans="1:24" ht="16.5" customHeight="1" x14ac:dyDescent="0.3">
      <c r="A147" s="2">
        <v>15</v>
      </c>
      <c r="B147" s="2">
        <v>8667</v>
      </c>
      <c r="C147" s="60" t="s">
        <v>9114</v>
      </c>
      <c r="D147" s="1"/>
      <c r="E147" s="68"/>
      <c r="F147" s="70"/>
      <c r="G147" s="61"/>
      <c r="H147" s="62"/>
      <c r="I147" s="63"/>
      <c r="J147" s="85"/>
      <c r="K147" s="64"/>
      <c r="L147" s="65"/>
      <c r="M147" s="99"/>
      <c r="N147" s="70"/>
      <c r="O147" s="74" t="s">
        <v>18005</v>
      </c>
      <c r="P147" s="62"/>
      <c r="Q147" s="63"/>
      <c r="R147" s="75"/>
      <c r="S147" s="67"/>
      <c r="T147" s="68" t="s">
        <v>1</v>
      </c>
      <c r="U147" s="76">
        <v>0.4</v>
      </c>
      <c r="V147" s="70" t="s">
        <v>422</v>
      </c>
      <c r="W147" s="228">
        <f>ROUND((ROUND((ROUND((_15_同援日３．０*(1+_15・A深夜)),0)*(1+_15・盲ろう)),0)*(1+_15・区４)),0)</f>
        <v>1604</v>
      </c>
      <c r="X147" s="69"/>
    </row>
    <row r="148" spans="1:24" ht="16.5" customHeight="1" x14ac:dyDescent="0.3">
      <c r="A148" s="2">
        <v>15</v>
      </c>
      <c r="B148" s="2">
        <v>8668</v>
      </c>
      <c r="C148" s="60" t="s">
        <v>9113</v>
      </c>
      <c r="D148" s="1"/>
      <c r="E148" s="68"/>
      <c r="F148" s="70"/>
      <c r="G148" s="66"/>
      <c r="H148" s="57"/>
      <c r="I148" s="58"/>
      <c r="J148" s="83" t="s">
        <v>5895</v>
      </c>
      <c r="K148" s="64" t="s">
        <v>1</v>
      </c>
      <c r="L148" s="65">
        <v>1</v>
      </c>
      <c r="M148" s="99"/>
      <c r="N148" s="70"/>
      <c r="O148" s="94" t="s">
        <v>18004</v>
      </c>
      <c r="P148" s="68"/>
      <c r="Q148" s="76"/>
      <c r="R148" s="70"/>
      <c r="S148" s="67"/>
      <c r="T148" s="68"/>
      <c r="U148" s="76"/>
      <c r="V148" s="70"/>
      <c r="W148" s="228">
        <f>ROUND((ROUND((ROUND((ROUND((_15_同援日３．０*_15・２人),0)*(1+_15・A深夜)),0)*(1+_15・盲ろう)),0)*(1+_15・区４)),0)</f>
        <v>1604</v>
      </c>
      <c r="X148" s="69"/>
    </row>
    <row r="149" spans="1:24" ht="16.5" customHeight="1" x14ac:dyDescent="0.3">
      <c r="A149" s="2">
        <v>15</v>
      </c>
      <c r="B149" s="2">
        <v>8669</v>
      </c>
      <c r="C149" s="60" t="s">
        <v>9112</v>
      </c>
      <c r="D149" s="1"/>
      <c r="E149" s="68"/>
      <c r="F149" s="70"/>
      <c r="G149" s="74" t="s">
        <v>17078</v>
      </c>
      <c r="H149" s="62"/>
      <c r="I149" s="63"/>
      <c r="J149" s="85"/>
      <c r="K149" s="64"/>
      <c r="L149" s="65"/>
      <c r="M149" s="99"/>
      <c r="N149" s="70"/>
      <c r="O149" s="67"/>
      <c r="P149" s="68" t="s">
        <v>1</v>
      </c>
      <c r="Q149" s="76">
        <v>0.25</v>
      </c>
      <c r="R149" s="70" t="s">
        <v>422</v>
      </c>
      <c r="S149" s="67"/>
      <c r="T149" s="68"/>
      <c r="U149" s="76"/>
      <c r="V149" s="70"/>
      <c r="W149" s="228">
        <f>ROUND((ROUND((ROUND((ROUND((_15_同援日３．０*_15・基礎２),0)*(1+_15・A深夜)),0)*(1+_15・盲ろう)),0)*(1+_15・区４)),0)</f>
        <v>1443</v>
      </c>
      <c r="X149" s="69"/>
    </row>
    <row r="150" spans="1:24" ht="16.5" customHeight="1" x14ac:dyDescent="0.3">
      <c r="A150" s="2">
        <v>15</v>
      </c>
      <c r="B150" s="2">
        <v>8670</v>
      </c>
      <c r="C150" s="60" t="s">
        <v>9111</v>
      </c>
      <c r="D150" s="81"/>
      <c r="E150" s="57"/>
      <c r="F150" s="77"/>
      <c r="G150" s="106" t="s">
        <v>17077</v>
      </c>
      <c r="H150" s="57" t="s">
        <v>1</v>
      </c>
      <c r="I150" s="58">
        <v>0.9</v>
      </c>
      <c r="J150" s="83" t="s">
        <v>5895</v>
      </c>
      <c r="K150" s="64" t="s">
        <v>1</v>
      </c>
      <c r="L150" s="65">
        <v>1</v>
      </c>
      <c r="M150" s="99"/>
      <c r="N150" s="70"/>
      <c r="O150" s="66"/>
      <c r="P150" s="57"/>
      <c r="Q150" s="58"/>
      <c r="R150" s="77"/>
      <c r="S150" s="66"/>
      <c r="T150" s="57"/>
      <c r="U150" s="58"/>
      <c r="V150" s="77"/>
      <c r="W150" s="228">
        <f>ROUND((ROUND((ROUND((ROUND((ROUND((_15_同援日３．０*_15・基礎２),0)*_15・２人),0)*(1+_15・A深夜)),0)*(1+_15・盲ろう)),0)*(1+_15・区４)),0)</f>
        <v>1443</v>
      </c>
      <c r="X150" s="69"/>
    </row>
    <row r="151" spans="1:24" ht="16.5" customHeight="1" x14ac:dyDescent="0.3">
      <c r="A151" s="2">
        <v>15</v>
      </c>
      <c r="B151" s="2">
        <v>8671</v>
      </c>
      <c r="C151" s="60" t="s">
        <v>9110</v>
      </c>
      <c r="D151" s="233" t="s">
        <v>18016</v>
      </c>
      <c r="E151" s="62"/>
      <c r="F151" s="75"/>
      <c r="G151" s="61"/>
      <c r="H151" s="62"/>
      <c r="I151" s="63"/>
      <c r="J151" s="85"/>
      <c r="K151" s="64"/>
      <c r="L151" s="65"/>
      <c r="M151" s="99"/>
      <c r="N151" s="70"/>
      <c r="O151" s="61"/>
      <c r="P151" s="62"/>
      <c r="Q151" s="63"/>
      <c r="R151" s="75"/>
      <c r="S151" s="61"/>
      <c r="T151" s="62"/>
      <c r="U151" s="63"/>
      <c r="V151" s="75"/>
      <c r="W151" s="228">
        <f>ROUND((_15_同援日３．５*(1+_15・A深夜)),0)</f>
        <v>1011</v>
      </c>
      <c r="X151" s="69"/>
    </row>
    <row r="152" spans="1:24" ht="16.5" customHeight="1" x14ac:dyDescent="0.3">
      <c r="A152" s="2">
        <v>15</v>
      </c>
      <c r="B152" s="2">
        <v>8672</v>
      </c>
      <c r="C152" s="60" t="s">
        <v>9109</v>
      </c>
      <c r="D152" s="1" t="s">
        <v>17242</v>
      </c>
      <c r="E152" s="68"/>
      <c r="F152" s="70"/>
      <c r="G152" s="66"/>
      <c r="H152" s="57"/>
      <c r="I152" s="58"/>
      <c r="J152" s="83" t="s">
        <v>5895</v>
      </c>
      <c r="K152" s="64" t="s">
        <v>1</v>
      </c>
      <c r="L152" s="65">
        <v>1</v>
      </c>
      <c r="M152" s="99"/>
      <c r="N152" s="70"/>
      <c r="O152" s="67"/>
      <c r="P152" s="68"/>
      <c r="Q152" s="76"/>
      <c r="R152" s="70"/>
      <c r="S152" s="67"/>
      <c r="T152" s="68"/>
      <c r="U152" s="76"/>
      <c r="V152" s="70"/>
      <c r="W152" s="228">
        <f>ROUND((ROUND((_15_同援日３．５*_15・２人),0)*(1+_15・A深夜)),0)</f>
        <v>1011</v>
      </c>
      <c r="X152" s="69"/>
    </row>
    <row r="153" spans="1:24" ht="16.5" customHeight="1" x14ac:dyDescent="0.3">
      <c r="A153" s="2">
        <v>15</v>
      </c>
      <c r="B153" s="2">
        <v>8673</v>
      </c>
      <c r="C153" s="60" t="s">
        <v>9108</v>
      </c>
      <c r="D153" s="1" t="s">
        <v>8450</v>
      </c>
      <c r="E153" s="68"/>
      <c r="F153" s="70"/>
      <c r="G153" s="74" t="s">
        <v>17078</v>
      </c>
      <c r="H153" s="62"/>
      <c r="I153" s="63"/>
      <c r="J153" s="85"/>
      <c r="K153" s="64"/>
      <c r="L153" s="65"/>
      <c r="M153" s="99"/>
      <c r="N153" s="70"/>
      <c r="O153" s="67"/>
      <c r="P153" s="68"/>
      <c r="Q153" s="76"/>
      <c r="R153" s="70"/>
      <c r="S153" s="67"/>
      <c r="T153" s="68"/>
      <c r="U153" s="76"/>
      <c r="V153" s="70"/>
      <c r="W153" s="228">
        <f>ROUND((ROUND((_15_同援日３．５*_15・基礎２),0)*(1+_15・A深夜)),0)</f>
        <v>911</v>
      </c>
      <c r="X153" s="69"/>
    </row>
    <row r="154" spans="1:24" ht="16.5" customHeight="1" x14ac:dyDescent="0.3">
      <c r="A154" s="2">
        <v>15</v>
      </c>
      <c r="B154" s="2">
        <v>8674</v>
      </c>
      <c r="C154" s="60" t="s">
        <v>9107</v>
      </c>
      <c r="D154" s="1"/>
      <c r="E154" s="227">
        <v>674</v>
      </c>
      <c r="F154" s="70" t="s">
        <v>0</v>
      </c>
      <c r="G154" s="106" t="s">
        <v>16812</v>
      </c>
      <c r="H154" s="57" t="s">
        <v>1</v>
      </c>
      <c r="I154" s="58">
        <v>0.9</v>
      </c>
      <c r="J154" s="83" t="s">
        <v>5895</v>
      </c>
      <c r="K154" s="64" t="s">
        <v>1</v>
      </c>
      <c r="L154" s="65">
        <v>1</v>
      </c>
      <c r="M154" s="99"/>
      <c r="N154" s="70"/>
      <c r="O154" s="66"/>
      <c r="P154" s="57"/>
      <c r="Q154" s="58"/>
      <c r="R154" s="77"/>
      <c r="S154" s="67"/>
      <c r="T154" s="68"/>
      <c r="U154" s="76"/>
      <c r="V154" s="70"/>
      <c r="W154" s="228">
        <f>ROUND((ROUND((ROUND((_15_同援日３．５*_15・基礎２),0)*_15・２人),0)*(1+_15・A深夜)),0)</f>
        <v>911</v>
      </c>
      <c r="X154" s="69"/>
    </row>
    <row r="155" spans="1:24" ht="16.5" customHeight="1" x14ac:dyDescent="0.3">
      <c r="A155" s="2">
        <v>15</v>
      </c>
      <c r="B155" s="2">
        <v>8675</v>
      </c>
      <c r="C155" s="60" t="s">
        <v>9106</v>
      </c>
      <c r="D155" s="1"/>
      <c r="E155" s="68"/>
      <c r="F155" s="70"/>
      <c r="G155" s="61"/>
      <c r="H155" s="62"/>
      <c r="I155" s="63"/>
      <c r="J155" s="85"/>
      <c r="K155" s="64"/>
      <c r="L155" s="65"/>
      <c r="M155" s="99"/>
      <c r="N155" s="70"/>
      <c r="O155" s="74" t="s">
        <v>18005</v>
      </c>
      <c r="P155" s="62"/>
      <c r="Q155" s="63"/>
      <c r="R155" s="75"/>
      <c r="S155" s="67"/>
      <c r="T155" s="68"/>
      <c r="U155" s="76"/>
      <c r="V155" s="70"/>
      <c r="W155" s="228">
        <f>ROUND((ROUND((_15_同援日３．５*(1+_15・A深夜)),0)*(1+_15・盲ろう)),0)</f>
        <v>1264</v>
      </c>
      <c r="X155" s="69"/>
    </row>
    <row r="156" spans="1:24" ht="16.5" customHeight="1" x14ac:dyDescent="0.3">
      <c r="A156" s="2">
        <v>15</v>
      </c>
      <c r="B156" s="2">
        <v>8676</v>
      </c>
      <c r="C156" s="60" t="s">
        <v>9105</v>
      </c>
      <c r="D156" s="1"/>
      <c r="E156" s="68"/>
      <c r="F156" s="70"/>
      <c r="G156" s="66"/>
      <c r="H156" s="57"/>
      <c r="I156" s="58"/>
      <c r="J156" s="83" t="s">
        <v>5895</v>
      </c>
      <c r="K156" s="64" t="s">
        <v>1</v>
      </c>
      <c r="L156" s="65">
        <v>1</v>
      </c>
      <c r="M156" s="99"/>
      <c r="N156" s="70"/>
      <c r="O156" s="94" t="s">
        <v>18004</v>
      </c>
      <c r="P156" s="68"/>
      <c r="Q156" s="76"/>
      <c r="R156" s="70"/>
      <c r="S156" s="67"/>
      <c r="T156" s="68"/>
      <c r="U156" s="76"/>
      <c r="V156" s="70"/>
      <c r="W156" s="228">
        <f>ROUND((ROUND((ROUND((_15_同援日３．５*_15・２人),0)*(1+_15・A深夜)),0)*(1+_15・盲ろう)),0)</f>
        <v>1264</v>
      </c>
      <c r="X156" s="69"/>
    </row>
    <row r="157" spans="1:24" ht="16.5" customHeight="1" x14ac:dyDescent="0.3">
      <c r="A157" s="2">
        <v>15</v>
      </c>
      <c r="B157" s="2">
        <v>8677</v>
      </c>
      <c r="C157" s="60" t="s">
        <v>9104</v>
      </c>
      <c r="D157" s="1"/>
      <c r="E157" s="68"/>
      <c r="F157" s="70"/>
      <c r="G157" s="74" t="s">
        <v>17078</v>
      </c>
      <c r="H157" s="62"/>
      <c r="I157" s="63"/>
      <c r="J157" s="85"/>
      <c r="K157" s="64"/>
      <c r="L157" s="65"/>
      <c r="M157" s="99"/>
      <c r="N157" s="70"/>
      <c r="O157" s="67"/>
      <c r="P157" s="68" t="s">
        <v>1</v>
      </c>
      <c r="Q157" s="76">
        <v>0.25</v>
      </c>
      <c r="R157" s="70" t="s">
        <v>422</v>
      </c>
      <c r="S157" s="67"/>
      <c r="T157" s="68"/>
      <c r="U157" s="76"/>
      <c r="V157" s="70"/>
      <c r="W157" s="228">
        <f>ROUND((ROUND((ROUND((_15_同援日３．５*_15・基礎２),0)*(1+_15・A深夜)),0)*(1+_15・盲ろう)),0)</f>
        <v>1139</v>
      </c>
      <c r="X157" s="69"/>
    </row>
    <row r="158" spans="1:24" ht="16.5" customHeight="1" x14ac:dyDescent="0.3">
      <c r="A158" s="2">
        <v>15</v>
      </c>
      <c r="B158" s="2">
        <v>8678</v>
      </c>
      <c r="C158" s="60" t="s">
        <v>9103</v>
      </c>
      <c r="D158" s="1"/>
      <c r="E158" s="68"/>
      <c r="F158" s="70"/>
      <c r="G158" s="106" t="s">
        <v>16812</v>
      </c>
      <c r="H158" s="57" t="s">
        <v>1</v>
      </c>
      <c r="I158" s="58">
        <v>0.9</v>
      </c>
      <c r="J158" s="83" t="s">
        <v>5895</v>
      </c>
      <c r="K158" s="64" t="s">
        <v>1</v>
      </c>
      <c r="L158" s="65">
        <v>1</v>
      </c>
      <c r="M158" s="99"/>
      <c r="N158" s="70"/>
      <c r="O158" s="66"/>
      <c r="P158" s="57"/>
      <c r="Q158" s="58"/>
      <c r="R158" s="77"/>
      <c r="S158" s="66"/>
      <c r="T158" s="57"/>
      <c r="U158" s="58"/>
      <c r="V158" s="77"/>
      <c r="W158" s="228">
        <f>ROUND((ROUND((ROUND((ROUND((_15_同援日３．５*_15・基礎２),0)*_15・２人),0)*(1+_15・A深夜)),0)*(1+_15・盲ろう)),0)</f>
        <v>1139</v>
      </c>
      <c r="X158" s="69"/>
    </row>
    <row r="159" spans="1:24" ht="16.5" customHeight="1" x14ac:dyDescent="0.3">
      <c r="A159" s="2">
        <v>15</v>
      </c>
      <c r="B159" s="2">
        <v>8679</v>
      </c>
      <c r="C159" s="60" t="s">
        <v>9102</v>
      </c>
      <c r="D159" s="1"/>
      <c r="E159" s="68"/>
      <c r="F159" s="70"/>
      <c r="G159" s="61"/>
      <c r="H159" s="62"/>
      <c r="I159" s="63"/>
      <c r="J159" s="85"/>
      <c r="K159" s="64"/>
      <c r="L159" s="65"/>
      <c r="M159" s="99"/>
      <c r="N159" s="70"/>
      <c r="O159" s="61"/>
      <c r="P159" s="62"/>
      <c r="Q159" s="63"/>
      <c r="R159" s="75"/>
      <c r="S159" s="61"/>
      <c r="T159" s="62"/>
      <c r="U159" s="63"/>
      <c r="V159" s="75"/>
      <c r="W159" s="228">
        <f>ROUND((ROUND((_15_同援日３．５*(1+_15・A深夜)),0)*(1+_15・区３)),0)</f>
        <v>1213</v>
      </c>
      <c r="X159" s="69"/>
    </row>
    <row r="160" spans="1:24" ht="16.5" customHeight="1" x14ac:dyDescent="0.3">
      <c r="A160" s="2">
        <v>15</v>
      </c>
      <c r="B160" s="2">
        <v>8680</v>
      </c>
      <c r="C160" s="60" t="s">
        <v>9101</v>
      </c>
      <c r="D160" s="1"/>
      <c r="E160" s="68"/>
      <c r="F160" s="70"/>
      <c r="G160" s="66"/>
      <c r="H160" s="57"/>
      <c r="I160" s="58"/>
      <c r="J160" s="83" t="s">
        <v>5895</v>
      </c>
      <c r="K160" s="64" t="s">
        <v>1</v>
      </c>
      <c r="L160" s="65">
        <v>1</v>
      </c>
      <c r="M160" s="99"/>
      <c r="N160" s="70"/>
      <c r="O160" s="67"/>
      <c r="P160" s="68"/>
      <c r="Q160" s="76"/>
      <c r="R160" s="70"/>
      <c r="S160" s="67"/>
      <c r="T160" s="68"/>
      <c r="U160" s="76"/>
      <c r="V160" s="70"/>
      <c r="W160" s="228">
        <f>ROUND((ROUND((ROUND((_15_同援日３．５*_15・２人),0)*(1+_15・A深夜)),0)*(1+_15・区３)),0)</f>
        <v>1213</v>
      </c>
      <c r="X160" s="69"/>
    </row>
    <row r="161" spans="1:24" ht="16.5" customHeight="1" x14ac:dyDescent="0.3">
      <c r="A161" s="2">
        <v>15</v>
      </c>
      <c r="B161" s="2">
        <v>8681</v>
      </c>
      <c r="C161" s="60" t="s">
        <v>9100</v>
      </c>
      <c r="D161" s="1"/>
      <c r="E161" s="68"/>
      <c r="F161" s="70"/>
      <c r="G161" s="74" t="s">
        <v>16823</v>
      </c>
      <c r="H161" s="62"/>
      <c r="I161" s="63"/>
      <c r="J161" s="85"/>
      <c r="K161" s="64"/>
      <c r="L161" s="65"/>
      <c r="M161" s="99"/>
      <c r="N161" s="70"/>
      <c r="O161" s="67"/>
      <c r="P161" s="68"/>
      <c r="Q161" s="76"/>
      <c r="R161" s="70"/>
      <c r="S161" s="1" t="s">
        <v>17974</v>
      </c>
      <c r="T161" s="68"/>
      <c r="U161" s="76"/>
      <c r="V161" s="70"/>
      <c r="W161" s="228">
        <f>ROUND((ROUND((ROUND((_15_同援日３．５*_15・基礎２),0)*(1+_15・A深夜)),0)*(1+_15・区３)),0)</f>
        <v>1093</v>
      </c>
      <c r="X161" s="69"/>
    </row>
    <row r="162" spans="1:24" ht="16.5" customHeight="1" x14ac:dyDescent="0.3">
      <c r="A162" s="2">
        <v>15</v>
      </c>
      <c r="B162" s="2">
        <v>8682</v>
      </c>
      <c r="C162" s="60" t="s">
        <v>9099</v>
      </c>
      <c r="D162" s="1"/>
      <c r="E162" s="68"/>
      <c r="F162" s="70"/>
      <c r="G162" s="106" t="s">
        <v>17077</v>
      </c>
      <c r="H162" s="57" t="s">
        <v>1</v>
      </c>
      <c r="I162" s="58">
        <v>0.9</v>
      </c>
      <c r="J162" s="83" t="s">
        <v>5895</v>
      </c>
      <c r="K162" s="64" t="s">
        <v>1</v>
      </c>
      <c r="L162" s="65">
        <v>1</v>
      </c>
      <c r="M162" s="99"/>
      <c r="N162" s="70"/>
      <c r="O162" s="66"/>
      <c r="P162" s="57"/>
      <c r="Q162" s="58"/>
      <c r="R162" s="77"/>
      <c r="S162" s="1" t="s">
        <v>18006</v>
      </c>
      <c r="T162" s="68"/>
      <c r="U162" s="76"/>
      <c r="V162" s="70"/>
      <c r="W162" s="228">
        <f>ROUND((ROUND((ROUND((ROUND((_15_同援日３．５*_15・基礎２),0)*_15・２人),0)*(1+_15・A深夜)),0)*(1+_15・区３)),0)</f>
        <v>1093</v>
      </c>
      <c r="X162" s="69"/>
    </row>
    <row r="163" spans="1:24" ht="16.5" customHeight="1" x14ac:dyDescent="0.3">
      <c r="A163" s="2">
        <v>15</v>
      </c>
      <c r="B163" s="2">
        <v>8683</v>
      </c>
      <c r="C163" s="60" t="s">
        <v>9098</v>
      </c>
      <c r="D163" s="1"/>
      <c r="E163" s="68"/>
      <c r="F163" s="70"/>
      <c r="G163" s="61"/>
      <c r="H163" s="62"/>
      <c r="I163" s="63"/>
      <c r="J163" s="85"/>
      <c r="K163" s="64"/>
      <c r="L163" s="65"/>
      <c r="M163" s="99"/>
      <c r="N163" s="70"/>
      <c r="O163" s="74" t="s">
        <v>18005</v>
      </c>
      <c r="P163" s="62"/>
      <c r="Q163" s="63"/>
      <c r="R163" s="75"/>
      <c r="S163" s="67"/>
      <c r="T163" s="68" t="s">
        <v>1</v>
      </c>
      <c r="U163" s="76">
        <v>0.2</v>
      </c>
      <c r="V163" s="70" t="s">
        <v>422</v>
      </c>
      <c r="W163" s="228">
        <f>ROUND((ROUND((ROUND((_15_同援日３．５*(1+_15・A深夜)),0)*(1+_15・盲ろう)),0)*(1+_15・区３)),0)</f>
        <v>1517</v>
      </c>
      <c r="X163" s="69"/>
    </row>
    <row r="164" spans="1:24" ht="16.5" customHeight="1" x14ac:dyDescent="0.3">
      <c r="A164" s="2">
        <v>15</v>
      </c>
      <c r="B164" s="2">
        <v>8684</v>
      </c>
      <c r="C164" s="60" t="s">
        <v>9097</v>
      </c>
      <c r="D164" s="1"/>
      <c r="E164" s="68"/>
      <c r="F164" s="70"/>
      <c r="G164" s="66"/>
      <c r="H164" s="57"/>
      <c r="I164" s="58"/>
      <c r="J164" s="83" t="s">
        <v>5895</v>
      </c>
      <c r="K164" s="64" t="s">
        <v>1</v>
      </c>
      <c r="L164" s="65">
        <v>1</v>
      </c>
      <c r="M164" s="99"/>
      <c r="N164" s="70"/>
      <c r="O164" s="94" t="s">
        <v>18004</v>
      </c>
      <c r="P164" s="68"/>
      <c r="Q164" s="76"/>
      <c r="R164" s="70"/>
      <c r="S164" s="67"/>
      <c r="T164" s="68"/>
      <c r="U164" s="76"/>
      <c r="V164" s="70"/>
      <c r="W164" s="228">
        <f>ROUND((ROUND((ROUND((ROUND((_15_同援日３．５*_15・２人),0)*(1+_15・A深夜)),0)*(1+_15・盲ろう)),0)*(1+_15・区３)),0)</f>
        <v>1517</v>
      </c>
      <c r="X164" s="69"/>
    </row>
    <row r="165" spans="1:24" ht="16.5" customHeight="1" x14ac:dyDescent="0.3">
      <c r="A165" s="2">
        <v>15</v>
      </c>
      <c r="B165" s="2">
        <v>8685</v>
      </c>
      <c r="C165" s="60" t="s">
        <v>9096</v>
      </c>
      <c r="D165" s="1"/>
      <c r="E165" s="68"/>
      <c r="F165" s="70"/>
      <c r="G165" s="74" t="s">
        <v>17078</v>
      </c>
      <c r="H165" s="62"/>
      <c r="I165" s="63"/>
      <c r="J165" s="85"/>
      <c r="K165" s="64"/>
      <c r="L165" s="65"/>
      <c r="M165" s="99"/>
      <c r="N165" s="70"/>
      <c r="O165" s="67"/>
      <c r="P165" s="68" t="s">
        <v>1</v>
      </c>
      <c r="Q165" s="76">
        <v>0.25</v>
      </c>
      <c r="R165" s="70" t="s">
        <v>422</v>
      </c>
      <c r="S165" s="67"/>
      <c r="T165" s="68"/>
      <c r="U165" s="76"/>
      <c r="V165" s="70"/>
      <c r="W165" s="228">
        <f>ROUND((ROUND((ROUND((ROUND((_15_同援日３．５*_15・基礎２),0)*(1+_15・A深夜)),0)*(1+_15・盲ろう)),0)*(1+_15・区３)),0)</f>
        <v>1367</v>
      </c>
      <c r="X165" s="69"/>
    </row>
    <row r="166" spans="1:24" ht="16.5" customHeight="1" x14ac:dyDescent="0.3">
      <c r="A166" s="2">
        <v>15</v>
      </c>
      <c r="B166" s="2">
        <v>8686</v>
      </c>
      <c r="C166" s="60" t="s">
        <v>9095</v>
      </c>
      <c r="D166" s="1"/>
      <c r="E166" s="68"/>
      <c r="F166" s="70"/>
      <c r="G166" s="106" t="s">
        <v>17077</v>
      </c>
      <c r="H166" s="57" t="s">
        <v>1</v>
      </c>
      <c r="I166" s="58">
        <v>0.9</v>
      </c>
      <c r="J166" s="83" t="s">
        <v>5895</v>
      </c>
      <c r="K166" s="64" t="s">
        <v>1</v>
      </c>
      <c r="L166" s="65">
        <v>1</v>
      </c>
      <c r="M166" s="99"/>
      <c r="N166" s="70"/>
      <c r="O166" s="66"/>
      <c r="P166" s="57"/>
      <c r="Q166" s="58"/>
      <c r="R166" s="77"/>
      <c r="S166" s="66"/>
      <c r="T166" s="57"/>
      <c r="U166" s="58"/>
      <c r="V166" s="77"/>
      <c r="W166" s="228">
        <f>ROUND((ROUND((ROUND((ROUND((ROUND((_15_同援日３．５*_15・基礎２),0)*_15・２人),0)*(1+_15・A深夜)),0)*(1+_15・盲ろう)),0)*(1+_15・区３)),0)</f>
        <v>1367</v>
      </c>
      <c r="X166" s="69"/>
    </row>
    <row r="167" spans="1:24" ht="16.5" customHeight="1" x14ac:dyDescent="0.3">
      <c r="A167" s="2">
        <v>15</v>
      </c>
      <c r="B167" s="2">
        <v>8687</v>
      </c>
      <c r="C167" s="60" t="s">
        <v>9094</v>
      </c>
      <c r="D167" s="1"/>
      <c r="E167" s="68"/>
      <c r="F167" s="70"/>
      <c r="G167" s="61"/>
      <c r="H167" s="62"/>
      <c r="I167" s="63"/>
      <c r="J167" s="85"/>
      <c r="K167" s="64"/>
      <c r="L167" s="65"/>
      <c r="M167" s="99"/>
      <c r="N167" s="70"/>
      <c r="O167" s="61"/>
      <c r="P167" s="62"/>
      <c r="Q167" s="63"/>
      <c r="R167" s="75"/>
      <c r="S167" s="61"/>
      <c r="T167" s="62"/>
      <c r="U167" s="63"/>
      <c r="V167" s="75"/>
      <c r="W167" s="228">
        <f>ROUND((ROUND((_15_同援日３．５*(1+_15・A深夜)),0)*(1+_15・区４)),0)</f>
        <v>1415</v>
      </c>
      <c r="X167" s="69"/>
    </row>
    <row r="168" spans="1:24" ht="16.5" customHeight="1" x14ac:dyDescent="0.3">
      <c r="A168" s="2">
        <v>15</v>
      </c>
      <c r="B168" s="2">
        <v>8688</v>
      </c>
      <c r="C168" s="60" t="s">
        <v>9093</v>
      </c>
      <c r="D168" s="1"/>
      <c r="E168" s="68"/>
      <c r="F168" s="70"/>
      <c r="G168" s="66"/>
      <c r="H168" s="57"/>
      <c r="I168" s="58"/>
      <c r="J168" s="83" t="s">
        <v>5895</v>
      </c>
      <c r="K168" s="64" t="s">
        <v>1</v>
      </c>
      <c r="L168" s="65">
        <v>1</v>
      </c>
      <c r="M168" s="99"/>
      <c r="N168" s="70"/>
      <c r="O168" s="67"/>
      <c r="P168" s="68"/>
      <c r="Q168" s="76"/>
      <c r="R168" s="70"/>
      <c r="S168" s="67"/>
      <c r="T168" s="68"/>
      <c r="U168" s="76"/>
      <c r="V168" s="70"/>
      <c r="W168" s="228">
        <f>ROUND((ROUND((ROUND((_15_同援日３．５*_15・２人),0)*(1+_15・A深夜)),0)*(1+_15・区４)),0)</f>
        <v>1415</v>
      </c>
      <c r="X168" s="69"/>
    </row>
    <row r="169" spans="1:24" ht="16.5" customHeight="1" x14ac:dyDescent="0.3">
      <c r="A169" s="2">
        <v>15</v>
      </c>
      <c r="B169" s="2">
        <v>8689</v>
      </c>
      <c r="C169" s="60" t="s">
        <v>9092</v>
      </c>
      <c r="D169" s="1"/>
      <c r="E169" s="68"/>
      <c r="F169" s="70"/>
      <c r="G169" s="74" t="s">
        <v>17078</v>
      </c>
      <c r="H169" s="62"/>
      <c r="I169" s="63"/>
      <c r="J169" s="85"/>
      <c r="K169" s="64"/>
      <c r="L169" s="65"/>
      <c r="M169" s="99"/>
      <c r="N169" s="70"/>
      <c r="O169" s="67"/>
      <c r="P169" s="68"/>
      <c r="Q169" s="76"/>
      <c r="R169" s="70"/>
      <c r="S169" s="1" t="s">
        <v>18009</v>
      </c>
      <c r="T169" s="68"/>
      <c r="U169" s="76"/>
      <c r="V169" s="70"/>
      <c r="W169" s="228">
        <f>ROUND((ROUND((ROUND((_15_同援日３．５*_15・基礎２),0)*(1+_15・A深夜)),0)*(1+_15・区４)),0)</f>
        <v>1275</v>
      </c>
      <c r="X169" s="69"/>
    </row>
    <row r="170" spans="1:24" ht="16.5" customHeight="1" x14ac:dyDescent="0.3">
      <c r="A170" s="2">
        <v>15</v>
      </c>
      <c r="B170" s="2">
        <v>8690</v>
      </c>
      <c r="C170" s="60" t="s">
        <v>9091</v>
      </c>
      <c r="D170" s="1"/>
      <c r="E170" s="68"/>
      <c r="F170" s="70"/>
      <c r="G170" s="106" t="s">
        <v>17077</v>
      </c>
      <c r="H170" s="57" t="s">
        <v>1</v>
      </c>
      <c r="I170" s="58">
        <v>0.9</v>
      </c>
      <c r="J170" s="83" t="s">
        <v>5895</v>
      </c>
      <c r="K170" s="64" t="s">
        <v>1</v>
      </c>
      <c r="L170" s="65">
        <v>1</v>
      </c>
      <c r="M170" s="99"/>
      <c r="N170" s="70"/>
      <c r="O170" s="66"/>
      <c r="P170" s="57"/>
      <c r="Q170" s="58"/>
      <c r="R170" s="77"/>
      <c r="S170" s="1" t="s">
        <v>17970</v>
      </c>
      <c r="T170" s="68"/>
      <c r="U170" s="76"/>
      <c r="V170" s="70"/>
      <c r="W170" s="228">
        <f>ROUND((ROUND((ROUND((ROUND((_15_同援日３．５*_15・基礎２),0)*_15・２人),0)*(1+_15・A深夜)),0)*(1+_15・区４)),0)</f>
        <v>1275</v>
      </c>
      <c r="X170" s="69"/>
    </row>
    <row r="171" spans="1:24" ht="16.5" customHeight="1" x14ac:dyDescent="0.3">
      <c r="A171" s="2">
        <v>15</v>
      </c>
      <c r="B171" s="2">
        <v>8691</v>
      </c>
      <c r="C171" s="60" t="s">
        <v>9090</v>
      </c>
      <c r="D171" s="1"/>
      <c r="E171" s="68"/>
      <c r="F171" s="70"/>
      <c r="G171" s="61"/>
      <c r="H171" s="62"/>
      <c r="I171" s="63"/>
      <c r="J171" s="85"/>
      <c r="K171" s="64"/>
      <c r="L171" s="65"/>
      <c r="M171" s="99"/>
      <c r="N171" s="70"/>
      <c r="O171" s="74" t="s">
        <v>18005</v>
      </c>
      <c r="P171" s="62"/>
      <c r="Q171" s="63"/>
      <c r="R171" s="75"/>
      <c r="S171" s="67"/>
      <c r="T171" s="68" t="s">
        <v>1</v>
      </c>
      <c r="U171" s="76">
        <v>0.4</v>
      </c>
      <c r="V171" s="70" t="s">
        <v>422</v>
      </c>
      <c r="W171" s="228">
        <f>ROUND((ROUND((ROUND((_15_同援日３．５*(1+_15・A深夜)),0)*(1+_15・盲ろう)),0)*(1+_15・区４)),0)</f>
        <v>1770</v>
      </c>
      <c r="X171" s="69"/>
    </row>
    <row r="172" spans="1:24" ht="16.5" customHeight="1" x14ac:dyDescent="0.3">
      <c r="A172" s="2">
        <v>15</v>
      </c>
      <c r="B172" s="2">
        <v>8692</v>
      </c>
      <c r="C172" s="60" t="s">
        <v>9089</v>
      </c>
      <c r="D172" s="1"/>
      <c r="E172" s="68"/>
      <c r="F172" s="70"/>
      <c r="G172" s="66"/>
      <c r="H172" s="57"/>
      <c r="I172" s="58"/>
      <c r="J172" s="83" t="s">
        <v>5895</v>
      </c>
      <c r="K172" s="64" t="s">
        <v>1</v>
      </c>
      <c r="L172" s="65">
        <v>1</v>
      </c>
      <c r="M172" s="99"/>
      <c r="N172" s="70"/>
      <c r="O172" s="94" t="s">
        <v>18004</v>
      </c>
      <c r="P172" s="68"/>
      <c r="Q172" s="76"/>
      <c r="R172" s="70"/>
      <c r="S172" s="67"/>
      <c r="T172" s="68"/>
      <c r="U172" s="76"/>
      <c r="V172" s="70"/>
      <c r="W172" s="228">
        <f>ROUND((ROUND((ROUND((ROUND((_15_同援日３．５*_15・２人),0)*(1+_15・A深夜)),0)*(1+_15・盲ろう)),0)*(1+_15・区４)),0)</f>
        <v>1770</v>
      </c>
      <c r="X172" s="69"/>
    </row>
    <row r="173" spans="1:24" ht="16.5" customHeight="1" x14ac:dyDescent="0.3">
      <c r="A173" s="2">
        <v>15</v>
      </c>
      <c r="B173" s="2">
        <v>8693</v>
      </c>
      <c r="C173" s="60" t="s">
        <v>9088</v>
      </c>
      <c r="D173" s="1"/>
      <c r="E173" s="68"/>
      <c r="F173" s="70"/>
      <c r="G173" s="74" t="s">
        <v>16823</v>
      </c>
      <c r="H173" s="62"/>
      <c r="I173" s="63"/>
      <c r="J173" s="85"/>
      <c r="K173" s="64"/>
      <c r="L173" s="65"/>
      <c r="M173" s="99"/>
      <c r="N173" s="70"/>
      <c r="O173" s="67"/>
      <c r="P173" s="68" t="s">
        <v>1</v>
      </c>
      <c r="Q173" s="76">
        <v>0.25</v>
      </c>
      <c r="R173" s="70" t="s">
        <v>422</v>
      </c>
      <c r="S173" s="67"/>
      <c r="T173" s="68"/>
      <c r="U173" s="76"/>
      <c r="V173" s="70"/>
      <c r="W173" s="228">
        <f>ROUND((ROUND((ROUND((ROUND((_15_同援日３．５*_15・基礎２),0)*(1+_15・A深夜)),0)*(1+_15・盲ろう)),0)*(1+_15・区４)),0)</f>
        <v>1595</v>
      </c>
      <c r="X173" s="69"/>
    </row>
    <row r="174" spans="1:24" ht="16.5" customHeight="1" x14ac:dyDescent="0.3">
      <c r="A174" s="2">
        <v>15</v>
      </c>
      <c r="B174" s="2">
        <v>8694</v>
      </c>
      <c r="C174" s="60" t="s">
        <v>9087</v>
      </c>
      <c r="D174" s="81"/>
      <c r="E174" s="57"/>
      <c r="F174" s="77"/>
      <c r="G174" s="106" t="s">
        <v>5896</v>
      </c>
      <c r="H174" s="57" t="s">
        <v>1</v>
      </c>
      <c r="I174" s="58">
        <v>0.9</v>
      </c>
      <c r="J174" s="83" t="s">
        <v>5895</v>
      </c>
      <c r="K174" s="64" t="s">
        <v>1</v>
      </c>
      <c r="L174" s="65">
        <v>1</v>
      </c>
      <c r="M174" s="99"/>
      <c r="N174" s="70"/>
      <c r="O174" s="66"/>
      <c r="P174" s="57"/>
      <c r="Q174" s="58"/>
      <c r="R174" s="77"/>
      <c r="S174" s="66"/>
      <c r="T174" s="57"/>
      <c r="U174" s="58"/>
      <c r="V174" s="77"/>
      <c r="W174" s="228">
        <f>ROUND((ROUND((ROUND((ROUND((ROUND((_15_同援日３．５*_15・基礎２),0)*_15・２人),0)*(1+_15・A深夜)),0)*(1+_15・盲ろう)),0)*(1+_15・区４)),0)</f>
        <v>1595</v>
      </c>
      <c r="X174" s="69"/>
    </row>
    <row r="175" spans="1:24" ht="16.5" customHeight="1" x14ac:dyDescent="0.3">
      <c r="A175" s="2">
        <v>15</v>
      </c>
      <c r="B175" s="2">
        <v>8695</v>
      </c>
      <c r="C175" s="60" t="s">
        <v>9086</v>
      </c>
      <c r="D175" s="233" t="s">
        <v>18015</v>
      </c>
      <c r="E175" s="62"/>
      <c r="F175" s="75"/>
      <c r="G175" s="61"/>
      <c r="H175" s="62"/>
      <c r="I175" s="63"/>
      <c r="J175" s="85"/>
      <c r="K175" s="64"/>
      <c r="L175" s="65"/>
      <c r="M175" s="99"/>
      <c r="N175" s="70"/>
      <c r="O175" s="61"/>
      <c r="P175" s="62"/>
      <c r="Q175" s="63"/>
      <c r="R175" s="75"/>
      <c r="S175" s="61"/>
      <c r="T175" s="62"/>
      <c r="U175" s="63"/>
      <c r="V175" s="75"/>
      <c r="W175" s="228">
        <f>ROUND((_15_同援日４．０*(1+_15・A深夜)),0)</f>
        <v>1106</v>
      </c>
      <c r="X175" s="69"/>
    </row>
    <row r="176" spans="1:24" ht="16.5" customHeight="1" x14ac:dyDescent="0.3">
      <c r="A176" s="2">
        <v>15</v>
      </c>
      <c r="B176" s="2">
        <v>8696</v>
      </c>
      <c r="C176" s="60" t="s">
        <v>9085</v>
      </c>
      <c r="D176" s="1" t="s">
        <v>18014</v>
      </c>
      <c r="E176" s="68"/>
      <c r="F176" s="70"/>
      <c r="G176" s="66"/>
      <c r="H176" s="57"/>
      <c r="I176" s="58"/>
      <c r="J176" s="83" t="s">
        <v>5895</v>
      </c>
      <c r="K176" s="64" t="s">
        <v>1</v>
      </c>
      <c r="L176" s="65">
        <v>1</v>
      </c>
      <c r="M176" s="99"/>
      <c r="N176" s="70"/>
      <c r="O176" s="67"/>
      <c r="P176" s="68"/>
      <c r="Q176" s="76"/>
      <c r="R176" s="70"/>
      <c r="S176" s="67"/>
      <c r="T176" s="68"/>
      <c r="U176" s="76"/>
      <c r="V176" s="70"/>
      <c r="W176" s="228">
        <f>ROUND((ROUND((_15_同援日４．０*_15・２人),0)*(1+_15・A深夜)),0)</f>
        <v>1106</v>
      </c>
      <c r="X176" s="69"/>
    </row>
    <row r="177" spans="1:24" ht="16.5" customHeight="1" x14ac:dyDescent="0.3">
      <c r="A177" s="2">
        <v>15</v>
      </c>
      <c r="B177" s="2">
        <v>8697</v>
      </c>
      <c r="C177" s="60" t="s">
        <v>9084</v>
      </c>
      <c r="D177" s="1" t="s">
        <v>8425</v>
      </c>
      <c r="E177" s="68"/>
      <c r="F177" s="70"/>
      <c r="G177" s="74" t="s">
        <v>17078</v>
      </c>
      <c r="H177" s="62"/>
      <c r="I177" s="63"/>
      <c r="J177" s="85"/>
      <c r="K177" s="64"/>
      <c r="L177" s="65"/>
      <c r="M177" s="99"/>
      <c r="N177" s="70"/>
      <c r="O177" s="67"/>
      <c r="P177" s="68"/>
      <c r="Q177" s="76"/>
      <c r="R177" s="70"/>
      <c r="S177" s="67"/>
      <c r="T177" s="68"/>
      <c r="U177" s="76"/>
      <c r="V177" s="70"/>
      <c r="W177" s="228">
        <f>ROUND((ROUND((_15_同援日４．０*_15・基礎２),0)*(1+_15・A深夜)),0)</f>
        <v>995</v>
      </c>
      <c r="X177" s="69"/>
    </row>
    <row r="178" spans="1:24" ht="16.5" customHeight="1" x14ac:dyDescent="0.3">
      <c r="A178" s="2">
        <v>15</v>
      </c>
      <c r="B178" s="2">
        <v>8698</v>
      </c>
      <c r="C178" s="60" t="s">
        <v>9083</v>
      </c>
      <c r="D178" s="1"/>
      <c r="E178" s="227">
        <v>737</v>
      </c>
      <c r="F178" s="70" t="s">
        <v>0</v>
      </c>
      <c r="G178" s="106" t="s">
        <v>17077</v>
      </c>
      <c r="H178" s="57" t="s">
        <v>1</v>
      </c>
      <c r="I178" s="58">
        <v>0.9</v>
      </c>
      <c r="J178" s="83" t="s">
        <v>5895</v>
      </c>
      <c r="K178" s="64" t="s">
        <v>1</v>
      </c>
      <c r="L178" s="65">
        <v>1</v>
      </c>
      <c r="M178" s="99"/>
      <c r="N178" s="70"/>
      <c r="O178" s="66"/>
      <c r="P178" s="57"/>
      <c r="Q178" s="58"/>
      <c r="R178" s="77"/>
      <c r="S178" s="67"/>
      <c r="T178" s="68"/>
      <c r="U178" s="76"/>
      <c r="V178" s="70"/>
      <c r="W178" s="228">
        <f>ROUND((ROUND((ROUND((_15_同援日４．０*_15・基礎２),0)*_15・２人),0)*(1+_15・A深夜)),0)</f>
        <v>995</v>
      </c>
      <c r="X178" s="69"/>
    </row>
    <row r="179" spans="1:24" ht="16.5" customHeight="1" x14ac:dyDescent="0.3">
      <c r="A179" s="2">
        <v>15</v>
      </c>
      <c r="B179" s="2">
        <v>8699</v>
      </c>
      <c r="C179" s="60" t="s">
        <v>9082</v>
      </c>
      <c r="D179" s="1"/>
      <c r="E179" s="68"/>
      <c r="F179" s="70"/>
      <c r="G179" s="61"/>
      <c r="H179" s="62"/>
      <c r="I179" s="63"/>
      <c r="J179" s="85"/>
      <c r="K179" s="64"/>
      <c r="L179" s="65"/>
      <c r="M179" s="99"/>
      <c r="N179" s="70"/>
      <c r="O179" s="74" t="s">
        <v>17969</v>
      </c>
      <c r="P179" s="62"/>
      <c r="Q179" s="63"/>
      <c r="R179" s="75"/>
      <c r="S179" s="67"/>
      <c r="T179" s="68"/>
      <c r="U179" s="76"/>
      <c r="V179" s="70"/>
      <c r="W179" s="228">
        <f>ROUND((ROUND((_15_同援日４．０*(1+_15・A深夜)),0)*(1+_15・盲ろう)),0)</f>
        <v>1383</v>
      </c>
      <c r="X179" s="69"/>
    </row>
    <row r="180" spans="1:24" ht="16.5" customHeight="1" x14ac:dyDescent="0.3">
      <c r="A180" s="2">
        <v>15</v>
      </c>
      <c r="B180" s="2">
        <v>8700</v>
      </c>
      <c r="C180" s="60" t="s">
        <v>9081</v>
      </c>
      <c r="D180" s="1"/>
      <c r="E180" s="68"/>
      <c r="F180" s="70"/>
      <c r="G180" s="66"/>
      <c r="H180" s="57"/>
      <c r="I180" s="58"/>
      <c r="J180" s="83" t="s">
        <v>5895</v>
      </c>
      <c r="K180" s="64" t="s">
        <v>1</v>
      </c>
      <c r="L180" s="65">
        <v>1</v>
      </c>
      <c r="M180" s="99"/>
      <c r="N180" s="70"/>
      <c r="O180" s="94" t="s">
        <v>18004</v>
      </c>
      <c r="P180" s="68"/>
      <c r="Q180" s="76"/>
      <c r="R180" s="70"/>
      <c r="S180" s="67"/>
      <c r="T180" s="68"/>
      <c r="U180" s="76"/>
      <c r="V180" s="70"/>
      <c r="W180" s="228">
        <f>ROUND((ROUND((ROUND((_15_同援日４．０*_15・２人),0)*(1+_15・A深夜)),0)*(1+_15・盲ろう)),0)</f>
        <v>1383</v>
      </c>
      <c r="X180" s="69"/>
    </row>
    <row r="181" spans="1:24" ht="16.5" customHeight="1" x14ac:dyDescent="0.3">
      <c r="A181" s="2">
        <v>15</v>
      </c>
      <c r="B181" s="2">
        <v>8701</v>
      </c>
      <c r="C181" s="60" t="s">
        <v>9080</v>
      </c>
      <c r="D181" s="1"/>
      <c r="E181" s="68"/>
      <c r="F181" s="70"/>
      <c r="G181" s="74" t="s">
        <v>17078</v>
      </c>
      <c r="H181" s="62"/>
      <c r="I181" s="63"/>
      <c r="J181" s="85"/>
      <c r="K181" s="64"/>
      <c r="L181" s="65"/>
      <c r="M181" s="99"/>
      <c r="N181" s="70"/>
      <c r="O181" s="67"/>
      <c r="P181" s="68" t="s">
        <v>1</v>
      </c>
      <c r="Q181" s="76">
        <v>0.25</v>
      </c>
      <c r="R181" s="70" t="s">
        <v>422</v>
      </c>
      <c r="S181" s="67"/>
      <c r="T181" s="68"/>
      <c r="U181" s="76"/>
      <c r="V181" s="70"/>
      <c r="W181" s="228">
        <f>ROUND((ROUND((ROUND((_15_同援日４．０*_15・基礎２),0)*(1+_15・A深夜)),0)*(1+_15・盲ろう)),0)</f>
        <v>1244</v>
      </c>
      <c r="X181" s="69"/>
    </row>
    <row r="182" spans="1:24" ht="16.5" customHeight="1" x14ac:dyDescent="0.3">
      <c r="A182" s="2">
        <v>15</v>
      </c>
      <c r="B182" s="2">
        <v>8702</v>
      </c>
      <c r="C182" s="60" t="s">
        <v>9079</v>
      </c>
      <c r="D182" s="1"/>
      <c r="E182" s="68"/>
      <c r="F182" s="70"/>
      <c r="G182" s="106" t="s">
        <v>17077</v>
      </c>
      <c r="H182" s="57" t="s">
        <v>1</v>
      </c>
      <c r="I182" s="58">
        <v>0.9</v>
      </c>
      <c r="J182" s="83" t="s">
        <v>5895</v>
      </c>
      <c r="K182" s="64" t="s">
        <v>1</v>
      </c>
      <c r="L182" s="65">
        <v>1</v>
      </c>
      <c r="M182" s="99"/>
      <c r="N182" s="70"/>
      <c r="O182" s="66"/>
      <c r="P182" s="57"/>
      <c r="Q182" s="58"/>
      <c r="R182" s="77"/>
      <c r="S182" s="66"/>
      <c r="T182" s="57"/>
      <c r="U182" s="58"/>
      <c r="V182" s="77"/>
      <c r="W182" s="228">
        <f>ROUND((ROUND((ROUND((ROUND((_15_同援日４．０*_15・基礎２),0)*_15・２人),0)*(1+_15・A深夜)),0)*(1+_15・盲ろう)),0)</f>
        <v>1244</v>
      </c>
      <c r="X182" s="69"/>
    </row>
    <row r="183" spans="1:24" ht="16.5" customHeight="1" x14ac:dyDescent="0.3">
      <c r="A183" s="2">
        <v>15</v>
      </c>
      <c r="B183" s="2">
        <v>8703</v>
      </c>
      <c r="C183" s="60" t="s">
        <v>9078</v>
      </c>
      <c r="D183" s="1"/>
      <c r="E183" s="68"/>
      <c r="F183" s="70"/>
      <c r="G183" s="61"/>
      <c r="H183" s="62"/>
      <c r="I183" s="63"/>
      <c r="J183" s="85"/>
      <c r="K183" s="64"/>
      <c r="L183" s="65"/>
      <c r="M183" s="99"/>
      <c r="N183" s="70"/>
      <c r="O183" s="61"/>
      <c r="P183" s="62"/>
      <c r="Q183" s="63"/>
      <c r="R183" s="75"/>
      <c r="S183" s="61"/>
      <c r="T183" s="62"/>
      <c r="U183" s="63"/>
      <c r="V183" s="75"/>
      <c r="W183" s="228">
        <f>ROUND((ROUND((_15_同援日４．０*(1+_15・A深夜)),0)*(1+_15・区３)),0)</f>
        <v>1327</v>
      </c>
      <c r="X183" s="69"/>
    </row>
    <row r="184" spans="1:24" ht="16.5" customHeight="1" x14ac:dyDescent="0.3">
      <c r="A184" s="2">
        <v>15</v>
      </c>
      <c r="B184" s="2">
        <v>8704</v>
      </c>
      <c r="C184" s="60" t="s">
        <v>9077</v>
      </c>
      <c r="D184" s="1"/>
      <c r="E184" s="68"/>
      <c r="F184" s="70"/>
      <c r="G184" s="66"/>
      <c r="H184" s="57"/>
      <c r="I184" s="58"/>
      <c r="J184" s="83" t="s">
        <v>5895</v>
      </c>
      <c r="K184" s="64" t="s">
        <v>1</v>
      </c>
      <c r="L184" s="65">
        <v>1</v>
      </c>
      <c r="M184" s="99"/>
      <c r="N184" s="70"/>
      <c r="O184" s="67"/>
      <c r="P184" s="68"/>
      <c r="Q184" s="76"/>
      <c r="R184" s="70"/>
      <c r="S184" s="67"/>
      <c r="T184" s="68"/>
      <c r="U184" s="76"/>
      <c r="V184" s="70"/>
      <c r="W184" s="228">
        <f>ROUND((ROUND((ROUND((_15_同援日４．０*_15・２人),0)*(1+_15・A深夜)),0)*(1+_15・区３)),0)</f>
        <v>1327</v>
      </c>
      <c r="X184" s="69"/>
    </row>
    <row r="185" spans="1:24" ht="16.5" customHeight="1" x14ac:dyDescent="0.3">
      <c r="A185" s="2">
        <v>15</v>
      </c>
      <c r="B185" s="2">
        <v>8705</v>
      </c>
      <c r="C185" s="60" t="s">
        <v>9076</v>
      </c>
      <c r="D185" s="1"/>
      <c r="E185" s="68"/>
      <c r="F185" s="70"/>
      <c r="G185" s="74" t="s">
        <v>17078</v>
      </c>
      <c r="H185" s="62"/>
      <c r="I185" s="63"/>
      <c r="J185" s="85"/>
      <c r="K185" s="64"/>
      <c r="L185" s="65"/>
      <c r="M185" s="99"/>
      <c r="N185" s="70"/>
      <c r="O185" s="67"/>
      <c r="P185" s="68"/>
      <c r="Q185" s="76"/>
      <c r="R185" s="70"/>
      <c r="S185" s="1" t="s">
        <v>18010</v>
      </c>
      <c r="T185" s="68"/>
      <c r="U185" s="76"/>
      <c r="V185" s="70"/>
      <c r="W185" s="228">
        <f>ROUND((ROUND((ROUND((_15_同援日４．０*_15・基礎２),0)*(1+_15・A深夜)),0)*(1+_15・区３)),0)</f>
        <v>1194</v>
      </c>
      <c r="X185" s="69"/>
    </row>
    <row r="186" spans="1:24" ht="16.5" customHeight="1" x14ac:dyDescent="0.3">
      <c r="A186" s="2">
        <v>15</v>
      </c>
      <c r="B186" s="2">
        <v>8706</v>
      </c>
      <c r="C186" s="60" t="s">
        <v>9075</v>
      </c>
      <c r="D186" s="1"/>
      <c r="E186" s="68"/>
      <c r="F186" s="70"/>
      <c r="G186" s="106" t="s">
        <v>17077</v>
      </c>
      <c r="H186" s="57" t="s">
        <v>1</v>
      </c>
      <c r="I186" s="58">
        <v>0.9</v>
      </c>
      <c r="J186" s="83" t="s">
        <v>5895</v>
      </c>
      <c r="K186" s="64" t="s">
        <v>1</v>
      </c>
      <c r="L186" s="65">
        <v>1</v>
      </c>
      <c r="M186" s="99"/>
      <c r="N186" s="70"/>
      <c r="O186" s="66"/>
      <c r="P186" s="57"/>
      <c r="Q186" s="58"/>
      <c r="R186" s="77"/>
      <c r="S186" s="1" t="s">
        <v>18006</v>
      </c>
      <c r="T186" s="68"/>
      <c r="U186" s="76"/>
      <c r="V186" s="70"/>
      <c r="W186" s="228">
        <f>ROUND((ROUND((ROUND((ROUND((_15_同援日４．０*_15・基礎２),0)*_15・２人),0)*(1+_15・A深夜)),0)*(1+_15・区３)),0)</f>
        <v>1194</v>
      </c>
      <c r="X186" s="69"/>
    </row>
    <row r="187" spans="1:24" ht="16.5" customHeight="1" x14ac:dyDescent="0.3">
      <c r="A187" s="2">
        <v>15</v>
      </c>
      <c r="B187" s="2">
        <v>8707</v>
      </c>
      <c r="C187" s="60" t="s">
        <v>9074</v>
      </c>
      <c r="D187" s="1"/>
      <c r="E187" s="68"/>
      <c r="F187" s="70"/>
      <c r="G187" s="61"/>
      <c r="H187" s="62"/>
      <c r="I187" s="63"/>
      <c r="J187" s="85"/>
      <c r="K187" s="64"/>
      <c r="L187" s="65"/>
      <c r="M187" s="99"/>
      <c r="N187" s="70"/>
      <c r="O187" s="74" t="s">
        <v>8085</v>
      </c>
      <c r="P187" s="62"/>
      <c r="Q187" s="63"/>
      <c r="R187" s="75"/>
      <c r="S187" s="67"/>
      <c r="T187" s="68" t="s">
        <v>1</v>
      </c>
      <c r="U187" s="76">
        <v>0.2</v>
      </c>
      <c r="V187" s="70" t="s">
        <v>422</v>
      </c>
      <c r="W187" s="228">
        <f>ROUND((ROUND((ROUND((_15_同援日４．０*(1+_15・A深夜)),0)*(1+_15・盲ろう)),0)*(1+_15・区３)),0)</f>
        <v>1660</v>
      </c>
      <c r="X187" s="69"/>
    </row>
    <row r="188" spans="1:24" ht="16.5" customHeight="1" x14ac:dyDescent="0.3">
      <c r="A188" s="2">
        <v>15</v>
      </c>
      <c r="B188" s="2">
        <v>8708</v>
      </c>
      <c r="C188" s="60" t="s">
        <v>9073</v>
      </c>
      <c r="D188" s="1"/>
      <c r="E188" s="68"/>
      <c r="F188" s="70"/>
      <c r="G188" s="66"/>
      <c r="H188" s="57"/>
      <c r="I188" s="58"/>
      <c r="J188" s="83" t="s">
        <v>5895</v>
      </c>
      <c r="K188" s="64" t="s">
        <v>1</v>
      </c>
      <c r="L188" s="65">
        <v>1</v>
      </c>
      <c r="M188" s="99"/>
      <c r="N188" s="70"/>
      <c r="O188" s="94" t="s">
        <v>18004</v>
      </c>
      <c r="P188" s="68"/>
      <c r="Q188" s="76"/>
      <c r="R188" s="70"/>
      <c r="S188" s="67"/>
      <c r="T188" s="68"/>
      <c r="U188" s="76"/>
      <c r="V188" s="70"/>
      <c r="W188" s="228">
        <f>ROUND((ROUND((ROUND((ROUND((_15_同援日４．０*_15・２人),0)*(1+_15・A深夜)),0)*(1+_15・盲ろう)),0)*(1+_15・区３)),0)</f>
        <v>1660</v>
      </c>
      <c r="X188" s="69"/>
    </row>
    <row r="189" spans="1:24" ht="16.5" customHeight="1" x14ac:dyDescent="0.3">
      <c r="A189" s="2">
        <v>15</v>
      </c>
      <c r="B189" s="2">
        <v>8709</v>
      </c>
      <c r="C189" s="60" t="s">
        <v>9072</v>
      </c>
      <c r="D189" s="1"/>
      <c r="E189" s="68"/>
      <c r="F189" s="70"/>
      <c r="G189" s="74" t="s">
        <v>17078</v>
      </c>
      <c r="H189" s="62"/>
      <c r="I189" s="63"/>
      <c r="J189" s="85"/>
      <c r="K189" s="64"/>
      <c r="L189" s="65"/>
      <c r="M189" s="99"/>
      <c r="N189" s="70"/>
      <c r="O189" s="67"/>
      <c r="P189" s="68" t="s">
        <v>1</v>
      </c>
      <c r="Q189" s="76">
        <v>0.25</v>
      </c>
      <c r="R189" s="70" t="s">
        <v>422</v>
      </c>
      <c r="S189" s="67"/>
      <c r="T189" s="68"/>
      <c r="U189" s="76"/>
      <c r="V189" s="70"/>
      <c r="W189" s="228">
        <f>ROUND((ROUND((ROUND((ROUND((_15_同援日４．０*_15・基礎２),0)*(1+_15・A深夜)),0)*(1+_15・盲ろう)),0)*(1+_15・区３)),0)</f>
        <v>1493</v>
      </c>
      <c r="X189" s="69"/>
    </row>
    <row r="190" spans="1:24" ht="16.5" customHeight="1" x14ac:dyDescent="0.3">
      <c r="A190" s="2">
        <v>15</v>
      </c>
      <c r="B190" s="2">
        <v>8710</v>
      </c>
      <c r="C190" s="60" t="s">
        <v>9071</v>
      </c>
      <c r="D190" s="1"/>
      <c r="E190" s="68"/>
      <c r="F190" s="70"/>
      <c r="G190" s="106" t="s">
        <v>17077</v>
      </c>
      <c r="H190" s="57" t="s">
        <v>1</v>
      </c>
      <c r="I190" s="58">
        <v>0.9</v>
      </c>
      <c r="J190" s="83" t="s">
        <v>5895</v>
      </c>
      <c r="K190" s="64" t="s">
        <v>1</v>
      </c>
      <c r="L190" s="65">
        <v>1</v>
      </c>
      <c r="M190" s="99"/>
      <c r="N190" s="70"/>
      <c r="O190" s="66"/>
      <c r="P190" s="57"/>
      <c r="Q190" s="58"/>
      <c r="R190" s="77"/>
      <c r="S190" s="66"/>
      <c r="T190" s="57"/>
      <c r="U190" s="58"/>
      <c r="V190" s="77"/>
      <c r="W190" s="228">
        <f>ROUND((ROUND((ROUND((ROUND((ROUND((_15_同援日４．０*_15・基礎２),0)*_15・２人),0)*(1+_15・A深夜)),0)*(1+_15・盲ろう)),0)*(1+_15・区３)),0)</f>
        <v>1493</v>
      </c>
      <c r="X190" s="69"/>
    </row>
    <row r="191" spans="1:24" ht="16.5" customHeight="1" x14ac:dyDescent="0.3">
      <c r="A191" s="2">
        <v>15</v>
      </c>
      <c r="B191" s="2">
        <v>8711</v>
      </c>
      <c r="C191" s="60" t="s">
        <v>9070</v>
      </c>
      <c r="D191" s="1"/>
      <c r="E191" s="68"/>
      <c r="F191" s="70"/>
      <c r="G191" s="61"/>
      <c r="H191" s="62"/>
      <c r="I191" s="63"/>
      <c r="J191" s="85"/>
      <c r="K191" s="64"/>
      <c r="L191" s="65"/>
      <c r="M191" s="99"/>
      <c r="N191" s="70"/>
      <c r="O191" s="61"/>
      <c r="P191" s="62"/>
      <c r="Q191" s="63"/>
      <c r="R191" s="75"/>
      <c r="S191" s="61"/>
      <c r="T191" s="62"/>
      <c r="U191" s="63"/>
      <c r="V191" s="75"/>
      <c r="W191" s="228">
        <f>ROUND((ROUND((_15_同援日４．０*(1+_15・A深夜)),0)*(1+_15・区４)),0)</f>
        <v>1548</v>
      </c>
      <c r="X191" s="69"/>
    </row>
    <row r="192" spans="1:24" ht="16.5" customHeight="1" x14ac:dyDescent="0.3">
      <c r="A192" s="2">
        <v>15</v>
      </c>
      <c r="B192" s="2">
        <v>8712</v>
      </c>
      <c r="C192" s="60" t="s">
        <v>9069</v>
      </c>
      <c r="D192" s="1"/>
      <c r="E192" s="68"/>
      <c r="F192" s="70"/>
      <c r="G192" s="66"/>
      <c r="H192" s="57"/>
      <c r="I192" s="58"/>
      <c r="J192" s="83" t="s">
        <v>5895</v>
      </c>
      <c r="K192" s="64" t="s">
        <v>1</v>
      </c>
      <c r="L192" s="65">
        <v>1</v>
      </c>
      <c r="M192" s="99"/>
      <c r="N192" s="70"/>
      <c r="O192" s="67"/>
      <c r="P192" s="68"/>
      <c r="Q192" s="76"/>
      <c r="R192" s="70"/>
      <c r="S192" s="67"/>
      <c r="T192" s="68"/>
      <c r="U192" s="76"/>
      <c r="V192" s="70"/>
      <c r="W192" s="228">
        <f>ROUND((ROUND((ROUND((_15_同援日４．０*_15・２人),0)*(1+_15・A深夜)),0)*(1+_15・区４)),0)</f>
        <v>1548</v>
      </c>
      <c r="X192" s="69"/>
    </row>
    <row r="193" spans="1:24" ht="16.5" customHeight="1" x14ac:dyDescent="0.3">
      <c r="A193" s="2">
        <v>15</v>
      </c>
      <c r="B193" s="2">
        <v>8713</v>
      </c>
      <c r="C193" s="60" t="s">
        <v>9068</v>
      </c>
      <c r="D193" s="1"/>
      <c r="E193" s="68"/>
      <c r="F193" s="70"/>
      <c r="G193" s="74" t="s">
        <v>17078</v>
      </c>
      <c r="H193" s="62"/>
      <c r="I193" s="63"/>
      <c r="J193" s="85"/>
      <c r="K193" s="64"/>
      <c r="L193" s="65"/>
      <c r="M193" s="99"/>
      <c r="N193" s="70"/>
      <c r="O193" s="67"/>
      <c r="P193" s="68"/>
      <c r="Q193" s="76"/>
      <c r="R193" s="70"/>
      <c r="S193" s="1" t="s">
        <v>18009</v>
      </c>
      <c r="T193" s="68"/>
      <c r="U193" s="76"/>
      <c r="V193" s="70"/>
      <c r="W193" s="228">
        <f>ROUND((ROUND((ROUND((_15_同援日４．０*_15・基礎２),0)*(1+_15・A深夜)),0)*(1+_15・区４)),0)</f>
        <v>1393</v>
      </c>
      <c r="X193" s="69"/>
    </row>
    <row r="194" spans="1:24" ht="16.5" customHeight="1" x14ac:dyDescent="0.3">
      <c r="A194" s="2">
        <v>15</v>
      </c>
      <c r="B194" s="2">
        <v>8714</v>
      </c>
      <c r="C194" s="60" t="s">
        <v>9067</v>
      </c>
      <c r="D194" s="1"/>
      <c r="E194" s="68"/>
      <c r="F194" s="70"/>
      <c r="G194" s="106" t="s">
        <v>17077</v>
      </c>
      <c r="H194" s="57" t="s">
        <v>1</v>
      </c>
      <c r="I194" s="58">
        <v>0.9</v>
      </c>
      <c r="J194" s="83" t="s">
        <v>5895</v>
      </c>
      <c r="K194" s="64" t="s">
        <v>1</v>
      </c>
      <c r="L194" s="65">
        <v>1</v>
      </c>
      <c r="M194" s="99"/>
      <c r="N194" s="70"/>
      <c r="O194" s="66"/>
      <c r="P194" s="57"/>
      <c r="Q194" s="58"/>
      <c r="R194" s="77"/>
      <c r="S194" s="1" t="s">
        <v>18006</v>
      </c>
      <c r="T194" s="68"/>
      <c r="U194" s="76"/>
      <c r="V194" s="70"/>
      <c r="W194" s="228">
        <f>ROUND((ROUND((ROUND((ROUND((_15_同援日４．０*_15・基礎２),0)*_15・２人),0)*(1+_15・A深夜)),0)*(1+_15・区４)),0)</f>
        <v>1393</v>
      </c>
      <c r="X194" s="69"/>
    </row>
    <row r="195" spans="1:24" ht="16.5" customHeight="1" x14ac:dyDescent="0.3">
      <c r="A195" s="2">
        <v>15</v>
      </c>
      <c r="B195" s="2">
        <v>8715</v>
      </c>
      <c r="C195" s="60" t="s">
        <v>9066</v>
      </c>
      <c r="D195" s="1"/>
      <c r="E195" s="68"/>
      <c r="F195" s="70"/>
      <c r="G195" s="61"/>
      <c r="H195" s="62"/>
      <c r="I195" s="63"/>
      <c r="J195" s="85"/>
      <c r="K195" s="64"/>
      <c r="L195" s="65"/>
      <c r="M195" s="99"/>
      <c r="N195" s="70"/>
      <c r="O195" s="74" t="s">
        <v>18005</v>
      </c>
      <c r="P195" s="62"/>
      <c r="Q195" s="63"/>
      <c r="R195" s="75"/>
      <c r="S195" s="67"/>
      <c r="T195" s="68" t="s">
        <v>1</v>
      </c>
      <c r="U195" s="76">
        <v>0.4</v>
      </c>
      <c r="V195" s="70" t="s">
        <v>422</v>
      </c>
      <c r="W195" s="228">
        <f>ROUND((ROUND((ROUND((_15_同援日４．０*(1+_15・A深夜)),0)*(1+_15・盲ろう)),0)*(1+_15・区４)),0)</f>
        <v>1936</v>
      </c>
      <c r="X195" s="69"/>
    </row>
    <row r="196" spans="1:24" ht="16.5" customHeight="1" x14ac:dyDescent="0.3">
      <c r="A196" s="2">
        <v>15</v>
      </c>
      <c r="B196" s="2">
        <v>8716</v>
      </c>
      <c r="C196" s="60" t="s">
        <v>9065</v>
      </c>
      <c r="D196" s="1"/>
      <c r="E196" s="68"/>
      <c r="F196" s="70"/>
      <c r="G196" s="66"/>
      <c r="H196" s="57"/>
      <c r="I196" s="58"/>
      <c r="J196" s="83" t="s">
        <v>5895</v>
      </c>
      <c r="K196" s="64" t="s">
        <v>1</v>
      </c>
      <c r="L196" s="65">
        <v>1</v>
      </c>
      <c r="M196" s="99"/>
      <c r="N196" s="70"/>
      <c r="O196" s="94" t="s">
        <v>17968</v>
      </c>
      <c r="P196" s="68"/>
      <c r="Q196" s="76"/>
      <c r="R196" s="70"/>
      <c r="S196" s="67"/>
      <c r="T196" s="68"/>
      <c r="U196" s="76"/>
      <c r="V196" s="70"/>
      <c r="W196" s="228">
        <f>ROUND((ROUND((ROUND((ROUND((_15_同援日４．０*_15・２人),0)*(1+_15・A深夜)),0)*(1+_15・盲ろう)),0)*(1+_15・区４)),0)</f>
        <v>1936</v>
      </c>
      <c r="X196" s="69"/>
    </row>
    <row r="197" spans="1:24" ht="16.5" customHeight="1" x14ac:dyDescent="0.3">
      <c r="A197" s="2">
        <v>15</v>
      </c>
      <c r="B197" s="2">
        <v>8717</v>
      </c>
      <c r="C197" s="60" t="s">
        <v>9064</v>
      </c>
      <c r="D197" s="1"/>
      <c r="E197" s="68"/>
      <c r="F197" s="70"/>
      <c r="G197" s="74" t="s">
        <v>16823</v>
      </c>
      <c r="H197" s="62"/>
      <c r="I197" s="63"/>
      <c r="J197" s="85"/>
      <c r="K197" s="64"/>
      <c r="L197" s="65"/>
      <c r="M197" s="99"/>
      <c r="N197" s="70"/>
      <c r="O197" s="67"/>
      <c r="P197" s="68" t="s">
        <v>1</v>
      </c>
      <c r="Q197" s="76">
        <v>0.25</v>
      </c>
      <c r="R197" s="70" t="s">
        <v>422</v>
      </c>
      <c r="S197" s="67"/>
      <c r="T197" s="68"/>
      <c r="U197" s="76"/>
      <c r="V197" s="70"/>
      <c r="W197" s="228">
        <f>ROUND((ROUND((ROUND((ROUND((_15_同援日４．０*_15・基礎２),0)*(1+_15・A深夜)),0)*(1+_15・盲ろう)),0)*(1+_15・区４)),0)</f>
        <v>1742</v>
      </c>
      <c r="X197" s="69"/>
    </row>
    <row r="198" spans="1:24" ht="16.5" customHeight="1" x14ac:dyDescent="0.3">
      <c r="A198" s="2">
        <v>15</v>
      </c>
      <c r="B198" s="2">
        <v>8718</v>
      </c>
      <c r="C198" s="60" t="s">
        <v>9063</v>
      </c>
      <c r="D198" s="81"/>
      <c r="E198" s="57"/>
      <c r="F198" s="77"/>
      <c r="G198" s="106" t="s">
        <v>17077</v>
      </c>
      <c r="H198" s="57" t="s">
        <v>1</v>
      </c>
      <c r="I198" s="58">
        <v>0.9</v>
      </c>
      <c r="J198" s="83" t="s">
        <v>5895</v>
      </c>
      <c r="K198" s="64" t="s">
        <v>1</v>
      </c>
      <c r="L198" s="65">
        <v>1</v>
      </c>
      <c r="M198" s="99"/>
      <c r="N198" s="70"/>
      <c r="O198" s="66"/>
      <c r="P198" s="57"/>
      <c r="Q198" s="58"/>
      <c r="R198" s="77"/>
      <c r="S198" s="66"/>
      <c r="T198" s="57"/>
      <c r="U198" s="58"/>
      <c r="V198" s="77"/>
      <c r="W198" s="228">
        <f>ROUND((ROUND((ROUND((ROUND((ROUND((_15_同援日４．０*_15・基礎２),0)*_15・２人),0)*(1+_15・A深夜)),0)*(1+_15・盲ろう)),0)*(1+_15・区４)),0)</f>
        <v>1742</v>
      </c>
      <c r="X198" s="69"/>
    </row>
    <row r="199" spans="1:24" ht="16.5" customHeight="1" x14ac:dyDescent="0.3">
      <c r="A199" s="2">
        <v>15</v>
      </c>
      <c r="B199" s="2">
        <v>8719</v>
      </c>
      <c r="C199" s="60" t="s">
        <v>9062</v>
      </c>
      <c r="D199" s="233" t="s">
        <v>18013</v>
      </c>
      <c r="E199" s="62"/>
      <c r="F199" s="75"/>
      <c r="G199" s="61"/>
      <c r="H199" s="62"/>
      <c r="I199" s="63"/>
      <c r="J199" s="85"/>
      <c r="K199" s="64"/>
      <c r="L199" s="65"/>
      <c r="M199" s="99"/>
      <c r="N199" s="70"/>
      <c r="O199" s="61"/>
      <c r="P199" s="62"/>
      <c r="Q199" s="63"/>
      <c r="R199" s="75"/>
      <c r="S199" s="61"/>
      <c r="T199" s="62"/>
      <c r="U199" s="63"/>
      <c r="V199" s="75"/>
      <c r="W199" s="228">
        <f>ROUND((_15_同援日４．５*(1+_15・A深夜)),0)</f>
        <v>1200</v>
      </c>
      <c r="X199" s="69"/>
    </row>
    <row r="200" spans="1:24" ht="16.5" customHeight="1" x14ac:dyDescent="0.3">
      <c r="A200" s="2">
        <v>15</v>
      </c>
      <c r="B200" s="2">
        <v>8720</v>
      </c>
      <c r="C200" s="60" t="s">
        <v>9061</v>
      </c>
      <c r="D200" s="1" t="s">
        <v>17238</v>
      </c>
      <c r="E200" s="68"/>
      <c r="F200" s="70"/>
      <c r="G200" s="66"/>
      <c r="H200" s="57"/>
      <c r="I200" s="58"/>
      <c r="J200" s="83" t="s">
        <v>5895</v>
      </c>
      <c r="K200" s="64" t="s">
        <v>1</v>
      </c>
      <c r="L200" s="65">
        <v>1</v>
      </c>
      <c r="M200" s="99"/>
      <c r="N200" s="70"/>
      <c r="O200" s="67"/>
      <c r="P200" s="68"/>
      <c r="Q200" s="76"/>
      <c r="R200" s="70"/>
      <c r="S200" s="67"/>
      <c r="T200" s="68"/>
      <c r="U200" s="76"/>
      <c r="V200" s="70"/>
      <c r="W200" s="228">
        <f>ROUND((ROUND((_15_同援日４．５*_15・２人),0)*(1+_15・A深夜)),0)</f>
        <v>1200</v>
      </c>
      <c r="X200" s="69"/>
    </row>
    <row r="201" spans="1:24" ht="16.5" customHeight="1" x14ac:dyDescent="0.3">
      <c r="A201" s="2">
        <v>15</v>
      </c>
      <c r="B201" s="2">
        <v>8721</v>
      </c>
      <c r="C201" s="60" t="s">
        <v>9060</v>
      </c>
      <c r="D201" s="1" t="s">
        <v>8621</v>
      </c>
      <c r="E201" s="68"/>
      <c r="F201" s="70"/>
      <c r="G201" s="74" t="s">
        <v>5898</v>
      </c>
      <c r="H201" s="62"/>
      <c r="I201" s="63"/>
      <c r="J201" s="85"/>
      <c r="K201" s="64"/>
      <c r="L201" s="65"/>
      <c r="M201" s="99"/>
      <c r="N201" s="70"/>
      <c r="O201" s="67"/>
      <c r="P201" s="68"/>
      <c r="Q201" s="76"/>
      <c r="R201" s="70"/>
      <c r="S201" s="67"/>
      <c r="T201" s="68"/>
      <c r="U201" s="76"/>
      <c r="V201" s="70"/>
      <c r="W201" s="228">
        <f>ROUND((ROUND((_15_同援日４．５*_15・基礎２),0)*(1+_15・A深夜)),0)</f>
        <v>1080</v>
      </c>
      <c r="X201" s="69"/>
    </row>
    <row r="202" spans="1:24" ht="16.5" customHeight="1" x14ac:dyDescent="0.3">
      <c r="A202" s="2">
        <v>15</v>
      </c>
      <c r="B202" s="2">
        <v>8722</v>
      </c>
      <c r="C202" s="60" t="s">
        <v>9059</v>
      </c>
      <c r="D202" s="1"/>
      <c r="E202" s="227">
        <v>800</v>
      </c>
      <c r="F202" s="70" t="s">
        <v>0</v>
      </c>
      <c r="G202" s="106" t="s">
        <v>17077</v>
      </c>
      <c r="H202" s="57" t="s">
        <v>1</v>
      </c>
      <c r="I202" s="58">
        <v>0.9</v>
      </c>
      <c r="J202" s="83" t="s">
        <v>5895</v>
      </c>
      <c r="K202" s="64" t="s">
        <v>1</v>
      </c>
      <c r="L202" s="65">
        <v>1</v>
      </c>
      <c r="M202" s="99"/>
      <c r="N202" s="70"/>
      <c r="O202" s="66"/>
      <c r="P202" s="57"/>
      <c r="Q202" s="58"/>
      <c r="R202" s="77"/>
      <c r="S202" s="67"/>
      <c r="T202" s="68"/>
      <c r="U202" s="76"/>
      <c r="V202" s="70"/>
      <c r="W202" s="228">
        <f>ROUND((ROUND((ROUND((_15_同援日４．５*_15・基礎２),0)*_15・２人),0)*(1+_15・A深夜)),0)</f>
        <v>1080</v>
      </c>
      <c r="X202" s="69"/>
    </row>
    <row r="203" spans="1:24" ht="16.5" customHeight="1" x14ac:dyDescent="0.3">
      <c r="A203" s="2">
        <v>15</v>
      </c>
      <c r="B203" s="2">
        <v>8723</v>
      </c>
      <c r="C203" s="60" t="s">
        <v>9058</v>
      </c>
      <c r="D203" s="1"/>
      <c r="E203" s="68"/>
      <c r="F203" s="70"/>
      <c r="G203" s="61"/>
      <c r="H203" s="62"/>
      <c r="I203" s="63"/>
      <c r="J203" s="85"/>
      <c r="K203" s="64"/>
      <c r="L203" s="65"/>
      <c r="M203" s="99"/>
      <c r="N203" s="70"/>
      <c r="O203" s="74" t="s">
        <v>17969</v>
      </c>
      <c r="P203" s="62"/>
      <c r="Q203" s="63"/>
      <c r="R203" s="75"/>
      <c r="S203" s="67"/>
      <c r="T203" s="68"/>
      <c r="U203" s="76"/>
      <c r="V203" s="70"/>
      <c r="W203" s="228">
        <f>ROUND((ROUND((_15_同援日４．５*(1+_15・A深夜)),0)*(1+_15・盲ろう)),0)</f>
        <v>1500</v>
      </c>
      <c r="X203" s="69"/>
    </row>
    <row r="204" spans="1:24" ht="16.5" customHeight="1" x14ac:dyDescent="0.3">
      <c r="A204" s="2">
        <v>15</v>
      </c>
      <c r="B204" s="2">
        <v>8724</v>
      </c>
      <c r="C204" s="60" t="s">
        <v>9057</v>
      </c>
      <c r="D204" s="1"/>
      <c r="E204" s="68"/>
      <c r="F204" s="70"/>
      <c r="G204" s="66"/>
      <c r="H204" s="57"/>
      <c r="I204" s="58"/>
      <c r="J204" s="83" t="s">
        <v>5895</v>
      </c>
      <c r="K204" s="64" t="s">
        <v>1</v>
      </c>
      <c r="L204" s="65">
        <v>1</v>
      </c>
      <c r="M204" s="99"/>
      <c r="N204" s="70"/>
      <c r="O204" s="94" t="s">
        <v>18004</v>
      </c>
      <c r="P204" s="68"/>
      <c r="Q204" s="76"/>
      <c r="R204" s="70"/>
      <c r="S204" s="67"/>
      <c r="T204" s="68"/>
      <c r="U204" s="76"/>
      <c r="V204" s="70"/>
      <c r="W204" s="228">
        <f>ROUND((ROUND((ROUND((_15_同援日４．５*_15・２人),0)*(1+_15・A深夜)),0)*(1+_15・盲ろう)),0)</f>
        <v>1500</v>
      </c>
      <c r="X204" s="69"/>
    </row>
    <row r="205" spans="1:24" ht="16.5" customHeight="1" x14ac:dyDescent="0.3">
      <c r="A205" s="2">
        <v>15</v>
      </c>
      <c r="B205" s="2">
        <v>8725</v>
      </c>
      <c r="C205" s="60" t="s">
        <v>9056</v>
      </c>
      <c r="D205" s="1"/>
      <c r="E205" s="68"/>
      <c r="F205" s="70"/>
      <c r="G205" s="74" t="s">
        <v>17078</v>
      </c>
      <c r="H205" s="62"/>
      <c r="I205" s="63"/>
      <c r="J205" s="85"/>
      <c r="K205" s="64"/>
      <c r="L205" s="65"/>
      <c r="M205" s="99"/>
      <c r="N205" s="70"/>
      <c r="O205" s="67"/>
      <c r="P205" s="68" t="s">
        <v>1</v>
      </c>
      <c r="Q205" s="76">
        <v>0.25</v>
      </c>
      <c r="R205" s="70" t="s">
        <v>422</v>
      </c>
      <c r="S205" s="67"/>
      <c r="T205" s="68"/>
      <c r="U205" s="76"/>
      <c r="V205" s="70"/>
      <c r="W205" s="228">
        <f>ROUND((ROUND((ROUND((_15_同援日４．５*_15・基礎２),0)*(1+_15・A深夜)),0)*(1+_15・盲ろう)),0)</f>
        <v>1350</v>
      </c>
      <c r="X205" s="69"/>
    </row>
    <row r="206" spans="1:24" ht="16.5" customHeight="1" x14ac:dyDescent="0.3">
      <c r="A206" s="2">
        <v>15</v>
      </c>
      <c r="B206" s="2">
        <v>8726</v>
      </c>
      <c r="C206" s="60" t="s">
        <v>9055</v>
      </c>
      <c r="D206" s="1"/>
      <c r="E206" s="68"/>
      <c r="F206" s="70"/>
      <c r="G206" s="106" t="s">
        <v>17077</v>
      </c>
      <c r="H206" s="57" t="s">
        <v>1</v>
      </c>
      <c r="I206" s="58">
        <v>0.9</v>
      </c>
      <c r="J206" s="83" t="s">
        <v>5895</v>
      </c>
      <c r="K206" s="64" t="s">
        <v>1</v>
      </c>
      <c r="L206" s="65">
        <v>1</v>
      </c>
      <c r="M206" s="99"/>
      <c r="N206" s="70"/>
      <c r="O206" s="66"/>
      <c r="P206" s="57"/>
      <c r="Q206" s="58"/>
      <c r="R206" s="77"/>
      <c r="S206" s="66"/>
      <c r="T206" s="57"/>
      <c r="U206" s="58"/>
      <c r="V206" s="77"/>
      <c r="W206" s="228">
        <f>ROUND((ROUND((ROUND((ROUND((_15_同援日４．５*_15・基礎２),0)*_15・２人),0)*(1+_15・A深夜)),0)*(1+_15・盲ろう)),0)</f>
        <v>1350</v>
      </c>
      <c r="X206" s="69"/>
    </row>
    <row r="207" spans="1:24" ht="16.5" customHeight="1" x14ac:dyDescent="0.3">
      <c r="A207" s="2">
        <v>15</v>
      </c>
      <c r="B207" s="2">
        <v>8727</v>
      </c>
      <c r="C207" s="60" t="s">
        <v>9054</v>
      </c>
      <c r="D207" s="1"/>
      <c r="E207" s="68"/>
      <c r="F207" s="70"/>
      <c r="G207" s="61"/>
      <c r="H207" s="62"/>
      <c r="I207" s="63"/>
      <c r="J207" s="85"/>
      <c r="K207" s="64"/>
      <c r="L207" s="65"/>
      <c r="M207" s="99"/>
      <c r="N207" s="70"/>
      <c r="O207" s="61"/>
      <c r="P207" s="62"/>
      <c r="Q207" s="63"/>
      <c r="R207" s="75"/>
      <c r="S207" s="61"/>
      <c r="T207" s="62"/>
      <c r="U207" s="63"/>
      <c r="V207" s="75"/>
      <c r="W207" s="228">
        <f>ROUND((ROUND((_15_同援日４．５*(1+_15・A深夜)),0)*(1+_15・区３)),0)</f>
        <v>1440</v>
      </c>
      <c r="X207" s="69"/>
    </row>
    <row r="208" spans="1:24" ht="16.5" customHeight="1" x14ac:dyDescent="0.3">
      <c r="A208" s="2">
        <v>15</v>
      </c>
      <c r="B208" s="2">
        <v>8728</v>
      </c>
      <c r="C208" s="60" t="s">
        <v>9053</v>
      </c>
      <c r="D208" s="1"/>
      <c r="E208" s="68"/>
      <c r="F208" s="70"/>
      <c r="G208" s="66"/>
      <c r="H208" s="57"/>
      <c r="I208" s="58"/>
      <c r="J208" s="83" t="s">
        <v>5895</v>
      </c>
      <c r="K208" s="64" t="s">
        <v>1</v>
      </c>
      <c r="L208" s="65">
        <v>1</v>
      </c>
      <c r="M208" s="99"/>
      <c r="N208" s="70"/>
      <c r="O208" s="67"/>
      <c r="P208" s="68"/>
      <c r="Q208" s="76"/>
      <c r="R208" s="70"/>
      <c r="S208" s="67"/>
      <c r="T208" s="68"/>
      <c r="U208" s="76"/>
      <c r="V208" s="70"/>
      <c r="W208" s="228">
        <f>ROUND((ROUND((ROUND((_15_同援日４．５*_15・２人),0)*(1+_15・A深夜)),0)*(1+_15・区３)),0)</f>
        <v>1440</v>
      </c>
      <c r="X208" s="69"/>
    </row>
    <row r="209" spans="1:24" ht="16.5" customHeight="1" x14ac:dyDescent="0.3">
      <c r="A209" s="2">
        <v>15</v>
      </c>
      <c r="B209" s="2">
        <v>8729</v>
      </c>
      <c r="C209" s="60" t="s">
        <v>9052</v>
      </c>
      <c r="D209" s="1"/>
      <c r="E209" s="68"/>
      <c r="F209" s="70"/>
      <c r="G209" s="74" t="s">
        <v>17078</v>
      </c>
      <c r="H209" s="62"/>
      <c r="I209" s="63"/>
      <c r="J209" s="85"/>
      <c r="K209" s="64"/>
      <c r="L209" s="65"/>
      <c r="M209" s="99"/>
      <c r="N209" s="70"/>
      <c r="O209" s="67"/>
      <c r="P209" s="68"/>
      <c r="Q209" s="76"/>
      <c r="R209" s="70"/>
      <c r="S209" s="1" t="s">
        <v>8098</v>
      </c>
      <c r="T209" s="68"/>
      <c r="U209" s="76"/>
      <c r="V209" s="70"/>
      <c r="W209" s="228">
        <f>ROUND((ROUND((ROUND((_15_同援日４．５*_15・基礎２),0)*(1+_15・A深夜)),0)*(1+_15・区３)),0)</f>
        <v>1296</v>
      </c>
      <c r="X209" s="69"/>
    </row>
    <row r="210" spans="1:24" ht="16.5" customHeight="1" x14ac:dyDescent="0.3">
      <c r="A210" s="2">
        <v>15</v>
      </c>
      <c r="B210" s="2">
        <v>8730</v>
      </c>
      <c r="C210" s="60" t="s">
        <v>9051</v>
      </c>
      <c r="D210" s="1"/>
      <c r="E210" s="68"/>
      <c r="F210" s="70"/>
      <c r="G210" s="106" t="s">
        <v>16812</v>
      </c>
      <c r="H210" s="57" t="s">
        <v>1</v>
      </c>
      <c r="I210" s="58">
        <v>0.9</v>
      </c>
      <c r="J210" s="83" t="s">
        <v>5895</v>
      </c>
      <c r="K210" s="64" t="s">
        <v>1</v>
      </c>
      <c r="L210" s="65">
        <v>1</v>
      </c>
      <c r="M210" s="99"/>
      <c r="N210" s="70"/>
      <c r="O210" s="66"/>
      <c r="P210" s="57"/>
      <c r="Q210" s="58"/>
      <c r="R210" s="77"/>
      <c r="S210" s="1" t="s">
        <v>17970</v>
      </c>
      <c r="T210" s="68"/>
      <c r="U210" s="76"/>
      <c r="V210" s="70"/>
      <c r="W210" s="228">
        <f>ROUND((ROUND((ROUND((ROUND((_15_同援日４．５*_15・基礎２),0)*_15・２人),0)*(1+_15・A深夜)),0)*(1+_15・区３)),0)</f>
        <v>1296</v>
      </c>
      <c r="X210" s="69"/>
    </row>
    <row r="211" spans="1:24" ht="16.5" customHeight="1" x14ac:dyDescent="0.3">
      <c r="A211" s="2">
        <v>15</v>
      </c>
      <c r="B211" s="2">
        <v>8731</v>
      </c>
      <c r="C211" s="60" t="s">
        <v>9050</v>
      </c>
      <c r="D211" s="1"/>
      <c r="E211" s="68"/>
      <c r="F211" s="70"/>
      <c r="G211" s="61"/>
      <c r="H211" s="62"/>
      <c r="I211" s="63"/>
      <c r="J211" s="85"/>
      <c r="K211" s="64"/>
      <c r="L211" s="65"/>
      <c r="M211" s="99"/>
      <c r="N211" s="70"/>
      <c r="O211" s="74" t="s">
        <v>18005</v>
      </c>
      <c r="P211" s="62"/>
      <c r="Q211" s="63"/>
      <c r="R211" s="75"/>
      <c r="S211" s="67"/>
      <c r="T211" s="68" t="s">
        <v>1</v>
      </c>
      <c r="U211" s="76">
        <v>0.2</v>
      </c>
      <c r="V211" s="70" t="s">
        <v>422</v>
      </c>
      <c r="W211" s="228">
        <f>ROUND((ROUND((ROUND((_15_同援日４．５*(1+_15・A深夜)),0)*(1+_15・盲ろう)),0)*(1+_15・区３)),0)</f>
        <v>1800</v>
      </c>
      <c r="X211" s="69"/>
    </row>
    <row r="212" spans="1:24" ht="16.5" customHeight="1" x14ac:dyDescent="0.3">
      <c r="A212" s="2">
        <v>15</v>
      </c>
      <c r="B212" s="2">
        <v>8732</v>
      </c>
      <c r="C212" s="60" t="s">
        <v>9049</v>
      </c>
      <c r="D212" s="1"/>
      <c r="E212" s="68"/>
      <c r="F212" s="70"/>
      <c r="G212" s="66"/>
      <c r="H212" s="57"/>
      <c r="I212" s="58"/>
      <c r="J212" s="83" t="s">
        <v>5895</v>
      </c>
      <c r="K212" s="64" t="s">
        <v>1</v>
      </c>
      <c r="L212" s="65">
        <v>1</v>
      </c>
      <c r="M212" s="99"/>
      <c r="N212" s="70"/>
      <c r="O212" s="94" t="s">
        <v>8083</v>
      </c>
      <c r="P212" s="68"/>
      <c r="Q212" s="76"/>
      <c r="R212" s="70"/>
      <c r="S212" s="67"/>
      <c r="T212" s="68"/>
      <c r="U212" s="76"/>
      <c r="V212" s="70"/>
      <c r="W212" s="228">
        <f>ROUND((ROUND((ROUND((ROUND((_15_同援日４．５*_15・２人),0)*(1+_15・A深夜)),0)*(1+_15・盲ろう)),0)*(1+_15・区３)),0)</f>
        <v>1800</v>
      </c>
      <c r="X212" s="69"/>
    </row>
    <row r="213" spans="1:24" ht="16.5" customHeight="1" x14ac:dyDescent="0.3">
      <c r="A213" s="2">
        <v>15</v>
      </c>
      <c r="B213" s="2">
        <v>8733</v>
      </c>
      <c r="C213" s="60" t="s">
        <v>9048</v>
      </c>
      <c r="D213" s="1"/>
      <c r="E213" s="68"/>
      <c r="F213" s="70"/>
      <c r="G213" s="74" t="s">
        <v>17078</v>
      </c>
      <c r="H213" s="62"/>
      <c r="I213" s="63"/>
      <c r="J213" s="85"/>
      <c r="K213" s="64"/>
      <c r="L213" s="65"/>
      <c r="M213" s="99"/>
      <c r="N213" s="70"/>
      <c r="O213" s="67"/>
      <c r="P213" s="68" t="s">
        <v>1</v>
      </c>
      <c r="Q213" s="76">
        <v>0.25</v>
      </c>
      <c r="R213" s="70" t="s">
        <v>422</v>
      </c>
      <c r="S213" s="67"/>
      <c r="T213" s="68"/>
      <c r="U213" s="76"/>
      <c r="V213" s="70"/>
      <c r="W213" s="228">
        <f>ROUND((ROUND((ROUND((ROUND((_15_同援日４．５*_15・基礎２),0)*(1+_15・A深夜)),0)*(1+_15・盲ろう)),0)*(1+_15・区３)),0)</f>
        <v>1620</v>
      </c>
      <c r="X213" s="69"/>
    </row>
    <row r="214" spans="1:24" ht="16.5" customHeight="1" x14ac:dyDescent="0.3">
      <c r="A214" s="2">
        <v>15</v>
      </c>
      <c r="B214" s="2">
        <v>8734</v>
      </c>
      <c r="C214" s="60" t="s">
        <v>9047</v>
      </c>
      <c r="D214" s="1"/>
      <c r="E214" s="68"/>
      <c r="F214" s="70"/>
      <c r="G214" s="106" t="s">
        <v>17077</v>
      </c>
      <c r="H214" s="57" t="s">
        <v>1</v>
      </c>
      <c r="I214" s="58">
        <v>0.9</v>
      </c>
      <c r="J214" s="83" t="s">
        <v>5895</v>
      </c>
      <c r="K214" s="64" t="s">
        <v>1</v>
      </c>
      <c r="L214" s="65">
        <v>1</v>
      </c>
      <c r="M214" s="99"/>
      <c r="N214" s="70"/>
      <c r="O214" s="66"/>
      <c r="P214" s="57"/>
      <c r="Q214" s="58"/>
      <c r="R214" s="77"/>
      <c r="S214" s="66"/>
      <c r="T214" s="57"/>
      <c r="U214" s="58"/>
      <c r="V214" s="77"/>
      <c r="W214" s="228">
        <f>ROUND((ROUND((ROUND((ROUND((ROUND((_15_同援日４．５*_15・基礎２),0)*_15・２人),0)*(1+_15・A深夜)),0)*(1+_15・盲ろう)),0)*(1+_15・区３)),0)</f>
        <v>1620</v>
      </c>
      <c r="X214" s="69"/>
    </row>
    <row r="215" spans="1:24" ht="16.5" customHeight="1" x14ac:dyDescent="0.3">
      <c r="A215" s="2">
        <v>15</v>
      </c>
      <c r="B215" s="2">
        <v>8735</v>
      </c>
      <c r="C215" s="60" t="s">
        <v>9046</v>
      </c>
      <c r="D215" s="1"/>
      <c r="E215" s="68"/>
      <c r="F215" s="70"/>
      <c r="G215" s="61"/>
      <c r="H215" s="62"/>
      <c r="I215" s="63"/>
      <c r="J215" s="85"/>
      <c r="K215" s="64"/>
      <c r="L215" s="65"/>
      <c r="M215" s="99"/>
      <c r="N215" s="70"/>
      <c r="O215" s="61"/>
      <c r="P215" s="62"/>
      <c r="Q215" s="63"/>
      <c r="R215" s="75"/>
      <c r="S215" s="61"/>
      <c r="T215" s="62"/>
      <c r="U215" s="63"/>
      <c r="V215" s="75"/>
      <c r="W215" s="228">
        <f>ROUND((ROUND((_15_同援日４．５*(1+_15・A深夜)),0)*(1+_15・区４)),0)</f>
        <v>1680</v>
      </c>
      <c r="X215" s="69"/>
    </row>
    <row r="216" spans="1:24" ht="16.5" customHeight="1" x14ac:dyDescent="0.3">
      <c r="A216" s="2">
        <v>15</v>
      </c>
      <c r="B216" s="2">
        <v>8736</v>
      </c>
      <c r="C216" s="60" t="s">
        <v>9045</v>
      </c>
      <c r="D216" s="1"/>
      <c r="E216" s="68"/>
      <c r="F216" s="70"/>
      <c r="G216" s="66"/>
      <c r="H216" s="57"/>
      <c r="I216" s="58"/>
      <c r="J216" s="83" t="s">
        <v>5895</v>
      </c>
      <c r="K216" s="64" t="s">
        <v>1</v>
      </c>
      <c r="L216" s="65">
        <v>1</v>
      </c>
      <c r="M216" s="99"/>
      <c r="N216" s="70"/>
      <c r="O216" s="67"/>
      <c r="P216" s="68"/>
      <c r="Q216" s="76"/>
      <c r="R216" s="70"/>
      <c r="S216" s="67"/>
      <c r="T216" s="68"/>
      <c r="U216" s="76"/>
      <c r="V216" s="70"/>
      <c r="W216" s="228">
        <f>ROUND((ROUND((ROUND((_15_同援日４．５*_15・２人),0)*(1+_15・A深夜)),0)*(1+_15・区４)),0)</f>
        <v>1680</v>
      </c>
      <c r="X216" s="69"/>
    </row>
    <row r="217" spans="1:24" ht="16.5" customHeight="1" x14ac:dyDescent="0.3">
      <c r="A217" s="2">
        <v>15</v>
      </c>
      <c r="B217" s="2">
        <v>8737</v>
      </c>
      <c r="C217" s="60" t="s">
        <v>9044</v>
      </c>
      <c r="D217" s="1"/>
      <c r="E217" s="68"/>
      <c r="F217" s="70"/>
      <c r="G217" s="74" t="s">
        <v>17078</v>
      </c>
      <c r="H217" s="62"/>
      <c r="I217" s="63"/>
      <c r="J217" s="85"/>
      <c r="K217" s="64"/>
      <c r="L217" s="65"/>
      <c r="M217" s="99"/>
      <c r="N217" s="70"/>
      <c r="O217" s="67"/>
      <c r="P217" s="68"/>
      <c r="Q217" s="76"/>
      <c r="R217" s="70"/>
      <c r="S217" s="1" t="s">
        <v>18009</v>
      </c>
      <c r="T217" s="68"/>
      <c r="U217" s="76"/>
      <c r="V217" s="70"/>
      <c r="W217" s="228">
        <f>ROUND((ROUND((ROUND((_15_同援日４．５*_15・基礎２),0)*(1+_15・A深夜)),0)*(1+_15・区４)),0)</f>
        <v>1512</v>
      </c>
      <c r="X217" s="69"/>
    </row>
    <row r="218" spans="1:24" ht="16.5" customHeight="1" x14ac:dyDescent="0.3">
      <c r="A218" s="2">
        <v>15</v>
      </c>
      <c r="B218" s="2">
        <v>8738</v>
      </c>
      <c r="C218" s="60" t="s">
        <v>9043</v>
      </c>
      <c r="D218" s="1"/>
      <c r="E218" s="68"/>
      <c r="F218" s="70"/>
      <c r="G218" s="106" t="s">
        <v>17077</v>
      </c>
      <c r="H218" s="57" t="s">
        <v>1</v>
      </c>
      <c r="I218" s="58">
        <v>0.9</v>
      </c>
      <c r="J218" s="83" t="s">
        <v>5895</v>
      </c>
      <c r="K218" s="64" t="s">
        <v>1</v>
      </c>
      <c r="L218" s="65">
        <v>1</v>
      </c>
      <c r="M218" s="99"/>
      <c r="N218" s="70"/>
      <c r="O218" s="66"/>
      <c r="P218" s="57"/>
      <c r="Q218" s="58"/>
      <c r="R218" s="77"/>
      <c r="S218" s="1" t="s">
        <v>18006</v>
      </c>
      <c r="T218" s="68"/>
      <c r="U218" s="76"/>
      <c r="V218" s="70"/>
      <c r="W218" s="228">
        <f>ROUND((ROUND((ROUND((ROUND((_15_同援日４．５*_15・基礎２),0)*_15・２人),0)*(1+_15・A深夜)),0)*(1+_15・区４)),0)</f>
        <v>1512</v>
      </c>
      <c r="X218" s="69"/>
    </row>
    <row r="219" spans="1:24" ht="16.5" customHeight="1" x14ac:dyDescent="0.3">
      <c r="A219" s="2">
        <v>15</v>
      </c>
      <c r="B219" s="2">
        <v>8739</v>
      </c>
      <c r="C219" s="60" t="s">
        <v>9042</v>
      </c>
      <c r="D219" s="1"/>
      <c r="E219" s="68"/>
      <c r="F219" s="70"/>
      <c r="G219" s="61"/>
      <c r="H219" s="62"/>
      <c r="I219" s="63"/>
      <c r="J219" s="85"/>
      <c r="K219" s="64"/>
      <c r="L219" s="65"/>
      <c r="M219" s="99"/>
      <c r="N219" s="70"/>
      <c r="O219" s="74" t="s">
        <v>8085</v>
      </c>
      <c r="P219" s="62"/>
      <c r="Q219" s="63"/>
      <c r="R219" s="75"/>
      <c r="S219" s="67"/>
      <c r="T219" s="68" t="s">
        <v>1</v>
      </c>
      <c r="U219" s="76">
        <v>0.4</v>
      </c>
      <c r="V219" s="70" t="s">
        <v>422</v>
      </c>
      <c r="W219" s="228">
        <f>ROUND((ROUND((ROUND((_15_同援日４．５*(1+_15・A深夜)),0)*(1+_15・盲ろう)),0)*(1+_15・区４)),0)</f>
        <v>2100</v>
      </c>
      <c r="X219" s="69"/>
    </row>
    <row r="220" spans="1:24" ht="16.5" customHeight="1" x14ac:dyDescent="0.3">
      <c r="A220" s="2">
        <v>15</v>
      </c>
      <c r="B220" s="2">
        <v>8740</v>
      </c>
      <c r="C220" s="60" t="s">
        <v>9041</v>
      </c>
      <c r="D220" s="1"/>
      <c r="E220" s="68"/>
      <c r="F220" s="70"/>
      <c r="G220" s="66"/>
      <c r="H220" s="57"/>
      <c r="I220" s="58"/>
      <c r="J220" s="83" t="s">
        <v>5895</v>
      </c>
      <c r="K220" s="64" t="s">
        <v>1</v>
      </c>
      <c r="L220" s="65">
        <v>1</v>
      </c>
      <c r="M220" s="99"/>
      <c r="N220" s="70"/>
      <c r="O220" s="94" t="s">
        <v>18004</v>
      </c>
      <c r="P220" s="68"/>
      <c r="Q220" s="76"/>
      <c r="R220" s="70"/>
      <c r="S220" s="67"/>
      <c r="T220" s="68"/>
      <c r="U220" s="76"/>
      <c r="V220" s="70"/>
      <c r="W220" s="228">
        <f>ROUND((ROUND((ROUND((ROUND((_15_同援日４．５*_15・２人),0)*(1+_15・A深夜)),0)*(1+_15・盲ろう)),0)*(1+_15・区４)),0)</f>
        <v>2100</v>
      </c>
      <c r="X220" s="69"/>
    </row>
    <row r="221" spans="1:24" ht="16.5" customHeight="1" x14ac:dyDescent="0.3">
      <c r="A221" s="2">
        <v>15</v>
      </c>
      <c r="B221" s="2">
        <v>8741</v>
      </c>
      <c r="C221" s="60" t="s">
        <v>9040</v>
      </c>
      <c r="D221" s="1"/>
      <c r="E221" s="68"/>
      <c r="F221" s="70"/>
      <c r="G221" s="74" t="s">
        <v>17078</v>
      </c>
      <c r="H221" s="62"/>
      <c r="I221" s="63"/>
      <c r="J221" s="85"/>
      <c r="K221" s="64"/>
      <c r="L221" s="65"/>
      <c r="M221" s="99"/>
      <c r="N221" s="70"/>
      <c r="O221" s="67"/>
      <c r="P221" s="68" t="s">
        <v>1</v>
      </c>
      <c r="Q221" s="76">
        <v>0.25</v>
      </c>
      <c r="R221" s="70" t="s">
        <v>422</v>
      </c>
      <c r="S221" s="67"/>
      <c r="T221" s="68"/>
      <c r="U221" s="76"/>
      <c r="V221" s="70"/>
      <c r="W221" s="228">
        <f>ROUND((ROUND((ROUND((ROUND((_15_同援日４．５*_15・基礎２),0)*(1+_15・A深夜)),0)*(1+_15・盲ろう)),0)*(1+_15・区４)),0)</f>
        <v>1890</v>
      </c>
      <c r="X221" s="69"/>
    </row>
    <row r="222" spans="1:24" ht="16.5" customHeight="1" x14ac:dyDescent="0.3">
      <c r="A222" s="2">
        <v>15</v>
      </c>
      <c r="B222" s="2">
        <v>8742</v>
      </c>
      <c r="C222" s="60" t="s">
        <v>9039</v>
      </c>
      <c r="D222" s="81"/>
      <c r="E222" s="57"/>
      <c r="F222" s="77"/>
      <c r="G222" s="106" t="s">
        <v>17077</v>
      </c>
      <c r="H222" s="57" t="s">
        <v>1</v>
      </c>
      <c r="I222" s="58">
        <v>0.9</v>
      </c>
      <c r="J222" s="83" t="s">
        <v>5895</v>
      </c>
      <c r="K222" s="64" t="s">
        <v>1</v>
      </c>
      <c r="L222" s="65">
        <v>1</v>
      </c>
      <c r="M222" s="99"/>
      <c r="N222" s="70"/>
      <c r="O222" s="66"/>
      <c r="P222" s="57"/>
      <c r="Q222" s="58"/>
      <c r="R222" s="77"/>
      <c r="S222" s="66"/>
      <c r="T222" s="57"/>
      <c r="U222" s="58"/>
      <c r="V222" s="77"/>
      <c r="W222" s="228">
        <f>ROUND((ROUND((ROUND((ROUND((ROUND((_15_同援日４．５*_15・基礎２),0)*_15・２人),0)*(1+_15・A深夜)),0)*(1+_15・盲ろう)),0)*(1+_15・区４)),0)</f>
        <v>1890</v>
      </c>
      <c r="X222" s="69"/>
    </row>
    <row r="223" spans="1:24" ht="16.5" customHeight="1" x14ac:dyDescent="0.3">
      <c r="A223" s="2">
        <v>15</v>
      </c>
      <c r="B223" s="2">
        <v>8743</v>
      </c>
      <c r="C223" s="60" t="s">
        <v>9038</v>
      </c>
      <c r="D223" s="233" t="s">
        <v>18012</v>
      </c>
      <c r="E223" s="62"/>
      <c r="F223" s="75"/>
      <c r="G223" s="61"/>
      <c r="H223" s="62"/>
      <c r="I223" s="63"/>
      <c r="J223" s="85"/>
      <c r="K223" s="64"/>
      <c r="L223" s="65"/>
      <c r="M223" s="99"/>
      <c r="N223" s="70"/>
      <c r="O223" s="61"/>
      <c r="P223" s="62"/>
      <c r="Q223" s="63"/>
      <c r="R223" s="75"/>
      <c r="S223" s="61"/>
      <c r="T223" s="62"/>
      <c r="U223" s="63"/>
      <c r="V223" s="75"/>
      <c r="W223" s="228">
        <f>ROUND((_15_同援日５．０*(1+_15・A深夜)),0)</f>
        <v>1295</v>
      </c>
      <c r="X223" s="69"/>
    </row>
    <row r="224" spans="1:24" ht="16.5" customHeight="1" x14ac:dyDescent="0.3">
      <c r="A224" s="2">
        <v>15</v>
      </c>
      <c r="B224" s="2">
        <v>8744</v>
      </c>
      <c r="C224" s="60" t="s">
        <v>9037</v>
      </c>
      <c r="D224" s="1" t="s">
        <v>5952</v>
      </c>
      <c r="E224" s="68"/>
      <c r="F224" s="70"/>
      <c r="G224" s="66"/>
      <c r="H224" s="57"/>
      <c r="I224" s="58"/>
      <c r="J224" s="83" t="s">
        <v>5895</v>
      </c>
      <c r="K224" s="64" t="s">
        <v>1</v>
      </c>
      <c r="L224" s="65">
        <v>1</v>
      </c>
      <c r="M224" s="99"/>
      <c r="N224" s="70"/>
      <c r="O224" s="67"/>
      <c r="P224" s="68"/>
      <c r="Q224" s="76"/>
      <c r="R224" s="70"/>
      <c r="S224" s="67"/>
      <c r="T224" s="68"/>
      <c r="U224" s="76"/>
      <c r="V224" s="70"/>
      <c r="W224" s="228">
        <f>ROUND((ROUND((_15_同援日５．０*_15・２人),0)*(1+_15・A深夜)),0)</f>
        <v>1295</v>
      </c>
      <c r="X224" s="69"/>
    </row>
    <row r="225" spans="1:24" ht="16.5" customHeight="1" x14ac:dyDescent="0.3">
      <c r="A225" s="2">
        <v>15</v>
      </c>
      <c r="B225" s="2">
        <v>8745</v>
      </c>
      <c r="C225" s="60" t="s">
        <v>9036</v>
      </c>
      <c r="D225" s="1" t="s">
        <v>9035</v>
      </c>
      <c r="E225" s="68"/>
      <c r="F225" s="70"/>
      <c r="G225" s="74" t="s">
        <v>17078</v>
      </c>
      <c r="H225" s="62"/>
      <c r="I225" s="63"/>
      <c r="J225" s="85"/>
      <c r="K225" s="64"/>
      <c r="L225" s="65"/>
      <c r="M225" s="99"/>
      <c r="N225" s="70"/>
      <c r="O225" s="67"/>
      <c r="P225" s="68"/>
      <c r="Q225" s="76"/>
      <c r="R225" s="70"/>
      <c r="S225" s="67"/>
      <c r="T225" s="68"/>
      <c r="U225" s="76"/>
      <c r="V225" s="70"/>
      <c r="W225" s="228">
        <f>ROUND((ROUND((_15_同援日５．０*_15・基礎２),0)*(1+_15・A深夜)),0)</f>
        <v>1166</v>
      </c>
      <c r="X225" s="69"/>
    </row>
    <row r="226" spans="1:24" ht="16.5" customHeight="1" x14ac:dyDescent="0.3">
      <c r="A226" s="2">
        <v>15</v>
      </c>
      <c r="B226" s="2">
        <v>8746</v>
      </c>
      <c r="C226" s="60" t="s">
        <v>9034</v>
      </c>
      <c r="D226" s="1"/>
      <c r="E226" s="227">
        <v>863</v>
      </c>
      <c r="F226" s="70" t="s">
        <v>0</v>
      </c>
      <c r="G226" s="106" t="s">
        <v>16812</v>
      </c>
      <c r="H226" s="57" t="s">
        <v>1</v>
      </c>
      <c r="I226" s="58">
        <v>0.9</v>
      </c>
      <c r="J226" s="83" t="s">
        <v>5895</v>
      </c>
      <c r="K226" s="64" t="s">
        <v>1</v>
      </c>
      <c r="L226" s="65">
        <v>1</v>
      </c>
      <c r="M226" s="99"/>
      <c r="N226" s="70"/>
      <c r="O226" s="66"/>
      <c r="P226" s="57"/>
      <c r="Q226" s="58"/>
      <c r="R226" s="77"/>
      <c r="S226" s="67"/>
      <c r="T226" s="68"/>
      <c r="U226" s="76"/>
      <c r="V226" s="70"/>
      <c r="W226" s="228">
        <f>ROUND((ROUND((ROUND((_15_同援日５．０*_15・基礎２),0)*_15・２人),0)*(1+_15・A深夜)),0)</f>
        <v>1166</v>
      </c>
      <c r="X226" s="69"/>
    </row>
    <row r="227" spans="1:24" ht="16.5" customHeight="1" x14ac:dyDescent="0.3">
      <c r="A227" s="2">
        <v>15</v>
      </c>
      <c r="B227" s="2">
        <v>8747</v>
      </c>
      <c r="C227" s="60" t="s">
        <v>9033</v>
      </c>
      <c r="D227" s="1"/>
      <c r="E227" s="68"/>
      <c r="F227" s="70"/>
      <c r="G227" s="61"/>
      <c r="H227" s="62"/>
      <c r="I227" s="63"/>
      <c r="J227" s="85"/>
      <c r="K227" s="64"/>
      <c r="L227" s="65"/>
      <c r="M227" s="99"/>
      <c r="N227" s="70"/>
      <c r="O227" s="74" t="s">
        <v>18005</v>
      </c>
      <c r="P227" s="62"/>
      <c r="Q227" s="63"/>
      <c r="R227" s="75"/>
      <c r="S227" s="67"/>
      <c r="T227" s="68"/>
      <c r="U227" s="76"/>
      <c r="V227" s="70"/>
      <c r="W227" s="228">
        <f>ROUND((ROUND((_15_同援日５．０*(1+_15・A深夜)),0)*(1+_15・盲ろう)),0)</f>
        <v>1619</v>
      </c>
      <c r="X227" s="69"/>
    </row>
    <row r="228" spans="1:24" ht="16.5" customHeight="1" x14ac:dyDescent="0.3">
      <c r="A228" s="2">
        <v>15</v>
      </c>
      <c r="B228" s="2">
        <v>8748</v>
      </c>
      <c r="C228" s="60" t="s">
        <v>9032</v>
      </c>
      <c r="D228" s="1"/>
      <c r="E228" s="68"/>
      <c r="F228" s="70"/>
      <c r="G228" s="66"/>
      <c r="H228" s="57"/>
      <c r="I228" s="58"/>
      <c r="J228" s="83" t="s">
        <v>5895</v>
      </c>
      <c r="K228" s="64" t="s">
        <v>1</v>
      </c>
      <c r="L228" s="65">
        <v>1</v>
      </c>
      <c r="M228" s="99"/>
      <c r="N228" s="70"/>
      <c r="O228" s="94" t="s">
        <v>8083</v>
      </c>
      <c r="P228" s="68"/>
      <c r="Q228" s="76"/>
      <c r="R228" s="70"/>
      <c r="S228" s="67"/>
      <c r="T228" s="68"/>
      <c r="U228" s="76"/>
      <c r="V228" s="70"/>
      <c r="W228" s="228">
        <f>ROUND((ROUND((ROUND((_15_同援日５．０*_15・２人),0)*(1+_15・A深夜)),0)*(1+_15・盲ろう)),0)</f>
        <v>1619</v>
      </c>
      <c r="X228" s="69"/>
    </row>
    <row r="229" spans="1:24" ht="16.5" customHeight="1" x14ac:dyDescent="0.3">
      <c r="A229" s="2">
        <v>15</v>
      </c>
      <c r="B229" s="2">
        <v>8749</v>
      </c>
      <c r="C229" s="60" t="s">
        <v>9031</v>
      </c>
      <c r="D229" s="1"/>
      <c r="E229" s="68"/>
      <c r="F229" s="70"/>
      <c r="G229" s="74" t="s">
        <v>17078</v>
      </c>
      <c r="H229" s="62"/>
      <c r="I229" s="63"/>
      <c r="J229" s="85"/>
      <c r="K229" s="64"/>
      <c r="L229" s="65"/>
      <c r="M229" s="99"/>
      <c r="N229" s="70"/>
      <c r="O229" s="67"/>
      <c r="P229" s="68" t="s">
        <v>1</v>
      </c>
      <c r="Q229" s="76">
        <v>0.25</v>
      </c>
      <c r="R229" s="70" t="s">
        <v>422</v>
      </c>
      <c r="S229" s="67"/>
      <c r="T229" s="68"/>
      <c r="U229" s="76"/>
      <c r="V229" s="70"/>
      <c r="W229" s="228">
        <f>ROUND((ROUND((ROUND((_15_同援日５．０*_15・基礎２),0)*(1+_15・A深夜)),0)*(1+_15・盲ろう)),0)</f>
        <v>1458</v>
      </c>
      <c r="X229" s="69"/>
    </row>
    <row r="230" spans="1:24" ht="16.5" customHeight="1" x14ac:dyDescent="0.3">
      <c r="A230" s="2">
        <v>15</v>
      </c>
      <c r="B230" s="2">
        <v>8750</v>
      </c>
      <c r="C230" s="60" t="s">
        <v>9030</v>
      </c>
      <c r="D230" s="1"/>
      <c r="E230" s="68"/>
      <c r="F230" s="70"/>
      <c r="G230" s="106" t="s">
        <v>17077</v>
      </c>
      <c r="H230" s="57" t="s">
        <v>1</v>
      </c>
      <c r="I230" s="58">
        <v>0.9</v>
      </c>
      <c r="J230" s="83" t="s">
        <v>5895</v>
      </c>
      <c r="K230" s="64" t="s">
        <v>1</v>
      </c>
      <c r="L230" s="65">
        <v>1</v>
      </c>
      <c r="M230" s="99"/>
      <c r="N230" s="70"/>
      <c r="O230" s="66"/>
      <c r="P230" s="57"/>
      <c r="Q230" s="58"/>
      <c r="R230" s="77"/>
      <c r="S230" s="66"/>
      <c r="T230" s="57"/>
      <c r="U230" s="58"/>
      <c r="V230" s="77"/>
      <c r="W230" s="228">
        <f>ROUND((ROUND((ROUND((ROUND((_15_同援日５．０*_15・基礎２),0)*_15・２人),0)*(1+_15・A深夜)),0)*(1+_15・盲ろう)),0)</f>
        <v>1458</v>
      </c>
      <c r="X230" s="69"/>
    </row>
    <row r="231" spans="1:24" ht="16.5" customHeight="1" x14ac:dyDescent="0.3">
      <c r="A231" s="2">
        <v>15</v>
      </c>
      <c r="B231" s="2">
        <v>8751</v>
      </c>
      <c r="C231" s="60" t="s">
        <v>9029</v>
      </c>
      <c r="D231" s="1"/>
      <c r="E231" s="68"/>
      <c r="F231" s="70"/>
      <c r="G231" s="61"/>
      <c r="H231" s="62"/>
      <c r="I231" s="63"/>
      <c r="J231" s="85"/>
      <c r="K231" s="64"/>
      <c r="L231" s="65"/>
      <c r="M231" s="99"/>
      <c r="N231" s="70"/>
      <c r="O231" s="61"/>
      <c r="P231" s="62"/>
      <c r="Q231" s="63"/>
      <c r="R231" s="75"/>
      <c r="S231" s="61"/>
      <c r="T231" s="62"/>
      <c r="U231" s="63"/>
      <c r="V231" s="75"/>
      <c r="W231" s="228">
        <f>ROUND((ROUND((_15_同援日５．０*(1+_15・A深夜)),0)*(1+_15・区３)),0)</f>
        <v>1554</v>
      </c>
      <c r="X231" s="69"/>
    </row>
    <row r="232" spans="1:24" ht="16.5" customHeight="1" x14ac:dyDescent="0.3">
      <c r="A232" s="2">
        <v>15</v>
      </c>
      <c r="B232" s="2">
        <v>8752</v>
      </c>
      <c r="C232" s="60" t="s">
        <v>9028</v>
      </c>
      <c r="D232" s="1"/>
      <c r="E232" s="68"/>
      <c r="F232" s="70"/>
      <c r="G232" s="66"/>
      <c r="H232" s="57"/>
      <c r="I232" s="58"/>
      <c r="J232" s="83" t="s">
        <v>5895</v>
      </c>
      <c r="K232" s="64" t="s">
        <v>1</v>
      </c>
      <c r="L232" s="65">
        <v>1</v>
      </c>
      <c r="M232" s="99"/>
      <c r="N232" s="70"/>
      <c r="O232" s="67"/>
      <c r="P232" s="68"/>
      <c r="Q232" s="76"/>
      <c r="R232" s="70"/>
      <c r="S232" s="67"/>
      <c r="T232" s="68"/>
      <c r="U232" s="76"/>
      <c r="V232" s="70"/>
      <c r="W232" s="228">
        <f>ROUND((ROUND((ROUND((_15_同援日５．０*_15・２人),0)*(1+_15・A深夜)),0)*(1+_15・区３)),0)</f>
        <v>1554</v>
      </c>
      <c r="X232" s="69"/>
    </row>
    <row r="233" spans="1:24" ht="16.5" customHeight="1" x14ac:dyDescent="0.3">
      <c r="A233" s="2">
        <v>15</v>
      </c>
      <c r="B233" s="2">
        <v>8753</v>
      </c>
      <c r="C233" s="60" t="s">
        <v>9027</v>
      </c>
      <c r="D233" s="1"/>
      <c r="E233" s="68"/>
      <c r="F233" s="70"/>
      <c r="G233" s="74" t="s">
        <v>17078</v>
      </c>
      <c r="H233" s="62"/>
      <c r="I233" s="63"/>
      <c r="J233" s="85"/>
      <c r="K233" s="64"/>
      <c r="L233" s="65"/>
      <c r="M233" s="99"/>
      <c r="N233" s="70"/>
      <c r="O233" s="67"/>
      <c r="P233" s="68"/>
      <c r="Q233" s="76"/>
      <c r="R233" s="70"/>
      <c r="S233" s="1" t="s">
        <v>18010</v>
      </c>
      <c r="T233" s="68"/>
      <c r="U233" s="76"/>
      <c r="V233" s="70"/>
      <c r="W233" s="228">
        <f>ROUND((ROUND((ROUND((_15_同援日５．０*_15・基礎２),0)*(1+_15・A深夜)),0)*(1+_15・区３)),0)</f>
        <v>1399</v>
      </c>
      <c r="X233" s="69"/>
    </row>
    <row r="234" spans="1:24" ht="16.5" customHeight="1" x14ac:dyDescent="0.3">
      <c r="A234" s="2">
        <v>15</v>
      </c>
      <c r="B234" s="2">
        <v>8754</v>
      </c>
      <c r="C234" s="60" t="s">
        <v>9026</v>
      </c>
      <c r="D234" s="1"/>
      <c r="E234" s="68"/>
      <c r="F234" s="70"/>
      <c r="G234" s="106" t="s">
        <v>17077</v>
      </c>
      <c r="H234" s="57" t="s">
        <v>1</v>
      </c>
      <c r="I234" s="58">
        <v>0.9</v>
      </c>
      <c r="J234" s="83" t="s">
        <v>5895</v>
      </c>
      <c r="K234" s="64" t="s">
        <v>1</v>
      </c>
      <c r="L234" s="65">
        <v>1</v>
      </c>
      <c r="M234" s="99"/>
      <c r="N234" s="70"/>
      <c r="O234" s="66"/>
      <c r="P234" s="57"/>
      <c r="Q234" s="58"/>
      <c r="R234" s="77"/>
      <c r="S234" s="1" t="s">
        <v>8087</v>
      </c>
      <c r="T234" s="68"/>
      <c r="U234" s="76"/>
      <c r="V234" s="70"/>
      <c r="W234" s="228">
        <f>ROUND((ROUND((ROUND((ROUND((_15_同援日５．０*_15・基礎２),0)*_15・２人),0)*(1+_15・A深夜)),0)*(1+_15・区３)),0)</f>
        <v>1399</v>
      </c>
      <c r="X234" s="69"/>
    </row>
    <row r="235" spans="1:24" ht="16.5" customHeight="1" x14ac:dyDescent="0.3">
      <c r="A235" s="2">
        <v>15</v>
      </c>
      <c r="B235" s="2">
        <v>8755</v>
      </c>
      <c r="C235" s="60" t="s">
        <v>9025</v>
      </c>
      <c r="D235" s="1"/>
      <c r="E235" s="68"/>
      <c r="F235" s="70"/>
      <c r="G235" s="61"/>
      <c r="H235" s="62"/>
      <c r="I235" s="63"/>
      <c r="J235" s="85"/>
      <c r="K235" s="64"/>
      <c r="L235" s="65"/>
      <c r="M235" s="99"/>
      <c r="N235" s="70"/>
      <c r="O235" s="74" t="s">
        <v>17969</v>
      </c>
      <c r="P235" s="62"/>
      <c r="Q235" s="63"/>
      <c r="R235" s="75"/>
      <c r="S235" s="67"/>
      <c r="T235" s="68" t="s">
        <v>1</v>
      </c>
      <c r="U235" s="76">
        <v>0.2</v>
      </c>
      <c r="V235" s="70" t="s">
        <v>422</v>
      </c>
      <c r="W235" s="228">
        <f>ROUND((ROUND((ROUND((_15_同援日５．０*(1+_15・A深夜)),0)*(1+_15・盲ろう)),0)*(1+_15・区３)),0)</f>
        <v>1943</v>
      </c>
      <c r="X235" s="69"/>
    </row>
    <row r="236" spans="1:24" ht="16.5" customHeight="1" x14ac:dyDescent="0.3">
      <c r="A236" s="2">
        <v>15</v>
      </c>
      <c r="B236" s="2">
        <v>8756</v>
      </c>
      <c r="C236" s="60" t="s">
        <v>9024</v>
      </c>
      <c r="D236" s="1"/>
      <c r="E236" s="68"/>
      <c r="F236" s="70"/>
      <c r="G236" s="66"/>
      <c r="H236" s="57"/>
      <c r="I236" s="58"/>
      <c r="J236" s="83" t="s">
        <v>5895</v>
      </c>
      <c r="K236" s="64" t="s">
        <v>1</v>
      </c>
      <c r="L236" s="65">
        <v>1</v>
      </c>
      <c r="M236" s="99"/>
      <c r="N236" s="70"/>
      <c r="O236" s="94" t="s">
        <v>17968</v>
      </c>
      <c r="P236" s="68"/>
      <c r="Q236" s="76"/>
      <c r="R236" s="70"/>
      <c r="S236" s="67"/>
      <c r="T236" s="68"/>
      <c r="U236" s="76"/>
      <c r="V236" s="70"/>
      <c r="W236" s="228">
        <f>ROUND((ROUND((ROUND((ROUND((_15_同援日５．０*_15・２人),0)*(1+_15・A深夜)),0)*(1+_15・盲ろう)),0)*(1+_15・区３)),0)</f>
        <v>1943</v>
      </c>
      <c r="X236" s="69"/>
    </row>
    <row r="237" spans="1:24" ht="16.5" customHeight="1" x14ac:dyDescent="0.3">
      <c r="A237" s="2">
        <v>15</v>
      </c>
      <c r="B237" s="2">
        <v>8757</v>
      </c>
      <c r="C237" s="60" t="s">
        <v>9023</v>
      </c>
      <c r="D237" s="1"/>
      <c r="E237" s="68"/>
      <c r="F237" s="70"/>
      <c r="G237" s="74" t="s">
        <v>17078</v>
      </c>
      <c r="H237" s="62"/>
      <c r="I237" s="63"/>
      <c r="J237" s="85"/>
      <c r="K237" s="64"/>
      <c r="L237" s="65"/>
      <c r="M237" s="99"/>
      <c r="N237" s="70"/>
      <c r="O237" s="67"/>
      <c r="P237" s="68" t="s">
        <v>1</v>
      </c>
      <c r="Q237" s="76">
        <v>0.25</v>
      </c>
      <c r="R237" s="70" t="s">
        <v>422</v>
      </c>
      <c r="S237" s="67"/>
      <c r="T237" s="68"/>
      <c r="U237" s="76"/>
      <c r="V237" s="70"/>
      <c r="W237" s="228">
        <f>ROUND((ROUND((ROUND((ROUND((_15_同援日５．０*_15・基礎２),0)*(1+_15・A深夜)),0)*(1+_15・盲ろう)),0)*(1+_15・区３)),0)</f>
        <v>1750</v>
      </c>
      <c r="X237" s="69"/>
    </row>
    <row r="238" spans="1:24" ht="16.5" customHeight="1" x14ac:dyDescent="0.3">
      <c r="A238" s="2">
        <v>15</v>
      </c>
      <c r="B238" s="2">
        <v>8758</v>
      </c>
      <c r="C238" s="60" t="s">
        <v>9022</v>
      </c>
      <c r="D238" s="1"/>
      <c r="E238" s="68"/>
      <c r="F238" s="70"/>
      <c r="G238" s="106" t="s">
        <v>17077</v>
      </c>
      <c r="H238" s="57" t="s">
        <v>1</v>
      </c>
      <c r="I238" s="58">
        <v>0.9</v>
      </c>
      <c r="J238" s="83" t="s">
        <v>5895</v>
      </c>
      <c r="K238" s="64" t="s">
        <v>1</v>
      </c>
      <c r="L238" s="65">
        <v>1</v>
      </c>
      <c r="M238" s="99"/>
      <c r="N238" s="70"/>
      <c r="O238" s="66"/>
      <c r="P238" s="57"/>
      <c r="Q238" s="58"/>
      <c r="R238" s="77"/>
      <c r="S238" s="66"/>
      <c r="T238" s="57"/>
      <c r="U238" s="58"/>
      <c r="V238" s="77"/>
      <c r="W238" s="228">
        <f>ROUND((ROUND((ROUND((ROUND((ROUND((_15_同援日５．０*_15・基礎２),0)*_15・２人),0)*(1+_15・A深夜)),0)*(1+_15・盲ろう)),0)*(1+_15・区３)),0)</f>
        <v>1750</v>
      </c>
      <c r="X238" s="69"/>
    </row>
    <row r="239" spans="1:24" ht="16.5" customHeight="1" x14ac:dyDescent="0.3">
      <c r="A239" s="2">
        <v>15</v>
      </c>
      <c r="B239" s="2">
        <v>8759</v>
      </c>
      <c r="C239" s="60" t="s">
        <v>9021</v>
      </c>
      <c r="D239" s="1"/>
      <c r="E239" s="68"/>
      <c r="F239" s="70"/>
      <c r="G239" s="61"/>
      <c r="H239" s="62"/>
      <c r="I239" s="63"/>
      <c r="J239" s="85"/>
      <c r="K239" s="64"/>
      <c r="L239" s="65"/>
      <c r="M239" s="99"/>
      <c r="N239" s="70"/>
      <c r="O239" s="61"/>
      <c r="P239" s="62"/>
      <c r="Q239" s="63"/>
      <c r="R239" s="75"/>
      <c r="S239" s="61"/>
      <c r="T239" s="62"/>
      <c r="U239" s="63"/>
      <c r="V239" s="75"/>
      <c r="W239" s="228">
        <f>ROUND((ROUND((_15_同援日５．０*(1+_15・A深夜)),0)*(1+_15・区４)),0)</f>
        <v>1813</v>
      </c>
      <c r="X239" s="69"/>
    </row>
    <row r="240" spans="1:24" ht="16.5" customHeight="1" x14ac:dyDescent="0.3">
      <c r="A240" s="2">
        <v>15</v>
      </c>
      <c r="B240" s="2">
        <v>8760</v>
      </c>
      <c r="C240" s="60" t="s">
        <v>9020</v>
      </c>
      <c r="D240" s="1"/>
      <c r="E240" s="68"/>
      <c r="F240" s="70"/>
      <c r="G240" s="66"/>
      <c r="H240" s="57"/>
      <c r="I240" s="58"/>
      <c r="J240" s="83" t="s">
        <v>5895</v>
      </c>
      <c r="K240" s="64" t="s">
        <v>1</v>
      </c>
      <c r="L240" s="65">
        <v>1</v>
      </c>
      <c r="M240" s="99"/>
      <c r="N240" s="70"/>
      <c r="O240" s="67"/>
      <c r="P240" s="68"/>
      <c r="Q240" s="76"/>
      <c r="R240" s="70"/>
      <c r="S240" s="67"/>
      <c r="T240" s="68"/>
      <c r="U240" s="76"/>
      <c r="V240" s="70"/>
      <c r="W240" s="228">
        <f>ROUND((ROUND((ROUND((_15_同援日５．０*_15・２人),0)*(1+_15・A深夜)),0)*(1+_15・区４)),0)</f>
        <v>1813</v>
      </c>
      <c r="X240" s="69"/>
    </row>
    <row r="241" spans="1:24" ht="16.5" customHeight="1" x14ac:dyDescent="0.3">
      <c r="A241" s="2">
        <v>15</v>
      </c>
      <c r="B241" s="2">
        <v>8761</v>
      </c>
      <c r="C241" s="60" t="s">
        <v>9019</v>
      </c>
      <c r="D241" s="1"/>
      <c r="E241" s="68"/>
      <c r="F241" s="70"/>
      <c r="G241" s="74" t="s">
        <v>17078</v>
      </c>
      <c r="H241" s="62"/>
      <c r="I241" s="63"/>
      <c r="J241" s="85"/>
      <c r="K241" s="64"/>
      <c r="L241" s="65"/>
      <c r="M241" s="99"/>
      <c r="N241" s="70"/>
      <c r="O241" s="67"/>
      <c r="P241" s="68"/>
      <c r="Q241" s="76"/>
      <c r="R241" s="70"/>
      <c r="S241" s="1" t="s">
        <v>18009</v>
      </c>
      <c r="T241" s="68"/>
      <c r="U241" s="76"/>
      <c r="V241" s="70"/>
      <c r="W241" s="228">
        <f>ROUND((ROUND((ROUND((_15_同援日５．０*_15・基礎２),0)*(1+_15・A深夜)),0)*(1+_15・区４)),0)</f>
        <v>1632</v>
      </c>
      <c r="X241" s="69"/>
    </row>
    <row r="242" spans="1:24" ht="16.5" customHeight="1" x14ac:dyDescent="0.3">
      <c r="A242" s="2">
        <v>15</v>
      </c>
      <c r="B242" s="2">
        <v>8762</v>
      </c>
      <c r="C242" s="60" t="s">
        <v>9018</v>
      </c>
      <c r="D242" s="1"/>
      <c r="E242" s="68"/>
      <c r="F242" s="70"/>
      <c r="G242" s="106" t="s">
        <v>16812</v>
      </c>
      <c r="H242" s="57" t="s">
        <v>1</v>
      </c>
      <c r="I242" s="58">
        <v>0.9</v>
      </c>
      <c r="J242" s="83" t="s">
        <v>5895</v>
      </c>
      <c r="K242" s="64" t="s">
        <v>1</v>
      </c>
      <c r="L242" s="65">
        <v>1</v>
      </c>
      <c r="M242" s="99"/>
      <c r="N242" s="70"/>
      <c r="O242" s="66"/>
      <c r="P242" s="57"/>
      <c r="Q242" s="58"/>
      <c r="R242" s="77"/>
      <c r="S242" s="1" t="s">
        <v>18006</v>
      </c>
      <c r="T242" s="68"/>
      <c r="U242" s="76"/>
      <c r="V242" s="70"/>
      <c r="W242" s="228">
        <f>ROUND((ROUND((ROUND((ROUND((_15_同援日５．０*_15・基礎２),0)*_15・２人),0)*(1+_15・A深夜)),0)*(1+_15・区４)),0)</f>
        <v>1632</v>
      </c>
      <c r="X242" s="69"/>
    </row>
    <row r="243" spans="1:24" ht="16.5" customHeight="1" x14ac:dyDescent="0.3">
      <c r="A243" s="2">
        <v>15</v>
      </c>
      <c r="B243" s="2">
        <v>8763</v>
      </c>
      <c r="C243" s="60" t="s">
        <v>9017</v>
      </c>
      <c r="D243" s="1"/>
      <c r="E243" s="68"/>
      <c r="F243" s="70"/>
      <c r="G243" s="61"/>
      <c r="H243" s="62"/>
      <c r="I243" s="63"/>
      <c r="J243" s="85"/>
      <c r="K243" s="64"/>
      <c r="L243" s="65"/>
      <c r="M243" s="99"/>
      <c r="N243" s="70"/>
      <c r="O243" s="74" t="s">
        <v>18005</v>
      </c>
      <c r="P243" s="62"/>
      <c r="Q243" s="63"/>
      <c r="R243" s="75"/>
      <c r="S243" s="67"/>
      <c r="T243" s="68" t="s">
        <v>1</v>
      </c>
      <c r="U243" s="76">
        <v>0.4</v>
      </c>
      <c r="V243" s="70" t="s">
        <v>422</v>
      </c>
      <c r="W243" s="228">
        <f>ROUND((ROUND((ROUND((_15_同援日５．０*(1+_15・A深夜)),0)*(1+_15・盲ろう)),0)*(1+_15・区４)),0)</f>
        <v>2267</v>
      </c>
      <c r="X243" s="69"/>
    </row>
    <row r="244" spans="1:24" ht="16.5" customHeight="1" x14ac:dyDescent="0.3">
      <c r="A244" s="2">
        <v>15</v>
      </c>
      <c r="B244" s="2">
        <v>8764</v>
      </c>
      <c r="C244" s="60" t="s">
        <v>9016</v>
      </c>
      <c r="D244" s="1"/>
      <c r="E244" s="68"/>
      <c r="F244" s="70"/>
      <c r="G244" s="66"/>
      <c r="H244" s="57"/>
      <c r="I244" s="58"/>
      <c r="J244" s="83" t="s">
        <v>5895</v>
      </c>
      <c r="K244" s="64" t="s">
        <v>1</v>
      </c>
      <c r="L244" s="65">
        <v>1</v>
      </c>
      <c r="M244" s="99"/>
      <c r="N244" s="70"/>
      <c r="O244" s="94" t="s">
        <v>18004</v>
      </c>
      <c r="P244" s="68"/>
      <c r="Q244" s="76"/>
      <c r="R244" s="70"/>
      <c r="S244" s="67"/>
      <c r="T244" s="68"/>
      <c r="U244" s="76"/>
      <c r="V244" s="70"/>
      <c r="W244" s="228">
        <f>ROUND((ROUND((ROUND((ROUND((_15_同援日５．０*_15・２人),0)*(1+_15・A深夜)),0)*(1+_15・盲ろう)),0)*(1+_15・区４)),0)</f>
        <v>2267</v>
      </c>
      <c r="X244" s="69"/>
    </row>
    <row r="245" spans="1:24" ht="16.5" customHeight="1" x14ac:dyDescent="0.3">
      <c r="A245" s="2">
        <v>15</v>
      </c>
      <c r="B245" s="2">
        <v>8765</v>
      </c>
      <c r="C245" s="60" t="s">
        <v>9015</v>
      </c>
      <c r="D245" s="1"/>
      <c r="E245" s="68"/>
      <c r="F245" s="70"/>
      <c r="G245" s="74" t="s">
        <v>16823</v>
      </c>
      <c r="H245" s="62"/>
      <c r="I245" s="63"/>
      <c r="J245" s="85"/>
      <c r="K245" s="64"/>
      <c r="L245" s="65"/>
      <c r="M245" s="99"/>
      <c r="N245" s="70"/>
      <c r="O245" s="67"/>
      <c r="P245" s="68" t="s">
        <v>1</v>
      </c>
      <c r="Q245" s="76">
        <v>0.25</v>
      </c>
      <c r="R245" s="70" t="s">
        <v>422</v>
      </c>
      <c r="S245" s="67"/>
      <c r="T245" s="68"/>
      <c r="U245" s="76"/>
      <c r="V245" s="70"/>
      <c r="W245" s="228">
        <f>ROUND((ROUND((ROUND((ROUND((_15_同援日５．０*_15・基礎２),0)*(1+_15・A深夜)),0)*(1+_15・盲ろう)),0)*(1+_15・区４)),0)</f>
        <v>2041</v>
      </c>
      <c r="X245" s="69"/>
    </row>
    <row r="246" spans="1:24" ht="16.5" customHeight="1" x14ac:dyDescent="0.3">
      <c r="A246" s="2">
        <v>15</v>
      </c>
      <c r="B246" s="2">
        <v>8766</v>
      </c>
      <c r="C246" s="60" t="s">
        <v>9014</v>
      </c>
      <c r="D246" s="81"/>
      <c r="E246" s="57"/>
      <c r="F246" s="77"/>
      <c r="G246" s="106" t="s">
        <v>17077</v>
      </c>
      <c r="H246" s="57" t="s">
        <v>1</v>
      </c>
      <c r="I246" s="58">
        <v>0.9</v>
      </c>
      <c r="J246" s="83" t="s">
        <v>5895</v>
      </c>
      <c r="K246" s="64" t="s">
        <v>1</v>
      </c>
      <c r="L246" s="65">
        <v>1</v>
      </c>
      <c r="M246" s="99"/>
      <c r="N246" s="70"/>
      <c r="O246" s="66"/>
      <c r="P246" s="57"/>
      <c r="Q246" s="58"/>
      <c r="R246" s="77"/>
      <c r="S246" s="66"/>
      <c r="T246" s="57"/>
      <c r="U246" s="58"/>
      <c r="V246" s="77"/>
      <c r="W246" s="228">
        <f>ROUND((ROUND((ROUND((ROUND((ROUND((_15_同援日５．０*_15・基礎２),0)*_15・２人),0)*(1+_15・A深夜)),0)*(1+_15・盲ろう)),0)*(1+_15・区４)),0)</f>
        <v>2041</v>
      </c>
      <c r="X246" s="69"/>
    </row>
    <row r="247" spans="1:24" ht="16.5" customHeight="1" x14ac:dyDescent="0.3">
      <c r="A247" s="2">
        <v>15</v>
      </c>
      <c r="B247" s="2">
        <v>8767</v>
      </c>
      <c r="C247" s="60" t="s">
        <v>9013</v>
      </c>
      <c r="D247" s="233" t="s">
        <v>16313</v>
      </c>
      <c r="E247" s="62"/>
      <c r="F247" s="75"/>
      <c r="G247" s="61"/>
      <c r="H247" s="62"/>
      <c r="I247" s="63"/>
      <c r="J247" s="85"/>
      <c r="K247" s="64"/>
      <c r="L247" s="65"/>
      <c r="M247" s="99"/>
      <c r="N247" s="70"/>
      <c r="O247" s="61"/>
      <c r="P247" s="62"/>
      <c r="Q247" s="63"/>
      <c r="R247" s="75"/>
      <c r="S247" s="61"/>
      <c r="T247" s="62"/>
      <c r="U247" s="63"/>
      <c r="V247" s="75"/>
      <c r="W247" s="228">
        <f>ROUND((_15_同援日５．５*(1+_15・A深夜)),0)</f>
        <v>1389</v>
      </c>
      <c r="X247" s="69"/>
    </row>
    <row r="248" spans="1:24" ht="16.5" customHeight="1" x14ac:dyDescent="0.3">
      <c r="A248" s="2">
        <v>15</v>
      </c>
      <c r="B248" s="2">
        <v>8768</v>
      </c>
      <c r="C248" s="60" t="s">
        <v>9012</v>
      </c>
      <c r="D248" s="1" t="s">
        <v>16847</v>
      </c>
      <c r="E248" s="68"/>
      <c r="F248" s="70"/>
      <c r="G248" s="66"/>
      <c r="H248" s="57"/>
      <c r="I248" s="58"/>
      <c r="J248" s="83" t="s">
        <v>5895</v>
      </c>
      <c r="K248" s="64" t="s">
        <v>1</v>
      </c>
      <c r="L248" s="65">
        <v>1</v>
      </c>
      <c r="M248" s="99"/>
      <c r="N248" s="70"/>
      <c r="O248" s="67"/>
      <c r="P248" s="68"/>
      <c r="Q248" s="76"/>
      <c r="R248" s="70"/>
      <c r="S248" s="67"/>
      <c r="T248" s="68"/>
      <c r="U248" s="76"/>
      <c r="V248" s="70"/>
      <c r="W248" s="228">
        <f>ROUND((ROUND((_15_同援日５．５*_15・２人),0)*(1+_15・A深夜)),0)</f>
        <v>1389</v>
      </c>
      <c r="X248" s="69"/>
    </row>
    <row r="249" spans="1:24" ht="16.5" customHeight="1" x14ac:dyDescent="0.3">
      <c r="A249" s="2">
        <v>15</v>
      </c>
      <c r="B249" s="2">
        <v>8769</v>
      </c>
      <c r="C249" s="60" t="s">
        <v>9011</v>
      </c>
      <c r="D249" s="1" t="s">
        <v>9010</v>
      </c>
      <c r="E249" s="68"/>
      <c r="F249" s="70"/>
      <c r="G249" s="74" t="s">
        <v>17078</v>
      </c>
      <c r="H249" s="62"/>
      <c r="I249" s="63"/>
      <c r="J249" s="85"/>
      <c r="K249" s="64"/>
      <c r="L249" s="65"/>
      <c r="M249" s="99"/>
      <c r="N249" s="70"/>
      <c r="O249" s="67"/>
      <c r="P249" s="68"/>
      <c r="Q249" s="76"/>
      <c r="R249" s="70"/>
      <c r="S249" s="67"/>
      <c r="T249" s="68"/>
      <c r="U249" s="76"/>
      <c r="V249" s="70"/>
      <c r="W249" s="120">
        <f>ROUND((ROUND((_15_同援日５．５*_15・基礎２),0)*(1+_15・A深夜)),0)</f>
        <v>1250</v>
      </c>
      <c r="X249" s="69"/>
    </row>
    <row r="250" spans="1:24" ht="16.5" customHeight="1" x14ac:dyDescent="0.3">
      <c r="A250" s="2">
        <v>15</v>
      </c>
      <c r="B250" s="2">
        <v>8770</v>
      </c>
      <c r="C250" s="60" t="s">
        <v>9009</v>
      </c>
      <c r="D250" s="1"/>
      <c r="E250" s="227">
        <v>926</v>
      </c>
      <c r="F250" s="70" t="s">
        <v>0</v>
      </c>
      <c r="G250" s="106" t="s">
        <v>17077</v>
      </c>
      <c r="H250" s="57" t="s">
        <v>1</v>
      </c>
      <c r="I250" s="58">
        <v>0.9</v>
      </c>
      <c r="J250" s="83" t="s">
        <v>5895</v>
      </c>
      <c r="K250" s="64" t="s">
        <v>1</v>
      </c>
      <c r="L250" s="65">
        <v>1</v>
      </c>
      <c r="M250" s="99"/>
      <c r="N250" s="70"/>
      <c r="O250" s="66"/>
      <c r="P250" s="57"/>
      <c r="Q250" s="58"/>
      <c r="R250" s="77"/>
      <c r="S250" s="67"/>
      <c r="T250" s="68"/>
      <c r="U250" s="76"/>
      <c r="V250" s="70"/>
      <c r="W250" s="120">
        <f>ROUND((ROUND((ROUND((_15_同援日５．５*_15・基礎２),0)*_15・２人),0)*(1+_15・A深夜)),0)</f>
        <v>1250</v>
      </c>
      <c r="X250" s="69"/>
    </row>
    <row r="251" spans="1:24" ht="16.5" customHeight="1" x14ac:dyDescent="0.3">
      <c r="A251" s="2">
        <v>15</v>
      </c>
      <c r="B251" s="2">
        <v>8771</v>
      </c>
      <c r="C251" s="60" t="s">
        <v>9008</v>
      </c>
      <c r="D251" s="1"/>
      <c r="E251" s="68"/>
      <c r="F251" s="70"/>
      <c r="G251" s="61"/>
      <c r="H251" s="62"/>
      <c r="I251" s="63"/>
      <c r="J251" s="85"/>
      <c r="K251" s="64"/>
      <c r="L251" s="65"/>
      <c r="M251" s="99"/>
      <c r="N251" s="70"/>
      <c r="O251" s="74" t="s">
        <v>8085</v>
      </c>
      <c r="P251" s="62"/>
      <c r="Q251" s="63"/>
      <c r="R251" s="75"/>
      <c r="S251" s="67"/>
      <c r="T251" s="68"/>
      <c r="U251" s="76"/>
      <c r="V251" s="70"/>
      <c r="W251" s="228">
        <f>ROUND((ROUND((_15_同援日５．５*(1+_15・A深夜)),0)*(1+_15・盲ろう)),0)</f>
        <v>1736</v>
      </c>
      <c r="X251" s="69"/>
    </row>
    <row r="252" spans="1:24" ht="16.5" customHeight="1" x14ac:dyDescent="0.3">
      <c r="A252" s="2">
        <v>15</v>
      </c>
      <c r="B252" s="2">
        <v>8772</v>
      </c>
      <c r="C252" s="60" t="s">
        <v>9007</v>
      </c>
      <c r="D252" s="1"/>
      <c r="E252" s="68"/>
      <c r="F252" s="70"/>
      <c r="G252" s="66"/>
      <c r="H252" s="57"/>
      <c r="I252" s="58"/>
      <c r="J252" s="83" t="s">
        <v>5895</v>
      </c>
      <c r="K252" s="64" t="s">
        <v>1</v>
      </c>
      <c r="L252" s="65">
        <v>1</v>
      </c>
      <c r="M252" s="99"/>
      <c r="N252" s="70"/>
      <c r="O252" s="94" t="s">
        <v>18004</v>
      </c>
      <c r="P252" s="68"/>
      <c r="Q252" s="76"/>
      <c r="R252" s="70"/>
      <c r="S252" s="67"/>
      <c r="T252" s="68"/>
      <c r="U252" s="76"/>
      <c r="V252" s="70"/>
      <c r="W252" s="228">
        <f>ROUND((ROUND((ROUND((_15_同援日５．５*_15・２人),0)*(1+_15・A深夜)),0)*(1+_15・盲ろう)),0)</f>
        <v>1736</v>
      </c>
      <c r="X252" s="69"/>
    </row>
    <row r="253" spans="1:24" ht="16.5" customHeight="1" x14ac:dyDescent="0.3">
      <c r="A253" s="2">
        <v>15</v>
      </c>
      <c r="B253" s="2">
        <v>8773</v>
      </c>
      <c r="C253" s="60" t="s">
        <v>9006</v>
      </c>
      <c r="D253" s="1"/>
      <c r="E253" s="68"/>
      <c r="F253" s="70"/>
      <c r="G253" s="74" t="s">
        <v>17078</v>
      </c>
      <c r="H253" s="62"/>
      <c r="I253" s="63"/>
      <c r="J253" s="85"/>
      <c r="K253" s="64"/>
      <c r="L253" s="65"/>
      <c r="M253" s="99"/>
      <c r="N253" s="70"/>
      <c r="O253" s="67"/>
      <c r="P253" s="68" t="s">
        <v>1</v>
      </c>
      <c r="Q253" s="76">
        <v>0.25</v>
      </c>
      <c r="R253" s="70" t="s">
        <v>422</v>
      </c>
      <c r="S253" s="67"/>
      <c r="T253" s="68"/>
      <c r="U253" s="76"/>
      <c r="V253" s="70"/>
      <c r="W253" s="120">
        <f>ROUND((ROUND((ROUND((_15_同援日５．５*_15・基礎２),0)*(1+_15・A深夜)),0)*(1+_15・盲ろう)),0)</f>
        <v>1563</v>
      </c>
      <c r="X253" s="69"/>
    </row>
    <row r="254" spans="1:24" ht="16.5" customHeight="1" x14ac:dyDescent="0.3">
      <c r="A254" s="2">
        <v>15</v>
      </c>
      <c r="B254" s="2">
        <v>8774</v>
      </c>
      <c r="C254" s="60" t="s">
        <v>9005</v>
      </c>
      <c r="D254" s="1"/>
      <c r="E254" s="68"/>
      <c r="F254" s="70"/>
      <c r="G254" s="106" t="s">
        <v>17077</v>
      </c>
      <c r="H254" s="57" t="s">
        <v>1</v>
      </c>
      <c r="I254" s="58">
        <v>0.9</v>
      </c>
      <c r="J254" s="83" t="s">
        <v>5895</v>
      </c>
      <c r="K254" s="64" t="s">
        <v>1</v>
      </c>
      <c r="L254" s="65">
        <v>1</v>
      </c>
      <c r="M254" s="99"/>
      <c r="N254" s="70"/>
      <c r="O254" s="66"/>
      <c r="P254" s="57"/>
      <c r="Q254" s="58"/>
      <c r="R254" s="77"/>
      <c r="S254" s="66"/>
      <c r="T254" s="57"/>
      <c r="U254" s="58"/>
      <c r="V254" s="77"/>
      <c r="W254" s="120">
        <f>ROUND((ROUND((ROUND((ROUND((_15_同援日５．５*_15・基礎２),0)*_15・２人),0)*(1+_15・A深夜)),0)*(1+_15・盲ろう)),0)</f>
        <v>1563</v>
      </c>
      <c r="X254" s="69"/>
    </row>
    <row r="255" spans="1:24" ht="16.5" customHeight="1" x14ac:dyDescent="0.3">
      <c r="A255" s="2">
        <v>15</v>
      </c>
      <c r="B255" s="2">
        <v>8775</v>
      </c>
      <c r="C255" s="60" t="s">
        <v>9004</v>
      </c>
      <c r="D255" s="1"/>
      <c r="E255" s="68"/>
      <c r="F255" s="70"/>
      <c r="G255" s="61"/>
      <c r="H255" s="62"/>
      <c r="I255" s="63"/>
      <c r="J255" s="85"/>
      <c r="K255" s="64"/>
      <c r="L255" s="65"/>
      <c r="M255" s="99"/>
      <c r="N255" s="70"/>
      <c r="O255" s="61"/>
      <c r="P255" s="62"/>
      <c r="Q255" s="63"/>
      <c r="R255" s="75"/>
      <c r="S255" s="61"/>
      <c r="T255" s="62"/>
      <c r="U255" s="63"/>
      <c r="V255" s="75"/>
      <c r="W255" s="228">
        <f>ROUND((ROUND((_15_同援日５．５*(1+_15・A深夜)),0)*(1+_15・区３)),0)</f>
        <v>1667</v>
      </c>
      <c r="X255" s="69"/>
    </row>
    <row r="256" spans="1:24" ht="16.5" customHeight="1" x14ac:dyDescent="0.3">
      <c r="A256" s="2">
        <v>15</v>
      </c>
      <c r="B256" s="2">
        <v>8776</v>
      </c>
      <c r="C256" s="60" t="s">
        <v>9003</v>
      </c>
      <c r="D256" s="1"/>
      <c r="E256" s="68"/>
      <c r="F256" s="70"/>
      <c r="G256" s="66"/>
      <c r="H256" s="57"/>
      <c r="I256" s="58"/>
      <c r="J256" s="83" t="s">
        <v>5895</v>
      </c>
      <c r="K256" s="64" t="s">
        <v>1</v>
      </c>
      <c r="L256" s="65">
        <v>1</v>
      </c>
      <c r="M256" s="99"/>
      <c r="N256" s="70"/>
      <c r="O256" s="67"/>
      <c r="P256" s="68"/>
      <c r="Q256" s="76"/>
      <c r="R256" s="70"/>
      <c r="S256" s="67"/>
      <c r="T256" s="68"/>
      <c r="U256" s="76"/>
      <c r="V256" s="70"/>
      <c r="W256" s="228">
        <f>ROUND((ROUND((ROUND((_15_同援日５．５*_15・２人),0)*(1+_15・A深夜)),0)*(1+_15・区３)),0)</f>
        <v>1667</v>
      </c>
      <c r="X256" s="69"/>
    </row>
    <row r="257" spans="1:24" ht="16.5" customHeight="1" x14ac:dyDescent="0.3">
      <c r="A257" s="2">
        <v>15</v>
      </c>
      <c r="B257" s="2">
        <v>8777</v>
      </c>
      <c r="C257" s="60" t="s">
        <v>9002</v>
      </c>
      <c r="D257" s="1"/>
      <c r="E257" s="68"/>
      <c r="F257" s="70"/>
      <c r="G257" s="74" t="s">
        <v>17078</v>
      </c>
      <c r="H257" s="62"/>
      <c r="I257" s="63"/>
      <c r="J257" s="85"/>
      <c r="K257" s="64"/>
      <c r="L257" s="65"/>
      <c r="M257" s="99"/>
      <c r="N257" s="70"/>
      <c r="O257" s="67"/>
      <c r="P257" s="68"/>
      <c r="Q257" s="76"/>
      <c r="R257" s="70"/>
      <c r="S257" s="1" t="s">
        <v>8098</v>
      </c>
      <c r="T257" s="68"/>
      <c r="U257" s="76"/>
      <c r="V257" s="70"/>
      <c r="W257" s="120">
        <f>ROUND((ROUND((ROUND((_15_同援日５．５*_15・基礎２),0)*(1+_15・A深夜)),0)*(1+_15・区３)),0)</f>
        <v>1500</v>
      </c>
      <c r="X257" s="69"/>
    </row>
    <row r="258" spans="1:24" ht="16.5" customHeight="1" x14ac:dyDescent="0.3">
      <c r="A258" s="2">
        <v>15</v>
      </c>
      <c r="B258" s="2">
        <v>8778</v>
      </c>
      <c r="C258" s="60" t="s">
        <v>9001</v>
      </c>
      <c r="D258" s="1"/>
      <c r="E258" s="68"/>
      <c r="F258" s="70"/>
      <c r="G258" s="106" t="s">
        <v>17077</v>
      </c>
      <c r="H258" s="57" t="s">
        <v>1</v>
      </c>
      <c r="I258" s="58">
        <v>0.9</v>
      </c>
      <c r="J258" s="83" t="s">
        <v>5895</v>
      </c>
      <c r="K258" s="64" t="s">
        <v>1</v>
      </c>
      <c r="L258" s="65">
        <v>1</v>
      </c>
      <c r="M258" s="99"/>
      <c r="N258" s="70"/>
      <c r="O258" s="66"/>
      <c r="P258" s="57"/>
      <c r="Q258" s="58"/>
      <c r="R258" s="77"/>
      <c r="S258" s="1" t="s">
        <v>18006</v>
      </c>
      <c r="T258" s="68"/>
      <c r="U258" s="76"/>
      <c r="V258" s="70"/>
      <c r="W258" s="120">
        <f>ROUND((ROUND((ROUND((ROUND((_15_同援日５．５*_15・基礎２),0)*_15・２人),0)*(1+_15・A深夜)),0)*(1+_15・区３)),0)</f>
        <v>1500</v>
      </c>
      <c r="X258" s="69"/>
    </row>
    <row r="259" spans="1:24" ht="16.5" customHeight="1" x14ac:dyDescent="0.3">
      <c r="A259" s="2">
        <v>15</v>
      </c>
      <c r="B259" s="2">
        <v>8779</v>
      </c>
      <c r="C259" s="60" t="s">
        <v>9000</v>
      </c>
      <c r="D259" s="1"/>
      <c r="E259" s="68"/>
      <c r="F259" s="70"/>
      <c r="G259" s="61"/>
      <c r="H259" s="62"/>
      <c r="I259" s="63"/>
      <c r="J259" s="85"/>
      <c r="K259" s="64"/>
      <c r="L259" s="65"/>
      <c r="M259" s="99"/>
      <c r="N259" s="70"/>
      <c r="O259" s="74" t="s">
        <v>18005</v>
      </c>
      <c r="P259" s="62"/>
      <c r="Q259" s="63"/>
      <c r="R259" s="75"/>
      <c r="S259" s="67"/>
      <c r="T259" s="68" t="s">
        <v>1</v>
      </c>
      <c r="U259" s="76">
        <v>0.2</v>
      </c>
      <c r="V259" s="70" t="s">
        <v>422</v>
      </c>
      <c r="W259" s="228">
        <f>ROUND((ROUND((ROUND((_15_同援日５．５*(1+_15・A深夜)),0)*(1+_15・盲ろう)),0)*(1+_15・区３)),0)</f>
        <v>2083</v>
      </c>
      <c r="X259" s="69"/>
    </row>
    <row r="260" spans="1:24" ht="16.5" customHeight="1" x14ac:dyDescent="0.3">
      <c r="A260" s="2">
        <v>15</v>
      </c>
      <c r="B260" s="2">
        <v>8780</v>
      </c>
      <c r="C260" s="60" t="s">
        <v>8999</v>
      </c>
      <c r="D260" s="1"/>
      <c r="E260" s="68"/>
      <c r="F260" s="70"/>
      <c r="G260" s="66"/>
      <c r="H260" s="57"/>
      <c r="I260" s="58"/>
      <c r="J260" s="83" t="s">
        <v>5895</v>
      </c>
      <c r="K260" s="64" t="s">
        <v>1</v>
      </c>
      <c r="L260" s="65">
        <v>1</v>
      </c>
      <c r="M260" s="99"/>
      <c r="N260" s="70"/>
      <c r="O260" s="94" t="s">
        <v>18004</v>
      </c>
      <c r="P260" s="68"/>
      <c r="Q260" s="76"/>
      <c r="R260" s="70"/>
      <c r="S260" s="67"/>
      <c r="T260" s="68"/>
      <c r="U260" s="76"/>
      <c r="V260" s="70"/>
      <c r="W260" s="228">
        <f>ROUND((ROUND((ROUND((ROUND((_15_同援日５．５*_15・２人),0)*(1+_15・A深夜)),0)*(1+_15・盲ろう)),0)*(1+_15・区３)),0)</f>
        <v>2083</v>
      </c>
      <c r="X260" s="69"/>
    </row>
    <row r="261" spans="1:24" ht="16.5" customHeight="1" x14ac:dyDescent="0.3">
      <c r="A261" s="2">
        <v>15</v>
      </c>
      <c r="B261" s="2">
        <v>8781</v>
      </c>
      <c r="C261" s="60" t="s">
        <v>8998</v>
      </c>
      <c r="D261" s="1"/>
      <c r="E261" s="68"/>
      <c r="F261" s="70"/>
      <c r="G261" s="74" t="s">
        <v>16823</v>
      </c>
      <c r="H261" s="62"/>
      <c r="I261" s="63"/>
      <c r="J261" s="85"/>
      <c r="K261" s="64"/>
      <c r="L261" s="65"/>
      <c r="M261" s="99"/>
      <c r="N261" s="70"/>
      <c r="O261" s="67"/>
      <c r="P261" s="68" t="s">
        <v>1</v>
      </c>
      <c r="Q261" s="76">
        <v>0.25</v>
      </c>
      <c r="R261" s="70" t="s">
        <v>422</v>
      </c>
      <c r="S261" s="67"/>
      <c r="T261" s="68"/>
      <c r="U261" s="76"/>
      <c r="V261" s="70"/>
      <c r="W261" s="120">
        <f>ROUND((ROUND((ROUND((ROUND((_15_同援日５．５*_15・基礎２),0)*(1+_15・A深夜)),0)*(1+_15・盲ろう)),0)*(1+_15・区３)),0)</f>
        <v>1876</v>
      </c>
      <c r="X261" s="69"/>
    </row>
    <row r="262" spans="1:24" ht="16.5" customHeight="1" x14ac:dyDescent="0.3">
      <c r="A262" s="2">
        <v>15</v>
      </c>
      <c r="B262" s="2">
        <v>8782</v>
      </c>
      <c r="C262" s="60" t="s">
        <v>8997</v>
      </c>
      <c r="D262" s="1"/>
      <c r="E262" s="68"/>
      <c r="F262" s="70"/>
      <c r="G262" s="106" t="s">
        <v>17077</v>
      </c>
      <c r="H262" s="57" t="s">
        <v>1</v>
      </c>
      <c r="I262" s="58">
        <v>0.9</v>
      </c>
      <c r="J262" s="83" t="s">
        <v>5895</v>
      </c>
      <c r="K262" s="64" t="s">
        <v>1</v>
      </c>
      <c r="L262" s="65">
        <v>1</v>
      </c>
      <c r="M262" s="99"/>
      <c r="N262" s="70"/>
      <c r="O262" s="66"/>
      <c r="P262" s="57"/>
      <c r="Q262" s="58"/>
      <c r="R262" s="77"/>
      <c r="S262" s="66"/>
      <c r="T262" s="57"/>
      <c r="U262" s="58"/>
      <c r="V262" s="77"/>
      <c r="W262" s="120">
        <f>ROUND((ROUND((ROUND((ROUND((ROUND((_15_同援日５．５*_15・基礎２),0)*_15・２人),0)*(1+_15・A深夜)),0)*(1+_15・盲ろう)),0)*(1+_15・区３)),0)</f>
        <v>1876</v>
      </c>
      <c r="X262" s="69"/>
    </row>
    <row r="263" spans="1:24" ht="16.5" customHeight="1" x14ac:dyDescent="0.3">
      <c r="A263" s="2">
        <v>15</v>
      </c>
      <c r="B263" s="2">
        <v>8783</v>
      </c>
      <c r="C263" s="60" t="s">
        <v>8996</v>
      </c>
      <c r="D263" s="1"/>
      <c r="E263" s="68"/>
      <c r="F263" s="70"/>
      <c r="G263" s="61"/>
      <c r="H263" s="62"/>
      <c r="I263" s="63"/>
      <c r="J263" s="85"/>
      <c r="K263" s="64"/>
      <c r="L263" s="65"/>
      <c r="M263" s="99"/>
      <c r="N263" s="70"/>
      <c r="O263" s="61"/>
      <c r="P263" s="62"/>
      <c r="Q263" s="63"/>
      <c r="R263" s="75"/>
      <c r="S263" s="61"/>
      <c r="T263" s="62"/>
      <c r="U263" s="63"/>
      <c r="V263" s="75"/>
      <c r="W263" s="228">
        <f>ROUND((ROUND((_15_同援日５．５*(1+_15・A深夜)),0)*(1+_15・区４)),0)</f>
        <v>1945</v>
      </c>
      <c r="X263" s="69"/>
    </row>
    <row r="264" spans="1:24" ht="16.5" customHeight="1" x14ac:dyDescent="0.3">
      <c r="A264" s="2">
        <v>15</v>
      </c>
      <c r="B264" s="2">
        <v>8784</v>
      </c>
      <c r="C264" s="60" t="s">
        <v>8995</v>
      </c>
      <c r="D264" s="1"/>
      <c r="E264" s="68"/>
      <c r="F264" s="70"/>
      <c r="G264" s="66"/>
      <c r="H264" s="57"/>
      <c r="I264" s="58"/>
      <c r="J264" s="83" t="s">
        <v>5895</v>
      </c>
      <c r="K264" s="64" t="s">
        <v>1</v>
      </c>
      <c r="L264" s="65">
        <v>1</v>
      </c>
      <c r="M264" s="99"/>
      <c r="N264" s="70"/>
      <c r="O264" s="67"/>
      <c r="P264" s="68"/>
      <c r="Q264" s="76"/>
      <c r="R264" s="70"/>
      <c r="S264" s="67"/>
      <c r="T264" s="68"/>
      <c r="U264" s="76"/>
      <c r="V264" s="70"/>
      <c r="W264" s="228">
        <f>ROUND((ROUND((ROUND((_15_同援日５．５*_15・２人),0)*(1+_15・A深夜)),0)*(1+_15・区４)),0)</f>
        <v>1945</v>
      </c>
      <c r="X264" s="69"/>
    </row>
    <row r="265" spans="1:24" ht="16.5" customHeight="1" x14ac:dyDescent="0.3">
      <c r="A265" s="2">
        <v>15</v>
      </c>
      <c r="B265" s="2">
        <v>8785</v>
      </c>
      <c r="C265" s="60" t="s">
        <v>8994</v>
      </c>
      <c r="D265" s="1"/>
      <c r="E265" s="68"/>
      <c r="F265" s="70"/>
      <c r="G265" s="74" t="s">
        <v>17078</v>
      </c>
      <c r="H265" s="62"/>
      <c r="I265" s="63"/>
      <c r="J265" s="85"/>
      <c r="K265" s="64"/>
      <c r="L265" s="65"/>
      <c r="M265" s="99"/>
      <c r="N265" s="70"/>
      <c r="O265" s="67"/>
      <c r="P265" s="68"/>
      <c r="Q265" s="76"/>
      <c r="R265" s="70"/>
      <c r="S265" s="1" t="s">
        <v>18009</v>
      </c>
      <c r="T265" s="68"/>
      <c r="U265" s="76"/>
      <c r="V265" s="70"/>
      <c r="W265" s="120">
        <f>ROUND((ROUND((ROUND((_15_同援日５．５*_15・基礎２),0)*(1+_15・A深夜)),0)*(1+_15・区４)),0)</f>
        <v>1750</v>
      </c>
      <c r="X265" s="69"/>
    </row>
    <row r="266" spans="1:24" ht="16.5" customHeight="1" x14ac:dyDescent="0.3">
      <c r="A266" s="2">
        <v>15</v>
      </c>
      <c r="B266" s="2">
        <v>8786</v>
      </c>
      <c r="C266" s="60" t="s">
        <v>8993</v>
      </c>
      <c r="D266" s="1"/>
      <c r="E266" s="68"/>
      <c r="F266" s="70"/>
      <c r="G266" s="106" t="s">
        <v>17077</v>
      </c>
      <c r="H266" s="57" t="s">
        <v>1</v>
      </c>
      <c r="I266" s="58">
        <v>0.9</v>
      </c>
      <c r="J266" s="83" t="s">
        <v>5895</v>
      </c>
      <c r="K266" s="64" t="s">
        <v>1</v>
      </c>
      <c r="L266" s="65">
        <v>1</v>
      </c>
      <c r="M266" s="99"/>
      <c r="N266" s="70"/>
      <c r="O266" s="66"/>
      <c r="P266" s="57"/>
      <c r="Q266" s="58"/>
      <c r="R266" s="77"/>
      <c r="S266" s="1" t="s">
        <v>17970</v>
      </c>
      <c r="T266" s="68"/>
      <c r="U266" s="76"/>
      <c r="V266" s="70"/>
      <c r="W266" s="120">
        <f>ROUND((ROUND((ROUND((ROUND((_15_同援日５．５*_15・基礎２),0)*_15・２人),0)*(1+_15・A深夜)),0)*(1+_15・区４)),0)</f>
        <v>1750</v>
      </c>
      <c r="X266" s="69"/>
    </row>
    <row r="267" spans="1:24" ht="16.5" customHeight="1" x14ac:dyDescent="0.3">
      <c r="A267" s="2">
        <v>15</v>
      </c>
      <c r="B267" s="2">
        <v>8787</v>
      </c>
      <c r="C267" s="60" t="s">
        <v>8992</v>
      </c>
      <c r="D267" s="1"/>
      <c r="E267" s="68"/>
      <c r="F267" s="70"/>
      <c r="G267" s="61"/>
      <c r="H267" s="62"/>
      <c r="I267" s="63"/>
      <c r="J267" s="85"/>
      <c r="K267" s="64"/>
      <c r="L267" s="65"/>
      <c r="M267" s="99"/>
      <c r="N267" s="70"/>
      <c r="O267" s="74" t="s">
        <v>18005</v>
      </c>
      <c r="P267" s="62"/>
      <c r="Q267" s="63"/>
      <c r="R267" s="75"/>
      <c r="S267" s="67"/>
      <c r="T267" s="68" t="s">
        <v>1</v>
      </c>
      <c r="U267" s="76">
        <v>0.4</v>
      </c>
      <c r="V267" s="70" t="s">
        <v>422</v>
      </c>
      <c r="W267" s="228">
        <f>ROUND((ROUND((ROUND((_15_同援日５．５*(1+_15・A深夜)),0)*(1+_15・盲ろう)),0)*(1+_15・区４)),0)</f>
        <v>2430</v>
      </c>
      <c r="X267" s="69"/>
    </row>
    <row r="268" spans="1:24" ht="16.5" customHeight="1" x14ac:dyDescent="0.3">
      <c r="A268" s="2">
        <v>15</v>
      </c>
      <c r="B268" s="2">
        <v>8788</v>
      </c>
      <c r="C268" s="60" t="s">
        <v>8991</v>
      </c>
      <c r="D268" s="1"/>
      <c r="E268" s="68"/>
      <c r="F268" s="70"/>
      <c r="G268" s="66"/>
      <c r="H268" s="57"/>
      <c r="I268" s="58"/>
      <c r="J268" s="83" t="s">
        <v>5895</v>
      </c>
      <c r="K268" s="64" t="s">
        <v>1</v>
      </c>
      <c r="L268" s="65">
        <v>1</v>
      </c>
      <c r="M268" s="99"/>
      <c r="N268" s="70"/>
      <c r="O268" s="94" t="s">
        <v>8083</v>
      </c>
      <c r="P268" s="68"/>
      <c r="Q268" s="76"/>
      <c r="R268" s="70"/>
      <c r="S268" s="67"/>
      <c r="T268" s="68"/>
      <c r="U268" s="76"/>
      <c r="V268" s="70"/>
      <c r="W268" s="228">
        <f>ROUND((ROUND((ROUND((ROUND((_15_同援日５．５*_15・２人),0)*(1+_15・A深夜)),0)*(1+_15・盲ろう)),0)*(1+_15・区４)),0)</f>
        <v>2430</v>
      </c>
      <c r="X268" s="69"/>
    </row>
    <row r="269" spans="1:24" ht="16.5" customHeight="1" x14ac:dyDescent="0.3">
      <c r="A269" s="2">
        <v>15</v>
      </c>
      <c r="B269" s="2">
        <v>8789</v>
      </c>
      <c r="C269" s="60" t="s">
        <v>8990</v>
      </c>
      <c r="D269" s="1"/>
      <c r="E269" s="68"/>
      <c r="F269" s="70"/>
      <c r="G269" s="74" t="s">
        <v>17078</v>
      </c>
      <c r="H269" s="62"/>
      <c r="I269" s="63"/>
      <c r="J269" s="85"/>
      <c r="K269" s="64"/>
      <c r="L269" s="65"/>
      <c r="M269" s="99"/>
      <c r="N269" s="70"/>
      <c r="O269" s="67"/>
      <c r="P269" s="68" t="s">
        <v>1</v>
      </c>
      <c r="Q269" s="76">
        <v>0.25</v>
      </c>
      <c r="R269" s="70" t="s">
        <v>422</v>
      </c>
      <c r="S269" s="67"/>
      <c r="T269" s="68"/>
      <c r="U269" s="76"/>
      <c r="V269" s="70"/>
      <c r="W269" s="120">
        <f>ROUND((ROUND((ROUND((ROUND((_15_同援日５．５*_15・基礎２),0)*(1+_15・A深夜)),0)*(1+_15・盲ろう)),0)*(1+_15・区４)),0)</f>
        <v>2188</v>
      </c>
      <c r="X269" s="69"/>
    </row>
    <row r="270" spans="1:24" ht="16.5" customHeight="1" x14ac:dyDescent="0.3">
      <c r="A270" s="2">
        <v>15</v>
      </c>
      <c r="B270" s="2">
        <v>8790</v>
      </c>
      <c r="C270" s="60" t="s">
        <v>8989</v>
      </c>
      <c r="D270" s="81"/>
      <c r="E270" s="57"/>
      <c r="F270" s="77"/>
      <c r="G270" s="106" t="s">
        <v>17077</v>
      </c>
      <c r="H270" s="57" t="s">
        <v>1</v>
      </c>
      <c r="I270" s="58">
        <v>0.9</v>
      </c>
      <c r="J270" s="83" t="s">
        <v>5895</v>
      </c>
      <c r="K270" s="64" t="s">
        <v>1</v>
      </c>
      <c r="L270" s="65">
        <v>1</v>
      </c>
      <c r="M270" s="99"/>
      <c r="N270" s="70"/>
      <c r="O270" s="66"/>
      <c r="P270" s="57"/>
      <c r="Q270" s="58"/>
      <c r="R270" s="77"/>
      <c r="S270" s="66"/>
      <c r="T270" s="57"/>
      <c r="U270" s="58"/>
      <c r="V270" s="77"/>
      <c r="W270" s="120">
        <f>ROUND((ROUND((ROUND((ROUND((ROUND((_15_同援日５．５*_15・基礎２),0)*_15・２人),0)*(1+_15・A深夜)),0)*(1+_15・盲ろう)),0)*(1+_15・区４)),0)</f>
        <v>2188</v>
      </c>
      <c r="X270" s="69"/>
    </row>
    <row r="271" spans="1:24" ht="16.5" customHeight="1" x14ac:dyDescent="0.3">
      <c r="A271" s="2">
        <v>15</v>
      </c>
      <c r="B271" s="2">
        <v>8791</v>
      </c>
      <c r="C271" s="60" t="s">
        <v>8988</v>
      </c>
      <c r="D271" s="233" t="s">
        <v>18011</v>
      </c>
      <c r="E271" s="62"/>
      <c r="F271" s="75"/>
      <c r="G271" s="61"/>
      <c r="H271" s="62"/>
      <c r="I271" s="63"/>
      <c r="J271" s="85"/>
      <c r="K271" s="64"/>
      <c r="L271" s="65"/>
      <c r="M271" s="99"/>
      <c r="N271" s="70"/>
      <c r="O271" s="61"/>
      <c r="P271" s="62"/>
      <c r="Q271" s="63"/>
      <c r="R271" s="75"/>
      <c r="S271" s="61"/>
      <c r="T271" s="62"/>
      <c r="U271" s="63"/>
      <c r="V271" s="75"/>
      <c r="W271" s="228">
        <f>ROUND((_15_同援日６．０*(1+_15・A深夜)),0)</f>
        <v>1484</v>
      </c>
      <c r="X271" s="69"/>
    </row>
    <row r="272" spans="1:24" ht="16.5" customHeight="1" x14ac:dyDescent="0.3">
      <c r="A272" s="2">
        <v>15</v>
      </c>
      <c r="B272" s="2">
        <v>8792</v>
      </c>
      <c r="C272" s="60" t="s">
        <v>8987</v>
      </c>
      <c r="D272" s="1" t="s">
        <v>5943</v>
      </c>
      <c r="E272" s="68"/>
      <c r="F272" s="70"/>
      <c r="G272" s="66"/>
      <c r="H272" s="57"/>
      <c r="I272" s="58"/>
      <c r="J272" s="83" t="s">
        <v>5895</v>
      </c>
      <c r="K272" s="64" t="s">
        <v>1</v>
      </c>
      <c r="L272" s="65">
        <v>1</v>
      </c>
      <c r="M272" s="99"/>
      <c r="N272" s="70"/>
      <c r="O272" s="67"/>
      <c r="P272" s="68"/>
      <c r="Q272" s="76"/>
      <c r="R272" s="70"/>
      <c r="S272" s="67"/>
      <c r="T272" s="68"/>
      <c r="U272" s="76"/>
      <c r="V272" s="70"/>
      <c r="W272" s="228">
        <f>ROUND((ROUND((_15_同援日６．０*_15・２人),0)*(1+_15・A深夜)),0)</f>
        <v>1484</v>
      </c>
      <c r="X272" s="69"/>
    </row>
    <row r="273" spans="1:24" ht="16.5" customHeight="1" x14ac:dyDescent="0.3">
      <c r="A273" s="2">
        <v>15</v>
      </c>
      <c r="B273" s="2">
        <v>8793</v>
      </c>
      <c r="C273" s="60" t="s">
        <v>8986</v>
      </c>
      <c r="D273" s="1" t="s">
        <v>8985</v>
      </c>
      <c r="E273" s="68"/>
      <c r="F273" s="70"/>
      <c r="G273" s="74" t="s">
        <v>16823</v>
      </c>
      <c r="H273" s="62"/>
      <c r="I273" s="63"/>
      <c r="J273" s="85"/>
      <c r="K273" s="64"/>
      <c r="L273" s="65"/>
      <c r="M273" s="99"/>
      <c r="N273" s="70"/>
      <c r="O273" s="67"/>
      <c r="P273" s="68"/>
      <c r="Q273" s="76"/>
      <c r="R273" s="70"/>
      <c r="S273" s="67"/>
      <c r="T273" s="68"/>
      <c r="U273" s="76"/>
      <c r="V273" s="70"/>
      <c r="W273" s="228">
        <f>ROUND((ROUND((_15_同援日６．０*_15・基礎２),0)*(1+_15・A深夜)),0)</f>
        <v>1335</v>
      </c>
      <c r="X273" s="69"/>
    </row>
    <row r="274" spans="1:24" ht="16.5" customHeight="1" x14ac:dyDescent="0.3">
      <c r="A274" s="2">
        <v>15</v>
      </c>
      <c r="B274" s="2">
        <v>8794</v>
      </c>
      <c r="C274" s="60" t="s">
        <v>8984</v>
      </c>
      <c r="D274" s="1"/>
      <c r="E274" s="227">
        <v>989</v>
      </c>
      <c r="F274" s="70" t="s">
        <v>0</v>
      </c>
      <c r="G274" s="106" t="s">
        <v>17077</v>
      </c>
      <c r="H274" s="57" t="s">
        <v>1</v>
      </c>
      <c r="I274" s="58">
        <v>0.9</v>
      </c>
      <c r="J274" s="83" t="s">
        <v>5895</v>
      </c>
      <c r="K274" s="64" t="s">
        <v>1</v>
      </c>
      <c r="L274" s="65">
        <v>1</v>
      </c>
      <c r="M274" s="99"/>
      <c r="N274" s="70"/>
      <c r="O274" s="66"/>
      <c r="P274" s="57"/>
      <c r="Q274" s="58"/>
      <c r="R274" s="77"/>
      <c r="S274" s="67"/>
      <c r="T274" s="68"/>
      <c r="U274" s="76"/>
      <c r="V274" s="70"/>
      <c r="W274" s="228">
        <f>ROUND((ROUND((ROUND((_15_同援日６．０*_15・基礎２),0)*_15・２人),0)*(1+_15・A深夜)),0)</f>
        <v>1335</v>
      </c>
      <c r="X274" s="69"/>
    </row>
    <row r="275" spans="1:24" ht="16.5" customHeight="1" x14ac:dyDescent="0.3">
      <c r="A275" s="2">
        <v>15</v>
      </c>
      <c r="B275" s="2">
        <v>8795</v>
      </c>
      <c r="C275" s="60" t="s">
        <v>8983</v>
      </c>
      <c r="D275" s="1"/>
      <c r="E275" s="68"/>
      <c r="F275" s="70"/>
      <c r="G275" s="61"/>
      <c r="H275" s="62"/>
      <c r="I275" s="63"/>
      <c r="J275" s="85"/>
      <c r="K275" s="64"/>
      <c r="L275" s="65"/>
      <c r="M275" s="99"/>
      <c r="N275" s="70"/>
      <c r="O275" s="74" t="s">
        <v>8085</v>
      </c>
      <c r="P275" s="62"/>
      <c r="Q275" s="63"/>
      <c r="R275" s="75"/>
      <c r="S275" s="67"/>
      <c r="T275" s="68"/>
      <c r="U275" s="76"/>
      <c r="V275" s="70"/>
      <c r="W275" s="228">
        <f>ROUND((ROUND((_15_同援日６．０*(1+_15・A深夜)),0)*(1+_15・盲ろう)),0)</f>
        <v>1855</v>
      </c>
      <c r="X275" s="69"/>
    </row>
    <row r="276" spans="1:24" ht="16.5" customHeight="1" x14ac:dyDescent="0.3">
      <c r="A276" s="2">
        <v>15</v>
      </c>
      <c r="B276" s="2">
        <v>8796</v>
      </c>
      <c r="C276" s="60" t="s">
        <v>8982</v>
      </c>
      <c r="D276" s="1"/>
      <c r="E276" s="68"/>
      <c r="F276" s="70"/>
      <c r="G276" s="66"/>
      <c r="H276" s="57"/>
      <c r="I276" s="58"/>
      <c r="J276" s="83" t="s">
        <v>5895</v>
      </c>
      <c r="K276" s="64" t="s">
        <v>1</v>
      </c>
      <c r="L276" s="65">
        <v>1</v>
      </c>
      <c r="M276" s="99"/>
      <c r="N276" s="70"/>
      <c r="O276" s="94" t="s">
        <v>8083</v>
      </c>
      <c r="P276" s="68"/>
      <c r="Q276" s="76"/>
      <c r="R276" s="70"/>
      <c r="S276" s="67"/>
      <c r="T276" s="68"/>
      <c r="U276" s="76"/>
      <c r="V276" s="70"/>
      <c r="W276" s="228">
        <f>ROUND((ROUND((ROUND((_15_同援日６．０*_15・２人),0)*(1+_15・A深夜)),0)*(1+_15・盲ろう)),0)</f>
        <v>1855</v>
      </c>
      <c r="X276" s="69"/>
    </row>
    <row r="277" spans="1:24" ht="16.5" customHeight="1" x14ac:dyDescent="0.3">
      <c r="A277" s="2">
        <v>15</v>
      </c>
      <c r="B277" s="2">
        <v>8797</v>
      </c>
      <c r="C277" s="60" t="s">
        <v>8981</v>
      </c>
      <c r="D277" s="1"/>
      <c r="E277" s="68"/>
      <c r="F277" s="70"/>
      <c r="G277" s="74" t="s">
        <v>5898</v>
      </c>
      <c r="H277" s="62"/>
      <c r="I277" s="63"/>
      <c r="J277" s="85"/>
      <c r="K277" s="64"/>
      <c r="L277" s="65"/>
      <c r="M277" s="99"/>
      <c r="N277" s="70"/>
      <c r="O277" s="67"/>
      <c r="P277" s="68" t="s">
        <v>1</v>
      </c>
      <c r="Q277" s="76">
        <v>0.25</v>
      </c>
      <c r="R277" s="70" t="s">
        <v>422</v>
      </c>
      <c r="S277" s="67"/>
      <c r="T277" s="68"/>
      <c r="U277" s="76"/>
      <c r="V277" s="70"/>
      <c r="W277" s="228">
        <f>ROUND((ROUND((ROUND((_15_同援日６．０*_15・基礎２),0)*(1+_15・A深夜)),0)*(1+_15・盲ろう)),0)</f>
        <v>1669</v>
      </c>
      <c r="X277" s="69"/>
    </row>
    <row r="278" spans="1:24" ht="16.5" customHeight="1" x14ac:dyDescent="0.3">
      <c r="A278" s="2">
        <v>15</v>
      </c>
      <c r="B278" s="2">
        <v>8798</v>
      </c>
      <c r="C278" s="60" t="s">
        <v>8980</v>
      </c>
      <c r="D278" s="1"/>
      <c r="E278" s="68"/>
      <c r="F278" s="70"/>
      <c r="G278" s="106" t="s">
        <v>17077</v>
      </c>
      <c r="H278" s="57" t="s">
        <v>1</v>
      </c>
      <c r="I278" s="58">
        <v>0.9</v>
      </c>
      <c r="J278" s="83" t="s">
        <v>5895</v>
      </c>
      <c r="K278" s="64" t="s">
        <v>1</v>
      </c>
      <c r="L278" s="65">
        <v>1</v>
      </c>
      <c r="M278" s="99"/>
      <c r="N278" s="70"/>
      <c r="O278" s="66"/>
      <c r="P278" s="57"/>
      <c r="Q278" s="58"/>
      <c r="R278" s="77"/>
      <c r="S278" s="66"/>
      <c r="T278" s="57"/>
      <c r="U278" s="58"/>
      <c r="V278" s="77"/>
      <c r="W278" s="228">
        <f>ROUND((ROUND((ROUND((ROUND((_15_同援日６．０*_15・基礎２),0)*_15・２人),0)*(1+_15・A深夜)),0)*(1+_15・盲ろう)),0)</f>
        <v>1669</v>
      </c>
      <c r="X278" s="69"/>
    </row>
    <row r="279" spans="1:24" ht="16.5" customHeight="1" x14ac:dyDescent="0.3">
      <c r="A279" s="2">
        <v>15</v>
      </c>
      <c r="B279" s="2">
        <v>8799</v>
      </c>
      <c r="C279" s="60" t="s">
        <v>8979</v>
      </c>
      <c r="D279" s="1"/>
      <c r="E279" s="68"/>
      <c r="F279" s="70"/>
      <c r="G279" s="61"/>
      <c r="H279" s="62"/>
      <c r="I279" s="63"/>
      <c r="J279" s="85"/>
      <c r="K279" s="64"/>
      <c r="L279" s="65"/>
      <c r="M279" s="99"/>
      <c r="N279" s="70"/>
      <c r="O279" s="61"/>
      <c r="P279" s="62"/>
      <c r="Q279" s="63"/>
      <c r="R279" s="75"/>
      <c r="S279" s="61"/>
      <c r="T279" s="62"/>
      <c r="U279" s="63"/>
      <c r="V279" s="75"/>
      <c r="W279" s="228">
        <f>ROUND((ROUND((_15_同援日６．０*(1+_15・A深夜)),0)*(1+_15・区３)),0)</f>
        <v>1781</v>
      </c>
      <c r="X279" s="69"/>
    </row>
    <row r="280" spans="1:24" ht="16.5" customHeight="1" x14ac:dyDescent="0.3">
      <c r="A280" s="2">
        <v>15</v>
      </c>
      <c r="B280" s="2">
        <v>8800</v>
      </c>
      <c r="C280" s="60" t="s">
        <v>8978</v>
      </c>
      <c r="D280" s="1"/>
      <c r="E280" s="68"/>
      <c r="F280" s="70"/>
      <c r="G280" s="66"/>
      <c r="H280" s="57"/>
      <c r="I280" s="58"/>
      <c r="J280" s="83" t="s">
        <v>5895</v>
      </c>
      <c r="K280" s="64" t="s">
        <v>1</v>
      </c>
      <c r="L280" s="65">
        <v>1</v>
      </c>
      <c r="M280" s="99"/>
      <c r="N280" s="70"/>
      <c r="O280" s="67"/>
      <c r="P280" s="68"/>
      <c r="Q280" s="76"/>
      <c r="R280" s="70"/>
      <c r="S280" s="67"/>
      <c r="T280" s="68"/>
      <c r="U280" s="76"/>
      <c r="V280" s="70"/>
      <c r="W280" s="228">
        <f>ROUND((ROUND((ROUND((_15_同援日６．０*_15・２人),0)*(1+_15・A深夜)),0)*(1+_15・区３)),0)</f>
        <v>1781</v>
      </c>
      <c r="X280" s="69"/>
    </row>
    <row r="281" spans="1:24" ht="16.5" customHeight="1" x14ac:dyDescent="0.3">
      <c r="A281" s="2">
        <v>15</v>
      </c>
      <c r="B281" s="2">
        <v>8801</v>
      </c>
      <c r="C281" s="60" t="s">
        <v>8977</v>
      </c>
      <c r="D281" s="1"/>
      <c r="E281" s="68"/>
      <c r="F281" s="70"/>
      <c r="G281" s="74" t="s">
        <v>17078</v>
      </c>
      <c r="H281" s="62"/>
      <c r="I281" s="63"/>
      <c r="J281" s="85"/>
      <c r="K281" s="64"/>
      <c r="L281" s="65"/>
      <c r="M281" s="99"/>
      <c r="N281" s="70"/>
      <c r="O281" s="67"/>
      <c r="P281" s="68"/>
      <c r="Q281" s="76"/>
      <c r="R281" s="70"/>
      <c r="S281" s="1" t="s">
        <v>18010</v>
      </c>
      <c r="T281" s="68"/>
      <c r="U281" s="76"/>
      <c r="V281" s="70"/>
      <c r="W281" s="228">
        <f>ROUND((ROUND((ROUND((_15_同援日６．０*_15・基礎２),0)*(1+_15・A深夜)),0)*(1+_15・区３)),0)</f>
        <v>1602</v>
      </c>
      <c r="X281" s="69"/>
    </row>
    <row r="282" spans="1:24" ht="16.5" customHeight="1" x14ac:dyDescent="0.3">
      <c r="A282" s="2">
        <v>15</v>
      </c>
      <c r="B282" s="2">
        <v>8802</v>
      </c>
      <c r="C282" s="60" t="s">
        <v>8976</v>
      </c>
      <c r="D282" s="1"/>
      <c r="E282" s="68"/>
      <c r="F282" s="70"/>
      <c r="G282" s="106" t="s">
        <v>5896</v>
      </c>
      <c r="H282" s="57" t="s">
        <v>1</v>
      </c>
      <c r="I282" s="58">
        <v>0.9</v>
      </c>
      <c r="J282" s="83" t="s">
        <v>5895</v>
      </c>
      <c r="K282" s="64" t="s">
        <v>1</v>
      </c>
      <c r="L282" s="65">
        <v>1</v>
      </c>
      <c r="M282" s="99"/>
      <c r="N282" s="70"/>
      <c r="O282" s="66"/>
      <c r="P282" s="57"/>
      <c r="Q282" s="58"/>
      <c r="R282" s="77"/>
      <c r="S282" s="1" t="s">
        <v>17970</v>
      </c>
      <c r="T282" s="68"/>
      <c r="U282" s="76"/>
      <c r="V282" s="70"/>
      <c r="W282" s="228">
        <f>ROUND((ROUND((ROUND((ROUND((_15_同援日６．０*_15・基礎２),0)*_15・２人),0)*(1+_15・A深夜)),0)*(1+_15・区３)),0)</f>
        <v>1602</v>
      </c>
      <c r="X282" s="69"/>
    </row>
    <row r="283" spans="1:24" ht="16.5" customHeight="1" x14ac:dyDescent="0.3">
      <c r="A283" s="2">
        <v>15</v>
      </c>
      <c r="B283" s="2">
        <v>8803</v>
      </c>
      <c r="C283" s="60" t="s">
        <v>8975</v>
      </c>
      <c r="D283" s="1"/>
      <c r="E283" s="68"/>
      <c r="F283" s="70"/>
      <c r="G283" s="61"/>
      <c r="H283" s="62"/>
      <c r="I283" s="63"/>
      <c r="J283" s="85"/>
      <c r="K283" s="64"/>
      <c r="L283" s="65"/>
      <c r="M283" s="99"/>
      <c r="N283" s="70"/>
      <c r="O283" s="74" t="s">
        <v>18005</v>
      </c>
      <c r="P283" s="62"/>
      <c r="Q283" s="63"/>
      <c r="R283" s="75"/>
      <c r="S283" s="67"/>
      <c r="T283" s="68" t="s">
        <v>1</v>
      </c>
      <c r="U283" s="76">
        <v>0.2</v>
      </c>
      <c r="V283" s="70" t="s">
        <v>422</v>
      </c>
      <c r="W283" s="228">
        <f>ROUND((ROUND((ROUND((_15_同援日６．０*(1+_15・A深夜)),0)*(1+_15・盲ろう)),0)*(1+_15・区３)),0)</f>
        <v>2226</v>
      </c>
      <c r="X283" s="69"/>
    </row>
    <row r="284" spans="1:24" ht="16.5" customHeight="1" x14ac:dyDescent="0.3">
      <c r="A284" s="2">
        <v>15</v>
      </c>
      <c r="B284" s="2">
        <v>8804</v>
      </c>
      <c r="C284" s="60" t="s">
        <v>8974</v>
      </c>
      <c r="D284" s="1"/>
      <c r="E284" s="68"/>
      <c r="F284" s="70"/>
      <c r="G284" s="66"/>
      <c r="H284" s="57"/>
      <c r="I284" s="58"/>
      <c r="J284" s="83" t="s">
        <v>5895</v>
      </c>
      <c r="K284" s="64" t="s">
        <v>1</v>
      </c>
      <c r="L284" s="65">
        <v>1</v>
      </c>
      <c r="M284" s="99"/>
      <c r="N284" s="70"/>
      <c r="O284" s="94" t="s">
        <v>8083</v>
      </c>
      <c r="P284" s="68"/>
      <c r="Q284" s="76"/>
      <c r="R284" s="70"/>
      <c r="S284" s="67"/>
      <c r="T284" s="68"/>
      <c r="U284" s="76"/>
      <c r="V284" s="70"/>
      <c r="W284" s="228">
        <f>ROUND((ROUND((ROUND((ROUND((_15_同援日６．０*_15・２人),0)*(1+_15・A深夜)),0)*(1+_15・盲ろう)),0)*(1+_15・区３)),0)</f>
        <v>2226</v>
      </c>
      <c r="X284" s="69"/>
    </row>
    <row r="285" spans="1:24" ht="16.5" customHeight="1" x14ac:dyDescent="0.3">
      <c r="A285" s="2">
        <v>15</v>
      </c>
      <c r="B285" s="2">
        <v>8805</v>
      </c>
      <c r="C285" s="60" t="s">
        <v>8973</v>
      </c>
      <c r="D285" s="1"/>
      <c r="E285" s="68"/>
      <c r="F285" s="70"/>
      <c r="G285" s="74" t="s">
        <v>17078</v>
      </c>
      <c r="H285" s="62"/>
      <c r="I285" s="63"/>
      <c r="J285" s="85"/>
      <c r="K285" s="64"/>
      <c r="L285" s="65"/>
      <c r="M285" s="99"/>
      <c r="N285" s="70"/>
      <c r="O285" s="67"/>
      <c r="P285" s="68" t="s">
        <v>1</v>
      </c>
      <c r="Q285" s="76">
        <v>0.25</v>
      </c>
      <c r="R285" s="70" t="s">
        <v>422</v>
      </c>
      <c r="S285" s="67"/>
      <c r="T285" s="68"/>
      <c r="U285" s="76"/>
      <c r="V285" s="70"/>
      <c r="W285" s="228">
        <f>ROUND((ROUND((ROUND((ROUND((_15_同援日６．０*_15・基礎２),0)*(1+_15・A深夜)),0)*(1+_15・盲ろう)),0)*(1+_15・区３)),0)</f>
        <v>2003</v>
      </c>
      <c r="X285" s="69"/>
    </row>
    <row r="286" spans="1:24" ht="16.5" customHeight="1" x14ac:dyDescent="0.3">
      <c r="A286" s="2">
        <v>15</v>
      </c>
      <c r="B286" s="2">
        <v>8806</v>
      </c>
      <c r="C286" s="60" t="s">
        <v>8972</v>
      </c>
      <c r="D286" s="1"/>
      <c r="E286" s="68"/>
      <c r="F286" s="70"/>
      <c r="G286" s="106" t="s">
        <v>5896</v>
      </c>
      <c r="H286" s="57" t="s">
        <v>1</v>
      </c>
      <c r="I286" s="58">
        <v>0.9</v>
      </c>
      <c r="J286" s="83" t="s">
        <v>5895</v>
      </c>
      <c r="K286" s="64" t="s">
        <v>1</v>
      </c>
      <c r="L286" s="65">
        <v>1</v>
      </c>
      <c r="M286" s="99"/>
      <c r="N286" s="70"/>
      <c r="O286" s="66"/>
      <c r="P286" s="57"/>
      <c r="Q286" s="58"/>
      <c r="R286" s="77"/>
      <c r="S286" s="66"/>
      <c r="T286" s="57"/>
      <c r="U286" s="58"/>
      <c r="V286" s="77"/>
      <c r="W286" s="228">
        <f>ROUND((ROUND((ROUND((ROUND((ROUND((_15_同援日６．０*_15・基礎２),0)*_15・２人),0)*(1+_15・A深夜)),0)*(1+_15・盲ろう)),0)*(1+_15・区３)),0)</f>
        <v>2003</v>
      </c>
      <c r="X286" s="69"/>
    </row>
    <row r="287" spans="1:24" ht="16.5" customHeight="1" x14ac:dyDescent="0.3">
      <c r="A287" s="2">
        <v>15</v>
      </c>
      <c r="B287" s="2">
        <v>8807</v>
      </c>
      <c r="C287" s="60" t="s">
        <v>8971</v>
      </c>
      <c r="D287" s="1"/>
      <c r="E287" s="68"/>
      <c r="F287" s="70"/>
      <c r="G287" s="61"/>
      <c r="H287" s="62"/>
      <c r="I287" s="63"/>
      <c r="J287" s="85"/>
      <c r="K287" s="64"/>
      <c r="L287" s="65"/>
      <c r="M287" s="99"/>
      <c r="N287" s="70"/>
      <c r="O287" s="61"/>
      <c r="P287" s="62"/>
      <c r="Q287" s="63"/>
      <c r="R287" s="75"/>
      <c r="S287" s="61"/>
      <c r="T287" s="62"/>
      <c r="U287" s="63"/>
      <c r="V287" s="75"/>
      <c r="W287" s="228">
        <f>ROUND((ROUND((_15_同援日６．０*(1+_15・A深夜)),0)*(1+_15・区４)),0)</f>
        <v>2078</v>
      </c>
      <c r="X287" s="69"/>
    </row>
    <row r="288" spans="1:24" ht="16.5" customHeight="1" x14ac:dyDescent="0.3">
      <c r="A288" s="2">
        <v>15</v>
      </c>
      <c r="B288" s="2">
        <v>8808</v>
      </c>
      <c r="C288" s="60" t="s">
        <v>8970</v>
      </c>
      <c r="D288" s="1"/>
      <c r="E288" s="68"/>
      <c r="F288" s="70"/>
      <c r="G288" s="66"/>
      <c r="H288" s="57"/>
      <c r="I288" s="58"/>
      <c r="J288" s="83" t="s">
        <v>5895</v>
      </c>
      <c r="K288" s="64" t="s">
        <v>1</v>
      </c>
      <c r="L288" s="65">
        <v>1</v>
      </c>
      <c r="M288" s="99"/>
      <c r="N288" s="70"/>
      <c r="O288" s="67"/>
      <c r="P288" s="68"/>
      <c r="Q288" s="76"/>
      <c r="R288" s="70"/>
      <c r="S288" s="67"/>
      <c r="T288" s="68"/>
      <c r="U288" s="76"/>
      <c r="V288" s="70"/>
      <c r="W288" s="228">
        <f>ROUND((ROUND((ROUND((_15_同援日６．０*_15・２人),0)*(1+_15・A深夜)),0)*(1+_15・区４)),0)</f>
        <v>2078</v>
      </c>
      <c r="X288" s="69"/>
    </row>
    <row r="289" spans="1:24" ht="16.5" customHeight="1" x14ac:dyDescent="0.3">
      <c r="A289" s="2">
        <v>15</v>
      </c>
      <c r="B289" s="2">
        <v>8809</v>
      </c>
      <c r="C289" s="60" t="s">
        <v>8969</v>
      </c>
      <c r="D289" s="1"/>
      <c r="E289" s="68"/>
      <c r="F289" s="70"/>
      <c r="G289" s="74" t="s">
        <v>5898</v>
      </c>
      <c r="H289" s="62"/>
      <c r="I289" s="63"/>
      <c r="J289" s="85"/>
      <c r="K289" s="64"/>
      <c r="L289" s="65"/>
      <c r="M289" s="99"/>
      <c r="N289" s="70"/>
      <c r="O289" s="67"/>
      <c r="P289" s="68"/>
      <c r="Q289" s="76"/>
      <c r="R289" s="70"/>
      <c r="S289" s="1" t="s">
        <v>18009</v>
      </c>
      <c r="T289" s="68"/>
      <c r="U289" s="76"/>
      <c r="V289" s="70"/>
      <c r="W289" s="228">
        <f>ROUND((ROUND((ROUND((_15_同援日６．０*_15・基礎２),0)*(1+_15・A深夜)),0)*(1+_15・区４)),0)</f>
        <v>1869</v>
      </c>
      <c r="X289" s="69"/>
    </row>
    <row r="290" spans="1:24" ht="16.5" customHeight="1" x14ac:dyDescent="0.3">
      <c r="A290" s="2">
        <v>15</v>
      </c>
      <c r="B290" s="2">
        <v>8810</v>
      </c>
      <c r="C290" s="60" t="s">
        <v>8968</v>
      </c>
      <c r="D290" s="1"/>
      <c r="E290" s="68"/>
      <c r="F290" s="70"/>
      <c r="G290" s="106" t="s">
        <v>17077</v>
      </c>
      <c r="H290" s="57" t="s">
        <v>1</v>
      </c>
      <c r="I290" s="58">
        <v>0.9</v>
      </c>
      <c r="J290" s="83" t="s">
        <v>5895</v>
      </c>
      <c r="K290" s="64" t="s">
        <v>1</v>
      </c>
      <c r="L290" s="65">
        <v>1</v>
      </c>
      <c r="M290" s="99"/>
      <c r="N290" s="70"/>
      <c r="O290" s="66"/>
      <c r="P290" s="57"/>
      <c r="Q290" s="58"/>
      <c r="R290" s="77"/>
      <c r="S290" s="1" t="s">
        <v>18006</v>
      </c>
      <c r="T290" s="68"/>
      <c r="U290" s="76"/>
      <c r="V290" s="70"/>
      <c r="W290" s="228">
        <f>ROUND((ROUND((ROUND((ROUND((_15_同援日６．０*_15・基礎２),0)*_15・２人),0)*(1+_15・A深夜)),0)*(1+_15・区４)),0)</f>
        <v>1869</v>
      </c>
      <c r="X290" s="69"/>
    </row>
    <row r="291" spans="1:24" ht="16.5" customHeight="1" x14ac:dyDescent="0.3">
      <c r="A291" s="2">
        <v>15</v>
      </c>
      <c r="B291" s="2">
        <v>8811</v>
      </c>
      <c r="C291" s="60" t="s">
        <v>8967</v>
      </c>
      <c r="D291" s="1"/>
      <c r="E291" s="68"/>
      <c r="F291" s="70"/>
      <c r="G291" s="61"/>
      <c r="H291" s="62"/>
      <c r="I291" s="63"/>
      <c r="J291" s="85"/>
      <c r="K291" s="64"/>
      <c r="L291" s="65"/>
      <c r="M291" s="99"/>
      <c r="N291" s="70"/>
      <c r="O291" s="74" t="s">
        <v>18005</v>
      </c>
      <c r="P291" s="62"/>
      <c r="Q291" s="63"/>
      <c r="R291" s="75"/>
      <c r="S291" s="67"/>
      <c r="T291" s="68" t="s">
        <v>1</v>
      </c>
      <c r="U291" s="76">
        <v>0.4</v>
      </c>
      <c r="V291" s="70" t="s">
        <v>422</v>
      </c>
      <c r="W291" s="228">
        <f>ROUND((ROUND((ROUND((_15_同援日６．０*(1+_15・A深夜)),0)*(1+_15・盲ろう)),0)*(1+_15・区４)),0)</f>
        <v>2597</v>
      </c>
      <c r="X291" s="69"/>
    </row>
    <row r="292" spans="1:24" ht="16.5" customHeight="1" x14ac:dyDescent="0.3">
      <c r="A292" s="2">
        <v>15</v>
      </c>
      <c r="B292" s="2">
        <v>8812</v>
      </c>
      <c r="C292" s="60" t="s">
        <v>8966</v>
      </c>
      <c r="D292" s="1"/>
      <c r="E292" s="68"/>
      <c r="F292" s="70"/>
      <c r="G292" s="66"/>
      <c r="H292" s="57"/>
      <c r="I292" s="58"/>
      <c r="J292" s="83" t="s">
        <v>5895</v>
      </c>
      <c r="K292" s="64" t="s">
        <v>1</v>
      </c>
      <c r="L292" s="65">
        <v>1</v>
      </c>
      <c r="M292" s="99"/>
      <c r="N292" s="70"/>
      <c r="O292" s="94" t="s">
        <v>18004</v>
      </c>
      <c r="P292" s="68"/>
      <c r="Q292" s="76"/>
      <c r="R292" s="70"/>
      <c r="S292" s="67"/>
      <c r="T292" s="68"/>
      <c r="U292" s="76"/>
      <c r="V292" s="70"/>
      <c r="W292" s="228">
        <f>ROUND((ROUND((ROUND((ROUND((_15_同援日６．０*_15・２人),0)*(1+_15・A深夜)),0)*(1+_15・盲ろう)),0)*(1+_15・区４)),0)</f>
        <v>2597</v>
      </c>
      <c r="X292" s="69"/>
    </row>
    <row r="293" spans="1:24" ht="16.5" customHeight="1" x14ac:dyDescent="0.3">
      <c r="A293" s="2">
        <v>15</v>
      </c>
      <c r="B293" s="2">
        <v>8813</v>
      </c>
      <c r="C293" s="60" t="s">
        <v>8965</v>
      </c>
      <c r="D293" s="1"/>
      <c r="E293" s="68"/>
      <c r="F293" s="70"/>
      <c r="G293" s="74" t="s">
        <v>17078</v>
      </c>
      <c r="H293" s="62"/>
      <c r="I293" s="63"/>
      <c r="J293" s="85"/>
      <c r="K293" s="64"/>
      <c r="L293" s="65"/>
      <c r="M293" s="99"/>
      <c r="N293" s="70"/>
      <c r="O293" s="67"/>
      <c r="P293" s="68" t="s">
        <v>1</v>
      </c>
      <c r="Q293" s="76">
        <v>0.25</v>
      </c>
      <c r="R293" s="70" t="s">
        <v>422</v>
      </c>
      <c r="S293" s="67"/>
      <c r="T293" s="68"/>
      <c r="U293" s="76"/>
      <c r="V293" s="70"/>
      <c r="W293" s="228">
        <f>ROUND((ROUND((ROUND((ROUND((_15_同援日６．０*_15・基礎２),0)*(1+_15・A深夜)),0)*(1+_15・盲ろう)),0)*(1+_15・区４)),0)</f>
        <v>2337</v>
      </c>
      <c r="X293" s="69"/>
    </row>
    <row r="294" spans="1:24" ht="16.5" customHeight="1" x14ac:dyDescent="0.3">
      <c r="A294" s="2">
        <v>15</v>
      </c>
      <c r="B294" s="2">
        <v>8814</v>
      </c>
      <c r="C294" s="60" t="s">
        <v>8964</v>
      </c>
      <c r="D294" s="81"/>
      <c r="E294" s="57"/>
      <c r="F294" s="77"/>
      <c r="G294" s="106" t="s">
        <v>17077</v>
      </c>
      <c r="H294" s="57" t="s">
        <v>1</v>
      </c>
      <c r="I294" s="58">
        <v>0.9</v>
      </c>
      <c r="J294" s="83" t="s">
        <v>5895</v>
      </c>
      <c r="K294" s="64" t="s">
        <v>1</v>
      </c>
      <c r="L294" s="65">
        <v>1</v>
      </c>
      <c r="M294" s="99"/>
      <c r="N294" s="70"/>
      <c r="O294" s="66"/>
      <c r="P294" s="57"/>
      <c r="Q294" s="58"/>
      <c r="R294" s="77"/>
      <c r="S294" s="66"/>
      <c r="T294" s="57"/>
      <c r="U294" s="58"/>
      <c r="V294" s="77"/>
      <c r="W294" s="228">
        <f>ROUND((ROUND((ROUND((ROUND((ROUND((_15_同援日６．０*_15・基礎２),0)*_15・２人),0)*(1+_15・A深夜)),0)*(1+_15・盲ろう)),0)*(1+_15・区４)),0)</f>
        <v>2337</v>
      </c>
      <c r="X294" s="69"/>
    </row>
    <row r="295" spans="1:24" ht="16.5" customHeight="1" x14ac:dyDescent="0.3">
      <c r="A295" s="2">
        <v>15</v>
      </c>
      <c r="B295" s="2">
        <v>8815</v>
      </c>
      <c r="C295" s="60" t="s">
        <v>8963</v>
      </c>
      <c r="D295" s="233" t="s">
        <v>18008</v>
      </c>
      <c r="E295" s="62"/>
      <c r="F295" s="75"/>
      <c r="G295" s="61"/>
      <c r="H295" s="62"/>
      <c r="I295" s="63"/>
      <c r="J295" s="85"/>
      <c r="K295" s="64"/>
      <c r="L295" s="65"/>
      <c r="M295" s="99"/>
      <c r="N295" s="70"/>
      <c r="O295" s="61"/>
      <c r="P295" s="62"/>
      <c r="Q295" s="63"/>
      <c r="R295" s="75"/>
      <c r="S295" s="61"/>
      <c r="T295" s="62"/>
      <c r="U295" s="63"/>
      <c r="V295" s="75"/>
      <c r="W295" s="228">
        <f>ROUND((_15_同援日６．５*(1+_15・A深夜)),0)</f>
        <v>1578</v>
      </c>
      <c r="X295" s="69"/>
    </row>
    <row r="296" spans="1:24" ht="16.5" customHeight="1" x14ac:dyDescent="0.3">
      <c r="A296" s="2">
        <v>15</v>
      </c>
      <c r="B296" s="2">
        <v>8816</v>
      </c>
      <c r="C296" s="60" t="s">
        <v>8962</v>
      </c>
      <c r="D296" s="1" t="s">
        <v>18007</v>
      </c>
      <c r="E296" s="68"/>
      <c r="F296" s="70"/>
      <c r="G296" s="66"/>
      <c r="H296" s="57"/>
      <c r="I296" s="58"/>
      <c r="J296" s="83" t="s">
        <v>5895</v>
      </c>
      <c r="K296" s="64" t="s">
        <v>1</v>
      </c>
      <c r="L296" s="65">
        <v>1</v>
      </c>
      <c r="M296" s="99"/>
      <c r="N296" s="70"/>
      <c r="O296" s="67"/>
      <c r="P296" s="68"/>
      <c r="Q296" s="76"/>
      <c r="R296" s="70"/>
      <c r="S296" s="67"/>
      <c r="T296" s="68"/>
      <c r="U296" s="76"/>
      <c r="V296" s="70"/>
      <c r="W296" s="228">
        <f>ROUND((ROUND((_15_同援日６．５*_15・２人),0)*(1+_15・A深夜)),0)</f>
        <v>1578</v>
      </c>
      <c r="X296" s="69"/>
    </row>
    <row r="297" spans="1:24" ht="16.5" customHeight="1" x14ac:dyDescent="0.3">
      <c r="A297" s="2">
        <v>15</v>
      </c>
      <c r="B297" s="2">
        <v>8817</v>
      </c>
      <c r="C297" s="60" t="s">
        <v>8961</v>
      </c>
      <c r="D297" s="1" t="s">
        <v>8960</v>
      </c>
      <c r="E297" s="68"/>
      <c r="F297" s="70"/>
      <c r="G297" s="74" t="s">
        <v>17078</v>
      </c>
      <c r="H297" s="62"/>
      <c r="I297" s="63"/>
      <c r="J297" s="85"/>
      <c r="K297" s="64"/>
      <c r="L297" s="65"/>
      <c r="M297" s="99"/>
      <c r="N297" s="70"/>
      <c r="O297" s="67"/>
      <c r="P297" s="68"/>
      <c r="Q297" s="76"/>
      <c r="R297" s="70"/>
      <c r="S297" s="67"/>
      <c r="T297" s="68"/>
      <c r="U297" s="76"/>
      <c r="V297" s="70"/>
      <c r="W297" s="228">
        <f>ROUND((ROUND((_15_同援日６．５*_15・基礎２),0)*(1+_15・A深夜)),0)</f>
        <v>1421</v>
      </c>
      <c r="X297" s="69"/>
    </row>
    <row r="298" spans="1:24" ht="16.5" customHeight="1" x14ac:dyDescent="0.3">
      <c r="A298" s="2">
        <v>15</v>
      </c>
      <c r="B298" s="2">
        <v>8818</v>
      </c>
      <c r="C298" s="60" t="s">
        <v>8959</v>
      </c>
      <c r="D298" s="1"/>
      <c r="E298" s="227">
        <v>1052</v>
      </c>
      <c r="F298" s="70" t="s">
        <v>0</v>
      </c>
      <c r="G298" s="106" t="s">
        <v>17077</v>
      </c>
      <c r="H298" s="57" t="s">
        <v>1</v>
      </c>
      <c r="I298" s="58">
        <v>0.9</v>
      </c>
      <c r="J298" s="83" t="s">
        <v>5895</v>
      </c>
      <c r="K298" s="64" t="s">
        <v>1</v>
      </c>
      <c r="L298" s="65">
        <v>1</v>
      </c>
      <c r="M298" s="99"/>
      <c r="N298" s="70"/>
      <c r="O298" s="66"/>
      <c r="P298" s="57"/>
      <c r="Q298" s="58"/>
      <c r="R298" s="77"/>
      <c r="S298" s="67"/>
      <c r="T298" s="68"/>
      <c r="U298" s="76"/>
      <c r="V298" s="70"/>
      <c r="W298" s="228">
        <f>ROUND((ROUND((ROUND((_15_同援日６．５*_15・基礎２),0)*_15・２人),0)*(1+_15・A深夜)),0)</f>
        <v>1421</v>
      </c>
      <c r="X298" s="69"/>
    </row>
    <row r="299" spans="1:24" ht="16.5" customHeight="1" x14ac:dyDescent="0.3">
      <c r="A299" s="2">
        <v>15</v>
      </c>
      <c r="B299" s="2">
        <v>8819</v>
      </c>
      <c r="C299" s="60" t="s">
        <v>8958</v>
      </c>
      <c r="D299" s="1"/>
      <c r="E299" s="68"/>
      <c r="F299" s="70"/>
      <c r="G299" s="61"/>
      <c r="H299" s="62"/>
      <c r="I299" s="63"/>
      <c r="J299" s="85"/>
      <c r="K299" s="64"/>
      <c r="L299" s="65"/>
      <c r="M299" s="99"/>
      <c r="N299" s="70"/>
      <c r="O299" s="74" t="s">
        <v>18005</v>
      </c>
      <c r="P299" s="62"/>
      <c r="Q299" s="63"/>
      <c r="R299" s="75"/>
      <c r="S299" s="67"/>
      <c r="T299" s="68"/>
      <c r="U299" s="76"/>
      <c r="V299" s="70"/>
      <c r="W299" s="228">
        <f>ROUND((ROUND((_15_同援日６．５*(1+_15・A深夜)),0)*(1+_15・盲ろう)),0)</f>
        <v>1973</v>
      </c>
      <c r="X299" s="69"/>
    </row>
    <row r="300" spans="1:24" ht="16.5" customHeight="1" x14ac:dyDescent="0.3">
      <c r="A300" s="2">
        <v>15</v>
      </c>
      <c r="B300" s="2">
        <v>8820</v>
      </c>
      <c r="C300" s="60" t="s">
        <v>8957</v>
      </c>
      <c r="D300" s="1"/>
      <c r="E300" s="68"/>
      <c r="F300" s="70"/>
      <c r="G300" s="66"/>
      <c r="H300" s="57"/>
      <c r="I300" s="58"/>
      <c r="J300" s="83" t="s">
        <v>5895</v>
      </c>
      <c r="K300" s="64" t="s">
        <v>1</v>
      </c>
      <c r="L300" s="65">
        <v>1</v>
      </c>
      <c r="M300" s="99"/>
      <c r="N300" s="70"/>
      <c r="O300" s="94" t="s">
        <v>17968</v>
      </c>
      <c r="P300" s="68"/>
      <c r="Q300" s="76"/>
      <c r="R300" s="70"/>
      <c r="S300" s="67"/>
      <c r="T300" s="68"/>
      <c r="U300" s="76"/>
      <c r="V300" s="70"/>
      <c r="W300" s="228">
        <f>ROUND((ROUND((ROUND((_15_同援日６．５*_15・２人),0)*(1+_15・A深夜)),0)*(1+_15・盲ろう)),0)</f>
        <v>1973</v>
      </c>
      <c r="X300" s="69"/>
    </row>
    <row r="301" spans="1:24" ht="16.5" customHeight="1" x14ac:dyDescent="0.3">
      <c r="A301" s="2">
        <v>15</v>
      </c>
      <c r="B301" s="2">
        <v>8821</v>
      </c>
      <c r="C301" s="60" t="s">
        <v>8956</v>
      </c>
      <c r="D301" s="1"/>
      <c r="E301" s="68"/>
      <c r="F301" s="70"/>
      <c r="G301" s="74" t="s">
        <v>17078</v>
      </c>
      <c r="H301" s="62"/>
      <c r="I301" s="63"/>
      <c r="J301" s="85"/>
      <c r="K301" s="64"/>
      <c r="L301" s="65"/>
      <c r="M301" s="99"/>
      <c r="N301" s="70"/>
      <c r="O301" s="67"/>
      <c r="P301" s="68" t="s">
        <v>1</v>
      </c>
      <c r="Q301" s="76">
        <v>0.25</v>
      </c>
      <c r="R301" s="70" t="s">
        <v>422</v>
      </c>
      <c r="S301" s="67"/>
      <c r="T301" s="68"/>
      <c r="U301" s="76"/>
      <c r="V301" s="70"/>
      <c r="W301" s="228">
        <f>ROUND((ROUND((ROUND((_15_同援日６．５*_15・基礎２),0)*(1+_15・A深夜)),0)*(1+_15・盲ろう)),0)</f>
        <v>1776</v>
      </c>
      <c r="X301" s="69"/>
    </row>
    <row r="302" spans="1:24" ht="16.5" customHeight="1" x14ac:dyDescent="0.3">
      <c r="A302" s="2">
        <v>15</v>
      </c>
      <c r="B302" s="2">
        <v>8822</v>
      </c>
      <c r="C302" s="60" t="s">
        <v>8955</v>
      </c>
      <c r="D302" s="1"/>
      <c r="E302" s="68"/>
      <c r="F302" s="70"/>
      <c r="G302" s="106" t="s">
        <v>16812</v>
      </c>
      <c r="H302" s="57" t="s">
        <v>1</v>
      </c>
      <c r="I302" s="58">
        <v>0.9</v>
      </c>
      <c r="J302" s="83" t="s">
        <v>5895</v>
      </c>
      <c r="K302" s="64" t="s">
        <v>1</v>
      </c>
      <c r="L302" s="65">
        <v>1</v>
      </c>
      <c r="M302" s="99"/>
      <c r="N302" s="70"/>
      <c r="O302" s="66"/>
      <c r="P302" s="57"/>
      <c r="Q302" s="58"/>
      <c r="R302" s="77"/>
      <c r="S302" s="66"/>
      <c r="T302" s="57"/>
      <c r="U302" s="58"/>
      <c r="V302" s="77"/>
      <c r="W302" s="228">
        <f>ROUND((ROUND((ROUND((ROUND((_15_同援日６．５*_15・基礎２),0)*_15・２人),0)*(1+_15・A深夜)),0)*(1+_15・盲ろう)),0)</f>
        <v>1776</v>
      </c>
      <c r="X302" s="69"/>
    </row>
    <row r="303" spans="1:24" ht="16.5" customHeight="1" x14ac:dyDescent="0.3">
      <c r="A303" s="2">
        <v>15</v>
      </c>
      <c r="B303" s="2">
        <v>8823</v>
      </c>
      <c r="C303" s="60" t="s">
        <v>8954</v>
      </c>
      <c r="D303" s="1"/>
      <c r="E303" s="68"/>
      <c r="F303" s="70"/>
      <c r="G303" s="61"/>
      <c r="H303" s="62"/>
      <c r="I303" s="63"/>
      <c r="J303" s="85"/>
      <c r="K303" s="64"/>
      <c r="L303" s="65"/>
      <c r="M303" s="99"/>
      <c r="N303" s="70"/>
      <c r="O303" s="61"/>
      <c r="P303" s="62"/>
      <c r="Q303" s="63"/>
      <c r="R303" s="75"/>
      <c r="S303" s="61"/>
      <c r="T303" s="62"/>
      <c r="U303" s="63"/>
      <c r="V303" s="75"/>
      <c r="W303" s="228">
        <f>ROUND((ROUND((_15_同援日６．５*(1+_15・A深夜)),0)*(1+_15・区３)),0)</f>
        <v>1894</v>
      </c>
      <c r="X303" s="69"/>
    </row>
    <row r="304" spans="1:24" ht="16.5" customHeight="1" x14ac:dyDescent="0.3">
      <c r="A304" s="2">
        <v>15</v>
      </c>
      <c r="B304" s="2">
        <v>8824</v>
      </c>
      <c r="C304" s="60" t="s">
        <v>8953</v>
      </c>
      <c r="D304" s="1"/>
      <c r="E304" s="68"/>
      <c r="F304" s="70"/>
      <c r="G304" s="66"/>
      <c r="H304" s="57"/>
      <c r="I304" s="58"/>
      <c r="J304" s="83" t="s">
        <v>5895</v>
      </c>
      <c r="K304" s="64" t="s">
        <v>1</v>
      </c>
      <c r="L304" s="65">
        <v>1</v>
      </c>
      <c r="M304" s="99"/>
      <c r="N304" s="70"/>
      <c r="O304" s="67"/>
      <c r="P304" s="68"/>
      <c r="Q304" s="76"/>
      <c r="R304" s="70"/>
      <c r="S304" s="67"/>
      <c r="T304" s="68"/>
      <c r="U304" s="76"/>
      <c r="V304" s="70"/>
      <c r="W304" s="228">
        <f>ROUND((ROUND((ROUND((_15_同援日６．５*_15・２人),0)*(1+_15・A深夜)),0)*(1+_15・区３)),0)</f>
        <v>1894</v>
      </c>
      <c r="X304" s="69"/>
    </row>
    <row r="305" spans="1:24" ht="16.5" customHeight="1" x14ac:dyDescent="0.3">
      <c r="A305" s="2">
        <v>15</v>
      </c>
      <c r="B305" s="2">
        <v>8825</v>
      </c>
      <c r="C305" s="60" t="s">
        <v>8952</v>
      </c>
      <c r="D305" s="1"/>
      <c r="E305" s="68"/>
      <c r="F305" s="70"/>
      <c r="G305" s="74" t="s">
        <v>16823</v>
      </c>
      <c r="H305" s="62"/>
      <c r="I305" s="63"/>
      <c r="J305" s="85"/>
      <c r="K305" s="64"/>
      <c r="L305" s="65"/>
      <c r="M305" s="99"/>
      <c r="N305" s="70"/>
      <c r="O305" s="67"/>
      <c r="P305" s="68"/>
      <c r="Q305" s="76"/>
      <c r="R305" s="70"/>
      <c r="S305" s="1" t="s">
        <v>17974</v>
      </c>
      <c r="T305" s="68"/>
      <c r="U305" s="76"/>
      <c r="V305" s="70"/>
      <c r="W305" s="228">
        <f>ROUND((ROUND((ROUND((_15_同援日６．５*_15・基礎２),0)*(1+_15・A深夜)),0)*(1+_15・区３)),0)</f>
        <v>1705</v>
      </c>
      <c r="X305" s="69"/>
    </row>
    <row r="306" spans="1:24" ht="16.5" customHeight="1" x14ac:dyDescent="0.3">
      <c r="A306" s="2">
        <v>15</v>
      </c>
      <c r="B306" s="2">
        <v>8826</v>
      </c>
      <c r="C306" s="60" t="s">
        <v>8951</v>
      </c>
      <c r="D306" s="1"/>
      <c r="E306" s="68"/>
      <c r="F306" s="70"/>
      <c r="G306" s="106" t="s">
        <v>17077</v>
      </c>
      <c r="H306" s="57" t="s">
        <v>1</v>
      </c>
      <c r="I306" s="58">
        <v>0.9</v>
      </c>
      <c r="J306" s="83" t="s">
        <v>5895</v>
      </c>
      <c r="K306" s="64" t="s">
        <v>1</v>
      </c>
      <c r="L306" s="65">
        <v>1</v>
      </c>
      <c r="M306" s="99"/>
      <c r="N306" s="70"/>
      <c r="O306" s="66"/>
      <c r="P306" s="57"/>
      <c r="Q306" s="58"/>
      <c r="R306" s="77"/>
      <c r="S306" s="1" t="s">
        <v>18006</v>
      </c>
      <c r="T306" s="68"/>
      <c r="U306" s="76"/>
      <c r="V306" s="70"/>
      <c r="W306" s="228">
        <f>ROUND((ROUND((ROUND((ROUND((_15_同援日６．５*_15・基礎２),0)*_15・２人),0)*(1+_15・A深夜)),0)*(1+_15・区３)),0)</f>
        <v>1705</v>
      </c>
      <c r="X306" s="69"/>
    </row>
    <row r="307" spans="1:24" ht="16.5" customHeight="1" x14ac:dyDescent="0.3">
      <c r="A307" s="2">
        <v>15</v>
      </c>
      <c r="B307" s="2">
        <v>8827</v>
      </c>
      <c r="C307" s="60" t="s">
        <v>8950</v>
      </c>
      <c r="D307" s="1"/>
      <c r="E307" s="68"/>
      <c r="F307" s="70"/>
      <c r="G307" s="61"/>
      <c r="H307" s="62"/>
      <c r="I307" s="63"/>
      <c r="J307" s="85"/>
      <c r="K307" s="64"/>
      <c r="L307" s="65"/>
      <c r="M307" s="99"/>
      <c r="N307" s="70"/>
      <c r="O307" s="74" t="s">
        <v>18005</v>
      </c>
      <c r="P307" s="62"/>
      <c r="Q307" s="63"/>
      <c r="R307" s="75"/>
      <c r="S307" s="67"/>
      <c r="T307" s="68" t="s">
        <v>1</v>
      </c>
      <c r="U307" s="76">
        <v>0.2</v>
      </c>
      <c r="V307" s="70" t="s">
        <v>422</v>
      </c>
      <c r="W307" s="228">
        <f>ROUND((ROUND((ROUND((_15_同援日６．５*(1+_15・A深夜)),0)*(1+_15・盲ろう)),0)*(1+_15・区３)),0)</f>
        <v>2368</v>
      </c>
      <c r="X307" s="69"/>
    </row>
    <row r="308" spans="1:24" ht="16.5" customHeight="1" x14ac:dyDescent="0.3">
      <c r="A308" s="2">
        <v>15</v>
      </c>
      <c r="B308" s="2">
        <v>8828</v>
      </c>
      <c r="C308" s="60" t="s">
        <v>8949</v>
      </c>
      <c r="D308" s="1"/>
      <c r="E308" s="68"/>
      <c r="F308" s="70"/>
      <c r="G308" s="66"/>
      <c r="H308" s="57"/>
      <c r="I308" s="58"/>
      <c r="J308" s="83" t="s">
        <v>5895</v>
      </c>
      <c r="K308" s="64" t="s">
        <v>1</v>
      </c>
      <c r="L308" s="65">
        <v>1</v>
      </c>
      <c r="M308" s="99"/>
      <c r="N308" s="70"/>
      <c r="O308" s="94" t="s">
        <v>18004</v>
      </c>
      <c r="P308" s="68"/>
      <c r="Q308" s="76"/>
      <c r="R308" s="70"/>
      <c r="S308" s="67"/>
      <c r="T308" s="68"/>
      <c r="U308" s="76"/>
      <c r="V308" s="70"/>
      <c r="W308" s="228">
        <f>ROUND((ROUND((ROUND((ROUND((_15_同援日６．５*_15・２人),0)*(1+_15・A深夜)),0)*(1+_15・盲ろう)),0)*(1+_15・区３)),0)</f>
        <v>2368</v>
      </c>
      <c r="X308" s="69"/>
    </row>
    <row r="309" spans="1:24" ht="16.5" customHeight="1" x14ac:dyDescent="0.3">
      <c r="A309" s="2">
        <v>15</v>
      </c>
      <c r="B309" s="2">
        <v>8829</v>
      </c>
      <c r="C309" s="60" t="s">
        <v>8948</v>
      </c>
      <c r="D309" s="1"/>
      <c r="E309" s="68"/>
      <c r="F309" s="70"/>
      <c r="G309" s="74" t="s">
        <v>17078</v>
      </c>
      <c r="H309" s="62"/>
      <c r="I309" s="63"/>
      <c r="J309" s="85"/>
      <c r="K309" s="64"/>
      <c r="L309" s="65"/>
      <c r="M309" s="99"/>
      <c r="N309" s="70"/>
      <c r="O309" s="67"/>
      <c r="P309" s="68" t="s">
        <v>1</v>
      </c>
      <c r="Q309" s="76">
        <v>0.25</v>
      </c>
      <c r="R309" s="70" t="s">
        <v>422</v>
      </c>
      <c r="S309" s="67"/>
      <c r="T309" s="68"/>
      <c r="U309" s="76"/>
      <c r="V309" s="70"/>
      <c r="W309" s="228">
        <f>ROUND((ROUND((ROUND((ROUND((_15_同援日６．５*_15・基礎２),0)*(1+_15・A深夜)),0)*(1+_15・盲ろう)),0)*(1+_15・区３)),0)</f>
        <v>2131</v>
      </c>
      <c r="X309" s="69"/>
    </row>
    <row r="310" spans="1:24" ht="16.5" customHeight="1" x14ac:dyDescent="0.3">
      <c r="A310" s="2">
        <v>15</v>
      </c>
      <c r="B310" s="2">
        <v>8830</v>
      </c>
      <c r="C310" s="60" t="s">
        <v>8947</v>
      </c>
      <c r="D310" s="1"/>
      <c r="E310" s="68"/>
      <c r="F310" s="70"/>
      <c r="G310" s="106" t="s">
        <v>16812</v>
      </c>
      <c r="H310" s="57" t="s">
        <v>1</v>
      </c>
      <c r="I310" s="58">
        <v>0.9</v>
      </c>
      <c r="J310" s="83" t="s">
        <v>5895</v>
      </c>
      <c r="K310" s="64" t="s">
        <v>1</v>
      </c>
      <c r="L310" s="65">
        <v>1</v>
      </c>
      <c r="M310" s="99"/>
      <c r="N310" s="70"/>
      <c r="O310" s="66"/>
      <c r="P310" s="57"/>
      <c r="Q310" s="58"/>
      <c r="R310" s="77"/>
      <c r="S310" s="66"/>
      <c r="T310" s="57"/>
      <c r="U310" s="58"/>
      <c r="V310" s="77"/>
      <c r="W310" s="228">
        <f>ROUND((ROUND((ROUND((ROUND((ROUND((_15_同援日６．５*_15・基礎２),0)*_15・２人),0)*(1+_15・A深夜)),0)*(1+_15・盲ろう)),0)*(1+_15・区３)),0)</f>
        <v>2131</v>
      </c>
      <c r="X310" s="69"/>
    </row>
    <row r="311" spans="1:24" ht="16.5" customHeight="1" x14ac:dyDescent="0.3">
      <c r="A311" s="2">
        <v>15</v>
      </c>
      <c r="B311" s="2">
        <v>8831</v>
      </c>
      <c r="C311" s="60" t="s">
        <v>8946</v>
      </c>
      <c r="D311" s="1"/>
      <c r="E311" s="68"/>
      <c r="F311" s="70"/>
      <c r="G311" s="61"/>
      <c r="H311" s="62"/>
      <c r="I311" s="63"/>
      <c r="J311" s="85"/>
      <c r="K311" s="64"/>
      <c r="L311" s="65"/>
      <c r="M311" s="99"/>
      <c r="N311" s="70"/>
      <c r="O311" s="61"/>
      <c r="P311" s="62"/>
      <c r="Q311" s="63"/>
      <c r="R311" s="75"/>
      <c r="S311" s="61"/>
      <c r="T311" s="62"/>
      <c r="U311" s="63"/>
      <c r="V311" s="75"/>
      <c r="W311" s="228">
        <f>ROUND((ROUND((_15_同援日６．５*(1+_15・A深夜)),0)*(1+_15・区４)),0)</f>
        <v>2209</v>
      </c>
      <c r="X311" s="69"/>
    </row>
    <row r="312" spans="1:24" ht="16.5" customHeight="1" x14ac:dyDescent="0.3">
      <c r="A312" s="2">
        <v>15</v>
      </c>
      <c r="B312" s="2">
        <v>8832</v>
      </c>
      <c r="C312" s="60" t="s">
        <v>8945</v>
      </c>
      <c r="D312" s="1"/>
      <c r="E312" s="68"/>
      <c r="F312" s="70"/>
      <c r="G312" s="66"/>
      <c r="H312" s="57"/>
      <c r="I312" s="58"/>
      <c r="J312" s="83" t="s">
        <v>5895</v>
      </c>
      <c r="K312" s="64" t="s">
        <v>1</v>
      </c>
      <c r="L312" s="65">
        <v>1</v>
      </c>
      <c r="M312" s="99"/>
      <c r="N312" s="70"/>
      <c r="O312" s="67"/>
      <c r="P312" s="68"/>
      <c r="Q312" s="76"/>
      <c r="R312" s="70"/>
      <c r="S312" s="67"/>
      <c r="T312" s="68"/>
      <c r="U312" s="76"/>
      <c r="V312" s="70"/>
      <c r="W312" s="228">
        <f>ROUND((ROUND((ROUND((_15_同援日６．５*_15・２人),0)*(1+_15・A深夜)),0)*(1+_15・区４)),0)</f>
        <v>2209</v>
      </c>
      <c r="X312" s="69"/>
    </row>
    <row r="313" spans="1:24" ht="16.5" customHeight="1" x14ac:dyDescent="0.3">
      <c r="A313" s="2">
        <v>15</v>
      </c>
      <c r="B313" s="2">
        <v>8833</v>
      </c>
      <c r="C313" s="60" t="s">
        <v>8944</v>
      </c>
      <c r="D313" s="1"/>
      <c r="E313" s="68"/>
      <c r="F313" s="70"/>
      <c r="G313" s="74" t="s">
        <v>17078</v>
      </c>
      <c r="H313" s="62"/>
      <c r="I313" s="63"/>
      <c r="J313" s="85"/>
      <c r="K313" s="64"/>
      <c r="L313" s="65"/>
      <c r="M313" s="99"/>
      <c r="N313" s="70"/>
      <c r="O313" s="67"/>
      <c r="P313" s="68"/>
      <c r="Q313" s="76"/>
      <c r="R313" s="70"/>
      <c r="S313" s="1" t="s">
        <v>17971</v>
      </c>
      <c r="T313" s="68"/>
      <c r="U313" s="76"/>
      <c r="V313" s="70"/>
      <c r="W313" s="228">
        <f>ROUND((ROUND((ROUND((_15_同援日６．５*_15・基礎２),0)*(1+_15・A深夜)),0)*(1+_15・区４)),0)</f>
        <v>1989</v>
      </c>
      <c r="X313" s="69"/>
    </row>
    <row r="314" spans="1:24" ht="16.5" customHeight="1" x14ac:dyDescent="0.3">
      <c r="A314" s="2">
        <v>15</v>
      </c>
      <c r="B314" s="2">
        <v>8834</v>
      </c>
      <c r="C314" s="60" t="s">
        <v>8943</v>
      </c>
      <c r="D314" s="1"/>
      <c r="E314" s="68"/>
      <c r="F314" s="70"/>
      <c r="G314" s="106" t="s">
        <v>17077</v>
      </c>
      <c r="H314" s="57" t="s">
        <v>1</v>
      </c>
      <c r="I314" s="58">
        <v>0.9</v>
      </c>
      <c r="J314" s="83" t="s">
        <v>5895</v>
      </c>
      <c r="K314" s="64" t="s">
        <v>1</v>
      </c>
      <c r="L314" s="65">
        <v>1</v>
      </c>
      <c r="M314" s="99"/>
      <c r="N314" s="70"/>
      <c r="O314" s="66"/>
      <c r="P314" s="57"/>
      <c r="Q314" s="58"/>
      <c r="R314" s="77"/>
      <c r="S314" s="1" t="s">
        <v>18006</v>
      </c>
      <c r="T314" s="68"/>
      <c r="U314" s="76"/>
      <c r="V314" s="70"/>
      <c r="W314" s="228">
        <f>ROUND((ROUND((ROUND((ROUND((_15_同援日６．５*_15・基礎２),0)*_15・２人),0)*(1+_15・A深夜)),0)*(1+_15・区４)),0)</f>
        <v>1989</v>
      </c>
      <c r="X314" s="69"/>
    </row>
    <row r="315" spans="1:24" ht="16.5" customHeight="1" x14ac:dyDescent="0.3">
      <c r="A315" s="2">
        <v>15</v>
      </c>
      <c r="B315" s="2">
        <v>8835</v>
      </c>
      <c r="C315" s="60" t="s">
        <v>8942</v>
      </c>
      <c r="D315" s="1"/>
      <c r="E315" s="68"/>
      <c r="F315" s="70"/>
      <c r="G315" s="61"/>
      <c r="H315" s="62"/>
      <c r="I315" s="63"/>
      <c r="J315" s="85"/>
      <c r="K315" s="64"/>
      <c r="L315" s="65"/>
      <c r="M315" s="99"/>
      <c r="N315" s="70"/>
      <c r="O315" s="74" t="s">
        <v>18005</v>
      </c>
      <c r="P315" s="62"/>
      <c r="Q315" s="63"/>
      <c r="R315" s="75"/>
      <c r="S315" s="67"/>
      <c r="T315" s="68" t="s">
        <v>1</v>
      </c>
      <c r="U315" s="76">
        <v>0.4</v>
      </c>
      <c r="V315" s="70" t="s">
        <v>422</v>
      </c>
      <c r="W315" s="228">
        <f>ROUND((ROUND((ROUND((_15_同援日６．５*(1+_15・A深夜)),0)*(1+_15・盲ろう)),0)*(1+_15・区４)),0)</f>
        <v>2762</v>
      </c>
      <c r="X315" s="69"/>
    </row>
    <row r="316" spans="1:24" ht="16.5" customHeight="1" x14ac:dyDescent="0.3">
      <c r="A316" s="2">
        <v>15</v>
      </c>
      <c r="B316" s="2">
        <v>8836</v>
      </c>
      <c r="C316" s="60" t="s">
        <v>8941</v>
      </c>
      <c r="D316" s="1"/>
      <c r="E316" s="68"/>
      <c r="F316" s="70"/>
      <c r="G316" s="66"/>
      <c r="H316" s="57"/>
      <c r="I316" s="58"/>
      <c r="J316" s="83" t="s">
        <v>5895</v>
      </c>
      <c r="K316" s="64" t="s">
        <v>1</v>
      </c>
      <c r="L316" s="65">
        <v>1</v>
      </c>
      <c r="M316" s="99"/>
      <c r="N316" s="70"/>
      <c r="O316" s="94" t="s">
        <v>18004</v>
      </c>
      <c r="P316" s="68"/>
      <c r="Q316" s="76"/>
      <c r="R316" s="70"/>
      <c r="S316" s="67"/>
      <c r="T316" s="68"/>
      <c r="U316" s="76"/>
      <c r="V316" s="70"/>
      <c r="W316" s="228">
        <f>ROUND((ROUND((ROUND((ROUND((_15_同援日６．５*_15・２人),0)*(1+_15・A深夜)),0)*(1+_15・盲ろう)),0)*(1+_15・区４)),0)</f>
        <v>2762</v>
      </c>
      <c r="X316" s="69"/>
    </row>
    <row r="317" spans="1:24" ht="16.5" customHeight="1" x14ac:dyDescent="0.3">
      <c r="A317" s="2">
        <v>15</v>
      </c>
      <c r="B317" s="2">
        <v>8837</v>
      </c>
      <c r="C317" s="60" t="s">
        <v>8940</v>
      </c>
      <c r="D317" s="1"/>
      <c r="E317" s="68"/>
      <c r="F317" s="70"/>
      <c r="G317" s="74" t="s">
        <v>17078</v>
      </c>
      <c r="H317" s="62"/>
      <c r="I317" s="63"/>
      <c r="J317" s="85"/>
      <c r="K317" s="64"/>
      <c r="L317" s="65"/>
      <c r="M317" s="99"/>
      <c r="N317" s="70"/>
      <c r="O317" s="67"/>
      <c r="P317" s="68" t="s">
        <v>1</v>
      </c>
      <c r="Q317" s="76">
        <v>0.25</v>
      </c>
      <c r="R317" s="70" t="s">
        <v>422</v>
      </c>
      <c r="S317" s="67"/>
      <c r="T317" s="68"/>
      <c r="U317" s="76"/>
      <c r="V317" s="70"/>
      <c r="W317" s="228">
        <f>ROUND((ROUND((ROUND((ROUND((_15_同援日６．５*_15・基礎２),0)*(1+_15・A深夜)),0)*(1+_15・盲ろう)),0)*(1+_15・区４)),0)</f>
        <v>2486</v>
      </c>
      <c r="X317" s="69"/>
    </row>
    <row r="318" spans="1:24" ht="16.5" customHeight="1" x14ac:dyDescent="0.3">
      <c r="A318" s="2">
        <v>15</v>
      </c>
      <c r="B318" s="2">
        <v>8838</v>
      </c>
      <c r="C318" s="60" t="s">
        <v>8939</v>
      </c>
      <c r="D318" s="81"/>
      <c r="E318" s="57"/>
      <c r="F318" s="77"/>
      <c r="G318" s="106" t="s">
        <v>16812</v>
      </c>
      <c r="H318" s="57" t="s">
        <v>1</v>
      </c>
      <c r="I318" s="58">
        <v>0.9</v>
      </c>
      <c r="J318" s="83" t="s">
        <v>5895</v>
      </c>
      <c r="K318" s="64" t="s">
        <v>1</v>
      </c>
      <c r="L318" s="65">
        <v>1</v>
      </c>
      <c r="M318" s="101"/>
      <c r="N318" s="77"/>
      <c r="O318" s="66"/>
      <c r="P318" s="57"/>
      <c r="Q318" s="58"/>
      <c r="R318" s="77"/>
      <c r="S318" s="66"/>
      <c r="T318" s="57"/>
      <c r="U318" s="58"/>
      <c r="V318" s="77"/>
      <c r="W318" s="228">
        <f>ROUND((ROUND((ROUND((ROUND((ROUND((_15_同援日６．５*_15・基礎２),0)*_15・２人),0)*(1+_15・A深夜)),0)*(1+_15・盲ろう)),0)*(1+_15・区４)),0)</f>
        <v>2486</v>
      </c>
      <c r="X318" s="71"/>
    </row>
    <row r="319" spans="1:24" ht="16.5" customHeight="1" x14ac:dyDescent="0.3"/>
    <row r="320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02" max="16383" man="1"/>
    <brk id="198" max="16383" man="1"/>
    <brk id="29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0000"/>
    <pageSetUpPr fitToPage="1"/>
  </sheetPr>
  <dimension ref="A1:AC36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5.62890625" style="45" customWidth="1"/>
    <col min="5" max="5" width="4.1015625" style="46" bestFit="1" customWidth="1"/>
    <col min="6" max="6" width="4.734375" style="46" bestFit="1" customWidth="1"/>
    <col min="7" max="7" width="5.62890625" style="45" customWidth="1"/>
    <col min="8" max="8" width="4.1015625" style="46" bestFit="1" customWidth="1"/>
    <col min="9" max="9" width="4.734375" style="46" bestFit="1" customWidth="1"/>
    <col min="10" max="10" width="14.62890625" style="46" customWidth="1"/>
    <col min="11" max="11" width="3.1015625" style="46" bestFit="1" customWidth="1"/>
    <col min="12" max="12" width="4.1015625" style="47" bestFit="1" customWidth="1"/>
    <col min="13" max="13" width="26.47265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4.1015625" style="47" bestFit="1" customWidth="1"/>
    <col min="19" max="19" width="4.734375" style="46" bestFit="1" customWidth="1"/>
    <col min="20" max="20" width="10.62890625" style="46" customWidth="1"/>
    <col min="21" max="21" width="3.1015625" style="46" bestFit="1" customWidth="1"/>
    <col min="22" max="22" width="4.1015625" style="47" bestFit="1" customWidth="1"/>
    <col min="23" max="23" width="4.734375" style="46" customWidth="1"/>
    <col min="24" max="24" width="8.62890625" style="46" customWidth="1"/>
    <col min="25" max="25" width="3.1015625" style="46" bestFit="1" customWidth="1"/>
    <col min="26" max="26" width="4.1015625" style="47" bestFit="1" customWidth="1"/>
    <col min="27" max="27" width="4.734375" style="46" bestFit="1" customWidth="1"/>
    <col min="28" max="28" width="6.3671875" style="84" bestFit="1" customWidth="1"/>
    <col min="29" max="29" width="7.734375" style="48" bestFit="1" customWidth="1"/>
    <col min="30" max="16384" width="9" style="49"/>
  </cols>
  <sheetData>
    <row r="1" spans="1:29" ht="16.5" customHeight="1" x14ac:dyDescent="0.3"/>
    <row r="2" spans="1:29" ht="16.5" customHeight="1" x14ac:dyDescent="0.3"/>
    <row r="3" spans="1:29" ht="16.5" customHeight="1" x14ac:dyDescent="0.3"/>
    <row r="4" spans="1:29" ht="16.5" customHeight="1" x14ac:dyDescent="0.3">
      <c r="B4" s="229" t="s">
        <v>18034</v>
      </c>
      <c r="C4" s="131"/>
      <c r="D4" s="72"/>
    </row>
    <row r="5" spans="1:29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4"/>
      <c r="S5" s="53"/>
      <c r="T5" s="53"/>
      <c r="U5" s="53"/>
      <c r="V5" s="54"/>
      <c r="W5" s="53"/>
      <c r="X5" s="53"/>
      <c r="Y5" s="53"/>
      <c r="Z5" s="54"/>
      <c r="AA5" s="53"/>
      <c r="AB5" s="55" t="s">
        <v>5869</v>
      </c>
      <c r="AC5" s="55" t="s">
        <v>5871</v>
      </c>
    </row>
    <row r="6" spans="1:29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80" t="s">
        <v>17717</v>
      </c>
      <c r="H6" s="86"/>
      <c r="I6" s="87"/>
      <c r="J6" s="57"/>
      <c r="K6" s="57"/>
      <c r="L6" s="58"/>
      <c r="M6" s="57"/>
      <c r="N6" s="57"/>
      <c r="O6" s="58"/>
      <c r="P6" s="58"/>
      <c r="Q6" s="57"/>
      <c r="R6" s="58"/>
      <c r="S6" s="57"/>
      <c r="T6" s="57"/>
      <c r="U6" s="57"/>
      <c r="V6" s="58"/>
      <c r="W6" s="57"/>
      <c r="X6" s="57"/>
      <c r="Y6" s="57"/>
      <c r="Z6" s="58"/>
      <c r="AA6" s="57"/>
      <c r="AB6" s="59" t="s">
        <v>5870</v>
      </c>
      <c r="AC6" s="59" t="s">
        <v>0</v>
      </c>
    </row>
    <row r="7" spans="1:29" ht="16.5" customHeight="1" x14ac:dyDescent="0.3">
      <c r="A7" s="2">
        <v>15</v>
      </c>
      <c r="B7" s="2">
        <v>8839</v>
      </c>
      <c r="C7" s="60" t="s">
        <v>9614</v>
      </c>
      <c r="D7" s="233" t="s">
        <v>18033</v>
      </c>
      <c r="E7" s="62"/>
      <c r="F7" s="75"/>
      <c r="G7" s="233" t="s">
        <v>17370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98"/>
      <c r="S7" s="75"/>
      <c r="T7" s="61"/>
      <c r="U7" s="62"/>
      <c r="V7" s="63"/>
      <c r="W7" s="75"/>
      <c r="X7" s="61"/>
      <c r="Y7" s="62"/>
      <c r="Z7" s="63"/>
      <c r="AA7" s="75"/>
      <c r="AB7" s="228">
        <f>ROUND((_15_同援日０．５*(1+_15・A深夜)),0)+ROUND((_15_同援日０．５＿０．５*(1+_15・B早朝)),0)</f>
        <v>411</v>
      </c>
      <c r="AC7" s="52" t="s">
        <v>5863</v>
      </c>
    </row>
    <row r="8" spans="1:29" ht="16.5" customHeight="1" x14ac:dyDescent="0.3">
      <c r="A8" s="2">
        <v>15</v>
      </c>
      <c r="B8" s="2">
        <v>8840</v>
      </c>
      <c r="C8" s="60" t="s">
        <v>9613</v>
      </c>
      <c r="D8" s="1" t="s">
        <v>7928</v>
      </c>
      <c r="E8" s="68"/>
      <c r="F8" s="70"/>
      <c r="G8" s="1" t="s">
        <v>7928</v>
      </c>
      <c r="H8" s="68"/>
      <c r="I8" s="70"/>
      <c r="J8" s="66"/>
      <c r="K8" s="57"/>
      <c r="L8" s="58"/>
      <c r="M8" s="83" t="s">
        <v>5895</v>
      </c>
      <c r="N8" s="64" t="s">
        <v>1</v>
      </c>
      <c r="O8" s="65">
        <v>1</v>
      </c>
      <c r="P8" s="99"/>
      <c r="Q8" s="70"/>
      <c r="R8" s="99"/>
      <c r="S8" s="70"/>
      <c r="T8" s="67"/>
      <c r="U8" s="68"/>
      <c r="V8" s="76"/>
      <c r="W8" s="70"/>
      <c r="X8" s="67"/>
      <c r="Y8" s="68"/>
      <c r="Z8" s="76"/>
      <c r="AA8" s="70"/>
      <c r="AB8" s="228">
        <f>ROUND((ROUND((_15_同援日０．５*_15・２人),0)*(1+_15・A深夜)),0)+ROUND((ROUND((_15_同援日０．５＿０．５*_15・２人),0)*(1+_15・B早朝)),0)</f>
        <v>411</v>
      </c>
      <c r="AC8" s="69"/>
    </row>
    <row r="9" spans="1:29" ht="16.5" customHeight="1" x14ac:dyDescent="0.3">
      <c r="A9" s="2">
        <v>15</v>
      </c>
      <c r="B9" s="2">
        <v>8841</v>
      </c>
      <c r="C9" s="60" t="s">
        <v>9612</v>
      </c>
      <c r="D9" s="1"/>
      <c r="E9" s="68"/>
      <c r="F9" s="70"/>
      <c r="G9" s="1"/>
      <c r="H9" s="68"/>
      <c r="I9" s="70"/>
      <c r="J9" s="74" t="s">
        <v>16823</v>
      </c>
      <c r="K9" s="62"/>
      <c r="L9" s="63"/>
      <c r="M9" s="85"/>
      <c r="N9" s="64"/>
      <c r="O9" s="65"/>
      <c r="P9" s="99"/>
      <c r="Q9" s="70"/>
      <c r="R9" s="99"/>
      <c r="S9" s="70"/>
      <c r="T9" s="67"/>
      <c r="U9" s="68"/>
      <c r="V9" s="76"/>
      <c r="W9" s="70"/>
      <c r="X9" s="67"/>
      <c r="Y9" s="68"/>
      <c r="Z9" s="76"/>
      <c r="AA9" s="70"/>
      <c r="AB9" s="228">
        <f>ROUND((ROUND((_15_同援日０．５*_15・基礎２),0)*(1+_15・A深夜)),0)+ROUND((ROUND((_15_同援日０．５＿０．５*_15・基礎２),0)*(1+_15・B早朝)),0)</f>
        <v>370</v>
      </c>
      <c r="AC9" s="69"/>
    </row>
    <row r="10" spans="1:29" ht="16.5" customHeight="1" x14ac:dyDescent="0.3">
      <c r="A10" s="2">
        <v>15</v>
      </c>
      <c r="B10" s="2">
        <v>8842</v>
      </c>
      <c r="C10" s="60" t="s">
        <v>9611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06" t="s">
        <v>16970</v>
      </c>
      <c r="K10" s="57" t="s">
        <v>1</v>
      </c>
      <c r="L10" s="58">
        <v>0.9</v>
      </c>
      <c r="M10" s="83" t="s">
        <v>5895</v>
      </c>
      <c r="N10" s="64" t="s">
        <v>1</v>
      </c>
      <c r="O10" s="65">
        <v>1</v>
      </c>
      <c r="P10" s="99"/>
      <c r="Q10" s="70"/>
      <c r="R10" s="99"/>
      <c r="S10" s="70"/>
      <c r="T10" s="66"/>
      <c r="U10" s="57"/>
      <c r="V10" s="58"/>
      <c r="W10" s="77"/>
      <c r="X10" s="67"/>
      <c r="Y10" s="68"/>
      <c r="Z10" s="76"/>
      <c r="AA10" s="70"/>
      <c r="AB10" s="228">
        <f>ROUND((ROUND((ROUND((_15_同援日０．５*_15・基礎２),0)*_15・２人),0)*(1+_15・A深夜)),0)+ROUND((ROUND((ROUND((_15_同援日０．５＿０．５*_15・基礎２),0)*_15・２人),0)*(1+_15・B早朝)),0)</f>
        <v>370</v>
      </c>
      <c r="AC10" s="69"/>
    </row>
    <row r="11" spans="1:29" ht="16.5" customHeight="1" x14ac:dyDescent="0.3">
      <c r="A11" s="2">
        <v>15</v>
      </c>
      <c r="B11" s="2">
        <v>8843</v>
      </c>
      <c r="C11" s="60" t="s">
        <v>9610</v>
      </c>
      <c r="D11" s="1"/>
      <c r="E11" s="68"/>
      <c r="F11" s="70"/>
      <c r="G11" s="1"/>
      <c r="H11" s="68"/>
      <c r="I11" s="70"/>
      <c r="J11" s="61"/>
      <c r="K11" s="62"/>
      <c r="L11" s="63"/>
      <c r="M11" s="85"/>
      <c r="N11" s="64"/>
      <c r="O11" s="65"/>
      <c r="P11" s="99"/>
      <c r="Q11" s="70"/>
      <c r="R11" s="99"/>
      <c r="S11" s="70"/>
      <c r="T11" s="74" t="s">
        <v>18025</v>
      </c>
      <c r="U11" s="62"/>
      <c r="V11" s="63"/>
      <c r="W11" s="75"/>
      <c r="X11" s="67"/>
      <c r="Y11" s="68"/>
      <c r="Z11" s="76"/>
      <c r="AA11" s="70"/>
      <c r="AB11" s="228">
        <f>ROUND((ROUND((_15_同援日０．５*(1+_15・A深夜)),0)*(1+_15・盲ろう)),0)+ROUND((ROUND((_15_同援日０．５＿０．５*(1+_15・B早朝)),0)*(1+_15・盲ろう)),0)</f>
        <v>514</v>
      </c>
      <c r="AC11" s="69"/>
    </row>
    <row r="12" spans="1:29" ht="16.5" customHeight="1" x14ac:dyDescent="0.3">
      <c r="A12" s="2">
        <v>15</v>
      </c>
      <c r="B12" s="2">
        <v>8844</v>
      </c>
      <c r="C12" s="60" t="s">
        <v>9609</v>
      </c>
      <c r="D12" s="1"/>
      <c r="E12" s="68"/>
      <c r="F12" s="70"/>
      <c r="G12" s="1"/>
      <c r="H12" s="68"/>
      <c r="I12" s="70"/>
      <c r="J12" s="66"/>
      <c r="K12" s="57"/>
      <c r="L12" s="58"/>
      <c r="M12" s="83" t="s">
        <v>5895</v>
      </c>
      <c r="N12" s="64" t="s">
        <v>1</v>
      </c>
      <c r="O12" s="65">
        <v>1</v>
      </c>
      <c r="P12" s="108" t="s">
        <v>7920</v>
      </c>
      <c r="Q12" s="70"/>
      <c r="R12" s="108" t="s">
        <v>7895</v>
      </c>
      <c r="S12" s="70"/>
      <c r="T12" s="94" t="s">
        <v>17968</v>
      </c>
      <c r="U12" s="68"/>
      <c r="V12" s="76"/>
      <c r="W12" s="70"/>
      <c r="X12" s="67"/>
      <c r="Y12" s="68"/>
      <c r="Z12" s="76"/>
      <c r="AA12" s="70"/>
      <c r="AB12" s="228">
        <f>ROUND((ROUND((ROUND((_15_同援日０．５*_15・２人),0)*(1+_15・A深夜)),0)*(1+_15・盲ろう)),0)+ROUND((ROUND((ROUND((_15_同援日０．５＿０．５*_15・２人),0)*(1+_15・B早朝)),0)*(1+_15・盲ろう)),0)</f>
        <v>514</v>
      </c>
      <c r="AC12" s="69"/>
    </row>
    <row r="13" spans="1:29" ht="16.5" customHeight="1" x14ac:dyDescent="0.3">
      <c r="A13" s="2">
        <v>15</v>
      </c>
      <c r="B13" s="2">
        <v>8845</v>
      </c>
      <c r="C13" s="60" t="s">
        <v>9608</v>
      </c>
      <c r="D13" s="1"/>
      <c r="E13" s="68"/>
      <c r="F13" s="70"/>
      <c r="G13" s="1"/>
      <c r="H13" s="68"/>
      <c r="I13" s="70"/>
      <c r="J13" s="74" t="s">
        <v>16971</v>
      </c>
      <c r="K13" s="62"/>
      <c r="L13" s="63"/>
      <c r="M13" s="85"/>
      <c r="N13" s="64"/>
      <c r="O13" s="65"/>
      <c r="P13" s="99"/>
      <c r="Q13" s="109" t="s">
        <v>7948</v>
      </c>
      <c r="R13" s="99"/>
      <c r="S13" s="109" t="s">
        <v>7947</v>
      </c>
      <c r="T13" s="67"/>
      <c r="U13" s="68" t="s">
        <v>1</v>
      </c>
      <c r="V13" s="76">
        <v>0.25</v>
      </c>
      <c r="W13" s="70" t="s">
        <v>422</v>
      </c>
      <c r="X13" s="67"/>
      <c r="Y13" s="68"/>
      <c r="Z13" s="76"/>
      <c r="AA13" s="70"/>
      <c r="AB13" s="228">
        <f>ROUND((ROUND((ROUND((_15_同援日０．５*_15・基礎２),0)*(1+_15・A深夜)),0)*(1+_15・盲ろう)),0)+ROUND((ROUND((ROUND((_15_同援日０．５＿０．５*_15・基礎２),0)*(1+_15・B早朝)),0)*(1+_15・盲ろう)),0)</f>
        <v>462</v>
      </c>
      <c r="AC13" s="69"/>
    </row>
    <row r="14" spans="1:29" ht="16.5" customHeight="1" x14ac:dyDescent="0.3">
      <c r="A14" s="2">
        <v>15</v>
      </c>
      <c r="B14" s="2">
        <v>8846</v>
      </c>
      <c r="C14" s="60" t="s">
        <v>9607</v>
      </c>
      <c r="D14" s="1"/>
      <c r="E14" s="68"/>
      <c r="F14" s="70"/>
      <c r="G14" s="1"/>
      <c r="H14" s="68"/>
      <c r="I14" s="70"/>
      <c r="J14" s="106" t="s">
        <v>16970</v>
      </c>
      <c r="K14" s="57" t="s">
        <v>1</v>
      </c>
      <c r="L14" s="58">
        <v>0.9</v>
      </c>
      <c r="M14" s="83" t="s">
        <v>5895</v>
      </c>
      <c r="N14" s="64" t="s">
        <v>1</v>
      </c>
      <c r="O14" s="65">
        <v>1</v>
      </c>
      <c r="P14" s="99"/>
      <c r="Q14" s="70"/>
      <c r="R14" s="99"/>
      <c r="S14" s="70"/>
      <c r="T14" s="66"/>
      <c r="U14" s="57"/>
      <c r="V14" s="58"/>
      <c r="W14" s="77"/>
      <c r="X14" s="66"/>
      <c r="Y14" s="57"/>
      <c r="Z14" s="58"/>
      <c r="AA14" s="77"/>
      <c r="AB14" s="228">
        <f>ROUND((ROUND((ROUND((ROUND((_15_同援日０．５*_15・基礎２),0)*_15・２人),0)*(1+_15・A深夜)),0)*(1+_15・盲ろう)),0)+ROUND((ROUND((ROUND((ROUND((_15_同援日０．５＿０．５*_15・基礎２),0)*_15・２人),0)*(1+_15・B早朝)),0)*(1+_15・盲ろう)),0)</f>
        <v>462</v>
      </c>
      <c r="AC14" s="69"/>
    </row>
    <row r="15" spans="1:29" ht="16.5" customHeight="1" x14ac:dyDescent="0.3">
      <c r="A15" s="2">
        <v>15</v>
      </c>
      <c r="B15" s="2">
        <v>8847</v>
      </c>
      <c r="C15" s="60" t="s">
        <v>9606</v>
      </c>
      <c r="D15" s="1"/>
      <c r="E15" s="68"/>
      <c r="F15" s="70"/>
      <c r="G15" s="1"/>
      <c r="H15" s="68"/>
      <c r="I15" s="70"/>
      <c r="J15" s="61"/>
      <c r="K15" s="62"/>
      <c r="L15" s="63"/>
      <c r="M15" s="85"/>
      <c r="N15" s="64"/>
      <c r="O15" s="65"/>
      <c r="P15" s="67" t="s">
        <v>1</v>
      </c>
      <c r="Q15" s="93">
        <v>0.5</v>
      </c>
      <c r="R15" s="67" t="s">
        <v>1</v>
      </c>
      <c r="S15" s="93">
        <v>0.25</v>
      </c>
      <c r="T15" s="61"/>
      <c r="U15" s="62"/>
      <c r="V15" s="63"/>
      <c r="W15" s="75"/>
      <c r="X15" s="61"/>
      <c r="Y15" s="62"/>
      <c r="Z15" s="63"/>
      <c r="AA15" s="75"/>
      <c r="AB15" s="228">
        <f>ROUND((ROUND((_15_同援日０．５*(1+_15・A深夜)),0)*(1+_15・区３)),0)+ROUND((ROUND((_15_同援日０．５＿０．５*(1+_15・B早朝)),0)*(1+_15・区３)),0)</f>
        <v>493</v>
      </c>
      <c r="AC15" s="69"/>
    </row>
    <row r="16" spans="1:29" ht="16.5" customHeight="1" x14ac:dyDescent="0.3">
      <c r="A16" s="2">
        <v>15</v>
      </c>
      <c r="B16" s="2">
        <v>8848</v>
      </c>
      <c r="C16" s="60" t="s">
        <v>9605</v>
      </c>
      <c r="D16" s="1"/>
      <c r="E16" s="68"/>
      <c r="F16" s="70"/>
      <c r="G16" s="1"/>
      <c r="H16" s="68"/>
      <c r="I16" s="70"/>
      <c r="J16" s="66"/>
      <c r="K16" s="57"/>
      <c r="L16" s="58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99"/>
      <c r="S16" s="100" t="s">
        <v>422</v>
      </c>
      <c r="T16" s="67"/>
      <c r="U16" s="68"/>
      <c r="V16" s="76"/>
      <c r="W16" s="70"/>
      <c r="X16" s="67"/>
      <c r="Y16" s="68"/>
      <c r="Z16" s="76"/>
      <c r="AA16" s="70"/>
      <c r="AB16" s="228">
        <f>ROUND((ROUND((ROUND((_15_同援日０．５*_15・２人),0)*(1+_15・A深夜)),0)*(1+_15・区３)),0)+ROUND((ROUND((ROUND((_15_同援日０．５＿０．５*_15・２人),0)*(1+_15・B早朝)),0)*(1+_15・区３)),0)</f>
        <v>493</v>
      </c>
      <c r="AC16" s="69"/>
    </row>
    <row r="17" spans="1:29" ht="16.5" customHeight="1" x14ac:dyDescent="0.3">
      <c r="A17" s="2">
        <v>15</v>
      </c>
      <c r="B17" s="2">
        <v>8849</v>
      </c>
      <c r="C17" s="60" t="s">
        <v>9604</v>
      </c>
      <c r="D17" s="1"/>
      <c r="E17" s="68"/>
      <c r="F17" s="70"/>
      <c r="G17" s="1"/>
      <c r="H17" s="68"/>
      <c r="I17" s="70"/>
      <c r="J17" s="74" t="s">
        <v>16823</v>
      </c>
      <c r="K17" s="62"/>
      <c r="L17" s="63"/>
      <c r="M17" s="85"/>
      <c r="N17" s="64"/>
      <c r="O17" s="65"/>
      <c r="P17" s="99"/>
      <c r="Q17" s="70"/>
      <c r="R17" s="99"/>
      <c r="S17" s="70"/>
      <c r="T17" s="67"/>
      <c r="U17" s="68"/>
      <c r="V17" s="76"/>
      <c r="W17" s="70"/>
      <c r="X17" s="1" t="s">
        <v>17974</v>
      </c>
      <c r="Y17" s="68"/>
      <c r="Z17" s="76"/>
      <c r="AA17" s="70"/>
      <c r="AB17" s="228">
        <f>ROUND((ROUND((ROUND((_15_同援日０．５*_15・基礎２),0)*(1+_15・A深夜)),0)*(1+_15・区３)),0)+ROUND((ROUND((ROUND((_15_同援日０．５＿０．５*_15・基礎２),0)*(1+_15・B早朝)),0)*(1+_15・区３)),0)</f>
        <v>444</v>
      </c>
      <c r="AC17" s="69"/>
    </row>
    <row r="18" spans="1:29" ht="16.5" customHeight="1" x14ac:dyDescent="0.3">
      <c r="A18" s="2">
        <v>15</v>
      </c>
      <c r="B18" s="2">
        <v>8850</v>
      </c>
      <c r="C18" s="60" t="s">
        <v>9603</v>
      </c>
      <c r="D18" s="1"/>
      <c r="E18" s="68"/>
      <c r="F18" s="70"/>
      <c r="G18" s="1"/>
      <c r="H18" s="68"/>
      <c r="I18" s="70"/>
      <c r="J18" s="106" t="s">
        <v>16812</v>
      </c>
      <c r="K18" s="57" t="s">
        <v>1</v>
      </c>
      <c r="L18" s="58">
        <v>0.9</v>
      </c>
      <c r="M18" s="83" t="s">
        <v>5895</v>
      </c>
      <c r="N18" s="64" t="s">
        <v>1</v>
      </c>
      <c r="O18" s="65">
        <v>1</v>
      </c>
      <c r="P18" s="99"/>
      <c r="Q18" s="70"/>
      <c r="R18" s="99"/>
      <c r="S18" s="70"/>
      <c r="T18" s="66"/>
      <c r="U18" s="57"/>
      <c r="V18" s="58"/>
      <c r="W18" s="77"/>
      <c r="X18" s="1" t="s">
        <v>18026</v>
      </c>
      <c r="Y18" s="68"/>
      <c r="Z18" s="76"/>
      <c r="AA18" s="70"/>
      <c r="AB18" s="228">
        <f>ROUND((ROUND((ROUND((ROUND((_15_同援日０．５*_15・基礎２),0)*_15・２人),0)*(1+_15・A深夜)),0)*(1+_15・区３)),0)+ROUND((ROUND((ROUND((ROUND((_15_同援日０．５＿０．５*_15・基礎２),0)*_15・２人),0)*(1+_15・B早朝)),0)*(1+_15・区３)),0)</f>
        <v>444</v>
      </c>
      <c r="AC18" s="69"/>
    </row>
    <row r="19" spans="1:29" ht="16.5" customHeight="1" x14ac:dyDescent="0.3">
      <c r="A19" s="2">
        <v>15</v>
      </c>
      <c r="B19" s="2">
        <v>8851</v>
      </c>
      <c r="C19" s="60" t="s">
        <v>9602</v>
      </c>
      <c r="D19" s="1"/>
      <c r="E19" s="68"/>
      <c r="F19" s="70"/>
      <c r="G19" s="1"/>
      <c r="H19" s="68"/>
      <c r="I19" s="70"/>
      <c r="J19" s="61"/>
      <c r="K19" s="62"/>
      <c r="L19" s="63"/>
      <c r="M19" s="85"/>
      <c r="N19" s="64"/>
      <c r="O19" s="65"/>
      <c r="P19" s="99"/>
      <c r="Q19" s="70"/>
      <c r="R19" s="99"/>
      <c r="S19" s="70"/>
      <c r="T19" s="74" t="s">
        <v>17969</v>
      </c>
      <c r="U19" s="62"/>
      <c r="V19" s="63"/>
      <c r="W19" s="75"/>
      <c r="X19" s="67"/>
      <c r="Y19" s="68" t="s">
        <v>1</v>
      </c>
      <c r="Z19" s="76">
        <v>0.2</v>
      </c>
      <c r="AA19" s="70" t="s">
        <v>422</v>
      </c>
      <c r="AB19" s="228">
        <f>ROUND((ROUND((ROUND((_15_同援日０．５*(1+_15・A深夜)),0)*(1+_15・盲ろう)),0)*(1+_15・区３)),0)+ROUND((ROUND((ROUND((_15_同援日０．５＿０．５*(1+_15・B早朝)),0)*(1+_15・盲ろう)),0)*(1+_15・区３)),0)</f>
        <v>617</v>
      </c>
      <c r="AC19" s="69"/>
    </row>
    <row r="20" spans="1:29" ht="16.5" customHeight="1" x14ac:dyDescent="0.3">
      <c r="A20" s="2">
        <v>15</v>
      </c>
      <c r="B20" s="2">
        <v>8852</v>
      </c>
      <c r="C20" s="60" t="s">
        <v>9601</v>
      </c>
      <c r="D20" s="1"/>
      <c r="E20" s="68"/>
      <c r="F20" s="70"/>
      <c r="G20" s="1"/>
      <c r="H20" s="68"/>
      <c r="I20" s="70"/>
      <c r="J20" s="66"/>
      <c r="K20" s="57"/>
      <c r="L20" s="58"/>
      <c r="M20" s="83" t="s">
        <v>5895</v>
      </c>
      <c r="N20" s="64" t="s">
        <v>1</v>
      </c>
      <c r="O20" s="65">
        <v>1</v>
      </c>
      <c r="P20" s="99"/>
      <c r="Q20" s="70"/>
      <c r="R20" s="99"/>
      <c r="S20" s="70"/>
      <c r="T20" s="94" t="s">
        <v>17968</v>
      </c>
      <c r="U20" s="68"/>
      <c r="V20" s="76"/>
      <c r="W20" s="70"/>
      <c r="X20" s="67"/>
      <c r="Y20" s="68"/>
      <c r="Z20" s="76"/>
      <c r="AA20" s="70"/>
      <c r="AB20" s="228">
        <f>ROUND((ROUND((ROUND((ROUND((_15_同援日０．５*_15・２人),0)*(1+_15・A深夜)),0)*(1+_15・盲ろう)),0)*(1+_15・区３)),0)+ROUND((ROUND((ROUND((ROUND((_15_同援日０．５＿０．５*_15・２人),0)*(1+_15・B早朝)),0)*(1+_15・盲ろう)),0)*(1+_15・区３)),0)</f>
        <v>617</v>
      </c>
      <c r="AC20" s="69"/>
    </row>
    <row r="21" spans="1:29" ht="16.5" customHeight="1" x14ac:dyDescent="0.3">
      <c r="A21" s="2">
        <v>15</v>
      </c>
      <c r="B21" s="2">
        <v>8853</v>
      </c>
      <c r="C21" s="60" t="s">
        <v>9600</v>
      </c>
      <c r="D21" s="1"/>
      <c r="E21" s="68"/>
      <c r="F21" s="70"/>
      <c r="G21" s="1"/>
      <c r="H21" s="68"/>
      <c r="I21" s="70"/>
      <c r="J21" s="74" t="s">
        <v>16823</v>
      </c>
      <c r="K21" s="62"/>
      <c r="L21" s="63"/>
      <c r="M21" s="85"/>
      <c r="N21" s="64"/>
      <c r="O21" s="65"/>
      <c r="P21" s="99"/>
      <c r="Q21" s="70"/>
      <c r="R21" s="99"/>
      <c r="S21" s="70"/>
      <c r="T21" s="67"/>
      <c r="U21" s="68" t="s">
        <v>1</v>
      </c>
      <c r="V21" s="76">
        <v>0.25</v>
      </c>
      <c r="W21" s="70" t="s">
        <v>422</v>
      </c>
      <c r="X21" s="67"/>
      <c r="Y21" s="68"/>
      <c r="Z21" s="76"/>
      <c r="AA21" s="70"/>
      <c r="AB21" s="228">
        <f>ROUND((ROUND((ROUND((ROUND((_15_同援日０．５*_15・基礎２),0)*(1+_15・A深夜)),0)*(1+_15・盲ろう)),0)*(1+_15・区３)),0)+ROUND((ROUND((ROUND((ROUND((_15_同援日０．５＿０．５*_15・基礎２),0)*(1+_15・B早朝)),0)*(1+_15・盲ろう)),0)*(1+_15・区３)),0)</f>
        <v>554</v>
      </c>
      <c r="AC21" s="69"/>
    </row>
    <row r="22" spans="1:29" ht="16.5" customHeight="1" x14ac:dyDescent="0.3">
      <c r="A22" s="2">
        <v>15</v>
      </c>
      <c r="B22" s="2">
        <v>8854</v>
      </c>
      <c r="C22" s="60" t="s">
        <v>9599</v>
      </c>
      <c r="D22" s="1"/>
      <c r="E22" s="68"/>
      <c r="F22" s="70"/>
      <c r="G22" s="1"/>
      <c r="H22" s="68"/>
      <c r="I22" s="70"/>
      <c r="J22" s="106" t="s">
        <v>16812</v>
      </c>
      <c r="K22" s="57" t="s">
        <v>1</v>
      </c>
      <c r="L22" s="58">
        <v>0.9</v>
      </c>
      <c r="M22" s="83" t="s">
        <v>5895</v>
      </c>
      <c r="N22" s="64" t="s">
        <v>1</v>
      </c>
      <c r="O22" s="65">
        <v>1</v>
      </c>
      <c r="P22" s="99"/>
      <c r="Q22" s="70"/>
      <c r="R22" s="99"/>
      <c r="S22" s="70"/>
      <c r="T22" s="66"/>
      <c r="U22" s="57"/>
      <c r="V22" s="58"/>
      <c r="W22" s="77"/>
      <c r="X22" s="66"/>
      <c r="Y22" s="57"/>
      <c r="Z22" s="58"/>
      <c r="AA22" s="77"/>
      <c r="AB22" s="228">
        <f>ROUND((ROUND((ROUND((ROUND((ROUND((_15_同援日０．５*_15・基礎２),0)*_15・２人),0)*(1+_15・A深夜)),0)*(1+_15・盲ろう)),0)*(1+_15・区３)),0)+ROUND((ROUND((ROUND((ROUND((ROUND((_15_同援日０．５＿０．５*_15・基礎２),0)*_15・２人),0)*(1+_15・B早朝)),0)*(1+_15・盲ろう)),0)*(1+_15・区３)),0)</f>
        <v>554</v>
      </c>
      <c r="AC22" s="69"/>
    </row>
    <row r="23" spans="1:29" ht="16.5" customHeight="1" x14ac:dyDescent="0.3">
      <c r="A23" s="2">
        <v>15</v>
      </c>
      <c r="B23" s="2">
        <v>8855</v>
      </c>
      <c r="C23" s="60" t="s">
        <v>9598</v>
      </c>
      <c r="D23" s="1"/>
      <c r="E23" s="68"/>
      <c r="F23" s="70"/>
      <c r="G23" s="1"/>
      <c r="H23" s="68"/>
      <c r="I23" s="70"/>
      <c r="J23" s="61"/>
      <c r="K23" s="62"/>
      <c r="L23" s="63"/>
      <c r="M23" s="85"/>
      <c r="N23" s="64"/>
      <c r="O23" s="65"/>
      <c r="P23" s="99"/>
      <c r="Q23" s="70"/>
      <c r="R23" s="99"/>
      <c r="S23" s="70"/>
      <c r="T23" s="61"/>
      <c r="U23" s="62"/>
      <c r="V23" s="63"/>
      <c r="W23" s="75"/>
      <c r="X23" s="61"/>
      <c r="Y23" s="62"/>
      <c r="Z23" s="63"/>
      <c r="AA23" s="75"/>
      <c r="AB23" s="228">
        <f>ROUND((ROUND((_15_同援日０．５*(1+_15・A深夜)),0)*(1+_15・区４)),0)+ROUND((ROUND((_15_同援日０．５＿０．５*(1+_15・B早朝)),0)*(1+_15・区４)),0)</f>
        <v>575</v>
      </c>
      <c r="AC23" s="69"/>
    </row>
    <row r="24" spans="1:29" ht="16.5" customHeight="1" x14ac:dyDescent="0.3">
      <c r="A24" s="2">
        <v>15</v>
      </c>
      <c r="B24" s="2">
        <v>8856</v>
      </c>
      <c r="C24" s="60" t="s">
        <v>9597</v>
      </c>
      <c r="D24" s="1"/>
      <c r="E24" s="68"/>
      <c r="F24" s="70"/>
      <c r="G24" s="1"/>
      <c r="H24" s="68"/>
      <c r="I24" s="70"/>
      <c r="J24" s="66"/>
      <c r="K24" s="57"/>
      <c r="L24" s="58"/>
      <c r="M24" s="83" t="s">
        <v>5895</v>
      </c>
      <c r="N24" s="64" t="s">
        <v>1</v>
      </c>
      <c r="O24" s="65">
        <v>1</v>
      </c>
      <c r="P24" s="99"/>
      <c r="Q24" s="70"/>
      <c r="R24" s="99"/>
      <c r="S24" s="70"/>
      <c r="T24" s="67"/>
      <c r="U24" s="68"/>
      <c r="V24" s="76"/>
      <c r="W24" s="70"/>
      <c r="X24" s="67"/>
      <c r="Y24" s="68"/>
      <c r="Z24" s="76"/>
      <c r="AA24" s="70"/>
      <c r="AB24" s="228">
        <f>ROUND((ROUND((ROUND((_15_同援日０．５*_15・２人),0)*(1+_15・A深夜)),0)*(1+_15・区４)),0)+ROUND((ROUND((ROUND((_15_同援日０．５＿０．５*_15・２人),0)*(1+_15・B早朝)),0)*(1+_15・区４)),0)</f>
        <v>575</v>
      </c>
      <c r="AC24" s="69"/>
    </row>
    <row r="25" spans="1:29" ht="16.5" customHeight="1" x14ac:dyDescent="0.3">
      <c r="A25" s="2">
        <v>15</v>
      </c>
      <c r="B25" s="2">
        <v>8857</v>
      </c>
      <c r="C25" s="60" t="s">
        <v>9596</v>
      </c>
      <c r="D25" s="1"/>
      <c r="E25" s="68"/>
      <c r="F25" s="70"/>
      <c r="G25" s="1"/>
      <c r="H25" s="68"/>
      <c r="I25" s="70"/>
      <c r="J25" s="74" t="s">
        <v>16823</v>
      </c>
      <c r="K25" s="62"/>
      <c r="L25" s="63"/>
      <c r="M25" s="85"/>
      <c r="N25" s="64"/>
      <c r="O25" s="65"/>
      <c r="P25" s="99"/>
      <c r="Q25" s="70"/>
      <c r="R25" s="99"/>
      <c r="S25" s="70"/>
      <c r="T25" s="67"/>
      <c r="U25" s="68"/>
      <c r="V25" s="76"/>
      <c r="W25" s="70"/>
      <c r="X25" s="1" t="s">
        <v>17971</v>
      </c>
      <c r="Y25" s="68"/>
      <c r="Z25" s="76"/>
      <c r="AA25" s="70"/>
      <c r="AB25" s="228">
        <f>ROUND((ROUND((ROUND((_15_同援日０．５*_15・基礎２),0)*(1+_15・A深夜)),0)*(1+_15・区４)),0)+ROUND((ROUND((ROUND((_15_同援日０．５＿０．５*_15・基礎２),0)*(1+_15・B早朝)),0)*(1+_15・区４)),0)</f>
        <v>518</v>
      </c>
      <c r="AC25" s="69"/>
    </row>
    <row r="26" spans="1:29" ht="16.5" customHeight="1" x14ac:dyDescent="0.3">
      <c r="A26" s="2">
        <v>15</v>
      </c>
      <c r="B26" s="2">
        <v>8858</v>
      </c>
      <c r="C26" s="60" t="s">
        <v>9595</v>
      </c>
      <c r="D26" s="1"/>
      <c r="E26" s="68"/>
      <c r="F26" s="70"/>
      <c r="G26" s="1"/>
      <c r="H26" s="68"/>
      <c r="I26" s="70"/>
      <c r="J26" s="106" t="s">
        <v>16970</v>
      </c>
      <c r="K26" s="57" t="s">
        <v>1</v>
      </c>
      <c r="L26" s="58">
        <v>0.9</v>
      </c>
      <c r="M26" s="83" t="s">
        <v>5895</v>
      </c>
      <c r="N26" s="64" t="s">
        <v>1</v>
      </c>
      <c r="O26" s="65">
        <v>1</v>
      </c>
      <c r="P26" s="99"/>
      <c r="Q26" s="70"/>
      <c r="R26" s="99"/>
      <c r="S26" s="70"/>
      <c r="T26" s="66"/>
      <c r="U26" s="57"/>
      <c r="V26" s="58"/>
      <c r="W26" s="77"/>
      <c r="X26" s="1" t="s">
        <v>18026</v>
      </c>
      <c r="Y26" s="68"/>
      <c r="Z26" s="76"/>
      <c r="AA26" s="70"/>
      <c r="AB26" s="228">
        <f>ROUND((ROUND((ROUND((ROUND((_15_同援日０．５*_15・基礎２),0)*_15・２人),0)*(1+_15・A深夜)),0)*(1+_15・区４)),0)+ROUND((ROUND((ROUND((ROUND((_15_同援日０．５＿０．５*_15・基礎２),0)*_15・２人),0)*(1+_15・B早朝)),0)*(1+_15・区４)),0)</f>
        <v>518</v>
      </c>
      <c r="AC26" s="69"/>
    </row>
    <row r="27" spans="1:29" ht="16.5" customHeight="1" x14ac:dyDescent="0.3">
      <c r="A27" s="2">
        <v>15</v>
      </c>
      <c r="B27" s="2">
        <v>8859</v>
      </c>
      <c r="C27" s="60" t="s">
        <v>9594</v>
      </c>
      <c r="D27" s="1"/>
      <c r="E27" s="68"/>
      <c r="F27" s="70"/>
      <c r="G27" s="1"/>
      <c r="H27" s="68"/>
      <c r="I27" s="70"/>
      <c r="J27" s="61"/>
      <c r="K27" s="62"/>
      <c r="L27" s="63"/>
      <c r="M27" s="85"/>
      <c r="N27" s="64"/>
      <c r="O27" s="65"/>
      <c r="P27" s="99"/>
      <c r="Q27" s="70"/>
      <c r="R27" s="99"/>
      <c r="S27" s="70"/>
      <c r="T27" s="74" t="s">
        <v>18025</v>
      </c>
      <c r="U27" s="62"/>
      <c r="V27" s="63"/>
      <c r="W27" s="75"/>
      <c r="X27" s="67"/>
      <c r="Y27" s="68" t="s">
        <v>1</v>
      </c>
      <c r="Z27" s="76">
        <v>0.4</v>
      </c>
      <c r="AA27" s="70" t="s">
        <v>422</v>
      </c>
      <c r="AB27" s="228">
        <f>ROUND((ROUND((ROUND((_15_同援日０．５*(1+_15・A深夜)),0)*(1+_15・盲ろう)),0)*(1+_15・区４)),0)+ROUND((ROUND((ROUND((_15_同援日０．５＿０．５*(1+_15・B早朝)),0)*(1+_15・盲ろう)),0)*(1+_15・区４)),0)</f>
        <v>720</v>
      </c>
      <c r="AC27" s="69"/>
    </row>
    <row r="28" spans="1:29" ht="16.5" customHeight="1" x14ac:dyDescent="0.3">
      <c r="A28" s="2">
        <v>15</v>
      </c>
      <c r="B28" s="2">
        <v>8860</v>
      </c>
      <c r="C28" s="60" t="s">
        <v>9593</v>
      </c>
      <c r="D28" s="1"/>
      <c r="E28" s="68"/>
      <c r="F28" s="70"/>
      <c r="G28" s="1"/>
      <c r="H28" s="68"/>
      <c r="I28" s="70"/>
      <c r="J28" s="66"/>
      <c r="K28" s="57"/>
      <c r="L28" s="58"/>
      <c r="M28" s="83" t="s">
        <v>5895</v>
      </c>
      <c r="N28" s="64" t="s">
        <v>1</v>
      </c>
      <c r="O28" s="65">
        <v>1</v>
      </c>
      <c r="P28" s="99"/>
      <c r="Q28" s="70"/>
      <c r="R28" s="99"/>
      <c r="S28" s="70"/>
      <c r="T28" s="94" t="s">
        <v>18024</v>
      </c>
      <c r="U28" s="68"/>
      <c r="V28" s="76"/>
      <c r="W28" s="70"/>
      <c r="X28" s="67"/>
      <c r="Y28" s="68"/>
      <c r="Z28" s="76"/>
      <c r="AA28" s="70"/>
      <c r="AB28" s="228">
        <f>ROUND((ROUND((ROUND((ROUND((_15_同援日０．５*_15・２人),0)*(1+_15・A深夜)),0)*(1+_15・盲ろう)),0)*(1+_15・区４)),0)+ROUND((ROUND((ROUND((ROUND((_15_同援日０．５＿０．５*_15・２人),0)*(1+_15・B早朝)),0)*(1+_15・盲ろう)),0)*(1+_15・区４)),0)</f>
        <v>720</v>
      </c>
      <c r="AC28" s="69"/>
    </row>
    <row r="29" spans="1:29" ht="16.5" customHeight="1" x14ac:dyDescent="0.3">
      <c r="A29" s="2">
        <v>15</v>
      </c>
      <c r="B29" s="2">
        <v>8861</v>
      </c>
      <c r="C29" s="60" t="s">
        <v>9592</v>
      </c>
      <c r="D29" s="1"/>
      <c r="E29" s="68"/>
      <c r="F29" s="70"/>
      <c r="G29" s="1"/>
      <c r="H29" s="68"/>
      <c r="I29" s="70"/>
      <c r="J29" s="74" t="s">
        <v>16823</v>
      </c>
      <c r="K29" s="62"/>
      <c r="L29" s="63"/>
      <c r="M29" s="85"/>
      <c r="N29" s="64"/>
      <c r="O29" s="65"/>
      <c r="P29" s="99"/>
      <c r="Q29" s="70"/>
      <c r="R29" s="99"/>
      <c r="S29" s="70"/>
      <c r="T29" s="67"/>
      <c r="U29" s="68" t="s">
        <v>1</v>
      </c>
      <c r="V29" s="76">
        <v>0.25</v>
      </c>
      <c r="W29" s="70" t="s">
        <v>422</v>
      </c>
      <c r="X29" s="67"/>
      <c r="Y29" s="68"/>
      <c r="Z29" s="76"/>
      <c r="AA29" s="70"/>
      <c r="AB29" s="228">
        <f>ROUND((ROUND((ROUND((ROUND((_15_同援日０．５*_15・基礎２),0)*(1+_15・A深夜)),0)*(1+_15・盲ろう)),0)*(1+_15・区４)),0)+ROUND((ROUND((ROUND((ROUND((_15_同援日０．５＿０．５*_15・基礎２),0)*(1+_15・B早朝)),0)*(1+_15・盲ろう)),0)*(1+_15・区４)),0)</f>
        <v>646</v>
      </c>
      <c r="AC29" s="69"/>
    </row>
    <row r="30" spans="1:29" ht="16.5" customHeight="1" x14ac:dyDescent="0.3">
      <c r="A30" s="2">
        <v>15</v>
      </c>
      <c r="B30" s="2">
        <v>8862</v>
      </c>
      <c r="C30" s="60" t="s">
        <v>9591</v>
      </c>
      <c r="D30" s="1"/>
      <c r="E30" s="68"/>
      <c r="F30" s="70"/>
      <c r="G30" s="81"/>
      <c r="H30" s="57"/>
      <c r="I30" s="77"/>
      <c r="J30" s="106" t="s">
        <v>16970</v>
      </c>
      <c r="K30" s="57" t="s">
        <v>1</v>
      </c>
      <c r="L30" s="58">
        <v>0.9</v>
      </c>
      <c r="M30" s="83" t="s">
        <v>5895</v>
      </c>
      <c r="N30" s="64" t="s">
        <v>1</v>
      </c>
      <c r="O30" s="65">
        <v>1</v>
      </c>
      <c r="P30" s="99"/>
      <c r="Q30" s="70"/>
      <c r="R30" s="99"/>
      <c r="S30" s="70"/>
      <c r="T30" s="66"/>
      <c r="U30" s="57"/>
      <c r="V30" s="58"/>
      <c r="W30" s="77"/>
      <c r="X30" s="66"/>
      <c r="Y30" s="57"/>
      <c r="Z30" s="58"/>
      <c r="AA30" s="77"/>
      <c r="AB30" s="228">
        <f>ROUND((ROUND((ROUND((ROUND((ROUND((_15_同援日０．５*_15・基礎２),0)*_15・２人),0)*(1+_15・A深夜)),0)*(1+_15・盲ろう)),0)*(1+_15・区４)),0)+ROUND((ROUND((ROUND((ROUND((ROUND((_15_同援日０．５＿０．５*_15・基礎２),0)*_15・２人),0)*(1+_15・B早朝)),0)*(1+_15・盲ろう)),0)*(1+_15・区４)),0)</f>
        <v>646</v>
      </c>
      <c r="AC30" s="69"/>
    </row>
    <row r="31" spans="1:29" ht="16.5" customHeight="1" x14ac:dyDescent="0.3">
      <c r="A31" s="2">
        <v>15</v>
      </c>
      <c r="B31" s="2">
        <v>8863</v>
      </c>
      <c r="C31" s="60" t="s">
        <v>9590</v>
      </c>
      <c r="D31" s="1"/>
      <c r="E31" s="68"/>
      <c r="F31" s="70"/>
      <c r="G31" s="233" t="s">
        <v>16988</v>
      </c>
      <c r="H31" s="62"/>
      <c r="I31" s="75"/>
      <c r="J31" s="61"/>
      <c r="K31" s="62"/>
      <c r="L31" s="63"/>
      <c r="M31" s="85"/>
      <c r="N31" s="64"/>
      <c r="O31" s="65"/>
      <c r="P31" s="99"/>
      <c r="Q31" s="70"/>
      <c r="R31" s="99"/>
      <c r="S31" s="70"/>
      <c r="T31" s="61"/>
      <c r="U31" s="62"/>
      <c r="V31" s="63"/>
      <c r="W31" s="75"/>
      <c r="X31" s="61"/>
      <c r="Y31" s="62"/>
      <c r="Z31" s="63"/>
      <c r="AA31" s="75"/>
      <c r="AB31" s="228">
        <f>ROUND((_15_同援日０．５*(1+_15・A深夜)),0)+ROUND((_15_同援日０．５＿１．０*(1+_15・B早朝)),0)</f>
        <v>572</v>
      </c>
      <c r="AC31" s="69"/>
    </row>
    <row r="32" spans="1:29" ht="16.5" customHeight="1" x14ac:dyDescent="0.3">
      <c r="A32" s="2">
        <v>15</v>
      </c>
      <c r="B32" s="2">
        <v>8864</v>
      </c>
      <c r="C32" s="60" t="s">
        <v>9589</v>
      </c>
      <c r="D32" s="1"/>
      <c r="E32" s="68"/>
      <c r="F32" s="70"/>
      <c r="G32" s="1" t="s">
        <v>16978</v>
      </c>
      <c r="H32" s="68"/>
      <c r="I32" s="70"/>
      <c r="J32" s="66"/>
      <c r="K32" s="57"/>
      <c r="L32" s="58"/>
      <c r="M32" s="83" t="s">
        <v>5895</v>
      </c>
      <c r="N32" s="64" t="s">
        <v>1</v>
      </c>
      <c r="O32" s="65">
        <v>1</v>
      </c>
      <c r="P32" s="99"/>
      <c r="Q32" s="70"/>
      <c r="R32" s="99"/>
      <c r="S32" s="70"/>
      <c r="T32" s="67"/>
      <c r="U32" s="68"/>
      <c r="V32" s="76"/>
      <c r="W32" s="70"/>
      <c r="X32" s="67"/>
      <c r="Y32" s="68"/>
      <c r="Z32" s="76"/>
      <c r="AA32" s="70"/>
      <c r="AB32" s="228">
        <f>ROUND((ROUND((_15_同援日０．５*_15・２人),0)*(1+_15・A深夜)),0)+ROUND((ROUND((_15_同援日０．５＿１．０*_15・２人),0)*(1+_15・B早朝)),0)</f>
        <v>572</v>
      </c>
      <c r="AC32" s="69"/>
    </row>
    <row r="33" spans="1:29" ht="16.5" customHeight="1" x14ac:dyDescent="0.3">
      <c r="A33" s="2">
        <v>15</v>
      </c>
      <c r="B33" s="2">
        <v>8865</v>
      </c>
      <c r="C33" s="60" t="s">
        <v>9588</v>
      </c>
      <c r="D33" s="1"/>
      <c r="E33" s="68"/>
      <c r="F33" s="70"/>
      <c r="G33" s="1" t="s">
        <v>8572</v>
      </c>
      <c r="H33" s="68"/>
      <c r="I33" s="70"/>
      <c r="J33" s="74" t="s">
        <v>16971</v>
      </c>
      <c r="K33" s="62"/>
      <c r="L33" s="63"/>
      <c r="M33" s="85"/>
      <c r="N33" s="64"/>
      <c r="O33" s="65"/>
      <c r="P33" s="99"/>
      <c r="Q33" s="70"/>
      <c r="R33" s="99"/>
      <c r="S33" s="70"/>
      <c r="T33" s="67"/>
      <c r="U33" s="68"/>
      <c r="V33" s="76"/>
      <c r="W33" s="70"/>
      <c r="X33" s="67"/>
      <c r="Y33" s="68"/>
      <c r="Z33" s="76"/>
      <c r="AA33" s="70"/>
      <c r="AB33" s="228">
        <f>ROUND((ROUND((_15_同援日０．５*_15・基礎２),0)*(1+_15・A深夜)),0)+ROUND((ROUND((_15_同援日０．５＿１．０*_15・基礎２),0)*(1+_15・B早朝)),0)</f>
        <v>515</v>
      </c>
      <c r="AC33" s="69"/>
    </row>
    <row r="34" spans="1:29" ht="16.5" customHeight="1" x14ac:dyDescent="0.3">
      <c r="A34" s="2">
        <v>15</v>
      </c>
      <c r="B34" s="2">
        <v>8866</v>
      </c>
      <c r="C34" s="60" t="s">
        <v>9587</v>
      </c>
      <c r="D34" s="1"/>
      <c r="E34" s="68"/>
      <c r="F34" s="70"/>
      <c r="G34" s="1"/>
      <c r="H34" s="227">
        <v>237</v>
      </c>
      <c r="I34" s="70" t="s">
        <v>0</v>
      </c>
      <c r="J34" s="106" t="s">
        <v>16970</v>
      </c>
      <c r="K34" s="57" t="s">
        <v>1</v>
      </c>
      <c r="L34" s="58">
        <v>0.9</v>
      </c>
      <c r="M34" s="83" t="s">
        <v>5895</v>
      </c>
      <c r="N34" s="64" t="s">
        <v>1</v>
      </c>
      <c r="O34" s="65">
        <v>1</v>
      </c>
      <c r="P34" s="99"/>
      <c r="Q34" s="70"/>
      <c r="R34" s="99"/>
      <c r="S34" s="70"/>
      <c r="T34" s="66"/>
      <c r="U34" s="57"/>
      <c r="V34" s="58"/>
      <c r="W34" s="77"/>
      <c r="X34" s="67"/>
      <c r="Y34" s="68"/>
      <c r="Z34" s="76"/>
      <c r="AA34" s="70"/>
      <c r="AB34" s="228">
        <f>ROUND((ROUND((ROUND((_15_同援日０．５*_15・基礎２),0)*_15・２人),0)*(1+_15・A深夜)),0)+ROUND((ROUND((ROUND((_15_同援日０．５＿１．０*_15・基礎２),0)*_15・２人),0)*(1+_15・B早朝)),0)</f>
        <v>515</v>
      </c>
      <c r="AC34" s="69"/>
    </row>
    <row r="35" spans="1:29" ht="16.5" customHeight="1" x14ac:dyDescent="0.3">
      <c r="A35" s="2">
        <v>15</v>
      </c>
      <c r="B35" s="2">
        <v>8867</v>
      </c>
      <c r="C35" s="60" t="s">
        <v>9586</v>
      </c>
      <c r="D35" s="1"/>
      <c r="E35" s="68"/>
      <c r="F35" s="70"/>
      <c r="G35" s="1"/>
      <c r="H35" s="68"/>
      <c r="I35" s="70"/>
      <c r="J35" s="61"/>
      <c r="K35" s="62"/>
      <c r="L35" s="63"/>
      <c r="M35" s="85"/>
      <c r="N35" s="64"/>
      <c r="O35" s="65"/>
      <c r="P35" s="99"/>
      <c r="Q35" s="70"/>
      <c r="R35" s="99"/>
      <c r="S35" s="70"/>
      <c r="T35" s="74" t="s">
        <v>18025</v>
      </c>
      <c r="U35" s="62"/>
      <c r="V35" s="63"/>
      <c r="W35" s="75"/>
      <c r="X35" s="67"/>
      <c r="Y35" s="68"/>
      <c r="Z35" s="76"/>
      <c r="AA35" s="70"/>
      <c r="AB35" s="228">
        <f>ROUND((ROUND((_15_同援日０．５*(1+_15・A深夜)),0)*(1+_15・盲ろう)),0)+ROUND((ROUND((_15_同援日０．５＿１．０*(1+_15・B早朝)),0)*(1+_15・盲ろう)),0)</f>
        <v>715</v>
      </c>
      <c r="AC35" s="69"/>
    </row>
    <row r="36" spans="1:29" ht="16.5" customHeight="1" x14ac:dyDescent="0.3">
      <c r="A36" s="2">
        <v>15</v>
      </c>
      <c r="B36" s="2">
        <v>8868</v>
      </c>
      <c r="C36" s="60" t="s">
        <v>9585</v>
      </c>
      <c r="D36" s="1"/>
      <c r="E36" s="68"/>
      <c r="F36" s="70"/>
      <c r="G36" s="1"/>
      <c r="H36" s="68"/>
      <c r="I36" s="70"/>
      <c r="J36" s="66"/>
      <c r="K36" s="57"/>
      <c r="L36" s="58"/>
      <c r="M36" s="83" t="s">
        <v>5895</v>
      </c>
      <c r="N36" s="64" t="s">
        <v>1</v>
      </c>
      <c r="O36" s="65">
        <v>1</v>
      </c>
      <c r="P36" s="99"/>
      <c r="Q36" s="70"/>
      <c r="R36" s="99"/>
      <c r="S36" s="70"/>
      <c r="T36" s="94" t="s">
        <v>18024</v>
      </c>
      <c r="U36" s="68"/>
      <c r="V36" s="76"/>
      <c r="W36" s="70"/>
      <c r="X36" s="67"/>
      <c r="Y36" s="68"/>
      <c r="Z36" s="76"/>
      <c r="AA36" s="70"/>
      <c r="AB36" s="228">
        <f>ROUND((ROUND((ROUND((_15_同援日０．５*_15・２人),0)*(1+_15・A深夜)),0)*(1+_15・盲ろう)),0)+ROUND((ROUND((ROUND((_15_同援日０．５＿１．０*_15・２人),0)*(1+_15・B早朝)),0)*(1+_15・盲ろう)),0)</f>
        <v>715</v>
      </c>
      <c r="AC36" s="69"/>
    </row>
    <row r="37" spans="1:29" ht="16.5" customHeight="1" x14ac:dyDescent="0.3">
      <c r="A37" s="2">
        <v>15</v>
      </c>
      <c r="B37" s="2">
        <v>8869</v>
      </c>
      <c r="C37" s="60" t="s">
        <v>9584</v>
      </c>
      <c r="D37" s="1"/>
      <c r="E37" s="68"/>
      <c r="F37" s="70"/>
      <c r="G37" s="1"/>
      <c r="H37" s="68"/>
      <c r="I37" s="70"/>
      <c r="J37" s="74" t="s">
        <v>16971</v>
      </c>
      <c r="K37" s="62"/>
      <c r="L37" s="63"/>
      <c r="M37" s="85"/>
      <c r="N37" s="64"/>
      <c r="O37" s="65"/>
      <c r="P37" s="99"/>
      <c r="Q37" s="70"/>
      <c r="R37" s="99"/>
      <c r="S37" s="70"/>
      <c r="T37" s="67"/>
      <c r="U37" s="68" t="s">
        <v>1</v>
      </c>
      <c r="V37" s="76">
        <v>0.25</v>
      </c>
      <c r="W37" s="70" t="s">
        <v>422</v>
      </c>
      <c r="X37" s="67"/>
      <c r="Y37" s="68"/>
      <c r="Z37" s="76"/>
      <c r="AA37" s="70"/>
      <c r="AB37" s="228">
        <f>ROUND((ROUND((ROUND((_15_同援日０．５*_15・基礎２),0)*(1+_15・A深夜)),0)*(1+_15・盲ろう)),0)+ROUND((ROUND((ROUND((_15_同援日０．５＿１．０*_15・基礎２),0)*(1+_15・B早朝)),0)*(1+_15・盲ろう)),0)</f>
        <v>644</v>
      </c>
      <c r="AC37" s="69"/>
    </row>
    <row r="38" spans="1:29" ht="16.5" customHeight="1" x14ac:dyDescent="0.3">
      <c r="A38" s="2">
        <v>15</v>
      </c>
      <c r="B38" s="2">
        <v>8870</v>
      </c>
      <c r="C38" s="60" t="s">
        <v>9583</v>
      </c>
      <c r="D38" s="1"/>
      <c r="E38" s="68"/>
      <c r="F38" s="70"/>
      <c r="G38" s="1"/>
      <c r="H38" s="68"/>
      <c r="I38" s="70"/>
      <c r="J38" s="106" t="s">
        <v>16970</v>
      </c>
      <c r="K38" s="57" t="s">
        <v>1</v>
      </c>
      <c r="L38" s="58">
        <v>0.9</v>
      </c>
      <c r="M38" s="83" t="s">
        <v>5895</v>
      </c>
      <c r="N38" s="64" t="s">
        <v>1</v>
      </c>
      <c r="O38" s="65">
        <v>1</v>
      </c>
      <c r="P38" s="99"/>
      <c r="Q38" s="70"/>
      <c r="R38" s="99"/>
      <c r="S38" s="70"/>
      <c r="T38" s="66"/>
      <c r="U38" s="57"/>
      <c r="V38" s="58"/>
      <c r="W38" s="77"/>
      <c r="X38" s="66"/>
      <c r="Y38" s="57"/>
      <c r="Z38" s="58"/>
      <c r="AA38" s="77"/>
      <c r="AB38" s="228">
        <f>ROUND((ROUND((ROUND((ROUND((_15_同援日０．５*_15・基礎２),0)*_15・２人),0)*(1+_15・A深夜)),0)*(1+_15・盲ろう)),0)+ROUND((ROUND((ROUND((ROUND((_15_同援日０．５＿１．０*_15・基礎２),0)*_15・２人),0)*(1+_15・B早朝)),0)*(1+_15・盲ろう)),0)</f>
        <v>644</v>
      </c>
      <c r="AC38" s="69"/>
    </row>
    <row r="39" spans="1:29" ht="16.5" customHeight="1" x14ac:dyDescent="0.3">
      <c r="A39" s="2">
        <v>15</v>
      </c>
      <c r="B39" s="2">
        <v>8871</v>
      </c>
      <c r="C39" s="60" t="s">
        <v>9582</v>
      </c>
      <c r="D39" s="1"/>
      <c r="E39" s="68"/>
      <c r="F39" s="70"/>
      <c r="G39" s="1"/>
      <c r="H39" s="68"/>
      <c r="I39" s="70"/>
      <c r="J39" s="61"/>
      <c r="K39" s="62"/>
      <c r="L39" s="63"/>
      <c r="M39" s="85"/>
      <c r="N39" s="64"/>
      <c r="O39" s="65"/>
      <c r="P39" s="99"/>
      <c r="Q39" s="70"/>
      <c r="R39" s="99"/>
      <c r="S39" s="70"/>
      <c r="T39" s="61"/>
      <c r="U39" s="62"/>
      <c r="V39" s="63"/>
      <c r="W39" s="75"/>
      <c r="X39" s="61"/>
      <c r="Y39" s="62"/>
      <c r="Z39" s="63"/>
      <c r="AA39" s="75"/>
      <c r="AB39" s="228">
        <f>ROUND((ROUND((_15_同援日０．５*(1+_15・A深夜)),0)*(1+_15・区３)),0)+ROUND((ROUND((_15_同援日０．５＿１．０*(1+_15・B早朝)),0)*(1+_15・区３)),0)</f>
        <v>686</v>
      </c>
      <c r="AC39" s="69"/>
    </row>
    <row r="40" spans="1:29" ht="16.5" customHeight="1" x14ac:dyDescent="0.3">
      <c r="A40" s="2">
        <v>15</v>
      </c>
      <c r="B40" s="2">
        <v>8872</v>
      </c>
      <c r="C40" s="60" t="s">
        <v>9581</v>
      </c>
      <c r="D40" s="1"/>
      <c r="E40" s="68"/>
      <c r="F40" s="70"/>
      <c r="G40" s="1"/>
      <c r="H40" s="68"/>
      <c r="I40" s="70"/>
      <c r="J40" s="66"/>
      <c r="K40" s="57"/>
      <c r="L40" s="58"/>
      <c r="M40" s="83" t="s">
        <v>5895</v>
      </c>
      <c r="N40" s="64" t="s">
        <v>1</v>
      </c>
      <c r="O40" s="65">
        <v>1</v>
      </c>
      <c r="P40" s="99"/>
      <c r="Q40" s="70"/>
      <c r="R40" s="99"/>
      <c r="S40" s="70"/>
      <c r="T40" s="67"/>
      <c r="U40" s="68"/>
      <c r="V40" s="76"/>
      <c r="W40" s="70"/>
      <c r="X40" s="67"/>
      <c r="Y40" s="68"/>
      <c r="Z40" s="76"/>
      <c r="AA40" s="70"/>
      <c r="AB40" s="228">
        <f>ROUND((ROUND((ROUND((_15_同援日０．５*_15・２人),0)*(1+_15・A深夜)),0)*(1+_15・区３)),0)+ROUND((ROUND((ROUND((_15_同援日０．５＿１．０*_15・２人),0)*(1+_15・B早朝)),0)*(1+_15・区３)),0)</f>
        <v>686</v>
      </c>
      <c r="AC40" s="69"/>
    </row>
    <row r="41" spans="1:29" ht="16.5" customHeight="1" x14ac:dyDescent="0.3">
      <c r="A41" s="2">
        <v>15</v>
      </c>
      <c r="B41" s="2">
        <v>8873</v>
      </c>
      <c r="C41" s="60" t="s">
        <v>9580</v>
      </c>
      <c r="D41" s="1"/>
      <c r="E41" s="68"/>
      <c r="F41" s="70"/>
      <c r="G41" s="1"/>
      <c r="H41" s="68"/>
      <c r="I41" s="70"/>
      <c r="J41" s="74" t="s">
        <v>16971</v>
      </c>
      <c r="K41" s="62"/>
      <c r="L41" s="63"/>
      <c r="M41" s="85"/>
      <c r="N41" s="64"/>
      <c r="O41" s="65"/>
      <c r="P41" s="99"/>
      <c r="Q41" s="70"/>
      <c r="R41" s="99"/>
      <c r="S41" s="70"/>
      <c r="T41" s="67"/>
      <c r="U41" s="68"/>
      <c r="V41" s="76"/>
      <c r="W41" s="70"/>
      <c r="X41" s="1" t="s">
        <v>18028</v>
      </c>
      <c r="Y41" s="68"/>
      <c r="Z41" s="76"/>
      <c r="AA41" s="70"/>
      <c r="AB41" s="228">
        <f>ROUND((ROUND((ROUND((_15_同援日０．５*_15・基礎２),0)*(1+_15・A深夜)),0)*(1+_15・区３)),0)+ROUND((ROUND((ROUND((_15_同援日０．５＿１．０*_15・基礎２),0)*(1+_15・B早朝)),0)*(1+_15・区３)),0)</f>
        <v>618</v>
      </c>
      <c r="AC41" s="69"/>
    </row>
    <row r="42" spans="1:29" ht="16.5" customHeight="1" x14ac:dyDescent="0.3">
      <c r="A42" s="2">
        <v>15</v>
      </c>
      <c r="B42" s="2">
        <v>8874</v>
      </c>
      <c r="C42" s="60" t="s">
        <v>9579</v>
      </c>
      <c r="D42" s="1"/>
      <c r="E42" s="68"/>
      <c r="F42" s="70"/>
      <c r="G42" s="1"/>
      <c r="H42" s="68"/>
      <c r="I42" s="70"/>
      <c r="J42" s="106" t="s">
        <v>16970</v>
      </c>
      <c r="K42" s="57" t="s">
        <v>1</v>
      </c>
      <c r="L42" s="58">
        <v>0.9</v>
      </c>
      <c r="M42" s="83" t="s">
        <v>5895</v>
      </c>
      <c r="N42" s="64" t="s">
        <v>1</v>
      </c>
      <c r="O42" s="65">
        <v>1</v>
      </c>
      <c r="P42" s="99"/>
      <c r="Q42" s="70"/>
      <c r="R42" s="99"/>
      <c r="S42" s="70"/>
      <c r="T42" s="66"/>
      <c r="U42" s="57"/>
      <c r="V42" s="58"/>
      <c r="W42" s="77"/>
      <c r="X42" s="1" t="s">
        <v>18026</v>
      </c>
      <c r="Y42" s="68"/>
      <c r="Z42" s="76"/>
      <c r="AA42" s="70"/>
      <c r="AB42" s="228">
        <f>ROUND((ROUND((ROUND((ROUND((_15_同援日０．５*_15・基礎２),0)*_15・２人),0)*(1+_15・A深夜)),0)*(1+_15・区３)),0)+ROUND((ROUND((ROUND((ROUND((_15_同援日０．５＿１．０*_15・基礎２),0)*_15・２人),0)*(1+_15・B早朝)),0)*(1+_15・区３)),0)</f>
        <v>618</v>
      </c>
      <c r="AC42" s="69"/>
    </row>
    <row r="43" spans="1:29" ht="16.5" customHeight="1" x14ac:dyDescent="0.3">
      <c r="A43" s="2">
        <v>15</v>
      </c>
      <c r="B43" s="2">
        <v>8875</v>
      </c>
      <c r="C43" s="60" t="s">
        <v>9578</v>
      </c>
      <c r="D43" s="1"/>
      <c r="E43" s="68"/>
      <c r="F43" s="70"/>
      <c r="G43" s="1"/>
      <c r="H43" s="68"/>
      <c r="I43" s="70"/>
      <c r="J43" s="61"/>
      <c r="K43" s="62"/>
      <c r="L43" s="63"/>
      <c r="M43" s="85"/>
      <c r="N43" s="64"/>
      <c r="O43" s="65"/>
      <c r="P43" s="99"/>
      <c r="Q43" s="70"/>
      <c r="R43" s="99"/>
      <c r="S43" s="70"/>
      <c r="T43" s="74" t="s">
        <v>18025</v>
      </c>
      <c r="U43" s="62"/>
      <c r="V43" s="63"/>
      <c r="W43" s="75"/>
      <c r="X43" s="67"/>
      <c r="Y43" s="68" t="s">
        <v>1</v>
      </c>
      <c r="Z43" s="76">
        <v>0.2</v>
      </c>
      <c r="AA43" s="70" t="s">
        <v>422</v>
      </c>
      <c r="AB43" s="228">
        <f>ROUND((ROUND((ROUND((_15_同援日０．５*(1+_15・A深夜)),0)*(1+_15・盲ろう)),0)*(1+_15・区３)),0)+ROUND((ROUND((ROUND((_15_同援日０．５＿１．０*(1+_15・B早朝)),0)*(1+_15・盲ろう)),0)*(1+_15・区３)),0)</f>
        <v>858</v>
      </c>
      <c r="AC43" s="69"/>
    </row>
    <row r="44" spans="1:29" ht="16.5" customHeight="1" x14ac:dyDescent="0.3">
      <c r="A44" s="2">
        <v>15</v>
      </c>
      <c r="B44" s="2">
        <v>8876</v>
      </c>
      <c r="C44" s="60" t="s">
        <v>9577</v>
      </c>
      <c r="D44" s="1"/>
      <c r="E44" s="68"/>
      <c r="F44" s="70"/>
      <c r="G44" s="1"/>
      <c r="H44" s="68"/>
      <c r="I44" s="70"/>
      <c r="J44" s="66"/>
      <c r="K44" s="57"/>
      <c r="L44" s="58"/>
      <c r="M44" s="83" t="s">
        <v>5895</v>
      </c>
      <c r="N44" s="64" t="s">
        <v>1</v>
      </c>
      <c r="O44" s="65">
        <v>1</v>
      </c>
      <c r="P44" s="99"/>
      <c r="Q44" s="70"/>
      <c r="R44" s="99"/>
      <c r="S44" s="70"/>
      <c r="T44" s="94" t="s">
        <v>18024</v>
      </c>
      <c r="U44" s="68"/>
      <c r="V44" s="76"/>
      <c r="W44" s="70"/>
      <c r="X44" s="67"/>
      <c r="Y44" s="68"/>
      <c r="Z44" s="76"/>
      <c r="AA44" s="70"/>
      <c r="AB44" s="228">
        <f>ROUND((ROUND((ROUND((ROUND((_15_同援日０．５*_15・２人),0)*(1+_15・A深夜)),0)*(1+_15・盲ろう)),0)*(1+_15・区３)),0)+ROUND((ROUND((ROUND((ROUND((_15_同援日０．５＿１．０*_15・２人),0)*(1+_15・B早朝)),0)*(1+_15・盲ろう)),0)*(1+_15・区３)),0)</f>
        <v>858</v>
      </c>
      <c r="AC44" s="69"/>
    </row>
    <row r="45" spans="1:29" ht="16.5" customHeight="1" x14ac:dyDescent="0.3">
      <c r="A45" s="2">
        <v>15</v>
      </c>
      <c r="B45" s="2">
        <v>8877</v>
      </c>
      <c r="C45" s="60" t="s">
        <v>9576</v>
      </c>
      <c r="D45" s="1"/>
      <c r="E45" s="68"/>
      <c r="F45" s="70"/>
      <c r="G45" s="1"/>
      <c r="H45" s="68"/>
      <c r="I45" s="70"/>
      <c r="J45" s="74" t="s">
        <v>16971</v>
      </c>
      <c r="K45" s="62"/>
      <c r="L45" s="63"/>
      <c r="M45" s="85"/>
      <c r="N45" s="64"/>
      <c r="O45" s="65"/>
      <c r="P45" s="99"/>
      <c r="Q45" s="70"/>
      <c r="R45" s="99"/>
      <c r="S45" s="70"/>
      <c r="T45" s="67"/>
      <c r="U45" s="68" t="s">
        <v>1</v>
      </c>
      <c r="V45" s="76">
        <v>0.25</v>
      </c>
      <c r="W45" s="70" t="s">
        <v>422</v>
      </c>
      <c r="X45" s="67"/>
      <c r="Y45" s="68"/>
      <c r="Z45" s="76"/>
      <c r="AA45" s="70"/>
      <c r="AB45" s="228">
        <f>ROUND((ROUND((ROUND((ROUND((_15_同援日０．５*_15・基礎２),0)*(1+_15・A深夜)),0)*(1+_15・盲ろう)),0)*(1+_15・区３)),0)+ROUND((ROUND((ROUND((ROUND((_15_同援日０．５＿１．０*_15・基礎２),0)*(1+_15・B早朝)),0)*(1+_15・盲ろう)),0)*(1+_15・区３)),0)</f>
        <v>773</v>
      </c>
      <c r="AC45" s="69"/>
    </row>
    <row r="46" spans="1:29" ht="16.5" customHeight="1" x14ac:dyDescent="0.3">
      <c r="A46" s="2">
        <v>15</v>
      </c>
      <c r="B46" s="2">
        <v>8878</v>
      </c>
      <c r="C46" s="60" t="s">
        <v>9575</v>
      </c>
      <c r="D46" s="1"/>
      <c r="E46" s="68"/>
      <c r="F46" s="70"/>
      <c r="G46" s="1"/>
      <c r="H46" s="68"/>
      <c r="I46" s="70"/>
      <c r="J46" s="106" t="s">
        <v>16970</v>
      </c>
      <c r="K46" s="57" t="s">
        <v>1</v>
      </c>
      <c r="L46" s="58">
        <v>0.9</v>
      </c>
      <c r="M46" s="83" t="s">
        <v>5895</v>
      </c>
      <c r="N46" s="64" t="s">
        <v>1</v>
      </c>
      <c r="O46" s="65">
        <v>1</v>
      </c>
      <c r="P46" s="99"/>
      <c r="Q46" s="70"/>
      <c r="R46" s="99"/>
      <c r="S46" s="70"/>
      <c r="T46" s="66"/>
      <c r="U46" s="57"/>
      <c r="V46" s="58"/>
      <c r="W46" s="77"/>
      <c r="X46" s="66"/>
      <c r="Y46" s="57"/>
      <c r="Z46" s="58"/>
      <c r="AA46" s="77"/>
      <c r="AB46" s="228">
        <f>ROUND((ROUND((ROUND((ROUND((ROUND((_15_同援日０．５*_15・基礎２),0)*_15・２人),0)*(1+_15・A深夜)),0)*(1+_15・盲ろう)),0)*(1+_15・区３)),0)+ROUND((ROUND((ROUND((ROUND((ROUND((_15_同援日０．５＿１．０*_15・基礎２),0)*_15・２人),0)*(1+_15・B早朝)),0)*(1+_15・盲ろう)),0)*(1+_15・区３)),0)</f>
        <v>773</v>
      </c>
      <c r="AC46" s="69"/>
    </row>
    <row r="47" spans="1:29" ht="16.5" customHeight="1" x14ac:dyDescent="0.3">
      <c r="A47" s="2">
        <v>15</v>
      </c>
      <c r="B47" s="2">
        <v>8879</v>
      </c>
      <c r="C47" s="60" t="s">
        <v>9574</v>
      </c>
      <c r="D47" s="1"/>
      <c r="E47" s="68"/>
      <c r="F47" s="70"/>
      <c r="G47" s="1"/>
      <c r="H47" s="68"/>
      <c r="I47" s="70"/>
      <c r="J47" s="61"/>
      <c r="K47" s="62"/>
      <c r="L47" s="63"/>
      <c r="M47" s="85"/>
      <c r="N47" s="64"/>
      <c r="O47" s="65"/>
      <c r="P47" s="99"/>
      <c r="Q47" s="70"/>
      <c r="R47" s="99"/>
      <c r="S47" s="70"/>
      <c r="T47" s="61"/>
      <c r="U47" s="62"/>
      <c r="V47" s="63"/>
      <c r="W47" s="75"/>
      <c r="X47" s="61"/>
      <c r="Y47" s="62"/>
      <c r="Z47" s="63"/>
      <c r="AA47" s="75"/>
      <c r="AB47" s="228">
        <f>ROUND((ROUND((_15_同援日０．５*(1+_15・A深夜)),0)*(1+_15・区４)),0)+ROUND((ROUND((_15_同援日０．５＿１．０*(1+_15・B早朝)),0)*(1+_15・区４)),0)</f>
        <v>800</v>
      </c>
      <c r="AC47" s="69"/>
    </row>
    <row r="48" spans="1:29" ht="16.5" customHeight="1" x14ac:dyDescent="0.3">
      <c r="A48" s="2">
        <v>15</v>
      </c>
      <c r="B48" s="2">
        <v>8880</v>
      </c>
      <c r="C48" s="60" t="s">
        <v>9573</v>
      </c>
      <c r="D48" s="1"/>
      <c r="E48" s="68"/>
      <c r="F48" s="70"/>
      <c r="G48" s="1"/>
      <c r="H48" s="68"/>
      <c r="I48" s="70"/>
      <c r="J48" s="66"/>
      <c r="K48" s="57"/>
      <c r="L48" s="58"/>
      <c r="M48" s="83" t="s">
        <v>5895</v>
      </c>
      <c r="N48" s="64" t="s">
        <v>1</v>
      </c>
      <c r="O48" s="65">
        <v>1</v>
      </c>
      <c r="P48" s="99"/>
      <c r="Q48" s="70"/>
      <c r="R48" s="99"/>
      <c r="S48" s="70"/>
      <c r="T48" s="67"/>
      <c r="U48" s="68"/>
      <c r="V48" s="76"/>
      <c r="W48" s="70"/>
      <c r="X48" s="67"/>
      <c r="Y48" s="68"/>
      <c r="Z48" s="76"/>
      <c r="AA48" s="70"/>
      <c r="AB48" s="228">
        <f>ROUND((ROUND((ROUND((_15_同援日０．５*_15・２人),0)*(1+_15・A深夜)),0)*(1+_15・区４)),0)+ROUND((ROUND((ROUND((_15_同援日０．５＿１．０*_15・２人),0)*(1+_15・B早朝)),0)*(1+_15・区４)),0)</f>
        <v>800</v>
      </c>
      <c r="AC48" s="69"/>
    </row>
    <row r="49" spans="1:29" ht="16.5" customHeight="1" x14ac:dyDescent="0.3">
      <c r="A49" s="2">
        <v>15</v>
      </c>
      <c r="B49" s="2">
        <v>8881</v>
      </c>
      <c r="C49" s="60" t="s">
        <v>9572</v>
      </c>
      <c r="D49" s="1"/>
      <c r="E49" s="68"/>
      <c r="F49" s="70"/>
      <c r="G49" s="1"/>
      <c r="H49" s="68"/>
      <c r="I49" s="70"/>
      <c r="J49" s="74" t="s">
        <v>16971</v>
      </c>
      <c r="K49" s="62"/>
      <c r="L49" s="63"/>
      <c r="M49" s="85"/>
      <c r="N49" s="64"/>
      <c r="O49" s="65"/>
      <c r="P49" s="99"/>
      <c r="Q49" s="70"/>
      <c r="R49" s="99"/>
      <c r="S49" s="70"/>
      <c r="T49" s="67"/>
      <c r="U49" s="68"/>
      <c r="V49" s="76"/>
      <c r="W49" s="70"/>
      <c r="X49" s="1" t="s">
        <v>18027</v>
      </c>
      <c r="Y49" s="68"/>
      <c r="Z49" s="76"/>
      <c r="AA49" s="70"/>
      <c r="AB49" s="228">
        <f>ROUND((ROUND((ROUND((_15_同援日０．５*_15・基礎２),0)*(1+_15・A深夜)),0)*(1+_15・区４)),0)+ROUND((ROUND((ROUND((_15_同援日０．５＿１．０*_15・基礎２),0)*(1+_15・B早朝)),0)*(1+_15・区４)),0)</f>
        <v>721</v>
      </c>
      <c r="AC49" s="69"/>
    </row>
    <row r="50" spans="1:29" ht="16.5" customHeight="1" x14ac:dyDescent="0.3">
      <c r="A50" s="2">
        <v>15</v>
      </c>
      <c r="B50" s="2">
        <v>8882</v>
      </c>
      <c r="C50" s="60" t="s">
        <v>9571</v>
      </c>
      <c r="D50" s="1"/>
      <c r="E50" s="68"/>
      <c r="F50" s="70"/>
      <c r="G50" s="1"/>
      <c r="H50" s="68"/>
      <c r="I50" s="70"/>
      <c r="J50" s="106" t="s">
        <v>16970</v>
      </c>
      <c r="K50" s="57" t="s">
        <v>1</v>
      </c>
      <c r="L50" s="58">
        <v>0.9</v>
      </c>
      <c r="M50" s="83" t="s">
        <v>5895</v>
      </c>
      <c r="N50" s="64" t="s">
        <v>1</v>
      </c>
      <c r="O50" s="65">
        <v>1</v>
      </c>
      <c r="P50" s="99"/>
      <c r="Q50" s="70"/>
      <c r="R50" s="99"/>
      <c r="S50" s="70"/>
      <c r="T50" s="66"/>
      <c r="U50" s="57"/>
      <c r="V50" s="58"/>
      <c r="W50" s="77"/>
      <c r="X50" s="1" t="s">
        <v>18026</v>
      </c>
      <c r="Y50" s="68"/>
      <c r="Z50" s="76"/>
      <c r="AA50" s="70"/>
      <c r="AB50" s="228">
        <f>ROUND((ROUND((ROUND((ROUND((_15_同援日０．５*_15・基礎２),0)*_15・２人),0)*(1+_15・A深夜)),0)*(1+_15・区４)),0)+ROUND((ROUND((ROUND((ROUND((_15_同援日０．５＿１．０*_15・基礎２),0)*_15・２人),0)*(1+_15・B早朝)),0)*(1+_15・区４)),0)</f>
        <v>721</v>
      </c>
      <c r="AC50" s="69"/>
    </row>
    <row r="51" spans="1:29" ht="16.5" customHeight="1" x14ac:dyDescent="0.3">
      <c r="A51" s="2">
        <v>15</v>
      </c>
      <c r="B51" s="2">
        <v>8883</v>
      </c>
      <c r="C51" s="60" t="s">
        <v>9570</v>
      </c>
      <c r="D51" s="1"/>
      <c r="E51" s="68"/>
      <c r="F51" s="70"/>
      <c r="G51" s="1"/>
      <c r="H51" s="68"/>
      <c r="I51" s="70"/>
      <c r="J51" s="61"/>
      <c r="K51" s="62"/>
      <c r="L51" s="63"/>
      <c r="M51" s="85"/>
      <c r="N51" s="64"/>
      <c r="O51" s="65"/>
      <c r="P51" s="99"/>
      <c r="Q51" s="70"/>
      <c r="R51" s="99"/>
      <c r="S51" s="70"/>
      <c r="T51" s="74" t="s">
        <v>18025</v>
      </c>
      <c r="U51" s="62"/>
      <c r="V51" s="63"/>
      <c r="W51" s="75"/>
      <c r="X51" s="67"/>
      <c r="Y51" s="68" t="s">
        <v>1</v>
      </c>
      <c r="Z51" s="76">
        <v>0.4</v>
      </c>
      <c r="AA51" s="70" t="s">
        <v>422</v>
      </c>
      <c r="AB51" s="228">
        <f>ROUND((ROUND((ROUND((_15_同援日０．５*(1+_15・A深夜)),0)*(1+_15・盲ろう)),0)*(1+_15・区４)),0)+ROUND((ROUND((ROUND((_15_同援日０．５＿１．０*(1+_15・B早朝)),0)*(1+_15・盲ろう)),0)*(1+_15・区４)),0)</f>
        <v>1001</v>
      </c>
      <c r="AC51" s="69"/>
    </row>
    <row r="52" spans="1:29" ht="16.5" customHeight="1" x14ac:dyDescent="0.3">
      <c r="A52" s="2">
        <v>15</v>
      </c>
      <c r="B52" s="2">
        <v>8884</v>
      </c>
      <c r="C52" s="60" t="s">
        <v>9569</v>
      </c>
      <c r="D52" s="1"/>
      <c r="E52" s="68"/>
      <c r="F52" s="70"/>
      <c r="G52" s="1"/>
      <c r="H52" s="68"/>
      <c r="I52" s="70"/>
      <c r="J52" s="66"/>
      <c r="K52" s="57"/>
      <c r="L52" s="58"/>
      <c r="M52" s="83" t="s">
        <v>5895</v>
      </c>
      <c r="N52" s="64" t="s">
        <v>1</v>
      </c>
      <c r="O52" s="65">
        <v>1</v>
      </c>
      <c r="P52" s="99"/>
      <c r="Q52" s="70"/>
      <c r="R52" s="99"/>
      <c r="S52" s="70"/>
      <c r="T52" s="94" t="s">
        <v>18024</v>
      </c>
      <c r="U52" s="68"/>
      <c r="V52" s="76"/>
      <c r="W52" s="70"/>
      <c r="X52" s="67"/>
      <c r="Y52" s="68"/>
      <c r="Z52" s="76"/>
      <c r="AA52" s="70"/>
      <c r="AB52" s="228">
        <f>ROUND((ROUND((ROUND((ROUND((_15_同援日０．５*_15・２人),0)*(1+_15・A深夜)),0)*(1+_15・盲ろう)),0)*(1+_15・区４)),0)+ROUND((ROUND((ROUND((ROUND((_15_同援日０．５＿１．０*_15・２人),0)*(1+_15・B早朝)),0)*(1+_15・盲ろう)),0)*(1+_15・区４)),0)</f>
        <v>1001</v>
      </c>
      <c r="AC52" s="69"/>
    </row>
    <row r="53" spans="1:29" ht="16.5" customHeight="1" x14ac:dyDescent="0.3">
      <c r="A53" s="2">
        <v>15</v>
      </c>
      <c r="B53" s="2">
        <v>8885</v>
      </c>
      <c r="C53" s="60" t="s">
        <v>9568</v>
      </c>
      <c r="D53" s="1"/>
      <c r="E53" s="68"/>
      <c r="F53" s="70"/>
      <c r="G53" s="1"/>
      <c r="H53" s="68"/>
      <c r="I53" s="70"/>
      <c r="J53" s="74" t="s">
        <v>16971</v>
      </c>
      <c r="K53" s="62"/>
      <c r="L53" s="63"/>
      <c r="M53" s="85"/>
      <c r="N53" s="64"/>
      <c r="O53" s="65"/>
      <c r="P53" s="99"/>
      <c r="Q53" s="70"/>
      <c r="R53" s="99"/>
      <c r="S53" s="70"/>
      <c r="T53" s="67"/>
      <c r="U53" s="68" t="s">
        <v>1</v>
      </c>
      <c r="V53" s="76">
        <v>0.25</v>
      </c>
      <c r="W53" s="70" t="s">
        <v>422</v>
      </c>
      <c r="X53" s="67"/>
      <c r="Y53" s="68"/>
      <c r="Z53" s="76"/>
      <c r="AA53" s="70"/>
      <c r="AB53" s="228">
        <f>ROUND((ROUND((ROUND((ROUND((_15_同援日０．５*_15・基礎２),0)*(1+_15・A深夜)),0)*(1+_15・盲ろう)),0)*(1+_15・区４)),0)+ROUND((ROUND((ROUND((ROUND((_15_同援日０．５＿１．０*_15・基礎２),0)*(1+_15・B早朝)),0)*(1+_15・盲ろう)),0)*(1+_15・区４)),0)</f>
        <v>901</v>
      </c>
      <c r="AC53" s="69"/>
    </row>
    <row r="54" spans="1:29" ht="16.5" customHeight="1" x14ac:dyDescent="0.3">
      <c r="A54" s="2">
        <v>15</v>
      </c>
      <c r="B54" s="2">
        <v>8886</v>
      </c>
      <c r="C54" s="60" t="s">
        <v>9567</v>
      </c>
      <c r="D54" s="1"/>
      <c r="E54" s="68"/>
      <c r="F54" s="70"/>
      <c r="G54" s="81"/>
      <c r="H54" s="57"/>
      <c r="I54" s="77"/>
      <c r="J54" s="106" t="s">
        <v>16970</v>
      </c>
      <c r="K54" s="57" t="s">
        <v>1</v>
      </c>
      <c r="L54" s="58">
        <v>0.9</v>
      </c>
      <c r="M54" s="83" t="s">
        <v>5895</v>
      </c>
      <c r="N54" s="64" t="s">
        <v>1</v>
      </c>
      <c r="O54" s="65">
        <v>1</v>
      </c>
      <c r="P54" s="99"/>
      <c r="Q54" s="70"/>
      <c r="R54" s="99"/>
      <c r="S54" s="70"/>
      <c r="T54" s="66"/>
      <c r="U54" s="57"/>
      <c r="V54" s="58"/>
      <c r="W54" s="77"/>
      <c r="X54" s="66"/>
      <c r="Y54" s="57"/>
      <c r="Z54" s="58"/>
      <c r="AA54" s="77"/>
      <c r="AB54" s="228">
        <f>ROUND((ROUND((ROUND((ROUND((ROUND((_15_同援日０．５*_15・基礎２),0)*_15・２人),0)*(1+_15・A深夜)),0)*(1+_15・盲ろう)),0)*(1+_15・区４)),0)+ROUND((ROUND((ROUND((ROUND((ROUND((_15_同援日０．５＿１．０*_15・基礎２),0)*_15・２人),0)*(1+_15・B早朝)),0)*(1+_15・盲ろう)),0)*(1+_15・区４)),0)</f>
        <v>901</v>
      </c>
      <c r="AC54" s="69"/>
    </row>
    <row r="55" spans="1:29" ht="16.5" customHeight="1" x14ac:dyDescent="0.3">
      <c r="A55" s="2">
        <v>15</v>
      </c>
      <c r="B55" s="2">
        <v>8887</v>
      </c>
      <c r="C55" s="60" t="s">
        <v>9566</v>
      </c>
      <c r="D55" s="1"/>
      <c r="E55" s="68"/>
      <c r="F55" s="70"/>
      <c r="G55" s="233" t="s">
        <v>16986</v>
      </c>
      <c r="H55" s="62"/>
      <c r="I55" s="75"/>
      <c r="J55" s="61"/>
      <c r="K55" s="62"/>
      <c r="L55" s="63"/>
      <c r="M55" s="85"/>
      <c r="N55" s="64"/>
      <c r="O55" s="65"/>
      <c r="P55" s="99"/>
      <c r="Q55" s="70"/>
      <c r="R55" s="99"/>
      <c r="S55" s="70"/>
      <c r="T55" s="61"/>
      <c r="U55" s="62"/>
      <c r="V55" s="63"/>
      <c r="W55" s="75"/>
      <c r="X55" s="61"/>
      <c r="Y55" s="62"/>
      <c r="Z55" s="63"/>
      <c r="AA55" s="75"/>
      <c r="AB55" s="228">
        <f>ROUND((_15_同援日０．５*(1+_15・A深夜)),0)+ROUND((_15_同援日０．５＿１．５*(1+_15・B早朝)),0)</f>
        <v>652</v>
      </c>
      <c r="AC55" s="69"/>
    </row>
    <row r="56" spans="1:29" ht="16.5" customHeight="1" x14ac:dyDescent="0.3">
      <c r="A56" s="2">
        <v>15</v>
      </c>
      <c r="B56" s="2">
        <v>8888</v>
      </c>
      <c r="C56" s="60" t="s">
        <v>9565</v>
      </c>
      <c r="D56" s="1"/>
      <c r="E56" s="68"/>
      <c r="F56" s="70"/>
      <c r="G56" s="1" t="s">
        <v>16984</v>
      </c>
      <c r="H56" s="68"/>
      <c r="I56" s="70"/>
      <c r="J56" s="66"/>
      <c r="K56" s="57"/>
      <c r="L56" s="58"/>
      <c r="M56" s="83" t="s">
        <v>5895</v>
      </c>
      <c r="N56" s="64" t="s">
        <v>1</v>
      </c>
      <c r="O56" s="65">
        <v>1</v>
      </c>
      <c r="P56" s="99"/>
      <c r="Q56" s="70"/>
      <c r="R56" s="99"/>
      <c r="S56" s="70"/>
      <c r="T56" s="67"/>
      <c r="U56" s="68"/>
      <c r="V56" s="76"/>
      <c r="W56" s="70"/>
      <c r="X56" s="67"/>
      <c r="Y56" s="68"/>
      <c r="Z56" s="76"/>
      <c r="AA56" s="70"/>
      <c r="AB56" s="228">
        <f>ROUND((ROUND((_15_同援日０．５*_15・２人),0)*(1+_15・A深夜)),0)+ROUND((ROUND((_15_同援日０．５＿１．５*_15・２人),0)*(1+_15・B早朝)),0)</f>
        <v>652</v>
      </c>
      <c r="AC56" s="69"/>
    </row>
    <row r="57" spans="1:29" ht="16.5" customHeight="1" x14ac:dyDescent="0.3">
      <c r="A57" s="2">
        <v>15</v>
      </c>
      <c r="B57" s="2">
        <v>8889</v>
      </c>
      <c r="C57" s="60" t="s">
        <v>9564</v>
      </c>
      <c r="D57" s="1"/>
      <c r="E57" s="68"/>
      <c r="F57" s="70"/>
      <c r="G57" s="1" t="s">
        <v>8767</v>
      </c>
      <c r="H57" s="68"/>
      <c r="I57" s="70"/>
      <c r="J57" s="74" t="s">
        <v>16971</v>
      </c>
      <c r="K57" s="62"/>
      <c r="L57" s="63"/>
      <c r="M57" s="85"/>
      <c r="N57" s="64"/>
      <c r="O57" s="65"/>
      <c r="P57" s="99"/>
      <c r="Q57" s="70"/>
      <c r="R57" s="99"/>
      <c r="S57" s="70"/>
      <c r="T57" s="67"/>
      <c r="U57" s="68"/>
      <c r="V57" s="76"/>
      <c r="W57" s="70"/>
      <c r="X57" s="67"/>
      <c r="Y57" s="68"/>
      <c r="Z57" s="76"/>
      <c r="AA57" s="70"/>
      <c r="AB57" s="228">
        <f>ROUND((ROUND((_15_同援日０．５*_15・基礎２),0)*(1+_15・A深夜)),0)+ROUND((ROUND((_15_同援日０．５＿１．５*_15・基礎２),0)*(1+_15・B早朝)),0)</f>
        <v>588</v>
      </c>
      <c r="AC57" s="69"/>
    </row>
    <row r="58" spans="1:29" ht="16.5" customHeight="1" x14ac:dyDescent="0.3">
      <c r="A58" s="2">
        <v>15</v>
      </c>
      <c r="B58" s="2">
        <v>8890</v>
      </c>
      <c r="C58" s="60" t="s">
        <v>9563</v>
      </c>
      <c r="D58" s="1"/>
      <c r="E58" s="68"/>
      <c r="F58" s="70"/>
      <c r="G58" s="1"/>
      <c r="H58" s="227">
        <v>301</v>
      </c>
      <c r="I58" s="70" t="s">
        <v>0</v>
      </c>
      <c r="J58" s="106" t="s">
        <v>16970</v>
      </c>
      <c r="K58" s="57" t="s">
        <v>1</v>
      </c>
      <c r="L58" s="58">
        <v>0.9</v>
      </c>
      <c r="M58" s="83" t="s">
        <v>5895</v>
      </c>
      <c r="N58" s="64" t="s">
        <v>1</v>
      </c>
      <c r="O58" s="65">
        <v>1</v>
      </c>
      <c r="P58" s="99"/>
      <c r="Q58" s="70"/>
      <c r="R58" s="99"/>
      <c r="S58" s="70"/>
      <c r="T58" s="66"/>
      <c r="U58" s="57"/>
      <c r="V58" s="58"/>
      <c r="W58" s="77"/>
      <c r="X58" s="67"/>
      <c r="Y58" s="68"/>
      <c r="Z58" s="76"/>
      <c r="AA58" s="70"/>
      <c r="AB58" s="228">
        <f>ROUND((ROUND((ROUND((_15_同援日０．５*_15・基礎２),0)*_15・２人),0)*(1+_15・A深夜)),0)+ROUND((ROUND((ROUND((_15_同援日０．５＿１．５*_15・基礎２),0)*_15・２人),0)*(1+_15・B早朝)),0)</f>
        <v>588</v>
      </c>
      <c r="AC58" s="69"/>
    </row>
    <row r="59" spans="1:29" ht="16.5" customHeight="1" x14ac:dyDescent="0.3">
      <c r="A59" s="2">
        <v>15</v>
      </c>
      <c r="B59" s="2">
        <v>8891</v>
      </c>
      <c r="C59" s="60" t="s">
        <v>9562</v>
      </c>
      <c r="D59" s="1"/>
      <c r="E59" s="68"/>
      <c r="F59" s="70"/>
      <c r="G59" s="1"/>
      <c r="H59" s="68"/>
      <c r="I59" s="70"/>
      <c r="J59" s="61"/>
      <c r="K59" s="62"/>
      <c r="L59" s="63"/>
      <c r="M59" s="85"/>
      <c r="N59" s="64"/>
      <c r="O59" s="65"/>
      <c r="P59" s="99"/>
      <c r="Q59" s="70"/>
      <c r="R59" s="99"/>
      <c r="S59" s="70"/>
      <c r="T59" s="74" t="s">
        <v>18025</v>
      </c>
      <c r="U59" s="62"/>
      <c r="V59" s="63"/>
      <c r="W59" s="75"/>
      <c r="X59" s="67"/>
      <c r="Y59" s="68"/>
      <c r="Z59" s="76"/>
      <c r="AA59" s="70"/>
      <c r="AB59" s="228">
        <f>ROUND((ROUND((_15_同援日０．５*(1+_15・A深夜)),0)*(1+_15・盲ろう)),0)+ROUND((ROUND((_15_同援日０．５＿１．５*(1+_15・B早朝)),0)*(1+_15・盲ろう)),0)</f>
        <v>815</v>
      </c>
      <c r="AC59" s="69"/>
    </row>
    <row r="60" spans="1:29" ht="16.5" customHeight="1" x14ac:dyDescent="0.3">
      <c r="A60" s="2">
        <v>15</v>
      </c>
      <c r="B60" s="2">
        <v>8892</v>
      </c>
      <c r="C60" s="60" t="s">
        <v>9561</v>
      </c>
      <c r="D60" s="1"/>
      <c r="E60" s="68"/>
      <c r="F60" s="70"/>
      <c r="G60" s="1"/>
      <c r="H60" s="68"/>
      <c r="I60" s="70"/>
      <c r="J60" s="66"/>
      <c r="K60" s="57"/>
      <c r="L60" s="58"/>
      <c r="M60" s="83" t="s">
        <v>5895</v>
      </c>
      <c r="N60" s="64" t="s">
        <v>1</v>
      </c>
      <c r="O60" s="65">
        <v>1</v>
      </c>
      <c r="P60" s="99"/>
      <c r="Q60" s="70"/>
      <c r="R60" s="99"/>
      <c r="S60" s="70"/>
      <c r="T60" s="94" t="s">
        <v>18024</v>
      </c>
      <c r="U60" s="68"/>
      <c r="V60" s="76"/>
      <c r="W60" s="70"/>
      <c r="X60" s="67"/>
      <c r="Y60" s="68"/>
      <c r="Z60" s="76"/>
      <c r="AA60" s="70"/>
      <c r="AB60" s="228">
        <f>ROUND((ROUND((ROUND((_15_同援日０．５*_15・２人),0)*(1+_15・A深夜)),0)*(1+_15・盲ろう)),0)+ROUND((ROUND((ROUND((_15_同援日０．５＿１．５*_15・２人),0)*(1+_15・B早朝)),0)*(1+_15・盲ろう)),0)</f>
        <v>815</v>
      </c>
      <c r="AC60" s="69"/>
    </row>
    <row r="61" spans="1:29" ht="16.5" customHeight="1" x14ac:dyDescent="0.3">
      <c r="A61" s="2">
        <v>15</v>
      </c>
      <c r="B61" s="2">
        <v>8893</v>
      </c>
      <c r="C61" s="60" t="s">
        <v>9560</v>
      </c>
      <c r="D61" s="1"/>
      <c r="E61" s="68"/>
      <c r="F61" s="70"/>
      <c r="G61" s="1"/>
      <c r="H61" s="68"/>
      <c r="I61" s="70"/>
      <c r="J61" s="74" t="s">
        <v>16971</v>
      </c>
      <c r="K61" s="62"/>
      <c r="L61" s="63"/>
      <c r="M61" s="85"/>
      <c r="N61" s="64"/>
      <c r="O61" s="65"/>
      <c r="P61" s="99"/>
      <c r="Q61" s="70"/>
      <c r="R61" s="99"/>
      <c r="S61" s="70"/>
      <c r="T61" s="67"/>
      <c r="U61" s="68" t="s">
        <v>1</v>
      </c>
      <c r="V61" s="76">
        <v>0.25</v>
      </c>
      <c r="W61" s="70" t="s">
        <v>422</v>
      </c>
      <c r="X61" s="67"/>
      <c r="Y61" s="68"/>
      <c r="Z61" s="76"/>
      <c r="AA61" s="70"/>
      <c r="AB61" s="228">
        <f>ROUND((ROUND((ROUND((_15_同援日０．５*_15・基礎２),0)*(1+_15・A深夜)),0)*(1+_15・盲ろう)),0)+ROUND((ROUND((ROUND((_15_同援日０．５＿１．５*_15・基礎２),0)*(1+_15・B早朝)),0)*(1+_15・盲ろう)),0)</f>
        <v>735</v>
      </c>
      <c r="AC61" s="69"/>
    </row>
    <row r="62" spans="1:29" ht="16.5" customHeight="1" x14ac:dyDescent="0.3">
      <c r="A62" s="2">
        <v>15</v>
      </c>
      <c r="B62" s="2">
        <v>8894</v>
      </c>
      <c r="C62" s="60" t="s">
        <v>9559</v>
      </c>
      <c r="D62" s="1"/>
      <c r="E62" s="68"/>
      <c r="F62" s="70"/>
      <c r="G62" s="1"/>
      <c r="H62" s="68"/>
      <c r="I62" s="70"/>
      <c r="J62" s="106" t="s">
        <v>16970</v>
      </c>
      <c r="K62" s="57" t="s">
        <v>1</v>
      </c>
      <c r="L62" s="58">
        <v>0.9</v>
      </c>
      <c r="M62" s="83" t="s">
        <v>5895</v>
      </c>
      <c r="N62" s="64" t="s">
        <v>1</v>
      </c>
      <c r="O62" s="65">
        <v>1</v>
      </c>
      <c r="P62" s="99"/>
      <c r="Q62" s="70"/>
      <c r="R62" s="99"/>
      <c r="S62" s="70"/>
      <c r="T62" s="66"/>
      <c r="U62" s="57"/>
      <c r="V62" s="58"/>
      <c r="W62" s="77"/>
      <c r="X62" s="66"/>
      <c r="Y62" s="57"/>
      <c r="Z62" s="58"/>
      <c r="AA62" s="77"/>
      <c r="AB62" s="228">
        <f>ROUND((ROUND((ROUND((ROUND((_15_同援日０．５*_15・基礎２),0)*_15・２人),0)*(1+_15・A深夜)),0)*(1+_15・盲ろう)),0)+ROUND((ROUND((ROUND((ROUND((_15_同援日０．５＿１．５*_15・基礎２),0)*_15・２人),0)*(1+_15・B早朝)),0)*(1+_15・盲ろう)),0)</f>
        <v>735</v>
      </c>
      <c r="AC62" s="69"/>
    </row>
    <row r="63" spans="1:29" ht="16.5" customHeight="1" x14ac:dyDescent="0.3">
      <c r="A63" s="2">
        <v>15</v>
      </c>
      <c r="B63" s="2">
        <v>8895</v>
      </c>
      <c r="C63" s="60" t="s">
        <v>9558</v>
      </c>
      <c r="D63" s="1"/>
      <c r="E63" s="68"/>
      <c r="F63" s="70"/>
      <c r="G63" s="1"/>
      <c r="H63" s="68"/>
      <c r="I63" s="70"/>
      <c r="J63" s="61"/>
      <c r="K63" s="62"/>
      <c r="L63" s="63"/>
      <c r="M63" s="85"/>
      <c r="N63" s="64"/>
      <c r="O63" s="65"/>
      <c r="P63" s="99"/>
      <c r="Q63" s="70"/>
      <c r="R63" s="99"/>
      <c r="S63" s="70"/>
      <c r="T63" s="61"/>
      <c r="U63" s="62"/>
      <c r="V63" s="63"/>
      <c r="W63" s="75"/>
      <c r="X63" s="61"/>
      <c r="Y63" s="62"/>
      <c r="Z63" s="63"/>
      <c r="AA63" s="75"/>
      <c r="AB63" s="228">
        <f>ROUND((ROUND((_15_同援日０．５*(1+_15・A深夜)),0)*(1+_15・区３)),0)+ROUND((ROUND((_15_同援日０．５＿１．５*(1+_15・B早朝)),0)*(1+_15・区３)),0)</f>
        <v>782</v>
      </c>
      <c r="AC63" s="69"/>
    </row>
    <row r="64" spans="1:29" ht="16.5" customHeight="1" x14ac:dyDescent="0.3">
      <c r="A64" s="2">
        <v>15</v>
      </c>
      <c r="B64" s="2">
        <v>8896</v>
      </c>
      <c r="C64" s="60" t="s">
        <v>9557</v>
      </c>
      <c r="D64" s="1"/>
      <c r="E64" s="68"/>
      <c r="F64" s="70"/>
      <c r="G64" s="1"/>
      <c r="H64" s="68"/>
      <c r="I64" s="70"/>
      <c r="J64" s="66"/>
      <c r="K64" s="57"/>
      <c r="L64" s="58"/>
      <c r="M64" s="83" t="s">
        <v>5895</v>
      </c>
      <c r="N64" s="64" t="s">
        <v>1</v>
      </c>
      <c r="O64" s="65">
        <v>1</v>
      </c>
      <c r="P64" s="99"/>
      <c r="Q64" s="70"/>
      <c r="R64" s="99"/>
      <c r="S64" s="70"/>
      <c r="T64" s="67"/>
      <c r="U64" s="68"/>
      <c r="V64" s="76"/>
      <c r="W64" s="70"/>
      <c r="X64" s="67"/>
      <c r="Y64" s="68"/>
      <c r="Z64" s="76"/>
      <c r="AA64" s="70"/>
      <c r="AB64" s="228">
        <f>ROUND((ROUND((ROUND((_15_同援日０．５*_15・２人),0)*(1+_15・A深夜)),0)*(1+_15・区３)),0)+ROUND((ROUND((ROUND((_15_同援日０．５＿１．５*_15・２人),0)*(1+_15・B早朝)),0)*(1+_15・区３)),0)</f>
        <v>782</v>
      </c>
      <c r="AC64" s="69"/>
    </row>
    <row r="65" spans="1:29" ht="16.5" customHeight="1" x14ac:dyDescent="0.3">
      <c r="A65" s="2">
        <v>15</v>
      </c>
      <c r="B65" s="2">
        <v>8897</v>
      </c>
      <c r="C65" s="60" t="s">
        <v>9556</v>
      </c>
      <c r="D65" s="1"/>
      <c r="E65" s="68"/>
      <c r="F65" s="70"/>
      <c r="G65" s="1"/>
      <c r="H65" s="68"/>
      <c r="I65" s="70"/>
      <c r="J65" s="74" t="s">
        <v>16971</v>
      </c>
      <c r="K65" s="62"/>
      <c r="L65" s="63"/>
      <c r="M65" s="85"/>
      <c r="N65" s="64"/>
      <c r="O65" s="65"/>
      <c r="P65" s="99"/>
      <c r="Q65" s="70"/>
      <c r="R65" s="99"/>
      <c r="S65" s="70"/>
      <c r="T65" s="67"/>
      <c r="U65" s="68"/>
      <c r="V65" s="76"/>
      <c r="W65" s="70"/>
      <c r="X65" s="1" t="s">
        <v>18028</v>
      </c>
      <c r="Y65" s="68"/>
      <c r="Z65" s="76"/>
      <c r="AA65" s="70"/>
      <c r="AB65" s="228">
        <f>ROUND((ROUND((ROUND((_15_同援日０．５*_15・基礎２),0)*(1+_15・A深夜)),0)*(1+_15・区３)),0)+ROUND((ROUND((ROUND((_15_同援日０．５＿１．５*_15・基礎２),0)*(1+_15・B早朝)),0)*(1+_15・区３)),0)</f>
        <v>706</v>
      </c>
      <c r="AC65" s="69"/>
    </row>
    <row r="66" spans="1:29" ht="16.5" customHeight="1" x14ac:dyDescent="0.3">
      <c r="A66" s="2">
        <v>15</v>
      </c>
      <c r="B66" s="2">
        <v>8898</v>
      </c>
      <c r="C66" s="60" t="s">
        <v>9555</v>
      </c>
      <c r="D66" s="1"/>
      <c r="E66" s="68"/>
      <c r="F66" s="70"/>
      <c r="G66" s="1"/>
      <c r="H66" s="68"/>
      <c r="I66" s="70"/>
      <c r="J66" s="106" t="s">
        <v>16970</v>
      </c>
      <c r="K66" s="57" t="s">
        <v>1</v>
      </c>
      <c r="L66" s="58">
        <v>0.9</v>
      </c>
      <c r="M66" s="83" t="s">
        <v>5895</v>
      </c>
      <c r="N66" s="64" t="s">
        <v>1</v>
      </c>
      <c r="O66" s="65">
        <v>1</v>
      </c>
      <c r="P66" s="99"/>
      <c r="Q66" s="70"/>
      <c r="R66" s="99"/>
      <c r="S66" s="70"/>
      <c r="T66" s="66"/>
      <c r="U66" s="57"/>
      <c r="V66" s="58"/>
      <c r="W66" s="77"/>
      <c r="X66" s="1" t="s">
        <v>18026</v>
      </c>
      <c r="Y66" s="68"/>
      <c r="Z66" s="76"/>
      <c r="AA66" s="70"/>
      <c r="AB66" s="228">
        <f>ROUND((ROUND((ROUND((ROUND((_15_同援日０．５*_15・基礎２),0)*_15・２人),0)*(1+_15・A深夜)),0)*(1+_15・区３)),0)+ROUND((ROUND((ROUND((ROUND((_15_同援日０．５＿１．５*_15・基礎２),0)*_15・２人),0)*(1+_15・B早朝)),0)*(1+_15・区３)),0)</f>
        <v>706</v>
      </c>
      <c r="AC66" s="69"/>
    </row>
    <row r="67" spans="1:29" ht="16.5" customHeight="1" x14ac:dyDescent="0.3">
      <c r="A67" s="2">
        <v>15</v>
      </c>
      <c r="B67" s="2">
        <v>8899</v>
      </c>
      <c r="C67" s="60" t="s">
        <v>9554</v>
      </c>
      <c r="D67" s="1"/>
      <c r="E67" s="68"/>
      <c r="F67" s="70"/>
      <c r="G67" s="1"/>
      <c r="H67" s="68"/>
      <c r="I67" s="70"/>
      <c r="J67" s="61"/>
      <c r="K67" s="62"/>
      <c r="L67" s="63"/>
      <c r="M67" s="85"/>
      <c r="N67" s="64"/>
      <c r="O67" s="65"/>
      <c r="P67" s="99"/>
      <c r="Q67" s="70"/>
      <c r="R67" s="99"/>
      <c r="S67" s="70"/>
      <c r="T67" s="74" t="s">
        <v>18025</v>
      </c>
      <c r="U67" s="62"/>
      <c r="V67" s="63"/>
      <c r="W67" s="75"/>
      <c r="X67" s="67"/>
      <c r="Y67" s="68" t="s">
        <v>1</v>
      </c>
      <c r="Z67" s="76">
        <v>0.2</v>
      </c>
      <c r="AA67" s="70" t="s">
        <v>422</v>
      </c>
      <c r="AB67" s="228">
        <f>ROUND((ROUND((ROUND((_15_同援日０．５*(1+_15・A深夜)),0)*(1+_15・盲ろう)),0)*(1+_15・区３)),0)+ROUND((ROUND((ROUND((_15_同援日０．５＿１．５*(1+_15・B早朝)),0)*(1+_15・盲ろう)),0)*(1+_15・区３)),0)</f>
        <v>978</v>
      </c>
      <c r="AC67" s="69"/>
    </row>
    <row r="68" spans="1:29" ht="16.5" customHeight="1" x14ac:dyDescent="0.3">
      <c r="A68" s="2">
        <v>15</v>
      </c>
      <c r="B68" s="2">
        <v>8900</v>
      </c>
      <c r="C68" s="60" t="s">
        <v>9553</v>
      </c>
      <c r="D68" s="1"/>
      <c r="E68" s="68"/>
      <c r="F68" s="70"/>
      <c r="G68" s="1"/>
      <c r="H68" s="68"/>
      <c r="I68" s="70"/>
      <c r="J68" s="66"/>
      <c r="K68" s="57"/>
      <c r="L68" s="58"/>
      <c r="M68" s="83" t="s">
        <v>5895</v>
      </c>
      <c r="N68" s="64" t="s">
        <v>1</v>
      </c>
      <c r="O68" s="65">
        <v>1</v>
      </c>
      <c r="P68" s="99"/>
      <c r="Q68" s="70"/>
      <c r="R68" s="99"/>
      <c r="S68" s="70"/>
      <c r="T68" s="94" t="s">
        <v>18024</v>
      </c>
      <c r="U68" s="68"/>
      <c r="V68" s="76"/>
      <c r="W68" s="70"/>
      <c r="X68" s="67"/>
      <c r="Y68" s="68"/>
      <c r="Z68" s="76"/>
      <c r="AA68" s="70"/>
      <c r="AB68" s="228">
        <f>ROUND((ROUND((ROUND((ROUND((_15_同援日０．５*_15・２人),0)*(1+_15・A深夜)),0)*(1+_15・盲ろう)),0)*(1+_15・区３)),0)+ROUND((ROUND((ROUND((ROUND((_15_同援日０．５＿１．５*_15・２人),0)*(1+_15・B早朝)),0)*(1+_15・盲ろう)),0)*(1+_15・区３)),0)</f>
        <v>978</v>
      </c>
      <c r="AC68" s="69"/>
    </row>
    <row r="69" spans="1:29" ht="16.5" customHeight="1" x14ac:dyDescent="0.3">
      <c r="A69" s="2">
        <v>15</v>
      </c>
      <c r="B69" s="2">
        <v>8901</v>
      </c>
      <c r="C69" s="60" t="s">
        <v>9552</v>
      </c>
      <c r="D69" s="1"/>
      <c r="E69" s="68"/>
      <c r="F69" s="70"/>
      <c r="G69" s="1"/>
      <c r="H69" s="68"/>
      <c r="I69" s="70"/>
      <c r="J69" s="74" t="s">
        <v>16971</v>
      </c>
      <c r="K69" s="62"/>
      <c r="L69" s="63"/>
      <c r="M69" s="85"/>
      <c r="N69" s="64"/>
      <c r="O69" s="65"/>
      <c r="P69" s="99"/>
      <c r="Q69" s="70"/>
      <c r="R69" s="99"/>
      <c r="S69" s="70"/>
      <c r="T69" s="67"/>
      <c r="U69" s="68" t="s">
        <v>1</v>
      </c>
      <c r="V69" s="76">
        <v>0.25</v>
      </c>
      <c r="W69" s="70" t="s">
        <v>422</v>
      </c>
      <c r="X69" s="67"/>
      <c r="Y69" s="68"/>
      <c r="Z69" s="76"/>
      <c r="AA69" s="70"/>
      <c r="AB69" s="228">
        <f>ROUND((ROUND((ROUND((ROUND((_15_同援日０．５*_15・基礎２),0)*(1+_15・A深夜)),0)*(1+_15・盲ろう)),0)*(1+_15・区３)),0)+ROUND((ROUND((ROUND((ROUND((_15_同援日０．５＿１．５*_15・基礎２),0)*(1+_15・B早朝)),0)*(1+_15・盲ろう)),0)*(1+_15・区３)),0)</f>
        <v>882</v>
      </c>
      <c r="AC69" s="69"/>
    </row>
    <row r="70" spans="1:29" ht="16.5" customHeight="1" x14ac:dyDescent="0.3">
      <c r="A70" s="2">
        <v>15</v>
      </c>
      <c r="B70" s="2">
        <v>8902</v>
      </c>
      <c r="C70" s="60" t="s">
        <v>9551</v>
      </c>
      <c r="D70" s="1"/>
      <c r="E70" s="68"/>
      <c r="F70" s="70"/>
      <c r="G70" s="1"/>
      <c r="H70" s="68"/>
      <c r="I70" s="70"/>
      <c r="J70" s="106" t="s">
        <v>16970</v>
      </c>
      <c r="K70" s="57" t="s">
        <v>1</v>
      </c>
      <c r="L70" s="58">
        <v>0.9</v>
      </c>
      <c r="M70" s="83" t="s">
        <v>5895</v>
      </c>
      <c r="N70" s="64" t="s">
        <v>1</v>
      </c>
      <c r="O70" s="65">
        <v>1</v>
      </c>
      <c r="P70" s="99"/>
      <c r="Q70" s="70"/>
      <c r="R70" s="99"/>
      <c r="S70" s="70"/>
      <c r="T70" s="66"/>
      <c r="U70" s="57"/>
      <c r="V70" s="58"/>
      <c r="W70" s="77"/>
      <c r="X70" s="66"/>
      <c r="Y70" s="57"/>
      <c r="Z70" s="58"/>
      <c r="AA70" s="77"/>
      <c r="AB70" s="228">
        <f>ROUND((ROUND((ROUND((ROUND((ROUND((_15_同援日０．５*_15・基礎２),0)*_15・２人),0)*(1+_15・A深夜)),0)*(1+_15・盲ろう)),0)*(1+_15・区３)),0)+ROUND((ROUND((ROUND((ROUND((ROUND((_15_同援日０．５＿１．５*_15・基礎２),0)*_15・２人),0)*(1+_15・B早朝)),0)*(1+_15・盲ろう)),0)*(1+_15・区３)),0)</f>
        <v>882</v>
      </c>
      <c r="AC70" s="69"/>
    </row>
    <row r="71" spans="1:29" ht="16.5" customHeight="1" x14ac:dyDescent="0.3">
      <c r="A71" s="2">
        <v>15</v>
      </c>
      <c r="B71" s="2">
        <v>8903</v>
      </c>
      <c r="C71" s="60" t="s">
        <v>9550</v>
      </c>
      <c r="D71" s="1"/>
      <c r="E71" s="68"/>
      <c r="F71" s="70"/>
      <c r="G71" s="1"/>
      <c r="H71" s="68"/>
      <c r="I71" s="70"/>
      <c r="J71" s="61"/>
      <c r="K71" s="62"/>
      <c r="L71" s="63"/>
      <c r="M71" s="85"/>
      <c r="N71" s="64"/>
      <c r="O71" s="65"/>
      <c r="P71" s="99"/>
      <c r="Q71" s="70"/>
      <c r="R71" s="99"/>
      <c r="S71" s="70"/>
      <c r="T71" s="61"/>
      <c r="U71" s="62"/>
      <c r="V71" s="63"/>
      <c r="W71" s="75"/>
      <c r="X71" s="61"/>
      <c r="Y71" s="62"/>
      <c r="Z71" s="63"/>
      <c r="AA71" s="75"/>
      <c r="AB71" s="228">
        <f>ROUND((ROUND((_15_同援日０．５*(1+_15・A深夜)),0)*(1+_15・区４)),0)+ROUND((ROUND((_15_同援日０．５＿１．５*(1+_15・B早朝)),0)*(1+_15・区４)),0)</f>
        <v>912</v>
      </c>
      <c r="AC71" s="69"/>
    </row>
    <row r="72" spans="1:29" ht="16.5" customHeight="1" x14ac:dyDescent="0.3">
      <c r="A72" s="2">
        <v>15</v>
      </c>
      <c r="B72" s="2">
        <v>8904</v>
      </c>
      <c r="C72" s="60" t="s">
        <v>9549</v>
      </c>
      <c r="D72" s="1"/>
      <c r="E72" s="68"/>
      <c r="F72" s="70"/>
      <c r="G72" s="1"/>
      <c r="H72" s="68"/>
      <c r="I72" s="70"/>
      <c r="J72" s="66"/>
      <c r="K72" s="57"/>
      <c r="L72" s="58"/>
      <c r="M72" s="83" t="s">
        <v>5895</v>
      </c>
      <c r="N72" s="64" t="s">
        <v>1</v>
      </c>
      <c r="O72" s="65">
        <v>1</v>
      </c>
      <c r="P72" s="99"/>
      <c r="Q72" s="70"/>
      <c r="R72" s="99"/>
      <c r="S72" s="70"/>
      <c r="T72" s="67"/>
      <c r="U72" s="68"/>
      <c r="V72" s="76"/>
      <c r="W72" s="70"/>
      <c r="X72" s="67"/>
      <c r="Y72" s="68"/>
      <c r="Z72" s="76"/>
      <c r="AA72" s="70"/>
      <c r="AB72" s="228">
        <f>ROUND((ROUND((ROUND((_15_同援日０．５*_15・２人),0)*(1+_15・A深夜)),0)*(1+_15・区４)),0)+ROUND((ROUND((ROUND((_15_同援日０．５＿１．５*_15・２人),0)*(1+_15・B早朝)),0)*(1+_15・区４)),0)</f>
        <v>912</v>
      </c>
      <c r="AC72" s="69"/>
    </row>
    <row r="73" spans="1:29" ht="16.5" customHeight="1" x14ac:dyDescent="0.3">
      <c r="A73" s="2">
        <v>15</v>
      </c>
      <c r="B73" s="2">
        <v>8905</v>
      </c>
      <c r="C73" s="60" t="s">
        <v>9548</v>
      </c>
      <c r="D73" s="1"/>
      <c r="E73" s="68"/>
      <c r="F73" s="70"/>
      <c r="G73" s="1"/>
      <c r="H73" s="68"/>
      <c r="I73" s="70"/>
      <c r="J73" s="74" t="s">
        <v>16971</v>
      </c>
      <c r="K73" s="62"/>
      <c r="L73" s="63"/>
      <c r="M73" s="85"/>
      <c r="N73" s="64"/>
      <c r="O73" s="65"/>
      <c r="P73" s="99"/>
      <c r="Q73" s="70"/>
      <c r="R73" s="99"/>
      <c r="S73" s="70"/>
      <c r="T73" s="67"/>
      <c r="U73" s="68"/>
      <c r="V73" s="76"/>
      <c r="W73" s="70"/>
      <c r="X73" s="1" t="s">
        <v>18027</v>
      </c>
      <c r="Y73" s="68"/>
      <c r="Z73" s="76"/>
      <c r="AA73" s="70"/>
      <c r="AB73" s="228">
        <f>ROUND((ROUND((ROUND((_15_同援日０．５*_15・基礎２),0)*(1+_15・A深夜)),0)*(1+_15・区４)),0)+ROUND((ROUND((ROUND((_15_同援日０．５＿１．５*_15・基礎２),0)*(1+_15・B早朝)),0)*(1+_15・区４)),0)</f>
        <v>824</v>
      </c>
      <c r="AC73" s="69"/>
    </row>
    <row r="74" spans="1:29" ht="16.5" customHeight="1" x14ac:dyDescent="0.3">
      <c r="A74" s="2">
        <v>15</v>
      </c>
      <c r="B74" s="2">
        <v>8906</v>
      </c>
      <c r="C74" s="60" t="s">
        <v>9547</v>
      </c>
      <c r="D74" s="1"/>
      <c r="E74" s="68"/>
      <c r="F74" s="70"/>
      <c r="G74" s="1"/>
      <c r="H74" s="68"/>
      <c r="I74" s="70"/>
      <c r="J74" s="106" t="s">
        <v>16970</v>
      </c>
      <c r="K74" s="57" t="s">
        <v>1</v>
      </c>
      <c r="L74" s="58">
        <v>0.9</v>
      </c>
      <c r="M74" s="83" t="s">
        <v>5895</v>
      </c>
      <c r="N74" s="64" t="s">
        <v>1</v>
      </c>
      <c r="O74" s="65">
        <v>1</v>
      </c>
      <c r="P74" s="99"/>
      <c r="Q74" s="70"/>
      <c r="R74" s="99"/>
      <c r="S74" s="70"/>
      <c r="T74" s="66"/>
      <c r="U74" s="57"/>
      <c r="V74" s="58"/>
      <c r="W74" s="77"/>
      <c r="X74" s="1" t="s">
        <v>18026</v>
      </c>
      <c r="Y74" s="68"/>
      <c r="Z74" s="76"/>
      <c r="AA74" s="70"/>
      <c r="AB74" s="228">
        <f>ROUND((ROUND((ROUND((ROUND((_15_同援日０．５*_15・基礎２),0)*_15・２人),0)*(1+_15・A深夜)),0)*(1+_15・区４)),0)+ROUND((ROUND((ROUND((ROUND((_15_同援日０．５＿１．５*_15・基礎２),0)*_15・２人),0)*(1+_15・B早朝)),0)*(1+_15・区４)),0)</f>
        <v>824</v>
      </c>
      <c r="AC74" s="69"/>
    </row>
    <row r="75" spans="1:29" ht="16.5" customHeight="1" x14ac:dyDescent="0.3">
      <c r="A75" s="2">
        <v>15</v>
      </c>
      <c r="B75" s="2">
        <v>8907</v>
      </c>
      <c r="C75" s="60" t="s">
        <v>9546</v>
      </c>
      <c r="D75" s="1"/>
      <c r="E75" s="68"/>
      <c r="F75" s="70"/>
      <c r="G75" s="1"/>
      <c r="H75" s="68"/>
      <c r="I75" s="70"/>
      <c r="J75" s="61"/>
      <c r="K75" s="62"/>
      <c r="L75" s="63"/>
      <c r="M75" s="85"/>
      <c r="N75" s="64"/>
      <c r="O75" s="65"/>
      <c r="P75" s="99"/>
      <c r="Q75" s="70"/>
      <c r="R75" s="99"/>
      <c r="S75" s="70"/>
      <c r="T75" s="74" t="s">
        <v>18025</v>
      </c>
      <c r="U75" s="62"/>
      <c r="V75" s="63"/>
      <c r="W75" s="75"/>
      <c r="X75" s="67"/>
      <c r="Y75" s="68" t="s">
        <v>1</v>
      </c>
      <c r="Z75" s="76">
        <v>0.4</v>
      </c>
      <c r="AA75" s="70" t="s">
        <v>422</v>
      </c>
      <c r="AB75" s="228">
        <f>ROUND((ROUND((ROUND((_15_同援日０．５*(1+_15・A深夜)),0)*(1+_15・盲ろう)),0)*(1+_15・区４)),0)+ROUND((ROUND((ROUND((_15_同援日０．５＿１．５*(1+_15・B早朝)),0)*(1+_15・盲ろう)),0)*(1+_15・区４)),0)</f>
        <v>1141</v>
      </c>
      <c r="AC75" s="69"/>
    </row>
    <row r="76" spans="1:29" ht="16.5" customHeight="1" x14ac:dyDescent="0.3">
      <c r="A76" s="2">
        <v>15</v>
      </c>
      <c r="B76" s="2">
        <v>8908</v>
      </c>
      <c r="C76" s="60" t="s">
        <v>9545</v>
      </c>
      <c r="D76" s="1"/>
      <c r="E76" s="68"/>
      <c r="F76" s="70"/>
      <c r="G76" s="1"/>
      <c r="H76" s="68"/>
      <c r="I76" s="70"/>
      <c r="J76" s="66"/>
      <c r="K76" s="57"/>
      <c r="L76" s="58"/>
      <c r="M76" s="83" t="s">
        <v>5895</v>
      </c>
      <c r="N76" s="64" t="s">
        <v>1</v>
      </c>
      <c r="O76" s="65">
        <v>1</v>
      </c>
      <c r="P76" s="99"/>
      <c r="Q76" s="70"/>
      <c r="R76" s="99"/>
      <c r="S76" s="70"/>
      <c r="T76" s="94" t="s">
        <v>18024</v>
      </c>
      <c r="U76" s="68"/>
      <c r="V76" s="76"/>
      <c r="W76" s="70"/>
      <c r="X76" s="67"/>
      <c r="Y76" s="68"/>
      <c r="Z76" s="76"/>
      <c r="AA76" s="70"/>
      <c r="AB76" s="228">
        <f>ROUND((ROUND((ROUND((ROUND((_15_同援日０．５*_15・２人),0)*(1+_15・A深夜)),0)*(1+_15・盲ろう)),0)*(1+_15・区４)),0)+ROUND((ROUND((ROUND((ROUND((_15_同援日０．５＿１．５*_15・２人),0)*(1+_15・B早朝)),0)*(1+_15・盲ろう)),0)*(1+_15・区４)),0)</f>
        <v>1141</v>
      </c>
      <c r="AC76" s="69"/>
    </row>
    <row r="77" spans="1:29" ht="16.5" customHeight="1" x14ac:dyDescent="0.3">
      <c r="A77" s="2">
        <v>15</v>
      </c>
      <c r="B77" s="2">
        <v>8909</v>
      </c>
      <c r="C77" s="60" t="s">
        <v>9544</v>
      </c>
      <c r="D77" s="1"/>
      <c r="E77" s="68"/>
      <c r="F77" s="70"/>
      <c r="G77" s="1"/>
      <c r="H77" s="68"/>
      <c r="I77" s="70"/>
      <c r="J77" s="74" t="s">
        <v>16971</v>
      </c>
      <c r="K77" s="62"/>
      <c r="L77" s="63"/>
      <c r="M77" s="85"/>
      <c r="N77" s="64"/>
      <c r="O77" s="65"/>
      <c r="P77" s="99"/>
      <c r="Q77" s="70"/>
      <c r="R77" s="99"/>
      <c r="S77" s="70"/>
      <c r="T77" s="67"/>
      <c r="U77" s="68" t="s">
        <v>1</v>
      </c>
      <c r="V77" s="76">
        <v>0.25</v>
      </c>
      <c r="W77" s="70" t="s">
        <v>422</v>
      </c>
      <c r="X77" s="67"/>
      <c r="Y77" s="68"/>
      <c r="Z77" s="76"/>
      <c r="AA77" s="70"/>
      <c r="AB77" s="228">
        <f>ROUND((ROUND((ROUND((ROUND((_15_同援日０．５*_15・基礎２),0)*(1+_15・A深夜)),0)*(1+_15・盲ろう)),0)*(1+_15・区４)),0)+ROUND((ROUND((ROUND((ROUND((_15_同援日０．５＿１．５*_15・基礎２),0)*(1+_15・B早朝)),0)*(1+_15・盲ろう)),0)*(1+_15・区４)),0)</f>
        <v>1029</v>
      </c>
      <c r="AC77" s="69"/>
    </row>
    <row r="78" spans="1:29" ht="16.5" customHeight="1" x14ac:dyDescent="0.3">
      <c r="A78" s="2">
        <v>15</v>
      </c>
      <c r="B78" s="2">
        <v>8910</v>
      </c>
      <c r="C78" s="60" t="s">
        <v>9543</v>
      </c>
      <c r="D78" s="1"/>
      <c r="E78" s="68"/>
      <c r="F78" s="70"/>
      <c r="G78" s="81"/>
      <c r="H78" s="57"/>
      <c r="I78" s="77"/>
      <c r="J78" s="106" t="s">
        <v>16970</v>
      </c>
      <c r="K78" s="57" t="s">
        <v>1</v>
      </c>
      <c r="L78" s="58">
        <v>0.9</v>
      </c>
      <c r="M78" s="83" t="s">
        <v>5895</v>
      </c>
      <c r="N78" s="64" t="s">
        <v>1</v>
      </c>
      <c r="O78" s="65">
        <v>1</v>
      </c>
      <c r="P78" s="99"/>
      <c r="Q78" s="70"/>
      <c r="R78" s="99"/>
      <c r="S78" s="70"/>
      <c r="T78" s="66"/>
      <c r="U78" s="57"/>
      <c r="V78" s="58"/>
      <c r="W78" s="77"/>
      <c r="X78" s="66"/>
      <c r="Y78" s="57"/>
      <c r="Z78" s="58"/>
      <c r="AA78" s="77"/>
      <c r="AB78" s="228">
        <f>ROUND((ROUND((ROUND((ROUND((ROUND((_15_同援日０．５*_15・基礎２),0)*_15・２人),0)*(1+_15・A深夜)),0)*(1+_15・盲ろう)),0)*(1+_15・区４)),0)+ROUND((ROUND((ROUND((ROUND((ROUND((_15_同援日０．５＿１．５*_15・基礎２),0)*_15・２人),0)*(1+_15・B早朝)),0)*(1+_15・盲ろう)),0)*(1+_15・区４)),0)</f>
        <v>1029</v>
      </c>
      <c r="AC78" s="69"/>
    </row>
    <row r="79" spans="1:29" ht="16.5" customHeight="1" x14ac:dyDescent="0.3">
      <c r="A79" s="2">
        <v>15</v>
      </c>
      <c r="B79" s="2">
        <v>8911</v>
      </c>
      <c r="C79" s="60" t="s">
        <v>9542</v>
      </c>
      <c r="D79" s="1"/>
      <c r="E79" s="68"/>
      <c r="F79" s="70"/>
      <c r="G79" s="233" t="s">
        <v>16982</v>
      </c>
      <c r="H79" s="62"/>
      <c r="I79" s="75"/>
      <c r="J79" s="61"/>
      <c r="K79" s="62"/>
      <c r="L79" s="63"/>
      <c r="M79" s="85"/>
      <c r="N79" s="64"/>
      <c r="O79" s="65"/>
      <c r="P79" s="99"/>
      <c r="Q79" s="70"/>
      <c r="R79" s="99"/>
      <c r="S79" s="70"/>
      <c r="T79" s="61"/>
      <c r="U79" s="62"/>
      <c r="V79" s="63"/>
      <c r="W79" s="75"/>
      <c r="X79" s="61"/>
      <c r="Y79" s="62"/>
      <c r="Z79" s="63"/>
      <c r="AA79" s="75"/>
      <c r="AB79" s="228">
        <f>ROUND((_15_同援日０．５*(1+_15・A深夜)),0)+ROUND((_15_同援日０．５＿２．０*(1+_15・B早朝)),0)</f>
        <v>731</v>
      </c>
      <c r="AC79" s="69"/>
    </row>
    <row r="80" spans="1:29" ht="16.5" customHeight="1" x14ac:dyDescent="0.3">
      <c r="A80" s="2">
        <v>15</v>
      </c>
      <c r="B80" s="2">
        <v>8912</v>
      </c>
      <c r="C80" s="60" t="s">
        <v>9541</v>
      </c>
      <c r="D80" s="1"/>
      <c r="E80" s="68"/>
      <c r="F80" s="70"/>
      <c r="G80" s="1" t="s">
        <v>16981</v>
      </c>
      <c r="H80" s="68"/>
      <c r="I80" s="70"/>
      <c r="J80" s="66"/>
      <c r="K80" s="57"/>
      <c r="L80" s="58"/>
      <c r="M80" s="83" t="s">
        <v>5895</v>
      </c>
      <c r="N80" s="64" t="s">
        <v>1</v>
      </c>
      <c r="O80" s="65">
        <v>1</v>
      </c>
      <c r="P80" s="99"/>
      <c r="Q80" s="70"/>
      <c r="R80" s="99"/>
      <c r="S80" s="70"/>
      <c r="T80" s="67"/>
      <c r="U80" s="68"/>
      <c r="V80" s="76"/>
      <c r="W80" s="70"/>
      <c r="X80" s="67"/>
      <c r="Y80" s="68"/>
      <c r="Z80" s="76"/>
      <c r="AA80" s="70"/>
      <c r="AB80" s="228">
        <f>ROUND((ROUND((_15_同援日０．５*_15・２人),0)*(1+_15・A深夜)),0)+ROUND((ROUND((_15_同援日０．５＿２．０*_15・２人),0)*(1+_15・B早朝)),0)</f>
        <v>731</v>
      </c>
      <c r="AC80" s="69"/>
    </row>
    <row r="81" spans="1:29" ht="16.5" customHeight="1" x14ac:dyDescent="0.3">
      <c r="A81" s="2">
        <v>15</v>
      </c>
      <c r="B81" s="2">
        <v>8913</v>
      </c>
      <c r="C81" s="60" t="s">
        <v>9540</v>
      </c>
      <c r="D81" s="1"/>
      <c r="E81" s="68"/>
      <c r="F81" s="70"/>
      <c r="G81" s="1" t="s">
        <v>6448</v>
      </c>
      <c r="H81" s="68"/>
      <c r="I81" s="70"/>
      <c r="J81" s="74" t="s">
        <v>16971</v>
      </c>
      <c r="K81" s="62"/>
      <c r="L81" s="63"/>
      <c r="M81" s="85"/>
      <c r="N81" s="64"/>
      <c r="O81" s="65"/>
      <c r="P81" s="99"/>
      <c r="Q81" s="70"/>
      <c r="R81" s="99"/>
      <c r="S81" s="70"/>
      <c r="T81" s="67"/>
      <c r="U81" s="68"/>
      <c r="V81" s="76"/>
      <c r="W81" s="70"/>
      <c r="X81" s="67"/>
      <c r="Y81" s="68"/>
      <c r="Z81" s="76"/>
      <c r="AA81" s="70"/>
      <c r="AB81" s="228">
        <f>ROUND((ROUND((_15_同援日０．５*_15・基礎２),0)*(1+_15・A深夜)),0)+ROUND((ROUND((_15_同援日０．５＿２．０*_15・基礎２),0)*(1+_15・B早朝)),0)</f>
        <v>659</v>
      </c>
      <c r="AC81" s="69"/>
    </row>
    <row r="82" spans="1:29" ht="16.5" customHeight="1" x14ac:dyDescent="0.3">
      <c r="A82" s="2">
        <v>15</v>
      </c>
      <c r="B82" s="2">
        <v>8914</v>
      </c>
      <c r="C82" s="60" t="s">
        <v>9539</v>
      </c>
      <c r="D82" s="1"/>
      <c r="E82" s="68"/>
      <c r="F82" s="70"/>
      <c r="G82" s="1"/>
      <c r="H82" s="227">
        <v>364</v>
      </c>
      <c r="I82" s="70" t="s">
        <v>0</v>
      </c>
      <c r="J82" s="106" t="s">
        <v>16970</v>
      </c>
      <c r="K82" s="57" t="s">
        <v>1</v>
      </c>
      <c r="L82" s="58">
        <v>0.9</v>
      </c>
      <c r="M82" s="83" t="s">
        <v>5895</v>
      </c>
      <c r="N82" s="64" t="s">
        <v>1</v>
      </c>
      <c r="O82" s="65">
        <v>1</v>
      </c>
      <c r="P82" s="99"/>
      <c r="Q82" s="70"/>
      <c r="R82" s="99"/>
      <c r="S82" s="70"/>
      <c r="T82" s="66"/>
      <c r="U82" s="57"/>
      <c r="V82" s="58"/>
      <c r="W82" s="77"/>
      <c r="X82" s="67"/>
      <c r="Y82" s="68"/>
      <c r="Z82" s="76"/>
      <c r="AA82" s="70"/>
      <c r="AB82" s="228">
        <f>ROUND((ROUND((ROUND((_15_同援日０．５*_15・基礎２),0)*_15・２人),0)*(1+_15・A深夜)),0)+ROUND((ROUND((ROUND((_15_同援日０．５＿２．０*_15・基礎２),0)*_15・２人),0)*(1+_15・B早朝)),0)</f>
        <v>659</v>
      </c>
      <c r="AC82" s="69"/>
    </row>
    <row r="83" spans="1:29" ht="16.5" customHeight="1" x14ac:dyDescent="0.3">
      <c r="A83" s="2">
        <v>15</v>
      </c>
      <c r="B83" s="2">
        <v>8915</v>
      </c>
      <c r="C83" s="60" t="s">
        <v>9538</v>
      </c>
      <c r="D83" s="1"/>
      <c r="E83" s="68"/>
      <c r="F83" s="70"/>
      <c r="G83" s="1"/>
      <c r="H83" s="68"/>
      <c r="I83" s="70"/>
      <c r="J83" s="61"/>
      <c r="K83" s="62"/>
      <c r="L83" s="63"/>
      <c r="M83" s="85"/>
      <c r="N83" s="64"/>
      <c r="O83" s="65"/>
      <c r="P83" s="99"/>
      <c r="Q83" s="70"/>
      <c r="R83" s="99"/>
      <c r="S83" s="70"/>
      <c r="T83" s="74" t="s">
        <v>18025</v>
      </c>
      <c r="U83" s="62"/>
      <c r="V83" s="63"/>
      <c r="W83" s="75"/>
      <c r="X83" s="67"/>
      <c r="Y83" s="68"/>
      <c r="Z83" s="76"/>
      <c r="AA83" s="70"/>
      <c r="AB83" s="228">
        <f>ROUND((ROUND((_15_同援日０．５*(1+_15・A深夜)),0)*(1+_15・盲ろう)),0)+ROUND((ROUND((_15_同援日０．５＿２．０*(1+_15・B早朝)),0)*(1+_15・盲ろう)),0)</f>
        <v>914</v>
      </c>
      <c r="AC83" s="69"/>
    </row>
    <row r="84" spans="1:29" ht="16.5" customHeight="1" x14ac:dyDescent="0.3">
      <c r="A84" s="2">
        <v>15</v>
      </c>
      <c r="B84" s="2">
        <v>8916</v>
      </c>
      <c r="C84" s="60" t="s">
        <v>9537</v>
      </c>
      <c r="D84" s="1"/>
      <c r="E84" s="68"/>
      <c r="F84" s="70"/>
      <c r="G84" s="1"/>
      <c r="H84" s="68"/>
      <c r="I84" s="70"/>
      <c r="J84" s="66"/>
      <c r="K84" s="57"/>
      <c r="L84" s="58"/>
      <c r="M84" s="83" t="s">
        <v>5895</v>
      </c>
      <c r="N84" s="64" t="s">
        <v>1</v>
      </c>
      <c r="O84" s="65">
        <v>1</v>
      </c>
      <c r="P84" s="99"/>
      <c r="Q84" s="70"/>
      <c r="R84" s="99"/>
      <c r="S84" s="70"/>
      <c r="T84" s="94" t="s">
        <v>18024</v>
      </c>
      <c r="U84" s="68"/>
      <c r="V84" s="76"/>
      <c r="W84" s="70"/>
      <c r="X84" s="67"/>
      <c r="Y84" s="68"/>
      <c r="Z84" s="76"/>
      <c r="AA84" s="70"/>
      <c r="AB84" s="228">
        <f>ROUND((ROUND((ROUND((_15_同援日０．５*_15・２人),0)*(1+_15・A深夜)),0)*(1+_15・盲ろう)),0)+ROUND((ROUND((ROUND((_15_同援日０．５＿２．０*_15・２人),0)*(1+_15・B早朝)),0)*(1+_15・盲ろう)),0)</f>
        <v>914</v>
      </c>
      <c r="AC84" s="69"/>
    </row>
    <row r="85" spans="1:29" ht="16.5" customHeight="1" x14ac:dyDescent="0.3">
      <c r="A85" s="2">
        <v>15</v>
      </c>
      <c r="B85" s="2">
        <v>8917</v>
      </c>
      <c r="C85" s="60" t="s">
        <v>9536</v>
      </c>
      <c r="D85" s="1"/>
      <c r="E85" s="68"/>
      <c r="F85" s="70"/>
      <c r="G85" s="1"/>
      <c r="H85" s="68"/>
      <c r="I85" s="70"/>
      <c r="J85" s="74" t="s">
        <v>16971</v>
      </c>
      <c r="K85" s="62"/>
      <c r="L85" s="63"/>
      <c r="M85" s="85"/>
      <c r="N85" s="64"/>
      <c r="O85" s="65"/>
      <c r="P85" s="99"/>
      <c r="Q85" s="70"/>
      <c r="R85" s="99"/>
      <c r="S85" s="70"/>
      <c r="T85" s="67"/>
      <c r="U85" s="68" t="s">
        <v>1</v>
      </c>
      <c r="V85" s="76">
        <v>0.25</v>
      </c>
      <c r="W85" s="70" t="s">
        <v>422</v>
      </c>
      <c r="X85" s="67"/>
      <c r="Y85" s="68"/>
      <c r="Z85" s="76"/>
      <c r="AA85" s="70"/>
      <c r="AB85" s="228">
        <f>ROUND((ROUND((ROUND((_15_同援日０．５*_15・基礎２),0)*(1+_15・A深夜)),0)*(1+_15・盲ろう)),0)+ROUND((ROUND((ROUND((_15_同援日０．５＿２．０*_15・基礎２),0)*(1+_15・B早朝)),0)*(1+_15・盲ろう)),0)</f>
        <v>824</v>
      </c>
      <c r="AC85" s="69"/>
    </row>
    <row r="86" spans="1:29" ht="16.5" customHeight="1" x14ac:dyDescent="0.3">
      <c r="A86" s="2">
        <v>15</v>
      </c>
      <c r="B86" s="2">
        <v>8918</v>
      </c>
      <c r="C86" s="60" t="s">
        <v>9535</v>
      </c>
      <c r="D86" s="1"/>
      <c r="E86" s="68"/>
      <c r="F86" s="70"/>
      <c r="G86" s="1"/>
      <c r="H86" s="68"/>
      <c r="I86" s="70"/>
      <c r="J86" s="106" t="s">
        <v>16970</v>
      </c>
      <c r="K86" s="57" t="s">
        <v>1</v>
      </c>
      <c r="L86" s="58">
        <v>0.9</v>
      </c>
      <c r="M86" s="83" t="s">
        <v>5895</v>
      </c>
      <c r="N86" s="64" t="s">
        <v>1</v>
      </c>
      <c r="O86" s="65">
        <v>1</v>
      </c>
      <c r="P86" s="99"/>
      <c r="Q86" s="70"/>
      <c r="R86" s="99"/>
      <c r="S86" s="70"/>
      <c r="T86" s="66"/>
      <c r="U86" s="57"/>
      <c r="V86" s="58"/>
      <c r="W86" s="77"/>
      <c r="X86" s="66"/>
      <c r="Y86" s="57"/>
      <c r="Z86" s="58"/>
      <c r="AA86" s="77"/>
      <c r="AB86" s="228">
        <f>ROUND((ROUND((ROUND((ROUND((_15_同援日０．５*_15・基礎２),0)*_15・２人),0)*(1+_15・A深夜)),0)*(1+_15・盲ろう)),0)+ROUND((ROUND((ROUND((ROUND((_15_同援日０．５＿２．０*_15・基礎２),0)*_15・２人),0)*(1+_15・B早朝)),0)*(1+_15・盲ろう)),0)</f>
        <v>824</v>
      </c>
      <c r="AC86" s="69"/>
    </row>
    <row r="87" spans="1:29" ht="16.5" customHeight="1" x14ac:dyDescent="0.3">
      <c r="A87" s="2">
        <v>15</v>
      </c>
      <c r="B87" s="2">
        <v>8919</v>
      </c>
      <c r="C87" s="60" t="s">
        <v>9534</v>
      </c>
      <c r="D87" s="1"/>
      <c r="E87" s="68"/>
      <c r="F87" s="70"/>
      <c r="G87" s="1"/>
      <c r="H87" s="68"/>
      <c r="I87" s="70"/>
      <c r="J87" s="61"/>
      <c r="K87" s="62"/>
      <c r="L87" s="63"/>
      <c r="M87" s="85"/>
      <c r="N87" s="64"/>
      <c r="O87" s="65"/>
      <c r="P87" s="99"/>
      <c r="Q87" s="70"/>
      <c r="R87" s="99"/>
      <c r="S87" s="70"/>
      <c r="T87" s="61"/>
      <c r="U87" s="62"/>
      <c r="V87" s="63"/>
      <c r="W87" s="75"/>
      <c r="X87" s="61"/>
      <c r="Y87" s="62"/>
      <c r="Z87" s="63"/>
      <c r="AA87" s="75"/>
      <c r="AB87" s="228">
        <f>ROUND((ROUND((_15_同援日０．５*(1+_15・A深夜)),0)*(1+_15・区３)),0)+ROUND((ROUND((_15_同援日０．５＿２．０*(1+_15・B早朝)),0)*(1+_15・区３)),0)</f>
        <v>877</v>
      </c>
      <c r="AC87" s="69"/>
    </row>
    <row r="88" spans="1:29" ht="16.5" customHeight="1" x14ac:dyDescent="0.3">
      <c r="A88" s="2">
        <v>15</v>
      </c>
      <c r="B88" s="2">
        <v>8920</v>
      </c>
      <c r="C88" s="60" t="s">
        <v>9533</v>
      </c>
      <c r="D88" s="1"/>
      <c r="E88" s="68"/>
      <c r="F88" s="70"/>
      <c r="G88" s="1"/>
      <c r="H88" s="68"/>
      <c r="I88" s="70"/>
      <c r="J88" s="66"/>
      <c r="K88" s="57"/>
      <c r="L88" s="58"/>
      <c r="M88" s="83" t="s">
        <v>5895</v>
      </c>
      <c r="N88" s="64" t="s">
        <v>1</v>
      </c>
      <c r="O88" s="65">
        <v>1</v>
      </c>
      <c r="P88" s="99"/>
      <c r="Q88" s="70"/>
      <c r="R88" s="99"/>
      <c r="S88" s="70"/>
      <c r="T88" s="67"/>
      <c r="U88" s="68"/>
      <c r="V88" s="76"/>
      <c r="W88" s="70"/>
      <c r="X88" s="67"/>
      <c r="Y88" s="68"/>
      <c r="Z88" s="76"/>
      <c r="AA88" s="70"/>
      <c r="AB88" s="228">
        <f>ROUND((ROUND((ROUND((_15_同援日０．５*_15・２人),0)*(1+_15・A深夜)),0)*(1+_15・区３)),0)+ROUND((ROUND((ROUND((_15_同援日０．５＿２．０*_15・２人),0)*(1+_15・B早朝)),0)*(1+_15・区３)),0)</f>
        <v>877</v>
      </c>
      <c r="AC88" s="69"/>
    </row>
    <row r="89" spans="1:29" ht="16.5" customHeight="1" x14ac:dyDescent="0.3">
      <c r="A89" s="2">
        <v>15</v>
      </c>
      <c r="B89" s="2">
        <v>8921</v>
      </c>
      <c r="C89" s="60" t="s">
        <v>9532</v>
      </c>
      <c r="D89" s="1"/>
      <c r="E89" s="68"/>
      <c r="F89" s="70"/>
      <c r="G89" s="1"/>
      <c r="H89" s="68"/>
      <c r="I89" s="70"/>
      <c r="J89" s="74" t="s">
        <v>16971</v>
      </c>
      <c r="K89" s="62"/>
      <c r="L89" s="63"/>
      <c r="M89" s="85"/>
      <c r="N89" s="64"/>
      <c r="O89" s="65"/>
      <c r="P89" s="99"/>
      <c r="Q89" s="70"/>
      <c r="R89" s="99"/>
      <c r="S89" s="70"/>
      <c r="T89" s="67"/>
      <c r="U89" s="68"/>
      <c r="V89" s="76"/>
      <c r="W89" s="70"/>
      <c r="X89" s="1" t="s">
        <v>18028</v>
      </c>
      <c r="Y89" s="68"/>
      <c r="Z89" s="76"/>
      <c r="AA89" s="70"/>
      <c r="AB89" s="228">
        <f>ROUND((ROUND((ROUND((_15_同援日０．５*_15・基礎２),0)*(1+_15・A深夜)),0)*(1+_15・区３)),0)+ROUND((ROUND((ROUND((_15_同援日０．５＿２．０*_15・基礎２),0)*(1+_15・B早朝)),0)*(1+_15・区３)),0)</f>
        <v>791</v>
      </c>
      <c r="AC89" s="69"/>
    </row>
    <row r="90" spans="1:29" ht="16.5" customHeight="1" x14ac:dyDescent="0.3">
      <c r="A90" s="2">
        <v>15</v>
      </c>
      <c r="B90" s="2">
        <v>8922</v>
      </c>
      <c r="C90" s="60" t="s">
        <v>9531</v>
      </c>
      <c r="D90" s="1"/>
      <c r="E90" s="68"/>
      <c r="F90" s="70"/>
      <c r="G90" s="1"/>
      <c r="H90" s="68"/>
      <c r="I90" s="70"/>
      <c r="J90" s="106" t="s">
        <v>16970</v>
      </c>
      <c r="K90" s="57" t="s">
        <v>1</v>
      </c>
      <c r="L90" s="58">
        <v>0.9</v>
      </c>
      <c r="M90" s="83" t="s">
        <v>5895</v>
      </c>
      <c r="N90" s="64" t="s">
        <v>1</v>
      </c>
      <c r="O90" s="65">
        <v>1</v>
      </c>
      <c r="P90" s="99"/>
      <c r="Q90" s="70"/>
      <c r="R90" s="99"/>
      <c r="S90" s="70"/>
      <c r="T90" s="66"/>
      <c r="U90" s="57"/>
      <c r="V90" s="58"/>
      <c r="W90" s="77"/>
      <c r="X90" s="1" t="s">
        <v>18026</v>
      </c>
      <c r="Y90" s="68"/>
      <c r="Z90" s="76"/>
      <c r="AA90" s="70"/>
      <c r="AB90" s="228">
        <f>ROUND((ROUND((ROUND((ROUND((_15_同援日０．５*_15・基礎２),0)*_15・２人),0)*(1+_15・A深夜)),0)*(1+_15・区３)),0)+ROUND((ROUND((ROUND((ROUND((_15_同援日０．５＿２．０*_15・基礎２),0)*_15・２人),0)*(1+_15・B早朝)),0)*(1+_15・区３)),0)</f>
        <v>791</v>
      </c>
      <c r="AC90" s="69"/>
    </row>
    <row r="91" spans="1:29" ht="16.5" customHeight="1" x14ac:dyDescent="0.3">
      <c r="A91" s="2">
        <v>15</v>
      </c>
      <c r="B91" s="2">
        <v>8923</v>
      </c>
      <c r="C91" s="60" t="s">
        <v>9530</v>
      </c>
      <c r="D91" s="1"/>
      <c r="E91" s="68"/>
      <c r="F91" s="70"/>
      <c r="G91" s="1"/>
      <c r="H91" s="68"/>
      <c r="I91" s="70"/>
      <c r="J91" s="61"/>
      <c r="K91" s="62"/>
      <c r="L91" s="63"/>
      <c r="M91" s="85"/>
      <c r="N91" s="64"/>
      <c r="O91" s="65"/>
      <c r="P91" s="99"/>
      <c r="Q91" s="70"/>
      <c r="R91" s="99"/>
      <c r="S91" s="70"/>
      <c r="T91" s="74" t="s">
        <v>18025</v>
      </c>
      <c r="U91" s="62"/>
      <c r="V91" s="63"/>
      <c r="W91" s="75"/>
      <c r="X91" s="67"/>
      <c r="Y91" s="68" t="s">
        <v>1</v>
      </c>
      <c r="Z91" s="76">
        <v>0.2</v>
      </c>
      <c r="AA91" s="70" t="s">
        <v>422</v>
      </c>
      <c r="AB91" s="228">
        <f>ROUND((ROUND((ROUND((_15_同援日０．５*(1+_15・A深夜)),0)*(1+_15・盲ろう)),0)*(1+_15・区３)),0)+ROUND((ROUND((ROUND((_15_同援日０．５＿２．０*(1+_15・B早朝)),0)*(1+_15・盲ろう)),0)*(1+_15・区３)),0)</f>
        <v>1097</v>
      </c>
      <c r="AC91" s="69"/>
    </row>
    <row r="92" spans="1:29" ht="16.5" customHeight="1" x14ac:dyDescent="0.3">
      <c r="A92" s="2">
        <v>15</v>
      </c>
      <c r="B92" s="2">
        <v>8924</v>
      </c>
      <c r="C92" s="60" t="s">
        <v>9529</v>
      </c>
      <c r="D92" s="1"/>
      <c r="E92" s="68"/>
      <c r="F92" s="70"/>
      <c r="G92" s="1"/>
      <c r="H92" s="68"/>
      <c r="I92" s="70"/>
      <c r="J92" s="66"/>
      <c r="K92" s="57"/>
      <c r="L92" s="58"/>
      <c r="M92" s="83" t="s">
        <v>5895</v>
      </c>
      <c r="N92" s="64" t="s">
        <v>1</v>
      </c>
      <c r="O92" s="65">
        <v>1</v>
      </c>
      <c r="P92" s="99"/>
      <c r="Q92" s="70"/>
      <c r="R92" s="99"/>
      <c r="S92" s="70"/>
      <c r="T92" s="94" t="s">
        <v>18024</v>
      </c>
      <c r="U92" s="68"/>
      <c r="V92" s="76"/>
      <c r="W92" s="70"/>
      <c r="X92" s="67"/>
      <c r="Y92" s="68"/>
      <c r="Z92" s="76"/>
      <c r="AA92" s="70"/>
      <c r="AB92" s="228">
        <f>ROUND((ROUND((ROUND((ROUND((_15_同援日０．５*_15・２人),0)*(1+_15・A深夜)),0)*(1+_15・盲ろう)),0)*(1+_15・区３)),0)+ROUND((ROUND((ROUND((ROUND((_15_同援日０．５＿２．０*_15・２人),0)*(1+_15・B早朝)),0)*(1+_15・盲ろう)),0)*(1+_15・区３)),0)</f>
        <v>1097</v>
      </c>
      <c r="AC92" s="69"/>
    </row>
    <row r="93" spans="1:29" ht="16.5" customHeight="1" x14ac:dyDescent="0.3">
      <c r="A93" s="2">
        <v>15</v>
      </c>
      <c r="B93" s="2">
        <v>8925</v>
      </c>
      <c r="C93" s="60" t="s">
        <v>9528</v>
      </c>
      <c r="D93" s="1"/>
      <c r="E93" s="68"/>
      <c r="F93" s="70"/>
      <c r="G93" s="1"/>
      <c r="H93" s="68"/>
      <c r="I93" s="70"/>
      <c r="J93" s="74" t="s">
        <v>16971</v>
      </c>
      <c r="K93" s="62"/>
      <c r="L93" s="63"/>
      <c r="M93" s="85"/>
      <c r="N93" s="64"/>
      <c r="O93" s="65"/>
      <c r="P93" s="99"/>
      <c r="Q93" s="70"/>
      <c r="R93" s="99"/>
      <c r="S93" s="70"/>
      <c r="T93" s="67"/>
      <c r="U93" s="68" t="s">
        <v>1</v>
      </c>
      <c r="V93" s="76">
        <v>0.25</v>
      </c>
      <c r="W93" s="70" t="s">
        <v>422</v>
      </c>
      <c r="X93" s="67"/>
      <c r="Y93" s="68"/>
      <c r="Z93" s="76"/>
      <c r="AA93" s="70"/>
      <c r="AB93" s="228">
        <f>ROUND((ROUND((ROUND((ROUND((_15_同援日０．５*_15・基礎２),0)*(1+_15・A深夜)),0)*(1+_15・盲ろう)),0)*(1+_15・区３)),0)+ROUND((ROUND((ROUND((ROUND((_15_同援日０．５＿２．０*_15・基礎２),0)*(1+_15・B早朝)),0)*(1+_15・盲ろう)),0)*(1+_15・区３)),0)</f>
        <v>989</v>
      </c>
      <c r="AC93" s="69"/>
    </row>
    <row r="94" spans="1:29" ht="16.5" customHeight="1" x14ac:dyDescent="0.3">
      <c r="A94" s="2">
        <v>15</v>
      </c>
      <c r="B94" s="2">
        <v>8926</v>
      </c>
      <c r="C94" s="60" t="s">
        <v>9527</v>
      </c>
      <c r="D94" s="1"/>
      <c r="E94" s="68"/>
      <c r="F94" s="70"/>
      <c r="G94" s="1"/>
      <c r="H94" s="68"/>
      <c r="I94" s="70"/>
      <c r="J94" s="106" t="s">
        <v>16970</v>
      </c>
      <c r="K94" s="57" t="s">
        <v>1</v>
      </c>
      <c r="L94" s="58">
        <v>0.9</v>
      </c>
      <c r="M94" s="83" t="s">
        <v>5895</v>
      </c>
      <c r="N94" s="64" t="s">
        <v>1</v>
      </c>
      <c r="O94" s="65">
        <v>1</v>
      </c>
      <c r="P94" s="99"/>
      <c r="Q94" s="70"/>
      <c r="R94" s="99"/>
      <c r="S94" s="70"/>
      <c r="T94" s="66"/>
      <c r="U94" s="57"/>
      <c r="V94" s="58"/>
      <c r="W94" s="77"/>
      <c r="X94" s="66"/>
      <c r="Y94" s="57"/>
      <c r="Z94" s="58"/>
      <c r="AA94" s="77"/>
      <c r="AB94" s="228">
        <f>ROUND((ROUND((ROUND((ROUND((ROUND((_15_同援日０．５*_15・基礎２),0)*_15・２人),0)*(1+_15・A深夜)),0)*(1+_15・盲ろう)),0)*(1+_15・区３)),0)+ROUND((ROUND((ROUND((ROUND((ROUND((_15_同援日０．５＿２．０*_15・基礎２),0)*_15・２人),0)*(1+_15・B早朝)),0)*(1+_15・盲ろう)),0)*(1+_15・区３)),0)</f>
        <v>989</v>
      </c>
      <c r="AC94" s="69"/>
    </row>
    <row r="95" spans="1:29" ht="16.5" customHeight="1" x14ac:dyDescent="0.3">
      <c r="A95" s="2">
        <v>15</v>
      </c>
      <c r="B95" s="2">
        <v>8927</v>
      </c>
      <c r="C95" s="60" t="s">
        <v>9526</v>
      </c>
      <c r="D95" s="1"/>
      <c r="E95" s="68"/>
      <c r="F95" s="70"/>
      <c r="G95" s="1"/>
      <c r="H95" s="68"/>
      <c r="I95" s="70"/>
      <c r="J95" s="61"/>
      <c r="K95" s="62"/>
      <c r="L95" s="63"/>
      <c r="M95" s="85"/>
      <c r="N95" s="64"/>
      <c r="O95" s="65"/>
      <c r="P95" s="99"/>
      <c r="Q95" s="70"/>
      <c r="R95" s="99"/>
      <c r="S95" s="70"/>
      <c r="T95" s="61"/>
      <c r="U95" s="62"/>
      <c r="V95" s="63"/>
      <c r="W95" s="75"/>
      <c r="X95" s="61"/>
      <c r="Y95" s="62"/>
      <c r="Z95" s="63"/>
      <c r="AA95" s="75"/>
      <c r="AB95" s="228">
        <f>ROUND((ROUND((_15_同援日０．５*(1+_15・A深夜)),0)*(1+_15・区４)),0)+ROUND((ROUND((_15_同援日０．５＿２．０*(1+_15・B早朝)),0)*(1+_15・区４)),0)</f>
        <v>1023</v>
      </c>
      <c r="AC95" s="69"/>
    </row>
    <row r="96" spans="1:29" ht="16.5" customHeight="1" x14ac:dyDescent="0.3">
      <c r="A96" s="2">
        <v>15</v>
      </c>
      <c r="B96" s="2">
        <v>8928</v>
      </c>
      <c r="C96" s="60" t="s">
        <v>9525</v>
      </c>
      <c r="D96" s="1"/>
      <c r="E96" s="68"/>
      <c r="F96" s="70"/>
      <c r="G96" s="1"/>
      <c r="H96" s="68"/>
      <c r="I96" s="70"/>
      <c r="J96" s="66"/>
      <c r="K96" s="57"/>
      <c r="L96" s="58"/>
      <c r="M96" s="83" t="s">
        <v>5895</v>
      </c>
      <c r="N96" s="64" t="s">
        <v>1</v>
      </c>
      <c r="O96" s="65">
        <v>1</v>
      </c>
      <c r="P96" s="99"/>
      <c r="Q96" s="70"/>
      <c r="R96" s="99"/>
      <c r="S96" s="70"/>
      <c r="T96" s="67"/>
      <c r="U96" s="68"/>
      <c r="V96" s="76"/>
      <c r="W96" s="70"/>
      <c r="X96" s="67"/>
      <c r="Y96" s="68"/>
      <c r="Z96" s="76"/>
      <c r="AA96" s="70"/>
      <c r="AB96" s="228">
        <f>ROUND((ROUND((ROUND((_15_同援日０．５*_15・２人),0)*(1+_15・A深夜)),0)*(1+_15・区４)),0)+ROUND((ROUND((ROUND((_15_同援日０．５＿２．０*_15・２人),0)*(1+_15・B早朝)),0)*(1+_15・区４)),0)</f>
        <v>1023</v>
      </c>
      <c r="AC96" s="69"/>
    </row>
    <row r="97" spans="1:29" ht="16.5" customHeight="1" x14ac:dyDescent="0.3">
      <c r="A97" s="2">
        <v>15</v>
      </c>
      <c r="B97" s="2">
        <v>8929</v>
      </c>
      <c r="C97" s="60" t="s">
        <v>9524</v>
      </c>
      <c r="D97" s="1"/>
      <c r="E97" s="68"/>
      <c r="F97" s="70"/>
      <c r="G97" s="1"/>
      <c r="H97" s="68"/>
      <c r="I97" s="70"/>
      <c r="J97" s="74" t="s">
        <v>16971</v>
      </c>
      <c r="K97" s="62"/>
      <c r="L97" s="63"/>
      <c r="M97" s="85"/>
      <c r="N97" s="64"/>
      <c r="O97" s="65"/>
      <c r="P97" s="99"/>
      <c r="Q97" s="70"/>
      <c r="R97" s="99"/>
      <c r="S97" s="70"/>
      <c r="T97" s="67"/>
      <c r="U97" s="68"/>
      <c r="V97" s="76"/>
      <c r="W97" s="70"/>
      <c r="X97" s="1" t="s">
        <v>18027</v>
      </c>
      <c r="Y97" s="68"/>
      <c r="Z97" s="76"/>
      <c r="AA97" s="70"/>
      <c r="AB97" s="228">
        <f>ROUND((ROUND((ROUND((_15_同援日０．５*_15・基礎２),0)*(1+_15・A深夜)),0)*(1+_15・区４)),0)+ROUND((ROUND((ROUND((_15_同援日０．５＿２．０*_15・基礎２),0)*(1+_15・B早朝)),0)*(1+_15・区４)),0)</f>
        <v>923</v>
      </c>
      <c r="AC97" s="69"/>
    </row>
    <row r="98" spans="1:29" ht="16.5" customHeight="1" x14ac:dyDescent="0.3">
      <c r="A98" s="2">
        <v>15</v>
      </c>
      <c r="B98" s="2">
        <v>8930</v>
      </c>
      <c r="C98" s="60" t="s">
        <v>9523</v>
      </c>
      <c r="D98" s="1"/>
      <c r="E98" s="68"/>
      <c r="F98" s="70"/>
      <c r="G98" s="1"/>
      <c r="H98" s="68"/>
      <c r="I98" s="70"/>
      <c r="J98" s="106" t="s">
        <v>16970</v>
      </c>
      <c r="K98" s="57" t="s">
        <v>1</v>
      </c>
      <c r="L98" s="58">
        <v>0.9</v>
      </c>
      <c r="M98" s="83" t="s">
        <v>5895</v>
      </c>
      <c r="N98" s="64" t="s">
        <v>1</v>
      </c>
      <c r="O98" s="65">
        <v>1</v>
      </c>
      <c r="P98" s="99"/>
      <c r="Q98" s="70"/>
      <c r="R98" s="99"/>
      <c r="S98" s="70"/>
      <c r="T98" s="66"/>
      <c r="U98" s="57"/>
      <c r="V98" s="58"/>
      <c r="W98" s="77"/>
      <c r="X98" s="1" t="s">
        <v>18026</v>
      </c>
      <c r="Y98" s="68"/>
      <c r="Z98" s="76"/>
      <c r="AA98" s="70"/>
      <c r="AB98" s="228">
        <f>ROUND((ROUND((ROUND((ROUND((_15_同援日０．５*_15・基礎２),0)*_15・２人),0)*(1+_15・A深夜)),0)*(1+_15・区４)),0)+ROUND((ROUND((ROUND((ROUND((_15_同援日０．５＿２．０*_15・基礎２),0)*_15・２人),0)*(1+_15・B早朝)),0)*(1+_15・区４)),0)</f>
        <v>923</v>
      </c>
      <c r="AC98" s="69"/>
    </row>
    <row r="99" spans="1:29" ht="16.5" customHeight="1" x14ac:dyDescent="0.3">
      <c r="A99" s="2">
        <v>15</v>
      </c>
      <c r="B99" s="2">
        <v>8931</v>
      </c>
      <c r="C99" s="60" t="s">
        <v>9522</v>
      </c>
      <c r="D99" s="1"/>
      <c r="E99" s="68"/>
      <c r="F99" s="70"/>
      <c r="G99" s="1"/>
      <c r="H99" s="68"/>
      <c r="I99" s="70"/>
      <c r="J99" s="61"/>
      <c r="K99" s="62"/>
      <c r="L99" s="63"/>
      <c r="M99" s="85"/>
      <c r="N99" s="64"/>
      <c r="O99" s="65"/>
      <c r="P99" s="99"/>
      <c r="Q99" s="70"/>
      <c r="R99" s="99"/>
      <c r="S99" s="70"/>
      <c r="T99" s="74" t="s">
        <v>18025</v>
      </c>
      <c r="U99" s="62"/>
      <c r="V99" s="63"/>
      <c r="W99" s="75"/>
      <c r="X99" s="67"/>
      <c r="Y99" s="68" t="s">
        <v>1</v>
      </c>
      <c r="Z99" s="76">
        <v>0.4</v>
      </c>
      <c r="AA99" s="70" t="s">
        <v>422</v>
      </c>
      <c r="AB99" s="228">
        <f>ROUND((ROUND((ROUND((_15_同援日０．５*(1+_15・A深夜)),0)*(1+_15・盲ろう)),0)*(1+_15・区４)),0)+ROUND((ROUND((ROUND((_15_同援日０．５＿２．０*(1+_15・B早朝)),0)*(1+_15・盲ろう)),0)*(1+_15・区４)),0)</f>
        <v>1280</v>
      </c>
      <c r="AC99" s="69"/>
    </row>
    <row r="100" spans="1:29" ht="16.5" customHeight="1" x14ac:dyDescent="0.3">
      <c r="A100" s="2">
        <v>15</v>
      </c>
      <c r="B100" s="2">
        <v>8932</v>
      </c>
      <c r="C100" s="60" t="s">
        <v>9521</v>
      </c>
      <c r="D100" s="1"/>
      <c r="E100" s="68"/>
      <c r="F100" s="70"/>
      <c r="G100" s="1"/>
      <c r="H100" s="68"/>
      <c r="I100" s="70"/>
      <c r="J100" s="66"/>
      <c r="K100" s="57"/>
      <c r="L100" s="58"/>
      <c r="M100" s="83" t="s">
        <v>5895</v>
      </c>
      <c r="N100" s="64" t="s">
        <v>1</v>
      </c>
      <c r="O100" s="65">
        <v>1</v>
      </c>
      <c r="P100" s="99"/>
      <c r="Q100" s="70"/>
      <c r="R100" s="99"/>
      <c r="S100" s="70"/>
      <c r="T100" s="94" t="s">
        <v>18024</v>
      </c>
      <c r="U100" s="68"/>
      <c r="V100" s="76"/>
      <c r="W100" s="70"/>
      <c r="X100" s="67"/>
      <c r="Y100" s="68"/>
      <c r="Z100" s="76"/>
      <c r="AA100" s="70"/>
      <c r="AB100" s="228">
        <f>ROUND((ROUND((ROUND((ROUND((_15_同援日０．５*_15・２人),0)*(1+_15・A深夜)),0)*(1+_15・盲ろう)),0)*(1+_15・区４)),0)+ROUND((ROUND((ROUND((ROUND((_15_同援日０．５＿２．０*_15・２人),0)*(1+_15・B早朝)),0)*(1+_15・盲ろう)),0)*(1+_15・区４)),0)</f>
        <v>1280</v>
      </c>
      <c r="AC100" s="69"/>
    </row>
    <row r="101" spans="1:29" ht="16.5" customHeight="1" x14ac:dyDescent="0.3">
      <c r="A101" s="2">
        <v>15</v>
      </c>
      <c r="B101" s="2">
        <v>8933</v>
      </c>
      <c r="C101" s="60" t="s">
        <v>9520</v>
      </c>
      <c r="D101" s="1"/>
      <c r="E101" s="68"/>
      <c r="F101" s="70"/>
      <c r="G101" s="1"/>
      <c r="H101" s="68"/>
      <c r="I101" s="70"/>
      <c r="J101" s="74" t="s">
        <v>16971</v>
      </c>
      <c r="K101" s="62"/>
      <c r="L101" s="63"/>
      <c r="M101" s="85"/>
      <c r="N101" s="64"/>
      <c r="O101" s="65"/>
      <c r="P101" s="99"/>
      <c r="Q101" s="70"/>
      <c r="R101" s="99"/>
      <c r="S101" s="70"/>
      <c r="T101" s="67"/>
      <c r="U101" s="68" t="s">
        <v>1</v>
      </c>
      <c r="V101" s="76">
        <v>0.25</v>
      </c>
      <c r="W101" s="70" t="s">
        <v>422</v>
      </c>
      <c r="X101" s="67"/>
      <c r="Y101" s="68"/>
      <c r="Z101" s="76"/>
      <c r="AA101" s="70"/>
      <c r="AB101" s="228">
        <f>ROUND((ROUND((ROUND((ROUND((_15_同援日０．５*_15・基礎２),0)*(1+_15・A深夜)),0)*(1+_15・盲ろう)),0)*(1+_15・区４)),0)+ROUND((ROUND((ROUND((ROUND((_15_同援日０．５＿２．０*_15・基礎２),0)*(1+_15・B早朝)),0)*(1+_15・盲ろう)),0)*(1+_15・区４)),0)</f>
        <v>1153</v>
      </c>
      <c r="AC101" s="69"/>
    </row>
    <row r="102" spans="1:29" ht="16.5" customHeight="1" x14ac:dyDescent="0.3">
      <c r="A102" s="2">
        <v>15</v>
      </c>
      <c r="B102" s="2">
        <v>8934</v>
      </c>
      <c r="C102" s="60" t="s">
        <v>9519</v>
      </c>
      <c r="D102" s="1"/>
      <c r="E102" s="68"/>
      <c r="F102" s="70"/>
      <c r="G102" s="81"/>
      <c r="H102" s="57"/>
      <c r="I102" s="77"/>
      <c r="J102" s="106" t="s">
        <v>16970</v>
      </c>
      <c r="K102" s="57" t="s">
        <v>1</v>
      </c>
      <c r="L102" s="58">
        <v>0.9</v>
      </c>
      <c r="M102" s="83" t="s">
        <v>5895</v>
      </c>
      <c r="N102" s="64" t="s">
        <v>1</v>
      </c>
      <c r="O102" s="65">
        <v>1</v>
      </c>
      <c r="P102" s="99"/>
      <c r="Q102" s="70"/>
      <c r="R102" s="99"/>
      <c r="S102" s="70"/>
      <c r="T102" s="66"/>
      <c r="U102" s="57"/>
      <c r="V102" s="58"/>
      <c r="W102" s="77"/>
      <c r="X102" s="66"/>
      <c r="Y102" s="57"/>
      <c r="Z102" s="58"/>
      <c r="AA102" s="77"/>
      <c r="AB102" s="228">
        <f>ROUND((ROUND((ROUND((ROUND((ROUND((_15_同援日０．５*_15・基礎２),0)*_15・２人),0)*(1+_15・A深夜)),0)*(1+_15・盲ろう)),0)*(1+_15・区４)),0)+ROUND((ROUND((ROUND((ROUND((ROUND((_15_同援日０．５＿２．０*_15・基礎２),0)*_15・２人),0)*(1+_15・B早朝)),0)*(1+_15・盲ろう)),0)*(1+_15・区４)),0)</f>
        <v>1153</v>
      </c>
      <c r="AC102" s="69"/>
    </row>
    <row r="103" spans="1:29" ht="16.5" customHeight="1" x14ac:dyDescent="0.3">
      <c r="A103" s="2">
        <v>15</v>
      </c>
      <c r="B103" s="2">
        <v>8935</v>
      </c>
      <c r="C103" s="60" t="s">
        <v>9518</v>
      </c>
      <c r="D103" s="1"/>
      <c r="E103" s="68"/>
      <c r="F103" s="70"/>
      <c r="G103" s="233" t="s">
        <v>16976</v>
      </c>
      <c r="H103" s="62"/>
      <c r="I103" s="75"/>
      <c r="J103" s="61"/>
      <c r="K103" s="62"/>
      <c r="L103" s="63"/>
      <c r="M103" s="85"/>
      <c r="N103" s="64"/>
      <c r="O103" s="65"/>
      <c r="P103" s="99"/>
      <c r="Q103" s="70"/>
      <c r="R103" s="99"/>
      <c r="S103" s="70"/>
      <c r="T103" s="61"/>
      <c r="U103" s="62"/>
      <c r="V103" s="63"/>
      <c r="W103" s="75"/>
      <c r="X103" s="61"/>
      <c r="Y103" s="62"/>
      <c r="Z103" s="63"/>
      <c r="AA103" s="75"/>
      <c r="AB103" s="228">
        <f>ROUND((_15_同援日０．５*(1+_15・A深夜)),0)+ROUND((_15_同援日０．５＿２．５*(1+_15・B早朝)),0)</f>
        <v>810</v>
      </c>
      <c r="AC103" s="69"/>
    </row>
    <row r="104" spans="1:29" ht="16.5" customHeight="1" x14ac:dyDescent="0.3">
      <c r="A104" s="2">
        <v>15</v>
      </c>
      <c r="B104" s="2">
        <v>8936</v>
      </c>
      <c r="C104" s="60" t="s">
        <v>9517</v>
      </c>
      <c r="D104" s="1"/>
      <c r="E104" s="68"/>
      <c r="F104" s="70"/>
      <c r="G104" s="1" t="s">
        <v>16974</v>
      </c>
      <c r="H104" s="68"/>
      <c r="I104" s="70"/>
      <c r="J104" s="66"/>
      <c r="K104" s="57"/>
      <c r="L104" s="58"/>
      <c r="M104" s="83" t="s">
        <v>5895</v>
      </c>
      <c r="N104" s="64" t="s">
        <v>1</v>
      </c>
      <c r="O104" s="65">
        <v>1</v>
      </c>
      <c r="P104" s="99"/>
      <c r="Q104" s="70"/>
      <c r="R104" s="99"/>
      <c r="S104" s="70"/>
      <c r="T104" s="67"/>
      <c r="U104" s="68"/>
      <c r="V104" s="76"/>
      <c r="W104" s="70"/>
      <c r="X104" s="67"/>
      <c r="Y104" s="68"/>
      <c r="Z104" s="76"/>
      <c r="AA104" s="70"/>
      <c r="AB104" s="228">
        <f>ROUND((ROUND((_15_同援日０．５*_15・２人),0)*(1+_15・A深夜)),0)+ROUND((ROUND((_15_同援日０．５＿２．５*_15・２人),0)*(1+_15・B早朝)),0)</f>
        <v>810</v>
      </c>
      <c r="AC104" s="69"/>
    </row>
    <row r="105" spans="1:29" ht="16.5" customHeight="1" x14ac:dyDescent="0.3">
      <c r="A105" s="2">
        <v>15</v>
      </c>
      <c r="B105" s="2">
        <v>8937</v>
      </c>
      <c r="C105" s="60" t="s">
        <v>9516</v>
      </c>
      <c r="D105" s="1"/>
      <c r="E105" s="68"/>
      <c r="F105" s="70"/>
      <c r="G105" s="1" t="s">
        <v>8499</v>
      </c>
      <c r="H105" s="68"/>
      <c r="I105" s="70"/>
      <c r="J105" s="74" t="s">
        <v>16971</v>
      </c>
      <c r="K105" s="62"/>
      <c r="L105" s="63"/>
      <c r="M105" s="85"/>
      <c r="N105" s="64"/>
      <c r="O105" s="65"/>
      <c r="P105" s="99"/>
      <c r="Q105" s="70"/>
      <c r="R105" s="99"/>
      <c r="S105" s="70"/>
      <c r="T105" s="67"/>
      <c r="U105" s="68"/>
      <c r="V105" s="76"/>
      <c r="W105" s="70"/>
      <c r="X105" s="67"/>
      <c r="Y105" s="68"/>
      <c r="Z105" s="76"/>
      <c r="AA105" s="70"/>
      <c r="AB105" s="228">
        <f>ROUND((ROUND((_15_同援日０．５*_15・基礎２),0)*(1+_15・A深夜)),0)+ROUND((ROUND((_15_同援日０．５＿２．５*_15・基礎２),0)*(1+_15・B早朝)),0)</f>
        <v>729</v>
      </c>
      <c r="AC105" s="69"/>
    </row>
    <row r="106" spans="1:29" ht="16.5" customHeight="1" x14ac:dyDescent="0.3">
      <c r="A106" s="2">
        <v>15</v>
      </c>
      <c r="B106" s="2">
        <v>8938</v>
      </c>
      <c r="C106" s="60" t="s">
        <v>9515</v>
      </c>
      <c r="D106" s="1"/>
      <c r="E106" s="68"/>
      <c r="F106" s="70"/>
      <c r="G106" s="1"/>
      <c r="H106" s="227">
        <v>427</v>
      </c>
      <c r="I106" s="70" t="s">
        <v>0</v>
      </c>
      <c r="J106" s="106" t="s">
        <v>16970</v>
      </c>
      <c r="K106" s="57" t="s">
        <v>1</v>
      </c>
      <c r="L106" s="58">
        <v>0.9</v>
      </c>
      <c r="M106" s="83" t="s">
        <v>5895</v>
      </c>
      <c r="N106" s="64" t="s">
        <v>1</v>
      </c>
      <c r="O106" s="65">
        <v>1</v>
      </c>
      <c r="P106" s="99"/>
      <c r="Q106" s="70"/>
      <c r="R106" s="99"/>
      <c r="S106" s="70"/>
      <c r="T106" s="66"/>
      <c r="U106" s="57"/>
      <c r="V106" s="58"/>
      <c r="W106" s="77"/>
      <c r="X106" s="67"/>
      <c r="Y106" s="68"/>
      <c r="Z106" s="76"/>
      <c r="AA106" s="70"/>
      <c r="AB106" s="228">
        <f>ROUND((ROUND((ROUND((_15_同援日０．５*_15・基礎２),0)*_15・２人),0)*(1+_15・A深夜)),0)+ROUND((ROUND((ROUND((_15_同援日０．５＿２．５*_15・基礎２),0)*_15・２人),0)*(1+_15・B早朝)),0)</f>
        <v>729</v>
      </c>
      <c r="AC106" s="69"/>
    </row>
    <row r="107" spans="1:29" ht="16.5" customHeight="1" x14ac:dyDescent="0.3">
      <c r="A107" s="2">
        <v>15</v>
      </c>
      <c r="B107" s="2">
        <v>8939</v>
      </c>
      <c r="C107" s="60" t="s">
        <v>9514</v>
      </c>
      <c r="D107" s="1"/>
      <c r="E107" s="68"/>
      <c r="F107" s="70"/>
      <c r="G107" s="1"/>
      <c r="H107" s="68"/>
      <c r="I107" s="70"/>
      <c r="J107" s="61"/>
      <c r="K107" s="62"/>
      <c r="L107" s="63"/>
      <c r="M107" s="85"/>
      <c r="N107" s="64"/>
      <c r="O107" s="65"/>
      <c r="P107" s="99"/>
      <c r="Q107" s="70"/>
      <c r="R107" s="99"/>
      <c r="S107" s="70"/>
      <c r="T107" s="74" t="s">
        <v>18025</v>
      </c>
      <c r="U107" s="62"/>
      <c r="V107" s="63"/>
      <c r="W107" s="75"/>
      <c r="X107" s="67"/>
      <c r="Y107" s="68"/>
      <c r="Z107" s="76"/>
      <c r="AA107" s="70"/>
      <c r="AB107" s="228">
        <f>ROUND((ROUND((_15_同援日０．５*(1+_15・A深夜)),0)*(1+_15・盲ろう)),0)+ROUND((ROUND((_15_同援日０．５＿２．５*(1+_15・B早朝)),0)*(1+_15・盲ろう)),0)</f>
        <v>1013</v>
      </c>
      <c r="AC107" s="69"/>
    </row>
    <row r="108" spans="1:29" ht="16.5" customHeight="1" x14ac:dyDescent="0.3">
      <c r="A108" s="2">
        <v>15</v>
      </c>
      <c r="B108" s="2">
        <v>8940</v>
      </c>
      <c r="C108" s="60" t="s">
        <v>9513</v>
      </c>
      <c r="D108" s="1"/>
      <c r="E108" s="68"/>
      <c r="F108" s="70"/>
      <c r="G108" s="1"/>
      <c r="H108" s="68"/>
      <c r="I108" s="70"/>
      <c r="J108" s="66"/>
      <c r="K108" s="57"/>
      <c r="L108" s="58"/>
      <c r="M108" s="83" t="s">
        <v>5895</v>
      </c>
      <c r="N108" s="64" t="s">
        <v>1</v>
      </c>
      <c r="O108" s="65">
        <v>1</v>
      </c>
      <c r="P108" s="99"/>
      <c r="Q108" s="70"/>
      <c r="R108" s="99"/>
      <c r="S108" s="70"/>
      <c r="T108" s="94" t="s">
        <v>18024</v>
      </c>
      <c r="U108" s="68"/>
      <c r="V108" s="76"/>
      <c r="W108" s="70"/>
      <c r="X108" s="67"/>
      <c r="Y108" s="68"/>
      <c r="Z108" s="76"/>
      <c r="AA108" s="70"/>
      <c r="AB108" s="228">
        <f>ROUND((ROUND((ROUND((_15_同援日０．５*_15・２人),0)*(1+_15・A深夜)),0)*(1+_15・盲ろう)),0)+ROUND((ROUND((ROUND((_15_同援日０．５＿２．５*_15・２人),0)*(1+_15・B早朝)),0)*(1+_15・盲ろう)),0)</f>
        <v>1013</v>
      </c>
      <c r="AC108" s="69"/>
    </row>
    <row r="109" spans="1:29" ht="16.5" customHeight="1" x14ac:dyDescent="0.3">
      <c r="A109" s="2">
        <v>15</v>
      </c>
      <c r="B109" s="2">
        <v>8941</v>
      </c>
      <c r="C109" s="60" t="s">
        <v>9512</v>
      </c>
      <c r="D109" s="1"/>
      <c r="E109" s="68"/>
      <c r="F109" s="70"/>
      <c r="G109" s="1"/>
      <c r="H109" s="68"/>
      <c r="I109" s="70"/>
      <c r="J109" s="74" t="s">
        <v>16971</v>
      </c>
      <c r="K109" s="62"/>
      <c r="L109" s="63"/>
      <c r="M109" s="85"/>
      <c r="N109" s="64"/>
      <c r="O109" s="65"/>
      <c r="P109" s="99"/>
      <c r="Q109" s="70"/>
      <c r="R109" s="99"/>
      <c r="S109" s="70"/>
      <c r="T109" s="67"/>
      <c r="U109" s="68" t="s">
        <v>1</v>
      </c>
      <c r="V109" s="76">
        <v>0.25</v>
      </c>
      <c r="W109" s="70" t="s">
        <v>422</v>
      </c>
      <c r="X109" s="67"/>
      <c r="Y109" s="68"/>
      <c r="Z109" s="76"/>
      <c r="AA109" s="70"/>
      <c r="AB109" s="228">
        <f>ROUND((ROUND((ROUND((_15_同援日０．５*_15・基礎２),0)*(1+_15・A深夜)),0)*(1+_15・盲ろう)),0)+ROUND((ROUND((ROUND((_15_同援日０．５＿２．５*_15・基礎２),0)*(1+_15・B早朝)),0)*(1+_15・盲ろう)),0)</f>
        <v>911</v>
      </c>
      <c r="AC109" s="69"/>
    </row>
    <row r="110" spans="1:29" ht="16.5" customHeight="1" x14ac:dyDescent="0.3">
      <c r="A110" s="2">
        <v>15</v>
      </c>
      <c r="B110" s="2">
        <v>8942</v>
      </c>
      <c r="C110" s="60" t="s">
        <v>9511</v>
      </c>
      <c r="D110" s="1"/>
      <c r="E110" s="68"/>
      <c r="F110" s="70"/>
      <c r="G110" s="1"/>
      <c r="H110" s="68"/>
      <c r="I110" s="70"/>
      <c r="J110" s="106" t="s">
        <v>16970</v>
      </c>
      <c r="K110" s="57" t="s">
        <v>1</v>
      </c>
      <c r="L110" s="58">
        <v>0.9</v>
      </c>
      <c r="M110" s="83" t="s">
        <v>5895</v>
      </c>
      <c r="N110" s="64" t="s">
        <v>1</v>
      </c>
      <c r="O110" s="65">
        <v>1</v>
      </c>
      <c r="P110" s="99"/>
      <c r="Q110" s="70"/>
      <c r="R110" s="99"/>
      <c r="S110" s="70"/>
      <c r="T110" s="66"/>
      <c r="U110" s="57"/>
      <c r="V110" s="58"/>
      <c r="W110" s="77"/>
      <c r="X110" s="66"/>
      <c r="Y110" s="57"/>
      <c r="Z110" s="58"/>
      <c r="AA110" s="77"/>
      <c r="AB110" s="228">
        <f>ROUND((ROUND((ROUND((ROUND((_15_同援日０．５*_15・基礎２),0)*_15・２人),0)*(1+_15・A深夜)),0)*(1+_15・盲ろう)),0)+ROUND((ROUND((ROUND((ROUND((_15_同援日０．５＿２．５*_15・基礎２),0)*_15・２人),0)*(1+_15・B早朝)),0)*(1+_15・盲ろう)),0)</f>
        <v>911</v>
      </c>
      <c r="AC110" s="69"/>
    </row>
    <row r="111" spans="1:29" ht="16.5" customHeight="1" x14ac:dyDescent="0.3">
      <c r="A111" s="2">
        <v>15</v>
      </c>
      <c r="B111" s="2">
        <v>8943</v>
      </c>
      <c r="C111" s="60" t="s">
        <v>9510</v>
      </c>
      <c r="D111" s="1"/>
      <c r="E111" s="68"/>
      <c r="F111" s="70"/>
      <c r="G111" s="1"/>
      <c r="H111" s="68"/>
      <c r="I111" s="70"/>
      <c r="J111" s="61"/>
      <c r="K111" s="62"/>
      <c r="L111" s="63"/>
      <c r="M111" s="85"/>
      <c r="N111" s="64"/>
      <c r="O111" s="65"/>
      <c r="P111" s="99"/>
      <c r="Q111" s="70"/>
      <c r="R111" s="99"/>
      <c r="S111" s="70"/>
      <c r="T111" s="61"/>
      <c r="U111" s="62"/>
      <c r="V111" s="63"/>
      <c r="W111" s="75"/>
      <c r="X111" s="61"/>
      <c r="Y111" s="62"/>
      <c r="Z111" s="63"/>
      <c r="AA111" s="75"/>
      <c r="AB111" s="228">
        <f>ROUND((ROUND((_15_同援日０．５*(1+_15・A深夜)),0)*(1+_15・区３)),0)+ROUND((ROUND((_15_同援日０．５＿２．５*(1+_15・B早朝)),0)*(1+_15・区３)),0)</f>
        <v>972</v>
      </c>
      <c r="AC111" s="69"/>
    </row>
    <row r="112" spans="1:29" ht="16.5" customHeight="1" x14ac:dyDescent="0.3">
      <c r="A112" s="2">
        <v>15</v>
      </c>
      <c r="B112" s="2">
        <v>8944</v>
      </c>
      <c r="C112" s="60" t="s">
        <v>9509</v>
      </c>
      <c r="D112" s="1"/>
      <c r="E112" s="68"/>
      <c r="F112" s="70"/>
      <c r="G112" s="1"/>
      <c r="H112" s="68"/>
      <c r="I112" s="70"/>
      <c r="J112" s="66"/>
      <c r="K112" s="57"/>
      <c r="L112" s="58"/>
      <c r="M112" s="83" t="s">
        <v>5895</v>
      </c>
      <c r="N112" s="64" t="s">
        <v>1</v>
      </c>
      <c r="O112" s="65">
        <v>1</v>
      </c>
      <c r="P112" s="99"/>
      <c r="Q112" s="70"/>
      <c r="R112" s="99"/>
      <c r="S112" s="70"/>
      <c r="T112" s="67"/>
      <c r="U112" s="68"/>
      <c r="V112" s="76"/>
      <c r="W112" s="70"/>
      <c r="X112" s="67"/>
      <c r="Y112" s="68"/>
      <c r="Z112" s="76"/>
      <c r="AA112" s="70"/>
      <c r="AB112" s="228">
        <f>ROUND((ROUND((ROUND((_15_同援日０．５*_15・２人),0)*(1+_15・A深夜)),0)*(1+_15・区３)),0)+ROUND((ROUND((ROUND((_15_同援日０．５＿２．５*_15・２人),0)*(1+_15・B早朝)),0)*(1+_15・区３)),0)</f>
        <v>972</v>
      </c>
      <c r="AC112" s="69"/>
    </row>
    <row r="113" spans="1:29" ht="16.5" customHeight="1" x14ac:dyDescent="0.3">
      <c r="A113" s="2">
        <v>15</v>
      </c>
      <c r="B113" s="2">
        <v>8945</v>
      </c>
      <c r="C113" s="60" t="s">
        <v>9508</v>
      </c>
      <c r="D113" s="1"/>
      <c r="E113" s="68"/>
      <c r="F113" s="70"/>
      <c r="G113" s="1"/>
      <c r="H113" s="68"/>
      <c r="I113" s="70"/>
      <c r="J113" s="74" t="s">
        <v>16971</v>
      </c>
      <c r="K113" s="62"/>
      <c r="L113" s="63"/>
      <c r="M113" s="85"/>
      <c r="N113" s="64"/>
      <c r="O113" s="65"/>
      <c r="P113" s="99"/>
      <c r="Q113" s="70"/>
      <c r="R113" s="99"/>
      <c r="S113" s="70"/>
      <c r="T113" s="67"/>
      <c r="U113" s="68"/>
      <c r="V113" s="76"/>
      <c r="W113" s="70"/>
      <c r="X113" s="1" t="s">
        <v>18028</v>
      </c>
      <c r="Y113" s="68"/>
      <c r="Z113" s="76"/>
      <c r="AA113" s="70"/>
      <c r="AB113" s="228">
        <f>ROUND((ROUND((ROUND((_15_同援日０．５*_15・基礎２),0)*(1+_15・A深夜)),0)*(1+_15・区３)),0)+ROUND((ROUND((ROUND((_15_同援日０．５＿２．５*_15・基礎２),0)*(1+_15・B早朝)),0)*(1+_15・区３)),0)</f>
        <v>875</v>
      </c>
      <c r="AC113" s="69"/>
    </row>
    <row r="114" spans="1:29" ht="16.5" customHeight="1" x14ac:dyDescent="0.3">
      <c r="A114" s="2">
        <v>15</v>
      </c>
      <c r="B114" s="2">
        <v>8946</v>
      </c>
      <c r="C114" s="60" t="s">
        <v>9507</v>
      </c>
      <c r="D114" s="1"/>
      <c r="E114" s="68"/>
      <c r="F114" s="70"/>
      <c r="G114" s="1"/>
      <c r="H114" s="68"/>
      <c r="I114" s="70"/>
      <c r="J114" s="106" t="s">
        <v>16970</v>
      </c>
      <c r="K114" s="57" t="s">
        <v>1</v>
      </c>
      <c r="L114" s="58">
        <v>0.9</v>
      </c>
      <c r="M114" s="83" t="s">
        <v>5895</v>
      </c>
      <c r="N114" s="64" t="s">
        <v>1</v>
      </c>
      <c r="O114" s="65">
        <v>1</v>
      </c>
      <c r="P114" s="99"/>
      <c r="Q114" s="70"/>
      <c r="R114" s="99"/>
      <c r="S114" s="70"/>
      <c r="T114" s="66"/>
      <c r="U114" s="57"/>
      <c r="V114" s="58"/>
      <c r="W114" s="77"/>
      <c r="X114" s="1" t="s">
        <v>18026</v>
      </c>
      <c r="Y114" s="68"/>
      <c r="Z114" s="76"/>
      <c r="AA114" s="70"/>
      <c r="AB114" s="228">
        <f>ROUND((ROUND((ROUND((ROUND((_15_同援日０．５*_15・基礎２),0)*_15・２人),0)*(1+_15・A深夜)),0)*(1+_15・区３)),0)+ROUND((ROUND((ROUND((ROUND((_15_同援日０．５＿２．５*_15・基礎２),0)*_15・２人),0)*(1+_15・B早朝)),0)*(1+_15・区３)),0)</f>
        <v>875</v>
      </c>
      <c r="AC114" s="69"/>
    </row>
    <row r="115" spans="1:29" ht="16.5" customHeight="1" x14ac:dyDescent="0.3">
      <c r="A115" s="2">
        <v>15</v>
      </c>
      <c r="B115" s="2">
        <v>8947</v>
      </c>
      <c r="C115" s="60" t="s">
        <v>9506</v>
      </c>
      <c r="D115" s="1"/>
      <c r="E115" s="68"/>
      <c r="F115" s="70"/>
      <c r="G115" s="1"/>
      <c r="H115" s="68"/>
      <c r="I115" s="70"/>
      <c r="J115" s="61"/>
      <c r="K115" s="62"/>
      <c r="L115" s="63"/>
      <c r="M115" s="85"/>
      <c r="N115" s="64"/>
      <c r="O115" s="65"/>
      <c r="P115" s="99"/>
      <c r="Q115" s="70"/>
      <c r="R115" s="99"/>
      <c r="S115" s="70"/>
      <c r="T115" s="74" t="s">
        <v>18025</v>
      </c>
      <c r="U115" s="62"/>
      <c r="V115" s="63"/>
      <c r="W115" s="75"/>
      <c r="X115" s="67"/>
      <c r="Y115" s="68" t="s">
        <v>1</v>
      </c>
      <c r="Z115" s="76">
        <v>0.2</v>
      </c>
      <c r="AA115" s="70" t="s">
        <v>422</v>
      </c>
      <c r="AB115" s="228">
        <f>ROUND((ROUND((ROUND((_15_同援日０．５*(1+_15・A深夜)),0)*(1+_15・盲ろう)),0)*(1+_15・区３)),0)+ROUND((ROUND((ROUND((_15_同援日０．５＿２．５*(1+_15・B早朝)),0)*(1+_15・盲ろう)),0)*(1+_15・区３)),0)</f>
        <v>1216</v>
      </c>
      <c r="AC115" s="69"/>
    </row>
    <row r="116" spans="1:29" ht="16.5" customHeight="1" x14ac:dyDescent="0.3">
      <c r="A116" s="2">
        <v>15</v>
      </c>
      <c r="B116" s="2">
        <v>8948</v>
      </c>
      <c r="C116" s="60" t="s">
        <v>9505</v>
      </c>
      <c r="D116" s="1"/>
      <c r="E116" s="68"/>
      <c r="F116" s="70"/>
      <c r="G116" s="1"/>
      <c r="H116" s="68"/>
      <c r="I116" s="70"/>
      <c r="J116" s="66"/>
      <c r="K116" s="57"/>
      <c r="L116" s="58"/>
      <c r="M116" s="83" t="s">
        <v>5895</v>
      </c>
      <c r="N116" s="64" t="s">
        <v>1</v>
      </c>
      <c r="O116" s="65">
        <v>1</v>
      </c>
      <c r="P116" s="99"/>
      <c r="Q116" s="70"/>
      <c r="R116" s="99"/>
      <c r="S116" s="70"/>
      <c r="T116" s="94" t="s">
        <v>18024</v>
      </c>
      <c r="U116" s="68"/>
      <c r="V116" s="76"/>
      <c r="W116" s="70"/>
      <c r="X116" s="67"/>
      <c r="Y116" s="68"/>
      <c r="Z116" s="76"/>
      <c r="AA116" s="70"/>
      <c r="AB116" s="228">
        <f>ROUND((ROUND((ROUND((ROUND((_15_同援日０．５*_15・２人),0)*(1+_15・A深夜)),0)*(1+_15・盲ろう)),0)*(1+_15・区３)),0)+ROUND((ROUND((ROUND((ROUND((_15_同援日０．５＿２．５*_15・２人),0)*(1+_15・B早朝)),0)*(1+_15・盲ろう)),0)*(1+_15・区３)),0)</f>
        <v>1216</v>
      </c>
      <c r="AC116" s="69"/>
    </row>
    <row r="117" spans="1:29" ht="16.5" customHeight="1" x14ac:dyDescent="0.3">
      <c r="A117" s="2">
        <v>15</v>
      </c>
      <c r="B117" s="2">
        <v>8949</v>
      </c>
      <c r="C117" s="60" t="s">
        <v>9504</v>
      </c>
      <c r="D117" s="1"/>
      <c r="E117" s="68"/>
      <c r="F117" s="70"/>
      <c r="G117" s="1"/>
      <c r="H117" s="68"/>
      <c r="I117" s="70"/>
      <c r="J117" s="74" t="s">
        <v>16971</v>
      </c>
      <c r="K117" s="62"/>
      <c r="L117" s="63"/>
      <c r="M117" s="85"/>
      <c r="N117" s="64"/>
      <c r="O117" s="65"/>
      <c r="P117" s="99"/>
      <c r="Q117" s="70"/>
      <c r="R117" s="99"/>
      <c r="S117" s="70"/>
      <c r="T117" s="67"/>
      <c r="U117" s="68" t="s">
        <v>1</v>
      </c>
      <c r="V117" s="76">
        <v>0.25</v>
      </c>
      <c r="W117" s="70" t="s">
        <v>422</v>
      </c>
      <c r="X117" s="67"/>
      <c r="Y117" s="68"/>
      <c r="Z117" s="76"/>
      <c r="AA117" s="70"/>
      <c r="AB117" s="228">
        <f>ROUND((ROUND((ROUND((ROUND((_15_同援日０．５*_15・基礎２),0)*(1+_15・A深夜)),0)*(1+_15・盲ろう)),0)*(1+_15・区３)),0)+ROUND((ROUND((ROUND((ROUND((_15_同援日０．５＿２．５*_15・基礎２),0)*(1+_15・B早朝)),0)*(1+_15・盲ろう)),0)*(1+_15・区３)),0)</f>
        <v>1093</v>
      </c>
      <c r="AC117" s="69"/>
    </row>
    <row r="118" spans="1:29" ht="16.5" customHeight="1" x14ac:dyDescent="0.3">
      <c r="A118" s="2">
        <v>15</v>
      </c>
      <c r="B118" s="2">
        <v>8950</v>
      </c>
      <c r="C118" s="60" t="s">
        <v>9503</v>
      </c>
      <c r="D118" s="1"/>
      <c r="E118" s="68"/>
      <c r="F118" s="70"/>
      <c r="G118" s="1"/>
      <c r="H118" s="68"/>
      <c r="I118" s="70"/>
      <c r="J118" s="106" t="s">
        <v>16970</v>
      </c>
      <c r="K118" s="57" t="s">
        <v>1</v>
      </c>
      <c r="L118" s="58">
        <v>0.9</v>
      </c>
      <c r="M118" s="83" t="s">
        <v>5895</v>
      </c>
      <c r="N118" s="64" t="s">
        <v>1</v>
      </c>
      <c r="O118" s="65">
        <v>1</v>
      </c>
      <c r="P118" s="99"/>
      <c r="Q118" s="70"/>
      <c r="R118" s="99"/>
      <c r="S118" s="70"/>
      <c r="T118" s="66"/>
      <c r="U118" s="57"/>
      <c r="V118" s="58"/>
      <c r="W118" s="77"/>
      <c r="X118" s="66"/>
      <c r="Y118" s="57"/>
      <c r="Z118" s="58"/>
      <c r="AA118" s="77"/>
      <c r="AB118" s="228">
        <f>ROUND((ROUND((ROUND((ROUND((ROUND((_15_同援日０．５*_15・基礎２),0)*_15・２人),0)*(1+_15・A深夜)),0)*(1+_15・盲ろう)),0)*(1+_15・区３)),0)+ROUND((ROUND((ROUND((ROUND((ROUND((_15_同援日０．５＿２．５*_15・基礎２),0)*_15・２人),0)*(1+_15・B早朝)),0)*(1+_15・盲ろう)),0)*(1+_15・区３)),0)</f>
        <v>1093</v>
      </c>
      <c r="AC118" s="69"/>
    </row>
    <row r="119" spans="1:29" ht="16.5" customHeight="1" x14ac:dyDescent="0.3">
      <c r="A119" s="2">
        <v>15</v>
      </c>
      <c r="B119" s="2">
        <v>8951</v>
      </c>
      <c r="C119" s="60" t="s">
        <v>9502</v>
      </c>
      <c r="D119" s="1"/>
      <c r="E119" s="68"/>
      <c r="F119" s="70"/>
      <c r="G119" s="1"/>
      <c r="H119" s="68"/>
      <c r="I119" s="70"/>
      <c r="J119" s="61"/>
      <c r="K119" s="62"/>
      <c r="L119" s="63"/>
      <c r="M119" s="85"/>
      <c r="N119" s="64"/>
      <c r="O119" s="65"/>
      <c r="P119" s="99"/>
      <c r="Q119" s="70"/>
      <c r="R119" s="99"/>
      <c r="S119" s="70"/>
      <c r="T119" s="61"/>
      <c r="U119" s="62"/>
      <c r="V119" s="63"/>
      <c r="W119" s="75"/>
      <c r="X119" s="61"/>
      <c r="Y119" s="62"/>
      <c r="Z119" s="63"/>
      <c r="AA119" s="75"/>
      <c r="AB119" s="228">
        <f>ROUND((ROUND((_15_同援日０．５*(1+_15・A深夜)),0)*(1+_15・区４)),0)+ROUND((ROUND((_15_同援日０．５＿２．５*(1+_15・B早朝)),0)*(1+_15・区４)),0)</f>
        <v>1134</v>
      </c>
      <c r="AC119" s="69"/>
    </row>
    <row r="120" spans="1:29" ht="16.5" customHeight="1" x14ac:dyDescent="0.3">
      <c r="A120" s="2">
        <v>15</v>
      </c>
      <c r="B120" s="2">
        <v>8952</v>
      </c>
      <c r="C120" s="60" t="s">
        <v>9501</v>
      </c>
      <c r="D120" s="1"/>
      <c r="E120" s="68"/>
      <c r="F120" s="70"/>
      <c r="G120" s="1"/>
      <c r="H120" s="68"/>
      <c r="I120" s="70"/>
      <c r="J120" s="66"/>
      <c r="K120" s="57"/>
      <c r="L120" s="58"/>
      <c r="M120" s="83" t="s">
        <v>5895</v>
      </c>
      <c r="N120" s="64" t="s">
        <v>1</v>
      </c>
      <c r="O120" s="65">
        <v>1</v>
      </c>
      <c r="P120" s="99"/>
      <c r="Q120" s="70"/>
      <c r="R120" s="99"/>
      <c r="S120" s="70"/>
      <c r="T120" s="67"/>
      <c r="U120" s="68"/>
      <c r="V120" s="76"/>
      <c r="W120" s="70"/>
      <c r="X120" s="67"/>
      <c r="Y120" s="68"/>
      <c r="Z120" s="76"/>
      <c r="AA120" s="70"/>
      <c r="AB120" s="228">
        <f>ROUND((ROUND((ROUND((_15_同援日０．５*_15・２人),0)*(1+_15・A深夜)),0)*(1+_15・区４)),0)+ROUND((ROUND((ROUND((_15_同援日０．５＿２．５*_15・２人),0)*(1+_15・B早朝)),0)*(1+_15・区４)),0)</f>
        <v>1134</v>
      </c>
      <c r="AC120" s="69"/>
    </row>
    <row r="121" spans="1:29" ht="16.5" customHeight="1" x14ac:dyDescent="0.3">
      <c r="A121" s="2">
        <v>15</v>
      </c>
      <c r="B121" s="2">
        <v>8953</v>
      </c>
      <c r="C121" s="60" t="s">
        <v>9500</v>
      </c>
      <c r="D121" s="1"/>
      <c r="E121" s="68"/>
      <c r="F121" s="70"/>
      <c r="G121" s="1"/>
      <c r="H121" s="68"/>
      <c r="I121" s="70"/>
      <c r="J121" s="74" t="s">
        <v>16971</v>
      </c>
      <c r="K121" s="62"/>
      <c r="L121" s="63"/>
      <c r="M121" s="85"/>
      <c r="N121" s="64"/>
      <c r="O121" s="65"/>
      <c r="P121" s="99"/>
      <c r="Q121" s="70"/>
      <c r="R121" s="99"/>
      <c r="S121" s="70"/>
      <c r="T121" s="67"/>
      <c r="U121" s="68"/>
      <c r="V121" s="76"/>
      <c r="W121" s="70"/>
      <c r="X121" s="1" t="s">
        <v>18027</v>
      </c>
      <c r="Y121" s="68"/>
      <c r="Z121" s="76"/>
      <c r="AA121" s="70"/>
      <c r="AB121" s="228">
        <f>ROUND((ROUND((ROUND((_15_同援日０．５*_15・基礎２),0)*(1+_15・A深夜)),0)*(1+_15・区４)),0)+ROUND((ROUND((ROUND((_15_同援日０．５＿２．５*_15・基礎２),0)*(1+_15・B早朝)),0)*(1+_15・区４)),0)</f>
        <v>1021</v>
      </c>
      <c r="AC121" s="69"/>
    </row>
    <row r="122" spans="1:29" ht="16.5" customHeight="1" x14ac:dyDescent="0.3">
      <c r="A122" s="2">
        <v>15</v>
      </c>
      <c r="B122" s="2">
        <v>8954</v>
      </c>
      <c r="C122" s="60" t="s">
        <v>9499</v>
      </c>
      <c r="D122" s="1"/>
      <c r="E122" s="68"/>
      <c r="F122" s="70"/>
      <c r="G122" s="1"/>
      <c r="H122" s="68"/>
      <c r="I122" s="70"/>
      <c r="J122" s="106" t="s">
        <v>16970</v>
      </c>
      <c r="K122" s="57" t="s">
        <v>1</v>
      </c>
      <c r="L122" s="58">
        <v>0.9</v>
      </c>
      <c r="M122" s="83" t="s">
        <v>5895</v>
      </c>
      <c r="N122" s="64" t="s">
        <v>1</v>
      </c>
      <c r="O122" s="65">
        <v>1</v>
      </c>
      <c r="P122" s="99"/>
      <c r="Q122" s="70"/>
      <c r="R122" s="99"/>
      <c r="S122" s="70"/>
      <c r="T122" s="66"/>
      <c r="U122" s="57"/>
      <c r="V122" s="58"/>
      <c r="W122" s="77"/>
      <c r="X122" s="1" t="s">
        <v>18026</v>
      </c>
      <c r="Y122" s="68"/>
      <c r="Z122" s="76"/>
      <c r="AA122" s="70"/>
      <c r="AB122" s="228">
        <f>ROUND((ROUND((ROUND((ROUND((_15_同援日０．５*_15・基礎２),0)*_15・２人),0)*(1+_15・A深夜)),0)*(1+_15・区４)),0)+ROUND((ROUND((ROUND((ROUND((_15_同援日０．５＿２．５*_15・基礎２),0)*_15・２人),0)*(1+_15・B早朝)),0)*(1+_15・区４)),0)</f>
        <v>1021</v>
      </c>
      <c r="AC122" s="69"/>
    </row>
    <row r="123" spans="1:29" ht="16.5" customHeight="1" x14ac:dyDescent="0.3">
      <c r="A123" s="2">
        <v>15</v>
      </c>
      <c r="B123" s="2">
        <v>8955</v>
      </c>
      <c r="C123" s="60" t="s">
        <v>9498</v>
      </c>
      <c r="D123" s="1"/>
      <c r="E123" s="68"/>
      <c r="F123" s="70"/>
      <c r="G123" s="1"/>
      <c r="H123" s="68"/>
      <c r="I123" s="70"/>
      <c r="J123" s="61"/>
      <c r="K123" s="62"/>
      <c r="L123" s="63"/>
      <c r="M123" s="85"/>
      <c r="N123" s="64"/>
      <c r="O123" s="65"/>
      <c r="P123" s="99"/>
      <c r="Q123" s="70"/>
      <c r="R123" s="99"/>
      <c r="S123" s="70"/>
      <c r="T123" s="74" t="s">
        <v>18025</v>
      </c>
      <c r="U123" s="62"/>
      <c r="V123" s="63"/>
      <c r="W123" s="75"/>
      <c r="X123" s="67"/>
      <c r="Y123" s="68" t="s">
        <v>1</v>
      </c>
      <c r="Z123" s="76">
        <v>0.4</v>
      </c>
      <c r="AA123" s="70" t="s">
        <v>422</v>
      </c>
      <c r="AB123" s="228">
        <f>ROUND((ROUND((ROUND((_15_同援日０．５*(1+_15・A深夜)),0)*(1+_15・盲ろう)),0)*(1+_15・区４)),0)+ROUND((ROUND((ROUND((_15_同援日０．５＿２．５*(1+_15・B早朝)),0)*(1+_15・盲ろう)),0)*(1+_15・区４)),0)</f>
        <v>1418</v>
      </c>
      <c r="AC123" s="69"/>
    </row>
    <row r="124" spans="1:29" ht="16.5" customHeight="1" x14ac:dyDescent="0.3">
      <c r="A124" s="2">
        <v>15</v>
      </c>
      <c r="B124" s="2">
        <v>8956</v>
      </c>
      <c r="C124" s="60" t="s">
        <v>9497</v>
      </c>
      <c r="D124" s="1"/>
      <c r="E124" s="68"/>
      <c r="F124" s="70"/>
      <c r="G124" s="1"/>
      <c r="H124" s="68"/>
      <c r="I124" s="70"/>
      <c r="J124" s="66"/>
      <c r="K124" s="57"/>
      <c r="L124" s="58"/>
      <c r="M124" s="83" t="s">
        <v>5895</v>
      </c>
      <c r="N124" s="64" t="s">
        <v>1</v>
      </c>
      <c r="O124" s="65">
        <v>1</v>
      </c>
      <c r="P124" s="99"/>
      <c r="Q124" s="70"/>
      <c r="R124" s="99"/>
      <c r="S124" s="70"/>
      <c r="T124" s="94" t="s">
        <v>18024</v>
      </c>
      <c r="U124" s="68"/>
      <c r="V124" s="76"/>
      <c r="W124" s="70"/>
      <c r="X124" s="67"/>
      <c r="Y124" s="68"/>
      <c r="Z124" s="76"/>
      <c r="AA124" s="70"/>
      <c r="AB124" s="228">
        <f>ROUND((ROUND((ROUND((ROUND((_15_同援日０．５*_15・２人),0)*(1+_15・A深夜)),0)*(1+_15・盲ろう)),0)*(1+_15・区４)),0)+ROUND((ROUND((ROUND((ROUND((_15_同援日０．５＿２．５*_15・２人),0)*(1+_15・B早朝)),0)*(1+_15・盲ろう)),0)*(1+_15・区４)),0)</f>
        <v>1418</v>
      </c>
      <c r="AC124" s="69"/>
    </row>
    <row r="125" spans="1:29" ht="16.5" customHeight="1" x14ac:dyDescent="0.3">
      <c r="A125" s="2">
        <v>15</v>
      </c>
      <c r="B125" s="2">
        <v>8957</v>
      </c>
      <c r="C125" s="60" t="s">
        <v>9496</v>
      </c>
      <c r="D125" s="1"/>
      <c r="E125" s="68"/>
      <c r="F125" s="70"/>
      <c r="G125" s="1"/>
      <c r="H125" s="68"/>
      <c r="I125" s="70"/>
      <c r="J125" s="74" t="s">
        <v>16971</v>
      </c>
      <c r="K125" s="62"/>
      <c r="L125" s="63"/>
      <c r="M125" s="85"/>
      <c r="N125" s="64"/>
      <c r="O125" s="65"/>
      <c r="P125" s="99"/>
      <c r="Q125" s="70"/>
      <c r="R125" s="99"/>
      <c r="S125" s="70"/>
      <c r="T125" s="67"/>
      <c r="U125" s="68" t="s">
        <v>1</v>
      </c>
      <c r="V125" s="76">
        <v>0.25</v>
      </c>
      <c r="W125" s="70" t="s">
        <v>422</v>
      </c>
      <c r="X125" s="67"/>
      <c r="Y125" s="68"/>
      <c r="Z125" s="76"/>
      <c r="AA125" s="70"/>
      <c r="AB125" s="228">
        <f>ROUND((ROUND((ROUND((ROUND((_15_同援日０．５*_15・基礎２),0)*(1+_15・A深夜)),0)*(1+_15・盲ろう)),0)*(1+_15・区４)),0)+ROUND((ROUND((ROUND((ROUND((_15_同援日０．５＿２．５*_15・基礎２),0)*(1+_15・B早朝)),0)*(1+_15・盲ろう)),0)*(1+_15・区４)),0)</f>
        <v>1275</v>
      </c>
      <c r="AC125" s="69"/>
    </row>
    <row r="126" spans="1:29" ht="16.5" customHeight="1" x14ac:dyDescent="0.3">
      <c r="A126" s="2">
        <v>15</v>
      </c>
      <c r="B126" s="2">
        <v>8958</v>
      </c>
      <c r="C126" s="60" t="s">
        <v>9495</v>
      </c>
      <c r="D126" s="81"/>
      <c r="E126" s="57"/>
      <c r="F126" s="77"/>
      <c r="G126" s="81"/>
      <c r="H126" s="57"/>
      <c r="I126" s="77"/>
      <c r="J126" s="106" t="s">
        <v>16970</v>
      </c>
      <c r="K126" s="57" t="s">
        <v>1</v>
      </c>
      <c r="L126" s="58">
        <v>0.9</v>
      </c>
      <c r="M126" s="83" t="s">
        <v>5895</v>
      </c>
      <c r="N126" s="64" t="s">
        <v>1</v>
      </c>
      <c r="O126" s="65">
        <v>1</v>
      </c>
      <c r="P126" s="99"/>
      <c r="Q126" s="70"/>
      <c r="R126" s="99"/>
      <c r="S126" s="70"/>
      <c r="T126" s="66"/>
      <c r="U126" s="57"/>
      <c r="V126" s="58"/>
      <c r="W126" s="77"/>
      <c r="X126" s="66"/>
      <c r="Y126" s="57"/>
      <c r="Z126" s="58"/>
      <c r="AA126" s="77"/>
      <c r="AB126" s="228">
        <f>ROUND((ROUND((ROUND((ROUND((ROUND((_15_同援日０．５*_15・基礎２),0)*_15・２人),0)*(1+_15・A深夜)),0)*(1+_15・盲ろう)),0)*(1+_15・区４)),0)+ROUND((ROUND((ROUND((ROUND((ROUND((_15_同援日０．５＿２．５*_15・基礎２),0)*_15・２人),0)*(1+_15・B早朝)),0)*(1+_15・盲ろう)),0)*(1+_15・区４)),0)</f>
        <v>1275</v>
      </c>
      <c r="AC126" s="69"/>
    </row>
    <row r="127" spans="1:29" ht="16.5" customHeight="1" x14ac:dyDescent="0.3">
      <c r="A127" s="2">
        <v>15</v>
      </c>
      <c r="B127" s="2">
        <v>8959</v>
      </c>
      <c r="C127" s="60" t="s">
        <v>9494</v>
      </c>
      <c r="D127" s="233" t="s">
        <v>18032</v>
      </c>
      <c r="E127" s="62"/>
      <c r="F127" s="75"/>
      <c r="G127" s="233" t="s">
        <v>16993</v>
      </c>
      <c r="H127" s="62"/>
      <c r="I127" s="75"/>
      <c r="J127" s="61"/>
      <c r="K127" s="62"/>
      <c r="L127" s="63"/>
      <c r="M127" s="85"/>
      <c r="N127" s="64"/>
      <c r="O127" s="65"/>
      <c r="P127" s="99"/>
      <c r="Q127" s="70"/>
      <c r="R127" s="99"/>
      <c r="S127" s="70"/>
      <c r="T127" s="61"/>
      <c r="U127" s="62"/>
      <c r="V127" s="63"/>
      <c r="W127" s="75"/>
      <c r="X127" s="61"/>
      <c r="Y127" s="62"/>
      <c r="Z127" s="63"/>
      <c r="AA127" s="75"/>
      <c r="AB127" s="228">
        <f>ROUND((_15_同援日１．０*(1+_15・A深夜)),0)+ROUND((_15_同援日１．０＿０．５*(1+_15・B早朝)),0)</f>
        <v>599</v>
      </c>
      <c r="AC127" s="69"/>
    </row>
    <row r="128" spans="1:29" ht="16.5" customHeight="1" x14ac:dyDescent="0.3">
      <c r="A128" s="2">
        <v>15</v>
      </c>
      <c r="B128" s="2">
        <v>8960</v>
      </c>
      <c r="C128" s="60" t="s">
        <v>9493</v>
      </c>
      <c r="D128" s="1" t="s">
        <v>16978</v>
      </c>
      <c r="E128" s="68"/>
      <c r="F128" s="70"/>
      <c r="G128" s="1" t="s">
        <v>7928</v>
      </c>
      <c r="H128" s="68"/>
      <c r="I128" s="70"/>
      <c r="J128" s="66"/>
      <c r="K128" s="57"/>
      <c r="L128" s="58"/>
      <c r="M128" s="83" t="s">
        <v>5895</v>
      </c>
      <c r="N128" s="64" t="s">
        <v>1</v>
      </c>
      <c r="O128" s="65">
        <v>1</v>
      </c>
      <c r="P128" s="99"/>
      <c r="Q128" s="70"/>
      <c r="R128" s="99"/>
      <c r="S128" s="70"/>
      <c r="T128" s="67"/>
      <c r="U128" s="68"/>
      <c r="V128" s="76"/>
      <c r="W128" s="70"/>
      <c r="X128" s="67"/>
      <c r="Y128" s="68"/>
      <c r="Z128" s="76"/>
      <c r="AA128" s="70"/>
      <c r="AB128" s="228">
        <f>ROUND((ROUND((_15_同援日１．０*_15・２人),0)*(1+_15・A深夜)),0)+ROUND((ROUND((_15_同援日１．０＿０．５*_15・２人),0)*(1+_15・B早朝)),0)</f>
        <v>599</v>
      </c>
      <c r="AC128" s="69"/>
    </row>
    <row r="129" spans="1:29" ht="16.5" customHeight="1" x14ac:dyDescent="0.3">
      <c r="A129" s="2">
        <v>15</v>
      </c>
      <c r="B129" s="2">
        <v>8961</v>
      </c>
      <c r="C129" s="60" t="s">
        <v>9492</v>
      </c>
      <c r="D129" s="1" t="s">
        <v>8572</v>
      </c>
      <c r="E129" s="68"/>
      <c r="F129" s="70"/>
      <c r="G129" s="1"/>
      <c r="H129" s="68"/>
      <c r="I129" s="70"/>
      <c r="J129" s="74" t="s">
        <v>16971</v>
      </c>
      <c r="K129" s="62"/>
      <c r="L129" s="63"/>
      <c r="M129" s="85"/>
      <c r="N129" s="64"/>
      <c r="O129" s="65"/>
      <c r="P129" s="99"/>
      <c r="Q129" s="70"/>
      <c r="R129" s="99"/>
      <c r="S129" s="70"/>
      <c r="T129" s="67"/>
      <c r="U129" s="68"/>
      <c r="V129" s="76"/>
      <c r="W129" s="70"/>
      <c r="X129" s="67"/>
      <c r="Y129" s="68"/>
      <c r="Z129" s="76"/>
      <c r="AA129" s="70"/>
      <c r="AB129" s="228">
        <f>ROUND((ROUND((_15_同援日１．０*_15・基礎２),0)*(1+_15・A深夜)),0)+ROUND((ROUND((_15_同援日１．０＿０．５*_15・基礎２),0)*(1+_15・B早朝)),0)</f>
        <v>540</v>
      </c>
      <c r="AC129" s="69"/>
    </row>
    <row r="130" spans="1:29" ht="16.5" customHeight="1" x14ac:dyDescent="0.3">
      <c r="A130" s="2">
        <v>15</v>
      </c>
      <c r="B130" s="2">
        <v>8962</v>
      </c>
      <c r="C130" s="60" t="s">
        <v>9491</v>
      </c>
      <c r="D130" s="1"/>
      <c r="E130" s="227">
        <v>292</v>
      </c>
      <c r="F130" s="70" t="s">
        <v>0</v>
      </c>
      <c r="G130" s="1"/>
      <c r="H130" s="119">
        <v>129</v>
      </c>
      <c r="I130" s="70" t="s">
        <v>0</v>
      </c>
      <c r="J130" s="106" t="s">
        <v>16970</v>
      </c>
      <c r="K130" s="57" t="s">
        <v>1</v>
      </c>
      <c r="L130" s="58">
        <v>0.9</v>
      </c>
      <c r="M130" s="83" t="s">
        <v>5895</v>
      </c>
      <c r="N130" s="64" t="s">
        <v>1</v>
      </c>
      <c r="O130" s="65">
        <v>1</v>
      </c>
      <c r="P130" s="99"/>
      <c r="Q130" s="70"/>
      <c r="R130" s="99"/>
      <c r="S130" s="70"/>
      <c r="T130" s="66"/>
      <c r="U130" s="57"/>
      <c r="V130" s="58"/>
      <c r="W130" s="77"/>
      <c r="X130" s="67"/>
      <c r="Y130" s="68"/>
      <c r="Z130" s="76"/>
      <c r="AA130" s="70"/>
      <c r="AB130" s="228">
        <f>ROUND((ROUND((ROUND((_15_同援日１．０*_15・基礎２),0)*_15・２人),0)*(1+_15・A深夜)),0)+ROUND((ROUND((ROUND((_15_同援日１．０＿０．５*_15・基礎２),0)*_15・２人),0)*(1+_15・B早朝)),0)</f>
        <v>540</v>
      </c>
      <c r="AC130" s="69"/>
    </row>
    <row r="131" spans="1:29" ht="16.5" customHeight="1" x14ac:dyDescent="0.3">
      <c r="A131" s="2">
        <v>15</v>
      </c>
      <c r="B131" s="2">
        <v>8963</v>
      </c>
      <c r="C131" s="60" t="s">
        <v>9490</v>
      </c>
      <c r="D131" s="1"/>
      <c r="E131" s="68"/>
      <c r="F131" s="70"/>
      <c r="G131" s="1"/>
      <c r="H131" s="68"/>
      <c r="I131" s="70"/>
      <c r="J131" s="61"/>
      <c r="K131" s="62"/>
      <c r="L131" s="63"/>
      <c r="M131" s="85"/>
      <c r="N131" s="64"/>
      <c r="O131" s="65"/>
      <c r="P131" s="99"/>
      <c r="Q131" s="70"/>
      <c r="R131" s="99"/>
      <c r="S131" s="70"/>
      <c r="T131" s="74" t="s">
        <v>18025</v>
      </c>
      <c r="U131" s="62"/>
      <c r="V131" s="63"/>
      <c r="W131" s="75"/>
      <c r="X131" s="67"/>
      <c r="Y131" s="68"/>
      <c r="Z131" s="76"/>
      <c r="AA131" s="70"/>
      <c r="AB131" s="228">
        <f>ROUND((ROUND((_15_同援日１．０*(1+_15・A深夜)),0)*(1+_15・盲ろう)),0)+ROUND((ROUND((_15_同援日１．０＿０．５*(1+_15・B早朝)),0)*(1+_15・盲ろう)),0)</f>
        <v>749</v>
      </c>
      <c r="AC131" s="69"/>
    </row>
    <row r="132" spans="1:29" ht="16.5" customHeight="1" x14ac:dyDescent="0.3">
      <c r="A132" s="2">
        <v>15</v>
      </c>
      <c r="B132" s="2">
        <v>8964</v>
      </c>
      <c r="C132" s="60" t="s">
        <v>9489</v>
      </c>
      <c r="D132" s="1"/>
      <c r="E132" s="68"/>
      <c r="F132" s="70"/>
      <c r="G132" s="1"/>
      <c r="H132" s="68"/>
      <c r="I132" s="70"/>
      <c r="J132" s="66"/>
      <c r="K132" s="57"/>
      <c r="L132" s="58"/>
      <c r="M132" s="83" t="s">
        <v>5895</v>
      </c>
      <c r="N132" s="64" t="s">
        <v>1</v>
      </c>
      <c r="O132" s="65">
        <v>1</v>
      </c>
      <c r="P132" s="99"/>
      <c r="Q132" s="70"/>
      <c r="R132" s="99"/>
      <c r="S132" s="70"/>
      <c r="T132" s="94" t="s">
        <v>18024</v>
      </c>
      <c r="U132" s="68"/>
      <c r="V132" s="76"/>
      <c r="W132" s="70"/>
      <c r="X132" s="67"/>
      <c r="Y132" s="68"/>
      <c r="Z132" s="76"/>
      <c r="AA132" s="70"/>
      <c r="AB132" s="228">
        <f>ROUND((ROUND((ROUND((_15_同援日１．０*_15・２人),0)*(1+_15・A深夜)),0)*(1+_15・盲ろう)),0)+ROUND((ROUND((ROUND((_15_同援日１．０＿０．５*_15・２人),0)*(1+_15・B早朝)),0)*(1+_15・盲ろう)),0)</f>
        <v>749</v>
      </c>
      <c r="AC132" s="69"/>
    </row>
    <row r="133" spans="1:29" ht="16.5" customHeight="1" x14ac:dyDescent="0.3">
      <c r="A133" s="2">
        <v>15</v>
      </c>
      <c r="B133" s="2">
        <v>8965</v>
      </c>
      <c r="C133" s="60" t="s">
        <v>9488</v>
      </c>
      <c r="D133" s="1"/>
      <c r="E133" s="68"/>
      <c r="F133" s="70"/>
      <c r="G133" s="1"/>
      <c r="H133" s="68"/>
      <c r="I133" s="70"/>
      <c r="J133" s="74" t="s">
        <v>16971</v>
      </c>
      <c r="K133" s="62"/>
      <c r="L133" s="63"/>
      <c r="M133" s="85"/>
      <c r="N133" s="64"/>
      <c r="O133" s="65"/>
      <c r="P133" s="99"/>
      <c r="Q133" s="70"/>
      <c r="R133" s="99"/>
      <c r="S133" s="70"/>
      <c r="T133" s="67"/>
      <c r="U133" s="68" t="s">
        <v>1</v>
      </c>
      <c r="V133" s="76">
        <v>0.25</v>
      </c>
      <c r="W133" s="70" t="s">
        <v>422</v>
      </c>
      <c r="X133" s="67"/>
      <c r="Y133" s="68"/>
      <c r="Z133" s="76"/>
      <c r="AA133" s="70"/>
      <c r="AB133" s="228">
        <f>ROUND((ROUND((ROUND((_15_同援日１．０*_15・基礎２),0)*(1+_15・A深夜)),0)*(1+_15・盲ろう)),0)+ROUND((ROUND((ROUND((_15_同援日１．０＿０．５*_15・基礎２),0)*(1+_15・B早朝)),0)*(1+_15・盲ろう)),0)</f>
        <v>675</v>
      </c>
      <c r="AC133" s="69"/>
    </row>
    <row r="134" spans="1:29" ht="16.5" customHeight="1" x14ac:dyDescent="0.3">
      <c r="A134" s="2">
        <v>15</v>
      </c>
      <c r="B134" s="2">
        <v>8966</v>
      </c>
      <c r="C134" s="60" t="s">
        <v>9487</v>
      </c>
      <c r="D134" s="1"/>
      <c r="E134" s="68"/>
      <c r="F134" s="70"/>
      <c r="G134" s="1"/>
      <c r="H134" s="68"/>
      <c r="I134" s="70"/>
      <c r="J134" s="106" t="s">
        <v>16970</v>
      </c>
      <c r="K134" s="57" t="s">
        <v>1</v>
      </c>
      <c r="L134" s="58">
        <v>0.9</v>
      </c>
      <c r="M134" s="83" t="s">
        <v>5895</v>
      </c>
      <c r="N134" s="64" t="s">
        <v>1</v>
      </c>
      <c r="O134" s="65">
        <v>1</v>
      </c>
      <c r="P134" s="99"/>
      <c r="Q134" s="70"/>
      <c r="R134" s="99"/>
      <c r="S134" s="70"/>
      <c r="T134" s="66"/>
      <c r="U134" s="57"/>
      <c r="V134" s="58"/>
      <c r="W134" s="77"/>
      <c r="X134" s="66"/>
      <c r="Y134" s="57"/>
      <c r="Z134" s="58"/>
      <c r="AA134" s="77"/>
      <c r="AB134" s="228">
        <f>ROUND((ROUND((ROUND((ROUND((_15_同援日１．０*_15・基礎２),0)*_15・２人),0)*(1+_15・A深夜)),0)*(1+_15・盲ろう)),0)+ROUND((ROUND((ROUND((ROUND((_15_同援日１．０＿０．５*_15・基礎２),0)*_15・２人),0)*(1+_15・B早朝)),0)*(1+_15・盲ろう)),0)</f>
        <v>675</v>
      </c>
      <c r="AC134" s="69"/>
    </row>
    <row r="135" spans="1:29" ht="16.5" customHeight="1" x14ac:dyDescent="0.3">
      <c r="A135" s="2">
        <v>15</v>
      </c>
      <c r="B135" s="2">
        <v>8967</v>
      </c>
      <c r="C135" s="60" t="s">
        <v>9486</v>
      </c>
      <c r="D135" s="1"/>
      <c r="E135" s="68"/>
      <c r="F135" s="70"/>
      <c r="G135" s="1"/>
      <c r="H135" s="68"/>
      <c r="I135" s="70"/>
      <c r="J135" s="61"/>
      <c r="K135" s="62"/>
      <c r="L135" s="63"/>
      <c r="M135" s="85"/>
      <c r="N135" s="64"/>
      <c r="O135" s="65"/>
      <c r="P135" s="99"/>
      <c r="Q135" s="70"/>
      <c r="R135" s="99"/>
      <c r="S135" s="70"/>
      <c r="T135" s="61"/>
      <c r="U135" s="62"/>
      <c r="V135" s="63"/>
      <c r="W135" s="75"/>
      <c r="X135" s="61"/>
      <c r="Y135" s="62"/>
      <c r="Z135" s="63"/>
      <c r="AA135" s="75"/>
      <c r="AB135" s="228">
        <f>ROUND((ROUND((_15_同援日１．０*(1+_15・A深夜)),0)*(1+_15・区３)),0)+ROUND((ROUND((_15_同援日１．０＿０．５*(1+_15・B早朝)),0)*(1+_15・区３)),0)</f>
        <v>719</v>
      </c>
      <c r="AC135" s="69"/>
    </row>
    <row r="136" spans="1:29" ht="16.5" customHeight="1" x14ac:dyDescent="0.3">
      <c r="A136" s="2">
        <v>15</v>
      </c>
      <c r="B136" s="2">
        <v>8968</v>
      </c>
      <c r="C136" s="60" t="s">
        <v>9485</v>
      </c>
      <c r="D136" s="1"/>
      <c r="E136" s="68"/>
      <c r="F136" s="70"/>
      <c r="G136" s="1"/>
      <c r="H136" s="68"/>
      <c r="I136" s="70"/>
      <c r="J136" s="66"/>
      <c r="K136" s="57"/>
      <c r="L136" s="58"/>
      <c r="M136" s="83" t="s">
        <v>5895</v>
      </c>
      <c r="N136" s="64" t="s">
        <v>1</v>
      </c>
      <c r="O136" s="65">
        <v>1</v>
      </c>
      <c r="P136" s="99"/>
      <c r="Q136" s="70"/>
      <c r="R136" s="99"/>
      <c r="S136" s="70"/>
      <c r="T136" s="67"/>
      <c r="U136" s="68"/>
      <c r="V136" s="76"/>
      <c r="W136" s="70"/>
      <c r="X136" s="67"/>
      <c r="Y136" s="68"/>
      <c r="Z136" s="76"/>
      <c r="AA136" s="70"/>
      <c r="AB136" s="228">
        <f>ROUND((ROUND((ROUND((_15_同援日１．０*_15・２人),0)*(1+_15・A深夜)),0)*(1+_15・区３)),0)+ROUND((ROUND((ROUND((_15_同援日１．０＿０．５*_15・２人),0)*(1+_15・B早朝)),0)*(1+_15・区３)),0)</f>
        <v>719</v>
      </c>
      <c r="AC136" s="69"/>
    </row>
    <row r="137" spans="1:29" ht="16.5" customHeight="1" x14ac:dyDescent="0.3">
      <c r="A137" s="2">
        <v>15</v>
      </c>
      <c r="B137" s="2">
        <v>8969</v>
      </c>
      <c r="C137" s="60" t="s">
        <v>9484</v>
      </c>
      <c r="D137" s="1"/>
      <c r="E137" s="68"/>
      <c r="F137" s="70"/>
      <c r="G137" s="1"/>
      <c r="H137" s="68"/>
      <c r="I137" s="70"/>
      <c r="J137" s="74" t="s">
        <v>16971</v>
      </c>
      <c r="K137" s="62"/>
      <c r="L137" s="63"/>
      <c r="M137" s="85"/>
      <c r="N137" s="64"/>
      <c r="O137" s="65"/>
      <c r="P137" s="99"/>
      <c r="Q137" s="70"/>
      <c r="R137" s="99"/>
      <c r="S137" s="70"/>
      <c r="T137" s="67"/>
      <c r="U137" s="68"/>
      <c r="V137" s="76"/>
      <c r="W137" s="70"/>
      <c r="X137" s="1" t="s">
        <v>18028</v>
      </c>
      <c r="Y137" s="68"/>
      <c r="Z137" s="76"/>
      <c r="AA137" s="70"/>
      <c r="AB137" s="228">
        <f>ROUND((ROUND((ROUND((_15_同援日１．０*_15・基礎２),0)*(1+_15・A深夜)),0)*(1+_15・区３)),0)+ROUND((ROUND((ROUND((_15_同援日１．０＿０．５*_15・基礎２),0)*(1+_15・B早朝)),0)*(1+_15・区３)),0)</f>
        <v>648</v>
      </c>
      <c r="AC137" s="69"/>
    </row>
    <row r="138" spans="1:29" ht="16.5" customHeight="1" x14ac:dyDescent="0.3">
      <c r="A138" s="2">
        <v>15</v>
      </c>
      <c r="B138" s="2">
        <v>8970</v>
      </c>
      <c r="C138" s="60" t="s">
        <v>9483</v>
      </c>
      <c r="D138" s="1"/>
      <c r="E138" s="68"/>
      <c r="F138" s="70"/>
      <c r="G138" s="1"/>
      <c r="H138" s="68"/>
      <c r="I138" s="70"/>
      <c r="J138" s="106" t="s">
        <v>16970</v>
      </c>
      <c r="K138" s="57" t="s">
        <v>1</v>
      </c>
      <c r="L138" s="58">
        <v>0.9</v>
      </c>
      <c r="M138" s="83" t="s">
        <v>5895</v>
      </c>
      <c r="N138" s="64" t="s">
        <v>1</v>
      </c>
      <c r="O138" s="65">
        <v>1</v>
      </c>
      <c r="P138" s="99"/>
      <c r="Q138" s="70"/>
      <c r="R138" s="99"/>
      <c r="S138" s="70"/>
      <c r="T138" s="66"/>
      <c r="U138" s="57"/>
      <c r="V138" s="58"/>
      <c r="W138" s="77"/>
      <c r="X138" s="1" t="s">
        <v>18026</v>
      </c>
      <c r="Y138" s="68"/>
      <c r="Z138" s="76"/>
      <c r="AA138" s="70"/>
      <c r="AB138" s="228">
        <f>ROUND((ROUND((ROUND((ROUND((_15_同援日１．０*_15・基礎２),0)*_15・２人),0)*(1+_15・A深夜)),0)*(1+_15・区３)),0)+ROUND((ROUND((ROUND((ROUND((_15_同援日１．０＿０．５*_15・基礎２),0)*_15・２人),0)*(1+_15・B早朝)),0)*(1+_15・区３)),0)</f>
        <v>648</v>
      </c>
      <c r="AC138" s="69"/>
    </row>
    <row r="139" spans="1:29" ht="16.5" customHeight="1" x14ac:dyDescent="0.3">
      <c r="A139" s="2">
        <v>15</v>
      </c>
      <c r="B139" s="2">
        <v>8971</v>
      </c>
      <c r="C139" s="60" t="s">
        <v>9482</v>
      </c>
      <c r="D139" s="1"/>
      <c r="E139" s="68"/>
      <c r="F139" s="70"/>
      <c r="G139" s="1"/>
      <c r="H139" s="68"/>
      <c r="I139" s="70"/>
      <c r="J139" s="61"/>
      <c r="K139" s="62"/>
      <c r="L139" s="63"/>
      <c r="M139" s="85"/>
      <c r="N139" s="64"/>
      <c r="O139" s="65"/>
      <c r="P139" s="99"/>
      <c r="Q139" s="70"/>
      <c r="R139" s="99"/>
      <c r="S139" s="70"/>
      <c r="T139" s="74" t="s">
        <v>18025</v>
      </c>
      <c r="U139" s="62"/>
      <c r="V139" s="63"/>
      <c r="W139" s="75"/>
      <c r="X139" s="67"/>
      <c r="Y139" s="68" t="s">
        <v>1</v>
      </c>
      <c r="Z139" s="76">
        <v>0.2</v>
      </c>
      <c r="AA139" s="70" t="s">
        <v>422</v>
      </c>
      <c r="AB139" s="228">
        <f>ROUND((ROUND((ROUND((_15_同援日１．０*(1+_15・A深夜)),0)*(1+_15・盲ろう)),0)*(1+_15・区３)),0)+ROUND((ROUND((ROUND((_15_同援日１．０＿０．５*(1+_15・B早朝)),0)*(1+_15・盲ろう)),0)*(1+_15・区３)),0)</f>
        <v>899</v>
      </c>
      <c r="AC139" s="69"/>
    </row>
    <row r="140" spans="1:29" ht="16.5" customHeight="1" x14ac:dyDescent="0.3">
      <c r="A140" s="2">
        <v>15</v>
      </c>
      <c r="B140" s="2">
        <v>8972</v>
      </c>
      <c r="C140" s="60" t="s">
        <v>9481</v>
      </c>
      <c r="D140" s="1"/>
      <c r="E140" s="68"/>
      <c r="F140" s="70"/>
      <c r="G140" s="1"/>
      <c r="H140" s="68"/>
      <c r="I140" s="70"/>
      <c r="J140" s="66"/>
      <c r="K140" s="57"/>
      <c r="L140" s="58"/>
      <c r="M140" s="83" t="s">
        <v>5895</v>
      </c>
      <c r="N140" s="64" t="s">
        <v>1</v>
      </c>
      <c r="O140" s="65">
        <v>1</v>
      </c>
      <c r="P140" s="99"/>
      <c r="Q140" s="70"/>
      <c r="R140" s="99"/>
      <c r="S140" s="70"/>
      <c r="T140" s="94" t="s">
        <v>18024</v>
      </c>
      <c r="U140" s="68"/>
      <c r="V140" s="76"/>
      <c r="W140" s="70"/>
      <c r="X140" s="67"/>
      <c r="Y140" s="68"/>
      <c r="Z140" s="76"/>
      <c r="AA140" s="70"/>
      <c r="AB140" s="228">
        <f>ROUND((ROUND((ROUND((ROUND((_15_同援日１．０*_15・２人),0)*(1+_15・A深夜)),0)*(1+_15・盲ろう)),0)*(1+_15・区３)),0)+ROUND((ROUND((ROUND((ROUND((_15_同援日１．０＿０．５*_15・２人),0)*(1+_15・B早朝)),0)*(1+_15・盲ろう)),0)*(1+_15・区３)),0)</f>
        <v>899</v>
      </c>
      <c r="AC140" s="69"/>
    </row>
    <row r="141" spans="1:29" ht="16.5" customHeight="1" x14ac:dyDescent="0.3">
      <c r="A141" s="2">
        <v>15</v>
      </c>
      <c r="B141" s="2">
        <v>8973</v>
      </c>
      <c r="C141" s="60" t="s">
        <v>9480</v>
      </c>
      <c r="D141" s="1"/>
      <c r="E141" s="68"/>
      <c r="F141" s="70"/>
      <c r="G141" s="1"/>
      <c r="H141" s="68"/>
      <c r="I141" s="70"/>
      <c r="J141" s="74" t="s">
        <v>16971</v>
      </c>
      <c r="K141" s="62"/>
      <c r="L141" s="63"/>
      <c r="M141" s="85"/>
      <c r="N141" s="64"/>
      <c r="O141" s="65"/>
      <c r="P141" s="99"/>
      <c r="Q141" s="70"/>
      <c r="R141" s="99"/>
      <c r="S141" s="70"/>
      <c r="T141" s="67"/>
      <c r="U141" s="68" t="s">
        <v>1</v>
      </c>
      <c r="V141" s="76">
        <v>0.25</v>
      </c>
      <c r="W141" s="70" t="s">
        <v>422</v>
      </c>
      <c r="X141" s="67"/>
      <c r="Y141" s="68"/>
      <c r="Z141" s="76"/>
      <c r="AA141" s="70"/>
      <c r="AB141" s="228">
        <f>ROUND((ROUND((ROUND((ROUND((_15_同援日１．０*_15・基礎２),0)*(1+_15・A深夜)),0)*(1+_15・盲ろう)),0)*(1+_15・区３)),0)+ROUND((ROUND((ROUND((ROUND((_15_同援日１．０＿０．５*_15・基礎２),0)*(1+_15・B早朝)),0)*(1+_15・盲ろう)),0)*(1+_15・区３)),0)</f>
        <v>810</v>
      </c>
      <c r="AC141" s="69"/>
    </row>
    <row r="142" spans="1:29" ht="16.5" customHeight="1" x14ac:dyDescent="0.3">
      <c r="A142" s="2">
        <v>15</v>
      </c>
      <c r="B142" s="2">
        <v>8974</v>
      </c>
      <c r="C142" s="60" t="s">
        <v>9479</v>
      </c>
      <c r="D142" s="1"/>
      <c r="E142" s="68"/>
      <c r="F142" s="70"/>
      <c r="G142" s="1"/>
      <c r="H142" s="68"/>
      <c r="I142" s="70"/>
      <c r="J142" s="106" t="s">
        <v>16970</v>
      </c>
      <c r="K142" s="57" t="s">
        <v>1</v>
      </c>
      <c r="L142" s="58">
        <v>0.9</v>
      </c>
      <c r="M142" s="83" t="s">
        <v>5895</v>
      </c>
      <c r="N142" s="64" t="s">
        <v>1</v>
      </c>
      <c r="O142" s="65">
        <v>1</v>
      </c>
      <c r="P142" s="99"/>
      <c r="Q142" s="70"/>
      <c r="R142" s="99"/>
      <c r="S142" s="70"/>
      <c r="T142" s="66"/>
      <c r="U142" s="57"/>
      <c r="V142" s="58"/>
      <c r="W142" s="77"/>
      <c r="X142" s="66"/>
      <c r="Y142" s="57"/>
      <c r="Z142" s="58"/>
      <c r="AA142" s="77"/>
      <c r="AB142" s="228">
        <f>ROUND((ROUND((ROUND((ROUND((ROUND((_15_同援日１．０*_15・基礎２),0)*_15・２人),0)*(1+_15・A深夜)),0)*(1+_15・盲ろう)),0)*(1+_15・区３)),0)+ROUND((ROUND((ROUND((ROUND((ROUND((_15_同援日１．０＿０．５*_15・基礎２),0)*_15・２人),0)*(1+_15・B早朝)),0)*(1+_15・盲ろう)),0)*(1+_15・区３)),0)</f>
        <v>810</v>
      </c>
      <c r="AC142" s="69"/>
    </row>
    <row r="143" spans="1:29" ht="16.5" customHeight="1" x14ac:dyDescent="0.3">
      <c r="A143" s="2">
        <v>15</v>
      </c>
      <c r="B143" s="2">
        <v>8975</v>
      </c>
      <c r="C143" s="60" t="s">
        <v>9478</v>
      </c>
      <c r="D143" s="1"/>
      <c r="E143" s="68"/>
      <c r="F143" s="70"/>
      <c r="G143" s="1"/>
      <c r="H143" s="68"/>
      <c r="I143" s="70"/>
      <c r="J143" s="61"/>
      <c r="K143" s="62"/>
      <c r="L143" s="63"/>
      <c r="M143" s="85"/>
      <c r="N143" s="64"/>
      <c r="O143" s="65"/>
      <c r="P143" s="99"/>
      <c r="Q143" s="70"/>
      <c r="R143" s="99"/>
      <c r="S143" s="70"/>
      <c r="T143" s="61"/>
      <c r="U143" s="62"/>
      <c r="V143" s="63"/>
      <c r="W143" s="75"/>
      <c r="X143" s="61"/>
      <c r="Y143" s="62"/>
      <c r="Z143" s="63"/>
      <c r="AA143" s="75"/>
      <c r="AB143" s="228">
        <f>ROUND((ROUND((_15_同援日１．０*(1+_15・A深夜)),0)*(1+_15・区４)),0)+ROUND((ROUND((_15_同援日１．０＿０．５*(1+_15・B早朝)),0)*(1+_15・区４)),0)</f>
        <v>838</v>
      </c>
      <c r="AC143" s="69"/>
    </row>
    <row r="144" spans="1:29" ht="16.5" customHeight="1" x14ac:dyDescent="0.3">
      <c r="A144" s="2">
        <v>15</v>
      </c>
      <c r="B144" s="2">
        <v>8976</v>
      </c>
      <c r="C144" s="60" t="s">
        <v>9477</v>
      </c>
      <c r="D144" s="1"/>
      <c r="E144" s="68"/>
      <c r="F144" s="70"/>
      <c r="G144" s="1"/>
      <c r="H144" s="68"/>
      <c r="I144" s="70"/>
      <c r="J144" s="66"/>
      <c r="K144" s="57"/>
      <c r="L144" s="58"/>
      <c r="M144" s="83" t="s">
        <v>5895</v>
      </c>
      <c r="N144" s="64" t="s">
        <v>1</v>
      </c>
      <c r="O144" s="65">
        <v>1</v>
      </c>
      <c r="P144" s="99"/>
      <c r="Q144" s="70"/>
      <c r="R144" s="99"/>
      <c r="S144" s="70"/>
      <c r="T144" s="67"/>
      <c r="U144" s="68"/>
      <c r="V144" s="76"/>
      <c r="W144" s="70"/>
      <c r="X144" s="67"/>
      <c r="Y144" s="68"/>
      <c r="Z144" s="76"/>
      <c r="AA144" s="70"/>
      <c r="AB144" s="228">
        <f>ROUND((ROUND((ROUND((_15_同援日１．０*_15・２人),0)*(1+_15・A深夜)),0)*(1+_15・区４)),0)+ROUND((ROUND((ROUND((_15_同援日１．０＿０．５*_15・２人),0)*(1+_15・B早朝)),0)*(1+_15・区４)),0)</f>
        <v>838</v>
      </c>
      <c r="AC144" s="69"/>
    </row>
    <row r="145" spans="1:29" ht="16.5" customHeight="1" x14ac:dyDescent="0.3">
      <c r="A145" s="2">
        <v>15</v>
      </c>
      <c r="B145" s="2">
        <v>8977</v>
      </c>
      <c r="C145" s="60" t="s">
        <v>9476</v>
      </c>
      <c r="D145" s="1"/>
      <c r="E145" s="68"/>
      <c r="F145" s="70"/>
      <c r="G145" s="1"/>
      <c r="H145" s="68"/>
      <c r="I145" s="70"/>
      <c r="J145" s="74" t="s">
        <v>16971</v>
      </c>
      <c r="K145" s="62"/>
      <c r="L145" s="63"/>
      <c r="M145" s="85"/>
      <c r="N145" s="64"/>
      <c r="O145" s="65"/>
      <c r="P145" s="99"/>
      <c r="Q145" s="70"/>
      <c r="R145" s="99"/>
      <c r="S145" s="70"/>
      <c r="T145" s="67"/>
      <c r="U145" s="68"/>
      <c r="V145" s="76"/>
      <c r="W145" s="70"/>
      <c r="X145" s="1" t="s">
        <v>18027</v>
      </c>
      <c r="Y145" s="68"/>
      <c r="Z145" s="76"/>
      <c r="AA145" s="70"/>
      <c r="AB145" s="228">
        <f>ROUND((ROUND((ROUND((_15_同援日１．０*_15・基礎２),0)*(1+_15・A深夜)),0)*(1+_15・区４)),0)+ROUND((ROUND((ROUND((_15_同援日１．０＿０．５*_15・基礎２),0)*(1+_15・B早朝)),0)*(1+_15・区４)),0)</f>
        <v>756</v>
      </c>
      <c r="AC145" s="69"/>
    </row>
    <row r="146" spans="1:29" ht="16.5" customHeight="1" x14ac:dyDescent="0.3">
      <c r="A146" s="2">
        <v>15</v>
      </c>
      <c r="B146" s="2">
        <v>8978</v>
      </c>
      <c r="C146" s="60" t="s">
        <v>9475</v>
      </c>
      <c r="D146" s="1"/>
      <c r="E146" s="68"/>
      <c r="F146" s="70"/>
      <c r="G146" s="1"/>
      <c r="H146" s="68"/>
      <c r="I146" s="70"/>
      <c r="J146" s="106" t="s">
        <v>16970</v>
      </c>
      <c r="K146" s="57" t="s">
        <v>1</v>
      </c>
      <c r="L146" s="58">
        <v>0.9</v>
      </c>
      <c r="M146" s="83" t="s">
        <v>5895</v>
      </c>
      <c r="N146" s="64" t="s">
        <v>1</v>
      </c>
      <c r="O146" s="65">
        <v>1</v>
      </c>
      <c r="P146" s="99"/>
      <c r="Q146" s="70"/>
      <c r="R146" s="99"/>
      <c r="S146" s="70"/>
      <c r="T146" s="66"/>
      <c r="U146" s="57"/>
      <c r="V146" s="58"/>
      <c r="W146" s="77"/>
      <c r="X146" s="1" t="s">
        <v>18026</v>
      </c>
      <c r="Y146" s="68"/>
      <c r="Z146" s="76"/>
      <c r="AA146" s="70"/>
      <c r="AB146" s="228">
        <f>ROUND((ROUND((ROUND((ROUND((_15_同援日１．０*_15・基礎２),0)*_15・２人),0)*(1+_15・A深夜)),0)*(1+_15・区４)),0)+ROUND((ROUND((ROUND((ROUND((_15_同援日１．０＿０．５*_15・基礎２),0)*_15・２人),0)*(1+_15・B早朝)),0)*(1+_15・区４)),0)</f>
        <v>756</v>
      </c>
      <c r="AC146" s="69"/>
    </row>
    <row r="147" spans="1:29" ht="16.5" customHeight="1" x14ac:dyDescent="0.3">
      <c r="A147" s="2">
        <v>15</v>
      </c>
      <c r="B147" s="2">
        <v>8979</v>
      </c>
      <c r="C147" s="60" t="s">
        <v>9474</v>
      </c>
      <c r="D147" s="1"/>
      <c r="E147" s="68"/>
      <c r="F147" s="70"/>
      <c r="G147" s="1"/>
      <c r="H147" s="68"/>
      <c r="I147" s="70"/>
      <c r="J147" s="61"/>
      <c r="K147" s="62"/>
      <c r="L147" s="63"/>
      <c r="M147" s="85"/>
      <c r="N147" s="64"/>
      <c r="O147" s="65"/>
      <c r="P147" s="99"/>
      <c r="Q147" s="70"/>
      <c r="R147" s="99"/>
      <c r="S147" s="70"/>
      <c r="T147" s="74" t="s">
        <v>18025</v>
      </c>
      <c r="U147" s="62"/>
      <c r="V147" s="63"/>
      <c r="W147" s="75"/>
      <c r="X147" s="67"/>
      <c r="Y147" s="68" t="s">
        <v>1</v>
      </c>
      <c r="Z147" s="76">
        <v>0.4</v>
      </c>
      <c r="AA147" s="70" t="s">
        <v>422</v>
      </c>
      <c r="AB147" s="228">
        <f>ROUND((ROUND((ROUND((_15_同援日１．０*(1+_15・A深夜)),0)*(1+_15・盲ろう)),0)*(1+_15・区４)),0)+ROUND((ROUND((ROUND((_15_同援日１．０＿０．５*(1+_15・B早朝)),0)*(1+_15・盲ろう)),0)*(1+_15・区４)),0)</f>
        <v>1048</v>
      </c>
      <c r="AC147" s="69"/>
    </row>
    <row r="148" spans="1:29" ht="16.5" customHeight="1" x14ac:dyDescent="0.3">
      <c r="A148" s="2">
        <v>15</v>
      </c>
      <c r="B148" s="2">
        <v>8980</v>
      </c>
      <c r="C148" s="60" t="s">
        <v>9473</v>
      </c>
      <c r="D148" s="1"/>
      <c r="E148" s="68"/>
      <c r="F148" s="70"/>
      <c r="G148" s="1"/>
      <c r="H148" s="68"/>
      <c r="I148" s="70"/>
      <c r="J148" s="66"/>
      <c r="K148" s="57"/>
      <c r="L148" s="58"/>
      <c r="M148" s="83" t="s">
        <v>5895</v>
      </c>
      <c r="N148" s="64" t="s">
        <v>1</v>
      </c>
      <c r="O148" s="65">
        <v>1</v>
      </c>
      <c r="P148" s="99"/>
      <c r="Q148" s="70"/>
      <c r="R148" s="99"/>
      <c r="S148" s="70"/>
      <c r="T148" s="94" t="s">
        <v>18024</v>
      </c>
      <c r="U148" s="68"/>
      <c r="V148" s="76"/>
      <c r="W148" s="70"/>
      <c r="X148" s="67"/>
      <c r="Y148" s="68"/>
      <c r="Z148" s="76"/>
      <c r="AA148" s="70"/>
      <c r="AB148" s="228">
        <f>ROUND((ROUND((ROUND((ROUND((_15_同援日１．０*_15・２人),0)*(1+_15・A深夜)),0)*(1+_15・盲ろう)),0)*(1+_15・区４)),0)+ROUND((ROUND((ROUND((ROUND((_15_同援日１．０＿０．５*_15・２人),0)*(1+_15・B早朝)),0)*(1+_15・盲ろう)),0)*(1+_15・区４)),0)</f>
        <v>1048</v>
      </c>
      <c r="AC148" s="69"/>
    </row>
    <row r="149" spans="1:29" ht="16.5" customHeight="1" x14ac:dyDescent="0.3">
      <c r="A149" s="2">
        <v>15</v>
      </c>
      <c r="B149" s="2">
        <v>8981</v>
      </c>
      <c r="C149" s="60" t="s">
        <v>9472</v>
      </c>
      <c r="D149" s="1"/>
      <c r="E149" s="68"/>
      <c r="F149" s="70"/>
      <c r="G149" s="1"/>
      <c r="H149" s="68"/>
      <c r="I149" s="70"/>
      <c r="J149" s="74" t="s">
        <v>16971</v>
      </c>
      <c r="K149" s="62"/>
      <c r="L149" s="63"/>
      <c r="M149" s="85"/>
      <c r="N149" s="64"/>
      <c r="O149" s="65"/>
      <c r="P149" s="99"/>
      <c r="Q149" s="70"/>
      <c r="R149" s="99"/>
      <c r="S149" s="70"/>
      <c r="T149" s="67"/>
      <c r="U149" s="68" t="s">
        <v>1</v>
      </c>
      <c r="V149" s="76">
        <v>0.25</v>
      </c>
      <c r="W149" s="70" t="s">
        <v>422</v>
      </c>
      <c r="X149" s="67"/>
      <c r="Y149" s="68"/>
      <c r="Z149" s="76"/>
      <c r="AA149" s="70"/>
      <c r="AB149" s="228">
        <f>ROUND((ROUND((ROUND((ROUND((_15_同援日１．０*_15・基礎２),0)*(1+_15・A深夜)),0)*(1+_15・盲ろう)),0)*(1+_15・区４)),0)+ROUND((ROUND((ROUND((ROUND((_15_同援日１．０＿０．５*_15・基礎２),0)*(1+_15・B早朝)),0)*(1+_15・盲ろう)),0)*(1+_15・区４)),0)</f>
        <v>945</v>
      </c>
      <c r="AC149" s="69"/>
    </row>
    <row r="150" spans="1:29" ht="16.5" customHeight="1" x14ac:dyDescent="0.3">
      <c r="A150" s="2">
        <v>15</v>
      </c>
      <c r="B150" s="2">
        <v>8982</v>
      </c>
      <c r="C150" s="60" t="s">
        <v>9471</v>
      </c>
      <c r="D150" s="1"/>
      <c r="E150" s="68"/>
      <c r="F150" s="70"/>
      <c r="G150" s="81"/>
      <c r="H150" s="57"/>
      <c r="I150" s="77"/>
      <c r="J150" s="106" t="s">
        <v>16970</v>
      </c>
      <c r="K150" s="57" t="s">
        <v>1</v>
      </c>
      <c r="L150" s="58">
        <v>0.9</v>
      </c>
      <c r="M150" s="83" t="s">
        <v>5895</v>
      </c>
      <c r="N150" s="64" t="s">
        <v>1</v>
      </c>
      <c r="O150" s="65">
        <v>1</v>
      </c>
      <c r="P150" s="99"/>
      <c r="Q150" s="70"/>
      <c r="R150" s="99"/>
      <c r="S150" s="70"/>
      <c r="T150" s="66"/>
      <c r="U150" s="57"/>
      <c r="V150" s="58"/>
      <c r="W150" s="77"/>
      <c r="X150" s="66"/>
      <c r="Y150" s="57"/>
      <c r="Z150" s="58"/>
      <c r="AA150" s="77"/>
      <c r="AB150" s="228">
        <f>ROUND((ROUND((ROUND((ROUND((ROUND((_15_同援日１．０*_15・基礎２),0)*_15・２人),0)*(1+_15・A深夜)),0)*(1+_15・盲ろう)),0)*(1+_15・区４)),0)+ROUND((ROUND((ROUND((ROUND((ROUND((_15_同援日１．０＿０．５*_15・基礎２),0)*_15・２人),0)*(1+_15・B早朝)),0)*(1+_15・盲ろう)),0)*(1+_15・区４)),0)</f>
        <v>945</v>
      </c>
      <c r="AC150" s="69"/>
    </row>
    <row r="151" spans="1:29" ht="16.5" customHeight="1" x14ac:dyDescent="0.3">
      <c r="A151" s="2">
        <v>15</v>
      </c>
      <c r="B151" s="2">
        <v>8983</v>
      </c>
      <c r="C151" s="60" t="s">
        <v>9470</v>
      </c>
      <c r="D151" s="1"/>
      <c r="E151" s="68"/>
      <c r="F151" s="70"/>
      <c r="G151" s="233" t="s">
        <v>16988</v>
      </c>
      <c r="H151" s="62"/>
      <c r="I151" s="75"/>
      <c r="J151" s="61"/>
      <c r="K151" s="62"/>
      <c r="L151" s="63"/>
      <c r="M151" s="85"/>
      <c r="N151" s="64"/>
      <c r="O151" s="65"/>
      <c r="P151" s="99"/>
      <c r="Q151" s="70"/>
      <c r="R151" s="99"/>
      <c r="S151" s="70"/>
      <c r="T151" s="61"/>
      <c r="U151" s="62"/>
      <c r="V151" s="63"/>
      <c r="W151" s="75"/>
      <c r="X151" s="61"/>
      <c r="Y151" s="62"/>
      <c r="Z151" s="63"/>
      <c r="AA151" s="75"/>
      <c r="AB151" s="228">
        <f>ROUND((_15_同援日１．０*(1+_15・A深夜)),0)+ROUND((_15_同援日１．０＿１．０*(1+_15・B早朝)),0)</f>
        <v>679</v>
      </c>
      <c r="AC151" s="69"/>
    </row>
    <row r="152" spans="1:29" ht="16.5" customHeight="1" x14ac:dyDescent="0.3">
      <c r="A152" s="2">
        <v>15</v>
      </c>
      <c r="B152" s="2">
        <v>8984</v>
      </c>
      <c r="C152" s="60" t="s">
        <v>9469</v>
      </c>
      <c r="D152" s="1"/>
      <c r="E152" s="68"/>
      <c r="F152" s="70"/>
      <c r="G152" s="1" t="s">
        <v>16978</v>
      </c>
      <c r="H152" s="68"/>
      <c r="I152" s="70"/>
      <c r="J152" s="66"/>
      <c r="K152" s="57"/>
      <c r="L152" s="58"/>
      <c r="M152" s="83" t="s">
        <v>5895</v>
      </c>
      <c r="N152" s="64" t="s">
        <v>1</v>
      </c>
      <c r="O152" s="65">
        <v>1</v>
      </c>
      <c r="P152" s="99"/>
      <c r="Q152" s="70"/>
      <c r="R152" s="99"/>
      <c r="S152" s="70"/>
      <c r="T152" s="67"/>
      <c r="U152" s="68"/>
      <c r="V152" s="76"/>
      <c r="W152" s="70"/>
      <c r="X152" s="67"/>
      <c r="Y152" s="68"/>
      <c r="Z152" s="76"/>
      <c r="AA152" s="70"/>
      <c r="AB152" s="228">
        <f>ROUND((ROUND((_15_同援日１．０*_15・２人),0)*(1+_15・A深夜)),0)+ROUND((ROUND((_15_同援日１．０＿１．０*_15・２人),0)*(1+_15・B早朝)),0)</f>
        <v>679</v>
      </c>
      <c r="AC152" s="69"/>
    </row>
    <row r="153" spans="1:29" ht="16.5" customHeight="1" x14ac:dyDescent="0.3">
      <c r="A153" s="2">
        <v>15</v>
      </c>
      <c r="B153" s="2">
        <v>8985</v>
      </c>
      <c r="C153" s="60" t="s">
        <v>9468</v>
      </c>
      <c r="D153" s="1"/>
      <c r="E153" s="68"/>
      <c r="F153" s="70"/>
      <c r="G153" s="1" t="s">
        <v>8572</v>
      </c>
      <c r="H153" s="68"/>
      <c r="I153" s="70"/>
      <c r="J153" s="74" t="s">
        <v>16971</v>
      </c>
      <c r="K153" s="62"/>
      <c r="L153" s="63"/>
      <c r="M153" s="85"/>
      <c r="N153" s="64"/>
      <c r="O153" s="65"/>
      <c r="P153" s="99"/>
      <c r="Q153" s="70"/>
      <c r="R153" s="99"/>
      <c r="S153" s="70"/>
      <c r="T153" s="67"/>
      <c r="U153" s="68"/>
      <c r="V153" s="76"/>
      <c r="W153" s="70"/>
      <c r="X153" s="67"/>
      <c r="Y153" s="68"/>
      <c r="Z153" s="76"/>
      <c r="AA153" s="70"/>
      <c r="AB153" s="228">
        <f>ROUND((ROUND((_15_同援日１．０*_15・基礎２),0)*(1+_15・A深夜)),0)+ROUND((ROUND((_15_同援日１．０＿１．０*_15・基礎２),0)*(1+_15・B早朝)),0)</f>
        <v>613</v>
      </c>
      <c r="AC153" s="69"/>
    </row>
    <row r="154" spans="1:29" ht="16.5" customHeight="1" x14ac:dyDescent="0.3">
      <c r="A154" s="2">
        <v>15</v>
      </c>
      <c r="B154" s="2">
        <v>8986</v>
      </c>
      <c r="C154" s="60" t="s">
        <v>9467</v>
      </c>
      <c r="D154" s="1"/>
      <c r="E154" s="68"/>
      <c r="F154" s="70"/>
      <c r="G154" s="1"/>
      <c r="H154" s="119">
        <v>193</v>
      </c>
      <c r="I154" s="70" t="s">
        <v>0</v>
      </c>
      <c r="J154" s="106" t="s">
        <v>16970</v>
      </c>
      <c r="K154" s="57" t="s">
        <v>1</v>
      </c>
      <c r="L154" s="58">
        <v>0.9</v>
      </c>
      <c r="M154" s="83" t="s">
        <v>5895</v>
      </c>
      <c r="N154" s="64" t="s">
        <v>1</v>
      </c>
      <c r="O154" s="65">
        <v>1</v>
      </c>
      <c r="P154" s="99"/>
      <c r="Q154" s="70"/>
      <c r="R154" s="99"/>
      <c r="S154" s="70"/>
      <c r="T154" s="66"/>
      <c r="U154" s="57"/>
      <c r="V154" s="58"/>
      <c r="W154" s="77"/>
      <c r="X154" s="67"/>
      <c r="Y154" s="68"/>
      <c r="Z154" s="76"/>
      <c r="AA154" s="70"/>
      <c r="AB154" s="228">
        <f>ROUND((ROUND((ROUND((_15_同援日１．０*_15・基礎２),0)*_15・２人),0)*(1+_15・A深夜)),0)+ROUND((ROUND((ROUND((_15_同援日１．０＿１．０*_15・基礎２),0)*_15・２人),0)*(1+_15・B早朝)),0)</f>
        <v>613</v>
      </c>
      <c r="AC154" s="69"/>
    </row>
    <row r="155" spans="1:29" ht="16.5" customHeight="1" x14ac:dyDescent="0.3">
      <c r="A155" s="2">
        <v>15</v>
      </c>
      <c r="B155" s="2">
        <v>8987</v>
      </c>
      <c r="C155" s="60" t="s">
        <v>9466</v>
      </c>
      <c r="D155" s="1"/>
      <c r="E155" s="68"/>
      <c r="F155" s="70"/>
      <c r="G155" s="1"/>
      <c r="H155" s="68"/>
      <c r="I155" s="70"/>
      <c r="J155" s="61"/>
      <c r="K155" s="62"/>
      <c r="L155" s="63"/>
      <c r="M155" s="85"/>
      <c r="N155" s="64"/>
      <c r="O155" s="65"/>
      <c r="P155" s="99"/>
      <c r="Q155" s="70"/>
      <c r="R155" s="99"/>
      <c r="S155" s="70"/>
      <c r="T155" s="74" t="s">
        <v>18025</v>
      </c>
      <c r="U155" s="62"/>
      <c r="V155" s="63"/>
      <c r="W155" s="75"/>
      <c r="X155" s="67"/>
      <c r="Y155" s="68"/>
      <c r="Z155" s="76"/>
      <c r="AA155" s="70"/>
      <c r="AB155" s="228">
        <f>ROUND((ROUND((_15_同援日１．０*(1+_15・A深夜)),0)*(1+_15・盲ろう)),0)+ROUND((ROUND((_15_同援日１．０＿１．０*(1+_15・B早朝)),0)*(1+_15・盲ろう)),0)</f>
        <v>849</v>
      </c>
      <c r="AC155" s="69"/>
    </row>
    <row r="156" spans="1:29" ht="16.5" customHeight="1" x14ac:dyDescent="0.3">
      <c r="A156" s="2">
        <v>15</v>
      </c>
      <c r="B156" s="2">
        <v>8988</v>
      </c>
      <c r="C156" s="60" t="s">
        <v>9465</v>
      </c>
      <c r="D156" s="1"/>
      <c r="E156" s="68"/>
      <c r="F156" s="70"/>
      <c r="G156" s="1"/>
      <c r="H156" s="68"/>
      <c r="I156" s="70"/>
      <c r="J156" s="66"/>
      <c r="K156" s="57"/>
      <c r="L156" s="58"/>
      <c r="M156" s="83" t="s">
        <v>5895</v>
      </c>
      <c r="N156" s="64" t="s">
        <v>1</v>
      </c>
      <c r="O156" s="65">
        <v>1</v>
      </c>
      <c r="P156" s="99"/>
      <c r="Q156" s="70"/>
      <c r="R156" s="99"/>
      <c r="S156" s="70"/>
      <c r="T156" s="94" t="s">
        <v>18024</v>
      </c>
      <c r="U156" s="68"/>
      <c r="V156" s="76"/>
      <c r="W156" s="70"/>
      <c r="X156" s="67"/>
      <c r="Y156" s="68"/>
      <c r="Z156" s="76"/>
      <c r="AA156" s="70"/>
      <c r="AB156" s="228">
        <f>ROUND((ROUND((ROUND((_15_同援日１．０*_15・２人),0)*(1+_15・A深夜)),0)*(1+_15・盲ろう)),0)+ROUND((ROUND((ROUND((_15_同援日１．０＿１．０*_15・２人),0)*(1+_15・B早朝)),0)*(1+_15・盲ろう)),0)</f>
        <v>849</v>
      </c>
      <c r="AC156" s="69"/>
    </row>
    <row r="157" spans="1:29" ht="16.5" customHeight="1" x14ac:dyDescent="0.3">
      <c r="A157" s="2">
        <v>15</v>
      </c>
      <c r="B157" s="2">
        <v>8989</v>
      </c>
      <c r="C157" s="60" t="s">
        <v>9464</v>
      </c>
      <c r="D157" s="1"/>
      <c r="E157" s="68"/>
      <c r="F157" s="70"/>
      <c r="G157" s="1"/>
      <c r="H157" s="68"/>
      <c r="I157" s="70"/>
      <c r="J157" s="74" t="s">
        <v>16971</v>
      </c>
      <c r="K157" s="62"/>
      <c r="L157" s="63"/>
      <c r="M157" s="85"/>
      <c r="N157" s="64"/>
      <c r="O157" s="65"/>
      <c r="P157" s="99"/>
      <c r="Q157" s="70"/>
      <c r="R157" s="99"/>
      <c r="S157" s="70"/>
      <c r="T157" s="67"/>
      <c r="U157" s="68" t="s">
        <v>1</v>
      </c>
      <c r="V157" s="76">
        <v>0.25</v>
      </c>
      <c r="W157" s="70" t="s">
        <v>422</v>
      </c>
      <c r="X157" s="67"/>
      <c r="Y157" s="68"/>
      <c r="Z157" s="76"/>
      <c r="AA157" s="70"/>
      <c r="AB157" s="228">
        <f>ROUND((ROUND((ROUND((_15_同援日１．０*_15・基礎２),0)*(1+_15・A深夜)),0)*(1+_15・盲ろう)),0)+ROUND((ROUND((ROUND((_15_同援日１．０＿１．０*_15・基礎２),0)*(1+_15・B早朝)),0)*(1+_15・盲ろう)),0)</f>
        <v>767</v>
      </c>
      <c r="AC157" s="69"/>
    </row>
    <row r="158" spans="1:29" ht="16.5" customHeight="1" x14ac:dyDescent="0.3">
      <c r="A158" s="2">
        <v>15</v>
      </c>
      <c r="B158" s="2">
        <v>8990</v>
      </c>
      <c r="C158" s="60" t="s">
        <v>9463</v>
      </c>
      <c r="D158" s="1"/>
      <c r="E158" s="68"/>
      <c r="F158" s="70"/>
      <c r="G158" s="1"/>
      <c r="H158" s="68"/>
      <c r="I158" s="70"/>
      <c r="J158" s="106" t="s">
        <v>16970</v>
      </c>
      <c r="K158" s="57" t="s">
        <v>1</v>
      </c>
      <c r="L158" s="58">
        <v>0.9</v>
      </c>
      <c r="M158" s="83" t="s">
        <v>5895</v>
      </c>
      <c r="N158" s="64" t="s">
        <v>1</v>
      </c>
      <c r="O158" s="65">
        <v>1</v>
      </c>
      <c r="P158" s="99"/>
      <c r="Q158" s="70"/>
      <c r="R158" s="99"/>
      <c r="S158" s="70"/>
      <c r="T158" s="66"/>
      <c r="U158" s="57"/>
      <c r="V158" s="58"/>
      <c r="W158" s="77"/>
      <c r="X158" s="66"/>
      <c r="Y158" s="57"/>
      <c r="Z158" s="58"/>
      <c r="AA158" s="77"/>
      <c r="AB158" s="228">
        <f>ROUND((ROUND((ROUND((ROUND((_15_同援日１．０*_15・基礎２),0)*_15・２人),0)*(1+_15・A深夜)),0)*(1+_15・盲ろう)),0)+ROUND((ROUND((ROUND((ROUND((_15_同援日１．０＿１．０*_15・基礎２),0)*_15・２人),0)*(1+_15・B早朝)),0)*(1+_15・盲ろう)),0)</f>
        <v>767</v>
      </c>
      <c r="AC158" s="69"/>
    </row>
    <row r="159" spans="1:29" ht="16.5" customHeight="1" x14ac:dyDescent="0.3">
      <c r="A159" s="2">
        <v>15</v>
      </c>
      <c r="B159" s="2">
        <v>8991</v>
      </c>
      <c r="C159" s="60" t="s">
        <v>9462</v>
      </c>
      <c r="D159" s="1"/>
      <c r="E159" s="68"/>
      <c r="F159" s="70"/>
      <c r="G159" s="1"/>
      <c r="H159" s="68"/>
      <c r="I159" s="70"/>
      <c r="J159" s="61"/>
      <c r="K159" s="62"/>
      <c r="L159" s="63"/>
      <c r="M159" s="85"/>
      <c r="N159" s="64"/>
      <c r="O159" s="65"/>
      <c r="P159" s="99"/>
      <c r="Q159" s="70"/>
      <c r="R159" s="99"/>
      <c r="S159" s="70"/>
      <c r="T159" s="61"/>
      <c r="U159" s="62"/>
      <c r="V159" s="63"/>
      <c r="W159" s="75"/>
      <c r="X159" s="61"/>
      <c r="Y159" s="62"/>
      <c r="Z159" s="63"/>
      <c r="AA159" s="75"/>
      <c r="AB159" s="228">
        <f>ROUND((ROUND((_15_同援日１．０*(1+_15・A深夜)),0)*(1+_15・区３)),0)+ROUND((ROUND((_15_同援日１．０＿１．０*(1+_15・B早朝)),0)*(1+_15・区３)),0)</f>
        <v>815</v>
      </c>
      <c r="AC159" s="69"/>
    </row>
    <row r="160" spans="1:29" ht="16.5" customHeight="1" x14ac:dyDescent="0.3">
      <c r="A160" s="2">
        <v>15</v>
      </c>
      <c r="B160" s="2">
        <v>8992</v>
      </c>
      <c r="C160" s="60" t="s">
        <v>9461</v>
      </c>
      <c r="D160" s="1"/>
      <c r="E160" s="68"/>
      <c r="F160" s="70"/>
      <c r="G160" s="1"/>
      <c r="H160" s="68"/>
      <c r="I160" s="70"/>
      <c r="J160" s="66"/>
      <c r="K160" s="57"/>
      <c r="L160" s="58"/>
      <c r="M160" s="83" t="s">
        <v>5895</v>
      </c>
      <c r="N160" s="64" t="s">
        <v>1</v>
      </c>
      <c r="O160" s="65">
        <v>1</v>
      </c>
      <c r="P160" s="99"/>
      <c r="Q160" s="70"/>
      <c r="R160" s="99"/>
      <c r="S160" s="70"/>
      <c r="T160" s="67"/>
      <c r="U160" s="68"/>
      <c r="V160" s="76"/>
      <c r="W160" s="70"/>
      <c r="X160" s="67"/>
      <c r="Y160" s="68"/>
      <c r="Z160" s="76"/>
      <c r="AA160" s="70"/>
      <c r="AB160" s="228">
        <f>ROUND((ROUND((ROUND((_15_同援日１．０*_15・２人),0)*(1+_15・A深夜)),0)*(1+_15・区３)),0)+ROUND((ROUND((ROUND((_15_同援日１．０＿１．０*_15・２人),0)*(1+_15・B早朝)),0)*(1+_15・区３)),0)</f>
        <v>815</v>
      </c>
      <c r="AC160" s="69"/>
    </row>
    <row r="161" spans="1:29" ht="16.5" customHeight="1" x14ac:dyDescent="0.3">
      <c r="A161" s="2">
        <v>15</v>
      </c>
      <c r="B161" s="2">
        <v>8993</v>
      </c>
      <c r="C161" s="60" t="s">
        <v>9460</v>
      </c>
      <c r="D161" s="1"/>
      <c r="E161" s="68"/>
      <c r="F161" s="70"/>
      <c r="G161" s="1"/>
      <c r="H161" s="68"/>
      <c r="I161" s="70"/>
      <c r="J161" s="74" t="s">
        <v>16971</v>
      </c>
      <c r="K161" s="62"/>
      <c r="L161" s="63"/>
      <c r="M161" s="85"/>
      <c r="N161" s="64"/>
      <c r="O161" s="65"/>
      <c r="P161" s="99"/>
      <c r="Q161" s="70"/>
      <c r="R161" s="99"/>
      <c r="S161" s="70"/>
      <c r="T161" s="67"/>
      <c r="U161" s="68"/>
      <c r="V161" s="76"/>
      <c r="W161" s="70"/>
      <c r="X161" s="1" t="s">
        <v>18028</v>
      </c>
      <c r="Y161" s="68"/>
      <c r="Z161" s="76"/>
      <c r="AA161" s="70"/>
      <c r="AB161" s="228">
        <f>ROUND((ROUND((ROUND((_15_同援日１．０*_15・基礎２),0)*(1+_15・A深夜)),0)*(1+_15・区３)),0)+ROUND((ROUND((ROUND((_15_同援日１．０＿１．０*_15・基礎２),0)*(1+_15・B早朝)),0)*(1+_15・区３)),0)</f>
        <v>736</v>
      </c>
      <c r="AC161" s="69"/>
    </row>
    <row r="162" spans="1:29" ht="16.5" customHeight="1" x14ac:dyDescent="0.3">
      <c r="A162" s="2">
        <v>15</v>
      </c>
      <c r="B162" s="2">
        <v>8994</v>
      </c>
      <c r="C162" s="60" t="s">
        <v>9459</v>
      </c>
      <c r="D162" s="1"/>
      <c r="E162" s="68"/>
      <c r="F162" s="70"/>
      <c r="G162" s="1"/>
      <c r="H162" s="68"/>
      <c r="I162" s="70"/>
      <c r="J162" s="106" t="s">
        <v>16970</v>
      </c>
      <c r="K162" s="57" t="s">
        <v>1</v>
      </c>
      <c r="L162" s="58">
        <v>0.9</v>
      </c>
      <c r="M162" s="83" t="s">
        <v>5895</v>
      </c>
      <c r="N162" s="64" t="s">
        <v>1</v>
      </c>
      <c r="O162" s="65">
        <v>1</v>
      </c>
      <c r="P162" s="99"/>
      <c r="Q162" s="70"/>
      <c r="R162" s="99"/>
      <c r="S162" s="70"/>
      <c r="T162" s="66"/>
      <c r="U162" s="57"/>
      <c r="V162" s="58"/>
      <c r="W162" s="77"/>
      <c r="X162" s="1" t="s">
        <v>18026</v>
      </c>
      <c r="Y162" s="68"/>
      <c r="Z162" s="76"/>
      <c r="AA162" s="70"/>
      <c r="AB162" s="228">
        <f>ROUND((ROUND((ROUND((ROUND((_15_同援日１．０*_15・基礎２),0)*_15・２人),0)*(1+_15・A深夜)),0)*(1+_15・区３)),0)+ROUND((ROUND((ROUND((ROUND((_15_同援日１．０＿１．０*_15・基礎２),0)*_15・２人),0)*(1+_15・B早朝)),0)*(1+_15・区３)),0)</f>
        <v>736</v>
      </c>
      <c r="AC162" s="69"/>
    </row>
    <row r="163" spans="1:29" ht="16.5" customHeight="1" x14ac:dyDescent="0.3">
      <c r="A163" s="2">
        <v>15</v>
      </c>
      <c r="B163" s="2">
        <v>8995</v>
      </c>
      <c r="C163" s="60" t="s">
        <v>9458</v>
      </c>
      <c r="D163" s="1"/>
      <c r="E163" s="68"/>
      <c r="F163" s="70"/>
      <c r="G163" s="1"/>
      <c r="H163" s="68"/>
      <c r="I163" s="70"/>
      <c r="J163" s="61"/>
      <c r="K163" s="62"/>
      <c r="L163" s="63"/>
      <c r="M163" s="85"/>
      <c r="N163" s="64"/>
      <c r="O163" s="65"/>
      <c r="P163" s="99"/>
      <c r="Q163" s="70"/>
      <c r="R163" s="99"/>
      <c r="S163" s="70"/>
      <c r="T163" s="74" t="s">
        <v>18025</v>
      </c>
      <c r="U163" s="62"/>
      <c r="V163" s="63"/>
      <c r="W163" s="75"/>
      <c r="X163" s="67"/>
      <c r="Y163" s="68" t="s">
        <v>1</v>
      </c>
      <c r="Z163" s="76">
        <v>0.2</v>
      </c>
      <c r="AA163" s="70" t="s">
        <v>422</v>
      </c>
      <c r="AB163" s="228">
        <f>ROUND((ROUND((ROUND((_15_同援日１．０*(1+_15・A深夜)),0)*(1+_15・盲ろう)),0)*(1+_15・区３)),0)+ROUND((ROUND((ROUND((_15_同援日１．０＿１．０*(1+_15・B早朝)),0)*(1+_15・盲ろう)),0)*(1+_15・区３)),0)</f>
        <v>1019</v>
      </c>
      <c r="AC163" s="69"/>
    </row>
    <row r="164" spans="1:29" ht="16.5" customHeight="1" x14ac:dyDescent="0.3">
      <c r="A164" s="2">
        <v>15</v>
      </c>
      <c r="B164" s="2">
        <v>8996</v>
      </c>
      <c r="C164" s="60" t="s">
        <v>9457</v>
      </c>
      <c r="D164" s="1"/>
      <c r="E164" s="68"/>
      <c r="F164" s="70"/>
      <c r="G164" s="1"/>
      <c r="H164" s="68"/>
      <c r="I164" s="70"/>
      <c r="J164" s="66"/>
      <c r="K164" s="57"/>
      <c r="L164" s="58"/>
      <c r="M164" s="83" t="s">
        <v>5895</v>
      </c>
      <c r="N164" s="64" t="s">
        <v>1</v>
      </c>
      <c r="O164" s="65">
        <v>1</v>
      </c>
      <c r="P164" s="99"/>
      <c r="Q164" s="70"/>
      <c r="R164" s="99"/>
      <c r="S164" s="70"/>
      <c r="T164" s="94" t="s">
        <v>18024</v>
      </c>
      <c r="U164" s="68"/>
      <c r="V164" s="76"/>
      <c r="W164" s="70"/>
      <c r="X164" s="67"/>
      <c r="Y164" s="68"/>
      <c r="Z164" s="76"/>
      <c r="AA164" s="70"/>
      <c r="AB164" s="228">
        <f>ROUND((ROUND((ROUND((ROUND((_15_同援日１．０*_15・２人),0)*(1+_15・A深夜)),0)*(1+_15・盲ろう)),0)*(1+_15・区３)),0)+ROUND((ROUND((ROUND((ROUND((_15_同援日１．０＿１．０*_15・２人),0)*(1+_15・B早朝)),0)*(1+_15・盲ろう)),0)*(1+_15・区３)),0)</f>
        <v>1019</v>
      </c>
      <c r="AC164" s="69"/>
    </row>
    <row r="165" spans="1:29" ht="16.5" customHeight="1" x14ac:dyDescent="0.3">
      <c r="A165" s="2">
        <v>15</v>
      </c>
      <c r="B165" s="2">
        <v>8997</v>
      </c>
      <c r="C165" s="60" t="s">
        <v>9456</v>
      </c>
      <c r="D165" s="1"/>
      <c r="E165" s="68"/>
      <c r="F165" s="70"/>
      <c r="G165" s="1"/>
      <c r="H165" s="68"/>
      <c r="I165" s="70"/>
      <c r="J165" s="74" t="s">
        <v>16971</v>
      </c>
      <c r="K165" s="62"/>
      <c r="L165" s="63"/>
      <c r="M165" s="85"/>
      <c r="N165" s="64"/>
      <c r="O165" s="65"/>
      <c r="P165" s="99"/>
      <c r="Q165" s="70"/>
      <c r="R165" s="99"/>
      <c r="S165" s="70"/>
      <c r="T165" s="67"/>
      <c r="U165" s="68" t="s">
        <v>1</v>
      </c>
      <c r="V165" s="76">
        <v>0.25</v>
      </c>
      <c r="W165" s="70" t="s">
        <v>422</v>
      </c>
      <c r="X165" s="67"/>
      <c r="Y165" s="68"/>
      <c r="Z165" s="76"/>
      <c r="AA165" s="70"/>
      <c r="AB165" s="228">
        <f>ROUND((ROUND((ROUND((ROUND((_15_同援日１．０*_15・基礎２),0)*(1+_15・A深夜)),0)*(1+_15・盲ろう)),0)*(1+_15・区３)),0)+ROUND((ROUND((ROUND((ROUND((_15_同援日１．０＿１．０*_15・基礎２),0)*(1+_15・B早朝)),0)*(1+_15・盲ろう)),0)*(1+_15・区３)),0)</f>
        <v>921</v>
      </c>
      <c r="AC165" s="69"/>
    </row>
    <row r="166" spans="1:29" ht="16.5" customHeight="1" x14ac:dyDescent="0.3">
      <c r="A166" s="2">
        <v>15</v>
      </c>
      <c r="B166" s="2">
        <v>8998</v>
      </c>
      <c r="C166" s="60" t="s">
        <v>9455</v>
      </c>
      <c r="D166" s="1"/>
      <c r="E166" s="68"/>
      <c r="F166" s="70"/>
      <c r="G166" s="1"/>
      <c r="H166" s="68"/>
      <c r="I166" s="70"/>
      <c r="J166" s="106" t="s">
        <v>16970</v>
      </c>
      <c r="K166" s="57" t="s">
        <v>1</v>
      </c>
      <c r="L166" s="58">
        <v>0.9</v>
      </c>
      <c r="M166" s="83" t="s">
        <v>5895</v>
      </c>
      <c r="N166" s="64" t="s">
        <v>1</v>
      </c>
      <c r="O166" s="65">
        <v>1</v>
      </c>
      <c r="P166" s="99"/>
      <c r="Q166" s="70"/>
      <c r="R166" s="99"/>
      <c r="S166" s="70"/>
      <c r="T166" s="66"/>
      <c r="U166" s="57"/>
      <c r="V166" s="58"/>
      <c r="W166" s="77"/>
      <c r="X166" s="66"/>
      <c r="Y166" s="57"/>
      <c r="Z166" s="58"/>
      <c r="AA166" s="77"/>
      <c r="AB166" s="228">
        <f>ROUND((ROUND((ROUND((ROUND((ROUND((_15_同援日１．０*_15・基礎２),0)*_15・２人),0)*(1+_15・A深夜)),0)*(1+_15・盲ろう)),0)*(1+_15・区３)),0)+ROUND((ROUND((ROUND((ROUND((ROUND((_15_同援日１．０＿１．０*_15・基礎２),0)*_15・２人),0)*(1+_15・B早朝)),0)*(1+_15・盲ろう)),0)*(1+_15・区３)),0)</f>
        <v>921</v>
      </c>
      <c r="AC166" s="69"/>
    </row>
    <row r="167" spans="1:29" ht="16.5" customHeight="1" x14ac:dyDescent="0.3">
      <c r="A167" s="2">
        <v>15</v>
      </c>
      <c r="B167" s="2">
        <v>8999</v>
      </c>
      <c r="C167" s="60" t="s">
        <v>9454</v>
      </c>
      <c r="D167" s="1"/>
      <c r="E167" s="68"/>
      <c r="F167" s="70"/>
      <c r="G167" s="1"/>
      <c r="H167" s="68"/>
      <c r="I167" s="70"/>
      <c r="J167" s="61"/>
      <c r="K167" s="62"/>
      <c r="L167" s="63"/>
      <c r="M167" s="85"/>
      <c r="N167" s="64"/>
      <c r="O167" s="65"/>
      <c r="P167" s="99"/>
      <c r="Q167" s="70"/>
      <c r="R167" s="99"/>
      <c r="S167" s="70"/>
      <c r="T167" s="61"/>
      <c r="U167" s="62"/>
      <c r="V167" s="63"/>
      <c r="W167" s="75"/>
      <c r="X167" s="61"/>
      <c r="Y167" s="62"/>
      <c r="Z167" s="63"/>
      <c r="AA167" s="75"/>
      <c r="AB167" s="228">
        <f>ROUND((ROUND((_15_同援日１．０*(1+_15・A深夜)),0)*(1+_15・区４)),0)+ROUND((ROUND((_15_同援日１．０＿１．０*(1+_15・B早朝)),0)*(1+_15・区４)),0)</f>
        <v>950</v>
      </c>
      <c r="AC167" s="69"/>
    </row>
    <row r="168" spans="1:29" ht="16.5" customHeight="1" x14ac:dyDescent="0.3">
      <c r="A168" s="2">
        <v>15</v>
      </c>
      <c r="B168" s="2">
        <v>9000</v>
      </c>
      <c r="C168" s="60" t="s">
        <v>9453</v>
      </c>
      <c r="D168" s="1"/>
      <c r="E168" s="68"/>
      <c r="F168" s="70"/>
      <c r="G168" s="1"/>
      <c r="H168" s="68"/>
      <c r="I168" s="70"/>
      <c r="J168" s="66"/>
      <c r="K168" s="57"/>
      <c r="L168" s="58"/>
      <c r="M168" s="83" t="s">
        <v>5895</v>
      </c>
      <c r="N168" s="64" t="s">
        <v>1</v>
      </c>
      <c r="O168" s="65">
        <v>1</v>
      </c>
      <c r="P168" s="99"/>
      <c r="Q168" s="70"/>
      <c r="R168" s="99"/>
      <c r="S168" s="70"/>
      <c r="T168" s="67"/>
      <c r="U168" s="68"/>
      <c r="V168" s="76"/>
      <c r="W168" s="70"/>
      <c r="X168" s="67"/>
      <c r="Y168" s="68"/>
      <c r="Z168" s="76"/>
      <c r="AA168" s="70"/>
      <c r="AB168" s="228">
        <f>ROUND((ROUND((ROUND((_15_同援日１．０*_15・２人),0)*(1+_15・A深夜)),0)*(1+_15・区４)),0)+ROUND((ROUND((ROUND((_15_同援日１．０＿１．０*_15・２人),0)*(1+_15・B早朝)),0)*(1+_15・区４)),0)</f>
        <v>950</v>
      </c>
      <c r="AC168" s="69"/>
    </row>
    <row r="169" spans="1:29" ht="16.5" customHeight="1" x14ac:dyDescent="0.3">
      <c r="A169" s="2">
        <v>15</v>
      </c>
      <c r="B169" s="2">
        <v>9001</v>
      </c>
      <c r="C169" s="60" t="s">
        <v>9452</v>
      </c>
      <c r="D169" s="1"/>
      <c r="E169" s="68"/>
      <c r="F169" s="70"/>
      <c r="G169" s="1"/>
      <c r="H169" s="68"/>
      <c r="I169" s="70"/>
      <c r="J169" s="74" t="s">
        <v>16971</v>
      </c>
      <c r="K169" s="62"/>
      <c r="L169" s="63"/>
      <c r="M169" s="85"/>
      <c r="N169" s="64"/>
      <c r="O169" s="65"/>
      <c r="P169" s="99"/>
      <c r="Q169" s="70"/>
      <c r="R169" s="99"/>
      <c r="S169" s="70"/>
      <c r="T169" s="67"/>
      <c r="U169" s="68"/>
      <c r="V169" s="76"/>
      <c r="W169" s="70"/>
      <c r="X169" s="1" t="s">
        <v>18027</v>
      </c>
      <c r="Y169" s="68"/>
      <c r="Z169" s="76"/>
      <c r="AA169" s="70"/>
      <c r="AB169" s="228">
        <f>ROUND((ROUND((ROUND((_15_同援日１．０*_15・基礎２),0)*(1+_15・A深夜)),0)*(1+_15・区４)),0)+ROUND((ROUND((ROUND((_15_同援日１．０＿１．０*_15・基礎２),0)*(1+_15・B早朝)),0)*(1+_15・区４)),0)</f>
        <v>858</v>
      </c>
      <c r="AC169" s="69"/>
    </row>
    <row r="170" spans="1:29" ht="16.5" customHeight="1" x14ac:dyDescent="0.3">
      <c r="A170" s="2">
        <v>15</v>
      </c>
      <c r="B170" s="2">
        <v>9002</v>
      </c>
      <c r="C170" s="60" t="s">
        <v>9451</v>
      </c>
      <c r="D170" s="1"/>
      <c r="E170" s="68"/>
      <c r="F170" s="70"/>
      <c r="G170" s="1"/>
      <c r="H170" s="68"/>
      <c r="I170" s="70"/>
      <c r="J170" s="106" t="s">
        <v>16970</v>
      </c>
      <c r="K170" s="57" t="s">
        <v>1</v>
      </c>
      <c r="L170" s="58">
        <v>0.9</v>
      </c>
      <c r="M170" s="83" t="s">
        <v>5895</v>
      </c>
      <c r="N170" s="64" t="s">
        <v>1</v>
      </c>
      <c r="O170" s="65">
        <v>1</v>
      </c>
      <c r="P170" s="99"/>
      <c r="Q170" s="70"/>
      <c r="R170" s="99"/>
      <c r="S170" s="70"/>
      <c r="T170" s="66"/>
      <c r="U170" s="57"/>
      <c r="V170" s="58"/>
      <c r="W170" s="77"/>
      <c r="X170" s="1" t="s">
        <v>18026</v>
      </c>
      <c r="Y170" s="68"/>
      <c r="Z170" s="76"/>
      <c r="AA170" s="70"/>
      <c r="AB170" s="228">
        <f>ROUND((ROUND((ROUND((ROUND((_15_同援日１．０*_15・基礎２),0)*_15・２人),0)*(1+_15・A深夜)),0)*(1+_15・区４)),0)+ROUND((ROUND((ROUND((ROUND((_15_同援日１．０＿１．０*_15・基礎２),0)*_15・２人),0)*(1+_15・B早朝)),0)*(1+_15・区４)),0)</f>
        <v>858</v>
      </c>
      <c r="AC170" s="69"/>
    </row>
    <row r="171" spans="1:29" ht="16.5" customHeight="1" x14ac:dyDescent="0.3">
      <c r="A171" s="2">
        <v>15</v>
      </c>
      <c r="B171" s="2">
        <v>9003</v>
      </c>
      <c r="C171" s="60" t="s">
        <v>9450</v>
      </c>
      <c r="D171" s="1"/>
      <c r="E171" s="68"/>
      <c r="F171" s="70"/>
      <c r="G171" s="1"/>
      <c r="H171" s="68"/>
      <c r="I171" s="70"/>
      <c r="J171" s="61"/>
      <c r="K171" s="62"/>
      <c r="L171" s="63"/>
      <c r="M171" s="85"/>
      <c r="N171" s="64"/>
      <c r="O171" s="65"/>
      <c r="P171" s="99"/>
      <c r="Q171" s="70"/>
      <c r="R171" s="99"/>
      <c r="S171" s="70"/>
      <c r="T171" s="74" t="s">
        <v>18025</v>
      </c>
      <c r="U171" s="62"/>
      <c r="V171" s="63"/>
      <c r="W171" s="75"/>
      <c r="X171" s="67"/>
      <c r="Y171" s="68" t="s">
        <v>1</v>
      </c>
      <c r="Z171" s="76">
        <v>0.4</v>
      </c>
      <c r="AA171" s="70" t="s">
        <v>422</v>
      </c>
      <c r="AB171" s="228">
        <f>ROUND((ROUND((ROUND((_15_同援日１．０*(1+_15・A深夜)),0)*(1+_15・盲ろう)),0)*(1+_15・区４)),0)+ROUND((ROUND((ROUND((_15_同援日１．０＿１．０*(1+_15・B早朝)),0)*(1+_15・盲ろう)),0)*(1+_15・区４)),0)</f>
        <v>1188</v>
      </c>
      <c r="AC171" s="69"/>
    </row>
    <row r="172" spans="1:29" ht="16.5" customHeight="1" x14ac:dyDescent="0.3">
      <c r="A172" s="2">
        <v>15</v>
      </c>
      <c r="B172" s="2">
        <v>9004</v>
      </c>
      <c r="C172" s="60" t="s">
        <v>9449</v>
      </c>
      <c r="D172" s="1"/>
      <c r="E172" s="68"/>
      <c r="F172" s="70"/>
      <c r="G172" s="1"/>
      <c r="H172" s="68"/>
      <c r="I172" s="70"/>
      <c r="J172" s="66"/>
      <c r="K172" s="57"/>
      <c r="L172" s="58"/>
      <c r="M172" s="83" t="s">
        <v>5895</v>
      </c>
      <c r="N172" s="64" t="s">
        <v>1</v>
      </c>
      <c r="O172" s="65">
        <v>1</v>
      </c>
      <c r="P172" s="99"/>
      <c r="Q172" s="70"/>
      <c r="R172" s="99"/>
      <c r="S172" s="70"/>
      <c r="T172" s="94" t="s">
        <v>18024</v>
      </c>
      <c r="U172" s="68"/>
      <c r="V172" s="76"/>
      <c r="W172" s="70"/>
      <c r="X172" s="67"/>
      <c r="Y172" s="68"/>
      <c r="Z172" s="76"/>
      <c r="AA172" s="70"/>
      <c r="AB172" s="228">
        <f>ROUND((ROUND((ROUND((ROUND((_15_同援日１．０*_15・２人),0)*(1+_15・A深夜)),0)*(1+_15・盲ろう)),0)*(1+_15・区４)),0)+ROUND((ROUND((ROUND((ROUND((_15_同援日１．０＿１．０*_15・２人),0)*(1+_15・B早朝)),0)*(1+_15・盲ろう)),0)*(1+_15・区４)),0)</f>
        <v>1188</v>
      </c>
      <c r="AC172" s="69"/>
    </row>
    <row r="173" spans="1:29" ht="16.5" customHeight="1" x14ac:dyDescent="0.3">
      <c r="A173" s="2">
        <v>15</v>
      </c>
      <c r="B173" s="2">
        <v>9005</v>
      </c>
      <c r="C173" s="60" t="s">
        <v>9448</v>
      </c>
      <c r="D173" s="1"/>
      <c r="E173" s="68"/>
      <c r="F173" s="70"/>
      <c r="G173" s="1"/>
      <c r="H173" s="68"/>
      <c r="I173" s="70"/>
      <c r="J173" s="74" t="s">
        <v>16971</v>
      </c>
      <c r="K173" s="62"/>
      <c r="L173" s="63"/>
      <c r="M173" s="85"/>
      <c r="N173" s="64"/>
      <c r="O173" s="65"/>
      <c r="P173" s="99"/>
      <c r="Q173" s="70"/>
      <c r="R173" s="99"/>
      <c r="S173" s="70"/>
      <c r="T173" s="67"/>
      <c r="U173" s="68" t="s">
        <v>1</v>
      </c>
      <c r="V173" s="76">
        <v>0.25</v>
      </c>
      <c r="W173" s="70" t="s">
        <v>422</v>
      </c>
      <c r="X173" s="67"/>
      <c r="Y173" s="68"/>
      <c r="Z173" s="76"/>
      <c r="AA173" s="70"/>
      <c r="AB173" s="228">
        <f>ROUND((ROUND((ROUND((ROUND((_15_同援日１．０*_15・基礎２),0)*(1+_15・A深夜)),0)*(1+_15・盲ろう)),0)*(1+_15・区４)),0)+ROUND((ROUND((ROUND((ROUND((_15_同援日１．０＿１．０*_15・基礎２),0)*(1+_15・B早朝)),0)*(1+_15・盲ろう)),0)*(1+_15・区４)),0)</f>
        <v>1074</v>
      </c>
      <c r="AC173" s="69"/>
    </row>
    <row r="174" spans="1:29" ht="16.5" customHeight="1" x14ac:dyDescent="0.3">
      <c r="A174" s="2">
        <v>15</v>
      </c>
      <c r="B174" s="2">
        <v>9006</v>
      </c>
      <c r="C174" s="60" t="s">
        <v>9447</v>
      </c>
      <c r="D174" s="1"/>
      <c r="E174" s="68"/>
      <c r="F174" s="70"/>
      <c r="G174" s="81"/>
      <c r="H174" s="57"/>
      <c r="I174" s="77"/>
      <c r="J174" s="106" t="s">
        <v>16970</v>
      </c>
      <c r="K174" s="57" t="s">
        <v>1</v>
      </c>
      <c r="L174" s="58">
        <v>0.9</v>
      </c>
      <c r="M174" s="83" t="s">
        <v>5895</v>
      </c>
      <c r="N174" s="64" t="s">
        <v>1</v>
      </c>
      <c r="O174" s="65">
        <v>1</v>
      </c>
      <c r="P174" s="99"/>
      <c r="Q174" s="70"/>
      <c r="R174" s="99"/>
      <c r="S174" s="70"/>
      <c r="T174" s="66"/>
      <c r="U174" s="57"/>
      <c r="V174" s="58"/>
      <c r="W174" s="77"/>
      <c r="X174" s="66"/>
      <c r="Y174" s="57"/>
      <c r="Z174" s="58"/>
      <c r="AA174" s="77"/>
      <c r="AB174" s="228">
        <f>ROUND((ROUND((ROUND((ROUND((ROUND((_15_同援日１．０*_15・基礎２),0)*_15・２人),0)*(1+_15・A深夜)),0)*(1+_15・盲ろう)),0)*(1+_15・区４)),0)+ROUND((ROUND((ROUND((ROUND((ROUND((_15_同援日１．０＿１．０*_15・基礎２),0)*_15・２人),0)*(1+_15・B早朝)),0)*(1+_15・盲ろう)),0)*(1+_15・区４)),0)</f>
        <v>1074</v>
      </c>
      <c r="AC174" s="69"/>
    </row>
    <row r="175" spans="1:29" ht="16.5" customHeight="1" x14ac:dyDescent="0.3">
      <c r="A175" s="2">
        <v>15</v>
      </c>
      <c r="B175" s="2">
        <v>9007</v>
      </c>
      <c r="C175" s="60" t="s">
        <v>9446</v>
      </c>
      <c r="D175" s="1"/>
      <c r="E175" s="68"/>
      <c r="F175" s="70"/>
      <c r="G175" s="233" t="s">
        <v>16986</v>
      </c>
      <c r="H175" s="62"/>
      <c r="I175" s="75"/>
      <c r="J175" s="61"/>
      <c r="K175" s="62"/>
      <c r="L175" s="63"/>
      <c r="M175" s="85"/>
      <c r="N175" s="64"/>
      <c r="O175" s="65"/>
      <c r="P175" s="99"/>
      <c r="Q175" s="70"/>
      <c r="R175" s="99"/>
      <c r="S175" s="70"/>
      <c r="T175" s="61"/>
      <c r="U175" s="62"/>
      <c r="V175" s="63"/>
      <c r="W175" s="75"/>
      <c r="X175" s="61"/>
      <c r="Y175" s="62"/>
      <c r="Z175" s="63"/>
      <c r="AA175" s="75"/>
      <c r="AB175" s="228">
        <f>ROUND((_15_同援日１．０*(1+_15・A深夜)),0)+ROUND((_15_同援日１．０＿１．５*(1+_15・B早朝)),0)</f>
        <v>758</v>
      </c>
      <c r="AC175" s="69"/>
    </row>
    <row r="176" spans="1:29" ht="16.5" customHeight="1" x14ac:dyDescent="0.3">
      <c r="A176" s="2">
        <v>15</v>
      </c>
      <c r="B176" s="2">
        <v>9008</v>
      </c>
      <c r="C176" s="60" t="s">
        <v>9445</v>
      </c>
      <c r="D176" s="1"/>
      <c r="E176" s="68"/>
      <c r="F176" s="70"/>
      <c r="G176" s="1" t="s">
        <v>16984</v>
      </c>
      <c r="H176" s="68"/>
      <c r="I176" s="70"/>
      <c r="J176" s="66"/>
      <c r="K176" s="57"/>
      <c r="L176" s="58"/>
      <c r="M176" s="83" t="s">
        <v>5895</v>
      </c>
      <c r="N176" s="64" t="s">
        <v>1</v>
      </c>
      <c r="O176" s="65">
        <v>1</v>
      </c>
      <c r="P176" s="99"/>
      <c r="Q176" s="70"/>
      <c r="R176" s="99"/>
      <c r="S176" s="70"/>
      <c r="T176" s="67"/>
      <c r="U176" s="68"/>
      <c r="V176" s="76"/>
      <c r="W176" s="70"/>
      <c r="X176" s="67"/>
      <c r="Y176" s="68"/>
      <c r="Z176" s="76"/>
      <c r="AA176" s="70"/>
      <c r="AB176" s="228">
        <f>ROUND((ROUND((_15_同援日１．０*_15・２人),0)*(1+_15・A深夜)),0)+ROUND((ROUND((_15_同援日１．０＿１．５*_15・２人),0)*(1+_15・B早朝)),0)</f>
        <v>758</v>
      </c>
      <c r="AC176" s="69"/>
    </row>
    <row r="177" spans="1:29" ht="16.5" customHeight="1" x14ac:dyDescent="0.3">
      <c r="A177" s="2">
        <v>15</v>
      </c>
      <c r="B177" s="2">
        <v>9009</v>
      </c>
      <c r="C177" s="60" t="s">
        <v>9444</v>
      </c>
      <c r="D177" s="1"/>
      <c r="E177" s="68"/>
      <c r="F177" s="70"/>
      <c r="G177" s="1" t="s">
        <v>8767</v>
      </c>
      <c r="H177" s="68"/>
      <c r="I177" s="70"/>
      <c r="J177" s="74" t="s">
        <v>16971</v>
      </c>
      <c r="K177" s="62"/>
      <c r="L177" s="63"/>
      <c r="M177" s="85"/>
      <c r="N177" s="64"/>
      <c r="O177" s="65"/>
      <c r="P177" s="99"/>
      <c r="Q177" s="70"/>
      <c r="R177" s="99"/>
      <c r="S177" s="70"/>
      <c r="T177" s="67"/>
      <c r="U177" s="68"/>
      <c r="V177" s="76"/>
      <c r="W177" s="70"/>
      <c r="X177" s="67"/>
      <c r="Y177" s="68"/>
      <c r="Z177" s="76"/>
      <c r="AA177" s="70"/>
      <c r="AB177" s="228">
        <f>ROUND((ROUND((_15_同援日１．０*_15・基礎２),0)*(1+_15・A深夜)),0)+ROUND((ROUND((_15_同援日１．０＿１．５*_15・基礎２),0)*(1+_15・B早朝)),0)</f>
        <v>683</v>
      </c>
      <c r="AC177" s="69"/>
    </row>
    <row r="178" spans="1:29" ht="16.5" customHeight="1" x14ac:dyDescent="0.3">
      <c r="A178" s="2">
        <v>15</v>
      </c>
      <c r="B178" s="2">
        <v>9010</v>
      </c>
      <c r="C178" s="60" t="s">
        <v>9443</v>
      </c>
      <c r="D178" s="1"/>
      <c r="E178" s="68"/>
      <c r="F178" s="70"/>
      <c r="G178" s="1"/>
      <c r="H178" s="119">
        <v>256</v>
      </c>
      <c r="I178" s="70" t="s">
        <v>0</v>
      </c>
      <c r="J178" s="106" t="s">
        <v>16970</v>
      </c>
      <c r="K178" s="57" t="s">
        <v>1</v>
      </c>
      <c r="L178" s="58">
        <v>0.9</v>
      </c>
      <c r="M178" s="83" t="s">
        <v>5895</v>
      </c>
      <c r="N178" s="64" t="s">
        <v>1</v>
      </c>
      <c r="O178" s="65">
        <v>1</v>
      </c>
      <c r="P178" s="99"/>
      <c r="Q178" s="70"/>
      <c r="R178" s="99"/>
      <c r="S178" s="70"/>
      <c r="T178" s="66"/>
      <c r="U178" s="57"/>
      <c r="V178" s="58"/>
      <c r="W178" s="77"/>
      <c r="X178" s="67"/>
      <c r="Y178" s="68"/>
      <c r="Z178" s="76"/>
      <c r="AA178" s="70"/>
      <c r="AB178" s="228">
        <f>ROUND((ROUND((ROUND((_15_同援日１．０*_15・基礎２),0)*_15・２人),0)*(1+_15・A深夜)),0)+ROUND((ROUND((ROUND((_15_同援日１．０＿１．５*_15・基礎２),0)*_15・２人),0)*(1+_15・B早朝)),0)</f>
        <v>683</v>
      </c>
      <c r="AC178" s="69"/>
    </row>
    <row r="179" spans="1:29" ht="16.5" customHeight="1" x14ac:dyDescent="0.3">
      <c r="A179" s="2">
        <v>15</v>
      </c>
      <c r="B179" s="2">
        <v>9011</v>
      </c>
      <c r="C179" s="60" t="s">
        <v>9442</v>
      </c>
      <c r="D179" s="1"/>
      <c r="E179" s="68"/>
      <c r="F179" s="70"/>
      <c r="G179" s="1"/>
      <c r="H179" s="68"/>
      <c r="I179" s="70"/>
      <c r="J179" s="61"/>
      <c r="K179" s="62"/>
      <c r="L179" s="63"/>
      <c r="M179" s="85"/>
      <c r="N179" s="64"/>
      <c r="O179" s="65"/>
      <c r="P179" s="99"/>
      <c r="Q179" s="70"/>
      <c r="R179" s="99"/>
      <c r="S179" s="70"/>
      <c r="T179" s="74" t="s">
        <v>18025</v>
      </c>
      <c r="U179" s="62"/>
      <c r="V179" s="63"/>
      <c r="W179" s="75"/>
      <c r="X179" s="67"/>
      <c r="Y179" s="68"/>
      <c r="Z179" s="76"/>
      <c r="AA179" s="70"/>
      <c r="AB179" s="228">
        <f>ROUND((ROUND((_15_同援日１．０*(1+_15・A深夜)),0)*(1+_15・盲ろう)),0)+ROUND((ROUND((_15_同援日１．０＿１．５*(1+_15・B早朝)),0)*(1+_15・盲ろう)),0)</f>
        <v>948</v>
      </c>
      <c r="AC179" s="69"/>
    </row>
    <row r="180" spans="1:29" ht="16.5" customHeight="1" x14ac:dyDescent="0.3">
      <c r="A180" s="2">
        <v>15</v>
      </c>
      <c r="B180" s="2">
        <v>9012</v>
      </c>
      <c r="C180" s="60" t="s">
        <v>9441</v>
      </c>
      <c r="D180" s="1"/>
      <c r="E180" s="68"/>
      <c r="F180" s="70"/>
      <c r="G180" s="1"/>
      <c r="H180" s="68"/>
      <c r="I180" s="70"/>
      <c r="J180" s="66"/>
      <c r="K180" s="57"/>
      <c r="L180" s="58"/>
      <c r="M180" s="83" t="s">
        <v>5895</v>
      </c>
      <c r="N180" s="64" t="s">
        <v>1</v>
      </c>
      <c r="O180" s="65">
        <v>1</v>
      </c>
      <c r="P180" s="99"/>
      <c r="Q180" s="70"/>
      <c r="R180" s="99"/>
      <c r="S180" s="70"/>
      <c r="T180" s="94" t="s">
        <v>18024</v>
      </c>
      <c r="U180" s="68"/>
      <c r="V180" s="76"/>
      <c r="W180" s="70"/>
      <c r="X180" s="67"/>
      <c r="Y180" s="68"/>
      <c r="Z180" s="76"/>
      <c r="AA180" s="70"/>
      <c r="AB180" s="228">
        <f>ROUND((ROUND((ROUND((_15_同援日１．０*_15・２人),0)*(1+_15・A深夜)),0)*(1+_15・盲ろう)),0)+ROUND((ROUND((ROUND((_15_同援日１．０＿１．５*_15・２人),0)*(1+_15・B早朝)),0)*(1+_15・盲ろう)),0)</f>
        <v>948</v>
      </c>
      <c r="AC180" s="69"/>
    </row>
    <row r="181" spans="1:29" ht="16.5" customHeight="1" x14ac:dyDescent="0.3">
      <c r="A181" s="2">
        <v>15</v>
      </c>
      <c r="B181" s="2">
        <v>9013</v>
      </c>
      <c r="C181" s="60" t="s">
        <v>9440</v>
      </c>
      <c r="D181" s="1"/>
      <c r="E181" s="68"/>
      <c r="F181" s="70"/>
      <c r="G181" s="1"/>
      <c r="H181" s="68"/>
      <c r="I181" s="70"/>
      <c r="J181" s="74" t="s">
        <v>16971</v>
      </c>
      <c r="K181" s="62"/>
      <c r="L181" s="63"/>
      <c r="M181" s="85"/>
      <c r="N181" s="64"/>
      <c r="O181" s="65"/>
      <c r="P181" s="99"/>
      <c r="Q181" s="70"/>
      <c r="R181" s="99"/>
      <c r="S181" s="70"/>
      <c r="T181" s="67"/>
      <c r="U181" s="68" t="s">
        <v>1</v>
      </c>
      <c r="V181" s="76">
        <v>0.25</v>
      </c>
      <c r="W181" s="70" t="s">
        <v>422</v>
      </c>
      <c r="X181" s="67"/>
      <c r="Y181" s="68"/>
      <c r="Z181" s="76"/>
      <c r="AA181" s="70"/>
      <c r="AB181" s="228">
        <f>ROUND((ROUND((ROUND((_15_同援日１．０*_15・基礎２),0)*(1+_15・A深夜)),0)*(1+_15・盲ろう)),0)+ROUND((ROUND((ROUND((_15_同援日１．０＿１．５*_15・基礎２),0)*(1+_15・B早朝)),0)*(1+_15・盲ろう)),0)</f>
        <v>854</v>
      </c>
      <c r="AC181" s="69"/>
    </row>
    <row r="182" spans="1:29" ht="16.5" customHeight="1" x14ac:dyDescent="0.3">
      <c r="A182" s="2">
        <v>15</v>
      </c>
      <c r="B182" s="2">
        <v>9014</v>
      </c>
      <c r="C182" s="60" t="s">
        <v>9439</v>
      </c>
      <c r="D182" s="1"/>
      <c r="E182" s="68"/>
      <c r="F182" s="70"/>
      <c r="G182" s="1"/>
      <c r="H182" s="68"/>
      <c r="I182" s="70"/>
      <c r="J182" s="106" t="s">
        <v>16970</v>
      </c>
      <c r="K182" s="57" t="s">
        <v>1</v>
      </c>
      <c r="L182" s="58">
        <v>0.9</v>
      </c>
      <c r="M182" s="83" t="s">
        <v>5895</v>
      </c>
      <c r="N182" s="64" t="s">
        <v>1</v>
      </c>
      <c r="O182" s="65">
        <v>1</v>
      </c>
      <c r="P182" s="99"/>
      <c r="Q182" s="70"/>
      <c r="R182" s="99"/>
      <c r="S182" s="70"/>
      <c r="T182" s="66"/>
      <c r="U182" s="57"/>
      <c r="V182" s="58"/>
      <c r="W182" s="77"/>
      <c r="X182" s="66"/>
      <c r="Y182" s="57"/>
      <c r="Z182" s="58"/>
      <c r="AA182" s="77"/>
      <c r="AB182" s="228">
        <f>ROUND((ROUND((ROUND((ROUND((_15_同援日１．０*_15・基礎２),0)*_15・２人),0)*(1+_15・A深夜)),0)*(1+_15・盲ろう)),0)+ROUND((ROUND((ROUND((ROUND((_15_同援日１．０＿１．５*_15・基礎２),0)*_15・２人),0)*(1+_15・B早朝)),0)*(1+_15・盲ろう)),0)</f>
        <v>854</v>
      </c>
      <c r="AC182" s="69"/>
    </row>
    <row r="183" spans="1:29" ht="16.5" customHeight="1" x14ac:dyDescent="0.3">
      <c r="A183" s="2">
        <v>15</v>
      </c>
      <c r="B183" s="2">
        <v>9015</v>
      </c>
      <c r="C183" s="60" t="s">
        <v>9438</v>
      </c>
      <c r="D183" s="1"/>
      <c r="E183" s="68"/>
      <c r="F183" s="70"/>
      <c r="G183" s="1"/>
      <c r="H183" s="68"/>
      <c r="I183" s="70"/>
      <c r="J183" s="61"/>
      <c r="K183" s="62"/>
      <c r="L183" s="63"/>
      <c r="M183" s="85"/>
      <c r="N183" s="64"/>
      <c r="O183" s="65"/>
      <c r="P183" s="99"/>
      <c r="Q183" s="70"/>
      <c r="R183" s="99"/>
      <c r="S183" s="70"/>
      <c r="T183" s="61"/>
      <c r="U183" s="62"/>
      <c r="V183" s="63"/>
      <c r="W183" s="75"/>
      <c r="X183" s="61"/>
      <c r="Y183" s="62"/>
      <c r="Z183" s="63"/>
      <c r="AA183" s="75"/>
      <c r="AB183" s="228">
        <f>ROUND((ROUND((_15_同援日１．０*(1+_15・A深夜)),0)*(1+_15・区３)),0)+ROUND((ROUND((_15_同援日１．０＿１．５*(1+_15・B早朝)),0)*(1+_15・区３)),0)</f>
        <v>910</v>
      </c>
      <c r="AC183" s="69"/>
    </row>
    <row r="184" spans="1:29" ht="16.5" customHeight="1" x14ac:dyDescent="0.3">
      <c r="A184" s="2">
        <v>15</v>
      </c>
      <c r="B184" s="2">
        <v>9016</v>
      </c>
      <c r="C184" s="60" t="s">
        <v>9437</v>
      </c>
      <c r="D184" s="1"/>
      <c r="E184" s="68"/>
      <c r="F184" s="70"/>
      <c r="G184" s="1"/>
      <c r="H184" s="68"/>
      <c r="I184" s="70"/>
      <c r="J184" s="66"/>
      <c r="K184" s="57"/>
      <c r="L184" s="58"/>
      <c r="M184" s="83" t="s">
        <v>5895</v>
      </c>
      <c r="N184" s="64" t="s">
        <v>1</v>
      </c>
      <c r="O184" s="65">
        <v>1</v>
      </c>
      <c r="P184" s="99"/>
      <c r="Q184" s="70"/>
      <c r="R184" s="99"/>
      <c r="S184" s="70"/>
      <c r="T184" s="67"/>
      <c r="U184" s="68"/>
      <c r="V184" s="76"/>
      <c r="W184" s="70"/>
      <c r="X184" s="67"/>
      <c r="Y184" s="68"/>
      <c r="Z184" s="76"/>
      <c r="AA184" s="70"/>
      <c r="AB184" s="228">
        <f>ROUND((ROUND((ROUND((_15_同援日１．０*_15・２人),0)*(1+_15・A深夜)),0)*(1+_15・区３)),0)+ROUND((ROUND((ROUND((_15_同援日１．０＿１．５*_15・２人),0)*(1+_15・B早朝)),0)*(1+_15・区３)),0)</f>
        <v>910</v>
      </c>
      <c r="AC184" s="69"/>
    </row>
    <row r="185" spans="1:29" ht="16.5" customHeight="1" x14ac:dyDescent="0.3">
      <c r="A185" s="2">
        <v>15</v>
      </c>
      <c r="B185" s="2">
        <v>9017</v>
      </c>
      <c r="C185" s="60" t="s">
        <v>9436</v>
      </c>
      <c r="D185" s="1"/>
      <c r="E185" s="68"/>
      <c r="F185" s="70"/>
      <c r="G185" s="1"/>
      <c r="H185" s="68"/>
      <c r="I185" s="70"/>
      <c r="J185" s="74" t="s">
        <v>16971</v>
      </c>
      <c r="K185" s="62"/>
      <c r="L185" s="63"/>
      <c r="M185" s="85"/>
      <c r="N185" s="64"/>
      <c r="O185" s="65"/>
      <c r="P185" s="99"/>
      <c r="Q185" s="70"/>
      <c r="R185" s="99"/>
      <c r="S185" s="70"/>
      <c r="T185" s="67"/>
      <c r="U185" s="68"/>
      <c r="V185" s="76"/>
      <c r="W185" s="70"/>
      <c r="X185" s="1" t="s">
        <v>18028</v>
      </c>
      <c r="Y185" s="68"/>
      <c r="Z185" s="76"/>
      <c r="AA185" s="70"/>
      <c r="AB185" s="228">
        <f>ROUND((ROUND((ROUND((_15_同援日１．０*_15・基礎２),0)*(1+_15・A深夜)),0)*(1+_15・区３)),0)+ROUND((ROUND((ROUND((_15_同援日１．０＿１．５*_15・基礎２),0)*(1+_15・B早朝)),0)*(1+_15・区３)),0)</f>
        <v>820</v>
      </c>
      <c r="AC185" s="69"/>
    </row>
    <row r="186" spans="1:29" ht="16.5" customHeight="1" x14ac:dyDescent="0.3">
      <c r="A186" s="2">
        <v>15</v>
      </c>
      <c r="B186" s="2">
        <v>9018</v>
      </c>
      <c r="C186" s="60" t="s">
        <v>9435</v>
      </c>
      <c r="D186" s="1"/>
      <c r="E186" s="68"/>
      <c r="F186" s="70"/>
      <c r="G186" s="1"/>
      <c r="H186" s="68"/>
      <c r="I186" s="70"/>
      <c r="J186" s="106" t="s">
        <v>16970</v>
      </c>
      <c r="K186" s="57" t="s">
        <v>1</v>
      </c>
      <c r="L186" s="58">
        <v>0.9</v>
      </c>
      <c r="M186" s="83" t="s">
        <v>5895</v>
      </c>
      <c r="N186" s="64" t="s">
        <v>1</v>
      </c>
      <c r="O186" s="65">
        <v>1</v>
      </c>
      <c r="P186" s="99"/>
      <c r="Q186" s="70"/>
      <c r="R186" s="99"/>
      <c r="S186" s="70"/>
      <c r="T186" s="66"/>
      <c r="U186" s="57"/>
      <c r="V186" s="58"/>
      <c r="W186" s="77"/>
      <c r="X186" s="1" t="s">
        <v>18026</v>
      </c>
      <c r="Y186" s="68"/>
      <c r="Z186" s="76"/>
      <c r="AA186" s="70"/>
      <c r="AB186" s="228">
        <f>ROUND((ROUND((ROUND((ROUND((_15_同援日１．０*_15・基礎２),0)*_15・２人),0)*(1+_15・A深夜)),0)*(1+_15・区３)),0)+ROUND((ROUND((ROUND((ROUND((_15_同援日１．０＿１．５*_15・基礎２),0)*_15・２人),0)*(1+_15・B早朝)),0)*(1+_15・区３)),0)</f>
        <v>820</v>
      </c>
      <c r="AC186" s="69"/>
    </row>
    <row r="187" spans="1:29" ht="16.5" customHeight="1" x14ac:dyDescent="0.3">
      <c r="A187" s="2">
        <v>15</v>
      </c>
      <c r="B187" s="2">
        <v>9019</v>
      </c>
      <c r="C187" s="60" t="s">
        <v>9434</v>
      </c>
      <c r="D187" s="1"/>
      <c r="E187" s="68"/>
      <c r="F187" s="70"/>
      <c r="G187" s="1"/>
      <c r="H187" s="68"/>
      <c r="I187" s="70"/>
      <c r="J187" s="61"/>
      <c r="K187" s="62"/>
      <c r="L187" s="63"/>
      <c r="M187" s="85"/>
      <c r="N187" s="64"/>
      <c r="O187" s="65"/>
      <c r="P187" s="99"/>
      <c r="Q187" s="70"/>
      <c r="R187" s="99"/>
      <c r="S187" s="70"/>
      <c r="T187" s="74" t="s">
        <v>18025</v>
      </c>
      <c r="U187" s="62"/>
      <c r="V187" s="63"/>
      <c r="W187" s="75"/>
      <c r="X187" s="67"/>
      <c r="Y187" s="68" t="s">
        <v>1</v>
      </c>
      <c r="Z187" s="76">
        <v>0.2</v>
      </c>
      <c r="AA187" s="70" t="s">
        <v>422</v>
      </c>
      <c r="AB187" s="228">
        <f>ROUND((ROUND((ROUND((_15_同援日１．０*(1+_15・A深夜)),0)*(1+_15・盲ろう)),0)*(1+_15・区３)),0)+ROUND((ROUND((ROUND((_15_同援日１．０＿１．５*(1+_15・B早朝)),0)*(1+_15・盲ろう)),0)*(1+_15・区３)),0)</f>
        <v>1138</v>
      </c>
      <c r="AC187" s="69"/>
    </row>
    <row r="188" spans="1:29" ht="16.5" customHeight="1" x14ac:dyDescent="0.3">
      <c r="A188" s="2">
        <v>15</v>
      </c>
      <c r="B188" s="2">
        <v>9020</v>
      </c>
      <c r="C188" s="60" t="s">
        <v>9433</v>
      </c>
      <c r="D188" s="1"/>
      <c r="E188" s="68"/>
      <c r="F188" s="70"/>
      <c r="G188" s="1"/>
      <c r="H188" s="68"/>
      <c r="I188" s="70"/>
      <c r="J188" s="66"/>
      <c r="K188" s="57"/>
      <c r="L188" s="58"/>
      <c r="M188" s="83" t="s">
        <v>5895</v>
      </c>
      <c r="N188" s="64" t="s">
        <v>1</v>
      </c>
      <c r="O188" s="65">
        <v>1</v>
      </c>
      <c r="P188" s="99"/>
      <c r="Q188" s="70"/>
      <c r="R188" s="99"/>
      <c r="S188" s="70"/>
      <c r="T188" s="94" t="s">
        <v>18024</v>
      </c>
      <c r="U188" s="68"/>
      <c r="V188" s="76"/>
      <c r="W188" s="70"/>
      <c r="X188" s="67"/>
      <c r="Y188" s="68"/>
      <c r="Z188" s="76"/>
      <c r="AA188" s="70"/>
      <c r="AB188" s="228">
        <f>ROUND((ROUND((ROUND((ROUND((_15_同援日１．０*_15・２人),0)*(1+_15・A深夜)),0)*(1+_15・盲ろう)),0)*(1+_15・区３)),0)+ROUND((ROUND((ROUND((ROUND((_15_同援日１．０＿１．５*_15・２人),0)*(1+_15・B早朝)),0)*(1+_15・盲ろう)),0)*(1+_15・区３)),0)</f>
        <v>1138</v>
      </c>
      <c r="AC188" s="69"/>
    </row>
    <row r="189" spans="1:29" ht="16.5" customHeight="1" x14ac:dyDescent="0.3">
      <c r="A189" s="2">
        <v>15</v>
      </c>
      <c r="B189" s="2">
        <v>9021</v>
      </c>
      <c r="C189" s="60" t="s">
        <v>9432</v>
      </c>
      <c r="D189" s="1"/>
      <c r="E189" s="68"/>
      <c r="F189" s="70"/>
      <c r="G189" s="1"/>
      <c r="H189" s="68"/>
      <c r="I189" s="70"/>
      <c r="J189" s="74" t="s">
        <v>16971</v>
      </c>
      <c r="K189" s="62"/>
      <c r="L189" s="63"/>
      <c r="M189" s="85"/>
      <c r="N189" s="64"/>
      <c r="O189" s="65"/>
      <c r="P189" s="99"/>
      <c r="Q189" s="70"/>
      <c r="R189" s="99"/>
      <c r="S189" s="70"/>
      <c r="T189" s="67"/>
      <c r="U189" s="68" t="s">
        <v>1</v>
      </c>
      <c r="V189" s="76">
        <v>0.25</v>
      </c>
      <c r="W189" s="70" t="s">
        <v>422</v>
      </c>
      <c r="X189" s="67"/>
      <c r="Y189" s="68"/>
      <c r="Z189" s="76"/>
      <c r="AA189" s="70"/>
      <c r="AB189" s="228">
        <f>ROUND((ROUND((ROUND((ROUND((_15_同援日１．０*_15・基礎２),0)*(1+_15・A深夜)),0)*(1+_15・盲ろう)),0)*(1+_15・区３)),0)+ROUND((ROUND((ROUND((ROUND((_15_同援日１．０＿１．５*_15・基礎２),0)*(1+_15・B早朝)),0)*(1+_15・盲ろう)),0)*(1+_15・区３)),0)</f>
        <v>1025</v>
      </c>
      <c r="AC189" s="69"/>
    </row>
    <row r="190" spans="1:29" ht="16.5" customHeight="1" x14ac:dyDescent="0.3">
      <c r="A190" s="2">
        <v>15</v>
      </c>
      <c r="B190" s="2">
        <v>9022</v>
      </c>
      <c r="C190" s="60" t="s">
        <v>9431</v>
      </c>
      <c r="D190" s="1"/>
      <c r="E190" s="68"/>
      <c r="F190" s="70"/>
      <c r="G190" s="1"/>
      <c r="H190" s="68"/>
      <c r="I190" s="70"/>
      <c r="J190" s="106" t="s">
        <v>16970</v>
      </c>
      <c r="K190" s="57" t="s">
        <v>1</v>
      </c>
      <c r="L190" s="58">
        <v>0.9</v>
      </c>
      <c r="M190" s="83" t="s">
        <v>5895</v>
      </c>
      <c r="N190" s="64" t="s">
        <v>1</v>
      </c>
      <c r="O190" s="65">
        <v>1</v>
      </c>
      <c r="P190" s="99"/>
      <c r="Q190" s="70"/>
      <c r="R190" s="99"/>
      <c r="S190" s="70"/>
      <c r="T190" s="66"/>
      <c r="U190" s="57"/>
      <c r="V190" s="58"/>
      <c r="W190" s="77"/>
      <c r="X190" s="66"/>
      <c r="Y190" s="57"/>
      <c r="Z190" s="58"/>
      <c r="AA190" s="77"/>
      <c r="AB190" s="228">
        <f>ROUND((ROUND((ROUND((ROUND((ROUND((_15_同援日１．０*_15・基礎２),0)*_15・２人),0)*(1+_15・A深夜)),0)*(1+_15・盲ろう)),0)*(1+_15・区３)),0)+ROUND((ROUND((ROUND((ROUND((ROUND((_15_同援日１．０＿１．５*_15・基礎２),0)*_15・２人),0)*(1+_15・B早朝)),0)*(1+_15・盲ろう)),0)*(1+_15・区３)),0)</f>
        <v>1025</v>
      </c>
      <c r="AC190" s="69"/>
    </row>
    <row r="191" spans="1:29" ht="16.5" customHeight="1" x14ac:dyDescent="0.3">
      <c r="A191" s="2">
        <v>15</v>
      </c>
      <c r="B191" s="2">
        <v>9023</v>
      </c>
      <c r="C191" s="60" t="s">
        <v>9430</v>
      </c>
      <c r="D191" s="1"/>
      <c r="E191" s="68"/>
      <c r="F191" s="70"/>
      <c r="G191" s="1"/>
      <c r="H191" s="68"/>
      <c r="I191" s="70"/>
      <c r="J191" s="61"/>
      <c r="K191" s="62"/>
      <c r="L191" s="63"/>
      <c r="M191" s="85"/>
      <c r="N191" s="64"/>
      <c r="O191" s="65"/>
      <c r="P191" s="99"/>
      <c r="Q191" s="70"/>
      <c r="R191" s="99"/>
      <c r="S191" s="70"/>
      <c r="T191" s="61"/>
      <c r="U191" s="62"/>
      <c r="V191" s="63"/>
      <c r="W191" s="75"/>
      <c r="X191" s="61"/>
      <c r="Y191" s="62"/>
      <c r="Z191" s="63"/>
      <c r="AA191" s="75"/>
      <c r="AB191" s="228">
        <f>ROUND((ROUND((_15_同援日１．０*(1+_15・A深夜)),0)*(1+_15・区４)),0)+ROUND((ROUND((_15_同援日１．０＿１．５*(1+_15・B早朝)),0)*(1+_15・区４)),0)</f>
        <v>1061</v>
      </c>
      <c r="AC191" s="69"/>
    </row>
    <row r="192" spans="1:29" ht="16.5" customHeight="1" x14ac:dyDescent="0.3">
      <c r="A192" s="2">
        <v>15</v>
      </c>
      <c r="B192" s="2">
        <v>9024</v>
      </c>
      <c r="C192" s="60" t="s">
        <v>9429</v>
      </c>
      <c r="D192" s="1"/>
      <c r="E192" s="68"/>
      <c r="F192" s="70"/>
      <c r="G192" s="1"/>
      <c r="H192" s="68"/>
      <c r="I192" s="70"/>
      <c r="J192" s="66"/>
      <c r="K192" s="57"/>
      <c r="L192" s="58"/>
      <c r="M192" s="83" t="s">
        <v>5895</v>
      </c>
      <c r="N192" s="64" t="s">
        <v>1</v>
      </c>
      <c r="O192" s="65">
        <v>1</v>
      </c>
      <c r="P192" s="99"/>
      <c r="Q192" s="70"/>
      <c r="R192" s="99"/>
      <c r="S192" s="70"/>
      <c r="T192" s="67"/>
      <c r="U192" s="68"/>
      <c r="V192" s="76"/>
      <c r="W192" s="70"/>
      <c r="X192" s="67"/>
      <c r="Y192" s="68"/>
      <c r="Z192" s="76"/>
      <c r="AA192" s="70"/>
      <c r="AB192" s="228">
        <f>ROUND((ROUND((ROUND((_15_同援日１．０*_15・２人),0)*(1+_15・A深夜)),0)*(1+_15・区４)),0)+ROUND((ROUND((ROUND((_15_同援日１．０＿１．５*_15・２人),0)*(1+_15・B早朝)),0)*(1+_15・区４)),0)</f>
        <v>1061</v>
      </c>
      <c r="AC192" s="69"/>
    </row>
    <row r="193" spans="1:29" ht="16.5" customHeight="1" x14ac:dyDescent="0.3">
      <c r="A193" s="2">
        <v>15</v>
      </c>
      <c r="B193" s="2">
        <v>9025</v>
      </c>
      <c r="C193" s="60" t="s">
        <v>9428</v>
      </c>
      <c r="D193" s="1"/>
      <c r="E193" s="68"/>
      <c r="F193" s="70"/>
      <c r="G193" s="1"/>
      <c r="H193" s="68"/>
      <c r="I193" s="70"/>
      <c r="J193" s="74" t="s">
        <v>16971</v>
      </c>
      <c r="K193" s="62"/>
      <c r="L193" s="63"/>
      <c r="M193" s="85"/>
      <c r="N193" s="64"/>
      <c r="O193" s="65"/>
      <c r="P193" s="99"/>
      <c r="Q193" s="70"/>
      <c r="R193" s="99"/>
      <c r="S193" s="70"/>
      <c r="T193" s="67"/>
      <c r="U193" s="68"/>
      <c r="V193" s="76"/>
      <c r="W193" s="70"/>
      <c r="X193" s="1" t="s">
        <v>18027</v>
      </c>
      <c r="Y193" s="68"/>
      <c r="Z193" s="76"/>
      <c r="AA193" s="70"/>
      <c r="AB193" s="228">
        <f>ROUND((ROUND((ROUND((_15_同援日１．０*_15・基礎２),0)*(1+_15・A深夜)),0)*(1+_15・区４)),0)+ROUND((ROUND((ROUND((_15_同援日１．０＿１．５*_15・基礎２),0)*(1+_15・B早朝)),0)*(1+_15・区４)),0)</f>
        <v>956</v>
      </c>
      <c r="AC193" s="69"/>
    </row>
    <row r="194" spans="1:29" ht="16.5" customHeight="1" x14ac:dyDescent="0.3">
      <c r="A194" s="2">
        <v>15</v>
      </c>
      <c r="B194" s="2">
        <v>9026</v>
      </c>
      <c r="C194" s="60" t="s">
        <v>9427</v>
      </c>
      <c r="D194" s="1"/>
      <c r="E194" s="68"/>
      <c r="F194" s="70"/>
      <c r="G194" s="1"/>
      <c r="H194" s="68"/>
      <c r="I194" s="70"/>
      <c r="J194" s="106" t="s">
        <v>16970</v>
      </c>
      <c r="K194" s="57" t="s">
        <v>1</v>
      </c>
      <c r="L194" s="58">
        <v>0.9</v>
      </c>
      <c r="M194" s="83" t="s">
        <v>5895</v>
      </c>
      <c r="N194" s="64" t="s">
        <v>1</v>
      </c>
      <c r="O194" s="65">
        <v>1</v>
      </c>
      <c r="P194" s="99"/>
      <c r="Q194" s="70"/>
      <c r="R194" s="99"/>
      <c r="S194" s="70"/>
      <c r="T194" s="66"/>
      <c r="U194" s="57"/>
      <c r="V194" s="58"/>
      <c r="W194" s="77"/>
      <c r="X194" s="1" t="s">
        <v>18026</v>
      </c>
      <c r="Y194" s="68"/>
      <c r="Z194" s="76"/>
      <c r="AA194" s="70"/>
      <c r="AB194" s="228">
        <f>ROUND((ROUND((ROUND((ROUND((_15_同援日１．０*_15・基礎２),0)*_15・２人),0)*(1+_15・A深夜)),0)*(1+_15・区４)),0)+ROUND((ROUND((ROUND((ROUND((_15_同援日１．０＿１．５*_15・基礎２),0)*_15・２人),0)*(1+_15・B早朝)),0)*(1+_15・区４)),0)</f>
        <v>956</v>
      </c>
      <c r="AC194" s="69"/>
    </row>
    <row r="195" spans="1:29" ht="16.5" customHeight="1" x14ac:dyDescent="0.3">
      <c r="A195" s="2">
        <v>15</v>
      </c>
      <c r="B195" s="2">
        <v>9027</v>
      </c>
      <c r="C195" s="60" t="s">
        <v>9426</v>
      </c>
      <c r="D195" s="1"/>
      <c r="E195" s="68"/>
      <c r="F195" s="70"/>
      <c r="G195" s="1"/>
      <c r="H195" s="68"/>
      <c r="I195" s="70"/>
      <c r="J195" s="61"/>
      <c r="K195" s="62"/>
      <c r="L195" s="63"/>
      <c r="M195" s="85"/>
      <c r="N195" s="64"/>
      <c r="O195" s="65"/>
      <c r="P195" s="99"/>
      <c r="Q195" s="70"/>
      <c r="R195" s="99"/>
      <c r="S195" s="70"/>
      <c r="T195" s="74" t="s">
        <v>18025</v>
      </c>
      <c r="U195" s="62"/>
      <c r="V195" s="63"/>
      <c r="W195" s="75"/>
      <c r="X195" s="67"/>
      <c r="Y195" s="68" t="s">
        <v>1</v>
      </c>
      <c r="Z195" s="76">
        <v>0.4</v>
      </c>
      <c r="AA195" s="70" t="s">
        <v>422</v>
      </c>
      <c r="AB195" s="228">
        <f>ROUND((ROUND((ROUND((_15_同援日１．０*(1+_15・A深夜)),0)*(1+_15・盲ろう)),0)*(1+_15・区４)),0)+ROUND((ROUND((ROUND((_15_同援日１．０＿１．５*(1+_15・B早朝)),0)*(1+_15・盲ろう)),0)*(1+_15・区４)),0)</f>
        <v>1327</v>
      </c>
      <c r="AC195" s="69"/>
    </row>
    <row r="196" spans="1:29" ht="16.5" customHeight="1" x14ac:dyDescent="0.3">
      <c r="A196" s="2">
        <v>15</v>
      </c>
      <c r="B196" s="2">
        <v>9028</v>
      </c>
      <c r="C196" s="60" t="s">
        <v>9425</v>
      </c>
      <c r="D196" s="1"/>
      <c r="E196" s="68"/>
      <c r="F196" s="70"/>
      <c r="G196" s="1"/>
      <c r="H196" s="68"/>
      <c r="I196" s="70"/>
      <c r="J196" s="66"/>
      <c r="K196" s="57"/>
      <c r="L196" s="58"/>
      <c r="M196" s="83" t="s">
        <v>5895</v>
      </c>
      <c r="N196" s="64" t="s">
        <v>1</v>
      </c>
      <c r="O196" s="65">
        <v>1</v>
      </c>
      <c r="P196" s="99"/>
      <c r="Q196" s="70"/>
      <c r="R196" s="99"/>
      <c r="S196" s="70"/>
      <c r="T196" s="94" t="s">
        <v>18024</v>
      </c>
      <c r="U196" s="68"/>
      <c r="V196" s="76"/>
      <c r="W196" s="70"/>
      <c r="X196" s="67"/>
      <c r="Y196" s="68"/>
      <c r="Z196" s="76"/>
      <c r="AA196" s="70"/>
      <c r="AB196" s="228">
        <f>ROUND((ROUND((ROUND((ROUND((_15_同援日１．０*_15・２人),0)*(1+_15・A深夜)),0)*(1+_15・盲ろう)),0)*(1+_15・区４)),0)+ROUND((ROUND((ROUND((ROUND((_15_同援日１．０＿１．５*_15・２人),0)*(1+_15・B早朝)),0)*(1+_15・盲ろう)),0)*(1+_15・区４)),0)</f>
        <v>1327</v>
      </c>
      <c r="AC196" s="69"/>
    </row>
    <row r="197" spans="1:29" ht="16.5" customHeight="1" x14ac:dyDescent="0.3">
      <c r="A197" s="2">
        <v>15</v>
      </c>
      <c r="B197" s="2">
        <v>9029</v>
      </c>
      <c r="C197" s="60" t="s">
        <v>9424</v>
      </c>
      <c r="D197" s="1"/>
      <c r="E197" s="68"/>
      <c r="F197" s="70"/>
      <c r="G197" s="1"/>
      <c r="H197" s="68"/>
      <c r="I197" s="70"/>
      <c r="J197" s="74" t="s">
        <v>16971</v>
      </c>
      <c r="K197" s="62"/>
      <c r="L197" s="63"/>
      <c r="M197" s="85"/>
      <c r="N197" s="64"/>
      <c r="O197" s="65"/>
      <c r="P197" s="99"/>
      <c r="Q197" s="70"/>
      <c r="R197" s="99"/>
      <c r="S197" s="70"/>
      <c r="T197" s="67"/>
      <c r="U197" s="68" t="s">
        <v>1</v>
      </c>
      <c r="V197" s="76">
        <v>0.25</v>
      </c>
      <c r="W197" s="70" t="s">
        <v>422</v>
      </c>
      <c r="X197" s="67"/>
      <c r="Y197" s="68"/>
      <c r="Z197" s="76"/>
      <c r="AA197" s="70"/>
      <c r="AB197" s="228">
        <f>ROUND((ROUND((ROUND((ROUND((_15_同援日１．０*_15・基礎２),0)*(1+_15・A深夜)),0)*(1+_15・盲ろう)),0)*(1+_15・区４)),0)+ROUND((ROUND((ROUND((ROUND((_15_同援日１．０＿１．５*_15・基礎２),0)*(1+_15・B早朝)),0)*(1+_15・盲ろう)),0)*(1+_15・区４)),0)</f>
        <v>1196</v>
      </c>
      <c r="AC197" s="69"/>
    </row>
    <row r="198" spans="1:29" ht="16.5" customHeight="1" x14ac:dyDescent="0.3">
      <c r="A198" s="2">
        <v>15</v>
      </c>
      <c r="B198" s="2">
        <v>9030</v>
      </c>
      <c r="C198" s="60" t="s">
        <v>9423</v>
      </c>
      <c r="D198" s="1"/>
      <c r="E198" s="68"/>
      <c r="F198" s="70"/>
      <c r="G198" s="81"/>
      <c r="H198" s="57"/>
      <c r="I198" s="77"/>
      <c r="J198" s="106" t="s">
        <v>16970</v>
      </c>
      <c r="K198" s="57" t="s">
        <v>1</v>
      </c>
      <c r="L198" s="58">
        <v>0.9</v>
      </c>
      <c r="M198" s="83" t="s">
        <v>5895</v>
      </c>
      <c r="N198" s="64" t="s">
        <v>1</v>
      </c>
      <c r="O198" s="65">
        <v>1</v>
      </c>
      <c r="P198" s="99"/>
      <c r="Q198" s="70"/>
      <c r="R198" s="99"/>
      <c r="S198" s="70"/>
      <c r="T198" s="66"/>
      <c r="U198" s="57"/>
      <c r="V198" s="58"/>
      <c r="W198" s="77"/>
      <c r="X198" s="66"/>
      <c r="Y198" s="57"/>
      <c r="Z198" s="58"/>
      <c r="AA198" s="77"/>
      <c r="AB198" s="228">
        <f>ROUND((ROUND((ROUND((ROUND((ROUND((_15_同援日１．０*_15・基礎２),0)*_15・２人),0)*(1+_15・A深夜)),0)*(1+_15・盲ろう)),0)*(1+_15・区４)),0)+ROUND((ROUND((ROUND((ROUND((ROUND((_15_同援日１．０＿１．５*_15・基礎２),0)*_15・２人),0)*(1+_15・B早朝)),0)*(1+_15・盲ろう)),0)*(1+_15・区４)),0)</f>
        <v>1196</v>
      </c>
      <c r="AC198" s="69"/>
    </row>
    <row r="199" spans="1:29" ht="16.5" customHeight="1" x14ac:dyDescent="0.3">
      <c r="A199" s="2">
        <v>15</v>
      </c>
      <c r="B199" s="2">
        <v>9031</v>
      </c>
      <c r="C199" s="60" t="s">
        <v>9422</v>
      </c>
      <c r="D199" s="1"/>
      <c r="E199" s="68"/>
      <c r="F199" s="70"/>
      <c r="G199" s="233" t="s">
        <v>16982</v>
      </c>
      <c r="H199" s="62"/>
      <c r="I199" s="75"/>
      <c r="J199" s="61"/>
      <c r="K199" s="62"/>
      <c r="L199" s="63"/>
      <c r="M199" s="85"/>
      <c r="N199" s="64"/>
      <c r="O199" s="65"/>
      <c r="P199" s="99"/>
      <c r="Q199" s="70"/>
      <c r="R199" s="99"/>
      <c r="S199" s="70"/>
      <c r="T199" s="61"/>
      <c r="U199" s="62"/>
      <c r="V199" s="63"/>
      <c r="W199" s="75"/>
      <c r="X199" s="61"/>
      <c r="Y199" s="62"/>
      <c r="Z199" s="63"/>
      <c r="AA199" s="75"/>
      <c r="AB199" s="228">
        <f>ROUND((_15_同援日１．０*(1+_15・A深夜)),0)+ROUND((_15_同援日１．０＿２．０*(1+_15・B早朝)),0)</f>
        <v>837</v>
      </c>
      <c r="AC199" s="69"/>
    </row>
    <row r="200" spans="1:29" ht="16.5" customHeight="1" x14ac:dyDescent="0.3">
      <c r="A200" s="2">
        <v>15</v>
      </c>
      <c r="B200" s="2">
        <v>9032</v>
      </c>
      <c r="C200" s="60" t="s">
        <v>9421</v>
      </c>
      <c r="D200" s="1"/>
      <c r="E200" s="68"/>
      <c r="F200" s="70"/>
      <c r="G200" s="1" t="s">
        <v>16981</v>
      </c>
      <c r="H200" s="68"/>
      <c r="I200" s="70"/>
      <c r="J200" s="66"/>
      <c r="K200" s="57"/>
      <c r="L200" s="58"/>
      <c r="M200" s="83" t="s">
        <v>5895</v>
      </c>
      <c r="N200" s="64" t="s">
        <v>1</v>
      </c>
      <c r="O200" s="65">
        <v>1</v>
      </c>
      <c r="P200" s="99"/>
      <c r="Q200" s="70"/>
      <c r="R200" s="99"/>
      <c r="S200" s="70"/>
      <c r="T200" s="67"/>
      <c r="U200" s="68"/>
      <c r="V200" s="76"/>
      <c r="W200" s="70"/>
      <c r="X200" s="67"/>
      <c r="Y200" s="68"/>
      <c r="Z200" s="76"/>
      <c r="AA200" s="70"/>
      <c r="AB200" s="228">
        <f>ROUND((ROUND((_15_同援日１．０*_15・２人),0)*(1+_15・A深夜)),0)+ROUND((ROUND((_15_同援日１．０＿２．０*_15・２人),0)*(1+_15・B早朝)),0)</f>
        <v>837</v>
      </c>
      <c r="AC200" s="69"/>
    </row>
    <row r="201" spans="1:29" ht="16.5" customHeight="1" x14ac:dyDescent="0.3">
      <c r="A201" s="2">
        <v>15</v>
      </c>
      <c r="B201" s="2">
        <v>9033</v>
      </c>
      <c r="C201" s="60" t="s">
        <v>9420</v>
      </c>
      <c r="D201" s="1"/>
      <c r="E201" s="68"/>
      <c r="F201" s="70"/>
      <c r="G201" s="1" t="s">
        <v>6448</v>
      </c>
      <c r="H201" s="68"/>
      <c r="I201" s="70"/>
      <c r="J201" s="74" t="s">
        <v>16971</v>
      </c>
      <c r="K201" s="62"/>
      <c r="L201" s="63"/>
      <c r="M201" s="85"/>
      <c r="N201" s="64"/>
      <c r="O201" s="65"/>
      <c r="P201" s="99"/>
      <c r="Q201" s="70"/>
      <c r="R201" s="99"/>
      <c r="S201" s="70"/>
      <c r="T201" s="67"/>
      <c r="U201" s="68"/>
      <c r="V201" s="76"/>
      <c r="W201" s="70"/>
      <c r="X201" s="67"/>
      <c r="Y201" s="68"/>
      <c r="Z201" s="76"/>
      <c r="AA201" s="70"/>
      <c r="AB201" s="228">
        <f>ROUND((ROUND((_15_同援日１．０*_15・基礎２),0)*(1+_15・A深夜)),0)+ROUND((ROUND((_15_同援日１．０＿２．０*_15・基礎２),0)*(1+_15・B早朝)),0)</f>
        <v>754</v>
      </c>
      <c r="AC201" s="69"/>
    </row>
    <row r="202" spans="1:29" ht="16.5" customHeight="1" x14ac:dyDescent="0.3">
      <c r="A202" s="2">
        <v>15</v>
      </c>
      <c r="B202" s="2">
        <v>9034</v>
      </c>
      <c r="C202" s="60" t="s">
        <v>9419</v>
      </c>
      <c r="D202" s="1"/>
      <c r="E202" s="68"/>
      <c r="F202" s="70"/>
      <c r="G202" s="1"/>
      <c r="H202" s="119">
        <v>319</v>
      </c>
      <c r="I202" s="70" t="s">
        <v>0</v>
      </c>
      <c r="J202" s="106" t="s">
        <v>16970</v>
      </c>
      <c r="K202" s="57" t="s">
        <v>1</v>
      </c>
      <c r="L202" s="58">
        <v>0.9</v>
      </c>
      <c r="M202" s="83" t="s">
        <v>5895</v>
      </c>
      <c r="N202" s="64" t="s">
        <v>1</v>
      </c>
      <c r="O202" s="65">
        <v>1</v>
      </c>
      <c r="P202" s="99"/>
      <c r="Q202" s="70"/>
      <c r="R202" s="99"/>
      <c r="S202" s="70"/>
      <c r="T202" s="66"/>
      <c r="U202" s="57"/>
      <c r="V202" s="58"/>
      <c r="W202" s="77"/>
      <c r="X202" s="67"/>
      <c r="Y202" s="68"/>
      <c r="Z202" s="76"/>
      <c r="AA202" s="70"/>
      <c r="AB202" s="228">
        <f>ROUND((ROUND((ROUND((_15_同援日１．０*_15・基礎２),0)*_15・２人),0)*(1+_15・A深夜)),0)+ROUND((ROUND((ROUND((_15_同援日１．０＿２．０*_15・基礎２),0)*_15・２人),0)*(1+_15・B早朝)),0)</f>
        <v>754</v>
      </c>
      <c r="AC202" s="69"/>
    </row>
    <row r="203" spans="1:29" ht="16.5" customHeight="1" x14ac:dyDescent="0.3">
      <c r="A203" s="2">
        <v>15</v>
      </c>
      <c r="B203" s="2">
        <v>9035</v>
      </c>
      <c r="C203" s="60" t="s">
        <v>9418</v>
      </c>
      <c r="D203" s="1"/>
      <c r="E203" s="68"/>
      <c r="F203" s="70"/>
      <c r="G203" s="1"/>
      <c r="H203" s="68"/>
      <c r="I203" s="70"/>
      <c r="J203" s="61"/>
      <c r="K203" s="62"/>
      <c r="L203" s="63"/>
      <c r="M203" s="85"/>
      <c r="N203" s="64"/>
      <c r="O203" s="65"/>
      <c r="P203" s="99"/>
      <c r="Q203" s="70"/>
      <c r="R203" s="99"/>
      <c r="S203" s="70"/>
      <c r="T203" s="74" t="s">
        <v>18025</v>
      </c>
      <c r="U203" s="62"/>
      <c r="V203" s="63"/>
      <c r="W203" s="75"/>
      <c r="X203" s="67"/>
      <c r="Y203" s="68"/>
      <c r="Z203" s="76"/>
      <c r="AA203" s="70"/>
      <c r="AB203" s="228">
        <f>ROUND((ROUND((_15_同援日１．０*(1+_15・A深夜)),0)*(1+_15・盲ろう)),0)+ROUND((ROUND((_15_同援日１．０＿２．０*(1+_15・B早朝)),0)*(1+_15・盲ろう)),0)</f>
        <v>1047</v>
      </c>
      <c r="AC203" s="69"/>
    </row>
    <row r="204" spans="1:29" ht="16.5" customHeight="1" x14ac:dyDescent="0.3">
      <c r="A204" s="2">
        <v>15</v>
      </c>
      <c r="B204" s="2">
        <v>9036</v>
      </c>
      <c r="C204" s="60" t="s">
        <v>9417</v>
      </c>
      <c r="D204" s="1"/>
      <c r="E204" s="68"/>
      <c r="F204" s="70"/>
      <c r="G204" s="1"/>
      <c r="H204" s="68"/>
      <c r="I204" s="70"/>
      <c r="J204" s="66"/>
      <c r="K204" s="57"/>
      <c r="L204" s="58"/>
      <c r="M204" s="83" t="s">
        <v>5895</v>
      </c>
      <c r="N204" s="64" t="s">
        <v>1</v>
      </c>
      <c r="O204" s="65">
        <v>1</v>
      </c>
      <c r="P204" s="99"/>
      <c r="Q204" s="70"/>
      <c r="R204" s="99"/>
      <c r="S204" s="70"/>
      <c r="T204" s="94" t="s">
        <v>18024</v>
      </c>
      <c r="U204" s="68"/>
      <c r="V204" s="76"/>
      <c r="W204" s="70"/>
      <c r="X204" s="67"/>
      <c r="Y204" s="68"/>
      <c r="Z204" s="76"/>
      <c r="AA204" s="70"/>
      <c r="AB204" s="228">
        <f>ROUND((ROUND((ROUND((_15_同援日１．０*_15・２人),0)*(1+_15・A深夜)),0)*(1+_15・盲ろう)),0)+ROUND((ROUND((ROUND((_15_同援日１．０＿２．０*_15・２人),0)*(1+_15・B早朝)),0)*(1+_15・盲ろう)),0)</f>
        <v>1047</v>
      </c>
      <c r="AC204" s="69"/>
    </row>
    <row r="205" spans="1:29" ht="16.5" customHeight="1" x14ac:dyDescent="0.3">
      <c r="A205" s="2">
        <v>15</v>
      </c>
      <c r="B205" s="2">
        <v>9037</v>
      </c>
      <c r="C205" s="60" t="s">
        <v>9416</v>
      </c>
      <c r="D205" s="1"/>
      <c r="E205" s="68"/>
      <c r="F205" s="70"/>
      <c r="G205" s="1"/>
      <c r="H205" s="68"/>
      <c r="I205" s="70"/>
      <c r="J205" s="74" t="s">
        <v>16971</v>
      </c>
      <c r="K205" s="62"/>
      <c r="L205" s="63"/>
      <c r="M205" s="85"/>
      <c r="N205" s="64"/>
      <c r="O205" s="65"/>
      <c r="P205" s="99"/>
      <c r="Q205" s="70"/>
      <c r="R205" s="99"/>
      <c r="S205" s="70"/>
      <c r="T205" s="67"/>
      <c r="U205" s="68" t="s">
        <v>1</v>
      </c>
      <c r="V205" s="76">
        <v>0.25</v>
      </c>
      <c r="W205" s="70" t="s">
        <v>422</v>
      </c>
      <c r="X205" s="67"/>
      <c r="Y205" s="68"/>
      <c r="Z205" s="76"/>
      <c r="AA205" s="70"/>
      <c r="AB205" s="228">
        <f>ROUND((ROUND((ROUND((_15_同援日１．０*_15・基礎２),0)*(1+_15・A深夜)),0)*(1+_15・盲ろう)),0)+ROUND((ROUND((ROUND((_15_同援日１．０＿２．０*_15・基礎２),0)*(1+_15・B早朝)),0)*(1+_15・盲ろう)),0)</f>
        <v>943</v>
      </c>
      <c r="AC205" s="69"/>
    </row>
    <row r="206" spans="1:29" ht="16.5" customHeight="1" x14ac:dyDescent="0.3">
      <c r="A206" s="2">
        <v>15</v>
      </c>
      <c r="B206" s="2">
        <v>9038</v>
      </c>
      <c r="C206" s="60" t="s">
        <v>9415</v>
      </c>
      <c r="D206" s="1"/>
      <c r="E206" s="68"/>
      <c r="F206" s="70"/>
      <c r="G206" s="1"/>
      <c r="H206" s="68"/>
      <c r="I206" s="70"/>
      <c r="J206" s="106" t="s">
        <v>16970</v>
      </c>
      <c r="K206" s="57" t="s">
        <v>1</v>
      </c>
      <c r="L206" s="58">
        <v>0.9</v>
      </c>
      <c r="M206" s="83" t="s">
        <v>5895</v>
      </c>
      <c r="N206" s="64" t="s">
        <v>1</v>
      </c>
      <c r="O206" s="65">
        <v>1</v>
      </c>
      <c r="P206" s="99"/>
      <c r="Q206" s="70"/>
      <c r="R206" s="99"/>
      <c r="S206" s="70"/>
      <c r="T206" s="66"/>
      <c r="U206" s="57"/>
      <c r="V206" s="58"/>
      <c r="W206" s="77"/>
      <c r="X206" s="66"/>
      <c r="Y206" s="57"/>
      <c r="Z206" s="58"/>
      <c r="AA206" s="77"/>
      <c r="AB206" s="228">
        <f>ROUND((ROUND((ROUND((ROUND((_15_同援日１．０*_15・基礎２),0)*_15・２人),0)*(1+_15・A深夜)),0)*(1+_15・盲ろう)),0)+ROUND((ROUND((ROUND((ROUND((_15_同援日１．０＿２．０*_15・基礎２),0)*_15・２人),0)*(1+_15・B早朝)),0)*(1+_15・盲ろう)),0)</f>
        <v>943</v>
      </c>
      <c r="AC206" s="69"/>
    </row>
    <row r="207" spans="1:29" ht="16.5" customHeight="1" x14ac:dyDescent="0.3">
      <c r="A207" s="2">
        <v>15</v>
      </c>
      <c r="B207" s="2">
        <v>9039</v>
      </c>
      <c r="C207" s="60" t="s">
        <v>9414</v>
      </c>
      <c r="D207" s="1"/>
      <c r="E207" s="68"/>
      <c r="F207" s="70"/>
      <c r="G207" s="1"/>
      <c r="H207" s="68"/>
      <c r="I207" s="70"/>
      <c r="J207" s="61"/>
      <c r="K207" s="62"/>
      <c r="L207" s="63"/>
      <c r="M207" s="85"/>
      <c r="N207" s="64"/>
      <c r="O207" s="65"/>
      <c r="P207" s="99"/>
      <c r="Q207" s="70"/>
      <c r="R207" s="99"/>
      <c r="S207" s="70"/>
      <c r="T207" s="61"/>
      <c r="U207" s="62"/>
      <c r="V207" s="63"/>
      <c r="W207" s="75"/>
      <c r="X207" s="61"/>
      <c r="Y207" s="62"/>
      <c r="Z207" s="63"/>
      <c r="AA207" s="75"/>
      <c r="AB207" s="228">
        <f>ROUND((ROUND((_15_同援日１．０*(1+_15・A深夜)),0)*(1+_15・区３)),0)+ROUND((ROUND((_15_同援日１．０＿２．０*(1+_15・B早朝)),0)*(1+_15・区３)),0)</f>
        <v>1005</v>
      </c>
      <c r="AC207" s="69"/>
    </row>
    <row r="208" spans="1:29" ht="16.5" customHeight="1" x14ac:dyDescent="0.3">
      <c r="A208" s="2">
        <v>15</v>
      </c>
      <c r="B208" s="2">
        <v>9040</v>
      </c>
      <c r="C208" s="60" t="s">
        <v>9413</v>
      </c>
      <c r="D208" s="1"/>
      <c r="E208" s="68"/>
      <c r="F208" s="70"/>
      <c r="G208" s="1"/>
      <c r="H208" s="68"/>
      <c r="I208" s="70"/>
      <c r="J208" s="66"/>
      <c r="K208" s="57"/>
      <c r="L208" s="58"/>
      <c r="M208" s="83" t="s">
        <v>5895</v>
      </c>
      <c r="N208" s="64" t="s">
        <v>1</v>
      </c>
      <c r="O208" s="65">
        <v>1</v>
      </c>
      <c r="P208" s="99"/>
      <c r="Q208" s="70"/>
      <c r="R208" s="99"/>
      <c r="S208" s="70"/>
      <c r="T208" s="67"/>
      <c r="U208" s="68"/>
      <c r="V208" s="76"/>
      <c r="W208" s="70"/>
      <c r="X208" s="67"/>
      <c r="Y208" s="68"/>
      <c r="Z208" s="76"/>
      <c r="AA208" s="70"/>
      <c r="AB208" s="228">
        <f>ROUND((ROUND((ROUND((_15_同援日１．０*_15・２人),0)*(1+_15・A深夜)),0)*(1+_15・区３)),0)+ROUND((ROUND((ROUND((_15_同援日１．０＿２．０*_15・２人),0)*(1+_15・B早朝)),0)*(1+_15・区３)),0)</f>
        <v>1005</v>
      </c>
      <c r="AC208" s="69"/>
    </row>
    <row r="209" spans="1:29" ht="16.5" customHeight="1" x14ac:dyDescent="0.3">
      <c r="A209" s="2">
        <v>15</v>
      </c>
      <c r="B209" s="2">
        <v>9041</v>
      </c>
      <c r="C209" s="60" t="s">
        <v>9412</v>
      </c>
      <c r="D209" s="1"/>
      <c r="E209" s="68"/>
      <c r="F209" s="70"/>
      <c r="G209" s="1"/>
      <c r="H209" s="68"/>
      <c r="I209" s="70"/>
      <c r="J209" s="74" t="s">
        <v>16971</v>
      </c>
      <c r="K209" s="62"/>
      <c r="L209" s="63"/>
      <c r="M209" s="85"/>
      <c r="N209" s="64"/>
      <c r="O209" s="65"/>
      <c r="P209" s="99"/>
      <c r="Q209" s="70"/>
      <c r="R209" s="99"/>
      <c r="S209" s="70"/>
      <c r="T209" s="67"/>
      <c r="U209" s="68"/>
      <c r="V209" s="76"/>
      <c r="W209" s="70"/>
      <c r="X209" s="1" t="s">
        <v>18028</v>
      </c>
      <c r="Y209" s="68"/>
      <c r="Z209" s="76"/>
      <c r="AA209" s="70"/>
      <c r="AB209" s="228">
        <f>ROUND((ROUND((ROUND((_15_同援日１．０*_15・基礎２),0)*(1+_15・A深夜)),0)*(1+_15・区３)),0)+ROUND((ROUND((ROUND((_15_同援日１．０＿２．０*_15・基礎２),0)*(1+_15・B早朝)),0)*(1+_15・区３)),0)</f>
        <v>905</v>
      </c>
      <c r="AC209" s="69"/>
    </row>
    <row r="210" spans="1:29" ht="16.5" customHeight="1" x14ac:dyDescent="0.3">
      <c r="A210" s="2">
        <v>15</v>
      </c>
      <c r="B210" s="2">
        <v>9042</v>
      </c>
      <c r="C210" s="60" t="s">
        <v>9411</v>
      </c>
      <c r="D210" s="1"/>
      <c r="E210" s="68"/>
      <c r="F210" s="70"/>
      <c r="G210" s="1"/>
      <c r="H210" s="68"/>
      <c r="I210" s="70"/>
      <c r="J210" s="106" t="s">
        <v>16970</v>
      </c>
      <c r="K210" s="57" t="s">
        <v>1</v>
      </c>
      <c r="L210" s="58">
        <v>0.9</v>
      </c>
      <c r="M210" s="83" t="s">
        <v>5895</v>
      </c>
      <c r="N210" s="64" t="s">
        <v>1</v>
      </c>
      <c r="O210" s="65">
        <v>1</v>
      </c>
      <c r="P210" s="99"/>
      <c r="Q210" s="70"/>
      <c r="R210" s="99"/>
      <c r="S210" s="70"/>
      <c r="T210" s="66"/>
      <c r="U210" s="57"/>
      <c r="V210" s="58"/>
      <c r="W210" s="77"/>
      <c r="X210" s="1" t="s">
        <v>18026</v>
      </c>
      <c r="Y210" s="68"/>
      <c r="Z210" s="76"/>
      <c r="AA210" s="70"/>
      <c r="AB210" s="228">
        <f>ROUND((ROUND((ROUND((ROUND((_15_同援日１．０*_15・基礎２),0)*_15・２人),0)*(1+_15・A深夜)),0)*(1+_15・区３)),0)+ROUND((ROUND((ROUND((ROUND((_15_同援日１．０＿２．０*_15・基礎２),0)*_15・２人),0)*(1+_15・B早朝)),0)*(1+_15・区３)),0)</f>
        <v>905</v>
      </c>
      <c r="AC210" s="69"/>
    </row>
    <row r="211" spans="1:29" ht="16.5" customHeight="1" x14ac:dyDescent="0.3">
      <c r="A211" s="2">
        <v>15</v>
      </c>
      <c r="B211" s="2">
        <v>9043</v>
      </c>
      <c r="C211" s="60" t="s">
        <v>9410</v>
      </c>
      <c r="D211" s="1"/>
      <c r="E211" s="68"/>
      <c r="F211" s="70"/>
      <c r="G211" s="1"/>
      <c r="H211" s="68"/>
      <c r="I211" s="70"/>
      <c r="J211" s="61"/>
      <c r="K211" s="62"/>
      <c r="L211" s="63"/>
      <c r="M211" s="85"/>
      <c r="N211" s="64"/>
      <c r="O211" s="65"/>
      <c r="P211" s="99"/>
      <c r="Q211" s="70"/>
      <c r="R211" s="99"/>
      <c r="S211" s="70"/>
      <c r="T211" s="74" t="s">
        <v>18025</v>
      </c>
      <c r="U211" s="62"/>
      <c r="V211" s="63"/>
      <c r="W211" s="75"/>
      <c r="X211" s="67"/>
      <c r="Y211" s="68" t="s">
        <v>1</v>
      </c>
      <c r="Z211" s="76">
        <v>0.2</v>
      </c>
      <c r="AA211" s="70" t="s">
        <v>422</v>
      </c>
      <c r="AB211" s="228">
        <f>ROUND((ROUND((ROUND((_15_同援日１．０*(1+_15・A深夜)),0)*(1+_15・盲ろう)),0)*(1+_15・区３)),0)+ROUND((ROUND((ROUND((_15_同援日１．０＿２．０*(1+_15・B早朝)),0)*(1+_15・盲ろう)),0)*(1+_15・区３)),0)</f>
        <v>1257</v>
      </c>
      <c r="AC211" s="69"/>
    </row>
    <row r="212" spans="1:29" ht="16.5" customHeight="1" x14ac:dyDescent="0.3">
      <c r="A212" s="2">
        <v>15</v>
      </c>
      <c r="B212" s="2">
        <v>9044</v>
      </c>
      <c r="C212" s="60" t="s">
        <v>9409</v>
      </c>
      <c r="D212" s="1"/>
      <c r="E212" s="68"/>
      <c r="F212" s="70"/>
      <c r="G212" s="1"/>
      <c r="H212" s="68"/>
      <c r="I212" s="70"/>
      <c r="J212" s="66"/>
      <c r="K212" s="57"/>
      <c r="L212" s="58"/>
      <c r="M212" s="83" t="s">
        <v>5895</v>
      </c>
      <c r="N212" s="64" t="s">
        <v>1</v>
      </c>
      <c r="O212" s="65">
        <v>1</v>
      </c>
      <c r="P212" s="99"/>
      <c r="Q212" s="70"/>
      <c r="R212" s="99"/>
      <c r="S212" s="70"/>
      <c r="T212" s="94" t="s">
        <v>18024</v>
      </c>
      <c r="U212" s="68"/>
      <c r="V212" s="76"/>
      <c r="W212" s="70"/>
      <c r="X212" s="67"/>
      <c r="Y212" s="68"/>
      <c r="Z212" s="76"/>
      <c r="AA212" s="70"/>
      <c r="AB212" s="228">
        <f>ROUND((ROUND((ROUND((ROUND((_15_同援日１．０*_15・２人),0)*(1+_15・A深夜)),0)*(1+_15・盲ろう)),0)*(1+_15・区３)),0)+ROUND((ROUND((ROUND((ROUND((_15_同援日１．０＿２．０*_15・２人),0)*(1+_15・B早朝)),0)*(1+_15・盲ろう)),0)*(1+_15・区３)),0)</f>
        <v>1257</v>
      </c>
      <c r="AC212" s="69"/>
    </row>
    <row r="213" spans="1:29" ht="16.5" customHeight="1" x14ac:dyDescent="0.3">
      <c r="A213" s="2">
        <v>15</v>
      </c>
      <c r="B213" s="2">
        <v>9045</v>
      </c>
      <c r="C213" s="60" t="s">
        <v>9408</v>
      </c>
      <c r="D213" s="1"/>
      <c r="E213" s="68"/>
      <c r="F213" s="70"/>
      <c r="G213" s="1"/>
      <c r="H213" s="68"/>
      <c r="I213" s="70"/>
      <c r="J213" s="74" t="s">
        <v>16971</v>
      </c>
      <c r="K213" s="62"/>
      <c r="L213" s="63"/>
      <c r="M213" s="85"/>
      <c r="N213" s="64"/>
      <c r="O213" s="65"/>
      <c r="P213" s="99"/>
      <c r="Q213" s="70"/>
      <c r="R213" s="99"/>
      <c r="S213" s="70"/>
      <c r="T213" s="67"/>
      <c r="U213" s="68" t="s">
        <v>1</v>
      </c>
      <c r="V213" s="76">
        <v>0.25</v>
      </c>
      <c r="W213" s="70" t="s">
        <v>422</v>
      </c>
      <c r="X213" s="67"/>
      <c r="Y213" s="68"/>
      <c r="Z213" s="76"/>
      <c r="AA213" s="70"/>
      <c r="AB213" s="228">
        <f>ROUND((ROUND((ROUND((ROUND((_15_同援日１．０*_15・基礎２),0)*(1+_15・A深夜)),0)*(1+_15・盲ろう)),0)*(1+_15・区３)),0)+ROUND((ROUND((ROUND((ROUND((_15_同援日１．０＿２．０*_15・基礎２),0)*(1+_15・B早朝)),0)*(1+_15・盲ろう)),0)*(1+_15・区３)),0)</f>
        <v>1132</v>
      </c>
      <c r="AC213" s="69"/>
    </row>
    <row r="214" spans="1:29" ht="16.5" customHeight="1" x14ac:dyDescent="0.3">
      <c r="A214" s="2">
        <v>15</v>
      </c>
      <c r="B214" s="2">
        <v>9046</v>
      </c>
      <c r="C214" s="60" t="s">
        <v>9407</v>
      </c>
      <c r="D214" s="1"/>
      <c r="E214" s="68"/>
      <c r="F214" s="70"/>
      <c r="G214" s="1"/>
      <c r="H214" s="68"/>
      <c r="I214" s="70"/>
      <c r="J214" s="106" t="s">
        <v>16970</v>
      </c>
      <c r="K214" s="57" t="s">
        <v>1</v>
      </c>
      <c r="L214" s="58">
        <v>0.9</v>
      </c>
      <c r="M214" s="83" t="s">
        <v>5895</v>
      </c>
      <c r="N214" s="64" t="s">
        <v>1</v>
      </c>
      <c r="O214" s="65">
        <v>1</v>
      </c>
      <c r="P214" s="99"/>
      <c r="Q214" s="70"/>
      <c r="R214" s="99"/>
      <c r="S214" s="70"/>
      <c r="T214" s="66"/>
      <c r="U214" s="57"/>
      <c r="V214" s="58"/>
      <c r="W214" s="77"/>
      <c r="X214" s="66"/>
      <c r="Y214" s="57"/>
      <c r="Z214" s="58"/>
      <c r="AA214" s="77"/>
      <c r="AB214" s="228">
        <f>ROUND((ROUND((ROUND((ROUND((ROUND((_15_同援日１．０*_15・基礎２),0)*_15・２人),0)*(1+_15・A深夜)),0)*(1+_15・盲ろう)),0)*(1+_15・区３)),0)+ROUND((ROUND((ROUND((ROUND((ROUND((_15_同援日１．０＿２．０*_15・基礎２),0)*_15・２人),0)*(1+_15・B早朝)),0)*(1+_15・盲ろう)),0)*(1+_15・区３)),0)</f>
        <v>1132</v>
      </c>
      <c r="AC214" s="69"/>
    </row>
    <row r="215" spans="1:29" ht="16.5" customHeight="1" x14ac:dyDescent="0.3">
      <c r="A215" s="2">
        <v>15</v>
      </c>
      <c r="B215" s="2">
        <v>9047</v>
      </c>
      <c r="C215" s="60" t="s">
        <v>9406</v>
      </c>
      <c r="D215" s="1"/>
      <c r="E215" s="68"/>
      <c r="F215" s="70"/>
      <c r="G215" s="1"/>
      <c r="H215" s="68"/>
      <c r="I215" s="70"/>
      <c r="J215" s="61"/>
      <c r="K215" s="62"/>
      <c r="L215" s="63"/>
      <c r="M215" s="85"/>
      <c r="N215" s="64"/>
      <c r="O215" s="65"/>
      <c r="P215" s="99"/>
      <c r="Q215" s="70"/>
      <c r="R215" s="99"/>
      <c r="S215" s="70"/>
      <c r="T215" s="61"/>
      <c r="U215" s="62"/>
      <c r="V215" s="63"/>
      <c r="W215" s="75"/>
      <c r="X215" s="61"/>
      <c r="Y215" s="62"/>
      <c r="Z215" s="63"/>
      <c r="AA215" s="75"/>
      <c r="AB215" s="228">
        <f>ROUND((ROUND((_15_同援日１．０*(1+_15・A深夜)),0)*(1+_15・区４)),0)+ROUND((ROUND((_15_同援日１．０＿２．０*(1+_15・B早朝)),0)*(1+_15・区４)),0)</f>
        <v>1172</v>
      </c>
      <c r="AC215" s="69"/>
    </row>
    <row r="216" spans="1:29" ht="16.5" customHeight="1" x14ac:dyDescent="0.3">
      <c r="A216" s="2">
        <v>15</v>
      </c>
      <c r="B216" s="2">
        <v>9048</v>
      </c>
      <c r="C216" s="60" t="s">
        <v>9405</v>
      </c>
      <c r="D216" s="1"/>
      <c r="E216" s="68"/>
      <c r="F216" s="70"/>
      <c r="G216" s="1"/>
      <c r="H216" s="68"/>
      <c r="I216" s="70"/>
      <c r="J216" s="66"/>
      <c r="K216" s="57"/>
      <c r="L216" s="58"/>
      <c r="M216" s="83" t="s">
        <v>5895</v>
      </c>
      <c r="N216" s="64" t="s">
        <v>1</v>
      </c>
      <c r="O216" s="65">
        <v>1</v>
      </c>
      <c r="P216" s="99"/>
      <c r="Q216" s="70"/>
      <c r="R216" s="99"/>
      <c r="S216" s="70"/>
      <c r="T216" s="67"/>
      <c r="U216" s="68"/>
      <c r="V216" s="76"/>
      <c r="W216" s="70"/>
      <c r="X216" s="67"/>
      <c r="Y216" s="68"/>
      <c r="Z216" s="76"/>
      <c r="AA216" s="70"/>
      <c r="AB216" s="228">
        <f>ROUND((ROUND((ROUND((_15_同援日１．０*_15・２人),0)*(1+_15・A深夜)),0)*(1+_15・区４)),0)+ROUND((ROUND((ROUND((_15_同援日１．０＿２．０*_15・２人),0)*(1+_15・B早朝)),0)*(1+_15・区４)),0)</f>
        <v>1172</v>
      </c>
      <c r="AC216" s="69"/>
    </row>
    <row r="217" spans="1:29" ht="16.5" customHeight="1" x14ac:dyDescent="0.3">
      <c r="A217" s="2">
        <v>15</v>
      </c>
      <c r="B217" s="2">
        <v>9049</v>
      </c>
      <c r="C217" s="60" t="s">
        <v>9404</v>
      </c>
      <c r="D217" s="1"/>
      <c r="E217" s="68"/>
      <c r="F217" s="70"/>
      <c r="G217" s="1"/>
      <c r="H217" s="68"/>
      <c r="I217" s="70"/>
      <c r="J217" s="74" t="s">
        <v>16971</v>
      </c>
      <c r="K217" s="62"/>
      <c r="L217" s="63"/>
      <c r="M217" s="85"/>
      <c r="N217" s="64"/>
      <c r="O217" s="65"/>
      <c r="P217" s="99"/>
      <c r="Q217" s="70"/>
      <c r="R217" s="99"/>
      <c r="S217" s="70"/>
      <c r="T217" s="67"/>
      <c r="U217" s="68"/>
      <c r="V217" s="76"/>
      <c r="W217" s="70"/>
      <c r="X217" s="1" t="s">
        <v>18027</v>
      </c>
      <c r="Y217" s="68"/>
      <c r="Z217" s="76"/>
      <c r="AA217" s="70"/>
      <c r="AB217" s="228">
        <f>ROUND((ROUND((ROUND((_15_同援日１．０*_15・基礎２),0)*(1+_15・A深夜)),0)*(1+_15・区４)),0)+ROUND((ROUND((ROUND((_15_同援日１．０＿２．０*_15・基礎２),0)*(1+_15・B早朝)),0)*(1+_15・区４)),0)</f>
        <v>1056</v>
      </c>
      <c r="AC217" s="69"/>
    </row>
    <row r="218" spans="1:29" ht="16.5" customHeight="1" x14ac:dyDescent="0.3">
      <c r="A218" s="2">
        <v>15</v>
      </c>
      <c r="B218" s="2">
        <v>9050</v>
      </c>
      <c r="C218" s="60" t="s">
        <v>9403</v>
      </c>
      <c r="D218" s="1"/>
      <c r="E218" s="68"/>
      <c r="F218" s="70"/>
      <c r="G218" s="1"/>
      <c r="H218" s="68"/>
      <c r="I218" s="70"/>
      <c r="J218" s="106" t="s">
        <v>16970</v>
      </c>
      <c r="K218" s="57" t="s">
        <v>1</v>
      </c>
      <c r="L218" s="58">
        <v>0.9</v>
      </c>
      <c r="M218" s="83" t="s">
        <v>5895</v>
      </c>
      <c r="N218" s="64" t="s">
        <v>1</v>
      </c>
      <c r="O218" s="65">
        <v>1</v>
      </c>
      <c r="P218" s="99"/>
      <c r="Q218" s="70"/>
      <c r="R218" s="99"/>
      <c r="S218" s="70"/>
      <c r="T218" s="66"/>
      <c r="U218" s="57"/>
      <c r="V218" s="58"/>
      <c r="W218" s="77"/>
      <c r="X218" s="1" t="s">
        <v>18026</v>
      </c>
      <c r="Y218" s="68"/>
      <c r="Z218" s="76"/>
      <c r="AA218" s="70"/>
      <c r="AB218" s="228">
        <f>ROUND((ROUND((ROUND((ROUND((_15_同援日１．０*_15・基礎２),0)*_15・２人),0)*(1+_15・A深夜)),0)*(1+_15・区４)),0)+ROUND((ROUND((ROUND((ROUND((_15_同援日１．０＿２．０*_15・基礎２),0)*_15・２人),0)*(1+_15・B早朝)),0)*(1+_15・区４)),0)</f>
        <v>1056</v>
      </c>
      <c r="AC218" s="69"/>
    </row>
    <row r="219" spans="1:29" ht="16.5" customHeight="1" x14ac:dyDescent="0.3">
      <c r="A219" s="2">
        <v>15</v>
      </c>
      <c r="B219" s="2">
        <v>9051</v>
      </c>
      <c r="C219" s="60" t="s">
        <v>9402</v>
      </c>
      <c r="D219" s="1"/>
      <c r="E219" s="68"/>
      <c r="F219" s="70"/>
      <c r="G219" s="1"/>
      <c r="H219" s="68"/>
      <c r="I219" s="70"/>
      <c r="J219" s="61"/>
      <c r="K219" s="62"/>
      <c r="L219" s="63"/>
      <c r="M219" s="85"/>
      <c r="N219" s="64"/>
      <c r="O219" s="65"/>
      <c r="P219" s="99"/>
      <c r="Q219" s="70"/>
      <c r="R219" s="99"/>
      <c r="S219" s="70"/>
      <c r="T219" s="74" t="s">
        <v>18025</v>
      </c>
      <c r="U219" s="62"/>
      <c r="V219" s="63"/>
      <c r="W219" s="75"/>
      <c r="X219" s="67"/>
      <c r="Y219" s="68" t="s">
        <v>1</v>
      </c>
      <c r="Z219" s="76">
        <v>0.4</v>
      </c>
      <c r="AA219" s="70" t="s">
        <v>422</v>
      </c>
      <c r="AB219" s="228">
        <f>ROUND((ROUND((ROUND((_15_同援日１．０*(1+_15・A深夜)),0)*(1+_15・盲ろう)),0)*(1+_15・区４)),0)+ROUND((ROUND((ROUND((_15_同援日１．０＿２．０*(1+_15・B早朝)),0)*(1+_15・盲ろう)),0)*(1+_15・区４)),0)</f>
        <v>1466</v>
      </c>
      <c r="AC219" s="69"/>
    </row>
    <row r="220" spans="1:29" ht="16.5" customHeight="1" x14ac:dyDescent="0.3">
      <c r="A220" s="2">
        <v>15</v>
      </c>
      <c r="B220" s="2">
        <v>9052</v>
      </c>
      <c r="C220" s="60" t="s">
        <v>9401</v>
      </c>
      <c r="D220" s="1"/>
      <c r="E220" s="68"/>
      <c r="F220" s="70"/>
      <c r="G220" s="1"/>
      <c r="H220" s="68"/>
      <c r="I220" s="70"/>
      <c r="J220" s="66"/>
      <c r="K220" s="57"/>
      <c r="L220" s="58"/>
      <c r="M220" s="83" t="s">
        <v>5895</v>
      </c>
      <c r="N220" s="64" t="s">
        <v>1</v>
      </c>
      <c r="O220" s="65">
        <v>1</v>
      </c>
      <c r="P220" s="99"/>
      <c r="Q220" s="70"/>
      <c r="R220" s="99"/>
      <c r="S220" s="70"/>
      <c r="T220" s="94" t="s">
        <v>18024</v>
      </c>
      <c r="U220" s="68"/>
      <c r="V220" s="76"/>
      <c r="W220" s="70"/>
      <c r="X220" s="67"/>
      <c r="Y220" s="68"/>
      <c r="Z220" s="76"/>
      <c r="AA220" s="70"/>
      <c r="AB220" s="228">
        <f>ROUND((ROUND((ROUND((ROUND((_15_同援日１．０*_15・２人),0)*(1+_15・A深夜)),0)*(1+_15・盲ろう)),0)*(1+_15・区４)),0)+ROUND((ROUND((ROUND((ROUND((_15_同援日１．０＿２．０*_15・２人),0)*(1+_15・B早朝)),0)*(1+_15・盲ろう)),0)*(1+_15・区４)),0)</f>
        <v>1466</v>
      </c>
      <c r="AC220" s="69"/>
    </row>
    <row r="221" spans="1:29" ht="16.5" customHeight="1" x14ac:dyDescent="0.3">
      <c r="A221" s="2">
        <v>15</v>
      </c>
      <c r="B221" s="2">
        <v>9053</v>
      </c>
      <c r="C221" s="60" t="s">
        <v>9400</v>
      </c>
      <c r="D221" s="1"/>
      <c r="E221" s="68"/>
      <c r="F221" s="70"/>
      <c r="G221" s="1"/>
      <c r="H221" s="68"/>
      <c r="I221" s="70"/>
      <c r="J221" s="74" t="s">
        <v>16971</v>
      </c>
      <c r="K221" s="62"/>
      <c r="L221" s="63"/>
      <c r="M221" s="85"/>
      <c r="N221" s="64"/>
      <c r="O221" s="65"/>
      <c r="P221" s="99"/>
      <c r="Q221" s="70"/>
      <c r="R221" s="99"/>
      <c r="S221" s="70"/>
      <c r="T221" s="67"/>
      <c r="U221" s="68" t="s">
        <v>1</v>
      </c>
      <c r="V221" s="76">
        <v>0.25</v>
      </c>
      <c r="W221" s="70" t="s">
        <v>422</v>
      </c>
      <c r="X221" s="67"/>
      <c r="Y221" s="68"/>
      <c r="Z221" s="76"/>
      <c r="AA221" s="70"/>
      <c r="AB221" s="228">
        <f>ROUND((ROUND((ROUND((ROUND((_15_同援日１．０*_15・基礎２),0)*(1+_15・A深夜)),0)*(1+_15・盲ろう)),0)*(1+_15・区４)),0)+ROUND((ROUND((ROUND((ROUND((_15_同援日１．０＿２．０*_15・基礎２),0)*(1+_15・B早朝)),0)*(1+_15・盲ろう)),0)*(1+_15・区４)),0)</f>
        <v>1321</v>
      </c>
      <c r="AC221" s="69"/>
    </row>
    <row r="222" spans="1:29" ht="16.5" customHeight="1" x14ac:dyDescent="0.3">
      <c r="A222" s="2">
        <v>15</v>
      </c>
      <c r="B222" s="2">
        <v>9054</v>
      </c>
      <c r="C222" s="60" t="s">
        <v>9399</v>
      </c>
      <c r="D222" s="81"/>
      <c r="E222" s="57"/>
      <c r="F222" s="77"/>
      <c r="G222" s="81"/>
      <c r="H222" s="57"/>
      <c r="I222" s="77"/>
      <c r="J222" s="106" t="s">
        <v>16970</v>
      </c>
      <c r="K222" s="57" t="s">
        <v>1</v>
      </c>
      <c r="L222" s="58">
        <v>0.9</v>
      </c>
      <c r="M222" s="83" t="s">
        <v>5895</v>
      </c>
      <c r="N222" s="64" t="s">
        <v>1</v>
      </c>
      <c r="O222" s="65">
        <v>1</v>
      </c>
      <c r="P222" s="99"/>
      <c r="Q222" s="70"/>
      <c r="R222" s="99"/>
      <c r="S222" s="70"/>
      <c r="T222" s="66"/>
      <c r="U222" s="57"/>
      <c r="V222" s="58"/>
      <c r="W222" s="77"/>
      <c r="X222" s="66"/>
      <c r="Y222" s="57"/>
      <c r="Z222" s="58"/>
      <c r="AA222" s="77"/>
      <c r="AB222" s="228">
        <f>ROUND((ROUND((ROUND((ROUND((ROUND((_15_同援日１．０*_15・基礎２),0)*_15・２人),0)*(1+_15・A深夜)),0)*(1+_15・盲ろう)),0)*(1+_15・区４)),0)+ROUND((ROUND((ROUND((ROUND((ROUND((_15_同援日１．０＿２．０*_15・基礎２),0)*_15・２人),0)*(1+_15・B早朝)),0)*(1+_15・盲ろう)),0)*(1+_15・区４)),0)</f>
        <v>1321</v>
      </c>
      <c r="AC222" s="69"/>
    </row>
    <row r="223" spans="1:29" ht="16.5" customHeight="1" x14ac:dyDescent="0.3">
      <c r="A223" s="2">
        <v>15</v>
      </c>
      <c r="B223" s="2">
        <v>9055</v>
      </c>
      <c r="C223" s="60" t="s">
        <v>9398</v>
      </c>
      <c r="D223" s="233" t="s">
        <v>18031</v>
      </c>
      <c r="E223" s="62"/>
      <c r="F223" s="75"/>
      <c r="G223" s="233" t="s">
        <v>16993</v>
      </c>
      <c r="H223" s="62"/>
      <c r="I223" s="75"/>
      <c r="J223" s="61"/>
      <c r="K223" s="62"/>
      <c r="L223" s="63"/>
      <c r="M223" s="85"/>
      <c r="N223" s="64"/>
      <c r="O223" s="65"/>
      <c r="P223" s="99"/>
      <c r="Q223" s="70"/>
      <c r="R223" s="99"/>
      <c r="S223" s="70"/>
      <c r="T223" s="61"/>
      <c r="U223" s="62"/>
      <c r="V223" s="63"/>
      <c r="W223" s="75"/>
      <c r="X223" s="61"/>
      <c r="Y223" s="62"/>
      <c r="Z223" s="63"/>
      <c r="AA223" s="75"/>
      <c r="AB223" s="228">
        <f>ROUND((_15_同援日１．５*(1+_15・A深夜)),0)+ROUND((_15_同援日１．５＿０．５*(1+_15・B早朝)),0)</f>
        <v>712</v>
      </c>
      <c r="AC223" s="69"/>
    </row>
    <row r="224" spans="1:29" ht="16.5" customHeight="1" x14ac:dyDescent="0.3">
      <c r="A224" s="2">
        <v>15</v>
      </c>
      <c r="B224" s="2">
        <v>9056</v>
      </c>
      <c r="C224" s="60" t="s">
        <v>9397</v>
      </c>
      <c r="D224" s="1" t="s">
        <v>16984</v>
      </c>
      <c r="E224" s="68"/>
      <c r="F224" s="70"/>
      <c r="G224" s="1" t="s">
        <v>7928</v>
      </c>
      <c r="H224" s="68"/>
      <c r="I224" s="70"/>
      <c r="J224" s="66"/>
      <c r="K224" s="57"/>
      <c r="L224" s="58"/>
      <c r="M224" s="83" t="s">
        <v>5895</v>
      </c>
      <c r="N224" s="64" t="s">
        <v>1</v>
      </c>
      <c r="O224" s="65">
        <v>1</v>
      </c>
      <c r="P224" s="99"/>
      <c r="Q224" s="70"/>
      <c r="R224" s="99"/>
      <c r="S224" s="70"/>
      <c r="T224" s="67"/>
      <c r="U224" s="68"/>
      <c r="V224" s="76"/>
      <c r="W224" s="70"/>
      <c r="X224" s="67"/>
      <c r="Y224" s="68"/>
      <c r="Z224" s="76"/>
      <c r="AA224" s="70"/>
      <c r="AB224" s="228">
        <f>ROUND((ROUND((_15_同援日１．５*_15・２人),0)*(1+_15・A深夜)),0)+ROUND((ROUND((_15_同援日１．５＿０．５*_15・２人),0)*(1+_15・B早朝)),0)</f>
        <v>712</v>
      </c>
      <c r="AC224" s="69"/>
    </row>
    <row r="225" spans="1:29" ht="16.5" customHeight="1" x14ac:dyDescent="0.3">
      <c r="A225" s="2">
        <v>15</v>
      </c>
      <c r="B225" s="2">
        <v>9057</v>
      </c>
      <c r="C225" s="60" t="s">
        <v>9396</v>
      </c>
      <c r="D225" s="1" t="s">
        <v>8767</v>
      </c>
      <c r="E225" s="68"/>
      <c r="F225" s="70"/>
      <c r="G225" s="1"/>
      <c r="H225" s="68"/>
      <c r="I225" s="70"/>
      <c r="J225" s="74" t="s">
        <v>16971</v>
      </c>
      <c r="K225" s="62"/>
      <c r="L225" s="63"/>
      <c r="M225" s="85"/>
      <c r="N225" s="64"/>
      <c r="O225" s="65"/>
      <c r="P225" s="99"/>
      <c r="Q225" s="70"/>
      <c r="R225" s="99"/>
      <c r="S225" s="70"/>
      <c r="T225" s="67"/>
      <c r="U225" s="68"/>
      <c r="V225" s="76"/>
      <c r="W225" s="70"/>
      <c r="X225" s="67"/>
      <c r="Y225" s="68"/>
      <c r="Z225" s="76"/>
      <c r="AA225" s="70"/>
      <c r="AB225" s="228">
        <f>ROUND((ROUND((_15_同援日１．５*_15・基礎２),0)*(1+_15・A深夜)),0)+ROUND((ROUND((_15_同援日１．５＿０．５*_15・基礎２),0)*(1+_15・B早朝)),0)</f>
        <v>642</v>
      </c>
      <c r="AC225" s="69"/>
    </row>
    <row r="226" spans="1:29" ht="16.5" customHeight="1" x14ac:dyDescent="0.3">
      <c r="A226" s="2">
        <v>15</v>
      </c>
      <c r="B226" s="2">
        <v>9058</v>
      </c>
      <c r="C226" s="60" t="s">
        <v>9395</v>
      </c>
      <c r="D226" s="1"/>
      <c r="E226" s="227">
        <v>421</v>
      </c>
      <c r="F226" s="70" t="s">
        <v>0</v>
      </c>
      <c r="G226" s="1"/>
      <c r="H226" s="119">
        <v>64</v>
      </c>
      <c r="I226" s="70" t="s">
        <v>0</v>
      </c>
      <c r="J226" s="106" t="s">
        <v>16970</v>
      </c>
      <c r="K226" s="57" t="s">
        <v>1</v>
      </c>
      <c r="L226" s="58">
        <v>0.9</v>
      </c>
      <c r="M226" s="83" t="s">
        <v>5895</v>
      </c>
      <c r="N226" s="64" t="s">
        <v>1</v>
      </c>
      <c r="O226" s="65">
        <v>1</v>
      </c>
      <c r="P226" s="99"/>
      <c r="Q226" s="70"/>
      <c r="R226" s="99"/>
      <c r="S226" s="70"/>
      <c r="T226" s="66"/>
      <c r="U226" s="57"/>
      <c r="V226" s="58"/>
      <c r="W226" s="77"/>
      <c r="X226" s="67"/>
      <c r="Y226" s="68"/>
      <c r="Z226" s="76"/>
      <c r="AA226" s="70"/>
      <c r="AB226" s="228">
        <f>ROUND((ROUND((ROUND((_15_同援日１．５*_15・基礎２),0)*_15・２人),0)*(1+_15・A深夜)),0)+ROUND((ROUND((ROUND((_15_同援日１．５＿０．５*_15・基礎２),0)*_15・２人),0)*(1+_15・B早朝)),0)</f>
        <v>642</v>
      </c>
      <c r="AC226" s="69"/>
    </row>
    <row r="227" spans="1:29" ht="16.5" customHeight="1" x14ac:dyDescent="0.3">
      <c r="A227" s="2">
        <v>15</v>
      </c>
      <c r="B227" s="2">
        <v>9059</v>
      </c>
      <c r="C227" s="60" t="s">
        <v>9394</v>
      </c>
      <c r="D227" s="1"/>
      <c r="E227" s="68"/>
      <c r="F227" s="70"/>
      <c r="G227" s="1"/>
      <c r="H227" s="68"/>
      <c r="I227" s="70"/>
      <c r="J227" s="61"/>
      <c r="K227" s="62"/>
      <c r="L227" s="63"/>
      <c r="M227" s="85"/>
      <c r="N227" s="64"/>
      <c r="O227" s="65"/>
      <c r="P227" s="99"/>
      <c r="Q227" s="70"/>
      <c r="R227" s="99"/>
      <c r="S227" s="70"/>
      <c r="T227" s="74" t="s">
        <v>18025</v>
      </c>
      <c r="U227" s="62"/>
      <c r="V227" s="63"/>
      <c r="W227" s="75"/>
      <c r="X227" s="67"/>
      <c r="Y227" s="68"/>
      <c r="Z227" s="76"/>
      <c r="AA227" s="70"/>
      <c r="AB227" s="228">
        <f>ROUND((ROUND((_15_同援日１．５*(1+_15・A深夜)),0)*(1+_15・盲ろう)),0)+ROUND((ROUND((_15_同援日１．５＿０．５*(1+_15・B早朝)),0)*(1+_15・盲ろう)),0)</f>
        <v>890</v>
      </c>
      <c r="AC227" s="69"/>
    </row>
    <row r="228" spans="1:29" ht="16.5" customHeight="1" x14ac:dyDescent="0.3">
      <c r="A228" s="2">
        <v>15</v>
      </c>
      <c r="B228" s="2">
        <v>9060</v>
      </c>
      <c r="C228" s="60" t="s">
        <v>9393</v>
      </c>
      <c r="D228" s="1"/>
      <c r="E228" s="68"/>
      <c r="F228" s="70"/>
      <c r="G228" s="1"/>
      <c r="H228" s="68"/>
      <c r="I228" s="70"/>
      <c r="J228" s="66"/>
      <c r="K228" s="57"/>
      <c r="L228" s="58"/>
      <c r="M228" s="83" t="s">
        <v>5895</v>
      </c>
      <c r="N228" s="64" t="s">
        <v>1</v>
      </c>
      <c r="O228" s="65">
        <v>1</v>
      </c>
      <c r="P228" s="99"/>
      <c r="Q228" s="70"/>
      <c r="R228" s="99"/>
      <c r="S228" s="70"/>
      <c r="T228" s="94" t="s">
        <v>18024</v>
      </c>
      <c r="U228" s="68"/>
      <c r="V228" s="76"/>
      <c r="W228" s="70"/>
      <c r="X228" s="67"/>
      <c r="Y228" s="68"/>
      <c r="Z228" s="76"/>
      <c r="AA228" s="70"/>
      <c r="AB228" s="228">
        <f>ROUND((ROUND((ROUND((_15_同援日１．５*_15・２人),0)*(1+_15・A深夜)),0)*(1+_15・盲ろう)),0)+ROUND((ROUND((ROUND((_15_同援日１．５＿０．５*_15・２人),0)*(1+_15・B早朝)),0)*(1+_15・盲ろう)),0)</f>
        <v>890</v>
      </c>
      <c r="AC228" s="69"/>
    </row>
    <row r="229" spans="1:29" ht="16.5" customHeight="1" x14ac:dyDescent="0.3">
      <c r="A229" s="2">
        <v>15</v>
      </c>
      <c r="B229" s="2">
        <v>9061</v>
      </c>
      <c r="C229" s="60" t="s">
        <v>9392</v>
      </c>
      <c r="D229" s="1"/>
      <c r="E229" s="68"/>
      <c r="F229" s="70"/>
      <c r="G229" s="1"/>
      <c r="H229" s="68"/>
      <c r="I229" s="70"/>
      <c r="J229" s="74" t="s">
        <v>16971</v>
      </c>
      <c r="K229" s="62"/>
      <c r="L229" s="63"/>
      <c r="M229" s="85"/>
      <c r="N229" s="64"/>
      <c r="O229" s="65"/>
      <c r="P229" s="99"/>
      <c r="Q229" s="70"/>
      <c r="R229" s="99"/>
      <c r="S229" s="70"/>
      <c r="T229" s="67"/>
      <c r="U229" s="68" t="s">
        <v>1</v>
      </c>
      <c r="V229" s="76">
        <v>0.25</v>
      </c>
      <c r="W229" s="70" t="s">
        <v>422</v>
      </c>
      <c r="X229" s="67"/>
      <c r="Y229" s="68"/>
      <c r="Z229" s="76"/>
      <c r="AA229" s="70"/>
      <c r="AB229" s="228">
        <f>ROUND((ROUND((ROUND((_15_同援日１．５*_15・基礎２),0)*(1+_15・A深夜)),0)*(1+_15・盲ろう)),0)+ROUND((ROUND((ROUND((_15_同援日１．５＿０．５*_15・基礎２),0)*(1+_15・B早朝)),0)*(1+_15・盲ろう)),0)</f>
        <v>802</v>
      </c>
      <c r="AC229" s="69"/>
    </row>
    <row r="230" spans="1:29" ht="16.5" customHeight="1" x14ac:dyDescent="0.3">
      <c r="A230" s="2">
        <v>15</v>
      </c>
      <c r="B230" s="2">
        <v>9062</v>
      </c>
      <c r="C230" s="60" t="s">
        <v>9391</v>
      </c>
      <c r="D230" s="1"/>
      <c r="E230" s="68"/>
      <c r="F230" s="70"/>
      <c r="G230" s="1"/>
      <c r="H230" s="68"/>
      <c r="I230" s="70"/>
      <c r="J230" s="106" t="s">
        <v>16970</v>
      </c>
      <c r="K230" s="57" t="s">
        <v>1</v>
      </c>
      <c r="L230" s="58">
        <v>0.9</v>
      </c>
      <c r="M230" s="83" t="s">
        <v>5895</v>
      </c>
      <c r="N230" s="64" t="s">
        <v>1</v>
      </c>
      <c r="O230" s="65">
        <v>1</v>
      </c>
      <c r="P230" s="99"/>
      <c r="Q230" s="70"/>
      <c r="R230" s="99"/>
      <c r="S230" s="70"/>
      <c r="T230" s="66"/>
      <c r="U230" s="57"/>
      <c r="V230" s="58"/>
      <c r="W230" s="77"/>
      <c r="X230" s="66"/>
      <c r="Y230" s="57"/>
      <c r="Z230" s="58"/>
      <c r="AA230" s="77"/>
      <c r="AB230" s="228">
        <f>ROUND((ROUND((ROUND((ROUND((_15_同援日１．５*_15・基礎２),0)*_15・２人),0)*(1+_15・A深夜)),0)*(1+_15・盲ろう)),0)+ROUND((ROUND((ROUND((ROUND((_15_同援日１．５＿０．５*_15・基礎２),0)*_15・２人),0)*(1+_15・B早朝)),0)*(1+_15・盲ろう)),0)</f>
        <v>802</v>
      </c>
      <c r="AC230" s="69"/>
    </row>
    <row r="231" spans="1:29" ht="16.5" customHeight="1" x14ac:dyDescent="0.3">
      <c r="A231" s="2">
        <v>15</v>
      </c>
      <c r="B231" s="2">
        <v>9063</v>
      </c>
      <c r="C231" s="60" t="s">
        <v>9390</v>
      </c>
      <c r="D231" s="1"/>
      <c r="E231" s="68"/>
      <c r="F231" s="70"/>
      <c r="G231" s="1"/>
      <c r="H231" s="68"/>
      <c r="I231" s="70"/>
      <c r="J231" s="61"/>
      <c r="K231" s="62"/>
      <c r="L231" s="63"/>
      <c r="M231" s="85"/>
      <c r="N231" s="64"/>
      <c r="O231" s="65"/>
      <c r="P231" s="99"/>
      <c r="Q231" s="70"/>
      <c r="R231" s="99"/>
      <c r="S231" s="70"/>
      <c r="T231" s="61"/>
      <c r="U231" s="62"/>
      <c r="V231" s="63"/>
      <c r="W231" s="75"/>
      <c r="X231" s="61"/>
      <c r="Y231" s="62"/>
      <c r="Z231" s="63"/>
      <c r="AA231" s="75"/>
      <c r="AB231" s="228">
        <f>ROUND((ROUND((_15_同援日１．５*(1+_15・A深夜)),0)*(1+_15・区３)),0)+ROUND((ROUND((_15_同援日１．５＿０．５*(1+_15・B早朝)),0)*(1+_15・区３)),0)</f>
        <v>854</v>
      </c>
      <c r="AC231" s="69"/>
    </row>
    <row r="232" spans="1:29" ht="16.5" customHeight="1" x14ac:dyDescent="0.3">
      <c r="A232" s="2">
        <v>15</v>
      </c>
      <c r="B232" s="2">
        <v>9064</v>
      </c>
      <c r="C232" s="60" t="s">
        <v>9389</v>
      </c>
      <c r="D232" s="1"/>
      <c r="E232" s="68"/>
      <c r="F232" s="70"/>
      <c r="G232" s="1"/>
      <c r="H232" s="68"/>
      <c r="I232" s="70"/>
      <c r="J232" s="66"/>
      <c r="K232" s="57"/>
      <c r="L232" s="58"/>
      <c r="M232" s="83" t="s">
        <v>5895</v>
      </c>
      <c r="N232" s="64" t="s">
        <v>1</v>
      </c>
      <c r="O232" s="65">
        <v>1</v>
      </c>
      <c r="P232" s="99"/>
      <c r="Q232" s="70"/>
      <c r="R232" s="99"/>
      <c r="S232" s="70"/>
      <c r="T232" s="67"/>
      <c r="U232" s="68"/>
      <c r="V232" s="76"/>
      <c r="W232" s="70"/>
      <c r="X232" s="67"/>
      <c r="Y232" s="68"/>
      <c r="Z232" s="76"/>
      <c r="AA232" s="70"/>
      <c r="AB232" s="228">
        <f>ROUND((ROUND((ROUND((_15_同援日１．５*_15・２人),0)*(1+_15・A深夜)),0)*(1+_15・区３)),0)+ROUND((ROUND((ROUND((_15_同援日１．５＿０．５*_15・２人),0)*(1+_15・B早朝)),0)*(1+_15・区３)),0)</f>
        <v>854</v>
      </c>
      <c r="AC232" s="69"/>
    </row>
    <row r="233" spans="1:29" ht="16.5" customHeight="1" x14ac:dyDescent="0.3">
      <c r="A233" s="2">
        <v>15</v>
      </c>
      <c r="B233" s="2">
        <v>9065</v>
      </c>
      <c r="C233" s="60" t="s">
        <v>9388</v>
      </c>
      <c r="D233" s="1"/>
      <c r="E233" s="68"/>
      <c r="F233" s="70"/>
      <c r="G233" s="1"/>
      <c r="H233" s="68"/>
      <c r="I233" s="70"/>
      <c r="J233" s="74" t="s">
        <v>16971</v>
      </c>
      <c r="K233" s="62"/>
      <c r="L233" s="63"/>
      <c r="M233" s="85"/>
      <c r="N233" s="64"/>
      <c r="O233" s="65"/>
      <c r="P233" s="99"/>
      <c r="Q233" s="70"/>
      <c r="R233" s="99"/>
      <c r="S233" s="70"/>
      <c r="T233" s="67"/>
      <c r="U233" s="68"/>
      <c r="V233" s="76"/>
      <c r="W233" s="70"/>
      <c r="X233" s="1" t="s">
        <v>18028</v>
      </c>
      <c r="Y233" s="68"/>
      <c r="Z233" s="76"/>
      <c r="AA233" s="70"/>
      <c r="AB233" s="228">
        <f>ROUND((ROUND((ROUND((_15_同援日１．５*_15・基礎２),0)*(1+_15・A深夜)),0)*(1+_15・区３)),0)+ROUND((ROUND((ROUND((_15_同援日１．５＿０．５*_15・基礎２),0)*(1+_15・B早朝)),0)*(1+_15・区３)),0)</f>
        <v>771</v>
      </c>
      <c r="AC233" s="69"/>
    </row>
    <row r="234" spans="1:29" ht="16.5" customHeight="1" x14ac:dyDescent="0.3">
      <c r="A234" s="2">
        <v>15</v>
      </c>
      <c r="B234" s="2">
        <v>9066</v>
      </c>
      <c r="C234" s="60" t="s">
        <v>9387</v>
      </c>
      <c r="D234" s="1"/>
      <c r="E234" s="68"/>
      <c r="F234" s="70"/>
      <c r="G234" s="1"/>
      <c r="H234" s="68"/>
      <c r="I234" s="70"/>
      <c r="J234" s="106" t="s">
        <v>16970</v>
      </c>
      <c r="K234" s="57" t="s">
        <v>1</v>
      </c>
      <c r="L234" s="58">
        <v>0.9</v>
      </c>
      <c r="M234" s="83" t="s">
        <v>5895</v>
      </c>
      <c r="N234" s="64" t="s">
        <v>1</v>
      </c>
      <c r="O234" s="65">
        <v>1</v>
      </c>
      <c r="P234" s="99"/>
      <c r="Q234" s="70"/>
      <c r="R234" s="99"/>
      <c r="S234" s="70"/>
      <c r="T234" s="66"/>
      <c r="U234" s="57"/>
      <c r="V234" s="58"/>
      <c r="W234" s="77"/>
      <c r="X234" s="1" t="s">
        <v>18026</v>
      </c>
      <c r="Y234" s="68"/>
      <c r="Z234" s="76"/>
      <c r="AA234" s="70"/>
      <c r="AB234" s="228">
        <f>ROUND((ROUND((ROUND((ROUND((_15_同援日１．５*_15・基礎２),0)*_15・２人),0)*(1+_15・A深夜)),0)*(1+_15・区３)),0)+ROUND((ROUND((ROUND((ROUND((_15_同援日１．５＿０．５*_15・基礎２),0)*_15・２人),0)*(1+_15・B早朝)),0)*(1+_15・区３)),0)</f>
        <v>771</v>
      </c>
      <c r="AC234" s="69"/>
    </row>
    <row r="235" spans="1:29" ht="16.5" customHeight="1" x14ac:dyDescent="0.3">
      <c r="A235" s="2">
        <v>15</v>
      </c>
      <c r="B235" s="2">
        <v>9067</v>
      </c>
      <c r="C235" s="60" t="s">
        <v>9386</v>
      </c>
      <c r="D235" s="1"/>
      <c r="E235" s="68"/>
      <c r="F235" s="70"/>
      <c r="G235" s="1"/>
      <c r="H235" s="68"/>
      <c r="I235" s="70"/>
      <c r="J235" s="61"/>
      <c r="K235" s="62"/>
      <c r="L235" s="63"/>
      <c r="M235" s="85"/>
      <c r="N235" s="64"/>
      <c r="O235" s="65"/>
      <c r="P235" s="99"/>
      <c r="Q235" s="70"/>
      <c r="R235" s="99"/>
      <c r="S235" s="70"/>
      <c r="T235" s="74" t="s">
        <v>18025</v>
      </c>
      <c r="U235" s="62"/>
      <c r="V235" s="63"/>
      <c r="W235" s="75"/>
      <c r="X235" s="67"/>
      <c r="Y235" s="68" t="s">
        <v>1</v>
      </c>
      <c r="Z235" s="76">
        <v>0.2</v>
      </c>
      <c r="AA235" s="70" t="s">
        <v>422</v>
      </c>
      <c r="AB235" s="228">
        <f>ROUND((ROUND((ROUND((_15_同援日１．５*(1+_15・A深夜)),0)*(1+_15・盲ろう)),0)*(1+_15・区３)),0)+ROUND((ROUND((ROUND((_15_同援日１．５＿０．５*(1+_15・B早朝)),0)*(1+_15・盲ろう)),0)*(1+_15・区３)),0)</f>
        <v>1068</v>
      </c>
      <c r="AC235" s="69"/>
    </row>
    <row r="236" spans="1:29" ht="16.5" customHeight="1" x14ac:dyDescent="0.3">
      <c r="A236" s="2">
        <v>15</v>
      </c>
      <c r="B236" s="2">
        <v>9068</v>
      </c>
      <c r="C236" s="60" t="s">
        <v>9385</v>
      </c>
      <c r="D236" s="1"/>
      <c r="E236" s="68"/>
      <c r="F236" s="70"/>
      <c r="G236" s="1"/>
      <c r="H236" s="68"/>
      <c r="I236" s="70"/>
      <c r="J236" s="66"/>
      <c r="K236" s="57"/>
      <c r="L236" s="58"/>
      <c r="M236" s="83" t="s">
        <v>5895</v>
      </c>
      <c r="N236" s="64" t="s">
        <v>1</v>
      </c>
      <c r="O236" s="65">
        <v>1</v>
      </c>
      <c r="P236" s="99"/>
      <c r="Q236" s="70"/>
      <c r="R236" s="99"/>
      <c r="S236" s="70"/>
      <c r="T236" s="94" t="s">
        <v>18024</v>
      </c>
      <c r="U236" s="68"/>
      <c r="V236" s="76"/>
      <c r="W236" s="70"/>
      <c r="X236" s="67"/>
      <c r="Y236" s="68"/>
      <c r="Z236" s="76"/>
      <c r="AA236" s="70"/>
      <c r="AB236" s="228">
        <f>ROUND((ROUND((ROUND((ROUND((_15_同援日１．５*_15・２人),0)*(1+_15・A深夜)),0)*(1+_15・盲ろう)),0)*(1+_15・区３)),0)+ROUND((ROUND((ROUND((ROUND((_15_同援日１．５＿０．５*_15・２人),0)*(1+_15・B早朝)),0)*(1+_15・盲ろう)),0)*(1+_15・区３)),0)</f>
        <v>1068</v>
      </c>
      <c r="AC236" s="69"/>
    </row>
    <row r="237" spans="1:29" ht="16.5" customHeight="1" x14ac:dyDescent="0.3">
      <c r="A237" s="2">
        <v>15</v>
      </c>
      <c r="B237" s="2">
        <v>9069</v>
      </c>
      <c r="C237" s="60" t="s">
        <v>9384</v>
      </c>
      <c r="D237" s="1"/>
      <c r="E237" s="68"/>
      <c r="F237" s="70"/>
      <c r="G237" s="1"/>
      <c r="H237" s="68"/>
      <c r="I237" s="70"/>
      <c r="J237" s="74" t="s">
        <v>16971</v>
      </c>
      <c r="K237" s="62"/>
      <c r="L237" s="63"/>
      <c r="M237" s="85"/>
      <c r="N237" s="64"/>
      <c r="O237" s="65"/>
      <c r="P237" s="99"/>
      <c r="Q237" s="70"/>
      <c r="R237" s="99"/>
      <c r="S237" s="70"/>
      <c r="T237" s="67"/>
      <c r="U237" s="68" t="s">
        <v>1</v>
      </c>
      <c r="V237" s="76">
        <v>0.25</v>
      </c>
      <c r="W237" s="70" t="s">
        <v>422</v>
      </c>
      <c r="X237" s="67"/>
      <c r="Y237" s="68"/>
      <c r="Z237" s="76"/>
      <c r="AA237" s="70"/>
      <c r="AB237" s="228">
        <f>ROUND((ROUND((ROUND((ROUND((_15_同援日１．５*_15・基礎２),0)*(1+_15・A深夜)),0)*(1+_15・盲ろう)),0)*(1+_15・区３)),0)+ROUND((ROUND((ROUND((ROUND((_15_同援日１．５＿０．５*_15・基礎２),0)*(1+_15・B早朝)),0)*(1+_15・盲ろう)),0)*(1+_15・区３)),0)</f>
        <v>962</v>
      </c>
      <c r="AC237" s="69"/>
    </row>
    <row r="238" spans="1:29" ht="16.5" customHeight="1" x14ac:dyDescent="0.3">
      <c r="A238" s="2">
        <v>15</v>
      </c>
      <c r="B238" s="2">
        <v>9070</v>
      </c>
      <c r="C238" s="60" t="s">
        <v>9383</v>
      </c>
      <c r="D238" s="1"/>
      <c r="E238" s="68"/>
      <c r="F238" s="70"/>
      <c r="G238" s="1"/>
      <c r="H238" s="68"/>
      <c r="I238" s="70"/>
      <c r="J238" s="106" t="s">
        <v>16970</v>
      </c>
      <c r="K238" s="57" t="s">
        <v>1</v>
      </c>
      <c r="L238" s="58">
        <v>0.9</v>
      </c>
      <c r="M238" s="83" t="s">
        <v>5895</v>
      </c>
      <c r="N238" s="64" t="s">
        <v>1</v>
      </c>
      <c r="O238" s="65">
        <v>1</v>
      </c>
      <c r="P238" s="99"/>
      <c r="Q238" s="70"/>
      <c r="R238" s="99"/>
      <c r="S238" s="70"/>
      <c r="T238" s="66"/>
      <c r="U238" s="57"/>
      <c r="V238" s="58"/>
      <c r="W238" s="77"/>
      <c r="X238" s="66"/>
      <c r="Y238" s="57"/>
      <c r="Z238" s="58"/>
      <c r="AA238" s="77"/>
      <c r="AB238" s="228">
        <f>ROUND((ROUND((ROUND((ROUND((ROUND((_15_同援日１．５*_15・基礎２),0)*_15・２人),0)*(1+_15・A深夜)),0)*(1+_15・盲ろう)),0)*(1+_15・区３)),0)+ROUND((ROUND((ROUND((ROUND((ROUND((_15_同援日１．５＿０．５*_15・基礎２),0)*_15・２人),0)*(1+_15・B早朝)),0)*(1+_15・盲ろう)),0)*(1+_15・区３)),0)</f>
        <v>962</v>
      </c>
      <c r="AC238" s="69"/>
    </row>
    <row r="239" spans="1:29" ht="16.5" customHeight="1" x14ac:dyDescent="0.3">
      <c r="A239" s="2">
        <v>15</v>
      </c>
      <c r="B239" s="2">
        <v>9071</v>
      </c>
      <c r="C239" s="60" t="s">
        <v>9382</v>
      </c>
      <c r="D239" s="1"/>
      <c r="E239" s="68"/>
      <c r="F239" s="70"/>
      <c r="G239" s="1"/>
      <c r="H239" s="68"/>
      <c r="I239" s="70"/>
      <c r="J239" s="61"/>
      <c r="K239" s="62"/>
      <c r="L239" s="63"/>
      <c r="M239" s="85"/>
      <c r="N239" s="64"/>
      <c r="O239" s="65"/>
      <c r="P239" s="99"/>
      <c r="Q239" s="70"/>
      <c r="R239" s="99"/>
      <c r="S239" s="70"/>
      <c r="T239" s="61"/>
      <c r="U239" s="62"/>
      <c r="V239" s="63"/>
      <c r="W239" s="75"/>
      <c r="X239" s="61"/>
      <c r="Y239" s="62"/>
      <c r="Z239" s="63"/>
      <c r="AA239" s="75"/>
      <c r="AB239" s="228">
        <f>ROUND((ROUND((_15_同援日１．５*(1+_15・A深夜)),0)*(1+_15・区４)),0)+ROUND((ROUND((_15_同援日１．５＿０．５*(1+_15・B早朝)),0)*(1+_15・区４)),0)</f>
        <v>997</v>
      </c>
      <c r="AC239" s="69"/>
    </row>
    <row r="240" spans="1:29" ht="16.5" customHeight="1" x14ac:dyDescent="0.3">
      <c r="A240" s="2">
        <v>15</v>
      </c>
      <c r="B240" s="2">
        <v>9072</v>
      </c>
      <c r="C240" s="60" t="s">
        <v>9381</v>
      </c>
      <c r="D240" s="1"/>
      <c r="E240" s="68"/>
      <c r="F240" s="70"/>
      <c r="G240" s="1"/>
      <c r="H240" s="68"/>
      <c r="I240" s="70"/>
      <c r="J240" s="66"/>
      <c r="K240" s="57"/>
      <c r="L240" s="58"/>
      <c r="M240" s="83" t="s">
        <v>5895</v>
      </c>
      <c r="N240" s="64" t="s">
        <v>1</v>
      </c>
      <c r="O240" s="65">
        <v>1</v>
      </c>
      <c r="P240" s="99"/>
      <c r="Q240" s="70"/>
      <c r="R240" s="99"/>
      <c r="S240" s="70"/>
      <c r="T240" s="67"/>
      <c r="U240" s="68"/>
      <c r="V240" s="76"/>
      <c r="W240" s="70"/>
      <c r="X240" s="67"/>
      <c r="Y240" s="68"/>
      <c r="Z240" s="76"/>
      <c r="AA240" s="70"/>
      <c r="AB240" s="228">
        <f>ROUND((ROUND((ROUND((_15_同援日１．５*_15・２人),0)*(1+_15・A深夜)),0)*(1+_15・区４)),0)+ROUND((ROUND((ROUND((_15_同援日１．５＿０．５*_15・２人),0)*(1+_15・B早朝)),0)*(1+_15・区４)),0)</f>
        <v>997</v>
      </c>
      <c r="AC240" s="69"/>
    </row>
    <row r="241" spans="1:29" ht="16.5" customHeight="1" x14ac:dyDescent="0.3">
      <c r="A241" s="2">
        <v>15</v>
      </c>
      <c r="B241" s="2">
        <v>9073</v>
      </c>
      <c r="C241" s="60" t="s">
        <v>9380</v>
      </c>
      <c r="D241" s="1"/>
      <c r="E241" s="68"/>
      <c r="F241" s="70"/>
      <c r="G241" s="1"/>
      <c r="H241" s="68"/>
      <c r="I241" s="70"/>
      <c r="J241" s="74" t="s">
        <v>16971</v>
      </c>
      <c r="K241" s="62"/>
      <c r="L241" s="63"/>
      <c r="M241" s="85"/>
      <c r="N241" s="64"/>
      <c r="O241" s="65"/>
      <c r="P241" s="99"/>
      <c r="Q241" s="70"/>
      <c r="R241" s="99"/>
      <c r="S241" s="70"/>
      <c r="T241" s="67"/>
      <c r="U241" s="68"/>
      <c r="V241" s="76"/>
      <c r="W241" s="70"/>
      <c r="X241" s="1" t="s">
        <v>18027</v>
      </c>
      <c r="Y241" s="68"/>
      <c r="Z241" s="76"/>
      <c r="AA241" s="70"/>
      <c r="AB241" s="228">
        <f>ROUND((ROUND((ROUND((_15_同援日１．５*_15・基礎２),0)*(1+_15・A深夜)),0)*(1+_15・区４)),0)+ROUND((ROUND((ROUND((_15_同援日１．５＿０．５*_15・基礎２),0)*(1+_15・B早朝)),0)*(1+_15・区４)),0)</f>
        <v>899</v>
      </c>
      <c r="AC241" s="69"/>
    </row>
    <row r="242" spans="1:29" ht="16.5" customHeight="1" x14ac:dyDescent="0.3">
      <c r="A242" s="2">
        <v>15</v>
      </c>
      <c r="B242" s="2">
        <v>9074</v>
      </c>
      <c r="C242" s="60" t="s">
        <v>9379</v>
      </c>
      <c r="D242" s="1"/>
      <c r="E242" s="68"/>
      <c r="F242" s="70"/>
      <c r="G242" s="1"/>
      <c r="H242" s="68"/>
      <c r="I242" s="70"/>
      <c r="J242" s="106" t="s">
        <v>16970</v>
      </c>
      <c r="K242" s="57" t="s">
        <v>1</v>
      </c>
      <c r="L242" s="58">
        <v>0.9</v>
      </c>
      <c r="M242" s="83" t="s">
        <v>5895</v>
      </c>
      <c r="N242" s="64" t="s">
        <v>1</v>
      </c>
      <c r="O242" s="65">
        <v>1</v>
      </c>
      <c r="P242" s="99"/>
      <c r="Q242" s="70"/>
      <c r="R242" s="99"/>
      <c r="S242" s="70"/>
      <c r="T242" s="66"/>
      <c r="U242" s="57"/>
      <c r="V242" s="58"/>
      <c r="W242" s="77"/>
      <c r="X242" s="1" t="s">
        <v>18026</v>
      </c>
      <c r="Y242" s="68"/>
      <c r="Z242" s="76"/>
      <c r="AA242" s="70"/>
      <c r="AB242" s="228">
        <f>ROUND((ROUND((ROUND((ROUND((_15_同援日１．５*_15・基礎２),0)*_15・２人),0)*(1+_15・A深夜)),0)*(1+_15・区４)),0)+ROUND((ROUND((ROUND((ROUND((_15_同援日１．５＿０．５*_15・基礎２),0)*_15・２人),0)*(1+_15・B早朝)),0)*(1+_15・区４)),0)</f>
        <v>899</v>
      </c>
      <c r="AC242" s="69"/>
    </row>
    <row r="243" spans="1:29" ht="16.5" customHeight="1" x14ac:dyDescent="0.3">
      <c r="A243" s="2">
        <v>15</v>
      </c>
      <c r="B243" s="2">
        <v>9075</v>
      </c>
      <c r="C243" s="60" t="s">
        <v>9378</v>
      </c>
      <c r="D243" s="1"/>
      <c r="E243" s="68"/>
      <c r="F243" s="70"/>
      <c r="G243" s="1"/>
      <c r="H243" s="68"/>
      <c r="I243" s="70"/>
      <c r="J243" s="61"/>
      <c r="K243" s="62"/>
      <c r="L243" s="63"/>
      <c r="M243" s="85"/>
      <c r="N243" s="64"/>
      <c r="O243" s="65"/>
      <c r="P243" s="99"/>
      <c r="Q243" s="70"/>
      <c r="R243" s="99"/>
      <c r="S243" s="70"/>
      <c r="T243" s="74" t="s">
        <v>18025</v>
      </c>
      <c r="U243" s="62"/>
      <c r="V243" s="63"/>
      <c r="W243" s="75"/>
      <c r="X243" s="67"/>
      <c r="Y243" s="68" t="s">
        <v>1</v>
      </c>
      <c r="Z243" s="76">
        <v>0.4</v>
      </c>
      <c r="AA243" s="70" t="s">
        <v>422</v>
      </c>
      <c r="AB243" s="228">
        <f>ROUND((ROUND((ROUND((_15_同援日１．５*(1+_15・A深夜)),0)*(1+_15・盲ろう)),0)*(1+_15・区４)),0)+ROUND((ROUND((ROUND((_15_同援日１．５＿０．５*(1+_15・B早朝)),0)*(1+_15・盲ろう)),0)*(1+_15・区４)),0)</f>
        <v>1246</v>
      </c>
      <c r="AC243" s="69"/>
    </row>
    <row r="244" spans="1:29" ht="16.5" customHeight="1" x14ac:dyDescent="0.3">
      <c r="A244" s="2">
        <v>15</v>
      </c>
      <c r="B244" s="2">
        <v>9076</v>
      </c>
      <c r="C244" s="60" t="s">
        <v>9377</v>
      </c>
      <c r="D244" s="1"/>
      <c r="E244" s="68"/>
      <c r="F244" s="70"/>
      <c r="G244" s="1"/>
      <c r="H244" s="68"/>
      <c r="I244" s="70"/>
      <c r="J244" s="66"/>
      <c r="K244" s="57"/>
      <c r="L244" s="58"/>
      <c r="M244" s="83" t="s">
        <v>5895</v>
      </c>
      <c r="N244" s="64" t="s">
        <v>1</v>
      </c>
      <c r="O244" s="65">
        <v>1</v>
      </c>
      <c r="P244" s="99"/>
      <c r="Q244" s="70"/>
      <c r="R244" s="99"/>
      <c r="S244" s="70"/>
      <c r="T244" s="94" t="s">
        <v>18024</v>
      </c>
      <c r="U244" s="68"/>
      <c r="V244" s="76"/>
      <c r="W244" s="70"/>
      <c r="X244" s="67"/>
      <c r="Y244" s="68"/>
      <c r="Z244" s="76"/>
      <c r="AA244" s="70"/>
      <c r="AB244" s="228">
        <f>ROUND((ROUND((ROUND((ROUND((_15_同援日１．５*_15・２人),0)*(1+_15・A深夜)),0)*(1+_15・盲ろう)),0)*(1+_15・区４)),0)+ROUND((ROUND((ROUND((ROUND((_15_同援日１．５＿０．５*_15・２人),0)*(1+_15・B早朝)),0)*(1+_15・盲ろう)),0)*(1+_15・区４)),0)</f>
        <v>1246</v>
      </c>
      <c r="AC244" s="69"/>
    </row>
    <row r="245" spans="1:29" ht="16.5" customHeight="1" x14ac:dyDescent="0.3">
      <c r="A245" s="2">
        <v>15</v>
      </c>
      <c r="B245" s="2">
        <v>9077</v>
      </c>
      <c r="C245" s="60" t="s">
        <v>9376</v>
      </c>
      <c r="D245" s="1"/>
      <c r="E245" s="68"/>
      <c r="F245" s="70"/>
      <c r="G245" s="1"/>
      <c r="H245" s="68"/>
      <c r="I245" s="70"/>
      <c r="J245" s="74" t="s">
        <v>16971</v>
      </c>
      <c r="K245" s="62"/>
      <c r="L245" s="63"/>
      <c r="M245" s="85"/>
      <c r="N245" s="64"/>
      <c r="O245" s="65"/>
      <c r="P245" s="99"/>
      <c r="Q245" s="70"/>
      <c r="R245" s="99"/>
      <c r="S245" s="70"/>
      <c r="T245" s="67"/>
      <c r="U245" s="68" t="s">
        <v>1</v>
      </c>
      <c r="V245" s="76">
        <v>0.25</v>
      </c>
      <c r="W245" s="70" t="s">
        <v>422</v>
      </c>
      <c r="X245" s="67"/>
      <c r="Y245" s="68"/>
      <c r="Z245" s="76"/>
      <c r="AA245" s="70"/>
      <c r="AB245" s="228">
        <f>ROUND((ROUND((ROUND((ROUND((_15_同援日１．５*_15・基礎２),0)*(1+_15・A深夜)),0)*(1+_15・盲ろう)),0)*(1+_15・区４)),0)+ROUND((ROUND((ROUND((ROUND((_15_同援日１．５＿０．５*_15・基礎２),0)*(1+_15・B早朝)),0)*(1+_15・盲ろう)),0)*(1+_15・区４)),0)</f>
        <v>1122</v>
      </c>
      <c r="AC245" s="69"/>
    </row>
    <row r="246" spans="1:29" ht="16.5" customHeight="1" x14ac:dyDescent="0.3">
      <c r="A246" s="2">
        <v>15</v>
      </c>
      <c r="B246" s="2">
        <v>9078</v>
      </c>
      <c r="C246" s="60" t="s">
        <v>9375</v>
      </c>
      <c r="D246" s="1"/>
      <c r="E246" s="68"/>
      <c r="F246" s="70"/>
      <c r="G246" s="81"/>
      <c r="H246" s="57"/>
      <c r="I246" s="77"/>
      <c r="J246" s="106" t="s">
        <v>16970</v>
      </c>
      <c r="K246" s="57" t="s">
        <v>1</v>
      </c>
      <c r="L246" s="58">
        <v>0.9</v>
      </c>
      <c r="M246" s="83" t="s">
        <v>5895</v>
      </c>
      <c r="N246" s="64" t="s">
        <v>1</v>
      </c>
      <c r="O246" s="65">
        <v>1</v>
      </c>
      <c r="P246" s="99"/>
      <c r="Q246" s="70"/>
      <c r="R246" s="99"/>
      <c r="S246" s="70"/>
      <c r="T246" s="66"/>
      <c r="U246" s="57"/>
      <c r="V246" s="58"/>
      <c r="W246" s="77"/>
      <c r="X246" s="66"/>
      <c r="Y246" s="57"/>
      <c r="Z246" s="58"/>
      <c r="AA246" s="77"/>
      <c r="AB246" s="228">
        <f>ROUND((ROUND((ROUND((ROUND((ROUND((_15_同援日１．５*_15・基礎２),0)*_15・２人),0)*(1+_15・A深夜)),0)*(1+_15・盲ろう)),0)*(1+_15・区４)),0)+ROUND((ROUND((ROUND((ROUND((ROUND((_15_同援日１．５＿０．５*_15・基礎２),0)*_15・２人),0)*(1+_15・B早朝)),0)*(1+_15・盲ろう)),0)*(1+_15・区４)),0)</f>
        <v>1122</v>
      </c>
      <c r="AC246" s="69"/>
    </row>
    <row r="247" spans="1:29" ht="16.5" customHeight="1" x14ac:dyDescent="0.3">
      <c r="A247" s="2">
        <v>15</v>
      </c>
      <c r="B247" s="2">
        <v>9079</v>
      </c>
      <c r="C247" s="60" t="s">
        <v>9374</v>
      </c>
      <c r="D247" s="1"/>
      <c r="E247" s="68"/>
      <c r="F247" s="70"/>
      <c r="G247" s="233" t="s">
        <v>16988</v>
      </c>
      <c r="H247" s="62"/>
      <c r="I247" s="75"/>
      <c r="J247" s="61"/>
      <c r="K247" s="62"/>
      <c r="L247" s="63"/>
      <c r="M247" s="85"/>
      <c r="N247" s="64"/>
      <c r="O247" s="65"/>
      <c r="P247" s="99"/>
      <c r="Q247" s="70"/>
      <c r="R247" s="99"/>
      <c r="S247" s="70"/>
      <c r="T247" s="61"/>
      <c r="U247" s="62"/>
      <c r="V247" s="63"/>
      <c r="W247" s="75"/>
      <c r="X247" s="61"/>
      <c r="Y247" s="62"/>
      <c r="Z247" s="63"/>
      <c r="AA247" s="75"/>
      <c r="AB247" s="228">
        <f>ROUND((_15_同援日１．５*(1+_15・A深夜)),0)+ROUND((_15_同援日１．５＿１．０*(1+_15・B早朝)),0)</f>
        <v>791</v>
      </c>
      <c r="AC247" s="69"/>
    </row>
    <row r="248" spans="1:29" ht="16.5" customHeight="1" x14ac:dyDescent="0.3">
      <c r="A248" s="2">
        <v>15</v>
      </c>
      <c r="B248" s="2">
        <v>9080</v>
      </c>
      <c r="C248" s="60" t="s">
        <v>9373</v>
      </c>
      <c r="D248" s="1"/>
      <c r="E248" s="68"/>
      <c r="F248" s="70"/>
      <c r="G248" s="1" t="s">
        <v>16978</v>
      </c>
      <c r="H248" s="68"/>
      <c r="I248" s="70"/>
      <c r="J248" s="66"/>
      <c r="K248" s="57"/>
      <c r="L248" s="58"/>
      <c r="M248" s="83" t="s">
        <v>5895</v>
      </c>
      <c r="N248" s="64" t="s">
        <v>1</v>
      </c>
      <c r="O248" s="65">
        <v>1</v>
      </c>
      <c r="P248" s="99"/>
      <c r="Q248" s="70"/>
      <c r="R248" s="99"/>
      <c r="S248" s="70"/>
      <c r="T248" s="67"/>
      <c r="U248" s="68"/>
      <c r="V248" s="76"/>
      <c r="W248" s="70"/>
      <c r="X248" s="67"/>
      <c r="Y248" s="68"/>
      <c r="Z248" s="76"/>
      <c r="AA248" s="70"/>
      <c r="AB248" s="228">
        <f>ROUND((ROUND((_15_同援日１．５*_15・２人),0)*(1+_15・A深夜)),0)+ROUND((ROUND((_15_同援日１．５＿１．０*_15・２人),0)*(1+_15・B早朝)),0)</f>
        <v>791</v>
      </c>
      <c r="AC248" s="69"/>
    </row>
    <row r="249" spans="1:29" ht="16.5" customHeight="1" x14ac:dyDescent="0.3">
      <c r="A249" s="2">
        <v>15</v>
      </c>
      <c r="B249" s="2">
        <v>9081</v>
      </c>
      <c r="C249" s="60" t="s">
        <v>9372</v>
      </c>
      <c r="D249" s="1"/>
      <c r="E249" s="68"/>
      <c r="F249" s="70"/>
      <c r="G249" s="1" t="s">
        <v>8572</v>
      </c>
      <c r="H249" s="68"/>
      <c r="I249" s="70"/>
      <c r="J249" s="74" t="s">
        <v>16971</v>
      </c>
      <c r="K249" s="62"/>
      <c r="L249" s="63"/>
      <c r="M249" s="85"/>
      <c r="N249" s="64"/>
      <c r="O249" s="65"/>
      <c r="P249" s="99"/>
      <c r="Q249" s="70"/>
      <c r="R249" s="99"/>
      <c r="S249" s="70"/>
      <c r="T249" s="67"/>
      <c r="U249" s="68"/>
      <c r="V249" s="76"/>
      <c r="W249" s="70"/>
      <c r="X249" s="67"/>
      <c r="Y249" s="68"/>
      <c r="Z249" s="76"/>
      <c r="AA249" s="70"/>
      <c r="AB249" s="228">
        <f>ROUND((ROUND((_15_同援日１．５*_15・基礎２),0)*(1+_15・A深夜)),0)+ROUND((ROUND((_15_同援日１．５＿１．０*_15・基礎２),0)*(1+_15・B早朝)),0)</f>
        <v>712</v>
      </c>
      <c r="AC249" s="69"/>
    </row>
    <row r="250" spans="1:29" ht="16.5" customHeight="1" x14ac:dyDescent="0.3">
      <c r="A250" s="2">
        <v>15</v>
      </c>
      <c r="B250" s="2">
        <v>9082</v>
      </c>
      <c r="C250" s="60" t="s">
        <v>9371</v>
      </c>
      <c r="D250" s="1"/>
      <c r="E250" s="68"/>
      <c r="F250" s="70"/>
      <c r="G250" s="1"/>
      <c r="H250" s="119">
        <v>127</v>
      </c>
      <c r="I250" s="70" t="s">
        <v>0</v>
      </c>
      <c r="J250" s="106" t="s">
        <v>16970</v>
      </c>
      <c r="K250" s="57" t="s">
        <v>1</v>
      </c>
      <c r="L250" s="58">
        <v>0.9</v>
      </c>
      <c r="M250" s="83" t="s">
        <v>5895</v>
      </c>
      <c r="N250" s="64" t="s">
        <v>1</v>
      </c>
      <c r="O250" s="65">
        <v>1</v>
      </c>
      <c r="P250" s="99"/>
      <c r="Q250" s="70"/>
      <c r="R250" s="99"/>
      <c r="S250" s="70"/>
      <c r="T250" s="66"/>
      <c r="U250" s="57"/>
      <c r="V250" s="58"/>
      <c r="W250" s="77"/>
      <c r="X250" s="67"/>
      <c r="Y250" s="68"/>
      <c r="Z250" s="76"/>
      <c r="AA250" s="70"/>
      <c r="AB250" s="228">
        <f>ROUND((ROUND((ROUND((_15_同援日１．５*_15・基礎２),0)*_15・２人),0)*(1+_15・A深夜)),0)+ROUND((ROUND((ROUND((_15_同援日１．５＿１．０*_15・基礎２),0)*_15・２人),0)*(1+_15・B早朝)),0)</f>
        <v>712</v>
      </c>
      <c r="AC250" s="69"/>
    </row>
    <row r="251" spans="1:29" ht="16.5" customHeight="1" x14ac:dyDescent="0.3">
      <c r="A251" s="2">
        <v>15</v>
      </c>
      <c r="B251" s="2">
        <v>9083</v>
      </c>
      <c r="C251" s="60" t="s">
        <v>9370</v>
      </c>
      <c r="D251" s="1"/>
      <c r="E251" s="68"/>
      <c r="F251" s="70"/>
      <c r="G251" s="1"/>
      <c r="H251" s="68"/>
      <c r="I251" s="70"/>
      <c r="J251" s="61"/>
      <c r="K251" s="62"/>
      <c r="L251" s="63"/>
      <c r="M251" s="85"/>
      <c r="N251" s="64"/>
      <c r="O251" s="65"/>
      <c r="P251" s="99"/>
      <c r="Q251" s="70"/>
      <c r="R251" s="99"/>
      <c r="S251" s="70"/>
      <c r="T251" s="74" t="s">
        <v>18025</v>
      </c>
      <c r="U251" s="62"/>
      <c r="V251" s="63"/>
      <c r="W251" s="75"/>
      <c r="X251" s="67"/>
      <c r="Y251" s="68"/>
      <c r="Z251" s="76"/>
      <c r="AA251" s="70"/>
      <c r="AB251" s="228">
        <f>ROUND((ROUND((_15_同援日１．５*(1+_15・A深夜)),0)*(1+_15・盲ろう)),0)+ROUND((ROUND((_15_同援日１．５＿１．０*(1+_15・B早朝)),0)*(1+_15・盲ろう)),0)</f>
        <v>989</v>
      </c>
      <c r="AC251" s="69"/>
    </row>
    <row r="252" spans="1:29" ht="16.5" customHeight="1" x14ac:dyDescent="0.3">
      <c r="A252" s="2">
        <v>15</v>
      </c>
      <c r="B252" s="2">
        <v>9084</v>
      </c>
      <c r="C252" s="60" t="s">
        <v>9369</v>
      </c>
      <c r="D252" s="1"/>
      <c r="E252" s="68"/>
      <c r="F252" s="70"/>
      <c r="G252" s="1"/>
      <c r="H252" s="68"/>
      <c r="I252" s="70"/>
      <c r="J252" s="66"/>
      <c r="K252" s="57"/>
      <c r="L252" s="58"/>
      <c r="M252" s="83" t="s">
        <v>5895</v>
      </c>
      <c r="N252" s="64" t="s">
        <v>1</v>
      </c>
      <c r="O252" s="65">
        <v>1</v>
      </c>
      <c r="P252" s="99"/>
      <c r="Q252" s="70"/>
      <c r="R252" s="99"/>
      <c r="S252" s="70"/>
      <c r="T252" s="94" t="s">
        <v>18024</v>
      </c>
      <c r="U252" s="68"/>
      <c r="V252" s="76"/>
      <c r="W252" s="70"/>
      <c r="X252" s="67"/>
      <c r="Y252" s="68"/>
      <c r="Z252" s="76"/>
      <c r="AA252" s="70"/>
      <c r="AB252" s="228">
        <f>ROUND((ROUND((ROUND((_15_同援日１．５*_15・２人),0)*(1+_15・A深夜)),0)*(1+_15・盲ろう)),0)+ROUND((ROUND((ROUND((_15_同援日１．５＿１．０*_15・２人),0)*(1+_15・B早朝)),0)*(1+_15・盲ろう)),0)</f>
        <v>989</v>
      </c>
      <c r="AC252" s="69"/>
    </row>
    <row r="253" spans="1:29" ht="16.5" customHeight="1" x14ac:dyDescent="0.3">
      <c r="A253" s="2">
        <v>15</v>
      </c>
      <c r="B253" s="2">
        <v>9085</v>
      </c>
      <c r="C253" s="60" t="s">
        <v>9368</v>
      </c>
      <c r="D253" s="1"/>
      <c r="E253" s="68"/>
      <c r="F253" s="70"/>
      <c r="G253" s="1"/>
      <c r="H253" s="68"/>
      <c r="I253" s="70"/>
      <c r="J253" s="74" t="s">
        <v>16971</v>
      </c>
      <c r="K253" s="62"/>
      <c r="L253" s="63"/>
      <c r="M253" s="85"/>
      <c r="N253" s="64"/>
      <c r="O253" s="65"/>
      <c r="P253" s="99"/>
      <c r="Q253" s="70"/>
      <c r="R253" s="99"/>
      <c r="S253" s="70"/>
      <c r="T253" s="67"/>
      <c r="U253" s="68" t="s">
        <v>1</v>
      </c>
      <c r="V253" s="76">
        <v>0.25</v>
      </c>
      <c r="W253" s="70" t="s">
        <v>422</v>
      </c>
      <c r="X253" s="67"/>
      <c r="Y253" s="68"/>
      <c r="Z253" s="76"/>
      <c r="AA253" s="70"/>
      <c r="AB253" s="228">
        <f>ROUND((ROUND((ROUND((_15_同援日１．５*_15・基礎２),0)*(1+_15・A深夜)),0)*(1+_15・盲ろう)),0)+ROUND((ROUND((ROUND((_15_同援日１．５＿１．０*_15・基礎２),0)*(1+_15・B早朝)),0)*(1+_15・盲ろう)),0)</f>
        <v>890</v>
      </c>
      <c r="AC253" s="69"/>
    </row>
    <row r="254" spans="1:29" ht="16.5" customHeight="1" x14ac:dyDescent="0.3">
      <c r="A254" s="2">
        <v>15</v>
      </c>
      <c r="B254" s="2">
        <v>9086</v>
      </c>
      <c r="C254" s="60" t="s">
        <v>9367</v>
      </c>
      <c r="D254" s="1"/>
      <c r="E254" s="68"/>
      <c r="F254" s="70"/>
      <c r="G254" s="1"/>
      <c r="H254" s="68"/>
      <c r="I254" s="70"/>
      <c r="J254" s="106" t="s">
        <v>16970</v>
      </c>
      <c r="K254" s="57" t="s">
        <v>1</v>
      </c>
      <c r="L254" s="58">
        <v>0.9</v>
      </c>
      <c r="M254" s="83" t="s">
        <v>5895</v>
      </c>
      <c r="N254" s="64" t="s">
        <v>1</v>
      </c>
      <c r="O254" s="65">
        <v>1</v>
      </c>
      <c r="P254" s="99"/>
      <c r="Q254" s="70"/>
      <c r="R254" s="99"/>
      <c r="S254" s="70"/>
      <c r="T254" s="66"/>
      <c r="U254" s="57"/>
      <c r="V254" s="58"/>
      <c r="W254" s="77"/>
      <c r="X254" s="66"/>
      <c r="Y254" s="57"/>
      <c r="Z254" s="58"/>
      <c r="AA254" s="77"/>
      <c r="AB254" s="228">
        <f>ROUND((ROUND((ROUND((ROUND((_15_同援日１．５*_15・基礎２),0)*_15・２人),0)*(1+_15・A深夜)),0)*(1+_15・盲ろう)),0)+ROUND((ROUND((ROUND((ROUND((_15_同援日１．５＿１．０*_15・基礎２),0)*_15・２人),0)*(1+_15・B早朝)),0)*(1+_15・盲ろう)),0)</f>
        <v>890</v>
      </c>
      <c r="AC254" s="69"/>
    </row>
    <row r="255" spans="1:29" ht="16.5" customHeight="1" x14ac:dyDescent="0.3">
      <c r="A255" s="2">
        <v>15</v>
      </c>
      <c r="B255" s="2">
        <v>9087</v>
      </c>
      <c r="C255" s="60" t="s">
        <v>9366</v>
      </c>
      <c r="D255" s="1"/>
      <c r="E255" s="68"/>
      <c r="F255" s="70"/>
      <c r="G255" s="1"/>
      <c r="H255" s="68"/>
      <c r="I255" s="70"/>
      <c r="J255" s="61"/>
      <c r="K255" s="62"/>
      <c r="L255" s="63"/>
      <c r="M255" s="85"/>
      <c r="N255" s="64"/>
      <c r="O255" s="65"/>
      <c r="P255" s="99"/>
      <c r="Q255" s="70"/>
      <c r="R255" s="99"/>
      <c r="S255" s="70"/>
      <c r="T255" s="61"/>
      <c r="U255" s="62"/>
      <c r="V255" s="63"/>
      <c r="W255" s="75"/>
      <c r="X255" s="61"/>
      <c r="Y255" s="62"/>
      <c r="Z255" s="63"/>
      <c r="AA255" s="75"/>
      <c r="AB255" s="228">
        <f>ROUND((ROUND((_15_同援日１．５*(1+_15・A深夜)),0)*(1+_15・区３)),0)+ROUND((ROUND((_15_同援日１．５＿１．０*(1+_15・B早朝)),0)*(1+_15・区３)),0)</f>
        <v>949</v>
      </c>
      <c r="AC255" s="69"/>
    </row>
    <row r="256" spans="1:29" ht="16.5" customHeight="1" x14ac:dyDescent="0.3">
      <c r="A256" s="2">
        <v>15</v>
      </c>
      <c r="B256" s="2">
        <v>9088</v>
      </c>
      <c r="C256" s="60" t="s">
        <v>9365</v>
      </c>
      <c r="D256" s="1"/>
      <c r="E256" s="68"/>
      <c r="F256" s="70"/>
      <c r="G256" s="1"/>
      <c r="H256" s="68"/>
      <c r="I256" s="70"/>
      <c r="J256" s="66"/>
      <c r="K256" s="57"/>
      <c r="L256" s="58"/>
      <c r="M256" s="83" t="s">
        <v>5895</v>
      </c>
      <c r="N256" s="64" t="s">
        <v>1</v>
      </c>
      <c r="O256" s="65">
        <v>1</v>
      </c>
      <c r="P256" s="99"/>
      <c r="Q256" s="70"/>
      <c r="R256" s="99"/>
      <c r="S256" s="70"/>
      <c r="T256" s="67"/>
      <c r="U256" s="68"/>
      <c r="V256" s="76"/>
      <c r="W256" s="70"/>
      <c r="X256" s="67"/>
      <c r="Y256" s="68"/>
      <c r="Z256" s="76"/>
      <c r="AA256" s="70"/>
      <c r="AB256" s="228">
        <f>ROUND((ROUND((ROUND((_15_同援日１．５*_15・２人),0)*(1+_15・A深夜)),0)*(1+_15・区３)),0)+ROUND((ROUND((ROUND((_15_同援日１．５＿１．０*_15・２人),0)*(1+_15・B早朝)),0)*(1+_15・区３)),0)</f>
        <v>949</v>
      </c>
      <c r="AC256" s="69"/>
    </row>
    <row r="257" spans="1:29" ht="16.5" customHeight="1" x14ac:dyDescent="0.3">
      <c r="A257" s="2">
        <v>15</v>
      </c>
      <c r="B257" s="2">
        <v>9089</v>
      </c>
      <c r="C257" s="60" t="s">
        <v>9364</v>
      </c>
      <c r="D257" s="1"/>
      <c r="E257" s="68"/>
      <c r="F257" s="70"/>
      <c r="G257" s="1"/>
      <c r="H257" s="68"/>
      <c r="I257" s="70"/>
      <c r="J257" s="74" t="s">
        <v>16971</v>
      </c>
      <c r="K257" s="62"/>
      <c r="L257" s="63"/>
      <c r="M257" s="85"/>
      <c r="N257" s="64"/>
      <c r="O257" s="65"/>
      <c r="P257" s="99"/>
      <c r="Q257" s="70"/>
      <c r="R257" s="99"/>
      <c r="S257" s="70"/>
      <c r="T257" s="67"/>
      <c r="U257" s="68"/>
      <c r="V257" s="76"/>
      <c r="W257" s="70"/>
      <c r="X257" s="1" t="s">
        <v>18028</v>
      </c>
      <c r="Y257" s="68"/>
      <c r="Z257" s="76"/>
      <c r="AA257" s="70"/>
      <c r="AB257" s="228">
        <f>ROUND((ROUND((ROUND((_15_同援日１．５*_15・基礎２),0)*(1+_15・A深夜)),0)*(1+_15・区３)),0)+ROUND((ROUND((ROUND((_15_同援日１．５＿１．０*_15・基礎２),0)*(1+_15・B早朝)),0)*(1+_15・区３)),0)</f>
        <v>855</v>
      </c>
      <c r="AC257" s="69"/>
    </row>
    <row r="258" spans="1:29" ht="16.5" customHeight="1" x14ac:dyDescent="0.3">
      <c r="A258" s="2">
        <v>15</v>
      </c>
      <c r="B258" s="2">
        <v>9090</v>
      </c>
      <c r="C258" s="60" t="s">
        <v>9363</v>
      </c>
      <c r="D258" s="1"/>
      <c r="E258" s="68"/>
      <c r="F258" s="70"/>
      <c r="G258" s="1"/>
      <c r="H258" s="68"/>
      <c r="I258" s="70"/>
      <c r="J258" s="106" t="s">
        <v>16970</v>
      </c>
      <c r="K258" s="57" t="s">
        <v>1</v>
      </c>
      <c r="L258" s="58">
        <v>0.9</v>
      </c>
      <c r="M258" s="83" t="s">
        <v>5895</v>
      </c>
      <c r="N258" s="64" t="s">
        <v>1</v>
      </c>
      <c r="O258" s="65">
        <v>1</v>
      </c>
      <c r="P258" s="99"/>
      <c r="Q258" s="70"/>
      <c r="R258" s="99"/>
      <c r="S258" s="70"/>
      <c r="T258" s="66"/>
      <c r="U258" s="57"/>
      <c r="V258" s="58"/>
      <c r="W258" s="77"/>
      <c r="X258" s="1" t="s">
        <v>18026</v>
      </c>
      <c r="Y258" s="68"/>
      <c r="Z258" s="76"/>
      <c r="AA258" s="70"/>
      <c r="AB258" s="228">
        <f>ROUND((ROUND((ROUND((ROUND((_15_同援日１．５*_15・基礎２),0)*_15・２人),0)*(1+_15・A深夜)),0)*(1+_15・区３)),0)+ROUND((ROUND((ROUND((ROUND((_15_同援日１．５＿１．０*_15・基礎２),0)*_15・２人),0)*(1+_15・B早朝)),0)*(1+_15・区３)),0)</f>
        <v>855</v>
      </c>
      <c r="AC258" s="69"/>
    </row>
    <row r="259" spans="1:29" ht="16.5" customHeight="1" x14ac:dyDescent="0.3">
      <c r="A259" s="2">
        <v>15</v>
      </c>
      <c r="B259" s="2">
        <v>9091</v>
      </c>
      <c r="C259" s="60" t="s">
        <v>9362</v>
      </c>
      <c r="D259" s="1"/>
      <c r="E259" s="68"/>
      <c r="F259" s="70"/>
      <c r="G259" s="1"/>
      <c r="H259" s="68"/>
      <c r="I259" s="70"/>
      <c r="J259" s="61"/>
      <c r="K259" s="62"/>
      <c r="L259" s="63"/>
      <c r="M259" s="85"/>
      <c r="N259" s="64"/>
      <c r="O259" s="65"/>
      <c r="P259" s="99"/>
      <c r="Q259" s="70"/>
      <c r="R259" s="99"/>
      <c r="S259" s="70"/>
      <c r="T259" s="74" t="s">
        <v>18025</v>
      </c>
      <c r="U259" s="62"/>
      <c r="V259" s="63"/>
      <c r="W259" s="75"/>
      <c r="X259" s="67"/>
      <c r="Y259" s="68" t="s">
        <v>1</v>
      </c>
      <c r="Z259" s="76">
        <v>0.2</v>
      </c>
      <c r="AA259" s="70" t="s">
        <v>422</v>
      </c>
      <c r="AB259" s="228">
        <f>ROUND((ROUND((ROUND((_15_同援日１．５*(1+_15・A深夜)),0)*(1+_15・盲ろう)),0)*(1+_15・区３)),0)+ROUND((ROUND((ROUND((_15_同援日１．５＿１．０*(1+_15・B早朝)),0)*(1+_15・盲ろう)),0)*(1+_15・区３)),0)</f>
        <v>1187</v>
      </c>
      <c r="AC259" s="69"/>
    </row>
    <row r="260" spans="1:29" ht="16.5" customHeight="1" x14ac:dyDescent="0.3">
      <c r="A260" s="2">
        <v>15</v>
      </c>
      <c r="B260" s="2">
        <v>9092</v>
      </c>
      <c r="C260" s="60" t="s">
        <v>9361</v>
      </c>
      <c r="D260" s="1"/>
      <c r="E260" s="68"/>
      <c r="F260" s="70"/>
      <c r="G260" s="1"/>
      <c r="H260" s="68"/>
      <c r="I260" s="70"/>
      <c r="J260" s="66"/>
      <c r="K260" s="57"/>
      <c r="L260" s="58"/>
      <c r="M260" s="83" t="s">
        <v>5895</v>
      </c>
      <c r="N260" s="64" t="s">
        <v>1</v>
      </c>
      <c r="O260" s="65">
        <v>1</v>
      </c>
      <c r="P260" s="99"/>
      <c r="Q260" s="70"/>
      <c r="R260" s="99"/>
      <c r="S260" s="70"/>
      <c r="T260" s="94" t="s">
        <v>18024</v>
      </c>
      <c r="U260" s="68"/>
      <c r="V260" s="76"/>
      <c r="W260" s="70"/>
      <c r="X260" s="67"/>
      <c r="Y260" s="68"/>
      <c r="Z260" s="76"/>
      <c r="AA260" s="70"/>
      <c r="AB260" s="228">
        <f>ROUND((ROUND((ROUND((ROUND((_15_同援日１．５*_15・２人),0)*(1+_15・A深夜)),0)*(1+_15・盲ろう)),0)*(1+_15・区３)),0)+ROUND((ROUND((ROUND((ROUND((_15_同援日１．５＿１．０*_15・２人),0)*(1+_15・B早朝)),0)*(1+_15・盲ろう)),0)*(1+_15・区３)),0)</f>
        <v>1187</v>
      </c>
      <c r="AC260" s="69"/>
    </row>
    <row r="261" spans="1:29" ht="16.5" customHeight="1" x14ac:dyDescent="0.3">
      <c r="A261" s="2">
        <v>15</v>
      </c>
      <c r="B261" s="2">
        <v>9093</v>
      </c>
      <c r="C261" s="60" t="s">
        <v>9360</v>
      </c>
      <c r="D261" s="1"/>
      <c r="E261" s="68"/>
      <c r="F261" s="70"/>
      <c r="G261" s="1"/>
      <c r="H261" s="68"/>
      <c r="I261" s="70"/>
      <c r="J261" s="74" t="s">
        <v>16971</v>
      </c>
      <c r="K261" s="62"/>
      <c r="L261" s="63"/>
      <c r="M261" s="85"/>
      <c r="N261" s="64"/>
      <c r="O261" s="65"/>
      <c r="P261" s="99"/>
      <c r="Q261" s="70"/>
      <c r="R261" s="99"/>
      <c r="S261" s="70"/>
      <c r="T261" s="67"/>
      <c r="U261" s="68" t="s">
        <v>1</v>
      </c>
      <c r="V261" s="76">
        <v>0.25</v>
      </c>
      <c r="W261" s="70" t="s">
        <v>422</v>
      </c>
      <c r="X261" s="67"/>
      <c r="Y261" s="68"/>
      <c r="Z261" s="76"/>
      <c r="AA261" s="70"/>
      <c r="AB261" s="228">
        <f>ROUND((ROUND((ROUND((ROUND((_15_同援日１．５*_15・基礎２),0)*(1+_15・A深夜)),0)*(1+_15・盲ろう)),0)*(1+_15・区３)),0)+ROUND((ROUND((ROUND((ROUND((_15_同援日１．５＿１．０*_15・基礎２),0)*(1+_15・B早朝)),0)*(1+_15・盲ろう)),0)*(1+_15・区３)),0)</f>
        <v>1068</v>
      </c>
      <c r="AC261" s="69"/>
    </row>
    <row r="262" spans="1:29" ht="16.5" customHeight="1" x14ac:dyDescent="0.3">
      <c r="A262" s="2">
        <v>15</v>
      </c>
      <c r="B262" s="2">
        <v>9094</v>
      </c>
      <c r="C262" s="60" t="s">
        <v>9359</v>
      </c>
      <c r="D262" s="1"/>
      <c r="E262" s="68"/>
      <c r="F262" s="70"/>
      <c r="G262" s="1"/>
      <c r="H262" s="68"/>
      <c r="I262" s="70"/>
      <c r="J262" s="106" t="s">
        <v>16970</v>
      </c>
      <c r="K262" s="57" t="s">
        <v>1</v>
      </c>
      <c r="L262" s="58">
        <v>0.9</v>
      </c>
      <c r="M262" s="83" t="s">
        <v>5895</v>
      </c>
      <c r="N262" s="64" t="s">
        <v>1</v>
      </c>
      <c r="O262" s="65">
        <v>1</v>
      </c>
      <c r="P262" s="99"/>
      <c r="Q262" s="70"/>
      <c r="R262" s="99"/>
      <c r="S262" s="70"/>
      <c r="T262" s="66"/>
      <c r="U262" s="57"/>
      <c r="V262" s="58"/>
      <c r="W262" s="77"/>
      <c r="X262" s="66"/>
      <c r="Y262" s="57"/>
      <c r="Z262" s="58"/>
      <c r="AA262" s="77"/>
      <c r="AB262" s="228">
        <f>ROUND((ROUND((ROUND((ROUND((ROUND((_15_同援日１．５*_15・基礎２),0)*_15・２人),0)*(1+_15・A深夜)),0)*(1+_15・盲ろう)),0)*(1+_15・区３)),0)+ROUND((ROUND((ROUND((ROUND((ROUND((_15_同援日１．５＿１．０*_15・基礎２),0)*_15・２人),0)*(1+_15・B早朝)),0)*(1+_15・盲ろう)),0)*(1+_15・区３)),0)</f>
        <v>1068</v>
      </c>
      <c r="AC262" s="69"/>
    </row>
    <row r="263" spans="1:29" ht="16.5" customHeight="1" x14ac:dyDescent="0.3">
      <c r="A263" s="2">
        <v>15</v>
      </c>
      <c r="B263" s="2">
        <v>9095</v>
      </c>
      <c r="C263" s="60" t="s">
        <v>9358</v>
      </c>
      <c r="D263" s="1"/>
      <c r="E263" s="68"/>
      <c r="F263" s="70"/>
      <c r="G263" s="1"/>
      <c r="H263" s="68"/>
      <c r="I263" s="70"/>
      <c r="J263" s="61"/>
      <c r="K263" s="62"/>
      <c r="L263" s="63"/>
      <c r="M263" s="85"/>
      <c r="N263" s="64"/>
      <c r="O263" s="65"/>
      <c r="P263" s="99"/>
      <c r="Q263" s="70"/>
      <c r="R263" s="99"/>
      <c r="S263" s="70"/>
      <c r="T263" s="61"/>
      <c r="U263" s="62"/>
      <c r="V263" s="63"/>
      <c r="W263" s="75"/>
      <c r="X263" s="61"/>
      <c r="Y263" s="62"/>
      <c r="Z263" s="63"/>
      <c r="AA263" s="75"/>
      <c r="AB263" s="228">
        <f>ROUND((ROUND((_15_同援日１．５*(1+_15・A深夜)),0)*(1+_15・区４)),0)+ROUND((ROUND((_15_同援日１．５＿１．０*(1+_15・B早朝)),0)*(1+_15・区４)),0)</f>
        <v>1108</v>
      </c>
      <c r="AC263" s="69"/>
    </row>
    <row r="264" spans="1:29" ht="16.5" customHeight="1" x14ac:dyDescent="0.3">
      <c r="A264" s="2">
        <v>15</v>
      </c>
      <c r="B264" s="2">
        <v>9096</v>
      </c>
      <c r="C264" s="60" t="s">
        <v>9357</v>
      </c>
      <c r="D264" s="1"/>
      <c r="E264" s="68"/>
      <c r="F264" s="70"/>
      <c r="G264" s="1"/>
      <c r="H264" s="68"/>
      <c r="I264" s="70"/>
      <c r="J264" s="66"/>
      <c r="K264" s="57"/>
      <c r="L264" s="58"/>
      <c r="M264" s="83" t="s">
        <v>5895</v>
      </c>
      <c r="N264" s="64" t="s">
        <v>1</v>
      </c>
      <c r="O264" s="65">
        <v>1</v>
      </c>
      <c r="P264" s="99"/>
      <c r="Q264" s="70"/>
      <c r="R264" s="99"/>
      <c r="S264" s="70"/>
      <c r="T264" s="67"/>
      <c r="U264" s="68"/>
      <c r="V264" s="76"/>
      <c r="W264" s="70"/>
      <c r="X264" s="67"/>
      <c r="Y264" s="68"/>
      <c r="Z264" s="76"/>
      <c r="AA264" s="70"/>
      <c r="AB264" s="228">
        <f>ROUND((ROUND((ROUND((_15_同援日１．５*_15・２人),0)*(1+_15・A深夜)),0)*(1+_15・区４)),0)+ROUND((ROUND((ROUND((_15_同援日１．５＿１．０*_15・２人),0)*(1+_15・B早朝)),0)*(1+_15・区４)),0)</f>
        <v>1108</v>
      </c>
      <c r="AC264" s="69"/>
    </row>
    <row r="265" spans="1:29" ht="16.5" customHeight="1" x14ac:dyDescent="0.3">
      <c r="A265" s="2">
        <v>15</v>
      </c>
      <c r="B265" s="2">
        <v>9097</v>
      </c>
      <c r="C265" s="60" t="s">
        <v>9356</v>
      </c>
      <c r="D265" s="1"/>
      <c r="E265" s="68"/>
      <c r="F265" s="70"/>
      <c r="G265" s="1"/>
      <c r="H265" s="68"/>
      <c r="I265" s="70"/>
      <c r="J265" s="74" t="s">
        <v>16971</v>
      </c>
      <c r="K265" s="62"/>
      <c r="L265" s="63"/>
      <c r="M265" s="85"/>
      <c r="N265" s="64"/>
      <c r="O265" s="65"/>
      <c r="P265" s="99"/>
      <c r="Q265" s="70"/>
      <c r="R265" s="99"/>
      <c r="S265" s="70"/>
      <c r="T265" s="67"/>
      <c r="U265" s="68"/>
      <c r="V265" s="76"/>
      <c r="W265" s="70"/>
      <c r="X265" s="1" t="s">
        <v>18027</v>
      </c>
      <c r="Y265" s="68"/>
      <c r="Z265" s="76"/>
      <c r="AA265" s="70"/>
      <c r="AB265" s="228">
        <f>ROUND((ROUND((ROUND((_15_同援日１．５*_15・基礎２),0)*(1+_15・A深夜)),0)*(1+_15・区４)),0)+ROUND((ROUND((ROUND((_15_同援日１．５＿１．０*_15・基礎２),0)*(1+_15・B早朝)),0)*(1+_15・区４)),0)</f>
        <v>997</v>
      </c>
      <c r="AC265" s="69"/>
    </row>
    <row r="266" spans="1:29" ht="16.5" customHeight="1" x14ac:dyDescent="0.3">
      <c r="A266" s="2">
        <v>15</v>
      </c>
      <c r="B266" s="2">
        <v>9098</v>
      </c>
      <c r="C266" s="60" t="s">
        <v>9355</v>
      </c>
      <c r="D266" s="1"/>
      <c r="E266" s="68"/>
      <c r="F266" s="70"/>
      <c r="G266" s="1"/>
      <c r="H266" s="68"/>
      <c r="I266" s="70"/>
      <c r="J266" s="106" t="s">
        <v>16970</v>
      </c>
      <c r="K266" s="57" t="s">
        <v>1</v>
      </c>
      <c r="L266" s="58">
        <v>0.9</v>
      </c>
      <c r="M266" s="83" t="s">
        <v>5895</v>
      </c>
      <c r="N266" s="64" t="s">
        <v>1</v>
      </c>
      <c r="O266" s="65">
        <v>1</v>
      </c>
      <c r="P266" s="99"/>
      <c r="Q266" s="70"/>
      <c r="R266" s="99"/>
      <c r="S266" s="70"/>
      <c r="T266" s="66"/>
      <c r="U266" s="57"/>
      <c r="V266" s="58"/>
      <c r="W266" s="77"/>
      <c r="X266" s="1" t="s">
        <v>18026</v>
      </c>
      <c r="Y266" s="68"/>
      <c r="Z266" s="76"/>
      <c r="AA266" s="70"/>
      <c r="AB266" s="228">
        <f>ROUND((ROUND((ROUND((ROUND((_15_同援日１．５*_15・基礎２),0)*_15・２人),0)*(1+_15・A深夜)),0)*(1+_15・区４)),0)+ROUND((ROUND((ROUND((ROUND((_15_同援日１．５＿１．０*_15・基礎２),0)*_15・２人),0)*(1+_15・B早朝)),0)*(1+_15・区４)),0)</f>
        <v>997</v>
      </c>
      <c r="AC266" s="69"/>
    </row>
    <row r="267" spans="1:29" ht="16.5" customHeight="1" x14ac:dyDescent="0.3">
      <c r="A267" s="2">
        <v>15</v>
      </c>
      <c r="B267" s="2">
        <v>9099</v>
      </c>
      <c r="C267" s="60" t="s">
        <v>9354</v>
      </c>
      <c r="D267" s="1"/>
      <c r="E267" s="68"/>
      <c r="F267" s="70"/>
      <c r="G267" s="1"/>
      <c r="H267" s="68"/>
      <c r="I267" s="70"/>
      <c r="J267" s="61"/>
      <c r="K267" s="62"/>
      <c r="L267" s="63"/>
      <c r="M267" s="85"/>
      <c r="N267" s="64"/>
      <c r="O267" s="65"/>
      <c r="P267" s="99"/>
      <c r="Q267" s="70"/>
      <c r="R267" s="99"/>
      <c r="S267" s="70"/>
      <c r="T267" s="74" t="s">
        <v>18025</v>
      </c>
      <c r="U267" s="62"/>
      <c r="V267" s="63"/>
      <c r="W267" s="75"/>
      <c r="X267" s="67"/>
      <c r="Y267" s="68" t="s">
        <v>1</v>
      </c>
      <c r="Z267" s="76">
        <v>0.4</v>
      </c>
      <c r="AA267" s="70" t="s">
        <v>422</v>
      </c>
      <c r="AB267" s="228">
        <f>ROUND((ROUND((ROUND((_15_同援日１．５*(1+_15・A深夜)),0)*(1+_15・盲ろう)),0)*(1+_15・区４)),0)+ROUND((ROUND((ROUND((_15_同援日１．５＿１．０*(1+_15・B早朝)),0)*(1+_15・盲ろう)),0)*(1+_15・区４)),0)</f>
        <v>1385</v>
      </c>
      <c r="AC267" s="69"/>
    </row>
    <row r="268" spans="1:29" ht="16.5" customHeight="1" x14ac:dyDescent="0.3">
      <c r="A268" s="2">
        <v>15</v>
      </c>
      <c r="B268" s="2">
        <v>9100</v>
      </c>
      <c r="C268" s="60" t="s">
        <v>9353</v>
      </c>
      <c r="D268" s="1"/>
      <c r="E268" s="68"/>
      <c r="F268" s="70"/>
      <c r="G268" s="1"/>
      <c r="H268" s="68"/>
      <c r="I268" s="70"/>
      <c r="J268" s="66"/>
      <c r="K268" s="57"/>
      <c r="L268" s="58"/>
      <c r="M268" s="83" t="s">
        <v>5895</v>
      </c>
      <c r="N268" s="64" t="s">
        <v>1</v>
      </c>
      <c r="O268" s="65">
        <v>1</v>
      </c>
      <c r="P268" s="99"/>
      <c r="Q268" s="70"/>
      <c r="R268" s="99"/>
      <c r="S268" s="70"/>
      <c r="T268" s="94" t="s">
        <v>18024</v>
      </c>
      <c r="U268" s="68"/>
      <c r="V268" s="76"/>
      <c r="W268" s="70"/>
      <c r="X268" s="67"/>
      <c r="Y268" s="68"/>
      <c r="Z268" s="76"/>
      <c r="AA268" s="70"/>
      <c r="AB268" s="228">
        <f>ROUND((ROUND((ROUND((ROUND((_15_同援日１．５*_15・２人),0)*(1+_15・A深夜)),0)*(1+_15・盲ろう)),0)*(1+_15・区４)),0)+ROUND((ROUND((ROUND((ROUND((_15_同援日１．５＿１．０*_15・２人),0)*(1+_15・B早朝)),0)*(1+_15・盲ろう)),0)*(1+_15・区４)),0)</f>
        <v>1385</v>
      </c>
      <c r="AC268" s="69"/>
    </row>
    <row r="269" spans="1:29" ht="16.5" customHeight="1" x14ac:dyDescent="0.3">
      <c r="A269" s="2">
        <v>15</v>
      </c>
      <c r="B269" s="2">
        <v>9101</v>
      </c>
      <c r="C269" s="60" t="s">
        <v>9352</v>
      </c>
      <c r="D269" s="1"/>
      <c r="E269" s="68"/>
      <c r="F269" s="70"/>
      <c r="G269" s="1"/>
      <c r="H269" s="68"/>
      <c r="I269" s="70"/>
      <c r="J269" s="74" t="s">
        <v>16971</v>
      </c>
      <c r="K269" s="62"/>
      <c r="L269" s="63"/>
      <c r="M269" s="85"/>
      <c r="N269" s="64"/>
      <c r="O269" s="65"/>
      <c r="P269" s="99"/>
      <c r="Q269" s="70"/>
      <c r="R269" s="99"/>
      <c r="S269" s="70"/>
      <c r="T269" s="67"/>
      <c r="U269" s="68" t="s">
        <v>1</v>
      </c>
      <c r="V269" s="76">
        <v>0.25</v>
      </c>
      <c r="W269" s="70" t="s">
        <v>422</v>
      </c>
      <c r="X269" s="67"/>
      <c r="Y269" s="68"/>
      <c r="Z269" s="76"/>
      <c r="AA269" s="70"/>
      <c r="AB269" s="228">
        <f>ROUND((ROUND((ROUND((ROUND((_15_同援日１．５*_15・基礎２),0)*(1+_15・A深夜)),0)*(1+_15・盲ろう)),0)*(1+_15・区４)),0)+ROUND((ROUND((ROUND((ROUND((_15_同援日１．５＿１．０*_15・基礎２),0)*(1+_15・B早朝)),0)*(1+_15・盲ろう)),0)*(1+_15・区４)),0)</f>
        <v>1246</v>
      </c>
      <c r="AC269" s="69"/>
    </row>
    <row r="270" spans="1:29" ht="16.5" customHeight="1" x14ac:dyDescent="0.3">
      <c r="A270" s="2">
        <v>15</v>
      </c>
      <c r="B270" s="2">
        <v>9102</v>
      </c>
      <c r="C270" s="60" t="s">
        <v>9351</v>
      </c>
      <c r="D270" s="1"/>
      <c r="E270" s="68"/>
      <c r="F270" s="70"/>
      <c r="G270" s="81"/>
      <c r="H270" s="57"/>
      <c r="I270" s="77"/>
      <c r="J270" s="106" t="s">
        <v>16970</v>
      </c>
      <c r="K270" s="57" t="s">
        <v>1</v>
      </c>
      <c r="L270" s="58">
        <v>0.9</v>
      </c>
      <c r="M270" s="83" t="s">
        <v>5895</v>
      </c>
      <c r="N270" s="64" t="s">
        <v>1</v>
      </c>
      <c r="O270" s="65">
        <v>1</v>
      </c>
      <c r="P270" s="99"/>
      <c r="Q270" s="70"/>
      <c r="R270" s="99"/>
      <c r="S270" s="70"/>
      <c r="T270" s="66"/>
      <c r="U270" s="57"/>
      <c r="V270" s="58"/>
      <c r="W270" s="77"/>
      <c r="X270" s="66"/>
      <c r="Y270" s="57"/>
      <c r="Z270" s="58"/>
      <c r="AA270" s="77"/>
      <c r="AB270" s="228">
        <f>ROUND((ROUND((ROUND((ROUND((ROUND((_15_同援日１．５*_15・基礎２),0)*_15・２人),0)*(1+_15・A深夜)),0)*(1+_15・盲ろう)),0)*(1+_15・区４)),0)+ROUND((ROUND((ROUND((ROUND((ROUND((_15_同援日１．５＿１．０*_15・基礎２),0)*_15・２人),0)*(1+_15・B早朝)),0)*(1+_15・盲ろう)),0)*(1+_15・区４)),0)</f>
        <v>1246</v>
      </c>
      <c r="AC270" s="69"/>
    </row>
    <row r="271" spans="1:29" ht="16.5" customHeight="1" x14ac:dyDescent="0.3">
      <c r="A271" s="2">
        <v>15</v>
      </c>
      <c r="B271" s="2">
        <v>9103</v>
      </c>
      <c r="C271" s="60" t="s">
        <v>9350</v>
      </c>
      <c r="D271" s="1"/>
      <c r="E271" s="68"/>
      <c r="F271" s="70"/>
      <c r="G271" s="233" t="s">
        <v>16986</v>
      </c>
      <c r="H271" s="62"/>
      <c r="I271" s="75"/>
      <c r="J271" s="61"/>
      <c r="K271" s="62"/>
      <c r="L271" s="63"/>
      <c r="M271" s="85"/>
      <c r="N271" s="64"/>
      <c r="O271" s="65"/>
      <c r="P271" s="99"/>
      <c r="Q271" s="70"/>
      <c r="R271" s="99"/>
      <c r="S271" s="70"/>
      <c r="T271" s="61"/>
      <c r="U271" s="62"/>
      <c r="V271" s="63"/>
      <c r="W271" s="75"/>
      <c r="X271" s="61"/>
      <c r="Y271" s="62"/>
      <c r="Z271" s="63"/>
      <c r="AA271" s="75"/>
      <c r="AB271" s="228">
        <f>ROUND((_15_同援日１．５*(1+_15・A深夜)),0)+ROUND((_15_同援日１．５＿１．５*(1+_15・B早朝)),0)</f>
        <v>870</v>
      </c>
      <c r="AC271" s="69"/>
    </row>
    <row r="272" spans="1:29" ht="16.5" customHeight="1" x14ac:dyDescent="0.3">
      <c r="A272" s="2">
        <v>15</v>
      </c>
      <c r="B272" s="2">
        <v>9104</v>
      </c>
      <c r="C272" s="60" t="s">
        <v>9349</v>
      </c>
      <c r="D272" s="1"/>
      <c r="E272" s="68"/>
      <c r="F272" s="70"/>
      <c r="G272" s="1" t="s">
        <v>16984</v>
      </c>
      <c r="H272" s="68"/>
      <c r="I272" s="70"/>
      <c r="J272" s="66"/>
      <c r="K272" s="57"/>
      <c r="L272" s="58"/>
      <c r="M272" s="83" t="s">
        <v>5895</v>
      </c>
      <c r="N272" s="64" t="s">
        <v>1</v>
      </c>
      <c r="O272" s="65">
        <v>1</v>
      </c>
      <c r="P272" s="99"/>
      <c r="Q272" s="70"/>
      <c r="R272" s="99"/>
      <c r="S272" s="70"/>
      <c r="T272" s="67"/>
      <c r="U272" s="68"/>
      <c r="V272" s="76"/>
      <c r="W272" s="70"/>
      <c r="X272" s="67"/>
      <c r="Y272" s="68"/>
      <c r="Z272" s="76"/>
      <c r="AA272" s="70"/>
      <c r="AB272" s="228">
        <f>ROUND((ROUND((_15_同援日１．５*_15・２人),0)*(1+_15・A深夜)),0)+ROUND((ROUND((_15_同援日１．５＿１．５*_15・２人),0)*(1+_15・B早朝)),0)</f>
        <v>870</v>
      </c>
      <c r="AC272" s="69"/>
    </row>
    <row r="273" spans="1:29" ht="16.5" customHeight="1" x14ac:dyDescent="0.3">
      <c r="A273" s="2">
        <v>15</v>
      </c>
      <c r="B273" s="2">
        <v>9105</v>
      </c>
      <c r="C273" s="60" t="s">
        <v>9348</v>
      </c>
      <c r="D273" s="1"/>
      <c r="E273" s="68"/>
      <c r="F273" s="70"/>
      <c r="G273" s="1" t="s">
        <v>8767</v>
      </c>
      <c r="H273" s="68"/>
      <c r="I273" s="70"/>
      <c r="J273" s="74" t="s">
        <v>16971</v>
      </c>
      <c r="K273" s="62"/>
      <c r="L273" s="63"/>
      <c r="M273" s="85"/>
      <c r="N273" s="64"/>
      <c r="O273" s="65"/>
      <c r="P273" s="99"/>
      <c r="Q273" s="70"/>
      <c r="R273" s="99"/>
      <c r="S273" s="70"/>
      <c r="T273" s="67"/>
      <c r="U273" s="68"/>
      <c r="V273" s="76"/>
      <c r="W273" s="70"/>
      <c r="X273" s="67"/>
      <c r="Y273" s="68"/>
      <c r="Z273" s="76"/>
      <c r="AA273" s="70"/>
      <c r="AB273" s="228">
        <f>ROUND((ROUND((_15_同援日１．５*_15・基礎２),0)*(1+_15・A深夜)),0)+ROUND((ROUND((_15_同援日１．５＿１．５*_15・基礎２),0)*(1+_15・B早朝)),0)</f>
        <v>783</v>
      </c>
      <c r="AC273" s="69"/>
    </row>
    <row r="274" spans="1:29" ht="16.5" customHeight="1" x14ac:dyDescent="0.3">
      <c r="A274" s="2">
        <v>15</v>
      </c>
      <c r="B274" s="2">
        <v>9106</v>
      </c>
      <c r="C274" s="60" t="s">
        <v>9347</v>
      </c>
      <c r="D274" s="1"/>
      <c r="E274" s="68"/>
      <c r="F274" s="70"/>
      <c r="G274" s="1"/>
      <c r="H274" s="119">
        <v>190</v>
      </c>
      <c r="I274" s="70" t="s">
        <v>0</v>
      </c>
      <c r="J274" s="106" t="s">
        <v>16970</v>
      </c>
      <c r="K274" s="57" t="s">
        <v>1</v>
      </c>
      <c r="L274" s="58">
        <v>0.9</v>
      </c>
      <c r="M274" s="83" t="s">
        <v>5895</v>
      </c>
      <c r="N274" s="64" t="s">
        <v>1</v>
      </c>
      <c r="O274" s="65">
        <v>1</v>
      </c>
      <c r="P274" s="99"/>
      <c r="Q274" s="70"/>
      <c r="R274" s="99"/>
      <c r="S274" s="70"/>
      <c r="T274" s="66"/>
      <c r="U274" s="57"/>
      <c r="V274" s="58"/>
      <c r="W274" s="77"/>
      <c r="X274" s="67"/>
      <c r="Y274" s="68"/>
      <c r="Z274" s="76"/>
      <c r="AA274" s="70"/>
      <c r="AB274" s="228">
        <f>ROUND((ROUND((ROUND((_15_同援日１．５*_15・基礎２),0)*_15・２人),0)*(1+_15・A深夜)),0)+ROUND((ROUND((ROUND((_15_同援日１．５＿１．５*_15・基礎２),0)*_15・２人),0)*(1+_15・B早朝)),0)</f>
        <v>783</v>
      </c>
      <c r="AC274" s="69"/>
    </row>
    <row r="275" spans="1:29" ht="16.5" customHeight="1" x14ac:dyDescent="0.3">
      <c r="A275" s="2">
        <v>15</v>
      </c>
      <c r="B275" s="2">
        <v>9107</v>
      </c>
      <c r="C275" s="60" t="s">
        <v>9346</v>
      </c>
      <c r="D275" s="1"/>
      <c r="E275" s="68"/>
      <c r="F275" s="70"/>
      <c r="G275" s="1"/>
      <c r="H275" s="68"/>
      <c r="I275" s="70"/>
      <c r="J275" s="61"/>
      <c r="K275" s="62"/>
      <c r="L275" s="63"/>
      <c r="M275" s="85"/>
      <c r="N275" s="64"/>
      <c r="O275" s="65"/>
      <c r="P275" s="99"/>
      <c r="Q275" s="70"/>
      <c r="R275" s="99"/>
      <c r="S275" s="70"/>
      <c r="T275" s="74" t="s">
        <v>18025</v>
      </c>
      <c r="U275" s="62"/>
      <c r="V275" s="63"/>
      <c r="W275" s="75"/>
      <c r="X275" s="67"/>
      <c r="Y275" s="68"/>
      <c r="Z275" s="76"/>
      <c r="AA275" s="70"/>
      <c r="AB275" s="228">
        <f>ROUND((ROUND((_15_同援日１．５*(1+_15・A深夜)),0)*(1+_15・盲ろう)),0)+ROUND((ROUND((_15_同援日１．５＿１．５*(1+_15・B早朝)),0)*(1+_15・盲ろう)),0)</f>
        <v>1088</v>
      </c>
      <c r="AC275" s="69"/>
    </row>
    <row r="276" spans="1:29" ht="16.5" customHeight="1" x14ac:dyDescent="0.3">
      <c r="A276" s="2">
        <v>15</v>
      </c>
      <c r="B276" s="2">
        <v>9108</v>
      </c>
      <c r="C276" s="60" t="s">
        <v>9345</v>
      </c>
      <c r="D276" s="1"/>
      <c r="E276" s="68"/>
      <c r="F276" s="70"/>
      <c r="G276" s="1"/>
      <c r="H276" s="68"/>
      <c r="I276" s="70"/>
      <c r="J276" s="66"/>
      <c r="K276" s="57"/>
      <c r="L276" s="58"/>
      <c r="M276" s="83" t="s">
        <v>5895</v>
      </c>
      <c r="N276" s="64" t="s">
        <v>1</v>
      </c>
      <c r="O276" s="65">
        <v>1</v>
      </c>
      <c r="P276" s="99"/>
      <c r="Q276" s="70"/>
      <c r="R276" s="99"/>
      <c r="S276" s="70"/>
      <c r="T276" s="94" t="s">
        <v>18024</v>
      </c>
      <c r="U276" s="68"/>
      <c r="V276" s="76"/>
      <c r="W276" s="70"/>
      <c r="X276" s="67"/>
      <c r="Y276" s="68"/>
      <c r="Z276" s="76"/>
      <c r="AA276" s="70"/>
      <c r="AB276" s="228">
        <f>ROUND((ROUND((ROUND((_15_同援日１．５*_15・２人),0)*(1+_15・A深夜)),0)*(1+_15・盲ろう)),0)+ROUND((ROUND((ROUND((_15_同援日１．５＿１．５*_15・２人),0)*(1+_15・B早朝)),0)*(1+_15・盲ろう)),0)</f>
        <v>1088</v>
      </c>
      <c r="AC276" s="69"/>
    </row>
    <row r="277" spans="1:29" ht="16.5" customHeight="1" x14ac:dyDescent="0.3">
      <c r="A277" s="2">
        <v>15</v>
      </c>
      <c r="B277" s="2">
        <v>9109</v>
      </c>
      <c r="C277" s="60" t="s">
        <v>9344</v>
      </c>
      <c r="D277" s="1"/>
      <c r="E277" s="68"/>
      <c r="F277" s="70"/>
      <c r="G277" s="1"/>
      <c r="H277" s="68"/>
      <c r="I277" s="70"/>
      <c r="J277" s="74" t="s">
        <v>16971</v>
      </c>
      <c r="K277" s="62"/>
      <c r="L277" s="63"/>
      <c r="M277" s="85"/>
      <c r="N277" s="64"/>
      <c r="O277" s="65"/>
      <c r="P277" s="99"/>
      <c r="Q277" s="70"/>
      <c r="R277" s="99"/>
      <c r="S277" s="70"/>
      <c r="T277" s="67"/>
      <c r="U277" s="68" t="s">
        <v>1</v>
      </c>
      <c r="V277" s="76">
        <v>0.25</v>
      </c>
      <c r="W277" s="70" t="s">
        <v>422</v>
      </c>
      <c r="X277" s="67"/>
      <c r="Y277" s="68"/>
      <c r="Z277" s="76"/>
      <c r="AA277" s="70"/>
      <c r="AB277" s="228">
        <f>ROUND((ROUND((ROUND((_15_同援日１．５*_15・基礎２),0)*(1+_15・A深夜)),0)*(1+_15・盲ろう)),0)+ROUND((ROUND((ROUND((_15_同援日１．５＿１．５*_15・基礎２),0)*(1+_15・B早朝)),0)*(1+_15・盲ろう)),0)</f>
        <v>979</v>
      </c>
      <c r="AC277" s="69"/>
    </row>
    <row r="278" spans="1:29" ht="16.5" customHeight="1" x14ac:dyDescent="0.3">
      <c r="A278" s="2">
        <v>15</v>
      </c>
      <c r="B278" s="2">
        <v>9110</v>
      </c>
      <c r="C278" s="60" t="s">
        <v>9343</v>
      </c>
      <c r="D278" s="1"/>
      <c r="E278" s="68"/>
      <c r="F278" s="70"/>
      <c r="G278" s="1"/>
      <c r="H278" s="68"/>
      <c r="I278" s="70"/>
      <c r="J278" s="106" t="s">
        <v>16970</v>
      </c>
      <c r="K278" s="57" t="s">
        <v>1</v>
      </c>
      <c r="L278" s="58">
        <v>0.9</v>
      </c>
      <c r="M278" s="83" t="s">
        <v>5895</v>
      </c>
      <c r="N278" s="64" t="s">
        <v>1</v>
      </c>
      <c r="O278" s="65">
        <v>1</v>
      </c>
      <c r="P278" s="99"/>
      <c r="Q278" s="70"/>
      <c r="R278" s="99"/>
      <c r="S278" s="70"/>
      <c r="T278" s="66"/>
      <c r="U278" s="57"/>
      <c r="V278" s="58"/>
      <c r="W278" s="77"/>
      <c r="X278" s="66"/>
      <c r="Y278" s="57"/>
      <c r="Z278" s="58"/>
      <c r="AA278" s="77"/>
      <c r="AB278" s="228">
        <f>ROUND((ROUND((ROUND((ROUND((_15_同援日１．５*_15・基礎２),0)*_15・２人),0)*(1+_15・A深夜)),0)*(1+_15・盲ろう)),0)+ROUND((ROUND((ROUND((ROUND((_15_同援日１．５＿１．５*_15・基礎２),0)*_15・２人),0)*(1+_15・B早朝)),0)*(1+_15・盲ろう)),0)</f>
        <v>979</v>
      </c>
      <c r="AC278" s="69"/>
    </row>
    <row r="279" spans="1:29" ht="16.5" customHeight="1" x14ac:dyDescent="0.3">
      <c r="A279" s="2">
        <v>15</v>
      </c>
      <c r="B279" s="2">
        <v>9111</v>
      </c>
      <c r="C279" s="60" t="s">
        <v>9342</v>
      </c>
      <c r="D279" s="1"/>
      <c r="E279" s="68"/>
      <c r="F279" s="70"/>
      <c r="G279" s="1"/>
      <c r="H279" s="68"/>
      <c r="I279" s="70"/>
      <c r="J279" s="61"/>
      <c r="K279" s="62"/>
      <c r="L279" s="63"/>
      <c r="M279" s="85"/>
      <c r="N279" s="64"/>
      <c r="O279" s="65"/>
      <c r="P279" s="99"/>
      <c r="Q279" s="70"/>
      <c r="R279" s="99"/>
      <c r="S279" s="70"/>
      <c r="T279" s="61"/>
      <c r="U279" s="62"/>
      <c r="V279" s="63"/>
      <c r="W279" s="75"/>
      <c r="X279" s="61"/>
      <c r="Y279" s="62"/>
      <c r="Z279" s="63"/>
      <c r="AA279" s="75"/>
      <c r="AB279" s="228">
        <f>ROUND((ROUND((_15_同援日１．５*(1+_15・A深夜)),0)*(1+_15・区３)),0)+ROUND((ROUND((_15_同援日１．５＿１．５*(1+_15・B早朝)),0)*(1+_15・区３)),0)</f>
        <v>1044</v>
      </c>
      <c r="AC279" s="69"/>
    </row>
    <row r="280" spans="1:29" ht="16.5" customHeight="1" x14ac:dyDescent="0.3">
      <c r="A280" s="2">
        <v>15</v>
      </c>
      <c r="B280" s="2">
        <v>9112</v>
      </c>
      <c r="C280" s="60" t="s">
        <v>9341</v>
      </c>
      <c r="D280" s="1"/>
      <c r="E280" s="68"/>
      <c r="F280" s="70"/>
      <c r="G280" s="1"/>
      <c r="H280" s="68"/>
      <c r="I280" s="70"/>
      <c r="J280" s="66"/>
      <c r="K280" s="57"/>
      <c r="L280" s="58"/>
      <c r="M280" s="83" t="s">
        <v>5895</v>
      </c>
      <c r="N280" s="64" t="s">
        <v>1</v>
      </c>
      <c r="O280" s="65">
        <v>1</v>
      </c>
      <c r="P280" s="99"/>
      <c r="Q280" s="70"/>
      <c r="R280" s="99"/>
      <c r="S280" s="70"/>
      <c r="T280" s="67"/>
      <c r="U280" s="68"/>
      <c r="V280" s="76"/>
      <c r="W280" s="70"/>
      <c r="X280" s="67"/>
      <c r="Y280" s="68"/>
      <c r="Z280" s="76"/>
      <c r="AA280" s="70"/>
      <c r="AB280" s="228">
        <f>ROUND((ROUND((ROUND((_15_同援日１．５*_15・２人),0)*(1+_15・A深夜)),0)*(1+_15・区３)),0)+ROUND((ROUND((ROUND((_15_同援日１．５＿１．５*_15・２人),0)*(1+_15・B早朝)),0)*(1+_15・区３)),0)</f>
        <v>1044</v>
      </c>
      <c r="AC280" s="69"/>
    </row>
    <row r="281" spans="1:29" ht="16.5" customHeight="1" x14ac:dyDescent="0.3">
      <c r="A281" s="2">
        <v>15</v>
      </c>
      <c r="B281" s="2">
        <v>9113</v>
      </c>
      <c r="C281" s="60" t="s">
        <v>9340</v>
      </c>
      <c r="D281" s="1"/>
      <c r="E281" s="68"/>
      <c r="F281" s="70"/>
      <c r="G281" s="1"/>
      <c r="H281" s="68"/>
      <c r="I281" s="70"/>
      <c r="J281" s="74" t="s">
        <v>16971</v>
      </c>
      <c r="K281" s="62"/>
      <c r="L281" s="63"/>
      <c r="M281" s="85"/>
      <c r="N281" s="64"/>
      <c r="O281" s="65"/>
      <c r="P281" s="99"/>
      <c r="Q281" s="70"/>
      <c r="R281" s="99"/>
      <c r="S281" s="70"/>
      <c r="T281" s="67"/>
      <c r="U281" s="68"/>
      <c r="V281" s="76"/>
      <c r="W281" s="70"/>
      <c r="X281" s="1" t="s">
        <v>18028</v>
      </c>
      <c r="Y281" s="68"/>
      <c r="Z281" s="76"/>
      <c r="AA281" s="70"/>
      <c r="AB281" s="228">
        <f>ROUND((ROUND((ROUND((_15_同援日１．５*_15・基礎２),0)*(1+_15・A深夜)),0)*(1+_15・区３)),0)+ROUND((ROUND((ROUND((_15_同援日１．５＿１．５*_15・基礎２),0)*(1+_15・B早朝)),0)*(1+_15・区３)),0)</f>
        <v>940</v>
      </c>
      <c r="AC281" s="69"/>
    </row>
    <row r="282" spans="1:29" ht="16.5" customHeight="1" x14ac:dyDescent="0.3">
      <c r="A282" s="2">
        <v>15</v>
      </c>
      <c r="B282" s="2">
        <v>9114</v>
      </c>
      <c r="C282" s="60" t="s">
        <v>9339</v>
      </c>
      <c r="D282" s="1"/>
      <c r="E282" s="68"/>
      <c r="F282" s="70"/>
      <c r="G282" s="1"/>
      <c r="H282" s="68"/>
      <c r="I282" s="70"/>
      <c r="J282" s="106" t="s">
        <v>16970</v>
      </c>
      <c r="K282" s="57" t="s">
        <v>1</v>
      </c>
      <c r="L282" s="58">
        <v>0.9</v>
      </c>
      <c r="M282" s="83" t="s">
        <v>5895</v>
      </c>
      <c r="N282" s="64" t="s">
        <v>1</v>
      </c>
      <c r="O282" s="65">
        <v>1</v>
      </c>
      <c r="P282" s="99"/>
      <c r="Q282" s="70"/>
      <c r="R282" s="99"/>
      <c r="S282" s="70"/>
      <c r="T282" s="66"/>
      <c r="U282" s="57"/>
      <c r="V282" s="58"/>
      <c r="W282" s="77"/>
      <c r="X282" s="1" t="s">
        <v>18026</v>
      </c>
      <c r="Y282" s="68"/>
      <c r="Z282" s="76"/>
      <c r="AA282" s="70"/>
      <c r="AB282" s="228">
        <f>ROUND((ROUND((ROUND((ROUND((_15_同援日１．５*_15・基礎２),0)*_15・２人),0)*(1+_15・A深夜)),0)*(1+_15・区３)),0)+ROUND((ROUND((ROUND((ROUND((_15_同援日１．５＿１．５*_15・基礎２),0)*_15・２人),0)*(1+_15・B早朝)),0)*(1+_15・区３)),0)</f>
        <v>940</v>
      </c>
      <c r="AC282" s="69"/>
    </row>
    <row r="283" spans="1:29" ht="16.5" customHeight="1" x14ac:dyDescent="0.3">
      <c r="A283" s="2">
        <v>15</v>
      </c>
      <c r="B283" s="2">
        <v>9115</v>
      </c>
      <c r="C283" s="60" t="s">
        <v>9338</v>
      </c>
      <c r="D283" s="1"/>
      <c r="E283" s="68"/>
      <c r="F283" s="70"/>
      <c r="G283" s="1"/>
      <c r="H283" s="68"/>
      <c r="I283" s="70"/>
      <c r="J283" s="61"/>
      <c r="K283" s="62"/>
      <c r="L283" s="63"/>
      <c r="M283" s="85"/>
      <c r="N283" s="64"/>
      <c r="O283" s="65"/>
      <c r="P283" s="99"/>
      <c r="Q283" s="70"/>
      <c r="R283" s="99"/>
      <c r="S283" s="70"/>
      <c r="T283" s="74" t="s">
        <v>18025</v>
      </c>
      <c r="U283" s="62"/>
      <c r="V283" s="63"/>
      <c r="W283" s="75"/>
      <c r="X283" s="67"/>
      <c r="Y283" s="68" t="s">
        <v>1</v>
      </c>
      <c r="Z283" s="76">
        <v>0.2</v>
      </c>
      <c r="AA283" s="70" t="s">
        <v>422</v>
      </c>
      <c r="AB283" s="228">
        <f>ROUND((ROUND((ROUND((_15_同援日１．５*(1+_15・A深夜)),0)*(1+_15・盲ろう)),0)*(1+_15・区３)),0)+ROUND((ROUND((ROUND((_15_同援日１．５＿１．５*(1+_15・B早朝)),0)*(1+_15・盲ろう)),0)*(1+_15・区３)),0)</f>
        <v>1306</v>
      </c>
      <c r="AC283" s="69"/>
    </row>
    <row r="284" spans="1:29" ht="16.5" customHeight="1" x14ac:dyDescent="0.3">
      <c r="A284" s="2">
        <v>15</v>
      </c>
      <c r="B284" s="2">
        <v>9116</v>
      </c>
      <c r="C284" s="60" t="s">
        <v>9337</v>
      </c>
      <c r="D284" s="1"/>
      <c r="E284" s="68"/>
      <c r="F284" s="70"/>
      <c r="G284" s="1"/>
      <c r="H284" s="68"/>
      <c r="I284" s="70"/>
      <c r="J284" s="66"/>
      <c r="K284" s="57"/>
      <c r="L284" s="58"/>
      <c r="M284" s="83" t="s">
        <v>5895</v>
      </c>
      <c r="N284" s="64" t="s">
        <v>1</v>
      </c>
      <c r="O284" s="65">
        <v>1</v>
      </c>
      <c r="P284" s="99"/>
      <c r="Q284" s="70"/>
      <c r="R284" s="99"/>
      <c r="S284" s="70"/>
      <c r="T284" s="94" t="s">
        <v>18024</v>
      </c>
      <c r="U284" s="68"/>
      <c r="V284" s="76"/>
      <c r="W284" s="70"/>
      <c r="X284" s="67"/>
      <c r="Y284" s="68"/>
      <c r="Z284" s="76"/>
      <c r="AA284" s="70"/>
      <c r="AB284" s="228">
        <f>ROUND((ROUND((ROUND((ROUND((_15_同援日１．５*_15・２人),0)*(1+_15・A深夜)),0)*(1+_15・盲ろう)),0)*(1+_15・区３)),0)+ROUND((ROUND((ROUND((ROUND((_15_同援日１．５＿１．５*_15・２人),0)*(1+_15・B早朝)),0)*(1+_15・盲ろう)),0)*(1+_15・区３)),0)</f>
        <v>1306</v>
      </c>
      <c r="AC284" s="69"/>
    </row>
    <row r="285" spans="1:29" ht="16.5" customHeight="1" x14ac:dyDescent="0.3">
      <c r="A285" s="2">
        <v>15</v>
      </c>
      <c r="B285" s="2">
        <v>9117</v>
      </c>
      <c r="C285" s="60" t="s">
        <v>9336</v>
      </c>
      <c r="D285" s="1"/>
      <c r="E285" s="68"/>
      <c r="F285" s="70"/>
      <c r="G285" s="1"/>
      <c r="H285" s="68"/>
      <c r="I285" s="70"/>
      <c r="J285" s="74" t="s">
        <v>16971</v>
      </c>
      <c r="K285" s="62"/>
      <c r="L285" s="63"/>
      <c r="M285" s="85"/>
      <c r="N285" s="64"/>
      <c r="O285" s="65"/>
      <c r="P285" s="99"/>
      <c r="Q285" s="70"/>
      <c r="R285" s="99"/>
      <c r="S285" s="70"/>
      <c r="T285" s="67"/>
      <c r="U285" s="68" t="s">
        <v>1</v>
      </c>
      <c r="V285" s="76">
        <v>0.25</v>
      </c>
      <c r="W285" s="70" t="s">
        <v>422</v>
      </c>
      <c r="X285" s="67"/>
      <c r="Y285" s="68"/>
      <c r="Z285" s="76"/>
      <c r="AA285" s="70"/>
      <c r="AB285" s="228">
        <f>ROUND((ROUND((ROUND((ROUND((_15_同援日１．５*_15・基礎２),0)*(1+_15・A深夜)),0)*(1+_15・盲ろう)),0)*(1+_15・区３)),0)+ROUND((ROUND((ROUND((ROUND((_15_同援日１．５＿１．５*_15・基礎２),0)*(1+_15・B早朝)),0)*(1+_15・盲ろう)),0)*(1+_15・区３)),0)</f>
        <v>1175</v>
      </c>
      <c r="AC285" s="69"/>
    </row>
    <row r="286" spans="1:29" ht="16.5" customHeight="1" x14ac:dyDescent="0.3">
      <c r="A286" s="2">
        <v>15</v>
      </c>
      <c r="B286" s="2">
        <v>9118</v>
      </c>
      <c r="C286" s="60" t="s">
        <v>9335</v>
      </c>
      <c r="D286" s="1"/>
      <c r="E286" s="68"/>
      <c r="F286" s="70"/>
      <c r="G286" s="1"/>
      <c r="H286" s="68"/>
      <c r="I286" s="70"/>
      <c r="J286" s="106" t="s">
        <v>16970</v>
      </c>
      <c r="K286" s="57" t="s">
        <v>1</v>
      </c>
      <c r="L286" s="58">
        <v>0.9</v>
      </c>
      <c r="M286" s="83" t="s">
        <v>5895</v>
      </c>
      <c r="N286" s="64" t="s">
        <v>1</v>
      </c>
      <c r="O286" s="65">
        <v>1</v>
      </c>
      <c r="P286" s="99"/>
      <c r="Q286" s="70"/>
      <c r="R286" s="99"/>
      <c r="S286" s="70"/>
      <c r="T286" s="66"/>
      <c r="U286" s="57"/>
      <c r="V286" s="58"/>
      <c r="W286" s="77"/>
      <c r="X286" s="66"/>
      <c r="Y286" s="57"/>
      <c r="Z286" s="58"/>
      <c r="AA286" s="77"/>
      <c r="AB286" s="228">
        <f>ROUND((ROUND((ROUND((ROUND((ROUND((_15_同援日１．５*_15・基礎２),0)*_15・２人),0)*(1+_15・A深夜)),0)*(1+_15・盲ろう)),0)*(1+_15・区３)),0)+ROUND((ROUND((ROUND((ROUND((ROUND((_15_同援日１．５＿１．５*_15・基礎２),0)*_15・２人),0)*(1+_15・B早朝)),0)*(1+_15・盲ろう)),0)*(1+_15・区３)),0)</f>
        <v>1175</v>
      </c>
      <c r="AC286" s="69"/>
    </row>
    <row r="287" spans="1:29" ht="16.5" customHeight="1" x14ac:dyDescent="0.3">
      <c r="A287" s="2">
        <v>15</v>
      </c>
      <c r="B287" s="2">
        <v>9119</v>
      </c>
      <c r="C287" s="60" t="s">
        <v>9334</v>
      </c>
      <c r="D287" s="1"/>
      <c r="E287" s="68"/>
      <c r="F287" s="70"/>
      <c r="G287" s="1"/>
      <c r="H287" s="68"/>
      <c r="I287" s="70"/>
      <c r="J287" s="61"/>
      <c r="K287" s="62"/>
      <c r="L287" s="63"/>
      <c r="M287" s="85"/>
      <c r="N287" s="64"/>
      <c r="O287" s="65"/>
      <c r="P287" s="99"/>
      <c r="Q287" s="70"/>
      <c r="R287" s="99"/>
      <c r="S287" s="70"/>
      <c r="T287" s="61"/>
      <c r="U287" s="62"/>
      <c r="V287" s="63"/>
      <c r="W287" s="75"/>
      <c r="X287" s="61"/>
      <c r="Y287" s="62"/>
      <c r="Z287" s="63"/>
      <c r="AA287" s="75"/>
      <c r="AB287" s="228">
        <f>ROUND((ROUND((_15_同援日１．５*(1+_15・A深夜)),0)*(1+_15・区４)),0)+ROUND((ROUND((_15_同援日１．５＿１．５*(1+_15・B早朝)),0)*(1+_15・区４)),0)</f>
        <v>1218</v>
      </c>
      <c r="AC287" s="69"/>
    </row>
    <row r="288" spans="1:29" ht="16.5" customHeight="1" x14ac:dyDescent="0.3">
      <c r="A288" s="2">
        <v>15</v>
      </c>
      <c r="B288" s="2">
        <v>9120</v>
      </c>
      <c r="C288" s="60" t="s">
        <v>9333</v>
      </c>
      <c r="D288" s="1"/>
      <c r="E288" s="68"/>
      <c r="F288" s="70"/>
      <c r="G288" s="1"/>
      <c r="H288" s="68"/>
      <c r="I288" s="70"/>
      <c r="J288" s="66"/>
      <c r="K288" s="57"/>
      <c r="L288" s="58"/>
      <c r="M288" s="83" t="s">
        <v>5895</v>
      </c>
      <c r="N288" s="64" t="s">
        <v>1</v>
      </c>
      <c r="O288" s="65">
        <v>1</v>
      </c>
      <c r="P288" s="99"/>
      <c r="Q288" s="70"/>
      <c r="R288" s="99"/>
      <c r="S288" s="70"/>
      <c r="T288" s="67"/>
      <c r="U288" s="68"/>
      <c r="V288" s="76"/>
      <c r="W288" s="70"/>
      <c r="X288" s="67"/>
      <c r="Y288" s="68"/>
      <c r="Z288" s="76"/>
      <c r="AA288" s="70"/>
      <c r="AB288" s="228">
        <f>ROUND((ROUND((ROUND((_15_同援日１．５*_15・２人),0)*(1+_15・A深夜)),0)*(1+_15・区４)),0)+ROUND((ROUND((ROUND((_15_同援日１．５＿１．５*_15・２人),0)*(1+_15・B早朝)),0)*(1+_15・区４)),0)</f>
        <v>1218</v>
      </c>
      <c r="AC288" s="69"/>
    </row>
    <row r="289" spans="1:29" ht="16.5" customHeight="1" x14ac:dyDescent="0.3">
      <c r="A289" s="2">
        <v>15</v>
      </c>
      <c r="B289" s="2">
        <v>9121</v>
      </c>
      <c r="C289" s="60" t="s">
        <v>9332</v>
      </c>
      <c r="D289" s="1"/>
      <c r="E289" s="68"/>
      <c r="F289" s="70"/>
      <c r="G289" s="1"/>
      <c r="H289" s="68"/>
      <c r="I289" s="70"/>
      <c r="J289" s="74" t="s">
        <v>5898</v>
      </c>
      <c r="K289" s="62"/>
      <c r="L289" s="63"/>
      <c r="M289" s="85"/>
      <c r="N289" s="64"/>
      <c r="O289" s="65"/>
      <c r="P289" s="99"/>
      <c r="Q289" s="70"/>
      <c r="R289" s="99"/>
      <c r="S289" s="70"/>
      <c r="T289" s="67"/>
      <c r="U289" s="68"/>
      <c r="V289" s="76"/>
      <c r="W289" s="70"/>
      <c r="X289" s="1" t="s">
        <v>18027</v>
      </c>
      <c r="Y289" s="68"/>
      <c r="Z289" s="76"/>
      <c r="AA289" s="70"/>
      <c r="AB289" s="228">
        <f>ROUND((ROUND((ROUND((_15_同援日１．５*_15・基礎２),0)*(1+_15・A深夜)),0)*(1+_15・区４)),0)+ROUND((ROUND((ROUND((_15_同援日１．５＿１．５*_15・基礎２),0)*(1+_15・B早朝)),0)*(1+_15・区４)),0)</f>
        <v>1097</v>
      </c>
      <c r="AC289" s="69"/>
    </row>
    <row r="290" spans="1:29" ht="16.5" customHeight="1" x14ac:dyDescent="0.3">
      <c r="A290" s="2">
        <v>15</v>
      </c>
      <c r="B290" s="2">
        <v>9122</v>
      </c>
      <c r="C290" s="60" t="s">
        <v>9331</v>
      </c>
      <c r="D290" s="1"/>
      <c r="E290" s="68"/>
      <c r="F290" s="70"/>
      <c r="G290" s="1"/>
      <c r="H290" s="68"/>
      <c r="I290" s="70"/>
      <c r="J290" s="106" t="s">
        <v>16970</v>
      </c>
      <c r="K290" s="57" t="s">
        <v>1</v>
      </c>
      <c r="L290" s="58">
        <v>0.9</v>
      </c>
      <c r="M290" s="83" t="s">
        <v>5895</v>
      </c>
      <c r="N290" s="64" t="s">
        <v>1</v>
      </c>
      <c r="O290" s="65">
        <v>1</v>
      </c>
      <c r="P290" s="99"/>
      <c r="Q290" s="70"/>
      <c r="R290" s="99"/>
      <c r="S290" s="70"/>
      <c r="T290" s="66"/>
      <c r="U290" s="57"/>
      <c r="V290" s="58"/>
      <c r="W290" s="77"/>
      <c r="X290" s="1" t="s">
        <v>8087</v>
      </c>
      <c r="Y290" s="68"/>
      <c r="Z290" s="76"/>
      <c r="AA290" s="70"/>
      <c r="AB290" s="228">
        <f>ROUND((ROUND((ROUND((ROUND((_15_同援日１．５*_15・基礎２),0)*_15・２人),0)*(1+_15・A深夜)),0)*(1+_15・区４)),0)+ROUND((ROUND((ROUND((ROUND((_15_同援日１．５＿１．５*_15・基礎２),0)*_15・２人),0)*(1+_15・B早朝)),0)*(1+_15・区４)),0)</f>
        <v>1097</v>
      </c>
      <c r="AC290" s="69"/>
    </row>
    <row r="291" spans="1:29" ht="16.5" customHeight="1" x14ac:dyDescent="0.3">
      <c r="A291" s="2">
        <v>15</v>
      </c>
      <c r="B291" s="2">
        <v>9123</v>
      </c>
      <c r="C291" s="60" t="s">
        <v>9330</v>
      </c>
      <c r="D291" s="1"/>
      <c r="E291" s="68"/>
      <c r="F291" s="70"/>
      <c r="G291" s="1"/>
      <c r="H291" s="68"/>
      <c r="I291" s="70"/>
      <c r="J291" s="61"/>
      <c r="K291" s="62"/>
      <c r="L291" s="63"/>
      <c r="M291" s="85"/>
      <c r="N291" s="64"/>
      <c r="O291" s="65"/>
      <c r="P291" s="99"/>
      <c r="Q291" s="70"/>
      <c r="R291" s="99"/>
      <c r="S291" s="70"/>
      <c r="T291" s="74" t="s">
        <v>18025</v>
      </c>
      <c r="U291" s="62"/>
      <c r="V291" s="63"/>
      <c r="W291" s="75"/>
      <c r="X291" s="67"/>
      <c r="Y291" s="68" t="s">
        <v>1</v>
      </c>
      <c r="Z291" s="76">
        <v>0.4</v>
      </c>
      <c r="AA291" s="70" t="s">
        <v>422</v>
      </c>
      <c r="AB291" s="228">
        <f>ROUND((ROUND((ROUND((_15_同援日１．５*(1+_15・A深夜)),0)*(1+_15・盲ろう)),0)*(1+_15・区４)),0)+ROUND((ROUND((ROUND((_15_同援日１．５＿１．５*(1+_15・B早朝)),0)*(1+_15・盲ろう)),0)*(1+_15・区４)),0)</f>
        <v>1523</v>
      </c>
      <c r="AC291" s="69"/>
    </row>
    <row r="292" spans="1:29" ht="16.5" customHeight="1" x14ac:dyDescent="0.3">
      <c r="A292" s="2">
        <v>15</v>
      </c>
      <c r="B292" s="2">
        <v>9124</v>
      </c>
      <c r="C292" s="60" t="s">
        <v>9329</v>
      </c>
      <c r="D292" s="1"/>
      <c r="E292" s="68"/>
      <c r="F292" s="70"/>
      <c r="G292" s="1"/>
      <c r="H292" s="68"/>
      <c r="I292" s="70"/>
      <c r="J292" s="66"/>
      <c r="K292" s="57"/>
      <c r="L292" s="58"/>
      <c r="M292" s="83" t="s">
        <v>5895</v>
      </c>
      <c r="N292" s="64" t="s">
        <v>1</v>
      </c>
      <c r="O292" s="65">
        <v>1</v>
      </c>
      <c r="P292" s="99"/>
      <c r="Q292" s="70"/>
      <c r="R292" s="99"/>
      <c r="S292" s="70"/>
      <c r="T292" s="94" t="s">
        <v>18024</v>
      </c>
      <c r="U292" s="68"/>
      <c r="V292" s="76"/>
      <c r="W292" s="70"/>
      <c r="X292" s="67"/>
      <c r="Y292" s="68"/>
      <c r="Z292" s="76"/>
      <c r="AA292" s="70"/>
      <c r="AB292" s="228">
        <f>ROUND((ROUND((ROUND((ROUND((_15_同援日１．５*_15・２人),0)*(1+_15・A深夜)),0)*(1+_15・盲ろう)),0)*(1+_15・区４)),0)+ROUND((ROUND((ROUND((ROUND((_15_同援日１．５＿１．５*_15・２人),0)*(1+_15・B早朝)),0)*(1+_15・盲ろう)),0)*(1+_15・区４)),0)</f>
        <v>1523</v>
      </c>
      <c r="AC292" s="69"/>
    </row>
    <row r="293" spans="1:29" ht="16.5" customHeight="1" x14ac:dyDescent="0.3">
      <c r="A293" s="2">
        <v>15</v>
      </c>
      <c r="B293" s="2">
        <v>9125</v>
      </c>
      <c r="C293" s="60" t="s">
        <v>9328</v>
      </c>
      <c r="D293" s="1"/>
      <c r="E293" s="68"/>
      <c r="F293" s="70"/>
      <c r="G293" s="1"/>
      <c r="H293" s="68"/>
      <c r="I293" s="70"/>
      <c r="J293" s="74" t="s">
        <v>16971</v>
      </c>
      <c r="K293" s="62"/>
      <c r="L293" s="63"/>
      <c r="M293" s="85"/>
      <c r="N293" s="64"/>
      <c r="O293" s="65"/>
      <c r="P293" s="99"/>
      <c r="Q293" s="70"/>
      <c r="R293" s="99"/>
      <c r="S293" s="70"/>
      <c r="T293" s="67"/>
      <c r="U293" s="68" t="s">
        <v>1</v>
      </c>
      <c r="V293" s="76">
        <v>0.25</v>
      </c>
      <c r="W293" s="70" t="s">
        <v>422</v>
      </c>
      <c r="X293" s="67"/>
      <c r="Y293" s="68"/>
      <c r="Z293" s="76"/>
      <c r="AA293" s="70"/>
      <c r="AB293" s="228">
        <f>ROUND((ROUND((ROUND((ROUND((_15_同援日１．５*_15・基礎２),0)*(1+_15・A深夜)),0)*(1+_15・盲ろう)),0)*(1+_15・区４)),0)+ROUND((ROUND((ROUND((ROUND((_15_同援日１．５＿１．５*_15・基礎２),0)*(1+_15・B早朝)),0)*(1+_15・盲ろう)),0)*(1+_15・区４)),0)</f>
        <v>1370</v>
      </c>
      <c r="AC293" s="69"/>
    </row>
    <row r="294" spans="1:29" ht="16.5" customHeight="1" x14ac:dyDescent="0.3">
      <c r="A294" s="2">
        <v>15</v>
      </c>
      <c r="B294" s="2">
        <v>9126</v>
      </c>
      <c r="C294" s="60" t="s">
        <v>9327</v>
      </c>
      <c r="D294" s="81"/>
      <c r="E294" s="57"/>
      <c r="F294" s="77"/>
      <c r="G294" s="81"/>
      <c r="H294" s="57"/>
      <c r="I294" s="77"/>
      <c r="J294" s="106" t="s">
        <v>16970</v>
      </c>
      <c r="K294" s="57" t="s">
        <v>1</v>
      </c>
      <c r="L294" s="58">
        <v>0.9</v>
      </c>
      <c r="M294" s="83" t="s">
        <v>5895</v>
      </c>
      <c r="N294" s="64" t="s">
        <v>1</v>
      </c>
      <c r="O294" s="65">
        <v>1</v>
      </c>
      <c r="P294" s="99"/>
      <c r="Q294" s="70"/>
      <c r="R294" s="99"/>
      <c r="S294" s="70"/>
      <c r="T294" s="66"/>
      <c r="U294" s="57"/>
      <c r="V294" s="58"/>
      <c r="W294" s="77"/>
      <c r="X294" s="66"/>
      <c r="Y294" s="57"/>
      <c r="Z294" s="58"/>
      <c r="AA294" s="77"/>
      <c r="AB294" s="228">
        <f>ROUND((ROUND((ROUND((ROUND((ROUND((_15_同援日１．５*_15・基礎２),0)*_15・２人),0)*(1+_15・A深夜)),0)*(1+_15・盲ろう)),0)*(1+_15・区４)),0)+ROUND((ROUND((ROUND((ROUND((ROUND((_15_同援日１．５＿１．５*_15・基礎２),0)*_15・２人),0)*(1+_15・B早朝)),0)*(1+_15・盲ろう)),0)*(1+_15・区４)),0)</f>
        <v>1370</v>
      </c>
      <c r="AC294" s="69"/>
    </row>
    <row r="295" spans="1:29" ht="16.5" customHeight="1" x14ac:dyDescent="0.3">
      <c r="A295" s="2">
        <v>15</v>
      </c>
      <c r="B295" s="2">
        <v>9127</v>
      </c>
      <c r="C295" s="60" t="s">
        <v>9326</v>
      </c>
      <c r="D295" s="233" t="s">
        <v>18030</v>
      </c>
      <c r="E295" s="62"/>
      <c r="F295" s="75"/>
      <c r="G295" s="233" t="s">
        <v>16993</v>
      </c>
      <c r="H295" s="62"/>
      <c r="I295" s="75"/>
      <c r="J295" s="61"/>
      <c r="K295" s="62"/>
      <c r="L295" s="63"/>
      <c r="M295" s="85"/>
      <c r="N295" s="64"/>
      <c r="O295" s="65"/>
      <c r="P295" s="99"/>
      <c r="Q295" s="70"/>
      <c r="R295" s="99"/>
      <c r="S295" s="70"/>
      <c r="T295" s="61"/>
      <c r="U295" s="62"/>
      <c r="V295" s="63"/>
      <c r="W295" s="75"/>
      <c r="X295" s="61"/>
      <c r="Y295" s="62"/>
      <c r="Z295" s="63"/>
      <c r="AA295" s="75"/>
      <c r="AB295" s="228">
        <f>ROUND((_15_同援日２．０*(1+_15・A深夜)),0)+ROUND((_15_同援日２．０＿０．５*(1+_15・B早朝)),0)</f>
        <v>807</v>
      </c>
      <c r="AC295" s="69"/>
    </row>
    <row r="296" spans="1:29" ht="16.5" customHeight="1" x14ac:dyDescent="0.3">
      <c r="A296" s="2">
        <v>15</v>
      </c>
      <c r="B296" s="2">
        <v>9128</v>
      </c>
      <c r="C296" s="60" t="s">
        <v>9325</v>
      </c>
      <c r="D296" s="1" t="s">
        <v>16981</v>
      </c>
      <c r="E296" s="68"/>
      <c r="F296" s="70"/>
      <c r="G296" s="1" t="s">
        <v>7928</v>
      </c>
      <c r="H296" s="68"/>
      <c r="I296" s="70"/>
      <c r="J296" s="66"/>
      <c r="K296" s="57"/>
      <c r="L296" s="58"/>
      <c r="M296" s="83" t="s">
        <v>5895</v>
      </c>
      <c r="N296" s="64" t="s">
        <v>1</v>
      </c>
      <c r="O296" s="65">
        <v>1</v>
      </c>
      <c r="P296" s="99"/>
      <c r="Q296" s="70"/>
      <c r="R296" s="99"/>
      <c r="S296" s="70"/>
      <c r="T296" s="67"/>
      <c r="U296" s="68"/>
      <c r="V296" s="76"/>
      <c r="W296" s="70"/>
      <c r="X296" s="67"/>
      <c r="Y296" s="68"/>
      <c r="Z296" s="76"/>
      <c r="AA296" s="70"/>
      <c r="AB296" s="228">
        <f>ROUND((ROUND((_15_同援日２．０*_15・２人),0)*(1+_15・A深夜)),0)+ROUND((ROUND((_15_同援日２．０＿０．５*_15・２人),0)*(1+_15・B早朝)),0)</f>
        <v>807</v>
      </c>
      <c r="AC296" s="69"/>
    </row>
    <row r="297" spans="1:29" ht="16.5" customHeight="1" x14ac:dyDescent="0.3">
      <c r="A297" s="2">
        <v>15</v>
      </c>
      <c r="B297" s="2">
        <v>9129</v>
      </c>
      <c r="C297" s="60" t="s">
        <v>9324</v>
      </c>
      <c r="D297" s="1" t="s">
        <v>6448</v>
      </c>
      <c r="E297" s="68"/>
      <c r="F297" s="70"/>
      <c r="G297" s="1"/>
      <c r="H297" s="68"/>
      <c r="I297" s="70"/>
      <c r="J297" s="74" t="s">
        <v>16971</v>
      </c>
      <c r="K297" s="62"/>
      <c r="L297" s="63"/>
      <c r="M297" s="85"/>
      <c r="N297" s="64"/>
      <c r="O297" s="65"/>
      <c r="P297" s="99"/>
      <c r="Q297" s="70"/>
      <c r="R297" s="99"/>
      <c r="S297" s="70"/>
      <c r="T297" s="67"/>
      <c r="U297" s="68"/>
      <c r="V297" s="76"/>
      <c r="W297" s="70"/>
      <c r="X297" s="67"/>
      <c r="Y297" s="68"/>
      <c r="Z297" s="76"/>
      <c r="AA297" s="70"/>
      <c r="AB297" s="228">
        <f>ROUND((ROUND((_15_同援日２．０*_15・基礎２),0)*(1+_15・A深夜)),0)+ROUND((ROUND((_15_同援日２．０＿０．５*_15・基礎２),0)*(1+_15・B早朝)),0)</f>
        <v>727</v>
      </c>
      <c r="AC297" s="69"/>
    </row>
    <row r="298" spans="1:29" ht="16.5" customHeight="1" x14ac:dyDescent="0.3">
      <c r="A298" s="2">
        <v>15</v>
      </c>
      <c r="B298" s="2">
        <v>9130</v>
      </c>
      <c r="C298" s="60" t="s">
        <v>9323</v>
      </c>
      <c r="D298" s="1"/>
      <c r="E298" s="227">
        <v>485</v>
      </c>
      <c r="F298" s="70" t="s">
        <v>0</v>
      </c>
      <c r="G298" s="1"/>
      <c r="H298" s="119">
        <v>63</v>
      </c>
      <c r="I298" s="70" t="s">
        <v>0</v>
      </c>
      <c r="J298" s="106" t="s">
        <v>16970</v>
      </c>
      <c r="K298" s="57" t="s">
        <v>1</v>
      </c>
      <c r="L298" s="58">
        <v>0.9</v>
      </c>
      <c r="M298" s="83" t="s">
        <v>5895</v>
      </c>
      <c r="N298" s="64" t="s">
        <v>1</v>
      </c>
      <c r="O298" s="65">
        <v>1</v>
      </c>
      <c r="P298" s="99"/>
      <c r="Q298" s="70"/>
      <c r="R298" s="99"/>
      <c r="S298" s="70"/>
      <c r="T298" s="66"/>
      <c r="U298" s="57"/>
      <c r="V298" s="58"/>
      <c r="W298" s="77"/>
      <c r="X298" s="67"/>
      <c r="Y298" s="68"/>
      <c r="Z298" s="76"/>
      <c r="AA298" s="70"/>
      <c r="AB298" s="228">
        <f>ROUND((ROUND((ROUND((_15_同援日２．０*_15・基礎２),0)*_15・２人),0)*(1+_15・A深夜)),0)+ROUND((ROUND((ROUND((_15_同援日２．０＿０．５*_15・基礎２),0)*_15・２人),0)*(1+_15・B早朝)),0)</f>
        <v>727</v>
      </c>
      <c r="AC298" s="69"/>
    </row>
    <row r="299" spans="1:29" ht="16.5" customHeight="1" x14ac:dyDescent="0.3">
      <c r="A299" s="2">
        <v>15</v>
      </c>
      <c r="B299" s="2">
        <v>9131</v>
      </c>
      <c r="C299" s="60" t="s">
        <v>9322</v>
      </c>
      <c r="D299" s="1"/>
      <c r="E299" s="68"/>
      <c r="F299" s="70"/>
      <c r="G299" s="1"/>
      <c r="H299" s="68"/>
      <c r="I299" s="70"/>
      <c r="J299" s="61"/>
      <c r="K299" s="62"/>
      <c r="L299" s="63"/>
      <c r="M299" s="85"/>
      <c r="N299" s="64"/>
      <c r="O299" s="65"/>
      <c r="P299" s="99"/>
      <c r="Q299" s="70"/>
      <c r="R299" s="99"/>
      <c r="S299" s="70"/>
      <c r="T299" s="74" t="s">
        <v>18025</v>
      </c>
      <c r="U299" s="62"/>
      <c r="V299" s="63"/>
      <c r="W299" s="75"/>
      <c r="X299" s="67"/>
      <c r="Y299" s="68"/>
      <c r="Z299" s="76"/>
      <c r="AA299" s="70"/>
      <c r="AB299" s="228">
        <f>ROUND((ROUND((_15_同援日２．０*(1+_15・A深夜)),0)*(1+_15・盲ろう)),0)+ROUND((ROUND((_15_同援日２．０＿０．５*(1+_15・B早朝)),0)*(1+_15・盲ろう)),0)</f>
        <v>1009</v>
      </c>
      <c r="AC299" s="69"/>
    </row>
    <row r="300" spans="1:29" ht="16.5" customHeight="1" x14ac:dyDescent="0.3">
      <c r="A300" s="2">
        <v>15</v>
      </c>
      <c r="B300" s="2">
        <v>9132</v>
      </c>
      <c r="C300" s="60" t="s">
        <v>9321</v>
      </c>
      <c r="D300" s="1"/>
      <c r="E300" s="68"/>
      <c r="F300" s="70"/>
      <c r="G300" s="1"/>
      <c r="H300" s="68"/>
      <c r="I300" s="70"/>
      <c r="J300" s="66"/>
      <c r="K300" s="57"/>
      <c r="L300" s="58"/>
      <c r="M300" s="83" t="s">
        <v>5895</v>
      </c>
      <c r="N300" s="64" t="s">
        <v>1</v>
      </c>
      <c r="O300" s="65">
        <v>1</v>
      </c>
      <c r="P300" s="99"/>
      <c r="Q300" s="70"/>
      <c r="R300" s="99"/>
      <c r="S300" s="70"/>
      <c r="T300" s="94" t="s">
        <v>18024</v>
      </c>
      <c r="U300" s="68"/>
      <c r="V300" s="76"/>
      <c r="W300" s="70"/>
      <c r="X300" s="67"/>
      <c r="Y300" s="68"/>
      <c r="Z300" s="76"/>
      <c r="AA300" s="70"/>
      <c r="AB300" s="228">
        <f>ROUND((ROUND((ROUND((_15_同援日２．０*_15・２人),0)*(1+_15・A深夜)),0)*(1+_15・盲ろう)),0)+ROUND((ROUND((ROUND((_15_同援日２．０＿０．５*_15・２人),0)*(1+_15・B早朝)),0)*(1+_15・盲ろう)),0)</f>
        <v>1009</v>
      </c>
      <c r="AC300" s="69"/>
    </row>
    <row r="301" spans="1:29" ht="16.5" customHeight="1" x14ac:dyDescent="0.3">
      <c r="A301" s="2">
        <v>15</v>
      </c>
      <c r="B301" s="2">
        <v>9133</v>
      </c>
      <c r="C301" s="60" t="s">
        <v>9320</v>
      </c>
      <c r="D301" s="1"/>
      <c r="E301" s="68"/>
      <c r="F301" s="70"/>
      <c r="G301" s="1"/>
      <c r="H301" s="68"/>
      <c r="I301" s="70"/>
      <c r="J301" s="74" t="s">
        <v>16971</v>
      </c>
      <c r="K301" s="62"/>
      <c r="L301" s="63"/>
      <c r="M301" s="85"/>
      <c r="N301" s="64"/>
      <c r="O301" s="65"/>
      <c r="P301" s="99"/>
      <c r="Q301" s="70"/>
      <c r="R301" s="99"/>
      <c r="S301" s="70"/>
      <c r="T301" s="67"/>
      <c r="U301" s="68" t="s">
        <v>1</v>
      </c>
      <c r="V301" s="76">
        <v>0.25</v>
      </c>
      <c r="W301" s="70" t="s">
        <v>422</v>
      </c>
      <c r="X301" s="67"/>
      <c r="Y301" s="68"/>
      <c r="Z301" s="76"/>
      <c r="AA301" s="70"/>
      <c r="AB301" s="228">
        <f>ROUND((ROUND((ROUND((_15_同援日２．０*_15・基礎２),0)*(1+_15・A深夜)),0)*(1+_15・盲ろう)),0)+ROUND((ROUND((ROUND((_15_同援日２．０＿０．５*_15・基礎２),0)*(1+_15・B早朝)),0)*(1+_15・盲ろう)),0)</f>
        <v>909</v>
      </c>
      <c r="AC301" s="69"/>
    </row>
    <row r="302" spans="1:29" ht="16.5" customHeight="1" x14ac:dyDescent="0.3">
      <c r="A302" s="2">
        <v>15</v>
      </c>
      <c r="B302" s="2">
        <v>9134</v>
      </c>
      <c r="C302" s="60" t="s">
        <v>9319</v>
      </c>
      <c r="D302" s="1"/>
      <c r="E302" s="68"/>
      <c r="F302" s="70"/>
      <c r="G302" s="1"/>
      <c r="H302" s="68"/>
      <c r="I302" s="70"/>
      <c r="J302" s="106" t="s">
        <v>16970</v>
      </c>
      <c r="K302" s="57" t="s">
        <v>1</v>
      </c>
      <c r="L302" s="58">
        <v>0.9</v>
      </c>
      <c r="M302" s="83" t="s">
        <v>5895</v>
      </c>
      <c r="N302" s="64" t="s">
        <v>1</v>
      </c>
      <c r="O302" s="65">
        <v>1</v>
      </c>
      <c r="P302" s="99"/>
      <c r="Q302" s="70"/>
      <c r="R302" s="99"/>
      <c r="S302" s="70"/>
      <c r="T302" s="66"/>
      <c r="U302" s="57"/>
      <c r="V302" s="58"/>
      <c r="W302" s="77"/>
      <c r="X302" s="66"/>
      <c r="Y302" s="57"/>
      <c r="Z302" s="58"/>
      <c r="AA302" s="77"/>
      <c r="AB302" s="228">
        <f>ROUND((ROUND((ROUND((ROUND((_15_同援日２．０*_15・基礎２),0)*_15・２人),0)*(1+_15・A深夜)),0)*(1+_15・盲ろう)),0)+ROUND((ROUND((ROUND((ROUND((_15_同援日２．０＿０．５*_15・基礎２),0)*_15・２人),0)*(1+_15・B早朝)),0)*(1+_15・盲ろう)),0)</f>
        <v>909</v>
      </c>
      <c r="AC302" s="69"/>
    </row>
    <row r="303" spans="1:29" ht="16.5" customHeight="1" x14ac:dyDescent="0.3">
      <c r="A303" s="2">
        <v>15</v>
      </c>
      <c r="B303" s="2">
        <v>9135</v>
      </c>
      <c r="C303" s="60" t="s">
        <v>9318</v>
      </c>
      <c r="D303" s="1"/>
      <c r="E303" s="68"/>
      <c r="F303" s="70"/>
      <c r="G303" s="1"/>
      <c r="H303" s="68"/>
      <c r="I303" s="70"/>
      <c r="J303" s="61"/>
      <c r="K303" s="62"/>
      <c r="L303" s="63"/>
      <c r="M303" s="85"/>
      <c r="N303" s="64"/>
      <c r="O303" s="65"/>
      <c r="P303" s="99"/>
      <c r="Q303" s="70"/>
      <c r="R303" s="99"/>
      <c r="S303" s="70"/>
      <c r="T303" s="61"/>
      <c r="U303" s="62"/>
      <c r="V303" s="63"/>
      <c r="W303" s="75"/>
      <c r="X303" s="61"/>
      <c r="Y303" s="62"/>
      <c r="Z303" s="63"/>
      <c r="AA303" s="75"/>
      <c r="AB303" s="228">
        <f>ROUND((ROUND((_15_同援日２．０*(1+_15・A深夜)),0)*(1+_15・区３)),0)+ROUND((ROUND((_15_同援日２．０＿０．５*(1+_15・B早朝)),0)*(1+_15・区３)),0)</f>
        <v>969</v>
      </c>
      <c r="AC303" s="69"/>
    </row>
    <row r="304" spans="1:29" ht="16.5" customHeight="1" x14ac:dyDescent="0.3">
      <c r="A304" s="2">
        <v>15</v>
      </c>
      <c r="B304" s="2">
        <v>9136</v>
      </c>
      <c r="C304" s="60" t="s">
        <v>9317</v>
      </c>
      <c r="D304" s="1"/>
      <c r="E304" s="68"/>
      <c r="F304" s="70"/>
      <c r="G304" s="1"/>
      <c r="H304" s="68"/>
      <c r="I304" s="70"/>
      <c r="J304" s="66"/>
      <c r="K304" s="57"/>
      <c r="L304" s="58"/>
      <c r="M304" s="83" t="s">
        <v>5895</v>
      </c>
      <c r="N304" s="64" t="s">
        <v>1</v>
      </c>
      <c r="O304" s="65">
        <v>1</v>
      </c>
      <c r="P304" s="99"/>
      <c r="Q304" s="70"/>
      <c r="R304" s="99"/>
      <c r="S304" s="70"/>
      <c r="T304" s="67"/>
      <c r="U304" s="68"/>
      <c r="V304" s="76"/>
      <c r="W304" s="70"/>
      <c r="X304" s="67"/>
      <c r="Y304" s="68"/>
      <c r="Z304" s="76"/>
      <c r="AA304" s="70"/>
      <c r="AB304" s="228">
        <f>ROUND((ROUND((ROUND((_15_同援日２．０*_15・２人),0)*(1+_15・A深夜)),0)*(1+_15・区３)),0)+ROUND((ROUND((ROUND((_15_同援日２．０＿０．５*_15・２人),0)*(1+_15・B早朝)),0)*(1+_15・区３)),0)</f>
        <v>969</v>
      </c>
      <c r="AC304" s="69"/>
    </row>
    <row r="305" spans="1:29" ht="16.5" customHeight="1" x14ac:dyDescent="0.3">
      <c r="A305" s="2">
        <v>15</v>
      </c>
      <c r="B305" s="2">
        <v>9137</v>
      </c>
      <c r="C305" s="60" t="s">
        <v>9316</v>
      </c>
      <c r="D305" s="1"/>
      <c r="E305" s="68"/>
      <c r="F305" s="70"/>
      <c r="G305" s="1"/>
      <c r="H305" s="68"/>
      <c r="I305" s="70"/>
      <c r="J305" s="74" t="s">
        <v>16971</v>
      </c>
      <c r="K305" s="62"/>
      <c r="L305" s="63"/>
      <c r="M305" s="85"/>
      <c r="N305" s="64"/>
      <c r="O305" s="65"/>
      <c r="P305" s="99"/>
      <c r="Q305" s="70"/>
      <c r="R305" s="99"/>
      <c r="S305" s="70"/>
      <c r="T305" s="67"/>
      <c r="U305" s="68"/>
      <c r="V305" s="76"/>
      <c r="W305" s="70"/>
      <c r="X305" s="1" t="s">
        <v>18028</v>
      </c>
      <c r="Y305" s="68"/>
      <c r="Z305" s="76"/>
      <c r="AA305" s="70"/>
      <c r="AB305" s="228">
        <f>ROUND((ROUND((ROUND((_15_同援日２．０*_15・基礎２),0)*(1+_15・A深夜)),0)*(1+_15・区３)),0)+ROUND((ROUND((ROUND((_15_同援日２．０＿０．５*_15・基礎２),0)*(1+_15・B早朝)),0)*(1+_15・区３)),0)</f>
        <v>872</v>
      </c>
      <c r="AC305" s="69"/>
    </row>
    <row r="306" spans="1:29" ht="16.5" customHeight="1" x14ac:dyDescent="0.3">
      <c r="A306" s="2">
        <v>15</v>
      </c>
      <c r="B306" s="2">
        <v>9138</v>
      </c>
      <c r="C306" s="60" t="s">
        <v>9315</v>
      </c>
      <c r="D306" s="1"/>
      <c r="E306" s="68"/>
      <c r="F306" s="70"/>
      <c r="G306" s="1"/>
      <c r="H306" s="68"/>
      <c r="I306" s="70"/>
      <c r="J306" s="106" t="s">
        <v>5896</v>
      </c>
      <c r="K306" s="57" t="s">
        <v>1</v>
      </c>
      <c r="L306" s="58">
        <v>0.9</v>
      </c>
      <c r="M306" s="83" t="s">
        <v>5895</v>
      </c>
      <c r="N306" s="64" t="s">
        <v>1</v>
      </c>
      <c r="O306" s="65">
        <v>1</v>
      </c>
      <c r="P306" s="99"/>
      <c r="Q306" s="70"/>
      <c r="R306" s="99"/>
      <c r="S306" s="70"/>
      <c r="T306" s="66"/>
      <c r="U306" s="57"/>
      <c r="V306" s="58"/>
      <c r="W306" s="77"/>
      <c r="X306" s="1" t="s">
        <v>18026</v>
      </c>
      <c r="Y306" s="68"/>
      <c r="Z306" s="76"/>
      <c r="AA306" s="70"/>
      <c r="AB306" s="228">
        <f>ROUND((ROUND((ROUND((ROUND((_15_同援日２．０*_15・基礎２),0)*_15・２人),0)*(1+_15・A深夜)),0)*(1+_15・区３)),0)+ROUND((ROUND((ROUND((ROUND((_15_同援日２．０＿０．５*_15・基礎２),0)*_15・２人),0)*(1+_15・B早朝)),0)*(1+_15・区３)),0)</f>
        <v>872</v>
      </c>
      <c r="AC306" s="69"/>
    </row>
    <row r="307" spans="1:29" ht="16.5" customHeight="1" x14ac:dyDescent="0.3">
      <c r="A307" s="2">
        <v>15</v>
      </c>
      <c r="B307" s="2">
        <v>9139</v>
      </c>
      <c r="C307" s="60" t="s">
        <v>9314</v>
      </c>
      <c r="D307" s="1"/>
      <c r="E307" s="68"/>
      <c r="F307" s="70"/>
      <c r="G307" s="1"/>
      <c r="H307" s="68"/>
      <c r="I307" s="70"/>
      <c r="J307" s="61"/>
      <c r="K307" s="62"/>
      <c r="L307" s="63"/>
      <c r="M307" s="85"/>
      <c r="N307" s="64"/>
      <c r="O307" s="65"/>
      <c r="P307" s="99"/>
      <c r="Q307" s="70"/>
      <c r="R307" s="99"/>
      <c r="S307" s="70"/>
      <c r="T307" s="74" t="s">
        <v>18025</v>
      </c>
      <c r="U307" s="62"/>
      <c r="V307" s="63"/>
      <c r="W307" s="75"/>
      <c r="X307" s="67"/>
      <c r="Y307" s="68" t="s">
        <v>1</v>
      </c>
      <c r="Z307" s="76">
        <v>0.2</v>
      </c>
      <c r="AA307" s="70" t="s">
        <v>422</v>
      </c>
      <c r="AB307" s="228">
        <f>ROUND((ROUND((ROUND((_15_同援日２．０*(1+_15・A深夜)),0)*(1+_15・盲ろう)),0)*(1+_15・区３)),0)+ROUND((ROUND((ROUND((_15_同援日２．０＿０．５*(1+_15・B早朝)),0)*(1+_15・盲ろう)),0)*(1+_15・区３)),0)</f>
        <v>1211</v>
      </c>
      <c r="AC307" s="69"/>
    </row>
    <row r="308" spans="1:29" ht="16.5" customHeight="1" x14ac:dyDescent="0.3">
      <c r="A308" s="2">
        <v>15</v>
      </c>
      <c r="B308" s="2">
        <v>9140</v>
      </c>
      <c r="C308" s="60" t="s">
        <v>9313</v>
      </c>
      <c r="D308" s="1"/>
      <c r="E308" s="68"/>
      <c r="F308" s="70"/>
      <c r="G308" s="1"/>
      <c r="H308" s="68"/>
      <c r="I308" s="70"/>
      <c r="J308" s="66"/>
      <c r="K308" s="57"/>
      <c r="L308" s="58"/>
      <c r="M308" s="83" t="s">
        <v>5895</v>
      </c>
      <c r="N308" s="64" t="s">
        <v>1</v>
      </c>
      <c r="O308" s="65">
        <v>1</v>
      </c>
      <c r="P308" s="99"/>
      <c r="Q308" s="70"/>
      <c r="R308" s="99"/>
      <c r="S308" s="70"/>
      <c r="T308" s="94" t="s">
        <v>18024</v>
      </c>
      <c r="U308" s="68"/>
      <c r="V308" s="76"/>
      <c r="W308" s="70"/>
      <c r="X308" s="67"/>
      <c r="Y308" s="68"/>
      <c r="Z308" s="76"/>
      <c r="AA308" s="70"/>
      <c r="AB308" s="228">
        <f>ROUND((ROUND((ROUND((ROUND((_15_同援日２．０*_15・２人),0)*(1+_15・A深夜)),0)*(1+_15・盲ろう)),0)*(1+_15・区３)),0)+ROUND((ROUND((ROUND((ROUND((_15_同援日２．０＿０．５*_15・２人),0)*(1+_15・B早朝)),0)*(1+_15・盲ろう)),0)*(1+_15・区３)),0)</f>
        <v>1211</v>
      </c>
      <c r="AC308" s="69"/>
    </row>
    <row r="309" spans="1:29" ht="16.5" customHeight="1" x14ac:dyDescent="0.3">
      <c r="A309" s="2">
        <v>15</v>
      </c>
      <c r="B309" s="2">
        <v>9141</v>
      </c>
      <c r="C309" s="60" t="s">
        <v>9312</v>
      </c>
      <c r="D309" s="1"/>
      <c r="E309" s="68"/>
      <c r="F309" s="70"/>
      <c r="G309" s="1"/>
      <c r="H309" s="68"/>
      <c r="I309" s="70"/>
      <c r="J309" s="74" t="s">
        <v>16971</v>
      </c>
      <c r="K309" s="62"/>
      <c r="L309" s="63"/>
      <c r="M309" s="85"/>
      <c r="N309" s="64"/>
      <c r="O309" s="65"/>
      <c r="P309" s="99"/>
      <c r="Q309" s="70"/>
      <c r="R309" s="99"/>
      <c r="S309" s="70"/>
      <c r="T309" s="67"/>
      <c r="U309" s="68" t="s">
        <v>1</v>
      </c>
      <c r="V309" s="76">
        <v>0.25</v>
      </c>
      <c r="W309" s="70" t="s">
        <v>422</v>
      </c>
      <c r="X309" s="67"/>
      <c r="Y309" s="68"/>
      <c r="Z309" s="76"/>
      <c r="AA309" s="70"/>
      <c r="AB309" s="228">
        <f>ROUND((ROUND((ROUND((ROUND((_15_同援日２．０*_15・基礎２),0)*(1+_15・A深夜)),0)*(1+_15・盲ろう)),0)*(1+_15・区３)),0)+ROUND((ROUND((ROUND((ROUND((_15_同援日２．０＿０．５*_15・基礎２),0)*(1+_15・B早朝)),0)*(1+_15・盲ろう)),0)*(1+_15・区３)),0)</f>
        <v>1091</v>
      </c>
      <c r="AC309" s="69"/>
    </row>
    <row r="310" spans="1:29" ht="16.5" customHeight="1" x14ac:dyDescent="0.3">
      <c r="A310" s="2">
        <v>15</v>
      </c>
      <c r="B310" s="2">
        <v>9142</v>
      </c>
      <c r="C310" s="60" t="s">
        <v>9311</v>
      </c>
      <c r="D310" s="1"/>
      <c r="E310" s="68"/>
      <c r="F310" s="70"/>
      <c r="G310" s="1"/>
      <c r="H310" s="68"/>
      <c r="I310" s="70"/>
      <c r="J310" s="106" t="s">
        <v>5896</v>
      </c>
      <c r="K310" s="57" t="s">
        <v>1</v>
      </c>
      <c r="L310" s="58">
        <v>0.9</v>
      </c>
      <c r="M310" s="83" t="s">
        <v>5895</v>
      </c>
      <c r="N310" s="64" t="s">
        <v>1</v>
      </c>
      <c r="O310" s="65">
        <v>1</v>
      </c>
      <c r="P310" s="99"/>
      <c r="Q310" s="70"/>
      <c r="R310" s="99"/>
      <c r="S310" s="70"/>
      <c r="T310" s="66"/>
      <c r="U310" s="57"/>
      <c r="V310" s="58"/>
      <c r="W310" s="77"/>
      <c r="X310" s="66"/>
      <c r="Y310" s="57"/>
      <c r="Z310" s="58"/>
      <c r="AA310" s="77"/>
      <c r="AB310" s="228">
        <f>ROUND((ROUND((ROUND((ROUND((ROUND((_15_同援日２．０*_15・基礎２),0)*_15・２人),0)*(1+_15・A深夜)),0)*(1+_15・盲ろう)),0)*(1+_15・区３)),0)+ROUND((ROUND((ROUND((ROUND((ROUND((_15_同援日２．０＿０．５*_15・基礎２),0)*_15・２人),0)*(1+_15・B早朝)),0)*(1+_15・盲ろう)),0)*(1+_15・区３)),0)</f>
        <v>1091</v>
      </c>
      <c r="AC310" s="69"/>
    </row>
    <row r="311" spans="1:29" ht="16.5" customHeight="1" x14ac:dyDescent="0.3">
      <c r="A311" s="2">
        <v>15</v>
      </c>
      <c r="B311" s="2">
        <v>9143</v>
      </c>
      <c r="C311" s="60" t="s">
        <v>9310</v>
      </c>
      <c r="D311" s="1"/>
      <c r="E311" s="68"/>
      <c r="F311" s="70"/>
      <c r="G311" s="1"/>
      <c r="H311" s="68"/>
      <c r="I311" s="70"/>
      <c r="J311" s="61"/>
      <c r="K311" s="62"/>
      <c r="L311" s="63"/>
      <c r="M311" s="85"/>
      <c r="N311" s="64"/>
      <c r="O311" s="65"/>
      <c r="P311" s="99"/>
      <c r="Q311" s="70"/>
      <c r="R311" s="99"/>
      <c r="S311" s="70"/>
      <c r="T311" s="61"/>
      <c r="U311" s="62"/>
      <c r="V311" s="63"/>
      <c r="W311" s="75"/>
      <c r="X311" s="61"/>
      <c r="Y311" s="62"/>
      <c r="Z311" s="63"/>
      <c r="AA311" s="75"/>
      <c r="AB311" s="228">
        <f>ROUND((ROUND((_15_同援日２．０*(1+_15・A深夜)),0)*(1+_15・区４)),0)+ROUND((ROUND((_15_同援日２．０＿０．５*(1+_15・B早朝)),0)*(1+_15・区４)),0)</f>
        <v>1130</v>
      </c>
      <c r="AC311" s="69"/>
    </row>
    <row r="312" spans="1:29" ht="16.5" customHeight="1" x14ac:dyDescent="0.3">
      <c r="A312" s="2">
        <v>15</v>
      </c>
      <c r="B312" s="2">
        <v>9144</v>
      </c>
      <c r="C312" s="60" t="s">
        <v>9309</v>
      </c>
      <c r="D312" s="1"/>
      <c r="E312" s="68"/>
      <c r="F312" s="70"/>
      <c r="G312" s="1"/>
      <c r="H312" s="68"/>
      <c r="I312" s="70"/>
      <c r="J312" s="66"/>
      <c r="K312" s="57"/>
      <c r="L312" s="58"/>
      <c r="M312" s="83" t="s">
        <v>5895</v>
      </c>
      <c r="N312" s="64" t="s">
        <v>1</v>
      </c>
      <c r="O312" s="65">
        <v>1</v>
      </c>
      <c r="P312" s="99"/>
      <c r="Q312" s="70"/>
      <c r="R312" s="99"/>
      <c r="S312" s="70"/>
      <c r="T312" s="67"/>
      <c r="U312" s="68"/>
      <c r="V312" s="76"/>
      <c r="W312" s="70"/>
      <c r="X312" s="67"/>
      <c r="Y312" s="68"/>
      <c r="Z312" s="76"/>
      <c r="AA312" s="70"/>
      <c r="AB312" s="228">
        <f>ROUND((ROUND((ROUND((_15_同援日２．０*_15・２人),0)*(1+_15・A深夜)),0)*(1+_15・区４)),0)+ROUND((ROUND((ROUND((_15_同援日２．０＿０．５*_15・２人),0)*(1+_15・B早朝)),0)*(1+_15・区４)),0)</f>
        <v>1130</v>
      </c>
      <c r="AC312" s="69"/>
    </row>
    <row r="313" spans="1:29" ht="16.5" customHeight="1" x14ac:dyDescent="0.3">
      <c r="A313" s="2">
        <v>15</v>
      </c>
      <c r="B313" s="2">
        <v>9145</v>
      </c>
      <c r="C313" s="60" t="s">
        <v>9308</v>
      </c>
      <c r="D313" s="1"/>
      <c r="E313" s="68"/>
      <c r="F313" s="70"/>
      <c r="G313" s="1"/>
      <c r="H313" s="68"/>
      <c r="I313" s="70"/>
      <c r="J313" s="74" t="s">
        <v>16971</v>
      </c>
      <c r="K313" s="62"/>
      <c r="L313" s="63"/>
      <c r="M313" s="85"/>
      <c r="N313" s="64"/>
      <c r="O313" s="65"/>
      <c r="P313" s="99"/>
      <c r="Q313" s="70"/>
      <c r="R313" s="99"/>
      <c r="S313" s="70"/>
      <c r="T313" s="67"/>
      <c r="U313" s="68"/>
      <c r="V313" s="76"/>
      <c r="W313" s="70"/>
      <c r="X313" s="1" t="s">
        <v>18027</v>
      </c>
      <c r="Y313" s="68"/>
      <c r="Z313" s="76"/>
      <c r="AA313" s="70"/>
      <c r="AB313" s="228">
        <f>ROUND((ROUND((ROUND((_15_同援日２．０*_15・基礎２),0)*(1+_15・A深夜)),0)*(1+_15・区４)),0)+ROUND((ROUND((ROUND((_15_同援日２．０＿０．５*_15・基礎２),0)*(1+_15・B早朝)),0)*(1+_15・区４)),0)</f>
        <v>1017</v>
      </c>
      <c r="AC313" s="69"/>
    </row>
    <row r="314" spans="1:29" ht="16.5" customHeight="1" x14ac:dyDescent="0.3">
      <c r="A314" s="2">
        <v>15</v>
      </c>
      <c r="B314" s="2">
        <v>9146</v>
      </c>
      <c r="C314" s="60" t="s">
        <v>9307</v>
      </c>
      <c r="D314" s="1"/>
      <c r="E314" s="68"/>
      <c r="F314" s="70"/>
      <c r="G314" s="1"/>
      <c r="H314" s="68"/>
      <c r="I314" s="70"/>
      <c r="J314" s="106" t="s">
        <v>16970</v>
      </c>
      <c r="K314" s="57" t="s">
        <v>1</v>
      </c>
      <c r="L314" s="58">
        <v>0.9</v>
      </c>
      <c r="M314" s="83" t="s">
        <v>5895</v>
      </c>
      <c r="N314" s="64" t="s">
        <v>1</v>
      </c>
      <c r="O314" s="65">
        <v>1</v>
      </c>
      <c r="P314" s="99"/>
      <c r="Q314" s="70"/>
      <c r="R314" s="99"/>
      <c r="S314" s="70"/>
      <c r="T314" s="66"/>
      <c r="U314" s="57"/>
      <c r="V314" s="58"/>
      <c r="W314" s="77"/>
      <c r="X314" s="1" t="s">
        <v>18026</v>
      </c>
      <c r="Y314" s="68"/>
      <c r="Z314" s="76"/>
      <c r="AA314" s="70"/>
      <c r="AB314" s="228">
        <f>ROUND((ROUND((ROUND((ROUND((_15_同援日２．０*_15・基礎２),0)*_15・２人),0)*(1+_15・A深夜)),0)*(1+_15・区４)),0)+ROUND((ROUND((ROUND((ROUND((_15_同援日２．０＿０．５*_15・基礎２),0)*_15・２人),0)*(1+_15・B早朝)),0)*(1+_15・区４)),0)</f>
        <v>1017</v>
      </c>
      <c r="AC314" s="69"/>
    </row>
    <row r="315" spans="1:29" ht="16.5" customHeight="1" x14ac:dyDescent="0.3">
      <c r="A315" s="2">
        <v>15</v>
      </c>
      <c r="B315" s="2">
        <v>9147</v>
      </c>
      <c r="C315" s="60" t="s">
        <v>9306</v>
      </c>
      <c r="D315" s="1"/>
      <c r="E315" s="68"/>
      <c r="F315" s="70"/>
      <c r="G315" s="1"/>
      <c r="H315" s="68"/>
      <c r="I315" s="70"/>
      <c r="J315" s="61"/>
      <c r="K315" s="62"/>
      <c r="L315" s="63"/>
      <c r="M315" s="85"/>
      <c r="N315" s="64"/>
      <c r="O315" s="65"/>
      <c r="P315" s="99"/>
      <c r="Q315" s="70"/>
      <c r="R315" s="99"/>
      <c r="S315" s="70"/>
      <c r="T315" s="74" t="s">
        <v>8085</v>
      </c>
      <c r="U315" s="62"/>
      <c r="V315" s="63"/>
      <c r="W315" s="75"/>
      <c r="X315" s="67"/>
      <c r="Y315" s="68" t="s">
        <v>1</v>
      </c>
      <c r="Z315" s="76">
        <v>0.4</v>
      </c>
      <c r="AA315" s="70" t="s">
        <v>422</v>
      </c>
      <c r="AB315" s="228">
        <f>ROUND((ROUND((ROUND((_15_同援日２．０*(1+_15・A深夜)),0)*(1+_15・盲ろう)),0)*(1+_15・区４)),0)+ROUND((ROUND((ROUND((_15_同援日２．０＿０．５*(1+_15・B早朝)),0)*(1+_15・盲ろう)),0)*(1+_15・区４)),0)</f>
        <v>1413</v>
      </c>
      <c r="AC315" s="69"/>
    </row>
    <row r="316" spans="1:29" ht="16.5" customHeight="1" x14ac:dyDescent="0.3">
      <c r="A316" s="2">
        <v>15</v>
      </c>
      <c r="B316" s="2">
        <v>9148</v>
      </c>
      <c r="C316" s="60" t="s">
        <v>9305</v>
      </c>
      <c r="D316" s="1"/>
      <c r="E316" s="68"/>
      <c r="F316" s="70"/>
      <c r="G316" s="1"/>
      <c r="H316" s="68"/>
      <c r="I316" s="70"/>
      <c r="J316" s="66"/>
      <c r="K316" s="57"/>
      <c r="L316" s="58"/>
      <c r="M316" s="83" t="s">
        <v>5895</v>
      </c>
      <c r="N316" s="64" t="s">
        <v>1</v>
      </c>
      <c r="O316" s="65">
        <v>1</v>
      </c>
      <c r="P316" s="99"/>
      <c r="Q316" s="70"/>
      <c r="R316" s="99"/>
      <c r="S316" s="70"/>
      <c r="T316" s="94" t="s">
        <v>18024</v>
      </c>
      <c r="U316" s="68"/>
      <c r="V316" s="76"/>
      <c r="W316" s="70"/>
      <c r="X316" s="67"/>
      <c r="Y316" s="68"/>
      <c r="Z316" s="76"/>
      <c r="AA316" s="70"/>
      <c r="AB316" s="228">
        <f>ROUND((ROUND((ROUND((ROUND((_15_同援日２．０*_15・２人),0)*(1+_15・A深夜)),0)*(1+_15・盲ろう)),0)*(1+_15・区４)),0)+ROUND((ROUND((ROUND((ROUND((_15_同援日２．０＿０．５*_15・２人),0)*(1+_15・B早朝)),0)*(1+_15・盲ろう)),0)*(1+_15・区４)),0)</f>
        <v>1413</v>
      </c>
      <c r="AC316" s="69"/>
    </row>
    <row r="317" spans="1:29" ht="16.5" customHeight="1" x14ac:dyDescent="0.3">
      <c r="A317" s="2">
        <v>15</v>
      </c>
      <c r="B317" s="2">
        <v>9149</v>
      </c>
      <c r="C317" s="60" t="s">
        <v>9304</v>
      </c>
      <c r="D317" s="1"/>
      <c r="E317" s="68"/>
      <c r="F317" s="70"/>
      <c r="G317" s="1"/>
      <c r="H317" s="68"/>
      <c r="I317" s="70"/>
      <c r="J317" s="74" t="s">
        <v>16971</v>
      </c>
      <c r="K317" s="62"/>
      <c r="L317" s="63"/>
      <c r="M317" s="85"/>
      <c r="N317" s="64"/>
      <c r="O317" s="65"/>
      <c r="P317" s="99"/>
      <c r="Q317" s="70"/>
      <c r="R317" s="99"/>
      <c r="S317" s="70"/>
      <c r="T317" s="67"/>
      <c r="U317" s="68" t="s">
        <v>1</v>
      </c>
      <c r="V317" s="76">
        <v>0.25</v>
      </c>
      <c r="W317" s="70" t="s">
        <v>422</v>
      </c>
      <c r="X317" s="67"/>
      <c r="Y317" s="68"/>
      <c r="Z317" s="76"/>
      <c r="AA317" s="70"/>
      <c r="AB317" s="228">
        <f>ROUND((ROUND((ROUND((ROUND((_15_同援日２．０*_15・基礎２),0)*(1+_15・A深夜)),0)*(1+_15・盲ろう)),0)*(1+_15・区４)),0)+ROUND((ROUND((ROUND((ROUND((_15_同援日２．０＿０．５*_15・基礎２),0)*(1+_15・B早朝)),0)*(1+_15・盲ろう)),0)*(1+_15・区４)),0)</f>
        <v>1273</v>
      </c>
      <c r="AC317" s="69"/>
    </row>
    <row r="318" spans="1:29" ht="16.5" customHeight="1" x14ac:dyDescent="0.3">
      <c r="A318" s="2">
        <v>15</v>
      </c>
      <c r="B318" s="2">
        <v>9150</v>
      </c>
      <c r="C318" s="60" t="s">
        <v>9303</v>
      </c>
      <c r="D318" s="1"/>
      <c r="E318" s="68"/>
      <c r="F318" s="70"/>
      <c r="G318" s="81"/>
      <c r="H318" s="57"/>
      <c r="I318" s="77"/>
      <c r="J318" s="106" t="s">
        <v>16970</v>
      </c>
      <c r="K318" s="57" t="s">
        <v>1</v>
      </c>
      <c r="L318" s="58">
        <v>0.9</v>
      </c>
      <c r="M318" s="83" t="s">
        <v>5895</v>
      </c>
      <c r="N318" s="64" t="s">
        <v>1</v>
      </c>
      <c r="O318" s="65">
        <v>1</v>
      </c>
      <c r="P318" s="99"/>
      <c r="Q318" s="70"/>
      <c r="R318" s="99"/>
      <c r="S318" s="70"/>
      <c r="T318" s="66"/>
      <c r="U318" s="57"/>
      <c r="V318" s="58"/>
      <c r="W318" s="77"/>
      <c r="X318" s="66"/>
      <c r="Y318" s="57"/>
      <c r="Z318" s="58"/>
      <c r="AA318" s="77"/>
      <c r="AB318" s="228">
        <f>ROUND((ROUND((ROUND((ROUND((ROUND((_15_同援日２．０*_15・基礎２),0)*_15・２人),0)*(1+_15・A深夜)),0)*(1+_15・盲ろう)),0)*(1+_15・区４)),0)+ROUND((ROUND((ROUND((ROUND((ROUND((_15_同援日２．０＿０．５*_15・基礎２),0)*_15・２人),0)*(1+_15・B早朝)),0)*(1+_15・盲ろう)),0)*(1+_15・区４)),0)</f>
        <v>1273</v>
      </c>
      <c r="AC318" s="69"/>
    </row>
    <row r="319" spans="1:29" ht="16.5" customHeight="1" x14ac:dyDescent="0.3">
      <c r="A319" s="2">
        <v>15</v>
      </c>
      <c r="B319" s="2">
        <v>9151</v>
      </c>
      <c r="C319" s="60" t="s">
        <v>9302</v>
      </c>
      <c r="D319" s="1"/>
      <c r="E319" s="68"/>
      <c r="F319" s="70"/>
      <c r="G319" s="233" t="s">
        <v>16988</v>
      </c>
      <c r="H319" s="62"/>
      <c r="I319" s="75"/>
      <c r="J319" s="61"/>
      <c r="K319" s="62"/>
      <c r="L319" s="63"/>
      <c r="M319" s="85"/>
      <c r="N319" s="64"/>
      <c r="O319" s="65"/>
      <c r="P319" s="99"/>
      <c r="Q319" s="70"/>
      <c r="R319" s="99"/>
      <c r="S319" s="70"/>
      <c r="T319" s="61"/>
      <c r="U319" s="62"/>
      <c r="V319" s="63"/>
      <c r="W319" s="75"/>
      <c r="X319" s="61"/>
      <c r="Y319" s="62"/>
      <c r="Z319" s="63"/>
      <c r="AA319" s="75"/>
      <c r="AB319" s="228">
        <f>ROUND((_15_同援日２．０*(1+_15・A深夜)),0)+ROUND((_15_同援日２．０＿１．０*(1+_15・B早朝)),0)</f>
        <v>886</v>
      </c>
      <c r="AC319" s="69"/>
    </row>
    <row r="320" spans="1:29" ht="16.5" customHeight="1" x14ac:dyDescent="0.3">
      <c r="A320" s="2">
        <v>15</v>
      </c>
      <c r="B320" s="2">
        <v>9152</v>
      </c>
      <c r="C320" s="60" t="s">
        <v>9301</v>
      </c>
      <c r="D320" s="1"/>
      <c r="E320" s="68"/>
      <c r="F320" s="70"/>
      <c r="G320" s="1" t="s">
        <v>16978</v>
      </c>
      <c r="H320" s="68"/>
      <c r="I320" s="70"/>
      <c r="J320" s="66"/>
      <c r="K320" s="57"/>
      <c r="L320" s="58"/>
      <c r="M320" s="83" t="s">
        <v>5895</v>
      </c>
      <c r="N320" s="64" t="s">
        <v>1</v>
      </c>
      <c r="O320" s="65">
        <v>1</v>
      </c>
      <c r="P320" s="99"/>
      <c r="Q320" s="70"/>
      <c r="R320" s="99"/>
      <c r="S320" s="70"/>
      <c r="T320" s="67"/>
      <c r="U320" s="68"/>
      <c r="V320" s="76"/>
      <c r="W320" s="70"/>
      <c r="X320" s="67"/>
      <c r="Y320" s="68"/>
      <c r="Z320" s="76"/>
      <c r="AA320" s="70"/>
      <c r="AB320" s="228">
        <f>ROUND((ROUND((_15_同援日２．０*_15・２人),0)*(1+_15・A深夜)),0)+ROUND((ROUND((_15_同援日２．０＿１．０*_15・２人),0)*(1+_15・B早朝)),0)</f>
        <v>886</v>
      </c>
      <c r="AC320" s="69"/>
    </row>
    <row r="321" spans="1:29" ht="16.5" customHeight="1" x14ac:dyDescent="0.3">
      <c r="A321" s="2">
        <v>15</v>
      </c>
      <c r="B321" s="2">
        <v>9153</v>
      </c>
      <c r="C321" s="60" t="s">
        <v>9300</v>
      </c>
      <c r="D321" s="1"/>
      <c r="E321" s="68"/>
      <c r="F321" s="70"/>
      <c r="G321" s="1" t="s">
        <v>8572</v>
      </c>
      <c r="H321" s="68"/>
      <c r="I321" s="70"/>
      <c r="J321" s="74" t="s">
        <v>16971</v>
      </c>
      <c r="K321" s="62"/>
      <c r="L321" s="63"/>
      <c r="M321" s="85"/>
      <c r="N321" s="64"/>
      <c r="O321" s="65"/>
      <c r="P321" s="99"/>
      <c r="Q321" s="70"/>
      <c r="R321" s="99"/>
      <c r="S321" s="70"/>
      <c r="T321" s="67"/>
      <c r="U321" s="68"/>
      <c r="V321" s="76"/>
      <c r="W321" s="70"/>
      <c r="X321" s="67"/>
      <c r="Y321" s="68"/>
      <c r="Z321" s="76"/>
      <c r="AA321" s="70"/>
      <c r="AB321" s="228">
        <f>ROUND((ROUND((_15_同援日２．０*_15・基礎２),0)*(1+_15・A深夜)),0)+ROUND((ROUND((_15_同援日２．０＿１．０*_15・基礎２),0)*(1+_15・B早朝)),0)</f>
        <v>797</v>
      </c>
      <c r="AC321" s="69"/>
    </row>
    <row r="322" spans="1:29" ht="16.5" customHeight="1" x14ac:dyDescent="0.3">
      <c r="A322" s="2">
        <v>15</v>
      </c>
      <c r="B322" s="2">
        <v>9154</v>
      </c>
      <c r="C322" s="60" t="s">
        <v>9299</v>
      </c>
      <c r="D322" s="1"/>
      <c r="E322" s="68"/>
      <c r="F322" s="70"/>
      <c r="G322" s="1"/>
      <c r="H322" s="119">
        <v>126</v>
      </c>
      <c r="I322" s="70" t="s">
        <v>0</v>
      </c>
      <c r="J322" s="106" t="s">
        <v>16970</v>
      </c>
      <c r="K322" s="57" t="s">
        <v>1</v>
      </c>
      <c r="L322" s="58">
        <v>0.9</v>
      </c>
      <c r="M322" s="83" t="s">
        <v>5895</v>
      </c>
      <c r="N322" s="64" t="s">
        <v>1</v>
      </c>
      <c r="O322" s="65">
        <v>1</v>
      </c>
      <c r="P322" s="99"/>
      <c r="Q322" s="70"/>
      <c r="R322" s="99"/>
      <c r="S322" s="70"/>
      <c r="T322" s="66"/>
      <c r="U322" s="57"/>
      <c r="V322" s="58"/>
      <c r="W322" s="77"/>
      <c r="X322" s="67"/>
      <c r="Y322" s="68"/>
      <c r="Z322" s="76"/>
      <c r="AA322" s="70"/>
      <c r="AB322" s="228">
        <f>ROUND((ROUND((ROUND((_15_同援日２．０*_15・基礎２),0)*_15・２人),0)*(1+_15・A深夜)),0)+ROUND((ROUND((ROUND((_15_同援日２．０＿１．０*_15・基礎２),0)*_15・２人),0)*(1+_15・B早朝)),0)</f>
        <v>797</v>
      </c>
      <c r="AC322" s="69"/>
    </row>
    <row r="323" spans="1:29" ht="16.5" customHeight="1" x14ac:dyDescent="0.3">
      <c r="A323" s="2">
        <v>15</v>
      </c>
      <c r="B323" s="2">
        <v>9155</v>
      </c>
      <c r="C323" s="60" t="s">
        <v>9298</v>
      </c>
      <c r="D323" s="1"/>
      <c r="E323" s="68"/>
      <c r="F323" s="70"/>
      <c r="G323" s="1"/>
      <c r="H323" s="68"/>
      <c r="I323" s="70"/>
      <c r="J323" s="61"/>
      <c r="K323" s="62"/>
      <c r="L323" s="63"/>
      <c r="M323" s="85"/>
      <c r="N323" s="64"/>
      <c r="O323" s="65"/>
      <c r="P323" s="99"/>
      <c r="Q323" s="70"/>
      <c r="R323" s="99"/>
      <c r="S323" s="70"/>
      <c r="T323" s="74" t="s">
        <v>8085</v>
      </c>
      <c r="U323" s="62"/>
      <c r="V323" s="63"/>
      <c r="W323" s="75"/>
      <c r="X323" s="67"/>
      <c r="Y323" s="68"/>
      <c r="Z323" s="76"/>
      <c r="AA323" s="70"/>
      <c r="AB323" s="228">
        <f>ROUND((ROUND((_15_同援日２．０*(1+_15・A深夜)),0)*(1+_15・盲ろう)),0)+ROUND((ROUND((_15_同援日２．０＿１．０*(1+_15・B早朝)),0)*(1+_15・盲ろう)),0)</f>
        <v>1108</v>
      </c>
      <c r="AC323" s="69"/>
    </row>
    <row r="324" spans="1:29" ht="16.5" customHeight="1" x14ac:dyDescent="0.3">
      <c r="A324" s="2">
        <v>15</v>
      </c>
      <c r="B324" s="2">
        <v>9156</v>
      </c>
      <c r="C324" s="60" t="s">
        <v>9297</v>
      </c>
      <c r="D324" s="1"/>
      <c r="E324" s="68"/>
      <c r="F324" s="70"/>
      <c r="G324" s="1"/>
      <c r="H324" s="68"/>
      <c r="I324" s="70"/>
      <c r="J324" s="66"/>
      <c r="K324" s="57"/>
      <c r="L324" s="58"/>
      <c r="M324" s="83" t="s">
        <v>5895</v>
      </c>
      <c r="N324" s="64" t="s">
        <v>1</v>
      </c>
      <c r="O324" s="65">
        <v>1</v>
      </c>
      <c r="P324" s="99"/>
      <c r="Q324" s="70"/>
      <c r="R324" s="99"/>
      <c r="S324" s="70"/>
      <c r="T324" s="94" t="s">
        <v>18024</v>
      </c>
      <c r="U324" s="68"/>
      <c r="V324" s="76"/>
      <c r="W324" s="70"/>
      <c r="X324" s="67"/>
      <c r="Y324" s="68"/>
      <c r="Z324" s="76"/>
      <c r="AA324" s="70"/>
      <c r="AB324" s="228">
        <f>ROUND((ROUND((ROUND((_15_同援日２．０*_15・２人),0)*(1+_15・A深夜)),0)*(1+_15・盲ろう)),0)+ROUND((ROUND((ROUND((_15_同援日２．０＿１．０*_15・２人),0)*(1+_15・B早朝)),0)*(1+_15・盲ろう)),0)</f>
        <v>1108</v>
      </c>
      <c r="AC324" s="69"/>
    </row>
    <row r="325" spans="1:29" ht="16.5" customHeight="1" x14ac:dyDescent="0.3">
      <c r="A325" s="2">
        <v>15</v>
      </c>
      <c r="B325" s="2">
        <v>9157</v>
      </c>
      <c r="C325" s="60" t="s">
        <v>9296</v>
      </c>
      <c r="D325" s="1"/>
      <c r="E325" s="68"/>
      <c r="F325" s="70"/>
      <c r="G325" s="1"/>
      <c r="H325" s="68"/>
      <c r="I325" s="70"/>
      <c r="J325" s="74" t="s">
        <v>16971</v>
      </c>
      <c r="K325" s="62"/>
      <c r="L325" s="63"/>
      <c r="M325" s="85"/>
      <c r="N325" s="64"/>
      <c r="O325" s="65"/>
      <c r="P325" s="99"/>
      <c r="Q325" s="70"/>
      <c r="R325" s="99"/>
      <c r="S325" s="70"/>
      <c r="T325" s="67"/>
      <c r="U325" s="68" t="s">
        <v>1</v>
      </c>
      <c r="V325" s="76">
        <v>0.25</v>
      </c>
      <c r="W325" s="70" t="s">
        <v>422</v>
      </c>
      <c r="X325" s="67"/>
      <c r="Y325" s="68"/>
      <c r="Z325" s="76"/>
      <c r="AA325" s="70"/>
      <c r="AB325" s="228">
        <f>ROUND((ROUND((ROUND((_15_同援日２．０*_15・基礎２),0)*(1+_15・A深夜)),0)*(1+_15・盲ろう)),0)+ROUND((ROUND((ROUND((_15_同援日２．０＿１．０*_15・基礎２),0)*(1+_15・B早朝)),0)*(1+_15・盲ろう)),0)</f>
        <v>996</v>
      </c>
      <c r="AC325" s="69"/>
    </row>
    <row r="326" spans="1:29" ht="16.5" customHeight="1" x14ac:dyDescent="0.3">
      <c r="A326" s="2">
        <v>15</v>
      </c>
      <c r="B326" s="2">
        <v>9158</v>
      </c>
      <c r="C326" s="60" t="s">
        <v>9295</v>
      </c>
      <c r="D326" s="1"/>
      <c r="E326" s="68"/>
      <c r="F326" s="70"/>
      <c r="G326" s="1"/>
      <c r="H326" s="68"/>
      <c r="I326" s="70"/>
      <c r="J326" s="106" t="s">
        <v>16970</v>
      </c>
      <c r="K326" s="57" t="s">
        <v>1</v>
      </c>
      <c r="L326" s="58">
        <v>0.9</v>
      </c>
      <c r="M326" s="83" t="s">
        <v>5895</v>
      </c>
      <c r="N326" s="64" t="s">
        <v>1</v>
      </c>
      <c r="O326" s="65">
        <v>1</v>
      </c>
      <c r="P326" s="99"/>
      <c r="Q326" s="70"/>
      <c r="R326" s="99"/>
      <c r="S326" s="70"/>
      <c r="T326" s="66"/>
      <c r="U326" s="57"/>
      <c r="V326" s="58"/>
      <c r="W326" s="77"/>
      <c r="X326" s="66"/>
      <c r="Y326" s="57"/>
      <c r="Z326" s="58"/>
      <c r="AA326" s="77"/>
      <c r="AB326" s="228">
        <f>ROUND((ROUND((ROUND((ROUND((_15_同援日２．０*_15・基礎２),0)*_15・２人),0)*(1+_15・A深夜)),0)*(1+_15・盲ろう)),0)+ROUND((ROUND((ROUND((ROUND((_15_同援日２．０＿１．０*_15・基礎２),0)*_15・２人),0)*(1+_15・B早朝)),0)*(1+_15・盲ろう)),0)</f>
        <v>996</v>
      </c>
      <c r="AC326" s="69"/>
    </row>
    <row r="327" spans="1:29" ht="16.5" customHeight="1" x14ac:dyDescent="0.3">
      <c r="A327" s="2">
        <v>15</v>
      </c>
      <c r="B327" s="2">
        <v>9159</v>
      </c>
      <c r="C327" s="60" t="s">
        <v>9294</v>
      </c>
      <c r="D327" s="1"/>
      <c r="E327" s="68"/>
      <c r="F327" s="70"/>
      <c r="G327" s="1"/>
      <c r="H327" s="68"/>
      <c r="I327" s="70"/>
      <c r="J327" s="61"/>
      <c r="K327" s="62"/>
      <c r="L327" s="63"/>
      <c r="M327" s="85"/>
      <c r="N327" s="64"/>
      <c r="O327" s="65"/>
      <c r="P327" s="99"/>
      <c r="Q327" s="70"/>
      <c r="R327" s="99"/>
      <c r="S327" s="70"/>
      <c r="T327" s="61"/>
      <c r="U327" s="62"/>
      <c r="V327" s="63"/>
      <c r="W327" s="75"/>
      <c r="X327" s="61"/>
      <c r="Y327" s="62"/>
      <c r="Z327" s="63"/>
      <c r="AA327" s="75"/>
      <c r="AB327" s="228">
        <f>ROUND((ROUND((_15_同援日２．０*(1+_15・A深夜)),0)*(1+_15・区３)),0)+ROUND((ROUND((_15_同援日２．０＿１．０*(1+_15・B早朝)),0)*(1+_15・区３)),0)</f>
        <v>1064</v>
      </c>
      <c r="AC327" s="69"/>
    </row>
    <row r="328" spans="1:29" ht="16.5" customHeight="1" x14ac:dyDescent="0.3">
      <c r="A328" s="2">
        <v>15</v>
      </c>
      <c r="B328" s="2">
        <v>9160</v>
      </c>
      <c r="C328" s="60" t="s">
        <v>9293</v>
      </c>
      <c r="D328" s="1"/>
      <c r="E328" s="68"/>
      <c r="F328" s="70"/>
      <c r="G328" s="1"/>
      <c r="H328" s="68"/>
      <c r="I328" s="70"/>
      <c r="J328" s="66"/>
      <c r="K328" s="57"/>
      <c r="L328" s="58"/>
      <c r="M328" s="83" t="s">
        <v>5895</v>
      </c>
      <c r="N328" s="64" t="s">
        <v>1</v>
      </c>
      <c r="O328" s="65">
        <v>1</v>
      </c>
      <c r="P328" s="99"/>
      <c r="Q328" s="70"/>
      <c r="R328" s="99"/>
      <c r="S328" s="70"/>
      <c r="T328" s="67"/>
      <c r="U328" s="68"/>
      <c r="V328" s="76"/>
      <c r="W328" s="70"/>
      <c r="X328" s="67"/>
      <c r="Y328" s="68"/>
      <c r="Z328" s="76"/>
      <c r="AA328" s="70"/>
      <c r="AB328" s="228">
        <f>ROUND((ROUND((ROUND((_15_同援日２．０*_15・２人),0)*(1+_15・A深夜)),0)*(1+_15・区３)),0)+ROUND((ROUND((ROUND((_15_同援日２．０＿１．０*_15・２人),0)*(1+_15・B早朝)),0)*(1+_15・区３)),0)</f>
        <v>1064</v>
      </c>
      <c r="AC328" s="69"/>
    </row>
    <row r="329" spans="1:29" ht="16.5" customHeight="1" x14ac:dyDescent="0.3">
      <c r="A329" s="2">
        <v>15</v>
      </c>
      <c r="B329" s="2">
        <v>9161</v>
      </c>
      <c r="C329" s="60" t="s">
        <v>9292</v>
      </c>
      <c r="D329" s="1"/>
      <c r="E329" s="68"/>
      <c r="F329" s="70"/>
      <c r="G329" s="1"/>
      <c r="H329" s="68"/>
      <c r="I329" s="70"/>
      <c r="J329" s="74" t="s">
        <v>5898</v>
      </c>
      <c r="K329" s="62"/>
      <c r="L329" s="63"/>
      <c r="M329" s="85"/>
      <c r="N329" s="64"/>
      <c r="O329" s="65"/>
      <c r="P329" s="99"/>
      <c r="Q329" s="70"/>
      <c r="R329" s="99"/>
      <c r="S329" s="70"/>
      <c r="T329" s="67"/>
      <c r="U329" s="68"/>
      <c r="V329" s="76"/>
      <c r="W329" s="70"/>
      <c r="X329" s="1" t="s">
        <v>18028</v>
      </c>
      <c r="Y329" s="68"/>
      <c r="Z329" s="76"/>
      <c r="AA329" s="70"/>
      <c r="AB329" s="228">
        <f>ROUND((ROUND((ROUND((_15_同援日２．０*_15・基礎２),0)*(1+_15・A深夜)),0)*(1+_15・区３)),0)+ROUND((ROUND((ROUND((_15_同援日２．０＿１．０*_15・基礎２),0)*(1+_15・B早朝)),0)*(1+_15・区３)),0)</f>
        <v>956</v>
      </c>
      <c r="AC329" s="69"/>
    </row>
    <row r="330" spans="1:29" ht="16.5" customHeight="1" x14ac:dyDescent="0.3">
      <c r="A330" s="2">
        <v>15</v>
      </c>
      <c r="B330" s="2">
        <v>9162</v>
      </c>
      <c r="C330" s="60" t="s">
        <v>9291</v>
      </c>
      <c r="D330" s="1"/>
      <c r="E330" s="68"/>
      <c r="F330" s="70"/>
      <c r="G330" s="1"/>
      <c r="H330" s="68"/>
      <c r="I330" s="70"/>
      <c r="J330" s="106" t="s">
        <v>16970</v>
      </c>
      <c r="K330" s="57" t="s">
        <v>1</v>
      </c>
      <c r="L330" s="58">
        <v>0.9</v>
      </c>
      <c r="M330" s="83" t="s">
        <v>5895</v>
      </c>
      <c r="N330" s="64" t="s">
        <v>1</v>
      </c>
      <c r="O330" s="65">
        <v>1</v>
      </c>
      <c r="P330" s="99"/>
      <c r="Q330" s="70"/>
      <c r="R330" s="99"/>
      <c r="S330" s="70"/>
      <c r="T330" s="66"/>
      <c r="U330" s="57"/>
      <c r="V330" s="58"/>
      <c r="W330" s="77"/>
      <c r="X330" s="1" t="s">
        <v>18026</v>
      </c>
      <c r="Y330" s="68"/>
      <c r="Z330" s="76"/>
      <c r="AA330" s="70"/>
      <c r="AB330" s="228">
        <f>ROUND((ROUND((ROUND((ROUND((_15_同援日２．０*_15・基礎２),0)*_15・２人),0)*(1+_15・A深夜)),0)*(1+_15・区３)),0)+ROUND((ROUND((ROUND((ROUND((_15_同援日２．０＿１．０*_15・基礎２),0)*_15・２人),0)*(1+_15・B早朝)),0)*(1+_15・区３)),0)</f>
        <v>956</v>
      </c>
      <c r="AC330" s="69"/>
    </row>
    <row r="331" spans="1:29" ht="16.5" customHeight="1" x14ac:dyDescent="0.3">
      <c r="A331" s="2">
        <v>15</v>
      </c>
      <c r="B331" s="2">
        <v>9163</v>
      </c>
      <c r="C331" s="60" t="s">
        <v>9290</v>
      </c>
      <c r="D331" s="1"/>
      <c r="E331" s="68"/>
      <c r="F331" s="70"/>
      <c r="G331" s="1"/>
      <c r="H331" s="68"/>
      <c r="I331" s="70"/>
      <c r="J331" s="61"/>
      <c r="K331" s="62"/>
      <c r="L331" s="63"/>
      <c r="M331" s="85"/>
      <c r="N331" s="64"/>
      <c r="O331" s="65"/>
      <c r="P331" s="99"/>
      <c r="Q331" s="70"/>
      <c r="R331" s="99"/>
      <c r="S331" s="70"/>
      <c r="T331" s="74" t="s">
        <v>18025</v>
      </c>
      <c r="U331" s="62"/>
      <c r="V331" s="63"/>
      <c r="W331" s="75"/>
      <c r="X331" s="67"/>
      <c r="Y331" s="68" t="s">
        <v>1</v>
      </c>
      <c r="Z331" s="76">
        <v>0.2</v>
      </c>
      <c r="AA331" s="70" t="s">
        <v>422</v>
      </c>
      <c r="AB331" s="228">
        <f>ROUND((ROUND((ROUND((_15_同援日２．０*(1+_15・A深夜)),0)*(1+_15・盲ろう)),0)*(1+_15・区３)),0)+ROUND((ROUND((ROUND((_15_同援日２．０＿１．０*(1+_15・B早朝)),0)*(1+_15・盲ろう)),0)*(1+_15・区３)),0)</f>
        <v>1330</v>
      </c>
      <c r="AC331" s="69"/>
    </row>
    <row r="332" spans="1:29" ht="16.5" customHeight="1" x14ac:dyDescent="0.3">
      <c r="A332" s="2">
        <v>15</v>
      </c>
      <c r="B332" s="2">
        <v>9164</v>
      </c>
      <c r="C332" s="60" t="s">
        <v>9289</v>
      </c>
      <c r="D332" s="1"/>
      <c r="E332" s="68"/>
      <c r="F332" s="70"/>
      <c r="G332" s="1"/>
      <c r="H332" s="68"/>
      <c r="I332" s="70"/>
      <c r="J332" s="66"/>
      <c r="K332" s="57"/>
      <c r="L332" s="58"/>
      <c r="M332" s="83" t="s">
        <v>5895</v>
      </c>
      <c r="N332" s="64" t="s">
        <v>1</v>
      </c>
      <c r="O332" s="65">
        <v>1</v>
      </c>
      <c r="P332" s="99"/>
      <c r="Q332" s="70"/>
      <c r="R332" s="99"/>
      <c r="S332" s="70"/>
      <c r="T332" s="94" t="s">
        <v>18024</v>
      </c>
      <c r="U332" s="68"/>
      <c r="V332" s="76"/>
      <c r="W332" s="70"/>
      <c r="X332" s="67"/>
      <c r="Y332" s="68"/>
      <c r="Z332" s="76"/>
      <c r="AA332" s="70"/>
      <c r="AB332" s="228">
        <f>ROUND((ROUND((ROUND((ROUND((_15_同援日２．０*_15・２人),0)*(1+_15・A深夜)),0)*(1+_15・盲ろう)),0)*(1+_15・区３)),0)+ROUND((ROUND((ROUND((ROUND((_15_同援日２．０＿１．０*_15・２人),0)*(1+_15・B早朝)),0)*(1+_15・盲ろう)),0)*(1+_15・区３)),0)</f>
        <v>1330</v>
      </c>
      <c r="AC332" s="69"/>
    </row>
    <row r="333" spans="1:29" ht="16.5" customHeight="1" x14ac:dyDescent="0.3">
      <c r="A333" s="2">
        <v>15</v>
      </c>
      <c r="B333" s="2">
        <v>9165</v>
      </c>
      <c r="C333" s="60" t="s">
        <v>9288</v>
      </c>
      <c r="D333" s="1"/>
      <c r="E333" s="68"/>
      <c r="F333" s="70"/>
      <c r="G333" s="1"/>
      <c r="H333" s="68"/>
      <c r="I333" s="70"/>
      <c r="J333" s="74" t="s">
        <v>16971</v>
      </c>
      <c r="K333" s="62"/>
      <c r="L333" s="63"/>
      <c r="M333" s="85"/>
      <c r="N333" s="64"/>
      <c r="O333" s="65"/>
      <c r="P333" s="99"/>
      <c r="Q333" s="70"/>
      <c r="R333" s="99"/>
      <c r="S333" s="70"/>
      <c r="T333" s="67"/>
      <c r="U333" s="68" t="s">
        <v>1</v>
      </c>
      <c r="V333" s="76">
        <v>0.25</v>
      </c>
      <c r="W333" s="70" t="s">
        <v>422</v>
      </c>
      <c r="X333" s="67"/>
      <c r="Y333" s="68"/>
      <c r="Z333" s="76"/>
      <c r="AA333" s="70"/>
      <c r="AB333" s="228">
        <f>ROUND((ROUND((ROUND((ROUND((_15_同援日２．０*_15・基礎２),0)*(1+_15・A深夜)),0)*(1+_15・盲ろう)),0)*(1+_15・区３)),0)+ROUND((ROUND((ROUND((ROUND((_15_同援日２．０＿１．０*_15・基礎２),0)*(1+_15・B早朝)),0)*(1+_15・盲ろう)),0)*(1+_15・区３)),0)</f>
        <v>1195</v>
      </c>
      <c r="AC333" s="69"/>
    </row>
    <row r="334" spans="1:29" ht="16.5" customHeight="1" x14ac:dyDescent="0.3">
      <c r="A334" s="2">
        <v>15</v>
      </c>
      <c r="B334" s="2">
        <v>9166</v>
      </c>
      <c r="C334" s="60" t="s">
        <v>9287</v>
      </c>
      <c r="D334" s="1"/>
      <c r="E334" s="68"/>
      <c r="F334" s="70"/>
      <c r="G334" s="1"/>
      <c r="H334" s="68"/>
      <c r="I334" s="70"/>
      <c r="J334" s="106" t="s">
        <v>5896</v>
      </c>
      <c r="K334" s="57" t="s">
        <v>1</v>
      </c>
      <c r="L334" s="58">
        <v>0.9</v>
      </c>
      <c r="M334" s="83" t="s">
        <v>5895</v>
      </c>
      <c r="N334" s="64" t="s">
        <v>1</v>
      </c>
      <c r="O334" s="65">
        <v>1</v>
      </c>
      <c r="P334" s="99"/>
      <c r="Q334" s="70"/>
      <c r="R334" s="99"/>
      <c r="S334" s="70"/>
      <c r="T334" s="66"/>
      <c r="U334" s="57"/>
      <c r="V334" s="58"/>
      <c r="W334" s="77"/>
      <c r="X334" s="66"/>
      <c r="Y334" s="57"/>
      <c r="Z334" s="58"/>
      <c r="AA334" s="77"/>
      <c r="AB334" s="228">
        <f>ROUND((ROUND((ROUND((ROUND((ROUND((_15_同援日２．０*_15・基礎２),0)*_15・２人),0)*(1+_15・A深夜)),0)*(1+_15・盲ろう)),0)*(1+_15・区３)),0)+ROUND((ROUND((ROUND((ROUND((ROUND((_15_同援日２．０＿１．０*_15・基礎２),0)*_15・２人),0)*(1+_15・B早朝)),0)*(1+_15・盲ろう)),0)*(1+_15・区３)),0)</f>
        <v>1195</v>
      </c>
      <c r="AC334" s="69"/>
    </row>
    <row r="335" spans="1:29" ht="16.5" customHeight="1" x14ac:dyDescent="0.3">
      <c r="A335" s="2">
        <v>15</v>
      </c>
      <c r="B335" s="2">
        <v>9167</v>
      </c>
      <c r="C335" s="60" t="s">
        <v>9286</v>
      </c>
      <c r="D335" s="1"/>
      <c r="E335" s="68"/>
      <c r="F335" s="70"/>
      <c r="G335" s="1"/>
      <c r="H335" s="68"/>
      <c r="I335" s="70"/>
      <c r="J335" s="61"/>
      <c r="K335" s="62"/>
      <c r="L335" s="63"/>
      <c r="M335" s="85"/>
      <c r="N335" s="64"/>
      <c r="O335" s="65"/>
      <c r="P335" s="99"/>
      <c r="Q335" s="70"/>
      <c r="R335" s="99"/>
      <c r="S335" s="70"/>
      <c r="T335" s="61"/>
      <c r="U335" s="62"/>
      <c r="V335" s="63"/>
      <c r="W335" s="75"/>
      <c r="X335" s="61"/>
      <c r="Y335" s="62"/>
      <c r="Z335" s="63"/>
      <c r="AA335" s="75"/>
      <c r="AB335" s="228">
        <f>ROUND((ROUND((_15_同援日２．０*(1+_15・A深夜)),0)*(1+_15・区４)),0)+ROUND((ROUND((_15_同援日２．０＿１．０*(1+_15・B早朝)),0)*(1+_15・区４)),0)</f>
        <v>1240</v>
      </c>
      <c r="AC335" s="69"/>
    </row>
    <row r="336" spans="1:29" ht="16.5" customHeight="1" x14ac:dyDescent="0.3">
      <c r="A336" s="2">
        <v>15</v>
      </c>
      <c r="B336" s="2">
        <v>9168</v>
      </c>
      <c r="C336" s="60" t="s">
        <v>9285</v>
      </c>
      <c r="D336" s="1"/>
      <c r="E336" s="68"/>
      <c r="F336" s="70"/>
      <c r="G336" s="1"/>
      <c r="H336" s="68"/>
      <c r="I336" s="70"/>
      <c r="J336" s="66"/>
      <c r="K336" s="57"/>
      <c r="L336" s="58"/>
      <c r="M336" s="83" t="s">
        <v>5895</v>
      </c>
      <c r="N336" s="64" t="s">
        <v>1</v>
      </c>
      <c r="O336" s="65">
        <v>1</v>
      </c>
      <c r="P336" s="99"/>
      <c r="Q336" s="70"/>
      <c r="R336" s="99"/>
      <c r="S336" s="70"/>
      <c r="T336" s="67"/>
      <c r="U336" s="68"/>
      <c r="V336" s="76"/>
      <c r="W336" s="70"/>
      <c r="X336" s="67"/>
      <c r="Y336" s="68"/>
      <c r="Z336" s="76"/>
      <c r="AA336" s="70"/>
      <c r="AB336" s="228">
        <f>ROUND((ROUND((ROUND((_15_同援日２．０*_15・２人),0)*(1+_15・A深夜)),0)*(1+_15・区４)),0)+ROUND((ROUND((ROUND((_15_同援日２．０＿１．０*_15・２人),0)*(1+_15・B早朝)),0)*(1+_15・区４)),0)</f>
        <v>1240</v>
      </c>
      <c r="AC336" s="69"/>
    </row>
    <row r="337" spans="1:29" ht="16.5" customHeight="1" x14ac:dyDescent="0.3">
      <c r="A337" s="2">
        <v>15</v>
      </c>
      <c r="B337" s="2">
        <v>9169</v>
      </c>
      <c r="C337" s="60" t="s">
        <v>9284</v>
      </c>
      <c r="D337" s="1"/>
      <c r="E337" s="68"/>
      <c r="F337" s="70"/>
      <c r="G337" s="1"/>
      <c r="H337" s="68"/>
      <c r="I337" s="70"/>
      <c r="J337" s="74" t="s">
        <v>16971</v>
      </c>
      <c r="K337" s="62"/>
      <c r="L337" s="63"/>
      <c r="M337" s="85"/>
      <c r="N337" s="64"/>
      <c r="O337" s="65"/>
      <c r="P337" s="99"/>
      <c r="Q337" s="70"/>
      <c r="R337" s="99"/>
      <c r="S337" s="70"/>
      <c r="T337" s="67"/>
      <c r="U337" s="68"/>
      <c r="V337" s="76"/>
      <c r="W337" s="70"/>
      <c r="X337" s="1" t="s">
        <v>18027</v>
      </c>
      <c r="Y337" s="68"/>
      <c r="Z337" s="76"/>
      <c r="AA337" s="70"/>
      <c r="AB337" s="228">
        <f>ROUND((ROUND((ROUND((_15_同援日２．０*_15・基礎２),0)*(1+_15・A深夜)),0)*(1+_15・区４)),0)+ROUND((ROUND((ROUND((_15_同援日２．０＿１．０*_15・基礎２),0)*(1+_15・B早朝)),0)*(1+_15・区４)),0)</f>
        <v>1115</v>
      </c>
      <c r="AC337" s="69"/>
    </row>
    <row r="338" spans="1:29" ht="16.5" customHeight="1" x14ac:dyDescent="0.3">
      <c r="A338" s="2">
        <v>15</v>
      </c>
      <c r="B338" s="2">
        <v>9170</v>
      </c>
      <c r="C338" s="60" t="s">
        <v>9283</v>
      </c>
      <c r="D338" s="1"/>
      <c r="E338" s="68"/>
      <c r="F338" s="70"/>
      <c r="G338" s="1"/>
      <c r="H338" s="68"/>
      <c r="I338" s="70"/>
      <c r="J338" s="106" t="s">
        <v>16970</v>
      </c>
      <c r="K338" s="57" t="s">
        <v>1</v>
      </c>
      <c r="L338" s="58">
        <v>0.9</v>
      </c>
      <c r="M338" s="83" t="s">
        <v>5895</v>
      </c>
      <c r="N338" s="64" t="s">
        <v>1</v>
      </c>
      <c r="O338" s="65">
        <v>1</v>
      </c>
      <c r="P338" s="99"/>
      <c r="Q338" s="70"/>
      <c r="R338" s="99"/>
      <c r="S338" s="70"/>
      <c r="T338" s="66"/>
      <c r="U338" s="57"/>
      <c r="V338" s="58"/>
      <c r="W338" s="77"/>
      <c r="X338" s="1" t="s">
        <v>18026</v>
      </c>
      <c r="Y338" s="68"/>
      <c r="Z338" s="76"/>
      <c r="AA338" s="70"/>
      <c r="AB338" s="228">
        <f>ROUND((ROUND((ROUND((ROUND((_15_同援日２．０*_15・基礎２),0)*_15・２人),0)*(1+_15・A深夜)),0)*(1+_15・区４)),0)+ROUND((ROUND((ROUND((ROUND((_15_同援日２．０＿１．０*_15・基礎２),0)*_15・２人),0)*(1+_15・B早朝)),0)*(1+_15・区４)),0)</f>
        <v>1115</v>
      </c>
      <c r="AC338" s="69"/>
    </row>
    <row r="339" spans="1:29" ht="16.5" customHeight="1" x14ac:dyDescent="0.3">
      <c r="A339" s="2">
        <v>15</v>
      </c>
      <c r="B339" s="2">
        <v>9171</v>
      </c>
      <c r="C339" s="60" t="s">
        <v>9282</v>
      </c>
      <c r="D339" s="1"/>
      <c r="E339" s="68"/>
      <c r="F339" s="70"/>
      <c r="G339" s="1"/>
      <c r="H339" s="68"/>
      <c r="I339" s="70"/>
      <c r="J339" s="61"/>
      <c r="K339" s="62"/>
      <c r="L339" s="63"/>
      <c r="M339" s="85"/>
      <c r="N339" s="64"/>
      <c r="O339" s="65"/>
      <c r="P339" s="99"/>
      <c r="Q339" s="70"/>
      <c r="R339" s="99"/>
      <c r="S339" s="70"/>
      <c r="T339" s="74" t="s">
        <v>18025</v>
      </c>
      <c r="U339" s="62"/>
      <c r="V339" s="63"/>
      <c r="W339" s="75"/>
      <c r="X339" s="67"/>
      <c r="Y339" s="68" t="s">
        <v>1</v>
      </c>
      <c r="Z339" s="76">
        <v>0.4</v>
      </c>
      <c r="AA339" s="70" t="s">
        <v>422</v>
      </c>
      <c r="AB339" s="228">
        <f>ROUND((ROUND((ROUND((_15_同援日２．０*(1+_15・A深夜)),0)*(1+_15・盲ろう)),0)*(1+_15・区４)),0)+ROUND((ROUND((ROUND((_15_同援日２．０＿１．０*(1+_15・B早朝)),0)*(1+_15・盲ろう)),0)*(1+_15・区４)),0)</f>
        <v>1551</v>
      </c>
      <c r="AC339" s="69"/>
    </row>
    <row r="340" spans="1:29" ht="16.5" customHeight="1" x14ac:dyDescent="0.3">
      <c r="A340" s="2">
        <v>15</v>
      </c>
      <c r="B340" s="2">
        <v>9172</v>
      </c>
      <c r="C340" s="60" t="s">
        <v>9281</v>
      </c>
      <c r="D340" s="1"/>
      <c r="E340" s="68"/>
      <c r="F340" s="70"/>
      <c r="G340" s="1"/>
      <c r="H340" s="68"/>
      <c r="I340" s="70"/>
      <c r="J340" s="66"/>
      <c r="K340" s="57"/>
      <c r="L340" s="58"/>
      <c r="M340" s="83" t="s">
        <v>5895</v>
      </c>
      <c r="N340" s="64" t="s">
        <v>1</v>
      </c>
      <c r="O340" s="65">
        <v>1</v>
      </c>
      <c r="P340" s="99"/>
      <c r="Q340" s="70"/>
      <c r="R340" s="99"/>
      <c r="S340" s="70"/>
      <c r="T340" s="94" t="s">
        <v>18024</v>
      </c>
      <c r="U340" s="68"/>
      <c r="V340" s="76"/>
      <c r="W340" s="70"/>
      <c r="X340" s="67"/>
      <c r="Y340" s="68"/>
      <c r="Z340" s="76"/>
      <c r="AA340" s="70"/>
      <c r="AB340" s="228">
        <f>ROUND((ROUND((ROUND((ROUND((_15_同援日２．０*_15・２人),0)*(1+_15・A深夜)),0)*(1+_15・盲ろう)),0)*(1+_15・区４)),0)+ROUND((ROUND((ROUND((ROUND((_15_同援日２．０＿１．０*_15・２人),0)*(1+_15・B早朝)),0)*(1+_15・盲ろう)),0)*(1+_15・区４)),0)</f>
        <v>1551</v>
      </c>
      <c r="AC340" s="69"/>
    </row>
    <row r="341" spans="1:29" ht="16.5" customHeight="1" x14ac:dyDescent="0.3">
      <c r="A341" s="2">
        <v>15</v>
      </c>
      <c r="B341" s="2">
        <v>9173</v>
      </c>
      <c r="C341" s="60" t="s">
        <v>9280</v>
      </c>
      <c r="D341" s="1"/>
      <c r="E341" s="68"/>
      <c r="F341" s="70"/>
      <c r="G341" s="1"/>
      <c r="H341" s="68"/>
      <c r="I341" s="70"/>
      <c r="J341" s="74" t="s">
        <v>16971</v>
      </c>
      <c r="K341" s="62"/>
      <c r="L341" s="63"/>
      <c r="M341" s="85"/>
      <c r="N341" s="64"/>
      <c r="O341" s="65"/>
      <c r="P341" s="99"/>
      <c r="Q341" s="70"/>
      <c r="R341" s="99"/>
      <c r="S341" s="70"/>
      <c r="T341" s="67"/>
      <c r="U341" s="68" t="s">
        <v>1</v>
      </c>
      <c r="V341" s="76">
        <v>0.25</v>
      </c>
      <c r="W341" s="70" t="s">
        <v>422</v>
      </c>
      <c r="X341" s="67"/>
      <c r="Y341" s="68"/>
      <c r="Z341" s="76"/>
      <c r="AA341" s="70"/>
      <c r="AB341" s="228">
        <f>ROUND((ROUND((ROUND((ROUND((_15_同援日２．０*_15・基礎２),0)*(1+_15・A深夜)),0)*(1+_15・盲ろう)),0)*(1+_15・区４)),0)+ROUND((ROUND((ROUND((ROUND((_15_同援日２．０＿１．０*_15・基礎２),0)*(1+_15・B早朝)),0)*(1+_15・盲ろう)),0)*(1+_15・区４)),0)</f>
        <v>1394</v>
      </c>
      <c r="AC341" s="69"/>
    </row>
    <row r="342" spans="1:29" ht="16.5" customHeight="1" x14ac:dyDescent="0.3">
      <c r="A342" s="2">
        <v>15</v>
      </c>
      <c r="B342" s="2">
        <v>9174</v>
      </c>
      <c r="C342" s="60" t="s">
        <v>9279</v>
      </c>
      <c r="D342" s="81"/>
      <c r="E342" s="57"/>
      <c r="F342" s="77"/>
      <c r="G342" s="81"/>
      <c r="H342" s="57"/>
      <c r="I342" s="77"/>
      <c r="J342" s="106" t="s">
        <v>5896</v>
      </c>
      <c r="K342" s="57" t="s">
        <v>1</v>
      </c>
      <c r="L342" s="58">
        <v>0.9</v>
      </c>
      <c r="M342" s="83" t="s">
        <v>5895</v>
      </c>
      <c r="N342" s="64" t="s">
        <v>1</v>
      </c>
      <c r="O342" s="65">
        <v>1</v>
      </c>
      <c r="P342" s="99"/>
      <c r="Q342" s="70"/>
      <c r="R342" s="99"/>
      <c r="S342" s="70"/>
      <c r="T342" s="66"/>
      <c r="U342" s="57"/>
      <c r="V342" s="58"/>
      <c r="W342" s="77"/>
      <c r="X342" s="66"/>
      <c r="Y342" s="57"/>
      <c r="Z342" s="58"/>
      <c r="AA342" s="77"/>
      <c r="AB342" s="228">
        <f>ROUND((ROUND((ROUND((ROUND((ROUND((_15_同援日２．０*_15・基礎２),0)*_15・２人),0)*(1+_15・A深夜)),0)*(1+_15・盲ろう)),0)*(1+_15・区４)),0)+ROUND((ROUND((ROUND((ROUND((ROUND((_15_同援日２．０＿１．０*_15・基礎２),0)*_15・２人),0)*(1+_15・B早朝)),0)*(1+_15・盲ろう)),0)*(1+_15・区４)),0)</f>
        <v>1394</v>
      </c>
      <c r="AC342" s="69"/>
    </row>
    <row r="343" spans="1:29" ht="16.5" customHeight="1" x14ac:dyDescent="0.3">
      <c r="A343" s="2">
        <v>15</v>
      </c>
      <c r="B343" s="2">
        <v>9175</v>
      </c>
      <c r="C343" s="60" t="s">
        <v>9278</v>
      </c>
      <c r="D343" s="233" t="s">
        <v>18029</v>
      </c>
      <c r="E343" s="62"/>
      <c r="F343" s="75"/>
      <c r="G343" s="233" t="s">
        <v>16993</v>
      </c>
      <c r="H343" s="62"/>
      <c r="I343" s="75"/>
      <c r="J343" s="61"/>
      <c r="K343" s="62"/>
      <c r="L343" s="63"/>
      <c r="M343" s="85"/>
      <c r="N343" s="64"/>
      <c r="O343" s="65"/>
      <c r="P343" s="99"/>
      <c r="Q343" s="70"/>
      <c r="R343" s="99"/>
      <c r="S343" s="70"/>
      <c r="T343" s="61"/>
      <c r="U343" s="62"/>
      <c r="V343" s="63"/>
      <c r="W343" s="75"/>
      <c r="X343" s="61"/>
      <c r="Y343" s="62"/>
      <c r="Z343" s="63"/>
      <c r="AA343" s="75"/>
      <c r="AB343" s="228">
        <f>ROUND((_15_同援日２．５*(1+_15・A深夜)),0)+ROUND((_15_同援日２．５＿０．５*(1+_15・B早朝)),0)</f>
        <v>901</v>
      </c>
      <c r="AC343" s="69"/>
    </row>
    <row r="344" spans="1:29" ht="16.5" customHeight="1" x14ac:dyDescent="0.3">
      <c r="A344" s="2">
        <v>15</v>
      </c>
      <c r="B344" s="2">
        <v>9176</v>
      </c>
      <c r="C344" s="60" t="s">
        <v>9277</v>
      </c>
      <c r="D344" s="1" t="s">
        <v>16974</v>
      </c>
      <c r="E344" s="68"/>
      <c r="F344" s="70"/>
      <c r="G344" s="1" t="s">
        <v>7928</v>
      </c>
      <c r="H344" s="68"/>
      <c r="I344" s="70"/>
      <c r="J344" s="66"/>
      <c r="K344" s="57"/>
      <c r="L344" s="58"/>
      <c r="M344" s="83" t="s">
        <v>5895</v>
      </c>
      <c r="N344" s="64" t="s">
        <v>1</v>
      </c>
      <c r="O344" s="65">
        <v>1</v>
      </c>
      <c r="P344" s="99"/>
      <c r="Q344" s="70"/>
      <c r="R344" s="99"/>
      <c r="S344" s="70"/>
      <c r="T344" s="67"/>
      <c r="U344" s="68"/>
      <c r="V344" s="76"/>
      <c r="W344" s="70"/>
      <c r="X344" s="67"/>
      <c r="Y344" s="68"/>
      <c r="Z344" s="76"/>
      <c r="AA344" s="70"/>
      <c r="AB344" s="228">
        <f>ROUND((ROUND((_15_同援日２．５*_15・２人),0)*(1+_15・A深夜)),0)+ROUND((ROUND((_15_同援日２．５＿０．５*_15・２人),0)*(1+_15・B早朝)),0)</f>
        <v>901</v>
      </c>
      <c r="AC344" s="69"/>
    </row>
    <row r="345" spans="1:29" ht="16.5" customHeight="1" x14ac:dyDescent="0.3">
      <c r="A345" s="2">
        <v>15</v>
      </c>
      <c r="B345" s="2">
        <v>9177</v>
      </c>
      <c r="C345" s="60" t="s">
        <v>9276</v>
      </c>
      <c r="D345" s="1" t="s">
        <v>8499</v>
      </c>
      <c r="E345" s="68"/>
      <c r="F345" s="70"/>
      <c r="G345" s="1"/>
      <c r="H345" s="68"/>
      <c r="I345" s="70"/>
      <c r="J345" s="74" t="s">
        <v>16971</v>
      </c>
      <c r="K345" s="62"/>
      <c r="L345" s="63"/>
      <c r="M345" s="85"/>
      <c r="N345" s="64"/>
      <c r="O345" s="65"/>
      <c r="P345" s="99"/>
      <c r="Q345" s="70"/>
      <c r="R345" s="99"/>
      <c r="S345" s="70"/>
      <c r="T345" s="67"/>
      <c r="U345" s="68"/>
      <c r="V345" s="76"/>
      <c r="W345" s="70"/>
      <c r="X345" s="67"/>
      <c r="Y345" s="68"/>
      <c r="Z345" s="76"/>
      <c r="AA345" s="70"/>
      <c r="AB345" s="228">
        <f>ROUND((ROUND((_15_同援日２．５*_15・基礎２),0)*(1+_15・A深夜)),0)+ROUND((ROUND((_15_同援日２．５＿０．５*_15・基礎２),0)*(1+_15・B早朝)),0)</f>
        <v>811</v>
      </c>
      <c r="AC345" s="69"/>
    </row>
    <row r="346" spans="1:29" ht="16.5" customHeight="1" x14ac:dyDescent="0.3">
      <c r="A346" s="2">
        <v>15</v>
      </c>
      <c r="B346" s="2">
        <v>9178</v>
      </c>
      <c r="C346" s="60" t="s">
        <v>9275</v>
      </c>
      <c r="D346" s="1"/>
      <c r="E346" s="227">
        <v>548</v>
      </c>
      <c r="F346" s="70" t="s">
        <v>0</v>
      </c>
      <c r="G346" s="1"/>
      <c r="H346" s="119">
        <v>63</v>
      </c>
      <c r="I346" s="70" t="s">
        <v>0</v>
      </c>
      <c r="J346" s="106" t="s">
        <v>16970</v>
      </c>
      <c r="K346" s="57" t="s">
        <v>1</v>
      </c>
      <c r="L346" s="58">
        <v>0.9</v>
      </c>
      <c r="M346" s="83" t="s">
        <v>5895</v>
      </c>
      <c r="N346" s="64" t="s">
        <v>1</v>
      </c>
      <c r="O346" s="65">
        <v>1</v>
      </c>
      <c r="P346" s="99"/>
      <c r="Q346" s="70"/>
      <c r="R346" s="99"/>
      <c r="S346" s="70"/>
      <c r="T346" s="66"/>
      <c r="U346" s="57"/>
      <c r="V346" s="58"/>
      <c r="W346" s="77"/>
      <c r="X346" s="67"/>
      <c r="Y346" s="68"/>
      <c r="Z346" s="76"/>
      <c r="AA346" s="70"/>
      <c r="AB346" s="228">
        <f>ROUND((ROUND((ROUND((_15_同援日２．５*_15・基礎２),0)*_15・２人),0)*(1+_15・A深夜)),0)+ROUND((ROUND((ROUND((_15_同援日２．５＿０．５*_15・基礎２),0)*_15・２人),0)*(1+_15・B早朝)),0)</f>
        <v>811</v>
      </c>
      <c r="AC346" s="69"/>
    </row>
    <row r="347" spans="1:29" ht="16.5" customHeight="1" x14ac:dyDescent="0.3">
      <c r="A347" s="2">
        <v>15</v>
      </c>
      <c r="B347" s="2">
        <v>9179</v>
      </c>
      <c r="C347" s="60" t="s">
        <v>9274</v>
      </c>
      <c r="D347" s="1"/>
      <c r="E347" s="68"/>
      <c r="F347" s="70"/>
      <c r="G347" s="1"/>
      <c r="H347" s="68"/>
      <c r="I347" s="70"/>
      <c r="J347" s="61"/>
      <c r="K347" s="62"/>
      <c r="L347" s="63"/>
      <c r="M347" s="85"/>
      <c r="N347" s="64"/>
      <c r="O347" s="65"/>
      <c r="P347" s="99"/>
      <c r="Q347" s="70"/>
      <c r="R347" s="99"/>
      <c r="S347" s="70"/>
      <c r="T347" s="74" t="s">
        <v>18025</v>
      </c>
      <c r="U347" s="62"/>
      <c r="V347" s="63"/>
      <c r="W347" s="75"/>
      <c r="X347" s="67"/>
      <c r="Y347" s="68"/>
      <c r="Z347" s="76"/>
      <c r="AA347" s="70"/>
      <c r="AB347" s="228">
        <f>ROUND((ROUND((_15_同援日２．５*(1+_15・A深夜)),0)*(1+_15・盲ろう)),0)+ROUND((ROUND((_15_同援日２．５＿０．５*(1+_15・B早朝)),0)*(1+_15・盲ろう)),0)</f>
        <v>1127</v>
      </c>
      <c r="AC347" s="69"/>
    </row>
    <row r="348" spans="1:29" ht="16.5" customHeight="1" x14ac:dyDescent="0.3">
      <c r="A348" s="2">
        <v>15</v>
      </c>
      <c r="B348" s="2">
        <v>9180</v>
      </c>
      <c r="C348" s="60" t="s">
        <v>9273</v>
      </c>
      <c r="D348" s="1"/>
      <c r="E348" s="68"/>
      <c r="F348" s="70"/>
      <c r="G348" s="1"/>
      <c r="H348" s="68"/>
      <c r="I348" s="70"/>
      <c r="J348" s="66"/>
      <c r="K348" s="57"/>
      <c r="L348" s="58"/>
      <c r="M348" s="83" t="s">
        <v>5895</v>
      </c>
      <c r="N348" s="64" t="s">
        <v>1</v>
      </c>
      <c r="O348" s="65">
        <v>1</v>
      </c>
      <c r="P348" s="99"/>
      <c r="Q348" s="70"/>
      <c r="R348" s="99"/>
      <c r="S348" s="70"/>
      <c r="T348" s="94" t="s">
        <v>18024</v>
      </c>
      <c r="U348" s="68"/>
      <c r="V348" s="76"/>
      <c r="W348" s="70"/>
      <c r="X348" s="67"/>
      <c r="Y348" s="68"/>
      <c r="Z348" s="76"/>
      <c r="AA348" s="70"/>
      <c r="AB348" s="228">
        <f>ROUND((ROUND((ROUND((_15_同援日２．５*_15・２人),0)*(1+_15・A深夜)),0)*(1+_15・盲ろう)),0)+ROUND((ROUND((ROUND((_15_同援日２．５＿０．５*_15・２人),0)*(1+_15・B早朝)),0)*(1+_15・盲ろう)),0)</f>
        <v>1127</v>
      </c>
      <c r="AC348" s="69"/>
    </row>
    <row r="349" spans="1:29" ht="16.5" customHeight="1" x14ac:dyDescent="0.3">
      <c r="A349" s="2">
        <v>15</v>
      </c>
      <c r="B349" s="2">
        <v>9181</v>
      </c>
      <c r="C349" s="60" t="s">
        <v>9272</v>
      </c>
      <c r="D349" s="1"/>
      <c r="E349" s="68"/>
      <c r="F349" s="70"/>
      <c r="G349" s="1"/>
      <c r="H349" s="68"/>
      <c r="I349" s="70"/>
      <c r="J349" s="74" t="s">
        <v>16971</v>
      </c>
      <c r="K349" s="62"/>
      <c r="L349" s="63"/>
      <c r="M349" s="85"/>
      <c r="N349" s="64"/>
      <c r="O349" s="65"/>
      <c r="P349" s="99"/>
      <c r="Q349" s="70"/>
      <c r="R349" s="99"/>
      <c r="S349" s="70"/>
      <c r="T349" s="67"/>
      <c r="U349" s="68" t="s">
        <v>1</v>
      </c>
      <c r="V349" s="76">
        <v>0.25</v>
      </c>
      <c r="W349" s="70" t="s">
        <v>422</v>
      </c>
      <c r="X349" s="67"/>
      <c r="Y349" s="68"/>
      <c r="Z349" s="76"/>
      <c r="AA349" s="70"/>
      <c r="AB349" s="228">
        <f>ROUND((ROUND((ROUND((_15_同援日２．５*_15・基礎２),0)*(1+_15・A深夜)),0)*(1+_15・盲ろう)),0)+ROUND((ROUND((ROUND((_15_同援日２．５＿０．５*_15・基礎２),0)*(1+_15・B早朝)),0)*(1+_15・盲ろう)),0)</f>
        <v>1014</v>
      </c>
      <c r="AC349" s="69"/>
    </row>
    <row r="350" spans="1:29" ht="16.5" customHeight="1" x14ac:dyDescent="0.3">
      <c r="A350" s="2">
        <v>15</v>
      </c>
      <c r="B350" s="2">
        <v>9182</v>
      </c>
      <c r="C350" s="60" t="s">
        <v>9271</v>
      </c>
      <c r="D350" s="1"/>
      <c r="E350" s="68"/>
      <c r="F350" s="70"/>
      <c r="G350" s="1"/>
      <c r="H350" s="68"/>
      <c r="I350" s="70"/>
      <c r="J350" s="106" t="s">
        <v>16970</v>
      </c>
      <c r="K350" s="57" t="s">
        <v>1</v>
      </c>
      <c r="L350" s="58">
        <v>0.9</v>
      </c>
      <c r="M350" s="83" t="s">
        <v>5895</v>
      </c>
      <c r="N350" s="64" t="s">
        <v>1</v>
      </c>
      <c r="O350" s="65">
        <v>1</v>
      </c>
      <c r="P350" s="99"/>
      <c r="Q350" s="70"/>
      <c r="R350" s="99"/>
      <c r="S350" s="70"/>
      <c r="T350" s="66"/>
      <c r="U350" s="57"/>
      <c r="V350" s="58"/>
      <c r="W350" s="77"/>
      <c r="X350" s="66"/>
      <c r="Y350" s="57"/>
      <c r="Z350" s="58"/>
      <c r="AA350" s="77"/>
      <c r="AB350" s="228">
        <f>ROUND((ROUND((ROUND((ROUND((_15_同援日２．５*_15・基礎２),0)*_15・２人),0)*(1+_15・A深夜)),0)*(1+_15・盲ろう)),0)+ROUND((ROUND((ROUND((ROUND((_15_同援日２．５＿０．５*_15・基礎２),0)*_15・２人),0)*(1+_15・B早朝)),0)*(1+_15・盲ろう)),0)</f>
        <v>1014</v>
      </c>
      <c r="AC350" s="69"/>
    </row>
    <row r="351" spans="1:29" ht="16.5" customHeight="1" x14ac:dyDescent="0.3">
      <c r="A351" s="2">
        <v>15</v>
      </c>
      <c r="B351" s="2">
        <v>9183</v>
      </c>
      <c r="C351" s="60" t="s">
        <v>9270</v>
      </c>
      <c r="D351" s="1"/>
      <c r="E351" s="68"/>
      <c r="F351" s="70"/>
      <c r="G351" s="1"/>
      <c r="H351" s="68"/>
      <c r="I351" s="70"/>
      <c r="J351" s="61"/>
      <c r="K351" s="62"/>
      <c r="L351" s="63"/>
      <c r="M351" s="85"/>
      <c r="N351" s="64"/>
      <c r="O351" s="65"/>
      <c r="P351" s="99"/>
      <c r="Q351" s="70"/>
      <c r="R351" s="99"/>
      <c r="S351" s="70"/>
      <c r="T351" s="61"/>
      <c r="U351" s="62"/>
      <c r="V351" s="63"/>
      <c r="W351" s="75"/>
      <c r="X351" s="61"/>
      <c r="Y351" s="62"/>
      <c r="Z351" s="63"/>
      <c r="AA351" s="75"/>
      <c r="AB351" s="228">
        <f>ROUND((ROUND((_15_同援日２．５*(1+_15・A深夜)),0)*(1+_15・区３)),0)+ROUND((ROUND((_15_同援日２．５＿０．５*(1+_15・B早朝)),0)*(1+_15・区３)),0)</f>
        <v>1081</v>
      </c>
      <c r="AC351" s="69"/>
    </row>
    <row r="352" spans="1:29" ht="16.5" customHeight="1" x14ac:dyDescent="0.3">
      <c r="A352" s="2">
        <v>15</v>
      </c>
      <c r="B352" s="2">
        <v>9184</v>
      </c>
      <c r="C352" s="60" t="s">
        <v>9269</v>
      </c>
      <c r="D352" s="1"/>
      <c r="E352" s="68"/>
      <c r="F352" s="70"/>
      <c r="G352" s="1"/>
      <c r="H352" s="68"/>
      <c r="I352" s="70"/>
      <c r="J352" s="66"/>
      <c r="K352" s="57"/>
      <c r="L352" s="58"/>
      <c r="M352" s="83" t="s">
        <v>5895</v>
      </c>
      <c r="N352" s="64" t="s">
        <v>1</v>
      </c>
      <c r="O352" s="65">
        <v>1</v>
      </c>
      <c r="P352" s="99"/>
      <c r="Q352" s="70"/>
      <c r="R352" s="99"/>
      <c r="S352" s="70"/>
      <c r="T352" s="67"/>
      <c r="U352" s="68"/>
      <c r="V352" s="76"/>
      <c r="W352" s="70"/>
      <c r="X352" s="67"/>
      <c r="Y352" s="68"/>
      <c r="Z352" s="76"/>
      <c r="AA352" s="70"/>
      <c r="AB352" s="228">
        <f>ROUND((ROUND((ROUND((_15_同援日２．５*_15・２人),0)*(1+_15・A深夜)),0)*(1+_15・区３)),0)+ROUND((ROUND((ROUND((_15_同援日２．５＿０．５*_15・２人),0)*(1+_15・B早朝)),0)*(1+_15・区３)),0)</f>
        <v>1081</v>
      </c>
      <c r="AC352" s="69"/>
    </row>
    <row r="353" spans="1:29" ht="16.5" customHeight="1" x14ac:dyDescent="0.3">
      <c r="A353" s="2">
        <v>15</v>
      </c>
      <c r="B353" s="2">
        <v>9185</v>
      </c>
      <c r="C353" s="60" t="s">
        <v>9268</v>
      </c>
      <c r="D353" s="1"/>
      <c r="E353" s="68"/>
      <c r="F353" s="70"/>
      <c r="G353" s="1"/>
      <c r="H353" s="68"/>
      <c r="I353" s="70"/>
      <c r="J353" s="74" t="s">
        <v>16971</v>
      </c>
      <c r="K353" s="62"/>
      <c r="L353" s="63"/>
      <c r="M353" s="85"/>
      <c r="N353" s="64"/>
      <c r="O353" s="65"/>
      <c r="P353" s="99"/>
      <c r="Q353" s="70"/>
      <c r="R353" s="99"/>
      <c r="S353" s="70"/>
      <c r="T353" s="67"/>
      <c r="U353" s="68"/>
      <c r="V353" s="76"/>
      <c r="W353" s="70"/>
      <c r="X353" s="1" t="s">
        <v>18028</v>
      </c>
      <c r="Y353" s="68"/>
      <c r="Z353" s="76"/>
      <c r="AA353" s="70"/>
      <c r="AB353" s="228">
        <f>ROUND((ROUND((ROUND((_15_同援日２．５*_15・基礎２),0)*(1+_15・A深夜)),0)*(1+_15・区３)),0)+ROUND((ROUND((ROUND((_15_同援日２．５＿０．５*_15・基礎２),0)*(1+_15・B早朝)),0)*(1+_15・区３)),0)</f>
        <v>973</v>
      </c>
      <c r="AC353" s="69"/>
    </row>
    <row r="354" spans="1:29" ht="16.5" customHeight="1" x14ac:dyDescent="0.3">
      <c r="A354" s="2">
        <v>15</v>
      </c>
      <c r="B354" s="2">
        <v>9186</v>
      </c>
      <c r="C354" s="60" t="s">
        <v>9267</v>
      </c>
      <c r="D354" s="1"/>
      <c r="E354" s="68"/>
      <c r="F354" s="70"/>
      <c r="G354" s="1"/>
      <c r="H354" s="68"/>
      <c r="I354" s="70"/>
      <c r="J354" s="106" t="s">
        <v>16970</v>
      </c>
      <c r="K354" s="57" t="s">
        <v>1</v>
      </c>
      <c r="L354" s="58">
        <v>0.9</v>
      </c>
      <c r="M354" s="83" t="s">
        <v>5895</v>
      </c>
      <c r="N354" s="64" t="s">
        <v>1</v>
      </c>
      <c r="O354" s="65">
        <v>1</v>
      </c>
      <c r="P354" s="99"/>
      <c r="Q354" s="70"/>
      <c r="R354" s="99"/>
      <c r="S354" s="70"/>
      <c r="T354" s="66"/>
      <c r="U354" s="57"/>
      <c r="V354" s="58"/>
      <c r="W354" s="77"/>
      <c r="X354" s="1" t="s">
        <v>18026</v>
      </c>
      <c r="Y354" s="68"/>
      <c r="Z354" s="76"/>
      <c r="AA354" s="70"/>
      <c r="AB354" s="228">
        <f>ROUND((ROUND((ROUND((ROUND((_15_同援日２．５*_15・基礎２),0)*_15・２人),0)*(1+_15・A深夜)),0)*(1+_15・区３)),0)+ROUND((ROUND((ROUND((ROUND((_15_同援日２．５＿０．５*_15・基礎２),0)*_15・２人),0)*(1+_15・B早朝)),0)*(1+_15・区３)),0)</f>
        <v>973</v>
      </c>
      <c r="AC354" s="69"/>
    </row>
    <row r="355" spans="1:29" ht="16.5" customHeight="1" x14ac:dyDescent="0.3">
      <c r="A355" s="2">
        <v>15</v>
      </c>
      <c r="B355" s="2">
        <v>9187</v>
      </c>
      <c r="C355" s="60" t="s">
        <v>9266</v>
      </c>
      <c r="D355" s="1"/>
      <c r="E355" s="68"/>
      <c r="F355" s="70"/>
      <c r="G355" s="1"/>
      <c r="H355" s="68"/>
      <c r="I355" s="70"/>
      <c r="J355" s="61"/>
      <c r="K355" s="62"/>
      <c r="L355" s="63"/>
      <c r="M355" s="85"/>
      <c r="N355" s="64"/>
      <c r="O355" s="65"/>
      <c r="P355" s="99"/>
      <c r="Q355" s="70"/>
      <c r="R355" s="99"/>
      <c r="S355" s="70"/>
      <c r="T355" s="74" t="s">
        <v>18025</v>
      </c>
      <c r="U355" s="62"/>
      <c r="V355" s="63"/>
      <c r="W355" s="75"/>
      <c r="X355" s="67"/>
      <c r="Y355" s="68" t="s">
        <v>1</v>
      </c>
      <c r="Z355" s="76">
        <v>0.2</v>
      </c>
      <c r="AA355" s="70" t="s">
        <v>422</v>
      </c>
      <c r="AB355" s="228">
        <f>ROUND((ROUND((ROUND((_15_同援日２．５*(1+_15・A深夜)),0)*(1+_15・盲ろう)),0)*(1+_15・区３)),0)+ROUND((ROUND((ROUND((_15_同援日２．５＿０．５*(1+_15・B早朝)),0)*(1+_15・盲ろう)),0)*(1+_15・区３)),0)</f>
        <v>1353</v>
      </c>
      <c r="AC355" s="69"/>
    </row>
    <row r="356" spans="1:29" ht="16.5" customHeight="1" x14ac:dyDescent="0.3">
      <c r="A356" s="2">
        <v>15</v>
      </c>
      <c r="B356" s="2">
        <v>9188</v>
      </c>
      <c r="C356" s="60" t="s">
        <v>9265</v>
      </c>
      <c r="D356" s="1"/>
      <c r="E356" s="68"/>
      <c r="F356" s="70"/>
      <c r="G356" s="1"/>
      <c r="H356" s="68"/>
      <c r="I356" s="70"/>
      <c r="J356" s="66"/>
      <c r="K356" s="57"/>
      <c r="L356" s="58"/>
      <c r="M356" s="83" t="s">
        <v>5895</v>
      </c>
      <c r="N356" s="64" t="s">
        <v>1</v>
      </c>
      <c r="O356" s="65">
        <v>1</v>
      </c>
      <c r="P356" s="99"/>
      <c r="Q356" s="70"/>
      <c r="R356" s="99"/>
      <c r="S356" s="70"/>
      <c r="T356" s="94" t="s">
        <v>18024</v>
      </c>
      <c r="U356" s="68"/>
      <c r="V356" s="76"/>
      <c r="W356" s="70"/>
      <c r="X356" s="67"/>
      <c r="Y356" s="68"/>
      <c r="Z356" s="76"/>
      <c r="AA356" s="70"/>
      <c r="AB356" s="228">
        <f>ROUND((ROUND((ROUND((ROUND((_15_同援日２．５*_15・２人),0)*(1+_15・A深夜)),0)*(1+_15・盲ろう)),0)*(1+_15・区３)),0)+ROUND((ROUND((ROUND((ROUND((_15_同援日２．５＿０．５*_15・２人),0)*(1+_15・B早朝)),0)*(1+_15・盲ろう)),0)*(1+_15・区３)),0)</f>
        <v>1353</v>
      </c>
      <c r="AC356" s="69"/>
    </row>
    <row r="357" spans="1:29" ht="16.5" customHeight="1" x14ac:dyDescent="0.3">
      <c r="A357" s="2">
        <v>15</v>
      </c>
      <c r="B357" s="2">
        <v>9189</v>
      </c>
      <c r="C357" s="60" t="s">
        <v>9264</v>
      </c>
      <c r="D357" s="1"/>
      <c r="E357" s="68"/>
      <c r="F357" s="70"/>
      <c r="G357" s="1"/>
      <c r="H357" s="68"/>
      <c r="I357" s="70"/>
      <c r="J357" s="74" t="s">
        <v>16971</v>
      </c>
      <c r="K357" s="62"/>
      <c r="L357" s="63"/>
      <c r="M357" s="85"/>
      <c r="N357" s="64"/>
      <c r="O357" s="65"/>
      <c r="P357" s="99"/>
      <c r="Q357" s="70"/>
      <c r="R357" s="99"/>
      <c r="S357" s="70"/>
      <c r="T357" s="67"/>
      <c r="U357" s="68" t="s">
        <v>1</v>
      </c>
      <c r="V357" s="76">
        <v>0.25</v>
      </c>
      <c r="W357" s="70" t="s">
        <v>422</v>
      </c>
      <c r="X357" s="67"/>
      <c r="Y357" s="68"/>
      <c r="Z357" s="76"/>
      <c r="AA357" s="70"/>
      <c r="AB357" s="228">
        <f>ROUND((ROUND((ROUND((ROUND((_15_同援日２．５*_15・基礎２),0)*(1+_15・A深夜)),0)*(1+_15・盲ろう)),0)*(1+_15・区３)),0)+ROUND((ROUND((ROUND((ROUND((_15_同援日２．５＿０．５*_15・基礎２),0)*(1+_15・B早朝)),0)*(1+_15・盲ろう)),0)*(1+_15・区３)),0)</f>
        <v>1217</v>
      </c>
      <c r="AC357" s="69"/>
    </row>
    <row r="358" spans="1:29" ht="16.5" customHeight="1" x14ac:dyDescent="0.3">
      <c r="A358" s="2">
        <v>15</v>
      </c>
      <c r="B358" s="2">
        <v>9190</v>
      </c>
      <c r="C358" s="60" t="s">
        <v>9263</v>
      </c>
      <c r="D358" s="1"/>
      <c r="E358" s="68"/>
      <c r="F358" s="70"/>
      <c r="G358" s="1"/>
      <c r="H358" s="68"/>
      <c r="I358" s="70"/>
      <c r="J358" s="106" t="s">
        <v>16970</v>
      </c>
      <c r="K358" s="57" t="s">
        <v>1</v>
      </c>
      <c r="L358" s="58">
        <v>0.9</v>
      </c>
      <c r="M358" s="83" t="s">
        <v>5895</v>
      </c>
      <c r="N358" s="64" t="s">
        <v>1</v>
      </c>
      <c r="O358" s="65">
        <v>1</v>
      </c>
      <c r="P358" s="99"/>
      <c r="Q358" s="70"/>
      <c r="R358" s="99"/>
      <c r="S358" s="70"/>
      <c r="T358" s="66"/>
      <c r="U358" s="57"/>
      <c r="V358" s="58"/>
      <c r="W358" s="77"/>
      <c r="X358" s="66"/>
      <c r="Y358" s="57"/>
      <c r="Z358" s="58"/>
      <c r="AA358" s="77"/>
      <c r="AB358" s="228">
        <f>ROUND((ROUND((ROUND((ROUND((ROUND((_15_同援日２．５*_15・基礎２),0)*_15・２人),0)*(1+_15・A深夜)),0)*(1+_15・盲ろう)),0)*(1+_15・区３)),0)+ROUND((ROUND((ROUND((ROUND((ROUND((_15_同援日２．５＿０．５*_15・基礎２),0)*_15・２人),0)*(1+_15・B早朝)),0)*(1+_15・盲ろう)),0)*(1+_15・区３)),0)</f>
        <v>1217</v>
      </c>
      <c r="AC358" s="69"/>
    </row>
    <row r="359" spans="1:29" ht="16.5" customHeight="1" x14ac:dyDescent="0.3">
      <c r="A359" s="2">
        <v>15</v>
      </c>
      <c r="B359" s="2">
        <v>9191</v>
      </c>
      <c r="C359" s="60" t="s">
        <v>9262</v>
      </c>
      <c r="D359" s="1"/>
      <c r="E359" s="68"/>
      <c r="F359" s="70"/>
      <c r="G359" s="1"/>
      <c r="H359" s="68"/>
      <c r="I359" s="70"/>
      <c r="J359" s="61"/>
      <c r="K359" s="62"/>
      <c r="L359" s="63"/>
      <c r="M359" s="85"/>
      <c r="N359" s="64"/>
      <c r="O359" s="65"/>
      <c r="P359" s="99"/>
      <c r="Q359" s="70"/>
      <c r="R359" s="99"/>
      <c r="S359" s="70"/>
      <c r="T359" s="61"/>
      <c r="U359" s="62"/>
      <c r="V359" s="63"/>
      <c r="W359" s="75"/>
      <c r="X359" s="61"/>
      <c r="Y359" s="62"/>
      <c r="Z359" s="63"/>
      <c r="AA359" s="75"/>
      <c r="AB359" s="228">
        <f>ROUND((ROUND((_15_同援日２．５*(1+_15・A深夜)),0)*(1+_15・区４)),0)+ROUND((ROUND((_15_同援日２．５＿０．５*(1+_15・B早朝)),0)*(1+_15・区４)),0)</f>
        <v>1262</v>
      </c>
      <c r="AC359" s="69"/>
    </row>
    <row r="360" spans="1:29" ht="16.5" customHeight="1" x14ac:dyDescent="0.3">
      <c r="A360" s="2">
        <v>15</v>
      </c>
      <c r="B360" s="2">
        <v>9192</v>
      </c>
      <c r="C360" s="60" t="s">
        <v>9261</v>
      </c>
      <c r="D360" s="1"/>
      <c r="E360" s="68"/>
      <c r="F360" s="70"/>
      <c r="G360" s="1"/>
      <c r="H360" s="68"/>
      <c r="I360" s="70"/>
      <c r="J360" s="66"/>
      <c r="K360" s="57"/>
      <c r="L360" s="58"/>
      <c r="M360" s="83" t="s">
        <v>5895</v>
      </c>
      <c r="N360" s="64" t="s">
        <v>1</v>
      </c>
      <c r="O360" s="65">
        <v>1</v>
      </c>
      <c r="P360" s="99"/>
      <c r="Q360" s="70"/>
      <c r="R360" s="99"/>
      <c r="S360" s="70"/>
      <c r="T360" s="67"/>
      <c r="U360" s="68"/>
      <c r="V360" s="76"/>
      <c r="W360" s="70"/>
      <c r="X360" s="67"/>
      <c r="Y360" s="68"/>
      <c r="Z360" s="76"/>
      <c r="AA360" s="70"/>
      <c r="AB360" s="228">
        <f>ROUND((ROUND((ROUND((_15_同援日２．５*_15・２人),0)*(1+_15・A深夜)),0)*(1+_15・区４)),0)+ROUND((ROUND((ROUND((_15_同援日２．５＿０．５*_15・２人),0)*(1+_15・B早朝)),0)*(1+_15・区４)),0)</f>
        <v>1262</v>
      </c>
      <c r="AC360" s="69"/>
    </row>
    <row r="361" spans="1:29" ht="16.5" customHeight="1" x14ac:dyDescent="0.3">
      <c r="A361" s="2">
        <v>15</v>
      </c>
      <c r="B361" s="2">
        <v>9193</v>
      </c>
      <c r="C361" s="60" t="s">
        <v>9260</v>
      </c>
      <c r="D361" s="1"/>
      <c r="E361" s="68"/>
      <c r="F361" s="70"/>
      <c r="G361" s="1"/>
      <c r="H361" s="68"/>
      <c r="I361" s="70"/>
      <c r="J361" s="74" t="s">
        <v>16971</v>
      </c>
      <c r="K361" s="62"/>
      <c r="L361" s="63"/>
      <c r="M361" s="85"/>
      <c r="N361" s="64"/>
      <c r="O361" s="65"/>
      <c r="P361" s="99"/>
      <c r="Q361" s="70"/>
      <c r="R361" s="99"/>
      <c r="S361" s="70"/>
      <c r="T361" s="67"/>
      <c r="U361" s="68"/>
      <c r="V361" s="76"/>
      <c r="W361" s="70"/>
      <c r="X361" s="1" t="s">
        <v>18027</v>
      </c>
      <c r="Y361" s="68"/>
      <c r="Z361" s="76"/>
      <c r="AA361" s="70"/>
      <c r="AB361" s="228">
        <f>ROUND((ROUND((ROUND((_15_同援日２．５*_15・基礎２),0)*(1+_15・A深夜)),0)*(1+_15・区４)),0)+ROUND((ROUND((ROUND((_15_同援日２．５＿０．５*_15・基礎２),0)*(1+_15・B早朝)),0)*(1+_15・区４)),0)</f>
        <v>1135</v>
      </c>
      <c r="AC361" s="69"/>
    </row>
    <row r="362" spans="1:29" ht="16.5" customHeight="1" x14ac:dyDescent="0.3">
      <c r="A362" s="2">
        <v>15</v>
      </c>
      <c r="B362" s="2">
        <v>9194</v>
      </c>
      <c r="C362" s="60" t="s">
        <v>9259</v>
      </c>
      <c r="D362" s="1"/>
      <c r="E362" s="68"/>
      <c r="F362" s="70"/>
      <c r="G362" s="1"/>
      <c r="H362" s="68"/>
      <c r="I362" s="70"/>
      <c r="J362" s="106" t="s">
        <v>16970</v>
      </c>
      <c r="K362" s="57" t="s">
        <v>1</v>
      </c>
      <c r="L362" s="58">
        <v>0.9</v>
      </c>
      <c r="M362" s="83" t="s">
        <v>5895</v>
      </c>
      <c r="N362" s="64" t="s">
        <v>1</v>
      </c>
      <c r="O362" s="65">
        <v>1</v>
      </c>
      <c r="P362" s="99"/>
      <c r="Q362" s="70"/>
      <c r="R362" s="99"/>
      <c r="S362" s="70"/>
      <c r="T362" s="66"/>
      <c r="U362" s="57"/>
      <c r="V362" s="58"/>
      <c r="W362" s="77"/>
      <c r="X362" s="1" t="s">
        <v>18026</v>
      </c>
      <c r="Y362" s="68"/>
      <c r="Z362" s="76"/>
      <c r="AA362" s="70"/>
      <c r="AB362" s="228">
        <f>ROUND((ROUND((ROUND((ROUND((_15_同援日２．５*_15・基礎２),0)*_15・２人),0)*(1+_15・A深夜)),0)*(1+_15・区４)),0)+ROUND((ROUND((ROUND((ROUND((_15_同援日２．５＿０．５*_15・基礎２),0)*_15・２人),0)*(1+_15・B早朝)),0)*(1+_15・区４)),0)</f>
        <v>1135</v>
      </c>
      <c r="AC362" s="69"/>
    </row>
    <row r="363" spans="1:29" ht="16.5" customHeight="1" x14ac:dyDescent="0.3">
      <c r="A363" s="2">
        <v>15</v>
      </c>
      <c r="B363" s="2">
        <v>9195</v>
      </c>
      <c r="C363" s="60" t="s">
        <v>9258</v>
      </c>
      <c r="D363" s="1"/>
      <c r="E363" s="68"/>
      <c r="F363" s="70"/>
      <c r="G363" s="1"/>
      <c r="H363" s="68"/>
      <c r="I363" s="70"/>
      <c r="J363" s="61"/>
      <c r="K363" s="62"/>
      <c r="L363" s="63"/>
      <c r="M363" s="85"/>
      <c r="N363" s="64"/>
      <c r="O363" s="65"/>
      <c r="P363" s="99"/>
      <c r="Q363" s="70"/>
      <c r="R363" s="99"/>
      <c r="S363" s="70"/>
      <c r="T363" s="74" t="s">
        <v>18025</v>
      </c>
      <c r="U363" s="62"/>
      <c r="V363" s="63"/>
      <c r="W363" s="75"/>
      <c r="X363" s="67"/>
      <c r="Y363" s="68" t="s">
        <v>1</v>
      </c>
      <c r="Z363" s="76">
        <v>0.4</v>
      </c>
      <c r="AA363" s="70" t="s">
        <v>422</v>
      </c>
      <c r="AB363" s="228">
        <f>ROUND((ROUND((ROUND((_15_同援日２．５*(1+_15・A深夜)),0)*(1+_15・盲ろう)),0)*(1+_15・区４)),0)+ROUND((ROUND((ROUND((_15_同援日２．５＿０．５*(1+_15・B早朝)),0)*(1+_15・盲ろう)),0)*(1+_15・区４)),0)</f>
        <v>1578</v>
      </c>
      <c r="AC363" s="69"/>
    </row>
    <row r="364" spans="1:29" ht="16.5" customHeight="1" x14ac:dyDescent="0.3">
      <c r="A364" s="2">
        <v>15</v>
      </c>
      <c r="B364" s="2">
        <v>9196</v>
      </c>
      <c r="C364" s="60" t="s">
        <v>9257</v>
      </c>
      <c r="D364" s="1"/>
      <c r="E364" s="68"/>
      <c r="F364" s="70"/>
      <c r="G364" s="1"/>
      <c r="H364" s="68"/>
      <c r="I364" s="70"/>
      <c r="J364" s="66"/>
      <c r="K364" s="57"/>
      <c r="L364" s="58"/>
      <c r="M364" s="83" t="s">
        <v>5895</v>
      </c>
      <c r="N364" s="64" t="s">
        <v>1</v>
      </c>
      <c r="O364" s="65">
        <v>1</v>
      </c>
      <c r="P364" s="99"/>
      <c r="Q364" s="70"/>
      <c r="R364" s="99"/>
      <c r="S364" s="70"/>
      <c r="T364" s="94" t="s">
        <v>18024</v>
      </c>
      <c r="U364" s="68"/>
      <c r="V364" s="76"/>
      <c r="W364" s="70"/>
      <c r="X364" s="67"/>
      <c r="Y364" s="68"/>
      <c r="Z364" s="76"/>
      <c r="AA364" s="70"/>
      <c r="AB364" s="228">
        <f>ROUND((ROUND((ROUND((ROUND((_15_同援日２．５*_15・２人),0)*(1+_15・A深夜)),0)*(1+_15・盲ろう)),0)*(1+_15・区４)),0)+ROUND((ROUND((ROUND((ROUND((_15_同援日２．５＿０．５*_15・２人),0)*(1+_15・B早朝)),0)*(1+_15・盲ろう)),0)*(1+_15・区４)),0)</f>
        <v>1578</v>
      </c>
      <c r="AC364" s="69"/>
    </row>
    <row r="365" spans="1:29" ht="16.5" customHeight="1" x14ac:dyDescent="0.3">
      <c r="A365" s="2">
        <v>15</v>
      </c>
      <c r="B365" s="2">
        <v>9197</v>
      </c>
      <c r="C365" s="60" t="s">
        <v>9256</v>
      </c>
      <c r="D365" s="1"/>
      <c r="E365" s="68"/>
      <c r="F365" s="70"/>
      <c r="G365" s="1"/>
      <c r="H365" s="68"/>
      <c r="I365" s="70"/>
      <c r="J365" s="74" t="s">
        <v>16971</v>
      </c>
      <c r="K365" s="62"/>
      <c r="L365" s="63"/>
      <c r="M365" s="85"/>
      <c r="N365" s="64"/>
      <c r="O365" s="65"/>
      <c r="P365" s="99"/>
      <c r="Q365" s="70"/>
      <c r="R365" s="99"/>
      <c r="S365" s="70"/>
      <c r="T365" s="67"/>
      <c r="U365" s="68" t="s">
        <v>1</v>
      </c>
      <c r="V365" s="76">
        <v>0.25</v>
      </c>
      <c r="W365" s="70" t="s">
        <v>422</v>
      </c>
      <c r="X365" s="67"/>
      <c r="Y365" s="68"/>
      <c r="Z365" s="76"/>
      <c r="AA365" s="70"/>
      <c r="AB365" s="228">
        <f>ROUND((ROUND((ROUND((ROUND((_15_同援日２．５*_15・基礎２),0)*(1+_15・A深夜)),0)*(1+_15・盲ろう)),0)*(1+_15・区４)),0)+ROUND((ROUND((ROUND((ROUND((_15_同援日２．５＿０．５*_15・基礎２),0)*(1+_15・B早朝)),0)*(1+_15・盲ろう)),0)*(1+_15・区４)),0)</f>
        <v>1420</v>
      </c>
      <c r="AC365" s="69"/>
    </row>
    <row r="366" spans="1:29" ht="16.5" customHeight="1" x14ac:dyDescent="0.3">
      <c r="A366" s="2">
        <v>15</v>
      </c>
      <c r="B366" s="2">
        <v>9198</v>
      </c>
      <c r="C366" s="60" t="s">
        <v>9255</v>
      </c>
      <c r="D366" s="81"/>
      <c r="E366" s="57"/>
      <c r="F366" s="77"/>
      <c r="G366" s="81"/>
      <c r="H366" s="57"/>
      <c r="I366" s="77"/>
      <c r="J366" s="106" t="s">
        <v>16970</v>
      </c>
      <c r="K366" s="57" t="s">
        <v>1</v>
      </c>
      <c r="L366" s="58">
        <v>0.9</v>
      </c>
      <c r="M366" s="83" t="s">
        <v>5895</v>
      </c>
      <c r="N366" s="64" t="s">
        <v>1</v>
      </c>
      <c r="O366" s="65">
        <v>1</v>
      </c>
      <c r="P366" s="101"/>
      <c r="Q366" s="77"/>
      <c r="R366" s="101"/>
      <c r="S366" s="77"/>
      <c r="T366" s="66"/>
      <c r="U366" s="57"/>
      <c r="V366" s="58"/>
      <c r="W366" s="77"/>
      <c r="X366" s="66"/>
      <c r="Y366" s="57"/>
      <c r="Z366" s="58"/>
      <c r="AA366" s="77"/>
      <c r="AB366" s="228">
        <f>ROUND((ROUND((ROUND((ROUND((ROUND((_15_同援日２．５*_15・基礎２),0)*_15・２人),0)*(1+_15・A深夜)),0)*(1+_15・盲ろう)),0)*(1+_15・区４)),0)+ROUND((ROUND((ROUND((ROUND((ROUND((_15_同援日２．５＿０．５*_15・基礎２),0)*_15・２人),0)*(1+_15・B早朝)),0)*(1+_15・盲ろう)),0)*(1+_15・区４)),0)</f>
        <v>1420</v>
      </c>
      <c r="AC366" s="71"/>
    </row>
    <row r="367" spans="1:29" ht="16.5" customHeight="1" x14ac:dyDescent="0.3"/>
    <row r="368" spans="1:2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02" max="16383" man="1"/>
    <brk id="198" max="16383" man="1"/>
    <brk id="294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0000"/>
    <pageSetUpPr fitToPage="1"/>
  </sheetPr>
  <dimension ref="A1:AA36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5.62890625" style="45" customWidth="1"/>
    <col min="5" max="5" width="4.1015625" style="46" bestFit="1" customWidth="1"/>
    <col min="6" max="6" width="4.734375" style="46" bestFit="1" customWidth="1"/>
    <col min="7" max="7" width="5.62890625" style="45" customWidth="1"/>
    <col min="8" max="8" width="4.1015625" style="46" bestFit="1" customWidth="1"/>
    <col min="9" max="9" width="4.734375" style="46" bestFit="1" customWidth="1"/>
    <col min="10" max="10" width="14.62890625" style="46" customWidth="1"/>
    <col min="11" max="11" width="3.1015625" style="46" bestFit="1" customWidth="1"/>
    <col min="12" max="12" width="4.1015625" style="47" bestFit="1" customWidth="1"/>
    <col min="13" max="13" width="26.47265625" style="46" bestFit="1" customWidth="1"/>
    <col min="14" max="14" width="3.1015625" style="46" bestFit="1" customWidth="1"/>
    <col min="15" max="15" width="5" style="47" bestFit="1" customWidth="1"/>
    <col min="16" max="16" width="4.1015625" style="47" customWidth="1"/>
    <col min="17" max="17" width="4.734375" style="46" bestFit="1" customWidth="1"/>
    <col min="18" max="18" width="10.62890625" style="46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8.62890625" style="46" customWidth="1"/>
    <col min="23" max="23" width="3.1015625" style="46" bestFit="1" customWidth="1"/>
    <col min="24" max="24" width="4.1015625" style="47" bestFit="1" customWidth="1"/>
    <col min="25" max="25" width="4.734375" style="46" bestFit="1" customWidth="1"/>
    <col min="26" max="26" width="6.3671875" style="84" bestFit="1" customWidth="1"/>
    <col min="27" max="27" width="7.734375" style="48" bestFit="1" customWidth="1"/>
    <col min="28" max="16384" width="9" style="49"/>
  </cols>
  <sheetData>
    <row r="1" spans="1:27" ht="16.5" customHeight="1" x14ac:dyDescent="0.3"/>
    <row r="2" spans="1:27" ht="16.5" customHeight="1" x14ac:dyDescent="0.3"/>
    <row r="3" spans="1:27" ht="16.5" customHeight="1" x14ac:dyDescent="0.3"/>
    <row r="4" spans="1:27" ht="16.5" customHeight="1" x14ac:dyDescent="0.3">
      <c r="B4" s="229" t="s">
        <v>18055</v>
      </c>
      <c r="C4" s="131"/>
      <c r="D4" s="72"/>
    </row>
    <row r="5" spans="1:27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3"/>
      <c r="S5" s="53"/>
      <c r="T5" s="54"/>
      <c r="U5" s="53"/>
      <c r="V5" s="53"/>
      <c r="W5" s="53"/>
      <c r="X5" s="54"/>
      <c r="Y5" s="53"/>
      <c r="Z5" s="55" t="s">
        <v>5869</v>
      </c>
      <c r="AA5" s="55" t="s">
        <v>5871</v>
      </c>
    </row>
    <row r="6" spans="1:27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73"/>
      <c r="H6" s="57"/>
      <c r="I6" s="57"/>
      <c r="J6" s="57"/>
      <c r="K6" s="57"/>
      <c r="L6" s="58"/>
      <c r="M6" s="57"/>
      <c r="N6" s="57"/>
      <c r="O6" s="58"/>
      <c r="P6" s="58"/>
      <c r="Q6" s="57"/>
      <c r="R6" s="57"/>
      <c r="S6" s="57"/>
      <c r="T6" s="58"/>
      <c r="U6" s="57"/>
      <c r="V6" s="57"/>
      <c r="W6" s="57"/>
      <c r="X6" s="58"/>
      <c r="Y6" s="57"/>
      <c r="Z6" s="59" t="s">
        <v>5870</v>
      </c>
      <c r="AA6" s="59" t="s">
        <v>0</v>
      </c>
    </row>
    <row r="7" spans="1:27" ht="16.5" customHeight="1" x14ac:dyDescent="0.3">
      <c r="A7" s="2">
        <v>15</v>
      </c>
      <c r="B7" s="2">
        <v>9199</v>
      </c>
      <c r="C7" s="60" t="s">
        <v>9974</v>
      </c>
      <c r="D7" s="233" t="s">
        <v>16302</v>
      </c>
      <c r="E7" s="62"/>
      <c r="F7" s="75"/>
      <c r="G7" s="233" t="s">
        <v>18043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61"/>
      <c r="S7" s="62"/>
      <c r="T7" s="63"/>
      <c r="U7" s="75"/>
      <c r="V7" s="61"/>
      <c r="W7" s="62"/>
      <c r="X7" s="63"/>
      <c r="Y7" s="75"/>
      <c r="Z7" s="228">
        <f>ROUND((_15_同援日０．５*(1+_15・A早朝)),0)+_15_同援日０．５＿０．５</f>
        <v>338</v>
      </c>
      <c r="AA7" s="52" t="s">
        <v>5863</v>
      </c>
    </row>
    <row r="8" spans="1:27" ht="16.5" customHeight="1" x14ac:dyDescent="0.3">
      <c r="A8" s="2">
        <v>15</v>
      </c>
      <c r="B8" s="2">
        <v>9200</v>
      </c>
      <c r="C8" s="60" t="s">
        <v>9973</v>
      </c>
      <c r="D8" s="1" t="s">
        <v>7928</v>
      </c>
      <c r="E8" s="68"/>
      <c r="F8" s="70"/>
      <c r="G8" s="1" t="s">
        <v>7928</v>
      </c>
      <c r="H8" s="68"/>
      <c r="I8" s="70"/>
      <c r="J8" s="66"/>
      <c r="K8" s="57"/>
      <c r="L8" s="58"/>
      <c r="M8" s="83" t="s">
        <v>5895</v>
      </c>
      <c r="N8" s="64" t="s">
        <v>1</v>
      </c>
      <c r="O8" s="65">
        <v>1</v>
      </c>
      <c r="P8" s="99"/>
      <c r="Q8" s="70"/>
      <c r="R8" s="67"/>
      <c r="S8" s="68"/>
      <c r="T8" s="76"/>
      <c r="U8" s="70"/>
      <c r="V8" s="67"/>
      <c r="W8" s="68"/>
      <c r="X8" s="76"/>
      <c r="Y8" s="70"/>
      <c r="Z8" s="228">
        <f>ROUND((ROUND((_15_同援日０．５*_15・２人),0)*(1+_15・A早朝)),0)+ROUND((_15_同援日０．５＿０．５*_15・２人),0)</f>
        <v>338</v>
      </c>
      <c r="AA8" s="69"/>
    </row>
    <row r="9" spans="1:27" ht="16.5" customHeight="1" x14ac:dyDescent="0.3">
      <c r="A9" s="2">
        <v>15</v>
      </c>
      <c r="B9" s="2">
        <v>9201</v>
      </c>
      <c r="C9" s="60" t="s">
        <v>9972</v>
      </c>
      <c r="D9" s="1"/>
      <c r="E9" s="68"/>
      <c r="F9" s="70"/>
      <c r="G9" s="1"/>
      <c r="H9" s="68"/>
      <c r="I9" s="70"/>
      <c r="J9" s="74" t="s">
        <v>18036</v>
      </c>
      <c r="K9" s="62"/>
      <c r="L9" s="63"/>
      <c r="M9" s="85"/>
      <c r="N9" s="64"/>
      <c r="O9" s="65"/>
      <c r="P9" s="99"/>
      <c r="Q9" s="70"/>
      <c r="R9" s="67"/>
      <c r="S9" s="68"/>
      <c r="T9" s="76"/>
      <c r="U9" s="70"/>
      <c r="V9" s="67"/>
      <c r="W9" s="68"/>
      <c r="X9" s="76"/>
      <c r="Y9" s="70"/>
      <c r="Z9" s="228">
        <f>ROUND((ROUND((_15_同援日０．５*_15・基礎２),0)*(1+_15・A早朝)),0)+ROUND((_15_同援日０．５＿０．５*_15・基礎２),0)</f>
        <v>305</v>
      </c>
      <c r="AA9" s="69"/>
    </row>
    <row r="10" spans="1:27" ht="16.5" customHeight="1" x14ac:dyDescent="0.3">
      <c r="A10" s="2">
        <v>15</v>
      </c>
      <c r="B10" s="2">
        <v>9202</v>
      </c>
      <c r="C10" s="60" t="s">
        <v>9971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06" t="s">
        <v>18035</v>
      </c>
      <c r="K10" s="57" t="s">
        <v>1</v>
      </c>
      <c r="L10" s="58">
        <v>0.9</v>
      </c>
      <c r="M10" s="83" t="s">
        <v>5895</v>
      </c>
      <c r="N10" s="64" t="s">
        <v>1</v>
      </c>
      <c r="O10" s="65">
        <v>1</v>
      </c>
      <c r="P10" s="99"/>
      <c r="Q10" s="70"/>
      <c r="R10" s="66"/>
      <c r="S10" s="57"/>
      <c r="T10" s="58"/>
      <c r="U10" s="77"/>
      <c r="V10" s="67"/>
      <c r="W10" s="68"/>
      <c r="X10" s="76"/>
      <c r="Y10" s="70"/>
      <c r="Z10" s="228">
        <f>ROUND((ROUND((ROUND((_15_同援日０．５*_15・基礎２),0)*_15・２人),0)*(1+_15・A早朝)),0)+ROUND((ROUND((_15_同援日０．５＿０．５*_15・基礎２),0)*_15・２人),0)</f>
        <v>305</v>
      </c>
      <c r="AA10" s="69"/>
    </row>
    <row r="11" spans="1:27" ht="16.5" customHeight="1" x14ac:dyDescent="0.3">
      <c r="A11" s="2">
        <v>15</v>
      </c>
      <c r="B11" s="2">
        <v>9203</v>
      </c>
      <c r="C11" s="60" t="s">
        <v>9970</v>
      </c>
      <c r="D11" s="1"/>
      <c r="E11" s="68"/>
      <c r="F11" s="70"/>
      <c r="G11" s="1"/>
      <c r="H11" s="68"/>
      <c r="I11" s="70"/>
      <c r="J11" s="61"/>
      <c r="K11" s="62"/>
      <c r="L11" s="63"/>
      <c r="M11" s="85"/>
      <c r="N11" s="64"/>
      <c r="O11" s="65"/>
      <c r="P11" s="99"/>
      <c r="Q11" s="70"/>
      <c r="R11" s="74" t="s">
        <v>18038</v>
      </c>
      <c r="S11" s="62"/>
      <c r="T11" s="63"/>
      <c r="U11" s="75"/>
      <c r="V11" s="67"/>
      <c r="W11" s="68"/>
      <c r="X11" s="76"/>
      <c r="Y11" s="70"/>
      <c r="Z11" s="228">
        <f>ROUND((ROUND((_15_同援日０．５*(1+_15・A早朝)),0)*(1+_15・盲ろう)),0)+ROUND((_15_同援日０．５＿０．５*(1+_15・盲ろう)),0)</f>
        <v>423</v>
      </c>
      <c r="AA11" s="69"/>
    </row>
    <row r="12" spans="1:27" ht="16.5" customHeight="1" x14ac:dyDescent="0.3">
      <c r="A12" s="2">
        <v>15</v>
      </c>
      <c r="B12" s="2">
        <v>9204</v>
      </c>
      <c r="C12" s="60" t="s">
        <v>9969</v>
      </c>
      <c r="D12" s="1"/>
      <c r="E12" s="68"/>
      <c r="F12" s="70"/>
      <c r="G12" s="1"/>
      <c r="H12" s="68"/>
      <c r="I12" s="70"/>
      <c r="J12" s="66"/>
      <c r="K12" s="57"/>
      <c r="L12" s="58"/>
      <c r="M12" s="83" t="s">
        <v>5895</v>
      </c>
      <c r="N12" s="64" t="s">
        <v>1</v>
      </c>
      <c r="O12" s="65">
        <v>1</v>
      </c>
      <c r="P12" s="108" t="s">
        <v>7895</v>
      </c>
      <c r="Q12" s="70"/>
      <c r="R12" s="94" t="s">
        <v>18037</v>
      </c>
      <c r="S12" s="68"/>
      <c r="T12" s="76"/>
      <c r="U12" s="70"/>
      <c r="V12" s="67"/>
      <c r="W12" s="68"/>
      <c r="X12" s="76"/>
      <c r="Y12" s="70"/>
      <c r="Z12" s="228">
        <f>ROUND((ROUND((ROUND((_15_同援日０．５*_15・２人),0)*(1+_15・A早朝)),0)*(1+_15・盲ろう)),0)+ROUND((ROUND((_15_同援日０．５＿０．５*_15・２人),0)*(1+_15・盲ろう)),0)</f>
        <v>423</v>
      </c>
      <c r="AA12" s="69"/>
    </row>
    <row r="13" spans="1:27" ht="16.5" customHeight="1" x14ac:dyDescent="0.3">
      <c r="A13" s="2">
        <v>15</v>
      </c>
      <c r="B13" s="2">
        <v>9205</v>
      </c>
      <c r="C13" s="60" t="s">
        <v>9968</v>
      </c>
      <c r="D13" s="1"/>
      <c r="E13" s="68"/>
      <c r="F13" s="70"/>
      <c r="G13" s="1"/>
      <c r="H13" s="68"/>
      <c r="I13" s="70"/>
      <c r="J13" s="74" t="s">
        <v>18036</v>
      </c>
      <c r="K13" s="62"/>
      <c r="L13" s="63"/>
      <c r="M13" s="85"/>
      <c r="N13" s="64"/>
      <c r="O13" s="65"/>
      <c r="P13" s="99"/>
      <c r="Q13" s="110" t="s">
        <v>7948</v>
      </c>
      <c r="R13" s="67"/>
      <c r="S13" s="68" t="s">
        <v>1</v>
      </c>
      <c r="T13" s="76">
        <v>0.25</v>
      </c>
      <c r="U13" s="70" t="s">
        <v>422</v>
      </c>
      <c r="V13" s="67"/>
      <c r="W13" s="68"/>
      <c r="X13" s="76"/>
      <c r="Y13" s="70"/>
      <c r="Z13" s="228">
        <f>ROUND((ROUND((ROUND((_15_同援日０．５*_15・基礎２),0)*(1+_15・A早朝)),0)*(1+_15・盲ろう)),0)+ROUND((ROUND((_15_同援日０．５＿０．５*_15・基礎２),0)*(1+_15・盲ろう)),0)</f>
        <v>381</v>
      </c>
      <c r="AA13" s="69"/>
    </row>
    <row r="14" spans="1:27" ht="16.5" customHeight="1" x14ac:dyDescent="0.3">
      <c r="A14" s="2">
        <v>15</v>
      </c>
      <c r="B14" s="2">
        <v>9206</v>
      </c>
      <c r="C14" s="60" t="s">
        <v>9967</v>
      </c>
      <c r="D14" s="1"/>
      <c r="E14" s="68"/>
      <c r="F14" s="70"/>
      <c r="G14" s="1"/>
      <c r="H14" s="68"/>
      <c r="I14" s="70"/>
      <c r="J14" s="106" t="s">
        <v>18035</v>
      </c>
      <c r="K14" s="57" t="s">
        <v>1</v>
      </c>
      <c r="L14" s="58">
        <v>0.9</v>
      </c>
      <c r="M14" s="83" t="s">
        <v>5895</v>
      </c>
      <c r="N14" s="64" t="s">
        <v>1</v>
      </c>
      <c r="O14" s="65">
        <v>1</v>
      </c>
      <c r="P14" s="99"/>
      <c r="Q14" s="70"/>
      <c r="R14" s="66"/>
      <c r="S14" s="57"/>
      <c r="T14" s="58"/>
      <c r="U14" s="77"/>
      <c r="V14" s="66"/>
      <c r="W14" s="57"/>
      <c r="X14" s="58"/>
      <c r="Y14" s="77"/>
      <c r="Z14" s="228">
        <f>ROUND((ROUND((ROUND((ROUND((_15_同援日０．５*_15・基礎２),0)*_15・２人),0)*(1+_15・A早朝)),0)*(1+_15・盲ろう)),0)+ROUND((ROUND((ROUND((_15_同援日０．５＿０．５*_15・基礎２),0)*_15・２人),0)*(1+_15・盲ろう)),0)</f>
        <v>381</v>
      </c>
      <c r="AA14" s="69"/>
    </row>
    <row r="15" spans="1:27" ht="16.5" customHeight="1" x14ac:dyDescent="0.3">
      <c r="A15" s="2">
        <v>15</v>
      </c>
      <c r="B15" s="2">
        <v>9207</v>
      </c>
      <c r="C15" s="60" t="s">
        <v>9966</v>
      </c>
      <c r="D15" s="1"/>
      <c r="E15" s="68"/>
      <c r="F15" s="70"/>
      <c r="G15" s="1"/>
      <c r="H15" s="68"/>
      <c r="I15" s="70"/>
      <c r="J15" s="61"/>
      <c r="K15" s="62"/>
      <c r="L15" s="63"/>
      <c r="M15" s="85"/>
      <c r="N15" s="64"/>
      <c r="O15" s="65"/>
      <c r="P15" s="67" t="s">
        <v>1</v>
      </c>
      <c r="Q15" s="93">
        <v>0.25</v>
      </c>
      <c r="R15" s="61"/>
      <c r="S15" s="62"/>
      <c r="T15" s="63"/>
      <c r="U15" s="75"/>
      <c r="V15" s="61"/>
      <c r="W15" s="62"/>
      <c r="X15" s="63"/>
      <c r="Y15" s="75"/>
      <c r="Z15" s="228">
        <f>ROUND((ROUND((_15_同援日０．５*(1+_15・A早朝)),0)*(1+_15・区３)),0)+ROUND((_15_同援日０．５＿０．５*(1+_15・区３)),0)</f>
        <v>406</v>
      </c>
      <c r="AA15" s="69"/>
    </row>
    <row r="16" spans="1:27" ht="16.5" customHeight="1" x14ac:dyDescent="0.3">
      <c r="A16" s="2">
        <v>15</v>
      </c>
      <c r="B16" s="2">
        <v>9208</v>
      </c>
      <c r="C16" s="60" t="s">
        <v>9965</v>
      </c>
      <c r="D16" s="1"/>
      <c r="E16" s="68"/>
      <c r="F16" s="70"/>
      <c r="G16" s="1"/>
      <c r="H16" s="68"/>
      <c r="I16" s="70"/>
      <c r="J16" s="66"/>
      <c r="K16" s="57"/>
      <c r="L16" s="58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67"/>
      <c r="S16" s="68"/>
      <c r="T16" s="76"/>
      <c r="U16" s="70"/>
      <c r="V16" s="67"/>
      <c r="W16" s="68"/>
      <c r="X16" s="76"/>
      <c r="Y16" s="70"/>
      <c r="Z16" s="228">
        <f>ROUND((ROUND((ROUND((_15_同援日０．５*_15・２人),0)*(1+_15・A早朝)),0)*(1+_15・区３)),0)+ROUND((ROUND((_15_同援日０．５＿０．５*_15・２人),0)*(1+_15・区３)),0)</f>
        <v>406</v>
      </c>
      <c r="AA16" s="69"/>
    </row>
    <row r="17" spans="1:27" ht="16.5" customHeight="1" x14ac:dyDescent="0.3">
      <c r="A17" s="2">
        <v>15</v>
      </c>
      <c r="B17" s="2">
        <v>9209</v>
      </c>
      <c r="C17" s="60" t="s">
        <v>9964</v>
      </c>
      <c r="D17" s="1"/>
      <c r="E17" s="68"/>
      <c r="F17" s="70"/>
      <c r="G17" s="1"/>
      <c r="H17" s="68"/>
      <c r="I17" s="70"/>
      <c r="J17" s="74" t="s">
        <v>5898</v>
      </c>
      <c r="K17" s="62"/>
      <c r="L17" s="63"/>
      <c r="M17" s="85"/>
      <c r="N17" s="64"/>
      <c r="O17" s="65"/>
      <c r="P17" s="99"/>
      <c r="Q17" s="70"/>
      <c r="R17" s="67"/>
      <c r="S17" s="68"/>
      <c r="T17" s="76"/>
      <c r="U17" s="70"/>
      <c r="V17" s="1" t="s">
        <v>18041</v>
      </c>
      <c r="W17" s="68"/>
      <c r="X17" s="76"/>
      <c r="Y17" s="70"/>
      <c r="Z17" s="228">
        <f>ROUND((ROUND((ROUND((_15_同援日０．５*_15・基礎２),0)*(1+_15・A早朝)),0)*(1+_15・区３)),0)+ROUND((ROUND((_15_同援日０．５＿０．５*_15・基礎２),0)*(1+_15・区３)),0)</f>
        <v>366</v>
      </c>
      <c r="AA17" s="69"/>
    </row>
    <row r="18" spans="1:27" ht="16.5" customHeight="1" x14ac:dyDescent="0.3">
      <c r="A18" s="2">
        <v>15</v>
      </c>
      <c r="B18" s="2">
        <v>9210</v>
      </c>
      <c r="C18" s="60" t="s">
        <v>9963</v>
      </c>
      <c r="D18" s="1"/>
      <c r="E18" s="68"/>
      <c r="F18" s="70"/>
      <c r="G18" s="1"/>
      <c r="H18" s="68"/>
      <c r="I18" s="70"/>
      <c r="J18" s="106" t="s">
        <v>18035</v>
      </c>
      <c r="K18" s="57" t="s">
        <v>1</v>
      </c>
      <c r="L18" s="58">
        <v>0.9</v>
      </c>
      <c r="M18" s="83" t="s">
        <v>5895</v>
      </c>
      <c r="N18" s="64" t="s">
        <v>1</v>
      </c>
      <c r="O18" s="65">
        <v>1</v>
      </c>
      <c r="P18" s="99"/>
      <c r="Q18" s="70"/>
      <c r="R18" s="66"/>
      <c r="S18" s="57"/>
      <c r="T18" s="58"/>
      <c r="U18" s="77"/>
      <c r="V18" s="1" t="s">
        <v>18039</v>
      </c>
      <c r="W18" s="68"/>
      <c r="X18" s="76"/>
      <c r="Y18" s="70"/>
      <c r="Z18" s="228">
        <f>ROUND((ROUND((ROUND((ROUND((_15_同援日０．５*_15・基礎２),0)*_15・２人),0)*(1+_15・A早朝)),0)*(1+_15・区３)),0)+ROUND((ROUND((ROUND((_15_同援日０．５＿０．５*_15・基礎２),0)*_15・２人),0)*(1+_15・区３)),0)</f>
        <v>366</v>
      </c>
      <c r="AA18" s="69"/>
    </row>
    <row r="19" spans="1:27" ht="16.5" customHeight="1" x14ac:dyDescent="0.3">
      <c r="A19" s="2">
        <v>15</v>
      </c>
      <c r="B19" s="2">
        <v>9211</v>
      </c>
      <c r="C19" s="60" t="s">
        <v>9962</v>
      </c>
      <c r="D19" s="1"/>
      <c r="E19" s="68"/>
      <c r="F19" s="70"/>
      <c r="G19" s="1"/>
      <c r="H19" s="68"/>
      <c r="I19" s="70"/>
      <c r="J19" s="61"/>
      <c r="K19" s="62"/>
      <c r="L19" s="63"/>
      <c r="M19" s="85"/>
      <c r="N19" s="64"/>
      <c r="O19" s="65"/>
      <c r="P19" s="99"/>
      <c r="Q19" s="70"/>
      <c r="R19" s="74" t="s">
        <v>8085</v>
      </c>
      <c r="S19" s="62"/>
      <c r="T19" s="63"/>
      <c r="U19" s="75"/>
      <c r="V19" s="67"/>
      <c r="W19" s="68" t="s">
        <v>1</v>
      </c>
      <c r="X19" s="76">
        <v>0.2</v>
      </c>
      <c r="Y19" s="70" t="s">
        <v>422</v>
      </c>
      <c r="Z19" s="228">
        <f>ROUND((ROUND((ROUND((_15_同援日０．５*(1+_15・A早朝)),0)*(1+_15・盲ろう)),0)*(1+_15・区３)),0)+ROUND((ROUND((_15_同援日０．５＿０．５*(1+_15・盲ろう)),0)*(1+_15・区３)),0)</f>
        <v>508</v>
      </c>
      <c r="AA19" s="69"/>
    </row>
    <row r="20" spans="1:27" ht="16.5" customHeight="1" x14ac:dyDescent="0.3">
      <c r="A20" s="2">
        <v>15</v>
      </c>
      <c r="B20" s="2">
        <v>9212</v>
      </c>
      <c r="C20" s="60" t="s">
        <v>9961</v>
      </c>
      <c r="D20" s="1"/>
      <c r="E20" s="68"/>
      <c r="F20" s="70"/>
      <c r="G20" s="1"/>
      <c r="H20" s="68"/>
      <c r="I20" s="70"/>
      <c r="J20" s="66"/>
      <c r="K20" s="57"/>
      <c r="L20" s="58"/>
      <c r="M20" s="83" t="s">
        <v>5895</v>
      </c>
      <c r="N20" s="64" t="s">
        <v>1</v>
      </c>
      <c r="O20" s="65">
        <v>1</v>
      </c>
      <c r="P20" s="99"/>
      <c r="Q20" s="70"/>
      <c r="R20" s="94" t="s">
        <v>8083</v>
      </c>
      <c r="S20" s="68"/>
      <c r="T20" s="76"/>
      <c r="U20" s="70"/>
      <c r="V20" s="67"/>
      <c r="W20" s="68"/>
      <c r="X20" s="76"/>
      <c r="Y20" s="70"/>
      <c r="Z20" s="228">
        <f>ROUND((ROUND((ROUND((ROUND((_15_同援日０．５*_15・２人),0)*(1+_15・A早朝)),0)*(1+_15・盲ろう)),0)*(1+_15・区３)),0)+ROUND((ROUND((ROUND((_15_同援日０．５＿０．５*_15・２人),0)*(1+_15・盲ろう)),0)*(1+_15・区３)),0)</f>
        <v>508</v>
      </c>
      <c r="AA20" s="69"/>
    </row>
    <row r="21" spans="1:27" ht="16.5" customHeight="1" x14ac:dyDescent="0.3">
      <c r="A21" s="2">
        <v>15</v>
      </c>
      <c r="B21" s="2">
        <v>9213</v>
      </c>
      <c r="C21" s="60" t="s">
        <v>9960</v>
      </c>
      <c r="D21" s="1"/>
      <c r="E21" s="68"/>
      <c r="F21" s="70"/>
      <c r="G21" s="1"/>
      <c r="H21" s="68"/>
      <c r="I21" s="70"/>
      <c r="J21" s="74" t="s">
        <v>18036</v>
      </c>
      <c r="K21" s="62"/>
      <c r="L21" s="63"/>
      <c r="M21" s="85"/>
      <c r="N21" s="64"/>
      <c r="O21" s="65"/>
      <c r="P21" s="99"/>
      <c r="Q21" s="70"/>
      <c r="R21" s="67"/>
      <c r="S21" s="68" t="s">
        <v>1</v>
      </c>
      <c r="T21" s="76">
        <v>0.25</v>
      </c>
      <c r="U21" s="70" t="s">
        <v>422</v>
      </c>
      <c r="V21" s="67"/>
      <c r="W21" s="68"/>
      <c r="X21" s="76"/>
      <c r="Y21" s="70"/>
      <c r="Z21" s="228">
        <f>ROUND((ROUND((ROUND((ROUND((_15_同援日０．５*_15・基礎２),0)*(1+_15・A早朝)),0)*(1+_15・盲ろう)),0)*(1+_15・区３)),0)+ROUND((ROUND((ROUND((_15_同援日０．５＿０．５*_15・基礎２),0)*(1+_15・盲ろう)),0)*(1+_15・区３)),0)</f>
        <v>457</v>
      </c>
      <c r="AA21" s="69"/>
    </row>
    <row r="22" spans="1:27" ht="16.5" customHeight="1" x14ac:dyDescent="0.3">
      <c r="A22" s="2">
        <v>15</v>
      </c>
      <c r="B22" s="2">
        <v>9214</v>
      </c>
      <c r="C22" s="60" t="s">
        <v>9959</v>
      </c>
      <c r="D22" s="1"/>
      <c r="E22" s="68"/>
      <c r="F22" s="70"/>
      <c r="G22" s="1"/>
      <c r="H22" s="68"/>
      <c r="I22" s="70"/>
      <c r="J22" s="106" t="s">
        <v>18035</v>
      </c>
      <c r="K22" s="57" t="s">
        <v>1</v>
      </c>
      <c r="L22" s="58">
        <v>0.9</v>
      </c>
      <c r="M22" s="83" t="s">
        <v>5895</v>
      </c>
      <c r="N22" s="64" t="s">
        <v>1</v>
      </c>
      <c r="O22" s="65">
        <v>1</v>
      </c>
      <c r="P22" s="99"/>
      <c r="Q22" s="70"/>
      <c r="R22" s="66"/>
      <c r="S22" s="57"/>
      <c r="T22" s="58"/>
      <c r="U22" s="77"/>
      <c r="V22" s="66"/>
      <c r="W22" s="57"/>
      <c r="X22" s="58"/>
      <c r="Y22" s="77"/>
      <c r="Z22" s="228">
        <f>ROUND((ROUND((ROUND((ROUND((ROUND((_15_同援日０．５*_15・基礎２),0)*_15・２人),0)*(1+_15・A早朝)),0)*(1+_15・盲ろう)),0)*(1+_15・区３)),0)+ROUND((ROUND((ROUND((ROUND((_15_同援日０．５＿０．５*_15・基礎２),0)*_15・２人),0)*(1+_15・盲ろう)),0)*(1+_15・区３)),0)</f>
        <v>457</v>
      </c>
      <c r="AA22" s="69"/>
    </row>
    <row r="23" spans="1:27" ht="16.5" customHeight="1" x14ac:dyDescent="0.3">
      <c r="A23" s="2">
        <v>15</v>
      </c>
      <c r="B23" s="2">
        <v>9215</v>
      </c>
      <c r="C23" s="60" t="s">
        <v>9958</v>
      </c>
      <c r="D23" s="1"/>
      <c r="E23" s="68"/>
      <c r="F23" s="70"/>
      <c r="G23" s="1"/>
      <c r="H23" s="68"/>
      <c r="I23" s="70"/>
      <c r="J23" s="61"/>
      <c r="K23" s="62"/>
      <c r="L23" s="63"/>
      <c r="M23" s="85"/>
      <c r="N23" s="64"/>
      <c r="O23" s="65"/>
      <c r="P23" s="99"/>
      <c r="Q23" s="70"/>
      <c r="R23" s="61"/>
      <c r="S23" s="62"/>
      <c r="T23" s="63"/>
      <c r="U23" s="75"/>
      <c r="V23" s="61"/>
      <c r="W23" s="62"/>
      <c r="X23" s="63"/>
      <c r="Y23" s="75"/>
      <c r="Z23" s="228">
        <f>ROUND((ROUND((_15_同援日０．５*(1+_15・A早朝)),0)*(1+_15・区４)),0)+ROUND((_15_同援日０．５＿０．５*(1+_15・区４)),0)</f>
        <v>473</v>
      </c>
      <c r="AA23" s="69"/>
    </row>
    <row r="24" spans="1:27" ht="16.5" customHeight="1" x14ac:dyDescent="0.3">
      <c r="A24" s="2">
        <v>15</v>
      </c>
      <c r="B24" s="2">
        <v>9216</v>
      </c>
      <c r="C24" s="60" t="s">
        <v>9957</v>
      </c>
      <c r="D24" s="1"/>
      <c r="E24" s="68"/>
      <c r="F24" s="70"/>
      <c r="G24" s="1"/>
      <c r="H24" s="68"/>
      <c r="I24" s="70"/>
      <c r="J24" s="66"/>
      <c r="K24" s="57"/>
      <c r="L24" s="58"/>
      <c r="M24" s="83" t="s">
        <v>5895</v>
      </c>
      <c r="N24" s="64" t="s">
        <v>1</v>
      </c>
      <c r="O24" s="65">
        <v>1</v>
      </c>
      <c r="P24" s="99"/>
      <c r="Q24" s="70"/>
      <c r="R24" s="67"/>
      <c r="S24" s="68"/>
      <c r="T24" s="76"/>
      <c r="U24" s="70"/>
      <c r="V24" s="67"/>
      <c r="W24" s="68"/>
      <c r="X24" s="76"/>
      <c r="Y24" s="70"/>
      <c r="Z24" s="228">
        <f>ROUND((ROUND((ROUND((_15_同援日０．５*_15・２人),0)*(1+_15・A早朝)),0)*(1+_15・区４)),0)+ROUND((ROUND((_15_同援日０．５＿０．５*_15・２人),0)*(1+_15・区４)),0)</f>
        <v>473</v>
      </c>
      <c r="AA24" s="69"/>
    </row>
    <row r="25" spans="1:27" ht="16.5" customHeight="1" x14ac:dyDescent="0.3">
      <c r="A25" s="2">
        <v>15</v>
      </c>
      <c r="B25" s="2">
        <v>9217</v>
      </c>
      <c r="C25" s="60" t="s">
        <v>9956</v>
      </c>
      <c r="D25" s="1"/>
      <c r="E25" s="68"/>
      <c r="F25" s="70"/>
      <c r="G25" s="1"/>
      <c r="H25" s="68"/>
      <c r="I25" s="70"/>
      <c r="J25" s="74" t="s">
        <v>5898</v>
      </c>
      <c r="K25" s="62"/>
      <c r="L25" s="63"/>
      <c r="M25" s="85"/>
      <c r="N25" s="64"/>
      <c r="O25" s="65"/>
      <c r="P25" s="99"/>
      <c r="Q25" s="70"/>
      <c r="R25" s="67"/>
      <c r="S25" s="68"/>
      <c r="T25" s="76"/>
      <c r="U25" s="70"/>
      <c r="V25" s="1" t="s">
        <v>18040</v>
      </c>
      <c r="W25" s="68"/>
      <c r="X25" s="76"/>
      <c r="Y25" s="70"/>
      <c r="Z25" s="228">
        <f>ROUND((ROUND((ROUND((_15_同援日０．５*_15・基礎２),0)*(1+_15・A早朝)),0)*(1+_15・区４)),0)+ROUND((ROUND((_15_同援日０．５＿０．５*_15・基礎２),0)*(1+_15・区４)),0)</f>
        <v>427</v>
      </c>
      <c r="AA25" s="69"/>
    </row>
    <row r="26" spans="1:27" ht="16.5" customHeight="1" x14ac:dyDescent="0.3">
      <c r="A26" s="2">
        <v>15</v>
      </c>
      <c r="B26" s="2">
        <v>9218</v>
      </c>
      <c r="C26" s="60" t="s">
        <v>9955</v>
      </c>
      <c r="D26" s="1"/>
      <c r="E26" s="68"/>
      <c r="F26" s="70"/>
      <c r="G26" s="1"/>
      <c r="H26" s="68"/>
      <c r="I26" s="70"/>
      <c r="J26" s="106" t="s">
        <v>18035</v>
      </c>
      <c r="K26" s="57" t="s">
        <v>1</v>
      </c>
      <c r="L26" s="58">
        <v>0.9</v>
      </c>
      <c r="M26" s="83" t="s">
        <v>5895</v>
      </c>
      <c r="N26" s="64" t="s">
        <v>1</v>
      </c>
      <c r="O26" s="65">
        <v>1</v>
      </c>
      <c r="P26" s="99"/>
      <c r="Q26" s="70"/>
      <c r="R26" s="66"/>
      <c r="S26" s="57"/>
      <c r="T26" s="58"/>
      <c r="U26" s="77"/>
      <c r="V26" s="1" t="s">
        <v>18039</v>
      </c>
      <c r="W26" s="68"/>
      <c r="X26" s="76"/>
      <c r="Y26" s="70"/>
      <c r="Z26" s="228">
        <f>ROUND((ROUND((ROUND((ROUND((_15_同援日０．５*_15・基礎２),0)*_15・２人),0)*(1+_15・A早朝)),0)*(1+_15・区４)),0)+ROUND((ROUND((ROUND((_15_同援日０．５＿０．５*_15・基礎２),0)*_15・２人),0)*(1+_15・区４)),0)</f>
        <v>427</v>
      </c>
      <c r="AA26" s="69"/>
    </row>
    <row r="27" spans="1:27" ht="16.5" customHeight="1" x14ac:dyDescent="0.3">
      <c r="A27" s="2">
        <v>15</v>
      </c>
      <c r="B27" s="2">
        <v>9219</v>
      </c>
      <c r="C27" s="60" t="s">
        <v>9954</v>
      </c>
      <c r="D27" s="1"/>
      <c r="E27" s="68"/>
      <c r="F27" s="70"/>
      <c r="G27" s="1"/>
      <c r="H27" s="68"/>
      <c r="I27" s="70"/>
      <c r="J27" s="61"/>
      <c r="K27" s="62"/>
      <c r="L27" s="63"/>
      <c r="M27" s="85"/>
      <c r="N27" s="64"/>
      <c r="O27" s="65"/>
      <c r="P27" s="99"/>
      <c r="Q27" s="70"/>
      <c r="R27" s="74" t="s">
        <v>18038</v>
      </c>
      <c r="S27" s="62"/>
      <c r="T27" s="63"/>
      <c r="U27" s="75"/>
      <c r="V27" s="67"/>
      <c r="W27" s="68" t="s">
        <v>1</v>
      </c>
      <c r="X27" s="76">
        <v>0.4</v>
      </c>
      <c r="Y27" s="70" t="s">
        <v>422</v>
      </c>
      <c r="Z27" s="228">
        <f>ROUND((ROUND((ROUND((_15_同援日０．５*(1+_15・A早朝)),0)*(1+_15・盲ろう)),0)*(1+_15・区４)),0)+ROUND((ROUND((_15_同援日０．５＿０．５*(1+_15・盲ろう)),0)*(1+_15・区４)),0)</f>
        <v>592</v>
      </c>
      <c r="AA27" s="69"/>
    </row>
    <row r="28" spans="1:27" ht="16.5" customHeight="1" x14ac:dyDescent="0.3">
      <c r="A28" s="2">
        <v>15</v>
      </c>
      <c r="B28" s="2">
        <v>9220</v>
      </c>
      <c r="C28" s="60" t="s">
        <v>9953</v>
      </c>
      <c r="D28" s="1"/>
      <c r="E28" s="68"/>
      <c r="F28" s="70"/>
      <c r="G28" s="1"/>
      <c r="H28" s="68"/>
      <c r="I28" s="70"/>
      <c r="J28" s="66"/>
      <c r="K28" s="57"/>
      <c r="L28" s="58"/>
      <c r="M28" s="83" t="s">
        <v>5895</v>
      </c>
      <c r="N28" s="64" t="s">
        <v>1</v>
      </c>
      <c r="O28" s="65">
        <v>1</v>
      </c>
      <c r="P28" s="99"/>
      <c r="Q28" s="70"/>
      <c r="R28" s="94" t="s">
        <v>18037</v>
      </c>
      <c r="S28" s="68"/>
      <c r="T28" s="76"/>
      <c r="U28" s="70"/>
      <c r="V28" s="67"/>
      <c r="W28" s="68"/>
      <c r="X28" s="76"/>
      <c r="Y28" s="70"/>
      <c r="Z28" s="228">
        <f>ROUND((ROUND((ROUND((ROUND((_15_同援日０．５*_15・２人),0)*(1+_15・A早朝)),0)*(1+_15・盲ろう)),0)*(1+_15・区４)),0)+ROUND((ROUND((ROUND((_15_同援日０．５＿０．５*_15・２人),0)*(1+_15・盲ろう)),0)*(1+_15・区４)),0)</f>
        <v>592</v>
      </c>
      <c r="AA28" s="69"/>
    </row>
    <row r="29" spans="1:27" ht="16.5" customHeight="1" x14ac:dyDescent="0.3">
      <c r="A29" s="2">
        <v>15</v>
      </c>
      <c r="B29" s="2">
        <v>9221</v>
      </c>
      <c r="C29" s="60" t="s">
        <v>9952</v>
      </c>
      <c r="D29" s="1"/>
      <c r="E29" s="68"/>
      <c r="F29" s="70"/>
      <c r="G29" s="1"/>
      <c r="H29" s="68"/>
      <c r="I29" s="70"/>
      <c r="J29" s="74" t="s">
        <v>18036</v>
      </c>
      <c r="K29" s="62"/>
      <c r="L29" s="63"/>
      <c r="M29" s="85"/>
      <c r="N29" s="64"/>
      <c r="O29" s="65"/>
      <c r="P29" s="99"/>
      <c r="Q29" s="70"/>
      <c r="R29" s="67"/>
      <c r="S29" s="68" t="s">
        <v>1</v>
      </c>
      <c r="T29" s="76">
        <v>0.25</v>
      </c>
      <c r="U29" s="70" t="s">
        <v>422</v>
      </c>
      <c r="V29" s="67"/>
      <c r="W29" s="68"/>
      <c r="X29" s="76"/>
      <c r="Y29" s="70"/>
      <c r="Z29" s="228">
        <f>ROUND((ROUND((ROUND((ROUND((_15_同援日０．５*_15・基礎２),0)*(1+_15・A早朝)),0)*(1+_15・盲ろう)),0)*(1+_15・区４)),0)+ROUND((ROUND((ROUND((_15_同援日０．５＿０．５*_15・基礎２),0)*(1+_15・盲ろう)),0)*(1+_15・区４)),0)</f>
        <v>533</v>
      </c>
      <c r="AA29" s="69"/>
    </row>
    <row r="30" spans="1:27" ht="16.5" customHeight="1" x14ac:dyDescent="0.3">
      <c r="A30" s="2">
        <v>15</v>
      </c>
      <c r="B30" s="2">
        <v>9222</v>
      </c>
      <c r="C30" s="60" t="s">
        <v>9951</v>
      </c>
      <c r="D30" s="1"/>
      <c r="E30" s="68"/>
      <c r="F30" s="70"/>
      <c r="G30" s="81"/>
      <c r="H30" s="57"/>
      <c r="I30" s="77"/>
      <c r="J30" s="106" t="s">
        <v>18035</v>
      </c>
      <c r="K30" s="57" t="s">
        <v>1</v>
      </c>
      <c r="L30" s="58">
        <v>0.9</v>
      </c>
      <c r="M30" s="83" t="s">
        <v>5895</v>
      </c>
      <c r="N30" s="64" t="s">
        <v>1</v>
      </c>
      <c r="O30" s="65">
        <v>1</v>
      </c>
      <c r="P30" s="99"/>
      <c r="Q30" s="70"/>
      <c r="R30" s="66"/>
      <c r="S30" s="57"/>
      <c r="T30" s="58"/>
      <c r="U30" s="77"/>
      <c r="V30" s="66"/>
      <c r="W30" s="57"/>
      <c r="X30" s="58"/>
      <c r="Y30" s="77"/>
      <c r="Z30" s="228">
        <f>ROUND((ROUND((ROUND((ROUND((ROUND((_15_同援日０．５*_15・基礎２),0)*_15・２人),0)*(1+_15・A早朝)),0)*(1+_15・盲ろう)),0)*(1+_15・区４)),0)+ROUND((ROUND((ROUND((ROUND((_15_同援日０．５＿０．５*_15・基礎２),0)*_15・２人),0)*(1+_15・盲ろう)),0)*(1+_15・区４)),0)</f>
        <v>533</v>
      </c>
      <c r="AA30" s="69"/>
    </row>
    <row r="31" spans="1:27" ht="16.5" customHeight="1" x14ac:dyDescent="0.3">
      <c r="A31" s="2">
        <v>15</v>
      </c>
      <c r="B31" s="2">
        <v>9223</v>
      </c>
      <c r="C31" s="60" t="s">
        <v>9950</v>
      </c>
      <c r="D31" s="1"/>
      <c r="E31" s="68"/>
      <c r="F31" s="70"/>
      <c r="G31" s="233" t="s">
        <v>18046</v>
      </c>
      <c r="H31" s="62"/>
      <c r="I31" s="75"/>
      <c r="J31" s="61"/>
      <c r="K31" s="62"/>
      <c r="L31" s="63"/>
      <c r="M31" s="85"/>
      <c r="N31" s="64"/>
      <c r="O31" s="65"/>
      <c r="P31" s="99"/>
      <c r="Q31" s="70"/>
      <c r="R31" s="61"/>
      <c r="S31" s="62"/>
      <c r="T31" s="63"/>
      <c r="U31" s="75"/>
      <c r="V31" s="61"/>
      <c r="W31" s="62"/>
      <c r="X31" s="63"/>
      <c r="Y31" s="75"/>
      <c r="Z31" s="228">
        <f>ROUND((_15_同援日０．５*(1+_15・A早朝)),0)+_15_同援日０．５＿１．０</f>
        <v>467</v>
      </c>
      <c r="AA31" s="69"/>
    </row>
    <row r="32" spans="1:27" ht="16.5" customHeight="1" x14ac:dyDescent="0.3">
      <c r="A32" s="2">
        <v>15</v>
      </c>
      <c r="B32" s="2">
        <v>9224</v>
      </c>
      <c r="C32" s="60" t="s">
        <v>9949</v>
      </c>
      <c r="D32" s="1"/>
      <c r="E32" s="68"/>
      <c r="F32" s="70"/>
      <c r="G32" s="1" t="s">
        <v>18045</v>
      </c>
      <c r="H32" s="68"/>
      <c r="I32" s="70"/>
      <c r="J32" s="66"/>
      <c r="K32" s="57"/>
      <c r="L32" s="58"/>
      <c r="M32" s="83" t="s">
        <v>5895</v>
      </c>
      <c r="N32" s="64" t="s">
        <v>1</v>
      </c>
      <c r="O32" s="65">
        <v>1</v>
      </c>
      <c r="P32" s="99"/>
      <c r="Q32" s="70"/>
      <c r="R32" s="67"/>
      <c r="S32" s="68"/>
      <c r="T32" s="76"/>
      <c r="U32" s="70"/>
      <c r="V32" s="67"/>
      <c r="W32" s="68"/>
      <c r="X32" s="76"/>
      <c r="Y32" s="70"/>
      <c r="Z32" s="228">
        <f>ROUND((ROUND((_15_同援日０．５*_15・２人),0)*(1+_15・A早朝)),0)+ROUND((_15_同援日０．５＿１．０*_15・２人),0)</f>
        <v>467</v>
      </c>
      <c r="AA32" s="69"/>
    </row>
    <row r="33" spans="1:27" ht="16.5" customHeight="1" x14ac:dyDescent="0.3">
      <c r="A33" s="2">
        <v>15</v>
      </c>
      <c r="B33" s="2">
        <v>9225</v>
      </c>
      <c r="C33" s="60" t="s">
        <v>9948</v>
      </c>
      <c r="D33" s="1"/>
      <c r="E33" s="68"/>
      <c r="F33" s="70"/>
      <c r="G33" s="1" t="s">
        <v>8572</v>
      </c>
      <c r="H33" s="68"/>
      <c r="I33" s="70"/>
      <c r="J33" s="74" t="s">
        <v>18036</v>
      </c>
      <c r="K33" s="62"/>
      <c r="L33" s="63"/>
      <c r="M33" s="85"/>
      <c r="N33" s="64"/>
      <c r="O33" s="65"/>
      <c r="P33" s="99"/>
      <c r="Q33" s="70"/>
      <c r="R33" s="67"/>
      <c r="S33" s="68"/>
      <c r="T33" s="76"/>
      <c r="U33" s="70"/>
      <c r="V33" s="67"/>
      <c r="W33" s="68"/>
      <c r="X33" s="76"/>
      <c r="Y33" s="70"/>
      <c r="Z33" s="228">
        <f>ROUND((ROUND((_15_同援日０．５*_15・基礎２),0)*(1+_15・A早朝)),0)+ROUND((_15_同援日０．５＿１．０*_15・基礎２),0)</f>
        <v>421</v>
      </c>
      <c r="AA33" s="69"/>
    </row>
    <row r="34" spans="1:27" ht="16.5" customHeight="1" x14ac:dyDescent="0.3">
      <c r="A34" s="2">
        <v>15</v>
      </c>
      <c r="B34" s="2">
        <v>9226</v>
      </c>
      <c r="C34" s="60" t="s">
        <v>9947</v>
      </c>
      <c r="D34" s="1"/>
      <c r="E34" s="68"/>
      <c r="F34" s="70"/>
      <c r="G34" s="1"/>
      <c r="H34" s="227">
        <v>237</v>
      </c>
      <c r="I34" s="70" t="s">
        <v>0</v>
      </c>
      <c r="J34" s="106" t="s">
        <v>18035</v>
      </c>
      <c r="K34" s="57" t="s">
        <v>1</v>
      </c>
      <c r="L34" s="58">
        <v>0.9</v>
      </c>
      <c r="M34" s="83" t="s">
        <v>5895</v>
      </c>
      <c r="N34" s="64" t="s">
        <v>1</v>
      </c>
      <c r="O34" s="65">
        <v>1</v>
      </c>
      <c r="P34" s="99"/>
      <c r="Q34" s="70"/>
      <c r="R34" s="66"/>
      <c r="S34" s="57"/>
      <c r="T34" s="58"/>
      <c r="U34" s="77"/>
      <c r="V34" s="67"/>
      <c r="W34" s="68"/>
      <c r="X34" s="76"/>
      <c r="Y34" s="70"/>
      <c r="Z34" s="228">
        <f>ROUND((ROUND((ROUND((_15_同援日０．５*_15・基礎２),0)*_15・２人),0)*(1+_15・A早朝)),0)+ROUND((ROUND((_15_同援日０．５＿１．０*_15・基礎２),0)*_15・２人),0)</f>
        <v>421</v>
      </c>
      <c r="AA34" s="69"/>
    </row>
    <row r="35" spans="1:27" ht="16.5" customHeight="1" x14ac:dyDescent="0.3">
      <c r="A35" s="2">
        <v>15</v>
      </c>
      <c r="B35" s="2">
        <v>9227</v>
      </c>
      <c r="C35" s="60" t="s">
        <v>9946</v>
      </c>
      <c r="D35" s="1"/>
      <c r="E35" s="68"/>
      <c r="F35" s="70"/>
      <c r="G35" s="1"/>
      <c r="H35" s="68"/>
      <c r="I35" s="70"/>
      <c r="J35" s="61"/>
      <c r="K35" s="62"/>
      <c r="L35" s="63"/>
      <c r="M35" s="85"/>
      <c r="N35" s="64"/>
      <c r="O35" s="65"/>
      <c r="P35" s="99"/>
      <c r="Q35" s="70"/>
      <c r="R35" s="74" t="s">
        <v>18038</v>
      </c>
      <c r="S35" s="62"/>
      <c r="T35" s="63"/>
      <c r="U35" s="75"/>
      <c r="V35" s="67"/>
      <c r="W35" s="68"/>
      <c r="X35" s="76"/>
      <c r="Y35" s="70"/>
      <c r="Z35" s="228">
        <f>ROUND((ROUND((_15_同援日０．５*(1+_15・A早朝)),0)*(1+_15・盲ろう)),0)+ROUND((_15_同援日０．５＿１．０*(1+_15・盲ろう)),0)</f>
        <v>584</v>
      </c>
      <c r="AA35" s="69"/>
    </row>
    <row r="36" spans="1:27" ht="16.5" customHeight="1" x14ac:dyDescent="0.3">
      <c r="A36" s="2">
        <v>15</v>
      </c>
      <c r="B36" s="2">
        <v>9228</v>
      </c>
      <c r="C36" s="60" t="s">
        <v>9945</v>
      </c>
      <c r="D36" s="1"/>
      <c r="E36" s="68"/>
      <c r="F36" s="70"/>
      <c r="G36" s="1"/>
      <c r="H36" s="68"/>
      <c r="I36" s="70"/>
      <c r="J36" s="66"/>
      <c r="K36" s="57"/>
      <c r="L36" s="58"/>
      <c r="M36" s="83" t="s">
        <v>5895</v>
      </c>
      <c r="N36" s="64" t="s">
        <v>1</v>
      </c>
      <c r="O36" s="65">
        <v>1</v>
      </c>
      <c r="P36" s="99"/>
      <c r="Q36" s="70"/>
      <c r="R36" s="94" t="s">
        <v>18037</v>
      </c>
      <c r="S36" s="68"/>
      <c r="T36" s="76"/>
      <c r="U36" s="70"/>
      <c r="V36" s="67"/>
      <c r="W36" s="68"/>
      <c r="X36" s="76"/>
      <c r="Y36" s="70"/>
      <c r="Z36" s="228">
        <f>ROUND((ROUND((ROUND((_15_同援日０．５*_15・２人),0)*(1+_15・A早朝)),0)*(1+_15・盲ろう)),0)+ROUND((ROUND((_15_同援日０．５＿１．０*_15・２人),0)*(1+_15・盲ろう)),0)</f>
        <v>584</v>
      </c>
      <c r="AA36" s="69"/>
    </row>
    <row r="37" spans="1:27" ht="16.5" customHeight="1" x14ac:dyDescent="0.3">
      <c r="A37" s="2">
        <v>15</v>
      </c>
      <c r="B37" s="2">
        <v>9229</v>
      </c>
      <c r="C37" s="60" t="s">
        <v>9944</v>
      </c>
      <c r="D37" s="1"/>
      <c r="E37" s="68"/>
      <c r="F37" s="70"/>
      <c r="G37" s="1"/>
      <c r="H37" s="68"/>
      <c r="I37" s="70"/>
      <c r="J37" s="74" t="s">
        <v>18036</v>
      </c>
      <c r="K37" s="62"/>
      <c r="L37" s="63"/>
      <c r="M37" s="85"/>
      <c r="N37" s="64"/>
      <c r="O37" s="65"/>
      <c r="P37" s="99"/>
      <c r="Q37" s="70"/>
      <c r="R37" s="67"/>
      <c r="S37" s="68" t="s">
        <v>1</v>
      </c>
      <c r="T37" s="76">
        <v>0.25</v>
      </c>
      <c r="U37" s="70" t="s">
        <v>422</v>
      </c>
      <c r="V37" s="67"/>
      <c r="W37" s="68"/>
      <c r="X37" s="76"/>
      <c r="Y37" s="70"/>
      <c r="Z37" s="228">
        <f>ROUND((ROUND((ROUND((_15_同援日０．５*_15・基礎２),0)*(1+_15・A早朝)),0)*(1+_15・盲ろう)),0)+ROUND((ROUND((_15_同援日０．５＿１．０*_15・基礎２),0)*(1+_15・盲ろう)),0)</f>
        <v>526</v>
      </c>
      <c r="AA37" s="69"/>
    </row>
    <row r="38" spans="1:27" ht="16.5" customHeight="1" x14ac:dyDescent="0.3">
      <c r="A38" s="2">
        <v>15</v>
      </c>
      <c r="B38" s="2">
        <v>9230</v>
      </c>
      <c r="C38" s="60" t="s">
        <v>9943</v>
      </c>
      <c r="D38" s="1"/>
      <c r="E38" s="68"/>
      <c r="F38" s="70"/>
      <c r="G38" s="1"/>
      <c r="H38" s="68"/>
      <c r="I38" s="70"/>
      <c r="J38" s="106" t="s">
        <v>5896</v>
      </c>
      <c r="K38" s="57" t="s">
        <v>1</v>
      </c>
      <c r="L38" s="58">
        <v>0.9</v>
      </c>
      <c r="M38" s="83" t="s">
        <v>5895</v>
      </c>
      <c r="N38" s="64" t="s">
        <v>1</v>
      </c>
      <c r="O38" s="65">
        <v>1</v>
      </c>
      <c r="P38" s="99"/>
      <c r="Q38" s="70"/>
      <c r="R38" s="66"/>
      <c r="S38" s="57"/>
      <c r="T38" s="58"/>
      <c r="U38" s="77"/>
      <c r="V38" s="66"/>
      <c r="W38" s="57"/>
      <c r="X38" s="58"/>
      <c r="Y38" s="77"/>
      <c r="Z38" s="228">
        <f>ROUND((ROUND((ROUND((ROUND((_15_同援日０．５*_15・基礎２),0)*_15・２人),0)*(1+_15・A早朝)),0)*(1+_15・盲ろう)),0)+ROUND((ROUND((ROUND((_15_同援日０．５＿１．０*_15・基礎２),0)*_15・２人),0)*(1+_15・盲ろう)),0)</f>
        <v>526</v>
      </c>
      <c r="AA38" s="69"/>
    </row>
    <row r="39" spans="1:27" ht="16.5" customHeight="1" x14ac:dyDescent="0.3">
      <c r="A39" s="2">
        <v>15</v>
      </c>
      <c r="B39" s="2">
        <v>9231</v>
      </c>
      <c r="C39" s="60" t="s">
        <v>9942</v>
      </c>
      <c r="D39" s="1"/>
      <c r="E39" s="68"/>
      <c r="F39" s="70"/>
      <c r="G39" s="1"/>
      <c r="H39" s="68"/>
      <c r="I39" s="70"/>
      <c r="J39" s="61"/>
      <c r="K39" s="62"/>
      <c r="L39" s="63"/>
      <c r="M39" s="85"/>
      <c r="N39" s="64"/>
      <c r="O39" s="65"/>
      <c r="P39" s="99"/>
      <c r="Q39" s="70"/>
      <c r="R39" s="61"/>
      <c r="S39" s="62"/>
      <c r="T39" s="63"/>
      <c r="U39" s="75"/>
      <c r="V39" s="61"/>
      <c r="W39" s="62"/>
      <c r="X39" s="63"/>
      <c r="Y39" s="75"/>
      <c r="Z39" s="228">
        <f>ROUND((ROUND((_15_同援日０．５*(1+_15・A早朝)),0)*(1+_15・区３)),0)+ROUND((_15_同援日０．５＿１．０*(1+_15・区３)),0)</f>
        <v>560</v>
      </c>
      <c r="AA39" s="69"/>
    </row>
    <row r="40" spans="1:27" ht="16.5" customHeight="1" x14ac:dyDescent="0.3">
      <c r="A40" s="2">
        <v>15</v>
      </c>
      <c r="B40" s="2">
        <v>9232</v>
      </c>
      <c r="C40" s="60" t="s">
        <v>9941</v>
      </c>
      <c r="D40" s="1"/>
      <c r="E40" s="68"/>
      <c r="F40" s="70"/>
      <c r="G40" s="1"/>
      <c r="H40" s="68"/>
      <c r="I40" s="70"/>
      <c r="J40" s="66"/>
      <c r="K40" s="57"/>
      <c r="L40" s="58"/>
      <c r="M40" s="83" t="s">
        <v>5895</v>
      </c>
      <c r="N40" s="64" t="s">
        <v>1</v>
      </c>
      <c r="O40" s="65">
        <v>1</v>
      </c>
      <c r="P40" s="99"/>
      <c r="Q40" s="70"/>
      <c r="R40" s="67"/>
      <c r="S40" s="68"/>
      <c r="T40" s="76"/>
      <c r="U40" s="70"/>
      <c r="V40" s="67"/>
      <c r="W40" s="68"/>
      <c r="X40" s="76"/>
      <c r="Y40" s="70"/>
      <c r="Z40" s="228">
        <f>ROUND((ROUND((ROUND((_15_同援日０．５*_15・２人),0)*(1+_15・A早朝)),0)*(1+_15・区３)),0)+ROUND((ROUND((_15_同援日０．５＿１．０*_15・２人),0)*(1+_15・区３)),0)</f>
        <v>560</v>
      </c>
      <c r="AA40" s="69"/>
    </row>
    <row r="41" spans="1:27" ht="16.5" customHeight="1" x14ac:dyDescent="0.3">
      <c r="A41" s="2">
        <v>15</v>
      </c>
      <c r="B41" s="2">
        <v>9233</v>
      </c>
      <c r="C41" s="60" t="s">
        <v>9940</v>
      </c>
      <c r="D41" s="1"/>
      <c r="E41" s="68"/>
      <c r="F41" s="70"/>
      <c r="G41" s="1"/>
      <c r="H41" s="68"/>
      <c r="I41" s="70"/>
      <c r="J41" s="74" t="s">
        <v>18036</v>
      </c>
      <c r="K41" s="62"/>
      <c r="L41" s="63"/>
      <c r="M41" s="85"/>
      <c r="N41" s="64"/>
      <c r="O41" s="65"/>
      <c r="P41" s="99"/>
      <c r="Q41" s="70"/>
      <c r="R41" s="67"/>
      <c r="S41" s="68"/>
      <c r="T41" s="76"/>
      <c r="U41" s="70"/>
      <c r="V41" s="1" t="s">
        <v>18041</v>
      </c>
      <c r="W41" s="68"/>
      <c r="X41" s="76"/>
      <c r="Y41" s="70"/>
      <c r="Z41" s="228">
        <f>ROUND((ROUND((ROUND((_15_同援日０．５*_15・基礎２),0)*(1+_15・A早朝)),0)*(1+_15・区３)),0)+ROUND((ROUND((_15_同援日０．５＿１．０*_15・基礎２),0)*(1+_15・区３)),0)</f>
        <v>506</v>
      </c>
      <c r="AA41" s="69"/>
    </row>
    <row r="42" spans="1:27" ht="16.5" customHeight="1" x14ac:dyDescent="0.3">
      <c r="A42" s="2">
        <v>15</v>
      </c>
      <c r="B42" s="2">
        <v>9234</v>
      </c>
      <c r="C42" s="60" t="s">
        <v>9939</v>
      </c>
      <c r="D42" s="1"/>
      <c r="E42" s="68"/>
      <c r="F42" s="70"/>
      <c r="G42" s="1"/>
      <c r="H42" s="68"/>
      <c r="I42" s="70"/>
      <c r="J42" s="106" t="s">
        <v>18035</v>
      </c>
      <c r="K42" s="57" t="s">
        <v>1</v>
      </c>
      <c r="L42" s="58">
        <v>0.9</v>
      </c>
      <c r="M42" s="83" t="s">
        <v>5895</v>
      </c>
      <c r="N42" s="64" t="s">
        <v>1</v>
      </c>
      <c r="O42" s="65">
        <v>1</v>
      </c>
      <c r="P42" s="99"/>
      <c r="Q42" s="70"/>
      <c r="R42" s="66"/>
      <c r="S42" s="57"/>
      <c r="T42" s="58"/>
      <c r="U42" s="77"/>
      <c r="V42" s="1" t="s">
        <v>18039</v>
      </c>
      <c r="W42" s="68"/>
      <c r="X42" s="76"/>
      <c r="Y42" s="70"/>
      <c r="Z42" s="228">
        <f>ROUND((ROUND((ROUND((ROUND((_15_同援日０．５*_15・基礎２),0)*_15・２人),0)*(1+_15・A早朝)),0)*(1+_15・区３)),0)+ROUND((ROUND((ROUND((_15_同援日０．５＿１．０*_15・基礎２),0)*_15・２人),0)*(1+_15・区３)),0)</f>
        <v>506</v>
      </c>
      <c r="AA42" s="69"/>
    </row>
    <row r="43" spans="1:27" ht="16.5" customHeight="1" x14ac:dyDescent="0.3">
      <c r="A43" s="2">
        <v>15</v>
      </c>
      <c r="B43" s="2">
        <v>9235</v>
      </c>
      <c r="C43" s="60" t="s">
        <v>9938</v>
      </c>
      <c r="D43" s="1"/>
      <c r="E43" s="68"/>
      <c r="F43" s="70"/>
      <c r="G43" s="1"/>
      <c r="H43" s="68"/>
      <c r="I43" s="70"/>
      <c r="J43" s="61"/>
      <c r="K43" s="62"/>
      <c r="L43" s="63"/>
      <c r="M43" s="85"/>
      <c r="N43" s="64"/>
      <c r="O43" s="65"/>
      <c r="P43" s="99"/>
      <c r="Q43" s="70"/>
      <c r="R43" s="74" t="s">
        <v>8085</v>
      </c>
      <c r="S43" s="62"/>
      <c r="T43" s="63"/>
      <c r="U43" s="75"/>
      <c r="V43" s="67"/>
      <c r="W43" s="68" t="s">
        <v>1</v>
      </c>
      <c r="X43" s="76">
        <v>0.2</v>
      </c>
      <c r="Y43" s="70" t="s">
        <v>422</v>
      </c>
      <c r="Z43" s="228">
        <f>ROUND((ROUND((ROUND((_15_同援日０．５*(1+_15・A早朝)),0)*(1+_15・盲ろう)),0)*(1+_15・区３)),0)+ROUND((ROUND((_15_同援日０．５＿１．０*(1+_15・盲ろう)),0)*(1+_15・区３)),0)</f>
        <v>701</v>
      </c>
      <c r="AA43" s="69"/>
    </row>
    <row r="44" spans="1:27" ht="16.5" customHeight="1" x14ac:dyDescent="0.3">
      <c r="A44" s="2">
        <v>15</v>
      </c>
      <c r="B44" s="2">
        <v>9236</v>
      </c>
      <c r="C44" s="60" t="s">
        <v>9937</v>
      </c>
      <c r="D44" s="1"/>
      <c r="E44" s="68"/>
      <c r="F44" s="70"/>
      <c r="G44" s="1"/>
      <c r="H44" s="68"/>
      <c r="I44" s="70"/>
      <c r="J44" s="66"/>
      <c r="K44" s="57"/>
      <c r="L44" s="58"/>
      <c r="M44" s="83" t="s">
        <v>5895</v>
      </c>
      <c r="N44" s="64" t="s">
        <v>1</v>
      </c>
      <c r="O44" s="65">
        <v>1</v>
      </c>
      <c r="P44" s="99"/>
      <c r="Q44" s="70"/>
      <c r="R44" s="94" t="s">
        <v>18037</v>
      </c>
      <c r="S44" s="68"/>
      <c r="T44" s="76"/>
      <c r="U44" s="70"/>
      <c r="V44" s="67"/>
      <c r="W44" s="68"/>
      <c r="X44" s="76"/>
      <c r="Y44" s="70"/>
      <c r="Z44" s="228">
        <f>ROUND((ROUND((ROUND((ROUND((_15_同援日０．５*_15・２人),0)*(1+_15・A早朝)),0)*(1+_15・盲ろう)),0)*(1+_15・区３)),0)+ROUND((ROUND((ROUND((_15_同援日０．５＿１．０*_15・２人),0)*(1+_15・盲ろう)),0)*(1+_15・区３)),0)</f>
        <v>701</v>
      </c>
      <c r="AA44" s="69"/>
    </row>
    <row r="45" spans="1:27" ht="16.5" customHeight="1" x14ac:dyDescent="0.3">
      <c r="A45" s="2">
        <v>15</v>
      </c>
      <c r="B45" s="2">
        <v>9237</v>
      </c>
      <c r="C45" s="60" t="s">
        <v>9936</v>
      </c>
      <c r="D45" s="1"/>
      <c r="E45" s="68"/>
      <c r="F45" s="70"/>
      <c r="G45" s="1"/>
      <c r="H45" s="68"/>
      <c r="I45" s="70"/>
      <c r="J45" s="74" t="s">
        <v>18036</v>
      </c>
      <c r="K45" s="62"/>
      <c r="L45" s="63"/>
      <c r="M45" s="85"/>
      <c r="N45" s="64"/>
      <c r="O45" s="65"/>
      <c r="P45" s="99"/>
      <c r="Q45" s="70"/>
      <c r="R45" s="67"/>
      <c r="S45" s="68" t="s">
        <v>1</v>
      </c>
      <c r="T45" s="76">
        <v>0.25</v>
      </c>
      <c r="U45" s="70" t="s">
        <v>422</v>
      </c>
      <c r="V45" s="67"/>
      <c r="W45" s="68"/>
      <c r="X45" s="76"/>
      <c r="Y45" s="70"/>
      <c r="Z45" s="228">
        <f>ROUND((ROUND((ROUND((ROUND((_15_同援日０．５*_15・基礎２),0)*(1+_15・A早朝)),0)*(1+_15・盲ろう)),0)*(1+_15・区３)),0)+ROUND((ROUND((ROUND((_15_同援日０．５＿１．０*_15・基礎２),0)*(1+_15・盲ろう)),0)*(1+_15・区３)),0)</f>
        <v>631</v>
      </c>
      <c r="AA45" s="69"/>
    </row>
    <row r="46" spans="1:27" ht="16.5" customHeight="1" x14ac:dyDescent="0.3">
      <c r="A46" s="2">
        <v>15</v>
      </c>
      <c r="B46" s="2">
        <v>9238</v>
      </c>
      <c r="C46" s="60" t="s">
        <v>9935</v>
      </c>
      <c r="D46" s="1"/>
      <c r="E46" s="68"/>
      <c r="F46" s="70"/>
      <c r="G46" s="1"/>
      <c r="H46" s="68"/>
      <c r="I46" s="70"/>
      <c r="J46" s="106" t="s">
        <v>18035</v>
      </c>
      <c r="K46" s="57" t="s">
        <v>1</v>
      </c>
      <c r="L46" s="58">
        <v>0.9</v>
      </c>
      <c r="M46" s="83" t="s">
        <v>5895</v>
      </c>
      <c r="N46" s="64" t="s">
        <v>1</v>
      </c>
      <c r="O46" s="65">
        <v>1</v>
      </c>
      <c r="P46" s="99"/>
      <c r="Q46" s="70"/>
      <c r="R46" s="66"/>
      <c r="S46" s="57"/>
      <c r="T46" s="58"/>
      <c r="U46" s="77"/>
      <c r="V46" s="66"/>
      <c r="W46" s="57"/>
      <c r="X46" s="58"/>
      <c r="Y46" s="77"/>
      <c r="Z46" s="228">
        <f>ROUND((ROUND((ROUND((ROUND((ROUND((_15_同援日０．５*_15・基礎２),0)*_15・２人),0)*(1+_15・A早朝)),0)*(1+_15・盲ろう)),0)*(1+_15・区３)),0)+ROUND((ROUND((ROUND((ROUND((_15_同援日０．５＿１．０*_15・基礎２),0)*_15・２人),0)*(1+_15・盲ろう)),0)*(1+_15・区３)),0)</f>
        <v>631</v>
      </c>
      <c r="AA46" s="69"/>
    </row>
    <row r="47" spans="1:27" ht="16.5" customHeight="1" x14ac:dyDescent="0.3">
      <c r="A47" s="2">
        <v>15</v>
      </c>
      <c r="B47" s="2">
        <v>9239</v>
      </c>
      <c r="C47" s="60" t="s">
        <v>9934</v>
      </c>
      <c r="D47" s="1"/>
      <c r="E47" s="68"/>
      <c r="F47" s="70"/>
      <c r="G47" s="1"/>
      <c r="H47" s="68"/>
      <c r="I47" s="70"/>
      <c r="J47" s="61"/>
      <c r="K47" s="62"/>
      <c r="L47" s="63"/>
      <c r="M47" s="85"/>
      <c r="N47" s="64"/>
      <c r="O47" s="65"/>
      <c r="P47" s="99"/>
      <c r="Q47" s="70"/>
      <c r="R47" s="61"/>
      <c r="S47" s="62"/>
      <c r="T47" s="63"/>
      <c r="U47" s="75"/>
      <c r="V47" s="61"/>
      <c r="W47" s="62"/>
      <c r="X47" s="63"/>
      <c r="Y47" s="75"/>
      <c r="Z47" s="228">
        <f>ROUND((ROUND((_15_同援日０．５*(1+_15・A早朝)),0)*(1+_15・区４)),0)+ROUND((_15_同援日０．５＿１．０*(1+_15・区４)),0)</f>
        <v>654</v>
      </c>
      <c r="AA47" s="69"/>
    </row>
    <row r="48" spans="1:27" ht="16.5" customHeight="1" x14ac:dyDescent="0.3">
      <c r="A48" s="2">
        <v>15</v>
      </c>
      <c r="B48" s="2">
        <v>9240</v>
      </c>
      <c r="C48" s="60" t="s">
        <v>9933</v>
      </c>
      <c r="D48" s="1"/>
      <c r="E48" s="68"/>
      <c r="F48" s="70"/>
      <c r="G48" s="1"/>
      <c r="H48" s="68"/>
      <c r="I48" s="70"/>
      <c r="J48" s="66"/>
      <c r="K48" s="57"/>
      <c r="L48" s="58"/>
      <c r="M48" s="83" t="s">
        <v>5895</v>
      </c>
      <c r="N48" s="64" t="s">
        <v>1</v>
      </c>
      <c r="O48" s="65">
        <v>1</v>
      </c>
      <c r="P48" s="99"/>
      <c r="Q48" s="70"/>
      <c r="R48" s="67"/>
      <c r="S48" s="68"/>
      <c r="T48" s="76"/>
      <c r="U48" s="70"/>
      <c r="V48" s="67"/>
      <c r="W48" s="68"/>
      <c r="X48" s="76"/>
      <c r="Y48" s="70"/>
      <c r="Z48" s="228">
        <f>ROUND((ROUND((ROUND((_15_同援日０．５*_15・２人),0)*(1+_15・A早朝)),0)*(1+_15・区４)),0)+ROUND((ROUND((_15_同援日０．５＿１．０*_15・２人),0)*(1+_15・区４)),0)</f>
        <v>654</v>
      </c>
      <c r="AA48" s="69"/>
    </row>
    <row r="49" spans="1:27" ht="16.5" customHeight="1" x14ac:dyDescent="0.3">
      <c r="A49" s="2">
        <v>15</v>
      </c>
      <c r="B49" s="2">
        <v>9241</v>
      </c>
      <c r="C49" s="60" t="s">
        <v>9932</v>
      </c>
      <c r="D49" s="1"/>
      <c r="E49" s="68"/>
      <c r="F49" s="70"/>
      <c r="G49" s="1"/>
      <c r="H49" s="68"/>
      <c r="I49" s="70"/>
      <c r="J49" s="74" t="s">
        <v>18036</v>
      </c>
      <c r="K49" s="62"/>
      <c r="L49" s="63"/>
      <c r="M49" s="85"/>
      <c r="N49" s="64"/>
      <c r="O49" s="65"/>
      <c r="P49" s="99"/>
      <c r="Q49" s="70"/>
      <c r="R49" s="67"/>
      <c r="S49" s="68"/>
      <c r="T49" s="76"/>
      <c r="U49" s="70"/>
      <c r="V49" s="1" t="s">
        <v>18040</v>
      </c>
      <c r="W49" s="68"/>
      <c r="X49" s="76"/>
      <c r="Y49" s="70"/>
      <c r="Z49" s="228">
        <f>ROUND((ROUND((ROUND((_15_同援日０．５*_15・基礎２),0)*(1+_15・A早朝)),0)*(1+_15・区４)),0)+ROUND((ROUND((_15_同援日０．５＿１．０*_15・基礎２),0)*(1+_15・区４)),0)</f>
        <v>589</v>
      </c>
      <c r="AA49" s="69"/>
    </row>
    <row r="50" spans="1:27" ht="16.5" customHeight="1" x14ac:dyDescent="0.3">
      <c r="A50" s="2">
        <v>15</v>
      </c>
      <c r="B50" s="2">
        <v>9242</v>
      </c>
      <c r="C50" s="60" t="s">
        <v>9931</v>
      </c>
      <c r="D50" s="1"/>
      <c r="E50" s="68"/>
      <c r="F50" s="70"/>
      <c r="G50" s="1"/>
      <c r="H50" s="68"/>
      <c r="I50" s="70"/>
      <c r="J50" s="106" t="s">
        <v>18035</v>
      </c>
      <c r="K50" s="57" t="s">
        <v>1</v>
      </c>
      <c r="L50" s="58">
        <v>0.9</v>
      </c>
      <c r="M50" s="83" t="s">
        <v>5895</v>
      </c>
      <c r="N50" s="64" t="s">
        <v>1</v>
      </c>
      <c r="O50" s="65">
        <v>1</v>
      </c>
      <c r="P50" s="99"/>
      <c r="Q50" s="70"/>
      <c r="R50" s="66"/>
      <c r="S50" s="57"/>
      <c r="T50" s="58"/>
      <c r="U50" s="77"/>
      <c r="V50" s="1" t="s">
        <v>18039</v>
      </c>
      <c r="W50" s="68"/>
      <c r="X50" s="76"/>
      <c r="Y50" s="70"/>
      <c r="Z50" s="228">
        <f>ROUND((ROUND((ROUND((ROUND((_15_同援日０．５*_15・基礎２),0)*_15・２人),0)*(1+_15・A早朝)),0)*(1+_15・区４)),0)+ROUND((ROUND((ROUND((_15_同援日０．５＿１．０*_15・基礎２),0)*_15・２人),0)*(1+_15・区４)),0)</f>
        <v>589</v>
      </c>
      <c r="AA50" s="69"/>
    </row>
    <row r="51" spans="1:27" ht="16.5" customHeight="1" x14ac:dyDescent="0.3">
      <c r="A51" s="2">
        <v>15</v>
      </c>
      <c r="B51" s="2">
        <v>9243</v>
      </c>
      <c r="C51" s="60" t="s">
        <v>9930</v>
      </c>
      <c r="D51" s="1"/>
      <c r="E51" s="68"/>
      <c r="F51" s="70"/>
      <c r="G51" s="1"/>
      <c r="H51" s="68"/>
      <c r="I51" s="70"/>
      <c r="J51" s="61"/>
      <c r="K51" s="62"/>
      <c r="L51" s="63"/>
      <c r="M51" s="85"/>
      <c r="N51" s="64"/>
      <c r="O51" s="65"/>
      <c r="P51" s="99"/>
      <c r="Q51" s="70"/>
      <c r="R51" s="74" t="s">
        <v>8085</v>
      </c>
      <c r="S51" s="62"/>
      <c r="T51" s="63"/>
      <c r="U51" s="75"/>
      <c r="V51" s="67"/>
      <c r="W51" s="68" t="s">
        <v>1</v>
      </c>
      <c r="X51" s="76">
        <v>0.4</v>
      </c>
      <c r="Y51" s="70" t="s">
        <v>422</v>
      </c>
      <c r="Z51" s="228">
        <f>ROUND((ROUND((ROUND((_15_同援日０．５*(1+_15・A早朝)),0)*(1+_15・盲ろう)),0)*(1+_15・区４)),0)+ROUND((ROUND((_15_同援日０．５＿１．０*(1+_15・盲ろう)),0)*(1+_15・区４)),0)</f>
        <v>817</v>
      </c>
      <c r="AA51" s="69"/>
    </row>
    <row r="52" spans="1:27" ht="16.5" customHeight="1" x14ac:dyDescent="0.3">
      <c r="A52" s="2">
        <v>15</v>
      </c>
      <c r="B52" s="2">
        <v>9244</v>
      </c>
      <c r="C52" s="60" t="s">
        <v>9929</v>
      </c>
      <c r="D52" s="1"/>
      <c r="E52" s="68"/>
      <c r="F52" s="70"/>
      <c r="G52" s="1"/>
      <c r="H52" s="68"/>
      <c r="I52" s="70"/>
      <c r="J52" s="66"/>
      <c r="K52" s="57"/>
      <c r="L52" s="58"/>
      <c r="M52" s="83" t="s">
        <v>5895</v>
      </c>
      <c r="N52" s="64" t="s">
        <v>1</v>
      </c>
      <c r="O52" s="65">
        <v>1</v>
      </c>
      <c r="P52" s="99"/>
      <c r="Q52" s="70"/>
      <c r="R52" s="94" t="s">
        <v>8083</v>
      </c>
      <c r="S52" s="68"/>
      <c r="T52" s="76"/>
      <c r="U52" s="70"/>
      <c r="V52" s="67"/>
      <c r="W52" s="68"/>
      <c r="X52" s="76"/>
      <c r="Y52" s="70"/>
      <c r="Z52" s="228">
        <f>ROUND((ROUND((ROUND((ROUND((_15_同援日０．５*_15・２人),0)*(1+_15・A早朝)),0)*(1+_15・盲ろう)),0)*(1+_15・区４)),0)+ROUND((ROUND((ROUND((_15_同援日０．５＿１．０*_15・２人),0)*(1+_15・盲ろう)),0)*(1+_15・区４)),0)</f>
        <v>817</v>
      </c>
      <c r="AA52" s="69"/>
    </row>
    <row r="53" spans="1:27" ht="16.5" customHeight="1" x14ac:dyDescent="0.3">
      <c r="A53" s="2">
        <v>15</v>
      </c>
      <c r="B53" s="2">
        <v>9245</v>
      </c>
      <c r="C53" s="60" t="s">
        <v>9928</v>
      </c>
      <c r="D53" s="1"/>
      <c r="E53" s="68"/>
      <c r="F53" s="70"/>
      <c r="G53" s="1"/>
      <c r="H53" s="68"/>
      <c r="I53" s="70"/>
      <c r="J53" s="74" t="s">
        <v>18036</v>
      </c>
      <c r="K53" s="62"/>
      <c r="L53" s="63"/>
      <c r="M53" s="85"/>
      <c r="N53" s="64"/>
      <c r="O53" s="65"/>
      <c r="P53" s="99"/>
      <c r="Q53" s="70"/>
      <c r="R53" s="67"/>
      <c r="S53" s="68" t="s">
        <v>1</v>
      </c>
      <c r="T53" s="76">
        <v>0.25</v>
      </c>
      <c r="U53" s="70" t="s">
        <v>422</v>
      </c>
      <c r="V53" s="67"/>
      <c r="W53" s="68"/>
      <c r="X53" s="76"/>
      <c r="Y53" s="70"/>
      <c r="Z53" s="228">
        <f>ROUND((ROUND((ROUND((ROUND((_15_同援日０．５*_15・基礎２),0)*(1+_15・A早朝)),0)*(1+_15・盲ろう)),0)*(1+_15・区４)),0)+ROUND((ROUND((ROUND((_15_同援日０．５＿１．０*_15・基礎２),0)*(1+_15・盲ろう)),0)*(1+_15・区４)),0)</f>
        <v>736</v>
      </c>
      <c r="AA53" s="69"/>
    </row>
    <row r="54" spans="1:27" ht="16.5" customHeight="1" x14ac:dyDescent="0.3">
      <c r="A54" s="2">
        <v>15</v>
      </c>
      <c r="B54" s="2">
        <v>9246</v>
      </c>
      <c r="C54" s="60" t="s">
        <v>9927</v>
      </c>
      <c r="D54" s="1"/>
      <c r="E54" s="68"/>
      <c r="F54" s="70"/>
      <c r="G54" s="81"/>
      <c r="H54" s="57"/>
      <c r="I54" s="77"/>
      <c r="J54" s="106" t="s">
        <v>18035</v>
      </c>
      <c r="K54" s="57" t="s">
        <v>1</v>
      </c>
      <c r="L54" s="58">
        <v>0.9</v>
      </c>
      <c r="M54" s="83" t="s">
        <v>5895</v>
      </c>
      <c r="N54" s="64" t="s">
        <v>1</v>
      </c>
      <c r="O54" s="65">
        <v>1</v>
      </c>
      <c r="P54" s="99"/>
      <c r="Q54" s="70"/>
      <c r="R54" s="66"/>
      <c r="S54" s="57"/>
      <c r="T54" s="58"/>
      <c r="U54" s="77"/>
      <c r="V54" s="66"/>
      <c r="W54" s="57"/>
      <c r="X54" s="58"/>
      <c r="Y54" s="77"/>
      <c r="Z54" s="228">
        <f>ROUND((ROUND((ROUND((ROUND((ROUND((_15_同援日０．５*_15・基礎２),0)*_15・２人),0)*(1+_15・A早朝)),0)*(1+_15・盲ろう)),0)*(1+_15・区４)),0)+ROUND((ROUND((ROUND((ROUND((_15_同援日０．５＿１．０*_15・基礎２),0)*_15・２人),0)*(1+_15・盲ろう)),0)*(1+_15・区４)),0)</f>
        <v>736</v>
      </c>
      <c r="AA54" s="69"/>
    </row>
    <row r="55" spans="1:27" ht="16.5" customHeight="1" x14ac:dyDescent="0.3">
      <c r="A55" s="2">
        <v>15</v>
      </c>
      <c r="B55" s="2">
        <v>9247</v>
      </c>
      <c r="C55" s="60" t="s">
        <v>9926</v>
      </c>
      <c r="D55" s="1"/>
      <c r="E55" s="68"/>
      <c r="F55" s="70"/>
      <c r="G55" s="233" t="s">
        <v>5989</v>
      </c>
      <c r="H55" s="62"/>
      <c r="I55" s="75"/>
      <c r="J55" s="61"/>
      <c r="K55" s="62"/>
      <c r="L55" s="63"/>
      <c r="M55" s="85"/>
      <c r="N55" s="64"/>
      <c r="O55" s="65"/>
      <c r="P55" s="99"/>
      <c r="Q55" s="70"/>
      <c r="R55" s="61"/>
      <c r="S55" s="62"/>
      <c r="T55" s="63"/>
      <c r="U55" s="75"/>
      <c r="V55" s="61"/>
      <c r="W55" s="62"/>
      <c r="X55" s="63"/>
      <c r="Y55" s="75"/>
      <c r="Z55" s="228">
        <f>ROUND((_15_同援日０．５*(1+_15・A早朝)),0)+_15_同援日０．５＿１．５</f>
        <v>531</v>
      </c>
      <c r="AA55" s="69"/>
    </row>
    <row r="56" spans="1:27" ht="16.5" customHeight="1" x14ac:dyDescent="0.3">
      <c r="A56" s="2">
        <v>15</v>
      </c>
      <c r="B56" s="2">
        <v>9248</v>
      </c>
      <c r="C56" s="60" t="s">
        <v>9925</v>
      </c>
      <c r="D56" s="1"/>
      <c r="E56" s="68"/>
      <c r="F56" s="70"/>
      <c r="G56" s="1" t="s">
        <v>18048</v>
      </c>
      <c r="H56" s="68"/>
      <c r="I56" s="70"/>
      <c r="J56" s="66"/>
      <c r="K56" s="57"/>
      <c r="L56" s="58"/>
      <c r="M56" s="83" t="s">
        <v>5895</v>
      </c>
      <c r="N56" s="64" t="s">
        <v>1</v>
      </c>
      <c r="O56" s="65">
        <v>1</v>
      </c>
      <c r="P56" s="99"/>
      <c r="Q56" s="70"/>
      <c r="R56" s="67"/>
      <c r="S56" s="68"/>
      <c r="T56" s="76"/>
      <c r="U56" s="70"/>
      <c r="V56" s="67"/>
      <c r="W56" s="68"/>
      <c r="X56" s="76"/>
      <c r="Y56" s="70"/>
      <c r="Z56" s="228">
        <f>ROUND((ROUND((_15_同援日０．５*_15・２人),0)*(1+_15・A早朝)),0)+ROUND((_15_同援日０．５＿１．５*_15・２人),0)</f>
        <v>531</v>
      </c>
      <c r="AA56" s="69"/>
    </row>
    <row r="57" spans="1:27" ht="16.5" customHeight="1" x14ac:dyDescent="0.3">
      <c r="A57" s="2">
        <v>15</v>
      </c>
      <c r="B57" s="2">
        <v>9249</v>
      </c>
      <c r="C57" s="60" t="s">
        <v>9924</v>
      </c>
      <c r="D57" s="1"/>
      <c r="E57" s="68"/>
      <c r="F57" s="70"/>
      <c r="G57" s="1" t="s">
        <v>8767</v>
      </c>
      <c r="H57" s="68"/>
      <c r="I57" s="70"/>
      <c r="J57" s="74" t="s">
        <v>5898</v>
      </c>
      <c r="K57" s="62"/>
      <c r="L57" s="63"/>
      <c r="M57" s="85"/>
      <c r="N57" s="64"/>
      <c r="O57" s="65"/>
      <c r="P57" s="99"/>
      <c r="Q57" s="70"/>
      <c r="R57" s="67"/>
      <c r="S57" s="68"/>
      <c r="T57" s="76"/>
      <c r="U57" s="70"/>
      <c r="V57" s="67"/>
      <c r="W57" s="68"/>
      <c r="X57" s="76"/>
      <c r="Y57" s="70"/>
      <c r="Z57" s="228">
        <f>ROUND((ROUND((_15_同援日０．５*_15・基礎２),0)*(1+_15・A早朝)),0)+ROUND((_15_同援日０．５＿１．５*_15・基礎２),0)</f>
        <v>479</v>
      </c>
      <c r="AA57" s="69"/>
    </row>
    <row r="58" spans="1:27" ht="16.5" customHeight="1" x14ac:dyDescent="0.3">
      <c r="A58" s="2">
        <v>15</v>
      </c>
      <c r="B58" s="2">
        <v>9250</v>
      </c>
      <c r="C58" s="60" t="s">
        <v>9923</v>
      </c>
      <c r="D58" s="1"/>
      <c r="E58" s="68"/>
      <c r="F58" s="70"/>
      <c r="G58" s="1"/>
      <c r="H58" s="227">
        <v>301</v>
      </c>
      <c r="I58" s="70" t="s">
        <v>0</v>
      </c>
      <c r="J58" s="106" t="s">
        <v>18035</v>
      </c>
      <c r="K58" s="57" t="s">
        <v>1</v>
      </c>
      <c r="L58" s="58">
        <v>0.9</v>
      </c>
      <c r="M58" s="83" t="s">
        <v>5895</v>
      </c>
      <c r="N58" s="64" t="s">
        <v>1</v>
      </c>
      <c r="O58" s="65">
        <v>1</v>
      </c>
      <c r="P58" s="99"/>
      <c r="Q58" s="70"/>
      <c r="R58" s="66"/>
      <c r="S58" s="57"/>
      <c r="T58" s="58"/>
      <c r="U58" s="77"/>
      <c r="V58" s="67"/>
      <c r="W58" s="68"/>
      <c r="X58" s="76"/>
      <c r="Y58" s="70"/>
      <c r="Z58" s="228">
        <f>ROUND((ROUND((ROUND((_15_同援日０．５*_15・基礎２),0)*_15・２人),0)*(1+_15・A早朝)),0)+ROUND((ROUND((_15_同援日０．５＿１．５*_15・基礎２),0)*_15・２人),0)</f>
        <v>479</v>
      </c>
      <c r="AA58" s="69"/>
    </row>
    <row r="59" spans="1:27" ht="16.5" customHeight="1" x14ac:dyDescent="0.3">
      <c r="A59" s="2">
        <v>15</v>
      </c>
      <c r="B59" s="2">
        <v>9251</v>
      </c>
      <c r="C59" s="60" t="s">
        <v>9922</v>
      </c>
      <c r="D59" s="1"/>
      <c r="E59" s="68"/>
      <c r="F59" s="70"/>
      <c r="G59" s="1"/>
      <c r="H59" s="68"/>
      <c r="I59" s="70"/>
      <c r="J59" s="61"/>
      <c r="K59" s="62"/>
      <c r="L59" s="63"/>
      <c r="M59" s="85"/>
      <c r="N59" s="64"/>
      <c r="O59" s="65"/>
      <c r="P59" s="99"/>
      <c r="Q59" s="70"/>
      <c r="R59" s="74" t="s">
        <v>18038</v>
      </c>
      <c r="S59" s="62"/>
      <c r="T59" s="63"/>
      <c r="U59" s="75"/>
      <c r="V59" s="67"/>
      <c r="W59" s="68"/>
      <c r="X59" s="76"/>
      <c r="Y59" s="70"/>
      <c r="Z59" s="228">
        <f>ROUND((ROUND((_15_同援日０．５*(1+_15・A早朝)),0)*(1+_15・盲ろう)),0)+ROUND((_15_同援日０．５＿１．５*(1+_15・盲ろう)),0)</f>
        <v>664</v>
      </c>
      <c r="AA59" s="69"/>
    </row>
    <row r="60" spans="1:27" ht="16.5" customHeight="1" x14ac:dyDescent="0.3">
      <c r="A60" s="2">
        <v>15</v>
      </c>
      <c r="B60" s="2">
        <v>9252</v>
      </c>
      <c r="C60" s="60" t="s">
        <v>9921</v>
      </c>
      <c r="D60" s="1"/>
      <c r="E60" s="68"/>
      <c r="F60" s="70"/>
      <c r="G60" s="1"/>
      <c r="H60" s="68"/>
      <c r="I60" s="70"/>
      <c r="J60" s="66"/>
      <c r="K60" s="57"/>
      <c r="L60" s="58"/>
      <c r="M60" s="83" t="s">
        <v>5895</v>
      </c>
      <c r="N60" s="64" t="s">
        <v>1</v>
      </c>
      <c r="O60" s="65">
        <v>1</v>
      </c>
      <c r="P60" s="99"/>
      <c r="Q60" s="70"/>
      <c r="R60" s="94" t="s">
        <v>8083</v>
      </c>
      <c r="S60" s="68"/>
      <c r="T60" s="76"/>
      <c r="U60" s="70"/>
      <c r="V60" s="67"/>
      <c r="W60" s="68"/>
      <c r="X60" s="76"/>
      <c r="Y60" s="70"/>
      <c r="Z60" s="228">
        <f>ROUND((ROUND((ROUND((_15_同援日０．５*_15・２人),0)*(1+_15・A早朝)),0)*(1+_15・盲ろう)),0)+ROUND((ROUND((_15_同援日０．５＿１．５*_15・２人),0)*(1+_15・盲ろう)),0)</f>
        <v>664</v>
      </c>
      <c r="AA60" s="69"/>
    </row>
    <row r="61" spans="1:27" ht="16.5" customHeight="1" x14ac:dyDescent="0.3">
      <c r="A61" s="2">
        <v>15</v>
      </c>
      <c r="B61" s="2">
        <v>9253</v>
      </c>
      <c r="C61" s="60" t="s">
        <v>9920</v>
      </c>
      <c r="D61" s="1"/>
      <c r="E61" s="68"/>
      <c r="F61" s="70"/>
      <c r="G61" s="1"/>
      <c r="H61" s="68"/>
      <c r="I61" s="70"/>
      <c r="J61" s="74" t="s">
        <v>18036</v>
      </c>
      <c r="K61" s="62"/>
      <c r="L61" s="63"/>
      <c r="M61" s="85"/>
      <c r="N61" s="64"/>
      <c r="O61" s="65"/>
      <c r="P61" s="99"/>
      <c r="Q61" s="70"/>
      <c r="R61" s="67"/>
      <c r="S61" s="68" t="s">
        <v>1</v>
      </c>
      <c r="T61" s="76">
        <v>0.25</v>
      </c>
      <c r="U61" s="70" t="s">
        <v>422</v>
      </c>
      <c r="V61" s="67"/>
      <c r="W61" s="68"/>
      <c r="X61" s="76"/>
      <c r="Y61" s="70"/>
      <c r="Z61" s="228">
        <f>ROUND((ROUND((ROUND((_15_同援日０．５*_15・基礎２),0)*(1+_15・A早朝)),0)*(1+_15・盲ろう)),0)+ROUND((ROUND((_15_同援日０．５＿１．５*_15・基礎２),0)*(1+_15・盲ろう)),0)</f>
        <v>599</v>
      </c>
      <c r="AA61" s="69"/>
    </row>
    <row r="62" spans="1:27" ht="16.5" customHeight="1" x14ac:dyDescent="0.3">
      <c r="A62" s="2">
        <v>15</v>
      </c>
      <c r="B62" s="2">
        <v>9254</v>
      </c>
      <c r="C62" s="60" t="s">
        <v>9919</v>
      </c>
      <c r="D62" s="1"/>
      <c r="E62" s="68"/>
      <c r="F62" s="70"/>
      <c r="G62" s="1"/>
      <c r="H62" s="68"/>
      <c r="I62" s="70"/>
      <c r="J62" s="106" t="s">
        <v>18035</v>
      </c>
      <c r="K62" s="57" t="s">
        <v>1</v>
      </c>
      <c r="L62" s="58">
        <v>0.9</v>
      </c>
      <c r="M62" s="83" t="s">
        <v>5895</v>
      </c>
      <c r="N62" s="64" t="s">
        <v>1</v>
      </c>
      <c r="O62" s="65">
        <v>1</v>
      </c>
      <c r="P62" s="99"/>
      <c r="Q62" s="70"/>
      <c r="R62" s="66"/>
      <c r="S62" s="57"/>
      <c r="T62" s="58"/>
      <c r="U62" s="77"/>
      <c r="V62" s="66"/>
      <c r="W62" s="57"/>
      <c r="X62" s="58"/>
      <c r="Y62" s="77"/>
      <c r="Z62" s="228">
        <f>ROUND((ROUND((ROUND((ROUND((_15_同援日０．５*_15・基礎２),0)*_15・２人),0)*(1+_15・A早朝)),0)*(1+_15・盲ろう)),0)+ROUND((ROUND((ROUND((_15_同援日０．５＿１．５*_15・基礎２),0)*_15・２人),0)*(1+_15・盲ろう)),0)</f>
        <v>599</v>
      </c>
      <c r="AA62" s="69"/>
    </row>
    <row r="63" spans="1:27" ht="16.5" customHeight="1" x14ac:dyDescent="0.3">
      <c r="A63" s="2">
        <v>15</v>
      </c>
      <c r="B63" s="2">
        <v>9255</v>
      </c>
      <c r="C63" s="60" t="s">
        <v>9918</v>
      </c>
      <c r="D63" s="1"/>
      <c r="E63" s="68"/>
      <c r="F63" s="70"/>
      <c r="G63" s="1"/>
      <c r="H63" s="68"/>
      <c r="I63" s="70"/>
      <c r="J63" s="61"/>
      <c r="K63" s="62"/>
      <c r="L63" s="63"/>
      <c r="M63" s="85"/>
      <c r="N63" s="64"/>
      <c r="O63" s="65"/>
      <c r="P63" s="99"/>
      <c r="Q63" s="70"/>
      <c r="R63" s="61"/>
      <c r="S63" s="62"/>
      <c r="T63" s="63"/>
      <c r="U63" s="75"/>
      <c r="V63" s="61"/>
      <c r="W63" s="62"/>
      <c r="X63" s="63"/>
      <c r="Y63" s="75"/>
      <c r="Z63" s="228">
        <f>ROUND((ROUND((_15_同援日０．５*(1+_15・A早朝)),0)*(1+_15・区３)),0)+ROUND((_15_同援日０．５＿１．５*(1+_15・区３)),0)</f>
        <v>637</v>
      </c>
      <c r="AA63" s="69"/>
    </row>
    <row r="64" spans="1:27" ht="16.5" customHeight="1" x14ac:dyDescent="0.3">
      <c r="A64" s="2">
        <v>15</v>
      </c>
      <c r="B64" s="2">
        <v>9256</v>
      </c>
      <c r="C64" s="60" t="s">
        <v>9917</v>
      </c>
      <c r="D64" s="1"/>
      <c r="E64" s="68"/>
      <c r="F64" s="70"/>
      <c r="G64" s="1"/>
      <c r="H64" s="68"/>
      <c r="I64" s="70"/>
      <c r="J64" s="66"/>
      <c r="K64" s="57"/>
      <c r="L64" s="58"/>
      <c r="M64" s="83" t="s">
        <v>5895</v>
      </c>
      <c r="N64" s="64" t="s">
        <v>1</v>
      </c>
      <c r="O64" s="65">
        <v>1</v>
      </c>
      <c r="P64" s="99"/>
      <c r="Q64" s="70"/>
      <c r="R64" s="67"/>
      <c r="S64" s="68"/>
      <c r="T64" s="76"/>
      <c r="U64" s="70"/>
      <c r="V64" s="67"/>
      <c r="W64" s="68"/>
      <c r="X64" s="76"/>
      <c r="Y64" s="70"/>
      <c r="Z64" s="228">
        <f>ROUND((ROUND((ROUND((_15_同援日０．５*_15・２人),0)*(1+_15・A早朝)),0)*(1+_15・区３)),0)+ROUND((ROUND((_15_同援日０．５＿１．５*_15・２人),0)*(1+_15・区３)),0)</f>
        <v>637</v>
      </c>
      <c r="AA64" s="69"/>
    </row>
    <row r="65" spans="1:27" ht="16.5" customHeight="1" x14ac:dyDescent="0.3">
      <c r="A65" s="2">
        <v>15</v>
      </c>
      <c r="B65" s="2">
        <v>9257</v>
      </c>
      <c r="C65" s="60" t="s">
        <v>9916</v>
      </c>
      <c r="D65" s="1"/>
      <c r="E65" s="68"/>
      <c r="F65" s="70"/>
      <c r="G65" s="1"/>
      <c r="H65" s="68"/>
      <c r="I65" s="70"/>
      <c r="J65" s="74" t="s">
        <v>18036</v>
      </c>
      <c r="K65" s="62"/>
      <c r="L65" s="63"/>
      <c r="M65" s="85"/>
      <c r="N65" s="64"/>
      <c r="O65" s="65"/>
      <c r="P65" s="99"/>
      <c r="Q65" s="70"/>
      <c r="R65" s="67"/>
      <c r="S65" s="68"/>
      <c r="T65" s="76"/>
      <c r="U65" s="70"/>
      <c r="V65" s="1" t="s">
        <v>8098</v>
      </c>
      <c r="W65" s="68"/>
      <c r="X65" s="76"/>
      <c r="Y65" s="70"/>
      <c r="Z65" s="228">
        <f>ROUND((ROUND((ROUND((_15_同援日０．５*_15・基礎２),0)*(1+_15・A早朝)),0)*(1+_15・区３)),0)+ROUND((ROUND((_15_同援日０．５＿１．５*_15・基礎２),0)*(1+_15・区３)),0)</f>
        <v>575</v>
      </c>
      <c r="AA65" s="69"/>
    </row>
    <row r="66" spans="1:27" ht="16.5" customHeight="1" x14ac:dyDescent="0.3">
      <c r="A66" s="2">
        <v>15</v>
      </c>
      <c r="B66" s="2">
        <v>9258</v>
      </c>
      <c r="C66" s="60" t="s">
        <v>9915</v>
      </c>
      <c r="D66" s="1"/>
      <c r="E66" s="68"/>
      <c r="F66" s="70"/>
      <c r="G66" s="1"/>
      <c r="H66" s="68"/>
      <c r="I66" s="70"/>
      <c r="J66" s="106" t="s">
        <v>18035</v>
      </c>
      <c r="K66" s="57" t="s">
        <v>1</v>
      </c>
      <c r="L66" s="58">
        <v>0.9</v>
      </c>
      <c r="M66" s="83" t="s">
        <v>5895</v>
      </c>
      <c r="N66" s="64" t="s">
        <v>1</v>
      </c>
      <c r="O66" s="65">
        <v>1</v>
      </c>
      <c r="P66" s="99"/>
      <c r="Q66" s="70"/>
      <c r="R66" s="66"/>
      <c r="S66" s="57"/>
      <c r="T66" s="58"/>
      <c r="U66" s="77"/>
      <c r="V66" s="1" t="s">
        <v>18039</v>
      </c>
      <c r="W66" s="68"/>
      <c r="X66" s="76"/>
      <c r="Y66" s="70"/>
      <c r="Z66" s="228">
        <f>ROUND((ROUND((ROUND((ROUND((_15_同援日０．５*_15・基礎２),0)*_15・２人),0)*(1+_15・A早朝)),0)*(1+_15・区３)),0)+ROUND((ROUND((ROUND((_15_同援日０．５＿１．５*_15・基礎２),0)*_15・２人),0)*(1+_15・区３)),0)</f>
        <v>575</v>
      </c>
      <c r="AA66" s="69"/>
    </row>
    <row r="67" spans="1:27" ht="16.5" customHeight="1" x14ac:dyDescent="0.3">
      <c r="A67" s="2">
        <v>15</v>
      </c>
      <c r="B67" s="2">
        <v>9259</v>
      </c>
      <c r="C67" s="60" t="s">
        <v>9914</v>
      </c>
      <c r="D67" s="1"/>
      <c r="E67" s="68"/>
      <c r="F67" s="70"/>
      <c r="G67" s="1"/>
      <c r="H67" s="68"/>
      <c r="I67" s="70"/>
      <c r="J67" s="61"/>
      <c r="K67" s="62"/>
      <c r="L67" s="63"/>
      <c r="M67" s="85"/>
      <c r="N67" s="64"/>
      <c r="O67" s="65"/>
      <c r="P67" s="99"/>
      <c r="Q67" s="70"/>
      <c r="R67" s="74" t="s">
        <v>18038</v>
      </c>
      <c r="S67" s="62"/>
      <c r="T67" s="63"/>
      <c r="U67" s="75"/>
      <c r="V67" s="67"/>
      <c r="W67" s="68" t="s">
        <v>1</v>
      </c>
      <c r="X67" s="76">
        <v>0.2</v>
      </c>
      <c r="Y67" s="70" t="s">
        <v>422</v>
      </c>
      <c r="Z67" s="228">
        <f>ROUND((ROUND((ROUND((_15_同援日０．５*(1+_15・A早朝)),0)*(1+_15・盲ろう)),0)*(1+_15・区３)),0)+ROUND((ROUND((_15_同援日０．５＿１．５*(1+_15・盲ろう)),0)*(1+_15・区３)),0)</f>
        <v>797</v>
      </c>
      <c r="AA67" s="69"/>
    </row>
    <row r="68" spans="1:27" ht="16.5" customHeight="1" x14ac:dyDescent="0.3">
      <c r="A68" s="2">
        <v>15</v>
      </c>
      <c r="B68" s="2">
        <v>9260</v>
      </c>
      <c r="C68" s="60" t="s">
        <v>9913</v>
      </c>
      <c r="D68" s="1"/>
      <c r="E68" s="68"/>
      <c r="F68" s="70"/>
      <c r="G68" s="1"/>
      <c r="H68" s="68"/>
      <c r="I68" s="70"/>
      <c r="J68" s="66"/>
      <c r="K68" s="57"/>
      <c r="L68" s="58"/>
      <c r="M68" s="83" t="s">
        <v>5895</v>
      </c>
      <c r="N68" s="64" t="s">
        <v>1</v>
      </c>
      <c r="O68" s="65">
        <v>1</v>
      </c>
      <c r="P68" s="99"/>
      <c r="Q68" s="70"/>
      <c r="R68" s="94" t="s">
        <v>18037</v>
      </c>
      <c r="S68" s="68"/>
      <c r="T68" s="76"/>
      <c r="U68" s="70"/>
      <c r="V68" s="67"/>
      <c r="W68" s="68"/>
      <c r="X68" s="76"/>
      <c r="Y68" s="70"/>
      <c r="Z68" s="228">
        <f>ROUND((ROUND((ROUND((ROUND((_15_同援日０．５*_15・２人),0)*(1+_15・A早朝)),0)*(1+_15・盲ろう)),0)*(1+_15・区３)),0)+ROUND((ROUND((ROUND((_15_同援日０．５＿１．５*_15・２人),0)*(1+_15・盲ろう)),0)*(1+_15・区３)),0)</f>
        <v>797</v>
      </c>
      <c r="AA68" s="69"/>
    </row>
    <row r="69" spans="1:27" ht="16.5" customHeight="1" x14ac:dyDescent="0.3">
      <c r="A69" s="2">
        <v>15</v>
      </c>
      <c r="B69" s="2">
        <v>9261</v>
      </c>
      <c r="C69" s="60" t="s">
        <v>9912</v>
      </c>
      <c r="D69" s="1"/>
      <c r="E69" s="68"/>
      <c r="F69" s="70"/>
      <c r="G69" s="1"/>
      <c r="H69" s="68"/>
      <c r="I69" s="70"/>
      <c r="J69" s="74" t="s">
        <v>5898</v>
      </c>
      <c r="K69" s="62"/>
      <c r="L69" s="63"/>
      <c r="M69" s="85"/>
      <c r="N69" s="64"/>
      <c r="O69" s="65"/>
      <c r="P69" s="99"/>
      <c r="Q69" s="70"/>
      <c r="R69" s="67"/>
      <c r="S69" s="68" t="s">
        <v>1</v>
      </c>
      <c r="T69" s="76">
        <v>0.25</v>
      </c>
      <c r="U69" s="70" t="s">
        <v>422</v>
      </c>
      <c r="V69" s="67"/>
      <c r="W69" s="68"/>
      <c r="X69" s="76"/>
      <c r="Y69" s="70"/>
      <c r="Z69" s="228">
        <f>ROUND((ROUND((ROUND((ROUND((_15_同援日０．５*_15・基礎２),0)*(1+_15・A早朝)),0)*(1+_15・盲ろう)),0)*(1+_15・区３)),0)+ROUND((ROUND((ROUND((_15_同援日０．５＿１．５*_15・基礎２),0)*(1+_15・盲ろう)),0)*(1+_15・区３)),0)</f>
        <v>719</v>
      </c>
      <c r="AA69" s="69"/>
    </row>
    <row r="70" spans="1:27" ht="16.5" customHeight="1" x14ac:dyDescent="0.3">
      <c r="A70" s="2">
        <v>15</v>
      </c>
      <c r="B70" s="2">
        <v>9262</v>
      </c>
      <c r="C70" s="60" t="s">
        <v>9911</v>
      </c>
      <c r="D70" s="1"/>
      <c r="E70" s="68"/>
      <c r="F70" s="70"/>
      <c r="G70" s="1"/>
      <c r="H70" s="68"/>
      <c r="I70" s="70"/>
      <c r="J70" s="106" t="s">
        <v>18035</v>
      </c>
      <c r="K70" s="57" t="s">
        <v>1</v>
      </c>
      <c r="L70" s="58">
        <v>0.9</v>
      </c>
      <c r="M70" s="83" t="s">
        <v>5895</v>
      </c>
      <c r="N70" s="64" t="s">
        <v>1</v>
      </c>
      <c r="O70" s="65">
        <v>1</v>
      </c>
      <c r="P70" s="99"/>
      <c r="Q70" s="70"/>
      <c r="R70" s="66"/>
      <c r="S70" s="57"/>
      <c r="T70" s="58"/>
      <c r="U70" s="77"/>
      <c r="V70" s="66"/>
      <c r="W70" s="57"/>
      <c r="X70" s="58"/>
      <c r="Y70" s="77"/>
      <c r="Z70" s="228">
        <f>ROUND((ROUND((ROUND((ROUND((ROUND((_15_同援日０．５*_15・基礎２),0)*_15・２人),0)*(1+_15・A早朝)),0)*(1+_15・盲ろう)),0)*(1+_15・区３)),0)+ROUND((ROUND((ROUND((ROUND((_15_同援日０．５＿１．５*_15・基礎２),0)*_15・２人),0)*(1+_15・盲ろう)),0)*(1+_15・区３)),0)</f>
        <v>719</v>
      </c>
      <c r="AA70" s="69"/>
    </row>
    <row r="71" spans="1:27" ht="16.5" customHeight="1" x14ac:dyDescent="0.3">
      <c r="A71" s="2">
        <v>15</v>
      </c>
      <c r="B71" s="2">
        <v>9263</v>
      </c>
      <c r="C71" s="60" t="s">
        <v>9910</v>
      </c>
      <c r="D71" s="1"/>
      <c r="E71" s="68"/>
      <c r="F71" s="70"/>
      <c r="G71" s="1"/>
      <c r="H71" s="68"/>
      <c r="I71" s="70"/>
      <c r="J71" s="61"/>
      <c r="K71" s="62"/>
      <c r="L71" s="63"/>
      <c r="M71" s="85"/>
      <c r="N71" s="64"/>
      <c r="O71" s="65"/>
      <c r="P71" s="99"/>
      <c r="Q71" s="70"/>
      <c r="R71" s="61"/>
      <c r="S71" s="62"/>
      <c r="T71" s="63"/>
      <c r="U71" s="75"/>
      <c r="V71" s="61"/>
      <c r="W71" s="62"/>
      <c r="X71" s="63"/>
      <c r="Y71" s="75"/>
      <c r="Z71" s="228">
        <f>ROUND((ROUND((_15_同援日０．５*(1+_15・A早朝)),0)*(1+_15・区４)),0)+ROUND((_15_同援日０．５＿１．５*(1+_15・区４)),0)</f>
        <v>743</v>
      </c>
      <c r="AA71" s="69"/>
    </row>
    <row r="72" spans="1:27" ht="16.5" customHeight="1" x14ac:dyDescent="0.3">
      <c r="A72" s="2">
        <v>15</v>
      </c>
      <c r="B72" s="2">
        <v>9264</v>
      </c>
      <c r="C72" s="60" t="s">
        <v>9909</v>
      </c>
      <c r="D72" s="1"/>
      <c r="E72" s="68"/>
      <c r="F72" s="70"/>
      <c r="G72" s="1"/>
      <c r="H72" s="68"/>
      <c r="I72" s="70"/>
      <c r="J72" s="66"/>
      <c r="K72" s="57"/>
      <c r="L72" s="58"/>
      <c r="M72" s="83" t="s">
        <v>5895</v>
      </c>
      <c r="N72" s="64" t="s">
        <v>1</v>
      </c>
      <c r="O72" s="65">
        <v>1</v>
      </c>
      <c r="P72" s="99"/>
      <c r="Q72" s="70"/>
      <c r="R72" s="67"/>
      <c r="S72" s="68"/>
      <c r="T72" s="76"/>
      <c r="U72" s="70"/>
      <c r="V72" s="67"/>
      <c r="W72" s="68"/>
      <c r="X72" s="76"/>
      <c r="Y72" s="70"/>
      <c r="Z72" s="228">
        <f>ROUND((ROUND((ROUND((_15_同援日０．５*_15・２人),0)*(1+_15・A早朝)),0)*(1+_15・区４)),0)+ROUND((ROUND((_15_同援日０．５＿１．５*_15・２人),0)*(1+_15・区４)),0)</f>
        <v>743</v>
      </c>
      <c r="AA72" s="69"/>
    </row>
    <row r="73" spans="1:27" ht="16.5" customHeight="1" x14ac:dyDescent="0.3">
      <c r="A73" s="2">
        <v>15</v>
      </c>
      <c r="B73" s="2">
        <v>9265</v>
      </c>
      <c r="C73" s="60" t="s">
        <v>9908</v>
      </c>
      <c r="D73" s="1"/>
      <c r="E73" s="68"/>
      <c r="F73" s="70"/>
      <c r="G73" s="1"/>
      <c r="H73" s="68"/>
      <c r="I73" s="70"/>
      <c r="J73" s="74" t="s">
        <v>5898</v>
      </c>
      <c r="K73" s="62"/>
      <c r="L73" s="63"/>
      <c r="M73" s="85"/>
      <c r="N73" s="64"/>
      <c r="O73" s="65"/>
      <c r="P73" s="99"/>
      <c r="Q73" s="70"/>
      <c r="R73" s="67"/>
      <c r="S73" s="68"/>
      <c r="T73" s="76"/>
      <c r="U73" s="70"/>
      <c r="V73" s="1" t="s">
        <v>8089</v>
      </c>
      <c r="W73" s="68"/>
      <c r="X73" s="76"/>
      <c r="Y73" s="70"/>
      <c r="Z73" s="228">
        <f>ROUND((ROUND((ROUND((_15_同援日０．５*_15・基礎２),0)*(1+_15・A早朝)),0)*(1+_15・区４)),0)+ROUND((ROUND((_15_同援日０．５＿１．５*_15・基礎２),0)*(1+_15・区４)),0)</f>
        <v>670</v>
      </c>
      <c r="AA73" s="69"/>
    </row>
    <row r="74" spans="1:27" ht="16.5" customHeight="1" x14ac:dyDescent="0.3">
      <c r="A74" s="2">
        <v>15</v>
      </c>
      <c r="B74" s="2">
        <v>9266</v>
      </c>
      <c r="C74" s="60" t="s">
        <v>9907</v>
      </c>
      <c r="D74" s="1"/>
      <c r="E74" s="68"/>
      <c r="F74" s="70"/>
      <c r="G74" s="1"/>
      <c r="H74" s="68"/>
      <c r="I74" s="70"/>
      <c r="J74" s="106" t="s">
        <v>18035</v>
      </c>
      <c r="K74" s="57" t="s">
        <v>1</v>
      </c>
      <c r="L74" s="58">
        <v>0.9</v>
      </c>
      <c r="M74" s="83" t="s">
        <v>5895</v>
      </c>
      <c r="N74" s="64" t="s">
        <v>1</v>
      </c>
      <c r="O74" s="65">
        <v>1</v>
      </c>
      <c r="P74" s="99"/>
      <c r="Q74" s="70"/>
      <c r="R74" s="66"/>
      <c r="S74" s="57"/>
      <c r="T74" s="58"/>
      <c r="U74" s="77"/>
      <c r="V74" s="1" t="s">
        <v>18039</v>
      </c>
      <c r="W74" s="68"/>
      <c r="X74" s="76"/>
      <c r="Y74" s="70"/>
      <c r="Z74" s="228">
        <f>ROUND((ROUND((ROUND((ROUND((_15_同援日０．５*_15・基礎２),0)*_15・２人),0)*(1+_15・A早朝)),0)*(1+_15・区４)),0)+ROUND((ROUND((ROUND((_15_同援日０．５＿１．５*_15・基礎２),0)*_15・２人),0)*(1+_15・区４)),0)</f>
        <v>670</v>
      </c>
      <c r="AA74" s="69"/>
    </row>
    <row r="75" spans="1:27" ht="16.5" customHeight="1" x14ac:dyDescent="0.3">
      <c r="A75" s="2">
        <v>15</v>
      </c>
      <c r="B75" s="2">
        <v>9267</v>
      </c>
      <c r="C75" s="60" t="s">
        <v>9906</v>
      </c>
      <c r="D75" s="1"/>
      <c r="E75" s="68"/>
      <c r="F75" s="70"/>
      <c r="G75" s="1"/>
      <c r="H75" s="68"/>
      <c r="I75" s="70"/>
      <c r="J75" s="61"/>
      <c r="K75" s="62"/>
      <c r="L75" s="63"/>
      <c r="M75" s="85"/>
      <c r="N75" s="64"/>
      <c r="O75" s="65"/>
      <c r="P75" s="99"/>
      <c r="Q75" s="70"/>
      <c r="R75" s="74" t="s">
        <v>8085</v>
      </c>
      <c r="S75" s="62"/>
      <c r="T75" s="63"/>
      <c r="U75" s="75"/>
      <c r="V75" s="67"/>
      <c r="W75" s="68" t="s">
        <v>1</v>
      </c>
      <c r="X75" s="76">
        <v>0.4</v>
      </c>
      <c r="Y75" s="70" t="s">
        <v>422</v>
      </c>
      <c r="Z75" s="228">
        <f>ROUND((ROUND((ROUND((_15_同援日０．５*(1+_15・A早朝)),0)*(1+_15・盲ろう)),0)*(1+_15・区４)),0)+ROUND((ROUND((_15_同援日０．５＿１．５*(1+_15・盲ろう)),0)*(1+_15・区４)),0)</f>
        <v>929</v>
      </c>
      <c r="AA75" s="69"/>
    </row>
    <row r="76" spans="1:27" ht="16.5" customHeight="1" x14ac:dyDescent="0.3">
      <c r="A76" s="2">
        <v>15</v>
      </c>
      <c r="B76" s="2">
        <v>9268</v>
      </c>
      <c r="C76" s="60" t="s">
        <v>9905</v>
      </c>
      <c r="D76" s="1"/>
      <c r="E76" s="68"/>
      <c r="F76" s="70"/>
      <c r="G76" s="1"/>
      <c r="H76" s="68"/>
      <c r="I76" s="70"/>
      <c r="J76" s="66"/>
      <c r="K76" s="57"/>
      <c r="L76" s="58"/>
      <c r="M76" s="83" t="s">
        <v>5895</v>
      </c>
      <c r="N76" s="64" t="s">
        <v>1</v>
      </c>
      <c r="O76" s="65">
        <v>1</v>
      </c>
      <c r="P76" s="99"/>
      <c r="Q76" s="70"/>
      <c r="R76" s="94" t="s">
        <v>18037</v>
      </c>
      <c r="S76" s="68"/>
      <c r="T76" s="76"/>
      <c r="U76" s="70"/>
      <c r="V76" s="67"/>
      <c r="W76" s="68"/>
      <c r="X76" s="76"/>
      <c r="Y76" s="70"/>
      <c r="Z76" s="228">
        <f>ROUND((ROUND((ROUND((ROUND((_15_同援日０．５*_15・２人),0)*(1+_15・A早朝)),0)*(1+_15・盲ろう)),0)*(1+_15・区４)),0)+ROUND((ROUND((ROUND((_15_同援日０．５＿１．５*_15・２人),0)*(1+_15・盲ろう)),0)*(1+_15・区４)),0)</f>
        <v>929</v>
      </c>
      <c r="AA76" s="69"/>
    </row>
    <row r="77" spans="1:27" ht="16.5" customHeight="1" x14ac:dyDescent="0.3">
      <c r="A77" s="2">
        <v>15</v>
      </c>
      <c r="B77" s="2">
        <v>9269</v>
      </c>
      <c r="C77" s="60" t="s">
        <v>9904</v>
      </c>
      <c r="D77" s="1"/>
      <c r="E77" s="68"/>
      <c r="F77" s="70"/>
      <c r="G77" s="1"/>
      <c r="H77" s="68"/>
      <c r="I77" s="70"/>
      <c r="J77" s="74" t="s">
        <v>18036</v>
      </c>
      <c r="K77" s="62"/>
      <c r="L77" s="63"/>
      <c r="M77" s="85"/>
      <c r="N77" s="64"/>
      <c r="O77" s="65"/>
      <c r="P77" s="99"/>
      <c r="Q77" s="70"/>
      <c r="R77" s="67"/>
      <c r="S77" s="68" t="s">
        <v>1</v>
      </c>
      <c r="T77" s="76">
        <v>0.25</v>
      </c>
      <c r="U77" s="70" t="s">
        <v>422</v>
      </c>
      <c r="V77" s="67"/>
      <c r="W77" s="68"/>
      <c r="X77" s="76"/>
      <c r="Y77" s="70"/>
      <c r="Z77" s="228">
        <f>ROUND((ROUND((ROUND((ROUND((_15_同援日０．５*_15・基礎２),0)*(1+_15・A早朝)),0)*(1+_15・盲ろう)),0)*(1+_15・区４)),0)+ROUND((ROUND((ROUND((_15_同援日０．５＿１．５*_15・基礎２),0)*(1+_15・盲ろう)),0)*(1+_15・区４)),0)</f>
        <v>839</v>
      </c>
      <c r="AA77" s="69"/>
    </row>
    <row r="78" spans="1:27" ht="16.5" customHeight="1" x14ac:dyDescent="0.3">
      <c r="A78" s="2">
        <v>15</v>
      </c>
      <c r="B78" s="2">
        <v>9270</v>
      </c>
      <c r="C78" s="60" t="s">
        <v>9903</v>
      </c>
      <c r="D78" s="1"/>
      <c r="E78" s="68"/>
      <c r="F78" s="70"/>
      <c r="G78" s="81"/>
      <c r="H78" s="57"/>
      <c r="I78" s="77"/>
      <c r="J78" s="106" t="s">
        <v>18035</v>
      </c>
      <c r="K78" s="57" t="s">
        <v>1</v>
      </c>
      <c r="L78" s="58">
        <v>0.9</v>
      </c>
      <c r="M78" s="83" t="s">
        <v>5895</v>
      </c>
      <c r="N78" s="64" t="s">
        <v>1</v>
      </c>
      <c r="O78" s="65">
        <v>1</v>
      </c>
      <c r="P78" s="99"/>
      <c r="Q78" s="70"/>
      <c r="R78" s="66"/>
      <c r="S78" s="57"/>
      <c r="T78" s="58"/>
      <c r="U78" s="77"/>
      <c r="V78" s="66"/>
      <c r="W78" s="57"/>
      <c r="X78" s="58"/>
      <c r="Y78" s="77"/>
      <c r="Z78" s="228">
        <f>ROUND((ROUND((ROUND((ROUND((ROUND((_15_同援日０．５*_15・基礎２),0)*_15・２人),0)*(1+_15・A早朝)),0)*(1+_15・盲ろう)),0)*(1+_15・区４)),0)+ROUND((ROUND((ROUND((ROUND((_15_同援日０．５＿１．５*_15・基礎２),0)*_15・２人),0)*(1+_15・盲ろう)),0)*(1+_15・区４)),0)</f>
        <v>839</v>
      </c>
      <c r="AA78" s="69"/>
    </row>
    <row r="79" spans="1:27" ht="16.5" customHeight="1" x14ac:dyDescent="0.3">
      <c r="A79" s="2">
        <v>15</v>
      </c>
      <c r="B79" s="2">
        <v>9271</v>
      </c>
      <c r="C79" s="60" t="s">
        <v>9902</v>
      </c>
      <c r="D79" s="1"/>
      <c r="E79" s="68"/>
      <c r="F79" s="70"/>
      <c r="G79" s="233" t="s">
        <v>18052</v>
      </c>
      <c r="H79" s="62"/>
      <c r="I79" s="75"/>
      <c r="J79" s="61"/>
      <c r="K79" s="62"/>
      <c r="L79" s="63"/>
      <c r="M79" s="85"/>
      <c r="N79" s="64"/>
      <c r="O79" s="65"/>
      <c r="P79" s="99"/>
      <c r="Q79" s="70"/>
      <c r="R79" s="61"/>
      <c r="S79" s="62"/>
      <c r="T79" s="63"/>
      <c r="U79" s="75"/>
      <c r="V79" s="61"/>
      <c r="W79" s="62"/>
      <c r="X79" s="63"/>
      <c r="Y79" s="75"/>
      <c r="Z79" s="228">
        <f>ROUND((_15_同援日０．５*(1+_15・A早朝)),0)+_15_同援日０．５＿２．０</f>
        <v>594</v>
      </c>
      <c r="AA79" s="69"/>
    </row>
    <row r="80" spans="1:27" ht="16.5" customHeight="1" x14ac:dyDescent="0.3">
      <c r="A80" s="2">
        <v>15</v>
      </c>
      <c r="B80" s="2">
        <v>9272</v>
      </c>
      <c r="C80" s="60" t="s">
        <v>9901</v>
      </c>
      <c r="D80" s="1"/>
      <c r="E80" s="68"/>
      <c r="F80" s="70"/>
      <c r="G80" s="1" t="s">
        <v>18047</v>
      </c>
      <c r="H80" s="68"/>
      <c r="I80" s="70"/>
      <c r="J80" s="66"/>
      <c r="K80" s="57"/>
      <c r="L80" s="58"/>
      <c r="M80" s="83" t="s">
        <v>5895</v>
      </c>
      <c r="N80" s="64" t="s">
        <v>1</v>
      </c>
      <c r="O80" s="65">
        <v>1</v>
      </c>
      <c r="P80" s="99"/>
      <c r="Q80" s="70"/>
      <c r="R80" s="67"/>
      <c r="S80" s="68"/>
      <c r="T80" s="76"/>
      <c r="U80" s="70"/>
      <c r="V80" s="67"/>
      <c r="W80" s="68"/>
      <c r="X80" s="76"/>
      <c r="Y80" s="70"/>
      <c r="Z80" s="228">
        <f>ROUND((ROUND((_15_同援日０．５*_15・２人),0)*(1+_15・A早朝)),0)+ROUND((_15_同援日０．５＿２．０*_15・２人),0)</f>
        <v>594</v>
      </c>
      <c r="AA80" s="69"/>
    </row>
    <row r="81" spans="1:27" ht="16.5" customHeight="1" x14ac:dyDescent="0.3">
      <c r="A81" s="2">
        <v>15</v>
      </c>
      <c r="B81" s="2">
        <v>9273</v>
      </c>
      <c r="C81" s="60" t="s">
        <v>9900</v>
      </c>
      <c r="D81" s="1"/>
      <c r="E81" s="68"/>
      <c r="F81" s="70"/>
      <c r="G81" s="1" t="s">
        <v>6448</v>
      </c>
      <c r="H81" s="68"/>
      <c r="I81" s="70"/>
      <c r="J81" s="74" t="s">
        <v>18036</v>
      </c>
      <c r="K81" s="62"/>
      <c r="L81" s="63"/>
      <c r="M81" s="85"/>
      <c r="N81" s="64"/>
      <c r="O81" s="65"/>
      <c r="P81" s="99"/>
      <c r="Q81" s="70"/>
      <c r="R81" s="67"/>
      <c r="S81" s="68"/>
      <c r="T81" s="76"/>
      <c r="U81" s="70"/>
      <c r="V81" s="67"/>
      <c r="W81" s="68"/>
      <c r="X81" s="76"/>
      <c r="Y81" s="70"/>
      <c r="Z81" s="228">
        <f>ROUND((ROUND((_15_同援日０．５*_15・基礎２),0)*(1+_15・A早朝)),0)+ROUND((_15_同援日０．５＿２．０*_15・基礎２),0)</f>
        <v>536</v>
      </c>
      <c r="AA81" s="69"/>
    </row>
    <row r="82" spans="1:27" ht="16.5" customHeight="1" x14ac:dyDescent="0.3">
      <c r="A82" s="2">
        <v>15</v>
      </c>
      <c r="B82" s="2">
        <v>9274</v>
      </c>
      <c r="C82" s="60" t="s">
        <v>9899</v>
      </c>
      <c r="D82" s="1"/>
      <c r="E82" s="68"/>
      <c r="F82" s="70"/>
      <c r="G82" s="1"/>
      <c r="H82" s="227">
        <v>364</v>
      </c>
      <c r="I82" s="70" t="s">
        <v>0</v>
      </c>
      <c r="J82" s="106" t="s">
        <v>18035</v>
      </c>
      <c r="K82" s="57" t="s">
        <v>1</v>
      </c>
      <c r="L82" s="58">
        <v>0.9</v>
      </c>
      <c r="M82" s="83" t="s">
        <v>5895</v>
      </c>
      <c r="N82" s="64" t="s">
        <v>1</v>
      </c>
      <c r="O82" s="65">
        <v>1</v>
      </c>
      <c r="P82" s="99"/>
      <c r="Q82" s="70"/>
      <c r="R82" s="66"/>
      <c r="S82" s="57"/>
      <c r="T82" s="58"/>
      <c r="U82" s="77"/>
      <c r="V82" s="67"/>
      <c r="W82" s="68"/>
      <c r="X82" s="76"/>
      <c r="Y82" s="70"/>
      <c r="Z82" s="228">
        <f>ROUND((ROUND((ROUND((_15_同援日０．５*_15・基礎２),0)*_15・２人),0)*(1+_15・A早朝)),0)+ROUND((ROUND((_15_同援日０．５＿２．０*_15・基礎２),0)*_15・２人),0)</f>
        <v>536</v>
      </c>
      <c r="AA82" s="69"/>
    </row>
    <row r="83" spans="1:27" ht="16.5" customHeight="1" x14ac:dyDescent="0.3">
      <c r="A83" s="2">
        <v>15</v>
      </c>
      <c r="B83" s="2">
        <v>9275</v>
      </c>
      <c r="C83" s="60" t="s">
        <v>9898</v>
      </c>
      <c r="D83" s="1"/>
      <c r="E83" s="68"/>
      <c r="F83" s="70"/>
      <c r="G83" s="1"/>
      <c r="H83" s="68"/>
      <c r="I83" s="70"/>
      <c r="J83" s="61"/>
      <c r="K83" s="62"/>
      <c r="L83" s="63"/>
      <c r="M83" s="85"/>
      <c r="N83" s="64"/>
      <c r="O83" s="65"/>
      <c r="P83" s="99"/>
      <c r="Q83" s="70"/>
      <c r="R83" s="74" t="s">
        <v>8085</v>
      </c>
      <c r="S83" s="62"/>
      <c r="T83" s="63"/>
      <c r="U83" s="75"/>
      <c r="V83" s="67"/>
      <c r="W83" s="68"/>
      <c r="X83" s="76"/>
      <c r="Y83" s="70"/>
      <c r="Z83" s="228">
        <f>ROUND((ROUND((_15_同援日０．５*(1+_15・A早朝)),0)*(1+_15・盲ろう)),0)+ROUND((_15_同援日０．５＿２．０*(1+_15・盲ろう)),0)</f>
        <v>743</v>
      </c>
      <c r="AA83" s="69"/>
    </row>
    <row r="84" spans="1:27" ht="16.5" customHeight="1" x14ac:dyDescent="0.3">
      <c r="A84" s="2">
        <v>15</v>
      </c>
      <c r="B84" s="2">
        <v>9276</v>
      </c>
      <c r="C84" s="60" t="s">
        <v>9897</v>
      </c>
      <c r="D84" s="1"/>
      <c r="E84" s="68"/>
      <c r="F84" s="70"/>
      <c r="G84" s="1"/>
      <c r="H84" s="68"/>
      <c r="I84" s="70"/>
      <c r="J84" s="66"/>
      <c r="K84" s="57"/>
      <c r="L84" s="58"/>
      <c r="M84" s="83" t="s">
        <v>5895</v>
      </c>
      <c r="N84" s="64" t="s">
        <v>1</v>
      </c>
      <c r="O84" s="65">
        <v>1</v>
      </c>
      <c r="P84" s="99"/>
      <c r="Q84" s="70"/>
      <c r="R84" s="94" t="s">
        <v>18037</v>
      </c>
      <c r="S84" s="68"/>
      <c r="T84" s="76"/>
      <c r="U84" s="70"/>
      <c r="V84" s="67"/>
      <c r="W84" s="68"/>
      <c r="X84" s="76"/>
      <c r="Y84" s="70"/>
      <c r="Z84" s="228">
        <f>ROUND((ROUND((ROUND((_15_同援日０．５*_15・２人),0)*(1+_15・A早朝)),0)*(1+_15・盲ろう)),0)+ROUND((ROUND((_15_同援日０．５＿２．０*_15・２人),0)*(1+_15・盲ろう)),0)</f>
        <v>743</v>
      </c>
      <c r="AA84" s="69"/>
    </row>
    <row r="85" spans="1:27" ht="16.5" customHeight="1" x14ac:dyDescent="0.3">
      <c r="A85" s="2">
        <v>15</v>
      </c>
      <c r="B85" s="2">
        <v>9277</v>
      </c>
      <c r="C85" s="60" t="s">
        <v>9896</v>
      </c>
      <c r="D85" s="1"/>
      <c r="E85" s="68"/>
      <c r="F85" s="70"/>
      <c r="G85" s="1"/>
      <c r="H85" s="68"/>
      <c r="I85" s="70"/>
      <c r="J85" s="74" t="s">
        <v>18036</v>
      </c>
      <c r="K85" s="62"/>
      <c r="L85" s="63"/>
      <c r="M85" s="85"/>
      <c r="N85" s="64"/>
      <c r="O85" s="65"/>
      <c r="P85" s="99"/>
      <c r="Q85" s="70"/>
      <c r="R85" s="67"/>
      <c r="S85" s="68" t="s">
        <v>1</v>
      </c>
      <c r="T85" s="76">
        <v>0.25</v>
      </c>
      <c r="U85" s="70" t="s">
        <v>422</v>
      </c>
      <c r="V85" s="67"/>
      <c r="W85" s="68"/>
      <c r="X85" s="76"/>
      <c r="Y85" s="70"/>
      <c r="Z85" s="228">
        <f>ROUND((ROUND((ROUND((_15_同援日０．５*_15・基礎２),0)*(1+_15・A早朝)),0)*(1+_15・盲ろう)),0)+ROUND((ROUND((_15_同援日０．５＿２．０*_15・基礎２),0)*(1+_15・盲ろう)),0)</f>
        <v>670</v>
      </c>
      <c r="AA85" s="69"/>
    </row>
    <row r="86" spans="1:27" ht="16.5" customHeight="1" x14ac:dyDescent="0.3">
      <c r="A86" s="2">
        <v>15</v>
      </c>
      <c r="B86" s="2">
        <v>9278</v>
      </c>
      <c r="C86" s="60" t="s">
        <v>9895</v>
      </c>
      <c r="D86" s="1"/>
      <c r="E86" s="68"/>
      <c r="F86" s="70"/>
      <c r="G86" s="1"/>
      <c r="H86" s="68"/>
      <c r="I86" s="70"/>
      <c r="J86" s="106" t="s">
        <v>5896</v>
      </c>
      <c r="K86" s="57" t="s">
        <v>1</v>
      </c>
      <c r="L86" s="58">
        <v>0.9</v>
      </c>
      <c r="M86" s="83" t="s">
        <v>5895</v>
      </c>
      <c r="N86" s="64" t="s">
        <v>1</v>
      </c>
      <c r="O86" s="65">
        <v>1</v>
      </c>
      <c r="P86" s="99"/>
      <c r="Q86" s="70"/>
      <c r="R86" s="66"/>
      <c r="S86" s="57"/>
      <c r="T86" s="58"/>
      <c r="U86" s="77"/>
      <c r="V86" s="66"/>
      <c r="W86" s="57"/>
      <c r="X86" s="58"/>
      <c r="Y86" s="77"/>
      <c r="Z86" s="228">
        <f>ROUND((ROUND((ROUND((ROUND((_15_同援日０．５*_15・基礎２),0)*_15・２人),0)*(1+_15・A早朝)),0)*(1+_15・盲ろう)),0)+ROUND((ROUND((ROUND((_15_同援日０．５＿２．０*_15・基礎２),0)*_15・２人),0)*(1+_15・盲ろう)),0)</f>
        <v>670</v>
      </c>
      <c r="AA86" s="69"/>
    </row>
    <row r="87" spans="1:27" ht="16.5" customHeight="1" x14ac:dyDescent="0.3">
      <c r="A87" s="2">
        <v>15</v>
      </c>
      <c r="B87" s="2">
        <v>9279</v>
      </c>
      <c r="C87" s="60" t="s">
        <v>9894</v>
      </c>
      <c r="D87" s="1"/>
      <c r="E87" s="68"/>
      <c r="F87" s="70"/>
      <c r="G87" s="1"/>
      <c r="H87" s="68"/>
      <c r="I87" s="70"/>
      <c r="J87" s="61"/>
      <c r="K87" s="62"/>
      <c r="L87" s="63"/>
      <c r="M87" s="85"/>
      <c r="N87" s="64"/>
      <c r="O87" s="65"/>
      <c r="P87" s="99"/>
      <c r="Q87" s="70"/>
      <c r="R87" s="61"/>
      <c r="S87" s="62"/>
      <c r="T87" s="63"/>
      <c r="U87" s="75"/>
      <c r="V87" s="61"/>
      <c r="W87" s="62"/>
      <c r="X87" s="63"/>
      <c r="Y87" s="75"/>
      <c r="Z87" s="228">
        <f>ROUND((ROUND((_15_同援日０．５*(1+_15・A早朝)),0)*(1+_15・区３)),0)+ROUND((_15_同援日０．５＿２．０*(1+_15・区３)),0)</f>
        <v>713</v>
      </c>
      <c r="AA87" s="69"/>
    </row>
    <row r="88" spans="1:27" ht="16.5" customHeight="1" x14ac:dyDescent="0.3">
      <c r="A88" s="2">
        <v>15</v>
      </c>
      <c r="B88" s="2">
        <v>9280</v>
      </c>
      <c r="C88" s="60" t="s">
        <v>9893</v>
      </c>
      <c r="D88" s="1"/>
      <c r="E88" s="68"/>
      <c r="F88" s="70"/>
      <c r="G88" s="1"/>
      <c r="H88" s="68"/>
      <c r="I88" s="70"/>
      <c r="J88" s="66"/>
      <c r="K88" s="57"/>
      <c r="L88" s="58"/>
      <c r="M88" s="83" t="s">
        <v>5895</v>
      </c>
      <c r="N88" s="64" t="s">
        <v>1</v>
      </c>
      <c r="O88" s="65">
        <v>1</v>
      </c>
      <c r="P88" s="99"/>
      <c r="Q88" s="70"/>
      <c r="R88" s="67"/>
      <c r="S88" s="68"/>
      <c r="T88" s="76"/>
      <c r="U88" s="70"/>
      <c r="V88" s="67"/>
      <c r="W88" s="68"/>
      <c r="X88" s="76"/>
      <c r="Y88" s="70"/>
      <c r="Z88" s="228">
        <f>ROUND((ROUND((ROUND((_15_同援日０．５*_15・２人),0)*(1+_15・A早朝)),0)*(1+_15・区３)),0)+ROUND((ROUND((_15_同援日０．５＿２．０*_15・２人),0)*(1+_15・区３)),0)</f>
        <v>713</v>
      </c>
      <c r="AA88" s="69"/>
    </row>
    <row r="89" spans="1:27" ht="16.5" customHeight="1" x14ac:dyDescent="0.3">
      <c r="A89" s="2">
        <v>15</v>
      </c>
      <c r="B89" s="2">
        <v>9281</v>
      </c>
      <c r="C89" s="60" t="s">
        <v>9892</v>
      </c>
      <c r="D89" s="1"/>
      <c r="E89" s="68"/>
      <c r="F89" s="70"/>
      <c r="G89" s="1"/>
      <c r="H89" s="68"/>
      <c r="I89" s="70"/>
      <c r="J89" s="74" t="s">
        <v>18036</v>
      </c>
      <c r="K89" s="62"/>
      <c r="L89" s="63"/>
      <c r="M89" s="85"/>
      <c r="N89" s="64"/>
      <c r="O89" s="65"/>
      <c r="P89" s="99"/>
      <c r="Q89" s="70"/>
      <c r="R89" s="67"/>
      <c r="S89" s="68"/>
      <c r="T89" s="76"/>
      <c r="U89" s="70"/>
      <c r="V89" s="1" t="s">
        <v>18041</v>
      </c>
      <c r="W89" s="68"/>
      <c r="X89" s="76"/>
      <c r="Y89" s="70"/>
      <c r="Z89" s="228">
        <f>ROUND((ROUND((ROUND((_15_同援日０．５*_15・基礎２),0)*(1+_15・A早朝)),0)*(1+_15・区３)),0)+ROUND((ROUND((_15_同援日０．５＿２．０*_15・基礎２),0)*(1+_15・区３)),0)</f>
        <v>644</v>
      </c>
      <c r="AA89" s="69"/>
    </row>
    <row r="90" spans="1:27" ht="16.5" customHeight="1" x14ac:dyDescent="0.3">
      <c r="A90" s="2">
        <v>15</v>
      </c>
      <c r="B90" s="2">
        <v>9282</v>
      </c>
      <c r="C90" s="60" t="s">
        <v>9891</v>
      </c>
      <c r="D90" s="1"/>
      <c r="E90" s="68"/>
      <c r="F90" s="70"/>
      <c r="G90" s="1"/>
      <c r="H90" s="68"/>
      <c r="I90" s="70"/>
      <c r="J90" s="106" t="s">
        <v>18035</v>
      </c>
      <c r="K90" s="57" t="s">
        <v>1</v>
      </c>
      <c r="L90" s="58">
        <v>0.9</v>
      </c>
      <c r="M90" s="83" t="s">
        <v>5895</v>
      </c>
      <c r="N90" s="64" t="s">
        <v>1</v>
      </c>
      <c r="O90" s="65">
        <v>1</v>
      </c>
      <c r="P90" s="99"/>
      <c r="Q90" s="70"/>
      <c r="R90" s="66"/>
      <c r="S90" s="57"/>
      <c r="T90" s="58"/>
      <c r="U90" s="77"/>
      <c r="V90" s="1" t="s">
        <v>18039</v>
      </c>
      <c r="W90" s="68"/>
      <c r="X90" s="76"/>
      <c r="Y90" s="70"/>
      <c r="Z90" s="228">
        <f>ROUND((ROUND((ROUND((ROUND((_15_同援日０．５*_15・基礎２),0)*_15・２人),0)*(1+_15・A早朝)),0)*(1+_15・区３)),0)+ROUND((ROUND((ROUND((_15_同援日０．５＿２．０*_15・基礎２),0)*_15・２人),0)*(1+_15・区３)),0)</f>
        <v>644</v>
      </c>
      <c r="AA90" s="69"/>
    </row>
    <row r="91" spans="1:27" ht="16.5" customHeight="1" x14ac:dyDescent="0.3">
      <c r="A91" s="2">
        <v>15</v>
      </c>
      <c r="B91" s="2">
        <v>9283</v>
      </c>
      <c r="C91" s="60" t="s">
        <v>9890</v>
      </c>
      <c r="D91" s="1"/>
      <c r="E91" s="68"/>
      <c r="F91" s="70"/>
      <c r="G91" s="1"/>
      <c r="H91" s="68"/>
      <c r="I91" s="70"/>
      <c r="J91" s="61"/>
      <c r="K91" s="62"/>
      <c r="L91" s="63"/>
      <c r="M91" s="85"/>
      <c r="N91" s="64"/>
      <c r="O91" s="65"/>
      <c r="P91" s="99"/>
      <c r="Q91" s="70"/>
      <c r="R91" s="74" t="s">
        <v>8085</v>
      </c>
      <c r="S91" s="62"/>
      <c r="T91" s="63"/>
      <c r="U91" s="75"/>
      <c r="V91" s="67"/>
      <c r="W91" s="68" t="s">
        <v>1</v>
      </c>
      <c r="X91" s="76">
        <v>0.2</v>
      </c>
      <c r="Y91" s="70" t="s">
        <v>422</v>
      </c>
      <c r="Z91" s="228">
        <f>ROUND((ROUND((ROUND((_15_同援日０．５*(1+_15・A早朝)),0)*(1+_15・盲ろう)),0)*(1+_15・区３)),0)+ROUND((ROUND((_15_同援日０．５＿２．０*(1+_15・盲ろう)),0)*(1+_15・区３)),0)</f>
        <v>892</v>
      </c>
      <c r="AA91" s="69"/>
    </row>
    <row r="92" spans="1:27" ht="16.5" customHeight="1" x14ac:dyDescent="0.3">
      <c r="A92" s="2">
        <v>15</v>
      </c>
      <c r="B92" s="2">
        <v>9284</v>
      </c>
      <c r="C92" s="60" t="s">
        <v>9889</v>
      </c>
      <c r="D92" s="1"/>
      <c r="E92" s="68"/>
      <c r="F92" s="70"/>
      <c r="G92" s="1"/>
      <c r="H92" s="68"/>
      <c r="I92" s="70"/>
      <c r="J92" s="66"/>
      <c r="K92" s="57"/>
      <c r="L92" s="58"/>
      <c r="M92" s="83" t="s">
        <v>5895</v>
      </c>
      <c r="N92" s="64" t="s">
        <v>1</v>
      </c>
      <c r="O92" s="65">
        <v>1</v>
      </c>
      <c r="P92" s="99"/>
      <c r="Q92" s="70"/>
      <c r="R92" s="94" t="s">
        <v>18037</v>
      </c>
      <c r="S92" s="68"/>
      <c r="T92" s="76"/>
      <c r="U92" s="70"/>
      <c r="V92" s="67"/>
      <c r="W92" s="68"/>
      <c r="X92" s="76"/>
      <c r="Y92" s="70"/>
      <c r="Z92" s="228">
        <f>ROUND((ROUND((ROUND((ROUND((_15_同援日０．５*_15・２人),0)*(1+_15・A早朝)),0)*(1+_15・盲ろう)),0)*(1+_15・区３)),0)+ROUND((ROUND((ROUND((_15_同援日０．５＿２．０*_15・２人),0)*(1+_15・盲ろう)),0)*(1+_15・区３)),0)</f>
        <v>892</v>
      </c>
      <c r="AA92" s="69"/>
    </row>
    <row r="93" spans="1:27" ht="16.5" customHeight="1" x14ac:dyDescent="0.3">
      <c r="A93" s="2">
        <v>15</v>
      </c>
      <c r="B93" s="2">
        <v>9285</v>
      </c>
      <c r="C93" s="60" t="s">
        <v>9888</v>
      </c>
      <c r="D93" s="1"/>
      <c r="E93" s="68"/>
      <c r="F93" s="70"/>
      <c r="G93" s="1"/>
      <c r="H93" s="68"/>
      <c r="I93" s="70"/>
      <c r="J93" s="74" t="s">
        <v>18036</v>
      </c>
      <c r="K93" s="62"/>
      <c r="L93" s="63"/>
      <c r="M93" s="85"/>
      <c r="N93" s="64"/>
      <c r="O93" s="65"/>
      <c r="P93" s="99"/>
      <c r="Q93" s="70"/>
      <c r="R93" s="67"/>
      <c r="S93" s="68" t="s">
        <v>1</v>
      </c>
      <c r="T93" s="76">
        <v>0.25</v>
      </c>
      <c r="U93" s="70" t="s">
        <v>422</v>
      </c>
      <c r="V93" s="67"/>
      <c r="W93" s="68"/>
      <c r="X93" s="76"/>
      <c r="Y93" s="70"/>
      <c r="Z93" s="228">
        <f>ROUND((ROUND((ROUND((ROUND((_15_同援日０．５*_15・基礎２),0)*(1+_15・A早朝)),0)*(1+_15・盲ろう)),0)*(1+_15・区３)),0)+ROUND((ROUND((ROUND((_15_同援日０．５＿２．０*_15・基礎２),0)*(1+_15・盲ろう)),0)*(1+_15・区３)),0)</f>
        <v>804</v>
      </c>
      <c r="AA93" s="69"/>
    </row>
    <row r="94" spans="1:27" ht="16.5" customHeight="1" x14ac:dyDescent="0.3">
      <c r="A94" s="2">
        <v>15</v>
      </c>
      <c r="B94" s="2">
        <v>9286</v>
      </c>
      <c r="C94" s="60" t="s">
        <v>9887</v>
      </c>
      <c r="D94" s="1"/>
      <c r="E94" s="68"/>
      <c r="F94" s="70"/>
      <c r="G94" s="1"/>
      <c r="H94" s="68"/>
      <c r="I94" s="70"/>
      <c r="J94" s="106" t="s">
        <v>18035</v>
      </c>
      <c r="K94" s="57" t="s">
        <v>1</v>
      </c>
      <c r="L94" s="58">
        <v>0.9</v>
      </c>
      <c r="M94" s="83" t="s">
        <v>5895</v>
      </c>
      <c r="N94" s="64" t="s">
        <v>1</v>
      </c>
      <c r="O94" s="65">
        <v>1</v>
      </c>
      <c r="P94" s="99"/>
      <c r="Q94" s="70"/>
      <c r="R94" s="66"/>
      <c r="S94" s="57"/>
      <c r="T94" s="58"/>
      <c r="U94" s="77"/>
      <c r="V94" s="66"/>
      <c r="W94" s="57"/>
      <c r="X94" s="58"/>
      <c r="Y94" s="77"/>
      <c r="Z94" s="228">
        <f>ROUND((ROUND((ROUND((ROUND((ROUND((_15_同援日０．５*_15・基礎２),0)*_15・２人),0)*(1+_15・A早朝)),0)*(1+_15・盲ろう)),0)*(1+_15・区３)),0)+ROUND((ROUND((ROUND((ROUND((_15_同援日０．５＿２．０*_15・基礎２),0)*_15・２人),0)*(1+_15・盲ろう)),0)*(1+_15・区３)),0)</f>
        <v>804</v>
      </c>
      <c r="AA94" s="69"/>
    </row>
    <row r="95" spans="1:27" ht="16.5" customHeight="1" x14ac:dyDescent="0.3">
      <c r="A95" s="2">
        <v>15</v>
      </c>
      <c r="B95" s="2">
        <v>9287</v>
      </c>
      <c r="C95" s="60" t="s">
        <v>9886</v>
      </c>
      <c r="D95" s="1"/>
      <c r="E95" s="68"/>
      <c r="F95" s="70"/>
      <c r="G95" s="1"/>
      <c r="H95" s="68"/>
      <c r="I95" s="70"/>
      <c r="J95" s="61"/>
      <c r="K95" s="62"/>
      <c r="L95" s="63"/>
      <c r="M95" s="85"/>
      <c r="N95" s="64"/>
      <c r="O95" s="65"/>
      <c r="P95" s="99"/>
      <c r="Q95" s="70"/>
      <c r="R95" s="61"/>
      <c r="S95" s="62"/>
      <c r="T95" s="63"/>
      <c r="U95" s="75"/>
      <c r="V95" s="61"/>
      <c r="W95" s="62"/>
      <c r="X95" s="63"/>
      <c r="Y95" s="75"/>
      <c r="Z95" s="228">
        <f>ROUND((ROUND((_15_同援日０．５*(1+_15・A早朝)),0)*(1+_15・区４)),0)+ROUND((_15_同援日０．５＿２．０*(1+_15・区４)),0)</f>
        <v>832</v>
      </c>
      <c r="AA95" s="69"/>
    </row>
    <row r="96" spans="1:27" ht="16.5" customHeight="1" x14ac:dyDescent="0.3">
      <c r="A96" s="2">
        <v>15</v>
      </c>
      <c r="B96" s="2">
        <v>9288</v>
      </c>
      <c r="C96" s="60" t="s">
        <v>9885</v>
      </c>
      <c r="D96" s="1"/>
      <c r="E96" s="68"/>
      <c r="F96" s="70"/>
      <c r="G96" s="1"/>
      <c r="H96" s="68"/>
      <c r="I96" s="70"/>
      <c r="J96" s="66"/>
      <c r="K96" s="57"/>
      <c r="L96" s="58"/>
      <c r="M96" s="83" t="s">
        <v>5895</v>
      </c>
      <c r="N96" s="64" t="s">
        <v>1</v>
      </c>
      <c r="O96" s="65">
        <v>1</v>
      </c>
      <c r="P96" s="99"/>
      <c r="Q96" s="70"/>
      <c r="R96" s="67"/>
      <c r="S96" s="68"/>
      <c r="T96" s="76"/>
      <c r="U96" s="70"/>
      <c r="V96" s="67"/>
      <c r="W96" s="68"/>
      <c r="X96" s="76"/>
      <c r="Y96" s="70"/>
      <c r="Z96" s="228">
        <f>ROUND((ROUND((ROUND((_15_同援日０．５*_15・２人),0)*(1+_15・A早朝)),0)*(1+_15・区４)),0)+ROUND((ROUND((_15_同援日０．５＿２．０*_15・２人),0)*(1+_15・区４)),0)</f>
        <v>832</v>
      </c>
      <c r="AA96" s="69"/>
    </row>
    <row r="97" spans="1:27" ht="16.5" customHeight="1" x14ac:dyDescent="0.3">
      <c r="A97" s="2">
        <v>15</v>
      </c>
      <c r="B97" s="2">
        <v>9289</v>
      </c>
      <c r="C97" s="60" t="s">
        <v>9884</v>
      </c>
      <c r="D97" s="1"/>
      <c r="E97" s="68"/>
      <c r="F97" s="70"/>
      <c r="G97" s="1"/>
      <c r="H97" s="68"/>
      <c r="I97" s="70"/>
      <c r="J97" s="74" t="s">
        <v>18036</v>
      </c>
      <c r="K97" s="62"/>
      <c r="L97" s="63"/>
      <c r="M97" s="85"/>
      <c r="N97" s="64"/>
      <c r="O97" s="65"/>
      <c r="P97" s="99"/>
      <c r="Q97" s="70"/>
      <c r="R97" s="67"/>
      <c r="S97" s="68"/>
      <c r="T97" s="76"/>
      <c r="U97" s="70"/>
      <c r="V97" s="1" t="s">
        <v>18040</v>
      </c>
      <c r="W97" s="68"/>
      <c r="X97" s="76"/>
      <c r="Y97" s="70"/>
      <c r="Z97" s="228">
        <f>ROUND((ROUND((ROUND((_15_同援日０．５*_15・基礎２),0)*(1+_15・A早朝)),0)*(1+_15・区４)),0)+ROUND((ROUND((_15_同援日０．５＿２．０*_15・基礎２),0)*(1+_15・区４)),0)</f>
        <v>750</v>
      </c>
      <c r="AA97" s="69"/>
    </row>
    <row r="98" spans="1:27" ht="16.5" customHeight="1" x14ac:dyDescent="0.3">
      <c r="A98" s="2">
        <v>15</v>
      </c>
      <c r="B98" s="2">
        <v>9290</v>
      </c>
      <c r="C98" s="60" t="s">
        <v>9883</v>
      </c>
      <c r="D98" s="1"/>
      <c r="E98" s="68"/>
      <c r="F98" s="70"/>
      <c r="G98" s="1"/>
      <c r="H98" s="68"/>
      <c r="I98" s="70"/>
      <c r="J98" s="106" t="s">
        <v>5896</v>
      </c>
      <c r="K98" s="57" t="s">
        <v>1</v>
      </c>
      <c r="L98" s="58">
        <v>0.9</v>
      </c>
      <c r="M98" s="83" t="s">
        <v>5895</v>
      </c>
      <c r="N98" s="64" t="s">
        <v>1</v>
      </c>
      <c r="O98" s="65">
        <v>1</v>
      </c>
      <c r="P98" s="99"/>
      <c r="Q98" s="70"/>
      <c r="R98" s="66"/>
      <c r="S98" s="57"/>
      <c r="T98" s="58"/>
      <c r="U98" s="77"/>
      <c r="V98" s="1" t="s">
        <v>18039</v>
      </c>
      <c r="W98" s="68"/>
      <c r="X98" s="76"/>
      <c r="Y98" s="70"/>
      <c r="Z98" s="228">
        <f>ROUND((ROUND((ROUND((ROUND((_15_同援日０．５*_15・基礎２),0)*_15・２人),0)*(1+_15・A早朝)),0)*(1+_15・区４)),0)+ROUND((ROUND((ROUND((_15_同援日０．５＿２．０*_15・基礎２),0)*_15・２人),0)*(1+_15・区４)),0)</f>
        <v>750</v>
      </c>
      <c r="AA98" s="69"/>
    </row>
    <row r="99" spans="1:27" ht="16.5" customHeight="1" x14ac:dyDescent="0.3">
      <c r="A99" s="2">
        <v>15</v>
      </c>
      <c r="B99" s="2">
        <v>9291</v>
      </c>
      <c r="C99" s="60" t="s">
        <v>9882</v>
      </c>
      <c r="D99" s="1"/>
      <c r="E99" s="68"/>
      <c r="F99" s="70"/>
      <c r="G99" s="1"/>
      <c r="H99" s="68"/>
      <c r="I99" s="70"/>
      <c r="J99" s="61"/>
      <c r="K99" s="62"/>
      <c r="L99" s="63"/>
      <c r="M99" s="85"/>
      <c r="N99" s="64"/>
      <c r="O99" s="65"/>
      <c r="P99" s="99"/>
      <c r="Q99" s="70"/>
      <c r="R99" s="74" t="s">
        <v>18038</v>
      </c>
      <c r="S99" s="62"/>
      <c r="T99" s="63"/>
      <c r="U99" s="75"/>
      <c r="V99" s="67"/>
      <c r="W99" s="68" t="s">
        <v>1</v>
      </c>
      <c r="X99" s="76">
        <v>0.4</v>
      </c>
      <c r="Y99" s="70" t="s">
        <v>422</v>
      </c>
      <c r="Z99" s="228">
        <f>ROUND((ROUND((ROUND((_15_同援日０．５*(1+_15・A早朝)),0)*(1+_15・盲ろう)),0)*(1+_15・区４)),0)+ROUND((ROUND((_15_同援日０．５＿２．０*(1+_15・盲ろう)),0)*(1+_15・区４)),0)</f>
        <v>1040</v>
      </c>
      <c r="AA99" s="69"/>
    </row>
    <row r="100" spans="1:27" ht="16.5" customHeight="1" x14ac:dyDescent="0.3">
      <c r="A100" s="2">
        <v>15</v>
      </c>
      <c r="B100" s="2">
        <v>9292</v>
      </c>
      <c r="C100" s="60" t="s">
        <v>9881</v>
      </c>
      <c r="D100" s="1"/>
      <c r="E100" s="68"/>
      <c r="F100" s="70"/>
      <c r="G100" s="1"/>
      <c r="H100" s="68"/>
      <c r="I100" s="70"/>
      <c r="J100" s="66"/>
      <c r="K100" s="57"/>
      <c r="L100" s="58"/>
      <c r="M100" s="83" t="s">
        <v>5895</v>
      </c>
      <c r="N100" s="64" t="s">
        <v>1</v>
      </c>
      <c r="O100" s="65">
        <v>1</v>
      </c>
      <c r="P100" s="99"/>
      <c r="Q100" s="70"/>
      <c r="R100" s="94" t="s">
        <v>18037</v>
      </c>
      <c r="S100" s="68"/>
      <c r="T100" s="76"/>
      <c r="U100" s="70"/>
      <c r="V100" s="67"/>
      <c r="W100" s="68"/>
      <c r="X100" s="76"/>
      <c r="Y100" s="70"/>
      <c r="Z100" s="228">
        <f>ROUND((ROUND((ROUND((ROUND((_15_同援日０．５*_15・２人),0)*(1+_15・A早朝)),0)*(1+_15・盲ろう)),0)*(1+_15・区４)),0)+ROUND((ROUND((ROUND((_15_同援日０．５＿２．０*_15・２人),0)*(1+_15・盲ろう)),0)*(1+_15・区４)),0)</f>
        <v>1040</v>
      </c>
      <c r="AA100" s="69"/>
    </row>
    <row r="101" spans="1:27" ht="16.5" customHeight="1" x14ac:dyDescent="0.3">
      <c r="A101" s="2">
        <v>15</v>
      </c>
      <c r="B101" s="2">
        <v>9293</v>
      </c>
      <c r="C101" s="60" t="s">
        <v>9880</v>
      </c>
      <c r="D101" s="1"/>
      <c r="E101" s="68"/>
      <c r="F101" s="70"/>
      <c r="G101" s="1"/>
      <c r="H101" s="68"/>
      <c r="I101" s="70"/>
      <c r="J101" s="74" t="s">
        <v>5898</v>
      </c>
      <c r="K101" s="62"/>
      <c r="L101" s="63"/>
      <c r="M101" s="85"/>
      <c r="N101" s="64"/>
      <c r="O101" s="65"/>
      <c r="P101" s="99"/>
      <c r="Q101" s="70"/>
      <c r="R101" s="67"/>
      <c r="S101" s="68" t="s">
        <v>1</v>
      </c>
      <c r="T101" s="76">
        <v>0.25</v>
      </c>
      <c r="U101" s="70" t="s">
        <v>422</v>
      </c>
      <c r="V101" s="67"/>
      <c r="W101" s="68"/>
      <c r="X101" s="76"/>
      <c r="Y101" s="70"/>
      <c r="Z101" s="228">
        <f>ROUND((ROUND((ROUND((ROUND((_15_同援日０．５*_15・基礎２),0)*(1+_15・A早朝)),0)*(1+_15・盲ろう)),0)*(1+_15・区４)),0)+ROUND((ROUND((ROUND((_15_同援日０．５＿２．０*_15・基礎２),0)*(1+_15・盲ろう)),0)*(1+_15・区４)),0)</f>
        <v>938</v>
      </c>
      <c r="AA101" s="69"/>
    </row>
    <row r="102" spans="1:27" ht="16.5" customHeight="1" x14ac:dyDescent="0.3">
      <c r="A102" s="2">
        <v>15</v>
      </c>
      <c r="B102" s="2">
        <v>9294</v>
      </c>
      <c r="C102" s="60" t="s">
        <v>9879</v>
      </c>
      <c r="D102" s="1"/>
      <c r="E102" s="68"/>
      <c r="F102" s="70"/>
      <c r="G102" s="81"/>
      <c r="H102" s="57"/>
      <c r="I102" s="77"/>
      <c r="J102" s="106" t="s">
        <v>18035</v>
      </c>
      <c r="K102" s="57" t="s">
        <v>1</v>
      </c>
      <c r="L102" s="58">
        <v>0.9</v>
      </c>
      <c r="M102" s="83" t="s">
        <v>5895</v>
      </c>
      <c r="N102" s="64" t="s">
        <v>1</v>
      </c>
      <c r="O102" s="65">
        <v>1</v>
      </c>
      <c r="P102" s="99"/>
      <c r="Q102" s="70"/>
      <c r="R102" s="66"/>
      <c r="S102" s="57"/>
      <c r="T102" s="58"/>
      <c r="U102" s="77"/>
      <c r="V102" s="66"/>
      <c r="W102" s="57"/>
      <c r="X102" s="58"/>
      <c r="Y102" s="77"/>
      <c r="Z102" s="228">
        <f>ROUND((ROUND((ROUND((ROUND((ROUND((_15_同援日０．５*_15・基礎２),0)*_15・２人),0)*(1+_15・A早朝)),0)*(1+_15・盲ろう)),0)*(1+_15・区４)),0)+ROUND((ROUND((ROUND((ROUND((_15_同援日０．５＿２．０*_15・基礎２),0)*_15・２人),0)*(1+_15・盲ろう)),0)*(1+_15・区４)),0)</f>
        <v>938</v>
      </c>
      <c r="AA102" s="69"/>
    </row>
    <row r="103" spans="1:27" ht="16.5" customHeight="1" x14ac:dyDescent="0.3">
      <c r="A103" s="2">
        <v>15</v>
      </c>
      <c r="B103" s="2">
        <v>9295</v>
      </c>
      <c r="C103" s="60" t="s">
        <v>9878</v>
      </c>
      <c r="D103" s="1"/>
      <c r="E103" s="68"/>
      <c r="F103" s="70"/>
      <c r="G103" s="233" t="s">
        <v>18054</v>
      </c>
      <c r="H103" s="62"/>
      <c r="I103" s="75"/>
      <c r="J103" s="61"/>
      <c r="K103" s="62"/>
      <c r="L103" s="63"/>
      <c r="M103" s="85"/>
      <c r="N103" s="64"/>
      <c r="O103" s="65"/>
      <c r="P103" s="99"/>
      <c r="Q103" s="70"/>
      <c r="R103" s="61"/>
      <c r="S103" s="62"/>
      <c r="T103" s="63"/>
      <c r="U103" s="75"/>
      <c r="V103" s="61"/>
      <c r="W103" s="62"/>
      <c r="X103" s="63"/>
      <c r="Y103" s="75"/>
      <c r="Z103" s="228">
        <f>ROUND((_15_同援日０．５*(1+_15・A早朝)),0)+_15_同援日０．５＿２．５</f>
        <v>657</v>
      </c>
      <c r="AA103" s="69"/>
    </row>
    <row r="104" spans="1:27" ht="16.5" customHeight="1" x14ac:dyDescent="0.3">
      <c r="A104" s="2">
        <v>15</v>
      </c>
      <c r="B104" s="2">
        <v>9296</v>
      </c>
      <c r="C104" s="60" t="s">
        <v>9877</v>
      </c>
      <c r="D104" s="1"/>
      <c r="E104" s="68"/>
      <c r="F104" s="70"/>
      <c r="G104" s="1" t="s">
        <v>5977</v>
      </c>
      <c r="H104" s="68"/>
      <c r="I104" s="70"/>
      <c r="J104" s="66"/>
      <c r="K104" s="57"/>
      <c r="L104" s="58"/>
      <c r="M104" s="83" t="s">
        <v>5895</v>
      </c>
      <c r="N104" s="64" t="s">
        <v>1</v>
      </c>
      <c r="O104" s="65">
        <v>1</v>
      </c>
      <c r="P104" s="99"/>
      <c r="Q104" s="70"/>
      <c r="R104" s="67"/>
      <c r="S104" s="68"/>
      <c r="T104" s="76"/>
      <c r="U104" s="70"/>
      <c r="V104" s="67"/>
      <c r="W104" s="68"/>
      <c r="X104" s="76"/>
      <c r="Y104" s="70"/>
      <c r="Z104" s="228">
        <f>ROUND((ROUND((_15_同援日０．５*_15・２人),0)*(1+_15・A早朝)),0)+ROUND((_15_同援日０．５＿２．５*_15・２人),0)</f>
        <v>657</v>
      </c>
      <c r="AA104" s="69"/>
    </row>
    <row r="105" spans="1:27" ht="16.5" customHeight="1" x14ac:dyDescent="0.3">
      <c r="A105" s="2">
        <v>15</v>
      </c>
      <c r="B105" s="2">
        <v>9297</v>
      </c>
      <c r="C105" s="60" t="s">
        <v>9876</v>
      </c>
      <c r="D105" s="1"/>
      <c r="E105" s="68"/>
      <c r="F105" s="70"/>
      <c r="G105" s="1" t="s">
        <v>8499</v>
      </c>
      <c r="H105" s="68"/>
      <c r="I105" s="70"/>
      <c r="J105" s="74" t="s">
        <v>18036</v>
      </c>
      <c r="K105" s="62"/>
      <c r="L105" s="63"/>
      <c r="M105" s="85"/>
      <c r="N105" s="64"/>
      <c r="O105" s="65"/>
      <c r="P105" s="99"/>
      <c r="Q105" s="70"/>
      <c r="R105" s="67"/>
      <c r="S105" s="68"/>
      <c r="T105" s="76"/>
      <c r="U105" s="70"/>
      <c r="V105" s="67"/>
      <c r="W105" s="68"/>
      <c r="X105" s="76"/>
      <c r="Y105" s="70"/>
      <c r="Z105" s="228">
        <f>ROUND((ROUND((_15_同援日０．５*_15・基礎２),0)*(1+_15・A早朝)),0)+ROUND((_15_同援日０．５＿２．５*_15・基礎２),0)</f>
        <v>592</v>
      </c>
      <c r="AA105" s="69"/>
    </row>
    <row r="106" spans="1:27" ht="16.5" customHeight="1" x14ac:dyDescent="0.3">
      <c r="A106" s="2">
        <v>15</v>
      </c>
      <c r="B106" s="2">
        <v>9298</v>
      </c>
      <c r="C106" s="60" t="s">
        <v>9875</v>
      </c>
      <c r="D106" s="1"/>
      <c r="E106" s="68"/>
      <c r="F106" s="70"/>
      <c r="G106" s="1"/>
      <c r="H106" s="227">
        <v>427</v>
      </c>
      <c r="I106" s="70" t="s">
        <v>0</v>
      </c>
      <c r="J106" s="106" t="s">
        <v>18035</v>
      </c>
      <c r="K106" s="57" t="s">
        <v>1</v>
      </c>
      <c r="L106" s="58">
        <v>0.9</v>
      </c>
      <c r="M106" s="83" t="s">
        <v>5895</v>
      </c>
      <c r="N106" s="64" t="s">
        <v>1</v>
      </c>
      <c r="O106" s="65">
        <v>1</v>
      </c>
      <c r="P106" s="99"/>
      <c r="Q106" s="70"/>
      <c r="R106" s="66"/>
      <c r="S106" s="57"/>
      <c r="T106" s="58"/>
      <c r="U106" s="77"/>
      <c r="V106" s="67"/>
      <c r="W106" s="68"/>
      <c r="X106" s="76"/>
      <c r="Y106" s="70"/>
      <c r="Z106" s="228">
        <f>ROUND((ROUND((ROUND((_15_同援日０．５*_15・基礎２),0)*_15・２人),0)*(1+_15・A早朝)),0)+ROUND((ROUND((_15_同援日０．５＿２．５*_15・基礎２),0)*_15・２人),0)</f>
        <v>592</v>
      </c>
      <c r="AA106" s="69"/>
    </row>
    <row r="107" spans="1:27" ht="16.5" customHeight="1" x14ac:dyDescent="0.3">
      <c r="A107" s="2">
        <v>15</v>
      </c>
      <c r="B107" s="2">
        <v>9299</v>
      </c>
      <c r="C107" s="60" t="s">
        <v>9874</v>
      </c>
      <c r="D107" s="1"/>
      <c r="E107" s="68"/>
      <c r="F107" s="70"/>
      <c r="G107" s="1"/>
      <c r="H107" s="68"/>
      <c r="I107" s="70"/>
      <c r="J107" s="61"/>
      <c r="K107" s="62"/>
      <c r="L107" s="63"/>
      <c r="M107" s="85"/>
      <c r="N107" s="64"/>
      <c r="O107" s="65"/>
      <c r="P107" s="99"/>
      <c r="Q107" s="70"/>
      <c r="R107" s="74" t="s">
        <v>18038</v>
      </c>
      <c r="S107" s="62"/>
      <c r="T107" s="63"/>
      <c r="U107" s="75"/>
      <c r="V107" s="67"/>
      <c r="W107" s="68"/>
      <c r="X107" s="76"/>
      <c r="Y107" s="70"/>
      <c r="Z107" s="228">
        <f>ROUND((ROUND((_15_同援日０．５*(1+_15・A早朝)),0)*(1+_15・盲ろう)),0)+ROUND((_15_同援日０．５＿２．５*(1+_15・盲ろう)),0)</f>
        <v>822</v>
      </c>
      <c r="AA107" s="69"/>
    </row>
    <row r="108" spans="1:27" ht="16.5" customHeight="1" x14ac:dyDescent="0.3">
      <c r="A108" s="2">
        <v>15</v>
      </c>
      <c r="B108" s="2">
        <v>9300</v>
      </c>
      <c r="C108" s="60" t="s">
        <v>9873</v>
      </c>
      <c r="D108" s="1"/>
      <c r="E108" s="68"/>
      <c r="F108" s="70"/>
      <c r="G108" s="1"/>
      <c r="H108" s="68"/>
      <c r="I108" s="70"/>
      <c r="J108" s="66"/>
      <c r="K108" s="57"/>
      <c r="L108" s="58"/>
      <c r="M108" s="83" t="s">
        <v>5895</v>
      </c>
      <c r="N108" s="64" t="s">
        <v>1</v>
      </c>
      <c r="O108" s="65">
        <v>1</v>
      </c>
      <c r="P108" s="99"/>
      <c r="Q108" s="70"/>
      <c r="R108" s="94" t="s">
        <v>8083</v>
      </c>
      <c r="S108" s="68"/>
      <c r="T108" s="76"/>
      <c r="U108" s="70"/>
      <c r="V108" s="67"/>
      <c r="W108" s="68"/>
      <c r="X108" s="76"/>
      <c r="Y108" s="70"/>
      <c r="Z108" s="228">
        <f>ROUND((ROUND((ROUND((_15_同援日０．５*_15・２人),0)*(1+_15・A早朝)),0)*(1+_15・盲ろう)),0)+ROUND((ROUND((_15_同援日０．５＿２．５*_15・２人),0)*(1+_15・盲ろう)),0)</f>
        <v>822</v>
      </c>
      <c r="AA108" s="69"/>
    </row>
    <row r="109" spans="1:27" ht="16.5" customHeight="1" x14ac:dyDescent="0.3">
      <c r="A109" s="2">
        <v>15</v>
      </c>
      <c r="B109" s="2">
        <v>9301</v>
      </c>
      <c r="C109" s="60" t="s">
        <v>9872</v>
      </c>
      <c r="D109" s="1"/>
      <c r="E109" s="68"/>
      <c r="F109" s="70"/>
      <c r="G109" s="1"/>
      <c r="H109" s="68"/>
      <c r="I109" s="70"/>
      <c r="J109" s="74" t="s">
        <v>18036</v>
      </c>
      <c r="K109" s="62"/>
      <c r="L109" s="63"/>
      <c r="M109" s="85"/>
      <c r="N109" s="64"/>
      <c r="O109" s="65"/>
      <c r="P109" s="99"/>
      <c r="Q109" s="70"/>
      <c r="R109" s="67"/>
      <c r="S109" s="68" t="s">
        <v>1</v>
      </c>
      <c r="T109" s="76">
        <v>0.25</v>
      </c>
      <c r="U109" s="70" t="s">
        <v>422</v>
      </c>
      <c r="V109" s="67"/>
      <c r="W109" s="68"/>
      <c r="X109" s="76"/>
      <c r="Y109" s="70"/>
      <c r="Z109" s="228">
        <f>ROUND((ROUND((ROUND((_15_同援日０．５*_15・基礎２),0)*(1+_15・A早朝)),0)*(1+_15・盲ろう)),0)+ROUND((ROUND((_15_同援日０．５＿２．５*_15・基礎２),0)*(1+_15・盲ろう)),0)</f>
        <v>740</v>
      </c>
      <c r="AA109" s="69"/>
    </row>
    <row r="110" spans="1:27" ht="16.5" customHeight="1" x14ac:dyDescent="0.3">
      <c r="A110" s="2">
        <v>15</v>
      </c>
      <c r="B110" s="2">
        <v>9302</v>
      </c>
      <c r="C110" s="60" t="s">
        <v>9871</v>
      </c>
      <c r="D110" s="1"/>
      <c r="E110" s="68"/>
      <c r="F110" s="70"/>
      <c r="G110" s="1"/>
      <c r="H110" s="68"/>
      <c r="I110" s="70"/>
      <c r="J110" s="106" t="s">
        <v>18035</v>
      </c>
      <c r="K110" s="57" t="s">
        <v>1</v>
      </c>
      <c r="L110" s="58">
        <v>0.9</v>
      </c>
      <c r="M110" s="83" t="s">
        <v>5895</v>
      </c>
      <c r="N110" s="64" t="s">
        <v>1</v>
      </c>
      <c r="O110" s="65">
        <v>1</v>
      </c>
      <c r="P110" s="99"/>
      <c r="Q110" s="70"/>
      <c r="R110" s="66"/>
      <c r="S110" s="57"/>
      <c r="T110" s="58"/>
      <c r="U110" s="77"/>
      <c r="V110" s="66"/>
      <c r="W110" s="57"/>
      <c r="X110" s="58"/>
      <c r="Y110" s="77"/>
      <c r="Z110" s="228">
        <f>ROUND((ROUND((ROUND((ROUND((_15_同援日０．５*_15・基礎２),0)*_15・２人),0)*(1+_15・A早朝)),0)*(1+_15・盲ろう)),0)+ROUND((ROUND((ROUND((_15_同援日０．５＿２．５*_15・基礎２),0)*_15・２人),0)*(1+_15・盲ろう)),0)</f>
        <v>740</v>
      </c>
      <c r="AA110" s="69"/>
    </row>
    <row r="111" spans="1:27" ht="16.5" customHeight="1" x14ac:dyDescent="0.3">
      <c r="A111" s="2">
        <v>15</v>
      </c>
      <c r="B111" s="2">
        <v>9303</v>
      </c>
      <c r="C111" s="60" t="s">
        <v>9870</v>
      </c>
      <c r="D111" s="1"/>
      <c r="E111" s="68"/>
      <c r="F111" s="70"/>
      <c r="G111" s="1"/>
      <c r="H111" s="68"/>
      <c r="I111" s="70"/>
      <c r="J111" s="61"/>
      <c r="K111" s="62"/>
      <c r="L111" s="63"/>
      <c r="M111" s="85"/>
      <c r="N111" s="64"/>
      <c r="O111" s="65"/>
      <c r="P111" s="99"/>
      <c r="Q111" s="70"/>
      <c r="R111" s="61"/>
      <c r="S111" s="62"/>
      <c r="T111" s="63"/>
      <c r="U111" s="75"/>
      <c r="V111" s="61"/>
      <c r="W111" s="62"/>
      <c r="X111" s="63"/>
      <c r="Y111" s="75"/>
      <c r="Z111" s="228">
        <f>ROUND((ROUND((_15_同援日０．５*(1+_15・A早朝)),0)*(1+_15・区３)),0)+ROUND((_15_同援日０．５＿２．５*(1+_15・区３)),0)</f>
        <v>788</v>
      </c>
      <c r="AA111" s="69"/>
    </row>
    <row r="112" spans="1:27" ht="16.5" customHeight="1" x14ac:dyDescent="0.3">
      <c r="A112" s="2">
        <v>15</v>
      </c>
      <c r="B112" s="2">
        <v>9304</v>
      </c>
      <c r="C112" s="60" t="s">
        <v>9869</v>
      </c>
      <c r="D112" s="1"/>
      <c r="E112" s="68"/>
      <c r="F112" s="70"/>
      <c r="G112" s="1"/>
      <c r="H112" s="68"/>
      <c r="I112" s="70"/>
      <c r="J112" s="66"/>
      <c r="K112" s="57"/>
      <c r="L112" s="58"/>
      <c r="M112" s="83" t="s">
        <v>5895</v>
      </c>
      <c r="N112" s="64" t="s">
        <v>1</v>
      </c>
      <c r="O112" s="65">
        <v>1</v>
      </c>
      <c r="P112" s="99"/>
      <c r="Q112" s="70"/>
      <c r="R112" s="67"/>
      <c r="S112" s="68"/>
      <c r="T112" s="76"/>
      <c r="U112" s="70"/>
      <c r="V112" s="67"/>
      <c r="W112" s="68"/>
      <c r="X112" s="76"/>
      <c r="Y112" s="70"/>
      <c r="Z112" s="228">
        <f>ROUND((ROUND((ROUND((_15_同援日０．５*_15・２人),0)*(1+_15・A早朝)),0)*(1+_15・区３)),0)+ROUND((ROUND((_15_同援日０．５＿２．５*_15・２人),0)*(1+_15・区３)),0)</f>
        <v>788</v>
      </c>
      <c r="AA112" s="69"/>
    </row>
    <row r="113" spans="1:27" ht="16.5" customHeight="1" x14ac:dyDescent="0.3">
      <c r="A113" s="2">
        <v>15</v>
      </c>
      <c r="B113" s="2">
        <v>9305</v>
      </c>
      <c r="C113" s="60" t="s">
        <v>9868</v>
      </c>
      <c r="D113" s="1"/>
      <c r="E113" s="68"/>
      <c r="F113" s="70"/>
      <c r="G113" s="1"/>
      <c r="H113" s="68"/>
      <c r="I113" s="70"/>
      <c r="J113" s="74" t="s">
        <v>5898</v>
      </c>
      <c r="K113" s="62"/>
      <c r="L113" s="63"/>
      <c r="M113" s="85"/>
      <c r="N113" s="64"/>
      <c r="O113" s="65"/>
      <c r="P113" s="99"/>
      <c r="Q113" s="70"/>
      <c r="R113" s="67"/>
      <c r="S113" s="68"/>
      <c r="T113" s="76"/>
      <c r="U113" s="70"/>
      <c r="V113" s="1" t="s">
        <v>18041</v>
      </c>
      <c r="W113" s="68"/>
      <c r="X113" s="76"/>
      <c r="Y113" s="70"/>
      <c r="Z113" s="228">
        <f>ROUND((ROUND((ROUND((_15_同援日０．５*_15・基礎２),0)*(1+_15・A早朝)),0)*(1+_15・区３)),0)+ROUND((ROUND((_15_同援日０．５＿２．５*_15・基礎２),0)*(1+_15・区３)),0)</f>
        <v>711</v>
      </c>
      <c r="AA113" s="69"/>
    </row>
    <row r="114" spans="1:27" ht="16.5" customHeight="1" x14ac:dyDescent="0.3">
      <c r="A114" s="2">
        <v>15</v>
      </c>
      <c r="B114" s="2">
        <v>9306</v>
      </c>
      <c r="C114" s="60" t="s">
        <v>9867</v>
      </c>
      <c r="D114" s="1"/>
      <c r="E114" s="68"/>
      <c r="F114" s="70"/>
      <c r="G114" s="1"/>
      <c r="H114" s="68"/>
      <c r="I114" s="70"/>
      <c r="J114" s="106" t="s">
        <v>18035</v>
      </c>
      <c r="K114" s="57" t="s">
        <v>1</v>
      </c>
      <c r="L114" s="58">
        <v>0.9</v>
      </c>
      <c r="M114" s="83" t="s">
        <v>5895</v>
      </c>
      <c r="N114" s="64" t="s">
        <v>1</v>
      </c>
      <c r="O114" s="65">
        <v>1</v>
      </c>
      <c r="P114" s="99"/>
      <c r="Q114" s="70"/>
      <c r="R114" s="66"/>
      <c r="S114" s="57"/>
      <c r="T114" s="58"/>
      <c r="U114" s="77"/>
      <c r="V114" s="1" t="s">
        <v>18039</v>
      </c>
      <c r="W114" s="68"/>
      <c r="X114" s="76"/>
      <c r="Y114" s="70"/>
      <c r="Z114" s="228">
        <f>ROUND((ROUND((ROUND((ROUND((_15_同援日０．５*_15・基礎２),0)*_15・２人),0)*(1+_15・A早朝)),0)*(1+_15・区３)),0)+ROUND((ROUND((ROUND((_15_同援日０．５＿２．５*_15・基礎２),0)*_15・２人),0)*(1+_15・区３)),0)</f>
        <v>711</v>
      </c>
      <c r="AA114" s="69"/>
    </row>
    <row r="115" spans="1:27" ht="16.5" customHeight="1" x14ac:dyDescent="0.3">
      <c r="A115" s="2">
        <v>15</v>
      </c>
      <c r="B115" s="2">
        <v>9307</v>
      </c>
      <c r="C115" s="60" t="s">
        <v>9866</v>
      </c>
      <c r="D115" s="1"/>
      <c r="E115" s="68"/>
      <c r="F115" s="70"/>
      <c r="G115" s="1"/>
      <c r="H115" s="68"/>
      <c r="I115" s="70"/>
      <c r="J115" s="61"/>
      <c r="K115" s="62"/>
      <c r="L115" s="63"/>
      <c r="M115" s="85"/>
      <c r="N115" s="64"/>
      <c r="O115" s="65"/>
      <c r="P115" s="99"/>
      <c r="Q115" s="70"/>
      <c r="R115" s="74" t="s">
        <v>8085</v>
      </c>
      <c r="S115" s="62"/>
      <c r="T115" s="63"/>
      <c r="U115" s="75"/>
      <c r="V115" s="67"/>
      <c r="W115" s="68" t="s">
        <v>1</v>
      </c>
      <c r="X115" s="76">
        <v>0.2</v>
      </c>
      <c r="Y115" s="70" t="s">
        <v>422</v>
      </c>
      <c r="Z115" s="228">
        <f>ROUND((ROUND((ROUND((_15_同援日０．５*(1+_15・A早朝)),0)*(1+_15・盲ろう)),0)*(1+_15・区３)),0)+ROUND((ROUND((_15_同援日０．５＿２．５*(1+_15・盲ろう)),0)*(1+_15・区３)),0)</f>
        <v>987</v>
      </c>
      <c r="AA115" s="69"/>
    </row>
    <row r="116" spans="1:27" ht="16.5" customHeight="1" x14ac:dyDescent="0.3">
      <c r="A116" s="2">
        <v>15</v>
      </c>
      <c r="B116" s="2">
        <v>9308</v>
      </c>
      <c r="C116" s="60" t="s">
        <v>9865</v>
      </c>
      <c r="D116" s="1"/>
      <c r="E116" s="68"/>
      <c r="F116" s="70"/>
      <c r="G116" s="1"/>
      <c r="H116" s="68"/>
      <c r="I116" s="70"/>
      <c r="J116" s="66"/>
      <c r="K116" s="57"/>
      <c r="L116" s="58"/>
      <c r="M116" s="83" t="s">
        <v>5895</v>
      </c>
      <c r="N116" s="64" t="s">
        <v>1</v>
      </c>
      <c r="O116" s="65">
        <v>1</v>
      </c>
      <c r="P116" s="99"/>
      <c r="Q116" s="70"/>
      <c r="R116" s="94" t="s">
        <v>18037</v>
      </c>
      <c r="S116" s="68"/>
      <c r="T116" s="76"/>
      <c r="U116" s="70"/>
      <c r="V116" s="67"/>
      <c r="W116" s="68"/>
      <c r="X116" s="76"/>
      <c r="Y116" s="70"/>
      <c r="Z116" s="228">
        <f>ROUND((ROUND((ROUND((ROUND((_15_同援日０．５*_15・２人),0)*(1+_15・A早朝)),0)*(1+_15・盲ろう)),0)*(1+_15・区３)),0)+ROUND((ROUND((ROUND((_15_同援日０．５＿２．５*_15・２人),0)*(1+_15・盲ろう)),0)*(1+_15・区３)),0)</f>
        <v>987</v>
      </c>
      <c r="AA116" s="69"/>
    </row>
    <row r="117" spans="1:27" ht="16.5" customHeight="1" x14ac:dyDescent="0.3">
      <c r="A117" s="2">
        <v>15</v>
      </c>
      <c r="B117" s="2">
        <v>9309</v>
      </c>
      <c r="C117" s="60" t="s">
        <v>9864</v>
      </c>
      <c r="D117" s="1"/>
      <c r="E117" s="68"/>
      <c r="F117" s="70"/>
      <c r="G117" s="1"/>
      <c r="H117" s="68"/>
      <c r="I117" s="70"/>
      <c r="J117" s="74" t="s">
        <v>5898</v>
      </c>
      <c r="K117" s="62"/>
      <c r="L117" s="63"/>
      <c r="M117" s="85"/>
      <c r="N117" s="64"/>
      <c r="O117" s="65"/>
      <c r="P117" s="99"/>
      <c r="Q117" s="70"/>
      <c r="R117" s="67"/>
      <c r="S117" s="68" t="s">
        <v>1</v>
      </c>
      <c r="T117" s="76">
        <v>0.25</v>
      </c>
      <c r="U117" s="70" t="s">
        <v>422</v>
      </c>
      <c r="V117" s="67"/>
      <c r="W117" s="68"/>
      <c r="X117" s="76"/>
      <c r="Y117" s="70"/>
      <c r="Z117" s="228">
        <f>ROUND((ROUND((ROUND((ROUND((_15_同援日０．５*_15・基礎２),0)*(1+_15・A早朝)),0)*(1+_15・盲ろう)),0)*(1+_15・区３)),0)+ROUND((ROUND((ROUND((_15_同援日０．５＿２．５*_15・基礎２),0)*(1+_15・盲ろう)),0)*(1+_15・区３)),0)</f>
        <v>888</v>
      </c>
      <c r="AA117" s="69"/>
    </row>
    <row r="118" spans="1:27" ht="16.5" customHeight="1" x14ac:dyDescent="0.3">
      <c r="A118" s="2">
        <v>15</v>
      </c>
      <c r="B118" s="2">
        <v>9310</v>
      </c>
      <c r="C118" s="60" t="s">
        <v>9863</v>
      </c>
      <c r="D118" s="1"/>
      <c r="E118" s="68"/>
      <c r="F118" s="70"/>
      <c r="G118" s="1"/>
      <c r="H118" s="68"/>
      <c r="I118" s="70"/>
      <c r="J118" s="106" t="s">
        <v>18035</v>
      </c>
      <c r="K118" s="57" t="s">
        <v>1</v>
      </c>
      <c r="L118" s="58">
        <v>0.9</v>
      </c>
      <c r="M118" s="83" t="s">
        <v>5895</v>
      </c>
      <c r="N118" s="64" t="s">
        <v>1</v>
      </c>
      <c r="O118" s="65">
        <v>1</v>
      </c>
      <c r="P118" s="99"/>
      <c r="Q118" s="70"/>
      <c r="R118" s="66"/>
      <c r="S118" s="57"/>
      <c r="T118" s="58"/>
      <c r="U118" s="77"/>
      <c r="V118" s="66"/>
      <c r="W118" s="57"/>
      <c r="X118" s="58"/>
      <c r="Y118" s="77"/>
      <c r="Z118" s="228">
        <f>ROUND((ROUND((ROUND((ROUND((ROUND((_15_同援日０．５*_15・基礎２),0)*_15・２人),0)*(1+_15・A早朝)),0)*(1+_15・盲ろう)),0)*(1+_15・区３)),0)+ROUND((ROUND((ROUND((ROUND((_15_同援日０．５＿２．５*_15・基礎２),0)*_15・２人),0)*(1+_15・盲ろう)),0)*(1+_15・区３)),0)</f>
        <v>888</v>
      </c>
      <c r="AA118" s="69"/>
    </row>
    <row r="119" spans="1:27" ht="16.5" customHeight="1" x14ac:dyDescent="0.3">
      <c r="A119" s="2">
        <v>15</v>
      </c>
      <c r="B119" s="2">
        <v>9311</v>
      </c>
      <c r="C119" s="60" t="s">
        <v>9862</v>
      </c>
      <c r="D119" s="1"/>
      <c r="E119" s="68"/>
      <c r="F119" s="70"/>
      <c r="G119" s="1"/>
      <c r="H119" s="68"/>
      <c r="I119" s="70"/>
      <c r="J119" s="61"/>
      <c r="K119" s="62"/>
      <c r="L119" s="63"/>
      <c r="M119" s="85"/>
      <c r="N119" s="64"/>
      <c r="O119" s="65"/>
      <c r="P119" s="99"/>
      <c r="Q119" s="70"/>
      <c r="R119" s="61"/>
      <c r="S119" s="62"/>
      <c r="T119" s="63"/>
      <c r="U119" s="75"/>
      <c r="V119" s="61"/>
      <c r="W119" s="62"/>
      <c r="X119" s="63"/>
      <c r="Y119" s="75"/>
      <c r="Z119" s="228">
        <f>ROUND((ROUND((_15_同援日０．５*(1+_15・A早朝)),0)*(1+_15・区４)),0)+ROUND((_15_同援日０．５＿２．５*(1+_15・区４)),0)</f>
        <v>920</v>
      </c>
      <c r="AA119" s="69"/>
    </row>
    <row r="120" spans="1:27" ht="16.5" customHeight="1" x14ac:dyDescent="0.3">
      <c r="A120" s="2">
        <v>15</v>
      </c>
      <c r="B120" s="2">
        <v>9312</v>
      </c>
      <c r="C120" s="60" t="s">
        <v>9861</v>
      </c>
      <c r="D120" s="1"/>
      <c r="E120" s="68"/>
      <c r="F120" s="70"/>
      <c r="G120" s="1"/>
      <c r="H120" s="68"/>
      <c r="I120" s="70"/>
      <c r="J120" s="66"/>
      <c r="K120" s="57"/>
      <c r="L120" s="58"/>
      <c r="M120" s="83" t="s">
        <v>5895</v>
      </c>
      <c r="N120" s="64" t="s">
        <v>1</v>
      </c>
      <c r="O120" s="65">
        <v>1</v>
      </c>
      <c r="P120" s="99"/>
      <c r="Q120" s="70"/>
      <c r="R120" s="67"/>
      <c r="S120" s="68"/>
      <c r="T120" s="76"/>
      <c r="U120" s="70"/>
      <c r="V120" s="67"/>
      <c r="W120" s="68"/>
      <c r="X120" s="76"/>
      <c r="Y120" s="70"/>
      <c r="Z120" s="228">
        <f>ROUND((ROUND((ROUND((_15_同援日０．５*_15・２人),0)*(1+_15・A早朝)),0)*(1+_15・区４)),0)+ROUND((ROUND((_15_同援日０．５＿２．５*_15・２人),0)*(1+_15・区４)),0)</f>
        <v>920</v>
      </c>
      <c r="AA120" s="69"/>
    </row>
    <row r="121" spans="1:27" ht="16.5" customHeight="1" x14ac:dyDescent="0.3">
      <c r="A121" s="2">
        <v>15</v>
      </c>
      <c r="B121" s="2">
        <v>9313</v>
      </c>
      <c r="C121" s="60" t="s">
        <v>9860</v>
      </c>
      <c r="D121" s="1"/>
      <c r="E121" s="68"/>
      <c r="F121" s="70"/>
      <c r="G121" s="1"/>
      <c r="H121" s="68"/>
      <c r="I121" s="70"/>
      <c r="J121" s="74" t="s">
        <v>18036</v>
      </c>
      <c r="K121" s="62"/>
      <c r="L121" s="63"/>
      <c r="M121" s="85"/>
      <c r="N121" s="64"/>
      <c r="O121" s="65"/>
      <c r="P121" s="99"/>
      <c r="Q121" s="70"/>
      <c r="R121" s="67"/>
      <c r="S121" s="68"/>
      <c r="T121" s="76"/>
      <c r="U121" s="70"/>
      <c r="V121" s="1" t="s">
        <v>8089</v>
      </c>
      <c r="W121" s="68"/>
      <c r="X121" s="76"/>
      <c r="Y121" s="70"/>
      <c r="Z121" s="228">
        <f>ROUND((ROUND((ROUND((_15_同援日０．５*_15・基礎２),0)*(1+_15・A早朝)),0)*(1+_15・区４)),0)+ROUND((ROUND((_15_同援日０．５＿２．５*_15・基礎２),0)*(1+_15・区４)),0)</f>
        <v>829</v>
      </c>
      <c r="AA121" s="69"/>
    </row>
    <row r="122" spans="1:27" ht="16.5" customHeight="1" x14ac:dyDescent="0.3">
      <c r="A122" s="2">
        <v>15</v>
      </c>
      <c r="B122" s="2">
        <v>9314</v>
      </c>
      <c r="C122" s="60" t="s">
        <v>9859</v>
      </c>
      <c r="D122" s="1"/>
      <c r="E122" s="68"/>
      <c r="F122" s="70"/>
      <c r="G122" s="1"/>
      <c r="H122" s="68"/>
      <c r="I122" s="70"/>
      <c r="J122" s="106" t="s">
        <v>18035</v>
      </c>
      <c r="K122" s="57" t="s">
        <v>1</v>
      </c>
      <c r="L122" s="58">
        <v>0.9</v>
      </c>
      <c r="M122" s="83" t="s">
        <v>5895</v>
      </c>
      <c r="N122" s="64" t="s">
        <v>1</v>
      </c>
      <c r="O122" s="65">
        <v>1</v>
      </c>
      <c r="P122" s="99"/>
      <c r="Q122" s="70"/>
      <c r="R122" s="66"/>
      <c r="S122" s="57"/>
      <c r="T122" s="58"/>
      <c r="U122" s="77"/>
      <c r="V122" s="1" t="s">
        <v>18039</v>
      </c>
      <c r="W122" s="68"/>
      <c r="X122" s="76"/>
      <c r="Y122" s="70"/>
      <c r="Z122" s="228">
        <f>ROUND((ROUND((ROUND((ROUND((_15_同援日０．５*_15・基礎２),0)*_15・２人),0)*(1+_15・A早朝)),0)*(1+_15・区４)),0)+ROUND((ROUND((ROUND((_15_同援日０．５＿２．５*_15・基礎２),0)*_15・２人),0)*(1+_15・区４)),0)</f>
        <v>829</v>
      </c>
      <c r="AA122" s="69"/>
    </row>
    <row r="123" spans="1:27" ht="16.5" customHeight="1" x14ac:dyDescent="0.3">
      <c r="A123" s="2">
        <v>15</v>
      </c>
      <c r="B123" s="2">
        <v>9315</v>
      </c>
      <c r="C123" s="60" t="s">
        <v>9858</v>
      </c>
      <c r="D123" s="1"/>
      <c r="E123" s="68"/>
      <c r="F123" s="70"/>
      <c r="G123" s="1"/>
      <c r="H123" s="68"/>
      <c r="I123" s="70"/>
      <c r="J123" s="61"/>
      <c r="K123" s="62"/>
      <c r="L123" s="63"/>
      <c r="M123" s="85"/>
      <c r="N123" s="64"/>
      <c r="O123" s="65"/>
      <c r="P123" s="99"/>
      <c r="Q123" s="70"/>
      <c r="R123" s="74" t="s">
        <v>18038</v>
      </c>
      <c r="S123" s="62"/>
      <c r="T123" s="63"/>
      <c r="U123" s="75"/>
      <c r="V123" s="67"/>
      <c r="W123" s="68" t="s">
        <v>1</v>
      </c>
      <c r="X123" s="76">
        <v>0.4</v>
      </c>
      <c r="Y123" s="70" t="s">
        <v>422</v>
      </c>
      <c r="Z123" s="228">
        <f>ROUND((ROUND((ROUND((_15_同援日０．５*(1+_15・A早朝)),0)*(1+_15・盲ろう)),0)*(1+_15・区４)),0)+ROUND((ROUND((_15_同援日０．５＿２．５*(1+_15・盲ろう)),0)*(1+_15・区４)),0)</f>
        <v>1151</v>
      </c>
      <c r="AA123" s="69"/>
    </row>
    <row r="124" spans="1:27" ht="16.5" customHeight="1" x14ac:dyDescent="0.3">
      <c r="A124" s="2">
        <v>15</v>
      </c>
      <c r="B124" s="2">
        <v>9316</v>
      </c>
      <c r="C124" s="60" t="s">
        <v>9857</v>
      </c>
      <c r="D124" s="1"/>
      <c r="E124" s="68"/>
      <c r="F124" s="70"/>
      <c r="G124" s="1"/>
      <c r="H124" s="68"/>
      <c r="I124" s="70"/>
      <c r="J124" s="66"/>
      <c r="K124" s="57"/>
      <c r="L124" s="58"/>
      <c r="M124" s="83" t="s">
        <v>5895</v>
      </c>
      <c r="N124" s="64" t="s">
        <v>1</v>
      </c>
      <c r="O124" s="65">
        <v>1</v>
      </c>
      <c r="P124" s="99"/>
      <c r="Q124" s="70"/>
      <c r="R124" s="94" t="s">
        <v>8083</v>
      </c>
      <c r="S124" s="68"/>
      <c r="T124" s="76"/>
      <c r="U124" s="70"/>
      <c r="V124" s="67"/>
      <c r="W124" s="68"/>
      <c r="X124" s="76"/>
      <c r="Y124" s="70"/>
      <c r="Z124" s="228">
        <f>ROUND((ROUND((ROUND((ROUND((_15_同援日０．５*_15・２人),0)*(1+_15・A早朝)),0)*(1+_15・盲ろう)),0)*(1+_15・区４)),0)+ROUND((ROUND((ROUND((_15_同援日０．５＿２．５*_15・２人),0)*(1+_15・盲ろう)),0)*(1+_15・区４)),0)</f>
        <v>1151</v>
      </c>
      <c r="AA124" s="69"/>
    </row>
    <row r="125" spans="1:27" ht="16.5" customHeight="1" x14ac:dyDescent="0.3">
      <c r="A125" s="2">
        <v>15</v>
      </c>
      <c r="B125" s="2">
        <v>9317</v>
      </c>
      <c r="C125" s="60" t="s">
        <v>9856</v>
      </c>
      <c r="D125" s="1"/>
      <c r="E125" s="68"/>
      <c r="F125" s="70"/>
      <c r="G125" s="1"/>
      <c r="H125" s="68"/>
      <c r="I125" s="70"/>
      <c r="J125" s="74" t="s">
        <v>18036</v>
      </c>
      <c r="K125" s="62"/>
      <c r="L125" s="63"/>
      <c r="M125" s="85"/>
      <c r="N125" s="64"/>
      <c r="O125" s="65"/>
      <c r="P125" s="99"/>
      <c r="Q125" s="70"/>
      <c r="R125" s="67"/>
      <c r="S125" s="68" t="s">
        <v>1</v>
      </c>
      <c r="T125" s="76">
        <v>0.25</v>
      </c>
      <c r="U125" s="70" t="s">
        <v>422</v>
      </c>
      <c r="V125" s="67"/>
      <c r="W125" s="68"/>
      <c r="X125" s="76"/>
      <c r="Y125" s="70"/>
      <c r="Z125" s="228">
        <f>ROUND((ROUND((ROUND((ROUND((_15_同援日０．５*_15・基礎２),0)*(1+_15・A早朝)),0)*(1+_15・盲ろう)),0)*(1+_15・区４)),0)+ROUND((ROUND((ROUND((_15_同援日０．５＿２．５*_15・基礎２),0)*(1+_15・盲ろう)),0)*(1+_15・区４)),0)</f>
        <v>1036</v>
      </c>
      <c r="AA125" s="69"/>
    </row>
    <row r="126" spans="1:27" ht="16.5" customHeight="1" x14ac:dyDescent="0.3">
      <c r="A126" s="2">
        <v>15</v>
      </c>
      <c r="B126" s="2">
        <v>9318</v>
      </c>
      <c r="C126" s="60" t="s">
        <v>9855</v>
      </c>
      <c r="D126" s="81"/>
      <c r="E126" s="57"/>
      <c r="F126" s="77"/>
      <c r="G126" s="81"/>
      <c r="H126" s="57"/>
      <c r="I126" s="77"/>
      <c r="J126" s="106" t="s">
        <v>18035</v>
      </c>
      <c r="K126" s="57" t="s">
        <v>1</v>
      </c>
      <c r="L126" s="58">
        <v>0.9</v>
      </c>
      <c r="M126" s="83" t="s">
        <v>5895</v>
      </c>
      <c r="N126" s="64" t="s">
        <v>1</v>
      </c>
      <c r="O126" s="65">
        <v>1</v>
      </c>
      <c r="P126" s="99"/>
      <c r="Q126" s="70"/>
      <c r="R126" s="66"/>
      <c r="S126" s="57"/>
      <c r="T126" s="58"/>
      <c r="U126" s="77"/>
      <c r="V126" s="66"/>
      <c r="W126" s="57"/>
      <c r="X126" s="58"/>
      <c r="Y126" s="77"/>
      <c r="Z126" s="228">
        <f>ROUND((ROUND((ROUND((ROUND((ROUND((_15_同援日０．５*_15・基礎２),0)*_15・２人),0)*(1+_15・A早朝)),0)*(1+_15・盲ろう)),0)*(1+_15・区４)),0)+ROUND((ROUND((ROUND((ROUND((_15_同援日０．５＿２．５*_15・基礎２),0)*_15・２人),0)*(1+_15・盲ろう)),0)*(1+_15・区４)),0)</f>
        <v>1036</v>
      </c>
      <c r="AA126" s="69"/>
    </row>
    <row r="127" spans="1:27" ht="16.5" customHeight="1" x14ac:dyDescent="0.3">
      <c r="A127" s="2">
        <v>15</v>
      </c>
      <c r="B127" s="2">
        <v>9319</v>
      </c>
      <c r="C127" s="60" t="s">
        <v>9854</v>
      </c>
      <c r="D127" s="233" t="s">
        <v>18053</v>
      </c>
      <c r="E127" s="62"/>
      <c r="F127" s="75"/>
      <c r="G127" s="233" t="s">
        <v>6001</v>
      </c>
      <c r="H127" s="62"/>
      <c r="I127" s="75"/>
      <c r="J127" s="61"/>
      <c r="K127" s="62"/>
      <c r="L127" s="63"/>
      <c r="M127" s="85"/>
      <c r="N127" s="64"/>
      <c r="O127" s="65"/>
      <c r="P127" s="99"/>
      <c r="Q127" s="70"/>
      <c r="R127" s="61"/>
      <c r="S127" s="62"/>
      <c r="T127" s="63"/>
      <c r="U127" s="75"/>
      <c r="V127" s="61"/>
      <c r="W127" s="62"/>
      <c r="X127" s="63"/>
      <c r="Y127" s="75"/>
      <c r="Z127" s="228">
        <f>ROUND((_15_同援日１．０*(1+_15・A早朝)),0)+_15_同援日１．０＿０．５</f>
        <v>494</v>
      </c>
      <c r="AA127" s="69"/>
    </row>
    <row r="128" spans="1:27" ht="16.5" customHeight="1" x14ac:dyDescent="0.3">
      <c r="A128" s="2">
        <v>15</v>
      </c>
      <c r="B128" s="2">
        <v>9320</v>
      </c>
      <c r="C128" s="60" t="s">
        <v>9853</v>
      </c>
      <c r="D128" s="1" t="s">
        <v>18045</v>
      </c>
      <c r="E128" s="68"/>
      <c r="F128" s="70"/>
      <c r="G128" s="1" t="s">
        <v>7928</v>
      </c>
      <c r="H128" s="68"/>
      <c r="I128" s="70"/>
      <c r="J128" s="66"/>
      <c r="K128" s="57"/>
      <c r="L128" s="58"/>
      <c r="M128" s="83" t="s">
        <v>5895</v>
      </c>
      <c r="N128" s="64" t="s">
        <v>1</v>
      </c>
      <c r="O128" s="65">
        <v>1</v>
      </c>
      <c r="P128" s="99"/>
      <c r="Q128" s="70"/>
      <c r="R128" s="67"/>
      <c r="S128" s="68"/>
      <c r="T128" s="76"/>
      <c r="U128" s="70"/>
      <c r="V128" s="67"/>
      <c r="W128" s="68"/>
      <c r="X128" s="76"/>
      <c r="Y128" s="70"/>
      <c r="Z128" s="228">
        <f>ROUND((ROUND((_15_同援日１．０*_15・２人),0)*(1+_15・A早朝)),0)+ROUND((_15_同援日１．０＿０．５*_15・２人),0)</f>
        <v>494</v>
      </c>
      <c r="AA128" s="69"/>
    </row>
    <row r="129" spans="1:27" ht="16.5" customHeight="1" x14ac:dyDescent="0.3">
      <c r="A129" s="2">
        <v>15</v>
      </c>
      <c r="B129" s="2">
        <v>9321</v>
      </c>
      <c r="C129" s="60" t="s">
        <v>9852</v>
      </c>
      <c r="D129" s="1" t="s">
        <v>8572</v>
      </c>
      <c r="E129" s="68"/>
      <c r="F129" s="70"/>
      <c r="G129" s="1"/>
      <c r="H129" s="68"/>
      <c r="I129" s="70"/>
      <c r="J129" s="74" t="s">
        <v>18036</v>
      </c>
      <c r="K129" s="62"/>
      <c r="L129" s="63"/>
      <c r="M129" s="85"/>
      <c r="N129" s="64"/>
      <c r="O129" s="65"/>
      <c r="P129" s="99"/>
      <c r="Q129" s="70"/>
      <c r="R129" s="67"/>
      <c r="S129" s="68"/>
      <c r="T129" s="76"/>
      <c r="U129" s="70"/>
      <c r="V129" s="67"/>
      <c r="W129" s="68"/>
      <c r="X129" s="76"/>
      <c r="Y129" s="70"/>
      <c r="Z129" s="228">
        <f>ROUND((ROUND((_15_同援日１．０*_15・基礎２),0)*(1+_15・A早朝)),0)+ROUND((_15_同援日１．０＿０．５*_15・基礎２),0)</f>
        <v>445</v>
      </c>
      <c r="AA129" s="69"/>
    </row>
    <row r="130" spans="1:27" ht="16.5" customHeight="1" x14ac:dyDescent="0.3">
      <c r="A130" s="2">
        <v>15</v>
      </c>
      <c r="B130" s="2">
        <v>9322</v>
      </c>
      <c r="C130" s="60" t="s">
        <v>9851</v>
      </c>
      <c r="D130" s="1"/>
      <c r="E130" s="227">
        <v>292</v>
      </c>
      <c r="F130" s="70" t="s">
        <v>0</v>
      </c>
      <c r="G130" s="1"/>
      <c r="H130" s="119">
        <v>129</v>
      </c>
      <c r="I130" s="70" t="s">
        <v>0</v>
      </c>
      <c r="J130" s="106" t="s">
        <v>5896</v>
      </c>
      <c r="K130" s="57" t="s">
        <v>1</v>
      </c>
      <c r="L130" s="58">
        <v>0.9</v>
      </c>
      <c r="M130" s="83" t="s">
        <v>5895</v>
      </c>
      <c r="N130" s="64" t="s">
        <v>1</v>
      </c>
      <c r="O130" s="65">
        <v>1</v>
      </c>
      <c r="P130" s="99"/>
      <c r="Q130" s="70"/>
      <c r="R130" s="66"/>
      <c r="S130" s="57"/>
      <c r="T130" s="58"/>
      <c r="U130" s="77"/>
      <c r="V130" s="67"/>
      <c r="W130" s="68"/>
      <c r="X130" s="76"/>
      <c r="Y130" s="70"/>
      <c r="Z130" s="228">
        <f>ROUND((ROUND((ROUND((_15_同援日１．０*_15・基礎２),0)*_15・２人),0)*(1+_15・A早朝)),0)+ROUND((ROUND((_15_同援日１．０＿０．５*_15・基礎２),0)*_15・２人),0)</f>
        <v>445</v>
      </c>
      <c r="AA130" s="69"/>
    </row>
    <row r="131" spans="1:27" ht="16.5" customHeight="1" x14ac:dyDescent="0.3">
      <c r="A131" s="2">
        <v>15</v>
      </c>
      <c r="B131" s="2">
        <v>9323</v>
      </c>
      <c r="C131" s="60" t="s">
        <v>9850</v>
      </c>
      <c r="D131" s="1"/>
      <c r="E131" s="68"/>
      <c r="F131" s="70"/>
      <c r="G131" s="1"/>
      <c r="H131" s="68"/>
      <c r="I131" s="70"/>
      <c r="J131" s="61"/>
      <c r="K131" s="62"/>
      <c r="L131" s="63"/>
      <c r="M131" s="85"/>
      <c r="N131" s="64"/>
      <c r="O131" s="65"/>
      <c r="P131" s="99"/>
      <c r="Q131" s="70"/>
      <c r="R131" s="74" t="s">
        <v>18038</v>
      </c>
      <c r="S131" s="62"/>
      <c r="T131" s="63"/>
      <c r="U131" s="75"/>
      <c r="V131" s="67"/>
      <c r="W131" s="68"/>
      <c r="X131" s="76"/>
      <c r="Y131" s="70"/>
      <c r="Z131" s="228">
        <f>ROUND((ROUND((_15_同援日１．０*(1+_15・A早朝)),0)*(1+_15・盲ろう)),0)+ROUND((_15_同援日１．０＿０．５*(1+_15・盲ろう)),0)</f>
        <v>617</v>
      </c>
      <c r="AA131" s="69"/>
    </row>
    <row r="132" spans="1:27" ht="16.5" customHeight="1" x14ac:dyDescent="0.3">
      <c r="A132" s="2">
        <v>15</v>
      </c>
      <c r="B132" s="2">
        <v>9324</v>
      </c>
      <c r="C132" s="60" t="s">
        <v>9849</v>
      </c>
      <c r="D132" s="1"/>
      <c r="E132" s="68"/>
      <c r="F132" s="70"/>
      <c r="G132" s="1"/>
      <c r="H132" s="68"/>
      <c r="I132" s="70"/>
      <c r="J132" s="66"/>
      <c r="K132" s="57"/>
      <c r="L132" s="58"/>
      <c r="M132" s="83" t="s">
        <v>5895</v>
      </c>
      <c r="N132" s="64" t="s">
        <v>1</v>
      </c>
      <c r="O132" s="65">
        <v>1</v>
      </c>
      <c r="P132" s="99"/>
      <c r="Q132" s="70"/>
      <c r="R132" s="94" t="s">
        <v>8083</v>
      </c>
      <c r="S132" s="68"/>
      <c r="T132" s="76"/>
      <c r="U132" s="70"/>
      <c r="V132" s="67"/>
      <c r="W132" s="68"/>
      <c r="X132" s="76"/>
      <c r="Y132" s="70"/>
      <c r="Z132" s="228">
        <f>ROUND((ROUND((ROUND((_15_同援日１．０*_15・２人),0)*(1+_15・A早朝)),0)*(1+_15・盲ろう)),0)+ROUND((ROUND((_15_同援日１．０＿０．５*_15・２人),0)*(1+_15・盲ろう)),0)</f>
        <v>617</v>
      </c>
      <c r="AA132" s="69"/>
    </row>
    <row r="133" spans="1:27" ht="16.5" customHeight="1" x14ac:dyDescent="0.3">
      <c r="A133" s="2">
        <v>15</v>
      </c>
      <c r="B133" s="2">
        <v>9325</v>
      </c>
      <c r="C133" s="60" t="s">
        <v>9848</v>
      </c>
      <c r="D133" s="1"/>
      <c r="E133" s="68"/>
      <c r="F133" s="70"/>
      <c r="G133" s="1"/>
      <c r="H133" s="68"/>
      <c r="I133" s="70"/>
      <c r="J133" s="74" t="s">
        <v>18036</v>
      </c>
      <c r="K133" s="62"/>
      <c r="L133" s="63"/>
      <c r="M133" s="85"/>
      <c r="N133" s="64"/>
      <c r="O133" s="65"/>
      <c r="P133" s="99"/>
      <c r="Q133" s="70"/>
      <c r="R133" s="67"/>
      <c r="S133" s="68" t="s">
        <v>1</v>
      </c>
      <c r="T133" s="76">
        <v>0.25</v>
      </c>
      <c r="U133" s="70" t="s">
        <v>422</v>
      </c>
      <c r="V133" s="67"/>
      <c r="W133" s="68"/>
      <c r="X133" s="76"/>
      <c r="Y133" s="70"/>
      <c r="Z133" s="228">
        <f>ROUND((ROUND((ROUND((_15_同援日１．０*_15・基礎２),0)*(1+_15・A早朝)),0)*(1+_15・盲ろう)),0)+ROUND((ROUND((_15_同援日１．０＿０．５*_15・基礎２),0)*(1+_15・盲ろう)),0)</f>
        <v>556</v>
      </c>
      <c r="AA133" s="69"/>
    </row>
    <row r="134" spans="1:27" ht="16.5" customHeight="1" x14ac:dyDescent="0.3">
      <c r="A134" s="2">
        <v>15</v>
      </c>
      <c r="B134" s="2">
        <v>9326</v>
      </c>
      <c r="C134" s="60" t="s">
        <v>9847</v>
      </c>
      <c r="D134" s="1"/>
      <c r="E134" s="68"/>
      <c r="F134" s="70"/>
      <c r="G134" s="1"/>
      <c r="H134" s="68"/>
      <c r="I134" s="70"/>
      <c r="J134" s="106" t="s">
        <v>18035</v>
      </c>
      <c r="K134" s="57" t="s">
        <v>1</v>
      </c>
      <c r="L134" s="58">
        <v>0.9</v>
      </c>
      <c r="M134" s="83" t="s">
        <v>5895</v>
      </c>
      <c r="N134" s="64" t="s">
        <v>1</v>
      </c>
      <c r="O134" s="65">
        <v>1</v>
      </c>
      <c r="P134" s="99"/>
      <c r="Q134" s="70"/>
      <c r="R134" s="66"/>
      <c r="S134" s="57"/>
      <c r="T134" s="58"/>
      <c r="U134" s="77"/>
      <c r="V134" s="66"/>
      <c r="W134" s="57"/>
      <c r="X134" s="58"/>
      <c r="Y134" s="77"/>
      <c r="Z134" s="228">
        <f>ROUND((ROUND((ROUND((ROUND((_15_同援日１．０*_15・基礎２),0)*_15・２人),0)*(1+_15・A早朝)),0)*(1+_15・盲ろう)),0)+ROUND((ROUND((ROUND((_15_同援日１．０＿０．５*_15・基礎２),0)*_15・２人),0)*(1+_15・盲ろう)),0)</f>
        <v>556</v>
      </c>
      <c r="AA134" s="69"/>
    </row>
    <row r="135" spans="1:27" ht="16.5" customHeight="1" x14ac:dyDescent="0.3">
      <c r="A135" s="2">
        <v>15</v>
      </c>
      <c r="B135" s="2">
        <v>9327</v>
      </c>
      <c r="C135" s="60" t="s">
        <v>9846</v>
      </c>
      <c r="D135" s="1"/>
      <c r="E135" s="68"/>
      <c r="F135" s="70"/>
      <c r="G135" s="1"/>
      <c r="H135" s="68"/>
      <c r="I135" s="70"/>
      <c r="J135" s="61"/>
      <c r="K135" s="62"/>
      <c r="L135" s="63"/>
      <c r="M135" s="85"/>
      <c r="N135" s="64"/>
      <c r="O135" s="65"/>
      <c r="P135" s="99"/>
      <c r="Q135" s="70"/>
      <c r="R135" s="61"/>
      <c r="S135" s="62"/>
      <c r="T135" s="63"/>
      <c r="U135" s="75"/>
      <c r="V135" s="61"/>
      <c r="W135" s="62"/>
      <c r="X135" s="63"/>
      <c r="Y135" s="75"/>
      <c r="Z135" s="228">
        <f>ROUND((ROUND((_15_同援日１．０*(1+_15・A早朝)),0)*(1+_15・区３)),0)+ROUND((_15_同援日１．０＿０．５*(1+_15・区３)),0)</f>
        <v>593</v>
      </c>
      <c r="AA135" s="69"/>
    </row>
    <row r="136" spans="1:27" ht="16.5" customHeight="1" x14ac:dyDescent="0.3">
      <c r="A136" s="2">
        <v>15</v>
      </c>
      <c r="B136" s="2">
        <v>9328</v>
      </c>
      <c r="C136" s="60" t="s">
        <v>9845</v>
      </c>
      <c r="D136" s="1"/>
      <c r="E136" s="68"/>
      <c r="F136" s="70"/>
      <c r="G136" s="1"/>
      <c r="H136" s="68"/>
      <c r="I136" s="70"/>
      <c r="J136" s="66"/>
      <c r="K136" s="57"/>
      <c r="L136" s="58"/>
      <c r="M136" s="83" t="s">
        <v>5895</v>
      </c>
      <c r="N136" s="64" t="s">
        <v>1</v>
      </c>
      <c r="O136" s="65">
        <v>1</v>
      </c>
      <c r="P136" s="99"/>
      <c r="Q136" s="70"/>
      <c r="R136" s="67"/>
      <c r="S136" s="68"/>
      <c r="T136" s="76"/>
      <c r="U136" s="70"/>
      <c r="V136" s="67"/>
      <c r="W136" s="68"/>
      <c r="X136" s="76"/>
      <c r="Y136" s="70"/>
      <c r="Z136" s="228">
        <f>ROUND((ROUND((ROUND((_15_同援日１．０*_15・２人),0)*(1+_15・A早朝)),0)*(1+_15・区３)),0)+ROUND((ROUND((_15_同援日１．０＿０．５*_15・２人),0)*(1+_15・区３)),0)</f>
        <v>593</v>
      </c>
      <c r="AA136" s="69"/>
    </row>
    <row r="137" spans="1:27" ht="16.5" customHeight="1" x14ac:dyDescent="0.3">
      <c r="A137" s="2">
        <v>15</v>
      </c>
      <c r="B137" s="2">
        <v>9329</v>
      </c>
      <c r="C137" s="60" t="s">
        <v>9844</v>
      </c>
      <c r="D137" s="1"/>
      <c r="E137" s="68"/>
      <c r="F137" s="70"/>
      <c r="G137" s="1"/>
      <c r="H137" s="68"/>
      <c r="I137" s="70"/>
      <c r="J137" s="74" t="s">
        <v>18036</v>
      </c>
      <c r="K137" s="62"/>
      <c r="L137" s="63"/>
      <c r="M137" s="85"/>
      <c r="N137" s="64"/>
      <c r="O137" s="65"/>
      <c r="P137" s="99"/>
      <c r="Q137" s="70"/>
      <c r="R137" s="67"/>
      <c r="S137" s="68"/>
      <c r="T137" s="76"/>
      <c r="U137" s="70"/>
      <c r="V137" s="1" t="s">
        <v>18041</v>
      </c>
      <c r="W137" s="68"/>
      <c r="X137" s="76"/>
      <c r="Y137" s="70"/>
      <c r="Z137" s="228">
        <f>ROUND((ROUND((ROUND((_15_同援日１．０*_15・基礎２),0)*(1+_15・A早朝)),0)*(1+_15・区３)),0)+ROUND((ROUND((_15_同援日１．０＿０．５*_15・基礎２),0)*(1+_15・区３)),0)</f>
        <v>534</v>
      </c>
      <c r="AA137" s="69"/>
    </row>
    <row r="138" spans="1:27" ht="16.5" customHeight="1" x14ac:dyDescent="0.3">
      <c r="A138" s="2">
        <v>15</v>
      </c>
      <c r="B138" s="2">
        <v>9330</v>
      </c>
      <c r="C138" s="60" t="s">
        <v>9843</v>
      </c>
      <c r="D138" s="1"/>
      <c r="E138" s="68"/>
      <c r="F138" s="70"/>
      <c r="G138" s="1"/>
      <c r="H138" s="68"/>
      <c r="I138" s="70"/>
      <c r="J138" s="106" t="s">
        <v>18035</v>
      </c>
      <c r="K138" s="57" t="s">
        <v>1</v>
      </c>
      <c r="L138" s="58">
        <v>0.9</v>
      </c>
      <c r="M138" s="83" t="s">
        <v>5895</v>
      </c>
      <c r="N138" s="64" t="s">
        <v>1</v>
      </c>
      <c r="O138" s="65">
        <v>1</v>
      </c>
      <c r="P138" s="99"/>
      <c r="Q138" s="70"/>
      <c r="R138" s="66"/>
      <c r="S138" s="57"/>
      <c r="T138" s="58"/>
      <c r="U138" s="77"/>
      <c r="V138" s="1" t="s">
        <v>18039</v>
      </c>
      <c r="W138" s="68"/>
      <c r="X138" s="76"/>
      <c r="Y138" s="70"/>
      <c r="Z138" s="228">
        <f>ROUND((ROUND((ROUND((ROUND((_15_同援日１．０*_15・基礎２),0)*_15・２人),0)*(1+_15・A早朝)),0)*(1+_15・区３)),0)+ROUND((ROUND((ROUND((_15_同援日１．０＿０．５*_15・基礎２),0)*_15・２人),0)*(1+_15・区３)),0)</f>
        <v>534</v>
      </c>
      <c r="AA138" s="69"/>
    </row>
    <row r="139" spans="1:27" ht="16.5" customHeight="1" x14ac:dyDescent="0.3">
      <c r="A139" s="2">
        <v>15</v>
      </c>
      <c r="B139" s="2">
        <v>9331</v>
      </c>
      <c r="C139" s="60" t="s">
        <v>9842</v>
      </c>
      <c r="D139" s="1"/>
      <c r="E139" s="68"/>
      <c r="F139" s="70"/>
      <c r="G139" s="1"/>
      <c r="H139" s="68"/>
      <c r="I139" s="70"/>
      <c r="J139" s="61"/>
      <c r="K139" s="62"/>
      <c r="L139" s="63"/>
      <c r="M139" s="85"/>
      <c r="N139" s="64"/>
      <c r="O139" s="65"/>
      <c r="P139" s="99"/>
      <c r="Q139" s="70"/>
      <c r="R139" s="74" t="s">
        <v>18038</v>
      </c>
      <c r="S139" s="62"/>
      <c r="T139" s="63"/>
      <c r="U139" s="75"/>
      <c r="V139" s="67"/>
      <c r="W139" s="68" t="s">
        <v>1</v>
      </c>
      <c r="X139" s="76">
        <v>0.2</v>
      </c>
      <c r="Y139" s="70" t="s">
        <v>422</v>
      </c>
      <c r="Z139" s="228">
        <f>ROUND((ROUND((ROUND((_15_同援日１．０*(1+_15・A早朝)),0)*(1+_15・盲ろう)),0)*(1+_15・区３)),0)+ROUND((ROUND((_15_同援日１．０＿０．５*(1+_15・盲ろう)),0)*(1+_15・区３)),0)</f>
        <v>740</v>
      </c>
      <c r="AA139" s="69"/>
    </row>
    <row r="140" spans="1:27" ht="16.5" customHeight="1" x14ac:dyDescent="0.3">
      <c r="A140" s="2">
        <v>15</v>
      </c>
      <c r="B140" s="2">
        <v>9332</v>
      </c>
      <c r="C140" s="60" t="s">
        <v>9841</v>
      </c>
      <c r="D140" s="1"/>
      <c r="E140" s="68"/>
      <c r="F140" s="70"/>
      <c r="G140" s="1"/>
      <c r="H140" s="68"/>
      <c r="I140" s="70"/>
      <c r="J140" s="66"/>
      <c r="K140" s="57"/>
      <c r="L140" s="58"/>
      <c r="M140" s="83" t="s">
        <v>5895</v>
      </c>
      <c r="N140" s="64" t="s">
        <v>1</v>
      </c>
      <c r="O140" s="65">
        <v>1</v>
      </c>
      <c r="P140" s="99"/>
      <c r="Q140" s="70"/>
      <c r="R140" s="94" t="s">
        <v>18037</v>
      </c>
      <c r="S140" s="68"/>
      <c r="T140" s="76"/>
      <c r="U140" s="70"/>
      <c r="V140" s="67"/>
      <c r="W140" s="68"/>
      <c r="X140" s="76"/>
      <c r="Y140" s="70"/>
      <c r="Z140" s="228">
        <f>ROUND((ROUND((ROUND((ROUND((_15_同援日１．０*_15・２人),0)*(1+_15・A早朝)),0)*(1+_15・盲ろう)),0)*(1+_15・区３)),0)+ROUND((ROUND((ROUND((_15_同援日１．０＿０．５*_15・２人),0)*(1+_15・盲ろう)),0)*(1+_15・区３)),0)</f>
        <v>740</v>
      </c>
      <c r="AA140" s="69"/>
    </row>
    <row r="141" spans="1:27" ht="16.5" customHeight="1" x14ac:dyDescent="0.3">
      <c r="A141" s="2">
        <v>15</v>
      </c>
      <c r="B141" s="2">
        <v>9333</v>
      </c>
      <c r="C141" s="60" t="s">
        <v>9840</v>
      </c>
      <c r="D141" s="1"/>
      <c r="E141" s="68"/>
      <c r="F141" s="70"/>
      <c r="G141" s="1"/>
      <c r="H141" s="68"/>
      <c r="I141" s="70"/>
      <c r="J141" s="74" t="s">
        <v>18036</v>
      </c>
      <c r="K141" s="62"/>
      <c r="L141" s="63"/>
      <c r="M141" s="85"/>
      <c r="N141" s="64"/>
      <c r="O141" s="65"/>
      <c r="P141" s="99"/>
      <c r="Q141" s="70"/>
      <c r="R141" s="67"/>
      <c r="S141" s="68" t="s">
        <v>1</v>
      </c>
      <c r="T141" s="76">
        <v>0.25</v>
      </c>
      <c r="U141" s="70" t="s">
        <v>422</v>
      </c>
      <c r="V141" s="67"/>
      <c r="W141" s="68"/>
      <c r="X141" s="76"/>
      <c r="Y141" s="70"/>
      <c r="Z141" s="228">
        <f>ROUND((ROUND((ROUND((ROUND((_15_同援日１．０*_15・基礎２),0)*(1+_15・A早朝)),0)*(1+_15・盲ろう)),0)*(1+_15・区３)),0)+ROUND((ROUND((ROUND((_15_同援日１．０＿０．５*_15・基礎２),0)*(1+_15・盲ろう)),0)*(1+_15・区３)),0)</f>
        <v>667</v>
      </c>
      <c r="AA141" s="69"/>
    </row>
    <row r="142" spans="1:27" ht="16.5" customHeight="1" x14ac:dyDescent="0.3">
      <c r="A142" s="2">
        <v>15</v>
      </c>
      <c r="B142" s="2">
        <v>9334</v>
      </c>
      <c r="C142" s="60" t="s">
        <v>9839</v>
      </c>
      <c r="D142" s="1"/>
      <c r="E142" s="68"/>
      <c r="F142" s="70"/>
      <c r="G142" s="1"/>
      <c r="H142" s="68"/>
      <c r="I142" s="70"/>
      <c r="J142" s="106" t="s">
        <v>18035</v>
      </c>
      <c r="K142" s="57" t="s">
        <v>1</v>
      </c>
      <c r="L142" s="58">
        <v>0.9</v>
      </c>
      <c r="M142" s="83" t="s">
        <v>5895</v>
      </c>
      <c r="N142" s="64" t="s">
        <v>1</v>
      </c>
      <c r="O142" s="65">
        <v>1</v>
      </c>
      <c r="P142" s="99"/>
      <c r="Q142" s="70"/>
      <c r="R142" s="66"/>
      <c r="S142" s="57"/>
      <c r="T142" s="58"/>
      <c r="U142" s="77"/>
      <c r="V142" s="66"/>
      <c r="W142" s="57"/>
      <c r="X142" s="58"/>
      <c r="Y142" s="77"/>
      <c r="Z142" s="228">
        <f>ROUND((ROUND((ROUND((ROUND((ROUND((_15_同援日１．０*_15・基礎２),0)*_15・２人),0)*(1+_15・A早朝)),0)*(1+_15・盲ろう)),0)*(1+_15・区３)),0)+ROUND((ROUND((ROUND((ROUND((_15_同援日１．０＿０．５*_15・基礎２),0)*_15・２人),0)*(1+_15・盲ろう)),0)*(1+_15・区３)),0)</f>
        <v>667</v>
      </c>
      <c r="AA142" s="69"/>
    </row>
    <row r="143" spans="1:27" ht="16.5" customHeight="1" x14ac:dyDescent="0.3">
      <c r="A143" s="2">
        <v>15</v>
      </c>
      <c r="B143" s="2">
        <v>9335</v>
      </c>
      <c r="C143" s="60" t="s">
        <v>9838</v>
      </c>
      <c r="D143" s="1"/>
      <c r="E143" s="68"/>
      <c r="F143" s="70"/>
      <c r="G143" s="1"/>
      <c r="H143" s="68"/>
      <c r="I143" s="70"/>
      <c r="J143" s="61"/>
      <c r="K143" s="62"/>
      <c r="L143" s="63"/>
      <c r="M143" s="85"/>
      <c r="N143" s="64"/>
      <c r="O143" s="65"/>
      <c r="P143" s="99"/>
      <c r="Q143" s="70"/>
      <c r="R143" s="61"/>
      <c r="S143" s="62"/>
      <c r="T143" s="63"/>
      <c r="U143" s="75"/>
      <c r="V143" s="61"/>
      <c r="W143" s="62"/>
      <c r="X143" s="63"/>
      <c r="Y143" s="75"/>
      <c r="Z143" s="228">
        <f>ROUND((ROUND((_15_同援日１．０*(1+_15・A早朝)),0)*(1+_15・区４)),0)+ROUND((_15_同援日１．０＿０．５*(1+_15・区４)),0)</f>
        <v>692</v>
      </c>
      <c r="AA143" s="69"/>
    </row>
    <row r="144" spans="1:27" ht="16.5" customHeight="1" x14ac:dyDescent="0.3">
      <c r="A144" s="2">
        <v>15</v>
      </c>
      <c r="B144" s="2">
        <v>9336</v>
      </c>
      <c r="C144" s="60" t="s">
        <v>9837</v>
      </c>
      <c r="D144" s="1"/>
      <c r="E144" s="68"/>
      <c r="F144" s="70"/>
      <c r="G144" s="1"/>
      <c r="H144" s="68"/>
      <c r="I144" s="70"/>
      <c r="J144" s="66"/>
      <c r="K144" s="57"/>
      <c r="L144" s="58"/>
      <c r="M144" s="83" t="s">
        <v>5895</v>
      </c>
      <c r="N144" s="64" t="s">
        <v>1</v>
      </c>
      <c r="O144" s="65">
        <v>1</v>
      </c>
      <c r="P144" s="99"/>
      <c r="Q144" s="70"/>
      <c r="R144" s="67"/>
      <c r="S144" s="68"/>
      <c r="T144" s="76"/>
      <c r="U144" s="70"/>
      <c r="V144" s="67"/>
      <c r="W144" s="68"/>
      <c r="X144" s="76"/>
      <c r="Y144" s="70"/>
      <c r="Z144" s="228">
        <f>ROUND((ROUND((ROUND((_15_同援日１．０*_15・２人),0)*(1+_15・A早朝)),0)*(1+_15・区４)),0)+ROUND((ROUND((_15_同援日１．０＿０．５*_15・２人),0)*(1+_15・区４)),0)</f>
        <v>692</v>
      </c>
      <c r="AA144" s="69"/>
    </row>
    <row r="145" spans="1:27" ht="16.5" customHeight="1" x14ac:dyDescent="0.3">
      <c r="A145" s="2">
        <v>15</v>
      </c>
      <c r="B145" s="2">
        <v>9337</v>
      </c>
      <c r="C145" s="60" t="s">
        <v>9836</v>
      </c>
      <c r="D145" s="1"/>
      <c r="E145" s="68"/>
      <c r="F145" s="70"/>
      <c r="G145" s="1"/>
      <c r="H145" s="68"/>
      <c r="I145" s="70"/>
      <c r="J145" s="74" t="s">
        <v>5898</v>
      </c>
      <c r="K145" s="62"/>
      <c r="L145" s="63"/>
      <c r="M145" s="85"/>
      <c r="N145" s="64"/>
      <c r="O145" s="65"/>
      <c r="P145" s="99"/>
      <c r="Q145" s="70"/>
      <c r="R145" s="67"/>
      <c r="S145" s="68"/>
      <c r="T145" s="76"/>
      <c r="U145" s="70"/>
      <c r="V145" s="1" t="s">
        <v>18040</v>
      </c>
      <c r="W145" s="68"/>
      <c r="X145" s="76"/>
      <c r="Y145" s="70"/>
      <c r="Z145" s="228">
        <f>ROUND((ROUND((ROUND((_15_同援日１．０*_15・基礎２),0)*(1+_15・A早朝)),0)*(1+_15・区４)),0)+ROUND((ROUND((_15_同援日１．０＿０．５*_15・基礎２),0)*(1+_15・区４)),0)</f>
        <v>623</v>
      </c>
      <c r="AA145" s="69"/>
    </row>
    <row r="146" spans="1:27" ht="16.5" customHeight="1" x14ac:dyDescent="0.3">
      <c r="A146" s="2">
        <v>15</v>
      </c>
      <c r="B146" s="2">
        <v>9338</v>
      </c>
      <c r="C146" s="60" t="s">
        <v>9835</v>
      </c>
      <c r="D146" s="1"/>
      <c r="E146" s="68"/>
      <c r="F146" s="70"/>
      <c r="G146" s="1"/>
      <c r="H146" s="68"/>
      <c r="I146" s="70"/>
      <c r="J146" s="106" t="s">
        <v>18035</v>
      </c>
      <c r="K146" s="57" t="s">
        <v>1</v>
      </c>
      <c r="L146" s="58">
        <v>0.9</v>
      </c>
      <c r="M146" s="83" t="s">
        <v>5895</v>
      </c>
      <c r="N146" s="64" t="s">
        <v>1</v>
      </c>
      <c r="O146" s="65">
        <v>1</v>
      </c>
      <c r="P146" s="99"/>
      <c r="Q146" s="70"/>
      <c r="R146" s="66"/>
      <c r="S146" s="57"/>
      <c r="T146" s="58"/>
      <c r="U146" s="77"/>
      <c r="V146" s="1" t="s">
        <v>18039</v>
      </c>
      <c r="W146" s="68"/>
      <c r="X146" s="76"/>
      <c r="Y146" s="70"/>
      <c r="Z146" s="228">
        <f>ROUND((ROUND((ROUND((ROUND((_15_同援日１．０*_15・基礎２),0)*_15・２人),0)*(1+_15・A早朝)),0)*(1+_15・区４)),0)+ROUND((ROUND((ROUND((_15_同援日１．０＿０．５*_15・基礎２),0)*_15・２人),0)*(1+_15・区４)),0)</f>
        <v>623</v>
      </c>
      <c r="AA146" s="69"/>
    </row>
    <row r="147" spans="1:27" ht="16.5" customHeight="1" x14ac:dyDescent="0.3">
      <c r="A147" s="2">
        <v>15</v>
      </c>
      <c r="B147" s="2">
        <v>9339</v>
      </c>
      <c r="C147" s="60" t="s">
        <v>9834</v>
      </c>
      <c r="D147" s="1"/>
      <c r="E147" s="68"/>
      <c r="F147" s="70"/>
      <c r="G147" s="1"/>
      <c r="H147" s="68"/>
      <c r="I147" s="70"/>
      <c r="J147" s="61"/>
      <c r="K147" s="62"/>
      <c r="L147" s="63"/>
      <c r="M147" s="85"/>
      <c r="N147" s="64"/>
      <c r="O147" s="65"/>
      <c r="P147" s="99"/>
      <c r="Q147" s="70"/>
      <c r="R147" s="74" t="s">
        <v>18038</v>
      </c>
      <c r="S147" s="62"/>
      <c r="T147" s="63"/>
      <c r="U147" s="75"/>
      <c r="V147" s="67"/>
      <c r="W147" s="68" t="s">
        <v>1</v>
      </c>
      <c r="X147" s="76">
        <v>0.4</v>
      </c>
      <c r="Y147" s="70" t="s">
        <v>422</v>
      </c>
      <c r="Z147" s="228">
        <f>ROUND((ROUND((ROUND((_15_同援日１．０*(1+_15・A早朝)),0)*(1+_15・盲ろう)),0)*(1+_15・区４)),0)+ROUND((ROUND((_15_同援日１．０＿０．５*(1+_15・盲ろう)),0)*(1+_15・区４)),0)</f>
        <v>863</v>
      </c>
      <c r="AA147" s="69"/>
    </row>
    <row r="148" spans="1:27" ht="16.5" customHeight="1" x14ac:dyDescent="0.3">
      <c r="A148" s="2">
        <v>15</v>
      </c>
      <c r="B148" s="2">
        <v>9340</v>
      </c>
      <c r="C148" s="60" t="s">
        <v>9833</v>
      </c>
      <c r="D148" s="1"/>
      <c r="E148" s="68"/>
      <c r="F148" s="70"/>
      <c r="G148" s="1"/>
      <c r="H148" s="68"/>
      <c r="I148" s="70"/>
      <c r="J148" s="66"/>
      <c r="K148" s="57"/>
      <c r="L148" s="58"/>
      <c r="M148" s="83" t="s">
        <v>5895</v>
      </c>
      <c r="N148" s="64" t="s">
        <v>1</v>
      </c>
      <c r="O148" s="65">
        <v>1</v>
      </c>
      <c r="P148" s="99"/>
      <c r="Q148" s="70"/>
      <c r="R148" s="94" t="s">
        <v>8083</v>
      </c>
      <c r="S148" s="68"/>
      <c r="T148" s="76"/>
      <c r="U148" s="70"/>
      <c r="V148" s="67"/>
      <c r="W148" s="68"/>
      <c r="X148" s="76"/>
      <c r="Y148" s="70"/>
      <c r="Z148" s="228">
        <f>ROUND((ROUND((ROUND((ROUND((_15_同援日１．０*_15・２人),0)*(1+_15・A早朝)),0)*(1+_15・盲ろう)),0)*(1+_15・区４)),0)+ROUND((ROUND((ROUND((_15_同援日１．０＿０．５*_15・２人),0)*(1+_15・盲ろう)),0)*(1+_15・区４)),0)</f>
        <v>863</v>
      </c>
      <c r="AA148" s="69"/>
    </row>
    <row r="149" spans="1:27" ht="16.5" customHeight="1" x14ac:dyDescent="0.3">
      <c r="A149" s="2">
        <v>15</v>
      </c>
      <c r="B149" s="2">
        <v>9341</v>
      </c>
      <c r="C149" s="60" t="s">
        <v>9832</v>
      </c>
      <c r="D149" s="1"/>
      <c r="E149" s="68"/>
      <c r="F149" s="70"/>
      <c r="G149" s="1"/>
      <c r="H149" s="68"/>
      <c r="I149" s="70"/>
      <c r="J149" s="74" t="s">
        <v>5898</v>
      </c>
      <c r="K149" s="62"/>
      <c r="L149" s="63"/>
      <c r="M149" s="85"/>
      <c r="N149" s="64"/>
      <c r="O149" s="65"/>
      <c r="P149" s="99"/>
      <c r="Q149" s="70"/>
      <c r="R149" s="67"/>
      <c r="S149" s="68" t="s">
        <v>1</v>
      </c>
      <c r="T149" s="76">
        <v>0.25</v>
      </c>
      <c r="U149" s="70" t="s">
        <v>422</v>
      </c>
      <c r="V149" s="67"/>
      <c r="W149" s="68"/>
      <c r="X149" s="76"/>
      <c r="Y149" s="70"/>
      <c r="Z149" s="228">
        <f>ROUND((ROUND((ROUND((ROUND((_15_同援日１．０*_15・基礎２),0)*(1+_15・A早朝)),0)*(1+_15・盲ろう)),0)*(1+_15・区４)),0)+ROUND((ROUND((ROUND((_15_同援日１．０＿０．５*_15・基礎２),0)*(1+_15・盲ろう)),0)*(1+_15・区４)),0)</f>
        <v>778</v>
      </c>
      <c r="AA149" s="69"/>
    </row>
    <row r="150" spans="1:27" ht="16.5" customHeight="1" x14ac:dyDescent="0.3">
      <c r="A150" s="2">
        <v>15</v>
      </c>
      <c r="B150" s="2">
        <v>9342</v>
      </c>
      <c r="C150" s="60" t="s">
        <v>9831</v>
      </c>
      <c r="D150" s="1"/>
      <c r="E150" s="68"/>
      <c r="F150" s="70"/>
      <c r="G150" s="81"/>
      <c r="H150" s="57"/>
      <c r="I150" s="77"/>
      <c r="J150" s="106" t="s">
        <v>18035</v>
      </c>
      <c r="K150" s="57" t="s">
        <v>1</v>
      </c>
      <c r="L150" s="58">
        <v>0.9</v>
      </c>
      <c r="M150" s="83" t="s">
        <v>5895</v>
      </c>
      <c r="N150" s="64" t="s">
        <v>1</v>
      </c>
      <c r="O150" s="65">
        <v>1</v>
      </c>
      <c r="P150" s="99"/>
      <c r="Q150" s="70"/>
      <c r="R150" s="66"/>
      <c r="S150" s="57"/>
      <c r="T150" s="58"/>
      <c r="U150" s="77"/>
      <c r="V150" s="66"/>
      <c r="W150" s="57"/>
      <c r="X150" s="58"/>
      <c r="Y150" s="77"/>
      <c r="Z150" s="228">
        <f>ROUND((ROUND((ROUND((ROUND((ROUND((_15_同援日１．０*_15・基礎２),0)*_15・２人),0)*(1+_15・A早朝)),0)*(1+_15・盲ろう)),0)*(1+_15・区４)),0)+ROUND((ROUND((ROUND((ROUND((_15_同援日１．０＿０．５*_15・基礎２),0)*_15・２人),0)*(1+_15・盲ろう)),0)*(1+_15・区４)),0)</f>
        <v>778</v>
      </c>
      <c r="AA150" s="69"/>
    </row>
    <row r="151" spans="1:27" ht="16.5" customHeight="1" x14ac:dyDescent="0.3">
      <c r="A151" s="2">
        <v>15</v>
      </c>
      <c r="B151" s="2">
        <v>9343</v>
      </c>
      <c r="C151" s="60" t="s">
        <v>9830</v>
      </c>
      <c r="D151" s="1"/>
      <c r="E151" s="68"/>
      <c r="F151" s="70"/>
      <c r="G151" s="233" t="s">
        <v>5995</v>
      </c>
      <c r="H151" s="62"/>
      <c r="I151" s="75"/>
      <c r="J151" s="61"/>
      <c r="K151" s="62"/>
      <c r="L151" s="63"/>
      <c r="M151" s="85"/>
      <c r="N151" s="64"/>
      <c r="O151" s="65"/>
      <c r="P151" s="99"/>
      <c r="Q151" s="70"/>
      <c r="R151" s="61"/>
      <c r="S151" s="62"/>
      <c r="T151" s="63"/>
      <c r="U151" s="75"/>
      <c r="V151" s="61"/>
      <c r="W151" s="62"/>
      <c r="X151" s="63"/>
      <c r="Y151" s="75"/>
      <c r="Z151" s="228">
        <f>ROUND((_15_同援日１．０*(1+_15・A早朝)),0)+_15_同援日１．０＿１．０</f>
        <v>558</v>
      </c>
      <c r="AA151" s="69"/>
    </row>
    <row r="152" spans="1:27" ht="16.5" customHeight="1" x14ac:dyDescent="0.3">
      <c r="A152" s="2">
        <v>15</v>
      </c>
      <c r="B152" s="2">
        <v>9344</v>
      </c>
      <c r="C152" s="60" t="s">
        <v>9829</v>
      </c>
      <c r="D152" s="1"/>
      <c r="E152" s="68"/>
      <c r="F152" s="70"/>
      <c r="G152" s="1" t="s">
        <v>18045</v>
      </c>
      <c r="H152" s="68"/>
      <c r="I152" s="70"/>
      <c r="J152" s="66"/>
      <c r="K152" s="57"/>
      <c r="L152" s="58"/>
      <c r="M152" s="83" t="s">
        <v>5895</v>
      </c>
      <c r="N152" s="64" t="s">
        <v>1</v>
      </c>
      <c r="O152" s="65">
        <v>1</v>
      </c>
      <c r="P152" s="99"/>
      <c r="Q152" s="70"/>
      <c r="R152" s="67"/>
      <c r="S152" s="68"/>
      <c r="T152" s="76"/>
      <c r="U152" s="70"/>
      <c r="V152" s="67"/>
      <c r="W152" s="68"/>
      <c r="X152" s="76"/>
      <c r="Y152" s="70"/>
      <c r="Z152" s="228">
        <f>ROUND((ROUND((_15_同援日１．０*_15・２人),0)*(1+_15・A早朝)),0)+ROUND((_15_同援日１．０＿１．０*_15・２人),0)</f>
        <v>558</v>
      </c>
      <c r="AA152" s="69"/>
    </row>
    <row r="153" spans="1:27" ht="16.5" customHeight="1" x14ac:dyDescent="0.3">
      <c r="A153" s="2">
        <v>15</v>
      </c>
      <c r="B153" s="2">
        <v>9345</v>
      </c>
      <c r="C153" s="60" t="s">
        <v>9828</v>
      </c>
      <c r="D153" s="1"/>
      <c r="E153" s="68"/>
      <c r="F153" s="70"/>
      <c r="G153" s="1" t="s">
        <v>8572</v>
      </c>
      <c r="H153" s="68"/>
      <c r="I153" s="70"/>
      <c r="J153" s="74" t="s">
        <v>18036</v>
      </c>
      <c r="K153" s="62"/>
      <c r="L153" s="63"/>
      <c r="M153" s="85"/>
      <c r="N153" s="64"/>
      <c r="O153" s="65"/>
      <c r="P153" s="99"/>
      <c r="Q153" s="70"/>
      <c r="R153" s="67"/>
      <c r="S153" s="68"/>
      <c r="T153" s="76"/>
      <c r="U153" s="70"/>
      <c r="V153" s="67"/>
      <c r="W153" s="68"/>
      <c r="X153" s="76"/>
      <c r="Y153" s="70"/>
      <c r="Z153" s="228">
        <f>ROUND((ROUND((_15_同援日１．０*_15・基礎２),0)*(1+_15・A早朝)),0)+ROUND((_15_同援日１．０＿１．０*_15・基礎２),0)</f>
        <v>503</v>
      </c>
      <c r="AA153" s="69"/>
    </row>
    <row r="154" spans="1:27" ht="16.5" customHeight="1" x14ac:dyDescent="0.3">
      <c r="A154" s="2">
        <v>15</v>
      </c>
      <c r="B154" s="2">
        <v>9346</v>
      </c>
      <c r="C154" s="60" t="s">
        <v>9827</v>
      </c>
      <c r="D154" s="1"/>
      <c r="E154" s="68"/>
      <c r="F154" s="70"/>
      <c r="G154" s="1"/>
      <c r="H154" s="119">
        <v>193</v>
      </c>
      <c r="I154" s="70" t="s">
        <v>0</v>
      </c>
      <c r="J154" s="106" t="s">
        <v>18035</v>
      </c>
      <c r="K154" s="57" t="s">
        <v>1</v>
      </c>
      <c r="L154" s="58">
        <v>0.9</v>
      </c>
      <c r="M154" s="83" t="s">
        <v>5895</v>
      </c>
      <c r="N154" s="64" t="s">
        <v>1</v>
      </c>
      <c r="O154" s="65">
        <v>1</v>
      </c>
      <c r="P154" s="99"/>
      <c r="Q154" s="70"/>
      <c r="R154" s="66"/>
      <c r="S154" s="57"/>
      <c r="T154" s="58"/>
      <c r="U154" s="77"/>
      <c r="V154" s="67"/>
      <c r="W154" s="68"/>
      <c r="X154" s="76"/>
      <c r="Y154" s="70"/>
      <c r="Z154" s="228">
        <f>ROUND((ROUND((ROUND((_15_同援日１．０*_15・基礎２),0)*_15・２人),0)*(1+_15・A早朝)),0)+ROUND((ROUND((_15_同援日１．０＿１．０*_15・基礎２),0)*_15・２人),0)</f>
        <v>503</v>
      </c>
      <c r="AA154" s="69"/>
    </row>
    <row r="155" spans="1:27" ht="16.5" customHeight="1" x14ac:dyDescent="0.3">
      <c r="A155" s="2">
        <v>15</v>
      </c>
      <c r="B155" s="2">
        <v>9347</v>
      </c>
      <c r="C155" s="60" t="s">
        <v>9826</v>
      </c>
      <c r="D155" s="1"/>
      <c r="E155" s="68"/>
      <c r="F155" s="70"/>
      <c r="G155" s="1"/>
      <c r="H155" s="68"/>
      <c r="I155" s="70"/>
      <c r="J155" s="61"/>
      <c r="K155" s="62"/>
      <c r="L155" s="63"/>
      <c r="M155" s="85"/>
      <c r="N155" s="64"/>
      <c r="O155" s="65"/>
      <c r="P155" s="99"/>
      <c r="Q155" s="70"/>
      <c r="R155" s="74" t="s">
        <v>18038</v>
      </c>
      <c r="S155" s="62"/>
      <c r="T155" s="63"/>
      <c r="U155" s="75"/>
      <c r="V155" s="67"/>
      <c r="W155" s="68"/>
      <c r="X155" s="76"/>
      <c r="Y155" s="70"/>
      <c r="Z155" s="228">
        <f>ROUND((ROUND((_15_同援日１．０*(1+_15・A早朝)),0)*(1+_15・盲ろう)),0)+ROUND((_15_同援日１．０＿１．０*(1+_15・盲ろう)),0)</f>
        <v>697</v>
      </c>
      <c r="AA155" s="69"/>
    </row>
    <row r="156" spans="1:27" ht="16.5" customHeight="1" x14ac:dyDescent="0.3">
      <c r="A156" s="2">
        <v>15</v>
      </c>
      <c r="B156" s="2">
        <v>9348</v>
      </c>
      <c r="C156" s="60" t="s">
        <v>9825</v>
      </c>
      <c r="D156" s="1"/>
      <c r="E156" s="68"/>
      <c r="F156" s="70"/>
      <c r="G156" s="1"/>
      <c r="H156" s="68"/>
      <c r="I156" s="70"/>
      <c r="J156" s="66"/>
      <c r="K156" s="57"/>
      <c r="L156" s="58"/>
      <c r="M156" s="83" t="s">
        <v>5895</v>
      </c>
      <c r="N156" s="64" t="s">
        <v>1</v>
      </c>
      <c r="O156" s="65">
        <v>1</v>
      </c>
      <c r="P156" s="99"/>
      <c r="Q156" s="70"/>
      <c r="R156" s="94" t="s">
        <v>8083</v>
      </c>
      <c r="S156" s="68"/>
      <c r="T156" s="76"/>
      <c r="U156" s="70"/>
      <c r="V156" s="67"/>
      <c r="W156" s="68"/>
      <c r="X156" s="76"/>
      <c r="Y156" s="70"/>
      <c r="Z156" s="228">
        <f>ROUND((ROUND((ROUND((_15_同援日１．０*_15・２人),0)*(1+_15・A早朝)),0)*(1+_15・盲ろう)),0)+ROUND((ROUND((_15_同援日１．０＿１．０*_15・２人),0)*(1+_15・盲ろう)),0)</f>
        <v>697</v>
      </c>
      <c r="AA156" s="69"/>
    </row>
    <row r="157" spans="1:27" ht="16.5" customHeight="1" x14ac:dyDescent="0.3">
      <c r="A157" s="2">
        <v>15</v>
      </c>
      <c r="B157" s="2">
        <v>9349</v>
      </c>
      <c r="C157" s="60" t="s">
        <v>9824</v>
      </c>
      <c r="D157" s="1"/>
      <c r="E157" s="68"/>
      <c r="F157" s="70"/>
      <c r="G157" s="1"/>
      <c r="H157" s="68"/>
      <c r="I157" s="70"/>
      <c r="J157" s="74" t="s">
        <v>5898</v>
      </c>
      <c r="K157" s="62"/>
      <c r="L157" s="63"/>
      <c r="M157" s="85"/>
      <c r="N157" s="64"/>
      <c r="O157" s="65"/>
      <c r="P157" s="99"/>
      <c r="Q157" s="70"/>
      <c r="R157" s="67"/>
      <c r="S157" s="68" t="s">
        <v>1</v>
      </c>
      <c r="T157" s="76">
        <v>0.25</v>
      </c>
      <c r="U157" s="70" t="s">
        <v>422</v>
      </c>
      <c r="V157" s="67"/>
      <c r="W157" s="68"/>
      <c r="X157" s="76"/>
      <c r="Y157" s="70"/>
      <c r="Z157" s="228">
        <f>ROUND((ROUND((ROUND((_15_同援日１．０*_15・基礎２),0)*(1+_15・A早朝)),0)*(1+_15・盲ろう)),0)+ROUND((ROUND((_15_同援日１．０＿１．０*_15・基礎２),0)*(1+_15・盲ろう)),0)</f>
        <v>629</v>
      </c>
      <c r="AA157" s="69"/>
    </row>
    <row r="158" spans="1:27" ht="16.5" customHeight="1" x14ac:dyDescent="0.3">
      <c r="A158" s="2">
        <v>15</v>
      </c>
      <c r="B158" s="2">
        <v>9350</v>
      </c>
      <c r="C158" s="60" t="s">
        <v>9823</v>
      </c>
      <c r="D158" s="1"/>
      <c r="E158" s="68"/>
      <c r="F158" s="70"/>
      <c r="G158" s="1"/>
      <c r="H158" s="68"/>
      <c r="I158" s="70"/>
      <c r="J158" s="106" t="s">
        <v>18035</v>
      </c>
      <c r="K158" s="57" t="s">
        <v>1</v>
      </c>
      <c r="L158" s="58">
        <v>0.9</v>
      </c>
      <c r="M158" s="83" t="s">
        <v>5895</v>
      </c>
      <c r="N158" s="64" t="s">
        <v>1</v>
      </c>
      <c r="O158" s="65">
        <v>1</v>
      </c>
      <c r="P158" s="99"/>
      <c r="Q158" s="70"/>
      <c r="R158" s="66"/>
      <c r="S158" s="57"/>
      <c r="T158" s="58"/>
      <c r="U158" s="77"/>
      <c r="V158" s="66"/>
      <c r="W158" s="57"/>
      <c r="X158" s="58"/>
      <c r="Y158" s="77"/>
      <c r="Z158" s="228">
        <f>ROUND((ROUND((ROUND((ROUND((_15_同援日１．０*_15・基礎２),0)*_15・２人),0)*(1+_15・A早朝)),0)*(1+_15・盲ろう)),0)+ROUND((ROUND((ROUND((_15_同援日１．０＿１．０*_15・基礎２),0)*_15・２人),0)*(1+_15・盲ろう)),0)</f>
        <v>629</v>
      </c>
      <c r="AA158" s="69"/>
    </row>
    <row r="159" spans="1:27" ht="16.5" customHeight="1" x14ac:dyDescent="0.3">
      <c r="A159" s="2">
        <v>15</v>
      </c>
      <c r="B159" s="2">
        <v>9351</v>
      </c>
      <c r="C159" s="60" t="s">
        <v>9822</v>
      </c>
      <c r="D159" s="1"/>
      <c r="E159" s="68"/>
      <c r="F159" s="70"/>
      <c r="G159" s="1"/>
      <c r="H159" s="68"/>
      <c r="I159" s="70"/>
      <c r="J159" s="61"/>
      <c r="K159" s="62"/>
      <c r="L159" s="63"/>
      <c r="M159" s="85"/>
      <c r="N159" s="64"/>
      <c r="O159" s="65"/>
      <c r="P159" s="99"/>
      <c r="Q159" s="70"/>
      <c r="R159" s="61"/>
      <c r="S159" s="62"/>
      <c r="T159" s="63"/>
      <c r="U159" s="75"/>
      <c r="V159" s="61"/>
      <c r="W159" s="62"/>
      <c r="X159" s="63"/>
      <c r="Y159" s="75"/>
      <c r="Z159" s="228">
        <f>ROUND((ROUND((_15_同援日１．０*(1+_15・A早朝)),0)*(1+_15・区３)),0)+ROUND((_15_同援日１．０＿１．０*(1+_15・区３)),0)</f>
        <v>670</v>
      </c>
      <c r="AA159" s="69"/>
    </row>
    <row r="160" spans="1:27" ht="16.5" customHeight="1" x14ac:dyDescent="0.3">
      <c r="A160" s="2">
        <v>15</v>
      </c>
      <c r="B160" s="2">
        <v>9352</v>
      </c>
      <c r="C160" s="60" t="s">
        <v>9821</v>
      </c>
      <c r="D160" s="1"/>
      <c r="E160" s="68"/>
      <c r="F160" s="70"/>
      <c r="G160" s="1"/>
      <c r="H160" s="68"/>
      <c r="I160" s="70"/>
      <c r="J160" s="66"/>
      <c r="K160" s="57"/>
      <c r="L160" s="58"/>
      <c r="M160" s="83" t="s">
        <v>5895</v>
      </c>
      <c r="N160" s="64" t="s">
        <v>1</v>
      </c>
      <c r="O160" s="65">
        <v>1</v>
      </c>
      <c r="P160" s="99"/>
      <c r="Q160" s="70"/>
      <c r="R160" s="67"/>
      <c r="S160" s="68"/>
      <c r="T160" s="76"/>
      <c r="U160" s="70"/>
      <c r="V160" s="67"/>
      <c r="W160" s="68"/>
      <c r="X160" s="76"/>
      <c r="Y160" s="70"/>
      <c r="Z160" s="228">
        <f>ROUND((ROUND((ROUND((_15_同援日１．０*_15・２人),0)*(1+_15・A早朝)),0)*(1+_15・区３)),0)+ROUND((ROUND((_15_同援日１．０＿１．０*_15・２人),0)*(1+_15・区３)),0)</f>
        <v>670</v>
      </c>
      <c r="AA160" s="69"/>
    </row>
    <row r="161" spans="1:27" ht="16.5" customHeight="1" x14ac:dyDescent="0.3">
      <c r="A161" s="2">
        <v>15</v>
      </c>
      <c r="B161" s="2">
        <v>9353</v>
      </c>
      <c r="C161" s="60" t="s">
        <v>9820</v>
      </c>
      <c r="D161" s="1"/>
      <c r="E161" s="68"/>
      <c r="F161" s="70"/>
      <c r="G161" s="1"/>
      <c r="H161" s="68"/>
      <c r="I161" s="70"/>
      <c r="J161" s="74" t="s">
        <v>5898</v>
      </c>
      <c r="K161" s="62"/>
      <c r="L161" s="63"/>
      <c r="M161" s="85"/>
      <c r="N161" s="64"/>
      <c r="O161" s="65"/>
      <c r="P161" s="99"/>
      <c r="Q161" s="70"/>
      <c r="R161" s="67"/>
      <c r="S161" s="68"/>
      <c r="T161" s="76"/>
      <c r="U161" s="70"/>
      <c r="V161" s="1" t="s">
        <v>8098</v>
      </c>
      <c r="W161" s="68"/>
      <c r="X161" s="76"/>
      <c r="Y161" s="70"/>
      <c r="Z161" s="228">
        <f>ROUND((ROUND((ROUND((_15_同援日１．０*_15・基礎２),0)*(1+_15・A早朝)),0)*(1+_15・区３)),0)+ROUND((ROUND((_15_同援日１．０＿１．０*_15・基礎２),0)*(1+_15・区３)),0)</f>
        <v>604</v>
      </c>
      <c r="AA161" s="69"/>
    </row>
    <row r="162" spans="1:27" ht="16.5" customHeight="1" x14ac:dyDescent="0.3">
      <c r="A162" s="2">
        <v>15</v>
      </c>
      <c r="B162" s="2">
        <v>9354</v>
      </c>
      <c r="C162" s="60" t="s">
        <v>9819</v>
      </c>
      <c r="D162" s="1"/>
      <c r="E162" s="68"/>
      <c r="F162" s="70"/>
      <c r="G162" s="1"/>
      <c r="H162" s="68"/>
      <c r="I162" s="70"/>
      <c r="J162" s="106" t="s">
        <v>18035</v>
      </c>
      <c r="K162" s="57" t="s">
        <v>1</v>
      </c>
      <c r="L162" s="58">
        <v>0.9</v>
      </c>
      <c r="M162" s="83" t="s">
        <v>5895</v>
      </c>
      <c r="N162" s="64" t="s">
        <v>1</v>
      </c>
      <c r="O162" s="65">
        <v>1</v>
      </c>
      <c r="P162" s="99"/>
      <c r="Q162" s="70"/>
      <c r="R162" s="66"/>
      <c r="S162" s="57"/>
      <c r="T162" s="58"/>
      <c r="U162" s="77"/>
      <c r="V162" s="1" t="s">
        <v>18039</v>
      </c>
      <c r="W162" s="68"/>
      <c r="X162" s="76"/>
      <c r="Y162" s="70"/>
      <c r="Z162" s="228">
        <f>ROUND((ROUND((ROUND((ROUND((_15_同援日１．０*_15・基礎２),0)*_15・２人),0)*(1+_15・A早朝)),0)*(1+_15・区３)),0)+ROUND((ROUND((ROUND((_15_同援日１．０＿１．０*_15・基礎２),0)*_15・２人),0)*(1+_15・区３)),0)</f>
        <v>604</v>
      </c>
      <c r="AA162" s="69"/>
    </row>
    <row r="163" spans="1:27" ht="16.5" customHeight="1" x14ac:dyDescent="0.3">
      <c r="A163" s="2">
        <v>15</v>
      </c>
      <c r="B163" s="2">
        <v>9355</v>
      </c>
      <c r="C163" s="60" t="s">
        <v>9818</v>
      </c>
      <c r="D163" s="1"/>
      <c r="E163" s="68"/>
      <c r="F163" s="70"/>
      <c r="G163" s="1"/>
      <c r="H163" s="68"/>
      <c r="I163" s="70"/>
      <c r="J163" s="61"/>
      <c r="K163" s="62"/>
      <c r="L163" s="63"/>
      <c r="M163" s="85"/>
      <c r="N163" s="64"/>
      <c r="O163" s="65"/>
      <c r="P163" s="99"/>
      <c r="Q163" s="70"/>
      <c r="R163" s="74" t="s">
        <v>18038</v>
      </c>
      <c r="S163" s="62"/>
      <c r="T163" s="63"/>
      <c r="U163" s="75"/>
      <c r="V163" s="67"/>
      <c r="W163" s="68" t="s">
        <v>1</v>
      </c>
      <c r="X163" s="76">
        <v>0.2</v>
      </c>
      <c r="Y163" s="70" t="s">
        <v>422</v>
      </c>
      <c r="Z163" s="228">
        <f>ROUND((ROUND((ROUND((_15_同援日１．０*(1+_15・A早朝)),0)*(1+_15・盲ろう)),0)*(1+_15・区３)),0)+ROUND((ROUND((_15_同援日１．０＿１．０*(1+_15・盲ろう)),0)*(1+_15・区３)),0)</f>
        <v>836</v>
      </c>
      <c r="AA163" s="69"/>
    </row>
    <row r="164" spans="1:27" ht="16.5" customHeight="1" x14ac:dyDescent="0.3">
      <c r="A164" s="2">
        <v>15</v>
      </c>
      <c r="B164" s="2">
        <v>9356</v>
      </c>
      <c r="C164" s="60" t="s">
        <v>9817</v>
      </c>
      <c r="D164" s="1"/>
      <c r="E164" s="68"/>
      <c r="F164" s="70"/>
      <c r="G164" s="1"/>
      <c r="H164" s="68"/>
      <c r="I164" s="70"/>
      <c r="J164" s="66"/>
      <c r="K164" s="57"/>
      <c r="L164" s="58"/>
      <c r="M164" s="83" t="s">
        <v>5895</v>
      </c>
      <c r="N164" s="64" t="s">
        <v>1</v>
      </c>
      <c r="O164" s="65">
        <v>1</v>
      </c>
      <c r="P164" s="99"/>
      <c r="Q164" s="70"/>
      <c r="R164" s="94" t="s">
        <v>18037</v>
      </c>
      <c r="S164" s="68"/>
      <c r="T164" s="76"/>
      <c r="U164" s="70"/>
      <c r="V164" s="67"/>
      <c r="W164" s="68"/>
      <c r="X164" s="76"/>
      <c r="Y164" s="70"/>
      <c r="Z164" s="228">
        <f>ROUND((ROUND((ROUND((ROUND((_15_同援日１．０*_15・２人),0)*(1+_15・A早朝)),0)*(1+_15・盲ろう)),0)*(1+_15・区３)),0)+ROUND((ROUND((ROUND((_15_同援日１．０＿１．０*_15・２人),0)*(1+_15・盲ろう)),0)*(1+_15・区３)),0)</f>
        <v>836</v>
      </c>
      <c r="AA164" s="69"/>
    </row>
    <row r="165" spans="1:27" ht="16.5" customHeight="1" x14ac:dyDescent="0.3">
      <c r="A165" s="2">
        <v>15</v>
      </c>
      <c r="B165" s="2">
        <v>9357</v>
      </c>
      <c r="C165" s="60" t="s">
        <v>9816</v>
      </c>
      <c r="D165" s="1"/>
      <c r="E165" s="68"/>
      <c r="F165" s="70"/>
      <c r="G165" s="1"/>
      <c r="H165" s="68"/>
      <c r="I165" s="70"/>
      <c r="J165" s="74" t="s">
        <v>18036</v>
      </c>
      <c r="K165" s="62"/>
      <c r="L165" s="63"/>
      <c r="M165" s="85"/>
      <c r="N165" s="64"/>
      <c r="O165" s="65"/>
      <c r="P165" s="99"/>
      <c r="Q165" s="70"/>
      <c r="R165" s="67"/>
      <c r="S165" s="68" t="s">
        <v>1</v>
      </c>
      <c r="T165" s="76">
        <v>0.25</v>
      </c>
      <c r="U165" s="70" t="s">
        <v>422</v>
      </c>
      <c r="V165" s="67"/>
      <c r="W165" s="68"/>
      <c r="X165" s="76"/>
      <c r="Y165" s="70"/>
      <c r="Z165" s="228">
        <f>ROUND((ROUND((ROUND((ROUND((_15_同援日１．０*_15・基礎２),0)*(1+_15・A早朝)),0)*(1+_15・盲ろう)),0)*(1+_15・区３)),0)+ROUND((ROUND((ROUND((_15_同援日１．０＿１．０*_15・基礎２),0)*(1+_15・盲ろう)),0)*(1+_15・区３)),0)</f>
        <v>755</v>
      </c>
      <c r="AA165" s="69"/>
    </row>
    <row r="166" spans="1:27" ht="16.5" customHeight="1" x14ac:dyDescent="0.3">
      <c r="A166" s="2">
        <v>15</v>
      </c>
      <c r="B166" s="2">
        <v>9358</v>
      </c>
      <c r="C166" s="60" t="s">
        <v>9815</v>
      </c>
      <c r="D166" s="1"/>
      <c r="E166" s="68"/>
      <c r="F166" s="70"/>
      <c r="G166" s="1"/>
      <c r="H166" s="68"/>
      <c r="I166" s="70"/>
      <c r="J166" s="106" t="s">
        <v>5896</v>
      </c>
      <c r="K166" s="57" t="s">
        <v>1</v>
      </c>
      <c r="L166" s="58">
        <v>0.9</v>
      </c>
      <c r="M166" s="83" t="s">
        <v>5895</v>
      </c>
      <c r="N166" s="64" t="s">
        <v>1</v>
      </c>
      <c r="O166" s="65">
        <v>1</v>
      </c>
      <c r="P166" s="99"/>
      <c r="Q166" s="70"/>
      <c r="R166" s="66"/>
      <c r="S166" s="57"/>
      <c r="T166" s="58"/>
      <c r="U166" s="77"/>
      <c r="V166" s="66"/>
      <c r="W166" s="57"/>
      <c r="X166" s="58"/>
      <c r="Y166" s="77"/>
      <c r="Z166" s="228">
        <f>ROUND((ROUND((ROUND((ROUND((ROUND((_15_同援日１．０*_15・基礎２),0)*_15・２人),0)*(1+_15・A早朝)),0)*(1+_15・盲ろう)),0)*(1+_15・区３)),0)+ROUND((ROUND((ROUND((ROUND((_15_同援日１．０＿１．０*_15・基礎２),0)*_15・２人),0)*(1+_15・盲ろう)),0)*(1+_15・区３)),0)</f>
        <v>755</v>
      </c>
      <c r="AA166" s="69"/>
    </row>
    <row r="167" spans="1:27" ht="16.5" customHeight="1" x14ac:dyDescent="0.3">
      <c r="A167" s="2">
        <v>15</v>
      </c>
      <c r="B167" s="2">
        <v>9359</v>
      </c>
      <c r="C167" s="60" t="s">
        <v>9814</v>
      </c>
      <c r="D167" s="1"/>
      <c r="E167" s="68"/>
      <c r="F167" s="70"/>
      <c r="G167" s="1"/>
      <c r="H167" s="68"/>
      <c r="I167" s="70"/>
      <c r="J167" s="61"/>
      <c r="K167" s="62"/>
      <c r="L167" s="63"/>
      <c r="M167" s="85"/>
      <c r="N167" s="64"/>
      <c r="O167" s="65"/>
      <c r="P167" s="99"/>
      <c r="Q167" s="70"/>
      <c r="R167" s="61"/>
      <c r="S167" s="62"/>
      <c r="T167" s="63"/>
      <c r="U167" s="75"/>
      <c r="V167" s="61"/>
      <c r="W167" s="62"/>
      <c r="X167" s="63"/>
      <c r="Y167" s="75"/>
      <c r="Z167" s="228">
        <f>ROUND((ROUND((_15_同援日１．０*(1+_15・A早朝)),0)*(1+_15・区４)),0)+ROUND((_15_同援日１．０＿１．０*(1+_15・区４)),0)</f>
        <v>781</v>
      </c>
      <c r="AA167" s="69"/>
    </row>
    <row r="168" spans="1:27" ht="16.5" customHeight="1" x14ac:dyDescent="0.3">
      <c r="A168" s="2">
        <v>15</v>
      </c>
      <c r="B168" s="2">
        <v>9360</v>
      </c>
      <c r="C168" s="60" t="s">
        <v>9813</v>
      </c>
      <c r="D168" s="1"/>
      <c r="E168" s="68"/>
      <c r="F168" s="70"/>
      <c r="G168" s="1"/>
      <c r="H168" s="68"/>
      <c r="I168" s="70"/>
      <c r="J168" s="66"/>
      <c r="K168" s="57"/>
      <c r="L168" s="58"/>
      <c r="M168" s="83" t="s">
        <v>5895</v>
      </c>
      <c r="N168" s="64" t="s">
        <v>1</v>
      </c>
      <c r="O168" s="65">
        <v>1</v>
      </c>
      <c r="P168" s="99"/>
      <c r="Q168" s="70"/>
      <c r="R168" s="67"/>
      <c r="S168" s="68"/>
      <c r="T168" s="76"/>
      <c r="U168" s="70"/>
      <c r="V168" s="67"/>
      <c r="W168" s="68"/>
      <c r="X168" s="76"/>
      <c r="Y168" s="70"/>
      <c r="Z168" s="228">
        <f>ROUND((ROUND((ROUND((_15_同援日１．０*_15・２人),0)*(1+_15・A早朝)),0)*(1+_15・区４)),0)+ROUND((ROUND((_15_同援日１．０＿１．０*_15・２人),0)*(1+_15・区４)),0)</f>
        <v>781</v>
      </c>
      <c r="AA168" s="69"/>
    </row>
    <row r="169" spans="1:27" ht="16.5" customHeight="1" x14ac:dyDescent="0.3">
      <c r="A169" s="2">
        <v>15</v>
      </c>
      <c r="B169" s="2">
        <v>9361</v>
      </c>
      <c r="C169" s="60" t="s">
        <v>9812</v>
      </c>
      <c r="D169" s="1"/>
      <c r="E169" s="68"/>
      <c r="F169" s="70"/>
      <c r="G169" s="1"/>
      <c r="H169" s="68"/>
      <c r="I169" s="70"/>
      <c r="J169" s="74" t="s">
        <v>18036</v>
      </c>
      <c r="K169" s="62"/>
      <c r="L169" s="63"/>
      <c r="M169" s="85"/>
      <c r="N169" s="64"/>
      <c r="O169" s="65"/>
      <c r="P169" s="99"/>
      <c r="Q169" s="70"/>
      <c r="R169" s="67"/>
      <c r="S169" s="68"/>
      <c r="T169" s="76"/>
      <c r="U169" s="70"/>
      <c r="V169" s="1" t="s">
        <v>8089</v>
      </c>
      <c r="W169" s="68"/>
      <c r="X169" s="76"/>
      <c r="Y169" s="70"/>
      <c r="Z169" s="228">
        <f>ROUND((ROUND((ROUND((_15_同援日１．０*_15・基礎２),0)*(1+_15・A早朝)),0)*(1+_15・区４)),0)+ROUND((ROUND((_15_同援日１．０＿１．０*_15・基礎２),0)*(1+_15・区４)),0)</f>
        <v>705</v>
      </c>
      <c r="AA169" s="69"/>
    </row>
    <row r="170" spans="1:27" ht="16.5" customHeight="1" x14ac:dyDescent="0.3">
      <c r="A170" s="2">
        <v>15</v>
      </c>
      <c r="B170" s="2">
        <v>9362</v>
      </c>
      <c r="C170" s="60" t="s">
        <v>9811</v>
      </c>
      <c r="D170" s="1"/>
      <c r="E170" s="68"/>
      <c r="F170" s="70"/>
      <c r="G170" s="1"/>
      <c r="H170" s="68"/>
      <c r="I170" s="70"/>
      <c r="J170" s="106" t="s">
        <v>18035</v>
      </c>
      <c r="K170" s="57" t="s">
        <v>1</v>
      </c>
      <c r="L170" s="58">
        <v>0.9</v>
      </c>
      <c r="M170" s="83" t="s">
        <v>5895</v>
      </c>
      <c r="N170" s="64" t="s">
        <v>1</v>
      </c>
      <c r="O170" s="65">
        <v>1</v>
      </c>
      <c r="P170" s="99"/>
      <c r="Q170" s="70"/>
      <c r="R170" s="66"/>
      <c r="S170" s="57"/>
      <c r="T170" s="58"/>
      <c r="U170" s="77"/>
      <c r="V170" s="1" t="s">
        <v>8087</v>
      </c>
      <c r="W170" s="68"/>
      <c r="X170" s="76"/>
      <c r="Y170" s="70"/>
      <c r="Z170" s="228">
        <f>ROUND((ROUND((ROUND((ROUND((_15_同援日１．０*_15・基礎２),0)*_15・２人),0)*(1+_15・A早朝)),0)*(1+_15・区４)),0)+ROUND((ROUND((ROUND((_15_同援日１．０＿１．０*_15・基礎２),0)*_15・２人),0)*(1+_15・区４)),0)</f>
        <v>705</v>
      </c>
      <c r="AA170" s="69"/>
    </row>
    <row r="171" spans="1:27" ht="16.5" customHeight="1" x14ac:dyDescent="0.3">
      <c r="A171" s="2">
        <v>15</v>
      </c>
      <c r="B171" s="2">
        <v>9363</v>
      </c>
      <c r="C171" s="60" t="s">
        <v>9810</v>
      </c>
      <c r="D171" s="1"/>
      <c r="E171" s="68"/>
      <c r="F171" s="70"/>
      <c r="G171" s="1"/>
      <c r="H171" s="68"/>
      <c r="I171" s="70"/>
      <c r="J171" s="61"/>
      <c r="K171" s="62"/>
      <c r="L171" s="63"/>
      <c r="M171" s="85"/>
      <c r="N171" s="64"/>
      <c r="O171" s="65"/>
      <c r="P171" s="99"/>
      <c r="Q171" s="70"/>
      <c r="R171" s="74" t="s">
        <v>18038</v>
      </c>
      <c r="S171" s="62"/>
      <c r="T171" s="63"/>
      <c r="U171" s="75"/>
      <c r="V171" s="67"/>
      <c r="W171" s="68" t="s">
        <v>1</v>
      </c>
      <c r="X171" s="76">
        <v>0.4</v>
      </c>
      <c r="Y171" s="70" t="s">
        <v>422</v>
      </c>
      <c r="Z171" s="228">
        <f>ROUND((ROUND((ROUND((_15_同援日１．０*(1+_15・A早朝)),0)*(1+_15・盲ろう)),0)*(1+_15・区４)),0)+ROUND((ROUND((_15_同援日１．０＿１．０*(1+_15・盲ろう)),0)*(1+_15・区４)),0)</f>
        <v>975</v>
      </c>
      <c r="AA171" s="69"/>
    </row>
    <row r="172" spans="1:27" ht="16.5" customHeight="1" x14ac:dyDescent="0.3">
      <c r="A172" s="2">
        <v>15</v>
      </c>
      <c r="B172" s="2">
        <v>9364</v>
      </c>
      <c r="C172" s="60" t="s">
        <v>9809</v>
      </c>
      <c r="D172" s="1"/>
      <c r="E172" s="68"/>
      <c r="F172" s="70"/>
      <c r="G172" s="1"/>
      <c r="H172" s="68"/>
      <c r="I172" s="70"/>
      <c r="J172" s="66"/>
      <c r="K172" s="57"/>
      <c r="L172" s="58"/>
      <c r="M172" s="83" t="s">
        <v>5895</v>
      </c>
      <c r="N172" s="64" t="s">
        <v>1</v>
      </c>
      <c r="O172" s="65">
        <v>1</v>
      </c>
      <c r="P172" s="99"/>
      <c r="Q172" s="70"/>
      <c r="R172" s="94" t="s">
        <v>18037</v>
      </c>
      <c r="S172" s="68"/>
      <c r="T172" s="76"/>
      <c r="U172" s="70"/>
      <c r="V172" s="67"/>
      <c r="W172" s="68"/>
      <c r="X172" s="76"/>
      <c r="Y172" s="70"/>
      <c r="Z172" s="228">
        <f>ROUND((ROUND((ROUND((ROUND((_15_同援日１．０*_15・２人),0)*(1+_15・A早朝)),0)*(1+_15・盲ろう)),0)*(1+_15・区４)),0)+ROUND((ROUND((ROUND((_15_同援日１．０＿１．０*_15・２人),0)*(1+_15・盲ろう)),0)*(1+_15・区４)),0)</f>
        <v>975</v>
      </c>
      <c r="AA172" s="69"/>
    </row>
    <row r="173" spans="1:27" ht="16.5" customHeight="1" x14ac:dyDescent="0.3">
      <c r="A173" s="2">
        <v>15</v>
      </c>
      <c r="B173" s="2">
        <v>9365</v>
      </c>
      <c r="C173" s="60" t="s">
        <v>9808</v>
      </c>
      <c r="D173" s="1"/>
      <c r="E173" s="68"/>
      <c r="F173" s="70"/>
      <c r="G173" s="1"/>
      <c r="H173" s="68"/>
      <c r="I173" s="70"/>
      <c r="J173" s="74" t="s">
        <v>18036</v>
      </c>
      <c r="K173" s="62"/>
      <c r="L173" s="63"/>
      <c r="M173" s="85"/>
      <c r="N173" s="64"/>
      <c r="O173" s="65"/>
      <c r="P173" s="99"/>
      <c r="Q173" s="70"/>
      <c r="R173" s="67"/>
      <c r="S173" s="68" t="s">
        <v>1</v>
      </c>
      <c r="T173" s="76">
        <v>0.25</v>
      </c>
      <c r="U173" s="70" t="s">
        <v>422</v>
      </c>
      <c r="V173" s="67"/>
      <c r="W173" s="68"/>
      <c r="X173" s="76"/>
      <c r="Y173" s="70"/>
      <c r="Z173" s="228">
        <f>ROUND((ROUND((ROUND((ROUND((_15_同援日１．０*_15・基礎２),0)*(1+_15・A早朝)),0)*(1+_15・盲ろう)),0)*(1+_15・区４)),0)+ROUND((ROUND((ROUND((_15_同援日１．０＿１．０*_15・基礎２),0)*(1+_15・盲ろう)),0)*(1+_15・区４)),0)</f>
        <v>880</v>
      </c>
      <c r="AA173" s="69"/>
    </row>
    <row r="174" spans="1:27" ht="16.5" customHeight="1" x14ac:dyDescent="0.3">
      <c r="A174" s="2">
        <v>15</v>
      </c>
      <c r="B174" s="2">
        <v>9366</v>
      </c>
      <c r="C174" s="60" t="s">
        <v>9807</v>
      </c>
      <c r="D174" s="1"/>
      <c r="E174" s="68"/>
      <c r="F174" s="70"/>
      <c r="G174" s="81"/>
      <c r="H174" s="57"/>
      <c r="I174" s="77"/>
      <c r="J174" s="106" t="s">
        <v>18035</v>
      </c>
      <c r="K174" s="57" t="s">
        <v>1</v>
      </c>
      <c r="L174" s="58">
        <v>0.9</v>
      </c>
      <c r="M174" s="83" t="s">
        <v>5895</v>
      </c>
      <c r="N174" s="64" t="s">
        <v>1</v>
      </c>
      <c r="O174" s="65">
        <v>1</v>
      </c>
      <c r="P174" s="99"/>
      <c r="Q174" s="70"/>
      <c r="R174" s="66"/>
      <c r="S174" s="57"/>
      <c r="T174" s="58"/>
      <c r="U174" s="77"/>
      <c r="V174" s="66"/>
      <c r="W174" s="57"/>
      <c r="X174" s="58"/>
      <c r="Y174" s="77"/>
      <c r="Z174" s="228">
        <f>ROUND((ROUND((ROUND((ROUND((ROUND((_15_同援日１．０*_15・基礎２),0)*_15・２人),0)*(1+_15・A早朝)),0)*(1+_15・盲ろう)),0)*(1+_15・区４)),0)+ROUND((ROUND((ROUND((ROUND((_15_同援日１．０＿１．０*_15・基礎２),0)*_15・２人),0)*(1+_15・盲ろう)),0)*(1+_15・区４)),0)</f>
        <v>880</v>
      </c>
      <c r="AA174" s="69"/>
    </row>
    <row r="175" spans="1:27" ht="16.5" customHeight="1" x14ac:dyDescent="0.3">
      <c r="A175" s="2">
        <v>15</v>
      </c>
      <c r="B175" s="2">
        <v>9367</v>
      </c>
      <c r="C175" s="60" t="s">
        <v>9806</v>
      </c>
      <c r="D175" s="1"/>
      <c r="E175" s="68"/>
      <c r="F175" s="70"/>
      <c r="G175" s="233" t="s">
        <v>5989</v>
      </c>
      <c r="H175" s="62"/>
      <c r="I175" s="75"/>
      <c r="J175" s="61"/>
      <c r="K175" s="62"/>
      <c r="L175" s="63"/>
      <c r="M175" s="85"/>
      <c r="N175" s="64"/>
      <c r="O175" s="65"/>
      <c r="P175" s="99"/>
      <c r="Q175" s="70"/>
      <c r="R175" s="61"/>
      <c r="S175" s="62"/>
      <c r="T175" s="63"/>
      <c r="U175" s="75"/>
      <c r="V175" s="61"/>
      <c r="W175" s="62"/>
      <c r="X175" s="63"/>
      <c r="Y175" s="75"/>
      <c r="Z175" s="228">
        <f>ROUND((_15_同援日１．０*(1+_15・A早朝)),0)+_15_同援日１．０＿１．５</f>
        <v>621</v>
      </c>
      <c r="AA175" s="69"/>
    </row>
    <row r="176" spans="1:27" ht="16.5" customHeight="1" x14ac:dyDescent="0.3">
      <c r="A176" s="2">
        <v>15</v>
      </c>
      <c r="B176" s="2">
        <v>9368</v>
      </c>
      <c r="C176" s="60" t="s">
        <v>9805</v>
      </c>
      <c r="D176" s="1"/>
      <c r="E176" s="68"/>
      <c r="F176" s="70"/>
      <c r="G176" s="1" t="s">
        <v>18048</v>
      </c>
      <c r="H176" s="68"/>
      <c r="I176" s="70"/>
      <c r="J176" s="66"/>
      <c r="K176" s="57"/>
      <c r="L176" s="58"/>
      <c r="M176" s="83" t="s">
        <v>5895</v>
      </c>
      <c r="N176" s="64" t="s">
        <v>1</v>
      </c>
      <c r="O176" s="65">
        <v>1</v>
      </c>
      <c r="P176" s="99"/>
      <c r="Q176" s="70"/>
      <c r="R176" s="67"/>
      <c r="S176" s="68"/>
      <c r="T176" s="76"/>
      <c r="U176" s="70"/>
      <c r="V176" s="67"/>
      <c r="W176" s="68"/>
      <c r="X176" s="76"/>
      <c r="Y176" s="70"/>
      <c r="Z176" s="228">
        <f>ROUND((ROUND((_15_同援日１．０*_15・２人),0)*(1+_15・A早朝)),0)+ROUND((_15_同援日１．０＿１．５*_15・２人),0)</f>
        <v>621</v>
      </c>
      <c r="AA176" s="69"/>
    </row>
    <row r="177" spans="1:27" ht="16.5" customHeight="1" x14ac:dyDescent="0.3">
      <c r="A177" s="2">
        <v>15</v>
      </c>
      <c r="B177" s="2">
        <v>9369</v>
      </c>
      <c r="C177" s="60" t="s">
        <v>9804</v>
      </c>
      <c r="D177" s="1"/>
      <c r="E177" s="68"/>
      <c r="F177" s="70"/>
      <c r="G177" s="1" t="s">
        <v>8767</v>
      </c>
      <c r="H177" s="68"/>
      <c r="I177" s="70"/>
      <c r="J177" s="74" t="s">
        <v>18036</v>
      </c>
      <c r="K177" s="62"/>
      <c r="L177" s="63"/>
      <c r="M177" s="85"/>
      <c r="N177" s="64"/>
      <c r="O177" s="65"/>
      <c r="P177" s="99"/>
      <c r="Q177" s="70"/>
      <c r="R177" s="67"/>
      <c r="S177" s="68"/>
      <c r="T177" s="76"/>
      <c r="U177" s="70"/>
      <c r="V177" s="67"/>
      <c r="W177" s="68"/>
      <c r="X177" s="76"/>
      <c r="Y177" s="70"/>
      <c r="Z177" s="228">
        <f>ROUND((ROUND((_15_同援日１．０*_15・基礎２),0)*(1+_15・A早朝)),0)+ROUND((_15_同援日１．０＿１．５*_15・基礎２),0)</f>
        <v>559</v>
      </c>
      <c r="AA177" s="69"/>
    </row>
    <row r="178" spans="1:27" ht="16.5" customHeight="1" x14ac:dyDescent="0.3">
      <c r="A178" s="2">
        <v>15</v>
      </c>
      <c r="B178" s="2">
        <v>9370</v>
      </c>
      <c r="C178" s="60" t="s">
        <v>9803</v>
      </c>
      <c r="D178" s="1"/>
      <c r="E178" s="68"/>
      <c r="F178" s="70"/>
      <c r="G178" s="1"/>
      <c r="H178" s="119">
        <v>256</v>
      </c>
      <c r="I178" s="70" t="s">
        <v>0</v>
      </c>
      <c r="J178" s="106" t="s">
        <v>18035</v>
      </c>
      <c r="K178" s="57" t="s">
        <v>1</v>
      </c>
      <c r="L178" s="58">
        <v>0.9</v>
      </c>
      <c r="M178" s="83" t="s">
        <v>5895</v>
      </c>
      <c r="N178" s="64" t="s">
        <v>1</v>
      </c>
      <c r="O178" s="65">
        <v>1</v>
      </c>
      <c r="P178" s="99"/>
      <c r="Q178" s="70"/>
      <c r="R178" s="66"/>
      <c r="S178" s="57"/>
      <c r="T178" s="58"/>
      <c r="U178" s="77"/>
      <c r="V178" s="67"/>
      <c r="W178" s="68"/>
      <c r="X178" s="76"/>
      <c r="Y178" s="70"/>
      <c r="Z178" s="228">
        <f>ROUND((ROUND((ROUND((_15_同援日１．０*_15・基礎２),0)*_15・２人),0)*(1+_15・A早朝)),0)+ROUND((ROUND((_15_同援日１．０＿１．５*_15・基礎２),0)*_15・２人),0)</f>
        <v>559</v>
      </c>
      <c r="AA178" s="69"/>
    </row>
    <row r="179" spans="1:27" ht="16.5" customHeight="1" x14ac:dyDescent="0.3">
      <c r="A179" s="2">
        <v>15</v>
      </c>
      <c r="B179" s="2">
        <v>9371</v>
      </c>
      <c r="C179" s="60" t="s">
        <v>9802</v>
      </c>
      <c r="D179" s="1"/>
      <c r="E179" s="68"/>
      <c r="F179" s="70"/>
      <c r="G179" s="1"/>
      <c r="H179" s="68"/>
      <c r="I179" s="70"/>
      <c r="J179" s="61"/>
      <c r="K179" s="62"/>
      <c r="L179" s="63"/>
      <c r="M179" s="85"/>
      <c r="N179" s="64"/>
      <c r="O179" s="65"/>
      <c r="P179" s="99"/>
      <c r="Q179" s="70"/>
      <c r="R179" s="74" t="s">
        <v>18038</v>
      </c>
      <c r="S179" s="62"/>
      <c r="T179" s="63"/>
      <c r="U179" s="75"/>
      <c r="V179" s="67"/>
      <c r="W179" s="68"/>
      <c r="X179" s="76"/>
      <c r="Y179" s="70"/>
      <c r="Z179" s="228">
        <f>ROUND((ROUND((_15_同援日１．０*(1+_15・A早朝)),0)*(1+_15・盲ろう)),0)+ROUND((_15_同援日１．０＿１．５*(1+_15・盲ろう)),0)</f>
        <v>776</v>
      </c>
      <c r="AA179" s="69"/>
    </row>
    <row r="180" spans="1:27" ht="16.5" customHeight="1" x14ac:dyDescent="0.3">
      <c r="A180" s="2">
        <v>15</v>
      </c>
      <c r="B180" s="2">
        <v>9372</v>
      </c>
      <c r="C180" s="60" t="s">
        <v>9801</v>
      </c>
      <c r="D180" s="1"/>
      <c r="E180" s="68"/>
      <c r="F180" s="70"/>
      <c r="G180" s="1"/>
      <c r="H180" s="68"/>
      <c r="I180" s="70"/>
      <c r="J180" s="66"/>
      <c r="K180" s="57"/>
      <c r="L180" s="58"/>
      <c r="M180" s="83" t="s">
        <v>5895</v>
      </c>
      <c r="N180" s="64" t="s">
        <v>1</v>
      </c>
      <c r="O180" s="65">
        <v>1</v>
      </c>
      <c r="P180" s="99"/>
      <c r="Q180" s="70"/>
      <c r="R180" s="94" t="s">
        <v>18037</v>
      </c>
      <c r="S180" s="68"/>
      <c r="T180" s="76"/>
      <c r="U180" s="70"/>
      <c r="V180" s="67"/>
      <c r="W180" s="68"/>
      <c r="X180" s="76"/>
      <c r="Y180" s="70"/>
      <c r="Z180" s="228">
        <f>ROUND((ROUND((ROUND((_15_同援日１．０*_15・２人),0)*(1+_15・A早朝)),0)*(1+_15・盲ろう)),0)+ROUND((ROUND((_15_同援日１．０＿１．５*_15・２人),0)*(1+_15・盲ろう)),0)</f>
        <v>776</v>
      </c>
      <c r="AA180" s="69"/>
    </row>
    <row r="181" spans="1:27" ht="16.5" customHeight="1" x14ac:dyDescent="0.3">
      <c r="A181" s="2">
        <v>15</v>
      </c>
      <c r="B181" s="2">
        <v>9373</v>
      </c>
      <c r="C181" s="60" t="s">
        <v>9800</v>
      </c>
      <c r="D181" s="1"/>
      <c r="E181" s="68"/>
      <c r="F181" s="70"/>
      <c r="G181" s="1"/>
      <c r="H181" s="68"/>
      <c r="I181" s="70"/>
      <c r="J181" s="74" t="s">
        <v>18036</v>
      </c>
      <c r="K181" s="62"/>
      <c r="L181" s="63"/>
      <c r="M181" s="85"/>
      <c r="N181" s="64"/>
      <c r="O181" s="65"/>
      <c r="P181" s="99"/>
      <c r="Q181" s="70"/>
      <c r="R181" s="67"/>
      <c r="S181" s="68" t="s">
        <v>1</v>
      </c>
      <c r="T181" s="76">
        <v>0.25</v>
      </c>
      <c r="U181" s="70" t="s">
        <v>422</v>
      </c>
      <c r="V181" s="67"/>
      <c r="W181" s="68"/>
      <c r="X181" s="76"/>
      <c r="Y181" s="70"/>
      <c r="Z181" s="228">
        <f>ROUND((ROUND((ROUND((_15_同援日１．０*_15・基礎２),0)*(1+_15・A早朝)),0)*(1+_15・盲ろう)),0)+ROUND((ROUND((_15_同援日１．０＿１．５*_15・基礎２),0)*(1+_15・盲ろう)),0)</f>
        <v>699</v>
      </c>
      <c r="AA181" s="69"/>
    </row>
    <row r="182" spans="1:27" ht="16.5" customHeight="1" x14ac:dyDescent="0.3">
      <c r="A182" s="2">
        <v>15</v>
      </c>
      <c r="B182" s="2">
        <v>9374</v>
      </c>
      <c r="C182" s="60" t="s">
        <v>9799</v>
      </c>
      <c r="D182" s="1"/>
      <c r="E182" s="68"/>
      <c r="F182" s="70"/>
      <c r="G182" s="1"/>
      <c r="H182" s="68"/>
      <c r="I182" s="70"/>
      <c r="J182" s="106" t="s">
        <v>18035</v>
      </c>
      <c r="K182" s="57" t="s">
        <v>1</v>
      </c>
      <c r="L182" s="58">
        <v>0.9</v>
      </c>
      <c r="M182" s="83" t="s">
        <v>5895</v>
      </c>
      <c r="N182" s="64" t="s">
        <v>1</v>
      </c>
      <c r="O182" s="65">
        <v>1</v>
      </c>
      <c r="P182" s="99"/>
      <c r="Q182" s="70"/>
      <c r="R182" s="66"/>
      <c r="S182" s="57"/>
      <c r="T182" s="58"/>
      <c r="U182" s="77"/>
      <c r="V182" s="66"/>
      <c r="W182" s="57"/>
      <c r="X182" s="58"/>
      <c r="Y182" s="77"/>
      <c r="Z182" s="228">
        <f>ROUND((ROUND((ROUND((ROUND((_15_同援日１．０*_15・基礎２),0)*_15・２人),0)*(1+_15・A早朝)),0)*(1+_15・盲ろう)),0)+ROUND((ROUND((ROUND((_15_同援日１．０＿１．５*_15・基礎２),0)*_15・２人),0)*(1+_15・盲ろう)),0)</f>
        <v>699</v>
      </c>
      <c r="AA182" s="69"/>
    </row>
    <row r="183" spans="1:27" ht="16.5" customHeight="1" x14ac:dyDescent="0.3">
      <c r="A183" s="2">
        <v>15</v>
      </c>
      <c r="B183" s="2">
        <v>9375</v>
      </c>
      <c r="C183" s="60" t="s">
        <v>9798</v>
      </c>
      <c r="D183" s="1"/>
      <c r="E183" s="68"/>
      <c r="F183" s="70"/>
      <c r="G183" s="1"/>
      <c r="H183" s="68"/>
      <c r="I183" s="70"/>
      <c r="J183" s="61"/>
      <c r="K183" s="62"/>
      <c r="L183" s="63"/>
      <c r="M183" s="85"/>
      <c r="N183" s="64"/>
      <c r="O183" s="65"/>
      <c r="P183" s="99"/>
      <c r="Q183" s="70"/>
      <c r="R183" s="61"/>
      <c r="S183" s="62"/>
      <c r="T183" s="63"/>
      <c r="U183" s="75"/>
      <c r="V183" s="61"/>
      <c r="W183" s="62"/>
      <c r="X183" s="63"/>
      <c r="Y183" s="75"/>
      <c r="Z183" s="228">
        <f>ROUND((ROUND((_15_同援日１．０*(1+_15・A早朝)),0)*(1+_15・区３)),0)+ROUND((_15_同援日１．０＿１．５*(1+_15・区３)),0)</f>
        <v>745</v>
      </c>
      <c r="AA183" s="69"/>
    </row>
    <row r="184" spans="1:27" ht="16.5" customHeight="1" x14ac:dyDescent="0.3">
      <c r="A184" s="2">
        <v>15</v>
      </c>
      <c r="B184" s="2">
        <v>9376</v>
      </c>
      <c r="C184" s="60" t="s">
        <v>9797</v>
      </c>
      <c r="D184" s="1"/>
      <c r="E184" s="68"/>
      <c r="F184" s="70"/>
      <c r="G184" s="1"/>
      <c r="H184" s="68"/>
      <c r="I184" s="70"/>
      <c r="J184" s="66"/>
      <c r="K184" s="57"/>
      <c r="L184" s="58"/>
      <c r="M184" s="83" t="s">
        <v>5895</v>
      </c>
      <c r="N184" s="64" t="s">
        <v>1</v>
      </c>
      <c r="O184" s="65">
        <v>1</v>
      </c>
      <c r="P184" s="99"/>
      <c r="Q184" s="70"/>
      <c r="R184" s="67"/>
      <c r="S184" s="68"/>
      <c r="T184" s="76"/>
      <c r="U184" s="70"/>
      <c r="V184" s="67"/>
      <c r="W184" s="68"/>
      <c r="X184" s="76"/>
      <c r="Y184" s="70"/>
      <c r="Z184" s="228">
        <f>ROUND((ROUND((ROUND((_15_同援日１．０*_15・２人),0)*(1+_15・A早朝)),0)*(1+_15・区３)),0)+ROUND((ROUND((_15_同援日１．０＿１．５*_15・２人),0)*(1+_15・区３)),0)</f>
        <v>745</v>
      </c>
      <c r="AA184" s="69"/>
    </row>
    <row r="185" spans="1:27" ht="16.5" customHeight="1" x14ac:dyDescent="0.3">
      <c r="A185" s="2">
        <v>15</v>
      </c>
      <c r="B185" s="2">
        <v>9377</v>
      </c>
      <c r="C185" s="60" t="s">
        <v>9796</v>
      </c>
      <c r="D185" s="1"/>
      <c r="E185" s="68"/>
      <c r="F185" s="70"/>
      <c r="G185" s="1"/>
      <c r="H185" s="68"/>
      <c r="I185" s="70"/>
      <c r="J185" s="74" t="s">
        <v>5898</v>
      </c>
      <c r="K185" s="62"/>
      <c r="L185" s="63"/>
      <c r="M185" s="85"/>
      <c r="N185" s="64"/>
      <c r="O185" s="65"/>
      <c r="P185" s="99"/>
      <c r="Q185" s="70"/>
      <c r="R185" s="67"/>
      <c r="S185" s="68"/>
      <c r="T185" s="76"/>
      <c r="U185" s="70"/>
      <c r="V185" s="1" t="s">
        <v>18041</v>
      </c>
      <c r="W185" s="68"/>
      <c r="X185" s="76"/>
      <c r="Y185" s="70"/>
      <c r="Z185" s="228">
        <f>ROUND((ROUND((ROUND((_15_同援日１．０*_15・基礎２),0)*(1+_15・A早朝)),0)*(1+_15・区３)),0)+ROUND((ROUND((_15_同援日１．０＿１．５*_15・基礎２),0)*(1+_15・区３)),0)</f>
        <v>671</v>
      </c>
      <c r="AA185" s="69"/>
    </row>
    <row r="186" spans="1:27" ht="16.5" customHeight="1" x14ac:dyDescent="0.3">
      <c r="A186" s="2">
        <v>15</v>
      </c>
      <c r="B186" s="2">
        <v>9378</v>
      </c>
      <c r="C186" s="60" t="s">
        <v>9795</v>
      </c>
      <c r="D186" s="1"/>
      <c r="E186" s="68"/>
      <c r="F186" s="70"/>
      <c r="G186" s="1"/>
      <c r="H186" s="68"/>
      <c r="I186" s="70"/>
      <c r="J186" s="106" t="s">
        <v>18035</v>
      </c>
      <c r="K186" s="57" t="s">
        <v>1</v>
      </c>
      <c r="L186" s="58">
        <v>0.9</v>
      </c>
      <c r="M186" s="83" t="s">
        <v>5895</v>
      </c>
      <c r="N186" s="64" t="s">
        <v>1</v>
      </c>
      <c r="O186" s="65">
        <v>1</v>
      </c>
      <c r="P186" s="99"/>
      <c r="Q186" s="70"/>
      <c r="R186" s="66"/>
      <c r="S186" s="57"/>
      <c r="T186" s="58"/>
      <c r="U186" s="77"/>
      <c r="V186" s="1" t="s">
        <v>8087</v>
      </c>
      <c r="W186" s="68"/>
      <c r="X186" s="76"/>
      <c r="Y186" s="70"/>
      <c r="Z186" s="228">
        <f>ROUND((ROUND((ROUND((ROUND((_15_同援日１．０*_15・基礎２),0)*_15・２人),0)*(1+_15・A早朝)),0)*(1+_15・区３)),0)+ROUND((ROUND((ROUND((_15_同援日１．０＿１．５*_15・基礎２),0)*_15・２人),0)*(1+_15・区３)),0)</f>
        <v>671</v>
      </c>
      <c r="AA186" s="69"/>
    </row>
    <row r="187" spans="1:27" ht="16.5" customHeight="1" x14ac:dyDescent="0.3">
      <c r="A187" s="2">
        <v>15</v>
      </c>
      <c r="B187" s="2">
        <v>9379</v>
      </c>
      <c r="C187" s="60" t="s">
        <v>9794</v>
      </c>
      <c r="D187" s="1"/>
      <c r="E187" s="68"/>
      <c r="F187" s="70"/>
      <c r="G187" s="1"/>
      <c r="H187" s="68"/>
      <c r="I187" s="70"/>
      <c r="J187" s="61"/>
      <c r="K187" s="62"/>
      <c r="L187" s="63"/>
      <c r="M187" s="85"/>
      <c r="N187" s="64"/>
      <c r="O187" s="65"/>
      <c r="P187" s="99"/>
      <c r="Q187" s="70"/>
      <c r="R187" s="74" t="s">
        <v>18038</v>
      </c>
      <c r="S187" s="62"/>
      <c r="T187" s="63"/>
      <c r="U187" s="75"/>
      <c r="V187" s="67"/>
      <c r="W187" s="68" t="s">
        <v>1</v>
      </c>
      <c r="X187" s="76">
        <v>0.2</v>
      </c>
      <c r="Y187" s="70" t="s">
        <v>422</v>
      </c>
      <c r="Z187" s="228">
        <f>ROUND((ROUND((ROUND((_15_同援日１．０*(1+_15・A早朝)),0)*(1+_15・盲ろう)),0)*(1+_15・区３)),0)+ROUND((ROUND((_15_同援日１．０＿１．５*(1+_15・盲ろう)),0)*(1+_15・区３)),0)</f>
        <v>931</v>
      </c>
      <c r="AA187" s="69"/>
    </row>
    <row r="188" spans="1:27" ht="16.5" customHeight="1" x14ac:dyDescent="0.3">
      <c r="A188" s="2">
        <v>15</v>
      </c>
      <c r="B188" s="2">
        <v>9380</v>
      </c>
      <c r="C188" s="60" t="s">
        <v>9793</v>
      </c>
      <c r="D188" s="1"/>
      <c r="E188" s="68"/>
      <c r="F188" s="70"/>
      <c r="G188" s="1"/>
      <c r="H188" s="68"/>
      <c r="I188" s="70"/>
      <c r="J188" s="66"/>
      <c r="K188" s="57"/>
      <c r="L188" s="58"/>
      <c r="M188" s="83" t="s">
        <v>5895</v>
      </c>
      <c r="N188" s="64" t="s">
        <v>1</v>
      </c>
      <c r="O188" s="65">
        <v>1</v>
      </c>
      <c r="P188" s="99"/>
      <c r="Q188" s="70"/>
      <c r="R188" s="94" t="s">
        <v>18037</v>
      </c>
      <c r="S188" s="68"/>
      <c r="T188" s="76"/>
      <c r="U188" s="70"/>
      <c r="V188" s="67"/>
      <c r="W188" s="68"/>
      <c r="X188" s="76"/>
      <c r="Y188" s="70"/>
      <c r="Z188" s="228">
        <f>ROUND((ROUND((ROUND((ROUND((_15_同援日１．０*_15・２人),0)*(1+_15・A早朝)),0)*(1+_15・盲ろう)),0)*(1+_15・区３)),0)+ROUND((ROUND((ROUND((_15_同援日１．０＿１．５*_15・２人),0)*(1+_15・盲ろう)),0)*(1+_15・区３)),0)</f>
        <v>931</v>
      </c>
      <c r="AA188" s="69"/>
    </row>
    <row r="189" spans="1:27" ht="16.5" customHeight="1" x14ac:dyDescent="0.3">
      <c r="A189" s="2">
        <v>15</v>
      </c>
      <c r="B189" s="2">
        <v>9381</v>
      </c>
      <c r="C189" s="60" t="s">
        <v>9792</v>
      </c>
      <c r="D189" s="1"/>
      <c r="E189" s="68"/>
      <c r="F189" s="70"/>
      <c r="G189" s="1"/>
      <c r="H189" s="68"/>
      <c r="I189" s="70"/>
      <c r="J189" s="74" t="s">
        <v>18036</v>
      </c>
      <c r="K189" s="62"/>
      <c r="L189" s="63"/>
      <c r="M189" s="85"/>
      <c r="N189" s="64"/>
      <c r="O189" s="65"/>
      <c r="P189" s="99"/>
      <c r="Q189" s="70"/>
      <c r="R189" s="67"/>
      <c r="S189" s="68" t="s">
        <v>1</v>
      </c>
      <c r="T189" s="76">
        <v>0.25</v>
      </c>
      <c r="U189" s="70" t="s">
        <v>422</v>
      </c>
      <c r="V189" s="67"/>
      <c r="W189" s="68"/>
      <c r="X189" s="76"/>
      <c r="Y189" s="70"/>
      <c r="Z189" s="228">
        <f>ROUND((ROUND((ROUND((ROUND((_15_同援日１．０*_15・基礎２),0)*(1+_15・A早朝)),0)*(1+_15・盲ろう)),0)*(1+_15・区３)),0)+ROUND((ROUND((ROUND((_15_同援日１．０＿１．５*_15・基礎２),0)*(1+_15・盲ろう)),0)*(1+_15・区３)),0)</f>
        <v>839</v>
      </c>
      <c r="AA189" s="69"/>
    </row>
    <row r="190" spans="1:27" ht="16.5" customHeight="1" x14ac:dyDescent="0.3">
      <c r="A190" s="2">
        <v>15</v>
      </c>
      <c r="B190" s="2">
        <v>9382</v>
      </c>
      <c r="C190" s="60" t="s">
        <v>9791</v>
      </c>
      <c r="D190" s="1"/>
      <c r="E190" s="68"/>
      <c r="F190" s="70"/>
      <c r="G190" s="1"/>
      <c r="H190" s="68"/>
      <c r="I190" s="70"/>
      <c r="J190" s="106" t="s">
        <v>18035</v>
      </c>
      <c r="K190" s="57" t="s">
        <v>1</v>
      </c>
      <c r="L190" s="58">
        <v>0.9</v>
      </c>
      <c r="M190" s="83" t="s">
        <v>5895</v>
      </c>
      <c r="N190" s="64" t="s">
        <v>1</v>
      </c>
      <c r="O190" s="65">
        <v>1</v>
      </c>
      <c r="P190" s="99"/>
      <c r="Q190" s="70"/>
      <c r="R190" s="66"/>
      <c r="S190" s="57"/>
      <c r="T190" s="58"/>
      <c r="U190" s="77"/>
      <c r="V190" s="66"/>
      <c r="W190" s="57"/>
      <c r="X190" s="58"/>
      <c r="Y190" s="77"/>
      <c r="Z190" s="228">
        <f>ROUND((ROUND((ROUND((ROUND((ROUND((_15_同援日１．０*_15・基礎２),0)*_15・２人),0)*(1+_15・A早朝)),0)*(1+_15・盲ろう)),0)*(1+_15・区３)),0)+ROUND((ROUND((ROUND((ROUND((_15_同援日１．０＿１．５*_15・基礎２),0)*_15・２人),0)*(1+_15・盲ろう)),0)*(1+_15・区３)),0)</f>
        <v>839</v>
      </c>
      <c r="AA190" s="69"/>
    </row>
    <row r="191" spans="1:27" ht="16.5" customHeight="1" x14ac:dyDescent="0.3">
      <c r="A191" s="2">
        <v>15</v>
      </c>
      <c r="B191" s="2">
        <v>9383</v>
      </c>
      <c r="C191" s="60" t="s">
        <v>9790</v>
      </c>
      <c r="D191" s="1"/>
      <c r="E191" s="68"/>
      <c r="F191" s="70"/>
      <c r="G191" s="1"/>
      <c r="H191" s="68"/>
      <c r="I191" s="70"/>
      <c r="J191" s="61"/>
      <c r="K191" s="62"/>
      <c r="L191" s="63"/>
      <c r="M191" s="85"/>
      <c r="N191" s="64"/>
      <c r="O191" s="65"/>
      <c r="P191" s="99"/>
      <c r="Q191" s="70"/>
      <c r="R191" s="61"/>
      <c r="S191" s="62"/>
      <c r="T191" s="63"/>
      <c r="U191" s="75"/>
      <c r="V191" s="61"/>
      <c r="W191" s="62"/>
      <c r="X191" s="63"/>
      <c r="Y191" s="75"/>
      <c r="Z191" s="228">
        <f>ROUND((ROUND((_15_同援日１．０*(1+_15・A早朝)),0)*(1+_15・区４)),0)+ROUND((_15_同援日１．０＿１．５*(1+_15・区４)),0)</f>
        <v>869</v>
      </c>
      <c r="AA191" s="69"/>
    </row>
    <row r="192" spans="1:27" ht="16.5" customHeight="1" x14ac:dyDescent="0.3">
      <c r="A192" s="2">
        <v>15</v>
      </c>
      <c r="B192" s="2">
        <v>9384</v>
      </c>
      <c r="C192" s="60" t="s">
        <v>9789</v>
      </c>
      <c r="D192" s="1"/>
      <c r="E192" s="68"/>
      <c r="F192" s="70"/>
      <c r="G192" s="1"/>
      <c r="H192" s="68"/>
      <c r="I192" s="70"/>
      <c r="J192" s="66"/>
      <c r="K192" s="57"/>
      <c r="L192" s="58"/>
      <c r="M192" s="83" t="s">
        <v>5895</v>
      </c>
      <c r="N192" s="64" t="s">
        <v>1</v>
      </c>
      <c r="O192" s="65">
        <v>1</v>
      </c>
      <c r="P192" s="99"/>
      <c r="Q192" s="70"/>
      <c r="R192" s="67"/>
      <c r="S192" s="68"/>
      <c r="T192" s="76"/>
      <c r="U192" s="70"/>
      <c r="V192" s="67"/>
      <c r="W192" s="68"/>
      <c r="X192" s="76"/>
      <c r="Y192" s="70"/>
      <c r="Z192" s="228">
        <f>ROUND((ROUND((ROUND((_15_同援日１．０*_15・２人),0)*(1+_15・A早朝)),0)*(1+_15・区４)),0)+ROUND((ROUND((_15_同援日１．０＿１．５*_15・２人),0)*(1+_15・区４)),0)</f>
        <v>869</v>
      </c>
      <c r="AA192" s="69"/>
    </row>
    <row r="193" spans="1:27" ht="16.5" customHeight="1" x14ac:dyDescent="0.3">
      <c r="A193" s="2">
        <v>15</v>
      </c>
      <c r="B193" s="2">
        <v>9385</v>
      </c>
      <c r="C193" s="60" t="s">
        <v>9788</v>
      </c>
      <c r="D193" s="1"/>
      <c r="E193" s="68"/>
      <c r="F193" s="70"/>
      <c r="G193" s="1"/>
      <c r="H193" s="68"/>
      <c r="I193" s="70"/>
      <c r="J193" s="74" t="s">
        <v>18036</v>
      </c>
      <c r="K193" s="62"/>
      <c r="L193" s="63"/>
      <c r="M193" s="85"/>
      <c r="N193" s="64"/>
      <c r="O193" s="65"/>
      <c r="P193" s="99"/>
      <c r="Q193" s="70"/>
      <c r="R193" s="67"/>
      <c r="S193" s="68"/>
      <c r="T193" s="76"/>
      <c r="U193" s="70"/>
      <c r="V193" s="1" t="s">
        <v>18040</v>
      </c>
      <c r="W193" s="68"/>
      <c r="X193" s="76"/>
      <c r="Y193" s="70"/>
      <c r="Z193" s="228">
        <f>ROUND((ROUND((ROUND((_15_同援日１．０*_15・基礎２),0)*(1+_15・A早朝)),0)*(1+_15・区４)),0)+ROUND((ROUND((_15_同援日１．０＿１．５*_15・基礎２),0)*(1+_15・区４)),0)</f>
        <v>783</v>
      </c>
      <c r="AA193" s="69"/>
    </row>
    <row r="194" spans="1:27" ht="16.5" customHeight="1" x14ac:dyDescent="0.3">
      <c r="A194" s="2">
        <v>15</v>
      </c>
      <c r="B194" s="2">
        <v>9386</v>
      </c>
      <c r="C194" s="60" t="s">
        <v>9787</v>
      </c>
      <c r="D194" s="1"/>
      <c r="E194" s="68"/>
      <c r="F194" s="70"/>
      <c r="G194" s="1"/>
      <c r="H194" s="68"/>
      <c r="I194" s="70"/>
      <c r="J194" s="106" t="s">
        <v>5896</v>
      </c>
      <c r="K194" s="57" t="s">
        <v>1</v>
      </c>
      <c r="L194" s="58">
        <v>0.9</v>
      </c>
      <c r="M194" s="83" t="s">
        <v>5895</v>
      </c>
      <c r="N194" s="64" t="s">
        <v>1</v>
      </c>
      <c r="O194" s="65">
        <v>1</v>
      </c>
      <c r="P194" s="99"/>
      <c r="Q194" s="70"/>
      <c r="R194" s="66"/>
      <c r="S194" s="57"/>
      <c r="T194" s="58"/>
      <c r="U194" s="77"/>
      <c r="V194" s="1" t="s">
        <v>18039</v>
      </c>
      <c r="W194" s="68"/>
      <c r="X194" s="76"/>
      <c r="Y194" s="70"/>
      <c r="Z194" s="228">
        <f>ROUND((ROUND((ROUND((ROUND((_15_同援日１．０*_15・基礎２),0)*_15・２人),0)*(1+_15・A早朝)),0)*(1+_15・区４)),0)+ROUND((ROUND((ROUND((_15_同援日１．０＿１．５*_15・基礎２),0)*_15・２人),0)*(1+_15・区４)),0)</f>
        <v>783</v>
      </c>
      <c r="AA194" s="69"/>
    </row>
    <row r="195" spans="1:27" ht="16.5" customHeight="1" x14ac:dyDescent="0.3">
      <c r="A195" s="2">
        <v>15</v>
      </c>
      <c r="B195" s="2">
        <v>9387</v>
      </c>
      <c r="C195" s="60" t="s">
        <v>9786</v>
      </c>
      <c r="D195" s="1"/>
      <c r="E195" s="68"/>
      <c r="F195" s="70"/>
      <c r="G195" s="1"/>
      <c r="H195" s="68"/>
      <c r="I195" s="70"/>
      <c r="J195" s="61"/>
      <c r="K195" s="62"/>
      <c r="L195" s="63"/>
      <c r="M195" s="85"/>
      <c r="N195" s="64"/>
      <c r="O195" s="65"/>
      <c r="P195" s="99"/>
      <c r="Q195" s="70"/>
      <c r="R195" s="74" t="s">
        <v>18038</v>
      </c>
      <c r="S195" s="62"/>
      <c r="T195" s="63"/>
      <c r="U195" s="75"/>
      <c r="V195" s="67"/>
      <c r="W195" s="68" t="s">
        <v>1</v>
      </c>
      <c r="X195" s="76">
        <v>0.4</v>
      </c>
      <c r="Y195" s="70" t="s">
        <v>422</v>
      </c>
      <c r="Z195" s="228">
        <f>ROUND((ROUND((ROUND((_15_同援日１．０*(1+_15・A早朝)),0)*(1+_15・盲ろう)),0)*(1+_15・区４)),0)+ROUND((ROUND((_15_同援日１．０＿１．５*(1+_15・盲ろう)),0)*(1+_15・区４)),0)</f>
        <v>1086</v>
      </c>
      <c r="AA195" s="69"/>
    </row>
    <row r="196" spans="1:27" ht="16.5" customHeight="1" x14ac:dyDescent="0.3">
      <c r="A196" s="2">
        <v>15</v>
      </c>
      <c r="B196" s="2">
        <v>9388</v>
      </c>
      <c r="C196" s="60" t="s">
        <v>9785</v>
      </c>
      <c r="D196" s="1"/>
      <c r="E196" s="68"/>
      <c r="F196" s="70"/>
      <c r="G196" s="1"/>
      <c r="H196" s="68"/>
      <c r="I196" s="70"/>
      <c r="J196" s="66"/>
      <c r="K196" s="57"/>
      <c r="L196" s="58"/>
      <c r="M196" s="83" t="s">
        <v>5895</v>
      </c>
      <c r="N196" s="64" t="s">
        <v>1</v>
      </c>
      <c r="O196" s="65">
        <v>1</v>
      </c>
      <c r="P196" s="99"/>
      <c r="Q196" s="70"/>
      <c r="R196" s="94" t="s">
        <v>18037</v>
      </c>
      <c r="S196" s="68"/>
      <c r="T196" s="76"/>
      <c r="U196" s="70"/>
      <c r="V196" s="67"/>
      <c r="W196" s="68"/>
      <c r="X196" s="76"/>
      <c r="Y196" s="70"/>
      <c r="Z196" s="228">
        <f>ROUND((ROUND((ROUND((ROUND((_15_同援日１．０*_15・２人),0)*(1+_15・A早朝)),0)*(1+_15・盲ろう)),0)*(1+_15・区４)),0)+ROUND((ROUND((ROUND((_15_同援日１．０＿１．５*_15・２人),0)*(1+_15・盲ろう)),0)*(1+_15・区４)),0)</f>
        <v>1086</v>
      </c>
      <c r="AA196" s="69"/>
    </row>
    <row r="197" spans="1:27" ht="16.5" customHeight="1" x14ac:dyDescent="0.3">
      <c r="A197" s="2">
        <v>15</v>
      </c>
      <c r="B197" s="2">
        <v>9389</v>
      </c>
      <c r="C197" s="60" t="s">
        <v>9784</v>
      </c>
      <c r="D197" s="1"/>
      <c r="E197" s="68"/>
      <c r="F197" s="70"/>
      <c r="G197" s="1"/>
      <c r="H197" s="68"/>
      <c r="I197" s="70"/>
      <c r="J197" s="74" t="s">
        <v>5898</v>
      </c>
      <c r="K197" s="62"/>
      <c r="L197" s="63"/>
      <c r="M197" s="85"/>
      <c r="N197" s="64"/>
      <c r="O197" s="65"/>
      <c r="P197" s="99"/>
      <c r="Q197" s="70"/>
      <c r="R197" s="67"/>
      <c r="S197" s="68" t="s">
        <v>1</v>
      </c>
      <c r="T197" s="76">
        <v>0.25</v>
      </c>
      <c r="U197" s="70" t="s">
        <v>422</v>
      </c>
      <c r="V197" s="67"/>
      <c r="W197" s="68"/>
      <c r="X197" s="76"/>
      <c r="Y197" s="70"/>
      <c r="Z197" s="228">
        <f>ROUND((ROUND((ROUND((ROUND((_15_同援日１．０*_15・基礎２),0)*(1+_15・A早朝)),0)*(1+_15・盲ろう)),0)*(1+_15・区４)),0)+ROUND((ROUND((ROUND((_15_同援日１．０＿１．５*_15・基礎２),0)*(1+_15・盲ろう)),0)*(1+_15・区４)),0)</f>
        <v>978</v>
      </c>
      <c r="AA197" s="69"/>
    </row>
    <row r="198" spans="1:27" ht="16.5" customHeight="1" x14ac:dyDescent="0.3">
      <c r="A198" s="2">
        <v>15</v>
      </c>
      <c r="B198" s="2">
        <v>9390</v>
      </c>
      <c r="C198" s="60" t="s">
        <v>9783</v>
      </c>
      <c r="D198" s="1"/>
      <c r="E198" s="68"/>
      <c r="F198" s="70"/>
      <c r="G198" s="81"/>
      <c r="H198" s="57"/>
      <c r="I198" s="77"/>
      <c r="J198" s="106" t="s">
        <v>18035</v>
      </c>
      <c r="K198" s="57" t="s">
        <v>1</v>
      </c>
      <c r="L198" s="58">
        <v>0.9</v>
      </c>
      <c r="M198" s="83" t="s">
        <v>5895</v>
      </c>
      <c r="N198" s="64" t="s">
        <v>1</v>
      </c>
      <c r="O198" s="65">
        <v>1</v>
      </c>
      <c r="P198" s="99"/>
      <c r="Q198" s="70"/>
      <c r="R198" s="66"/>
      <c r="S198" s="57"/>
      <c r="T198" s="58"/>
      <c r="U198" s="77"/>
      <c r="V198" s="66"/>
      <c r="W198" s="57"/>
      <c r="X198" s="58"/>
      <c r="Y198" s="77"/>
      <c r="Z198" s="228">
        <f>ROUND((ROUND((ROUND((ROUND((ROUND((_15_同援日１．０*_15・基礎２),0)*_15・２人),0)*(1+_15・A早朝)),0)*(1+_15・盲ろう)),0)*(1+_15・区４)),0)+ROUND((ROUND((ROUND((ROUND((_15_同援日１．０＿１．５*_15・基礎２),0)*_15・２人),0)*(1+_15・盲ろう)),0)*(1+_15・区４)),0)</f>
        <v>978</v>
      </c>
      <c r="AA198" s="69"/>
    </row>
    <row r="199" spans="1:27" ht="16.5" customHeight="1" x14ac:dyDescent="0.3">
      <c r="A199" s="2">
        <v>15</v>
      </c>
      <c r="B199" s="2">
        <v>9391</v>
      </c>
      <c r="C199" s="60" t="s">
        <v>9782</v>
      </c>
      <c r="D199" s="1"/>
      <c r="E199" s="68"/>
      <c r="F199" s="70"/>
      <c r="G199" s="233" t="s">
        <v>18052</v>
      </c>
      <c r="H199" s="62"/>
      <c r="I199" s="75"/>
      <c r="J199" s="61"/>
      <c r="K199" s="62"/>
      <c r="L199" s="63"/>
      <c r="M199" s="85"/>
      <c r="N199" s="64"/>
      <c r="O199" s="65"/>
      <c r="P199" s="99"/>
      <c r="Q199" s="70"/>
      <c r="R199" s="61"/>
      <c r="S199" s="62"/>
      <c r="T199" s="63"/>
      <c r="U199" s="75"/>
      <c r="V199" s="61"/>
      <c r="W199" s="62"/>
      <c r="X199" s="63"/>
      <c r="Y199" s="75"/>
      <c r="Z199" s="228">
        <f>ROUND((_15_同援日１．０*(1+_15・A早朝)),0)+_15_同援日１．０＿２．０</f>
        <v>684</v>
      </c>
      <c r="AA199" s="69"/>
    </row>
    <row r="200" spans="1:27" ht="16.5" customHeight="1" x14ac:dyDescent="0.3">
      <c r="A200" s="2">
        <v>15</v>
      </c>
      <c r="B200" s="2">
        <v>9392</v>
      </c>
      <c r="C200" s="60" t="s">
        <v>9781</v>
      </c>
      <c r="D200" s="1"/>
      <c r="E200" s="68"/>
      <c r="F200" s="70"/>
      <c r="G200" s="1" t="s">
        <v>18047</v>
      </c>
      <c r="H200" s="68"/>
      <c r="I200" s="70"/>
      <c r="J200" s="66"/>
      <c r="K200" s="57"/>
      <c r="L200" s="58"/>
      <c r="M200" s="83" t="s">
        <v>5895</v>
      </c>
      <c r="N200" s="64" t="s">
        <v>1</v>
      </c>
      <c r="O200" s="65">
        <v>1</v>
      </c>
      <c r="P200" s="99"/>
      <c r="Q200" s="70"/>
      <c r="R200" s="67"/>
      <c r="S200" s="68"/>
      <c r="T200" s="76"/>
      <c r="U200" s="70"/>
      <c r="V200" s="67"/>
      <c r="W200" s="68"/>
      <c r="X200" s="76"/>
      <c r="Y200" s="70"/>
      <c r="Z200" s="228">
        <f>ROUND((ROUND((_15_同援日１．０*_15・２人),0)*(1+_15・A早朝)),0)+ROUND((_15_同援日１．０＿２．０*_15・２人),0)</f>
        <v>684</v>
      </c>
      <c r="AA200" s="69"/>
    </row>
    <row r="201" spans="1:27" ht="16.5" customHeight="1" x14ac:dyDescent="0.3">
      <c r="A201" s="2">
        <v>15</v>
      </c>
      <c r="B201" s="2">
        <v>9393</v>
      </c>
      <c r="C201" s="60" t="s">
        <v>9780</v>
      </c>
      <c r="D201" s="1"/>
      <c r="E201" s="68"/>
      <c r="F201" s="70"/>
      <c r="G201" s="1" t="s">
        <v>6448</v>
      </c>
      <c r="H201" s="68"/>
      <c r="I201" s="70"/>
      <c r="J201" s="74" t="s">
        <v>5898</v>
      </c>
      <c r="K201" s="62"/>
      <c r="L201" s="63"/>
      <c r="M201" s="85"/>
      <c r="N201" s="64"/>
      <c r="O201" s="65"/>
      <c r="P201" s="99"/>
      <c r="Q201" s="70"/>
      <c r="R201" s="67"/>
      <c r="S201" s="68"/>
      <c r="T201" s="76"/>
      <c r="U201" s="70"/>
      <c r="V201" s="67"/>
      <c r="W201" s="68"/>
      <c r="X201" s="76"/>
      <c r="Y201" s="70"/>
      <c r="Z201" s="228">
        <f>ROUND((ROUND((_15_同援日１．０*_15・基礎２),0)*(1+_15・A早朝)),0)+ROUND((_15_同援日１．０＿２．０*_15・基礎２),0)</f>
        <v>616</v>
      </c>
      <c r="AA201" s="69"/>
    </row>
    <row r="202" spans="1:27" ht="16.5" customHeight="1" x14ac:dyDescent="0.3">
      <c r="A202" s="2">
        <v>15</v>
      </c>
      <c r="B202" s="2">
        <v>9394</v>
      </c>
      <c r="C202" s="60" t="s">
        <v>9779</v>
      </c>
      <c r="D202" s="1"/>
      <c r="E202" s="68"/>
      <c r="F202" s="70"/>
      <c r="G202" s="1"/>
      <c r="H202" s="119">
        <v>319</v>
      </c>
      <c r="I202" s="70" t="s">
        <v>0</v>
      </c>
      <c r="J202" s="106" t="s">
        <v>18035</v>
      </c>
      <c r="K202" s="57" t="s">
        <v>1</v>
      </c>
      <c r="L202" s="58">
        <v>0.9</v>
      </c>
      <c r="M202" s="83" t="s">
        <v>5895</v>
      </c>
      <c r="N202" s="64" t="s">
        <v>1</v>
      </c>
      <c r="O202" s="65">
        <v>1</v>
      </c>
      <c r="P202" s="99"/>
      <c r="Q202" s="70"/>
      <c r="R202" s="66"/>
      <c r="S202" s="57"/>
      <c r="T202" s="58"/>
      <c r="U202" s="77"/>
      <c r="V202" s="67"/>
      <c r="W202" s="68"/>
      <c r="X202" s="76"/>
      <c r="Y202" s="70"/>
      <c r="Z202" s="228">
        <f>ROUND((ROUND((ROUND((_15_同援日１．０*_15・基礎２),0)*_15・２人),0)*(1+_15・A早朝)),0)+ROUND((ROUND((_15_同援日１．０＿２．０*_15・基礎２),0)*_15・２人),0)</f>
        <v>616</v>
      </c>
      <c r="AA202" s="69"/>
    </row>
    <row r="203" spans="1:27" ht="16.5" customHeight="1" x14ac:dyDescent="0.3">
      <c r="A203" s="2">
        <v>15</v>
      </c>
      <c r="B203" s="2">
        <v>9395</v>
      </c>
      <c r="C203" s="60" t="s">
        <v>9778</v>
      </c>
      <c r="D203" s="1"/>
      <c r="E203" s="68"/>
      <c r="F203" s="70"/>
      <c r="G203" s="1"/>
      <c r="H203" s="68"/>
      <c r="I203" s="70"/>
      <c r="J203" s="61"/>
      <c r="K203" s="62"/>
      <c r="L203" s="63"/>
      <c r="M203" s="85"/>
      <c r="N203" s="64"/>
      <c r="O203" s="65"/>
      <c r="P203" s="99"/>
      <c r="Q203" s="70"/>
      <c r="R203" s="74" t="s">
        <v>18038</v>
      </c>
      <c r="S203" s="62"/>
      <c r="T203" s="63"/>
      <c r="U203" s="75"/>
      <c r="V203" s="67"/>
      <c r="W203" s="68"/>
      <c r="X203" s="76"/>
      <c r="Y203" s="70"/>
      <c r="Z203" s="228">
        <f>ROUND((ROUND((_15_同援日１．０*(1+_15・A早朝)),0)*(1+_15・盲ろう)),0)+ROUND((_15_同援日１．０＿２．０*(1+_15・盲ろう)),0)</f>
        <v>855</v>
      </c>
      <c r="AA203" s="69"/>
    </row>
    <row r="204" spans="1:27" ht="16.5" customHeight="1" x14ac:dyDescent="0.3">
      <c r="A204" s="2">
        <v>15</v>
      </c>
      <c r="B204" s="2">
        <v>9396</v>
      </c>
      <c r="C204" s="60" t="s">
        <v>9777</v>
      </c>
      <c r="D204" s="1"/>
      <c r="E204" s="68"/>
      <c r="F204" s="70"/>
      <c r="G204" s="1"/>
      <c r="H204" s="68"/>
      <c r="I204" s="70"/>
      <c r="J204" s="66"/>
      <c r="K204" s="57"/>
      <c r="L204" s="58"/>
      <c r="M204" s="83" t="s">
        <v>5895</v>
      </c>
      <c r="N204" s="64" t="s">
        <v>1</v>
      </c>
      <c r="O204" s="65">
        <v>1</v>
      </c>
      <c r="P204" s="99"/>
      <c r="Q204" s="70"/>
      <c r="R204" s="94" t="s">
        <v>18037</v>
      </c>
      <c r="S204" s="68"/>
      <c r="T204" s="76"/>
      <c r="U204" s="70"/>
      <c r="V204" s="67"/>
      <c r="W204" s="68"/>
      <c r="X204" s="76"/>
      <c r="Y204" s="70"/>
      <c r="Z204" s="228">
        <f>ROUND((ROUND((ROUND((_15_同援日１．０*_15・２人),0)*(1+_15・A早朝)),0)*(1+_15・盲ろう)),0)+ROUND((ROUND((_15_同援日１．０＿２．０*_15・２人),0)*(1+_15・盲ろう)),0)</f>
        <v>855</v>
      </c>
      <c r="AA204" s="69"/>
    </row>
    <row r="205" spans="1:27" ht="16.5" customHeight="1" x14ac:dyDescent="0.3">
      <c r="A205" s="2">
        <v>15</v>
      </c>
      <c r="B205" s="2">
        <v>9397</v>
      </c>
      <c r="C205" s="60" t="s">
        <v>9776</v>
      </c>
      <c r="D205" s="1"/>
      <c r="E205" s="68"/>
      <c r="F205" s="70"/>
      <c r="G205" s="1"/>
      <c r="H205" s="68"/>
      <c r="I205" s="70"/>
      <c r="J205" s="74" t="s">
        <v>18036</v>
      </c>
      <c r="K205" s="62"/>
      <c r="L205" s="63"/>
      <c r="M205" s="85"/>
      <c r="N205" s="64"/>
      <c r="O205" s="65"/>
      <c r="P205" s="99"/>
      <c r="Q205" s="70"/>
      <c r="R205" s="67"/>
      <c r="S205" s="68" t="s">
        <v>1</v>
      </c>
      <c r="T205" s="76">
        <v>0.25</v>
      </c>
      <c r="U205" s="70" t="s">
        <v>422</v>
      </c>
      <c r="V205" s="67"/>
      <c r="W205" s="68"/>
      <c r="X205" s="76"/>
      <c r="Y205" s="70"/>
      <c r="Z205" s="228">
        <f>ROUND((ROUND((ROUND((_15_同援日１．０*_15・基礎２),0)*(1+_15・A早朝)),0)*(1+_15・盲ろう)),0)+ROUND((ROUND((_15_同援日１．０＿２．０*_15・基礎２),0)*(1+_15・盲ろう)),0)</f>
        <v>770</v>
      </c>
      <c r="AA205" s="69"/>
    </row>
    <row r="206" spans="1:27" ht="16.5" customHeight="1" x14ac:dyDescent="0.3">
      <c r="A206" s="2">
        <v>15</v>
      </c>
      <c r="B206" s="2">
        <v>9398</v>
      </c>
      <c r="C206" s="60" t="s">
        <v>9775</v>
      </c>
      <c r="D206" s="1"/>
      <c r="E206" s="68"/>
      <c r="F206" s="70"/>
      <c r="G206" s="1"/>
      <c r="H206" s="68"/>
      <c r="I206" s="70"/>
      <c r="J206" s="106" t="s">
        <v>18035</v>
      </c>
      <c r="K206" s="57" t="s">
        <v>1</v>
      </c>
      <c r="L206" s="58">
        <v>0.9</v>
      </c>
      <c r="M206" s="83" t="s">
        <v>5895</v>
      </c>
      <c r="N206" s="64" t="s">
        <v>1</v>
      </c>
      <c r="O206" s="65">
        <v>1</v>
      </c>
      <c r="P206" s="99"/>
      <c r="Q206" s="70"/>
      <c r="R206" s="66"/>
      <c r="S206" s="57"/>
      <c r="T206" s="58"/>
      <c r="U206" s="77"/>
      <c r="V206" s="66"/>
      <c r="W206" s="57"/>
      <c r="X206" s="58"/>
      <c r="Y206" s="77"/>
      <c r="Z206" s="228">
        <f>ROUND((ROUND((ROUND((ROUND((_15_同援日１．０*_15・基礎２),0)*_15・２人),0)*(1+_15・A早朝)),0)*(1+_15・盲ろう)),0)+ROUND((ROUND((ROUND((_15_同援日１．０＿２．０*_15・基礎２),0)*_15・２人),0)*(1+_15・盲ろう)),0)</f>
        <v>770</v>
      </c>
      <c r="AA206" s="69"/>
    </row>
    <row r="207" spans="1:27" ht="16.5" customHeight="1" x14ac:dyDescent="0.3">
      <c r="A207" s="2">
        <v>15</v>
      </c>
      <c r="B207" s="2">
        <v>9399</v>
      </c>
      <c r="C207" s="60" t="s">
        <v>9774</v>
      </c>
      <c r="D207" s="1"/>
      <c r="E207" s="68"/>
      <c r="F207" s="70"/>
      <c r="G207" s="1"/>
      <c r="H207" s="68"/>
      <c r="I207" s="70"/>
      <c r="J207" s="61"/>
      <c r="K207" s="62"/>
      <c r="L207" s="63"/>
      <c r="M207" s="85"/>
      <c r="N207" s="64"/>
      <c r="O207" s="65"/>
      <c r="P207" s="99"/>
      <c r="Q207" s="70"/>
      <c r="R207" s="61"/>
      <c r="S207" s="62"/>
      <c r="T207" s="63"/>
      <c r="U207" s="75"/>
      <c r="V207" s="61"/>
      <c r="W207" s="62"/>
      <c r="X207" s="63"/>
      <c r="Y207" s="75"/>
      <c r="Z207" s="228">
        <f>ROUND((ROUND((_15_同援日１．０*(1+_15・A早朝)),0)*(1+_15・区３)),0)+ROUND((_15_同援日１．０＿２．０*(1+_15・区３)),0)</f>
        <v>821</v>
      </c>
      <c r="AA207" s="69"/>
    </row>
    <row r="208" spans="1:27" ht="16.5" customHeight="1" x14ac:dyDescent="0.3">
      <c r="A208" s="2">
        <v>15</v>
      </c>
      <c r="B208" s="2">
        <v>9400</v>
      </c>
      <c r="C208" s="60" t="s">
        <v>9773</v>
      </c>
      <c r="D208" s="1"/>
      <c r="E208" s="68"/>
      <c r="F208" s="70"/>
      <c r="G208" s="1"/>
      <c r="H208" s="68"/>
      <c r="I208" s="70"/>
      <c r="J208" s="66"/>
      <c r="K208" s="57"/>
      <c r="L208" s="58"/>
      <c r="M208" s="83" t="s">
        <v>5895</v>
      </c>
      <c r="N208" s="64" t="s">
        <v>1</v>
      </c>
      <c r="O208" s="65">
        <v>1</v>
      </c>
      <c r="P208" s="99"/>
      <c r="Q208" s="70"/>
      <c r="R208" s="67"/>
      <c r="S208" s="68"/>
      <c r="T208" s="76"/>
      <c r="U208" s="70"/>
      <c r="V208" s="67"/>
      <c r="W208" s="68"/>
      <c r="X208" s="76"/>
      <c r="Y208" s="70"/>
      <c r="Z208" s="228">
        <f>ROUND((ROUND((ROUND((_15_同援日１．０*_15・２人),0)*(1+_15・A早朝)),0)*(1+_15・区３)),0)+ROUND((ROUND((_15_同援日１．０＿２．０*_15・２人),0)*(1+_15・区３)),0)</f>
        <v>821</v>
      </c>
      <c r="AA208" s="69"/>
    </row>
    <row r="209" spans="1:27" ht="16.5" customHeight="1" x14ac:dyDescent="0.3">
      <c r="A209" s="2">
        <v>15</v>
      </c>
      <c r="B209" s="2">
        <v>9401</v>
      </c>
      <c r="C209" s="60" t="s">
        <v>9772</v>
      </c>
      <c r="D209" s="1"/>
      <c r="E209" s="68"/>
      <c r="F209" s="70"/>
      <c r="G209" s="1"/>
      <c r="H209" s="68"/>
      <c r="I209" s="70"/>
      <c r="J209" s="74" t="s">
        <v>18036</v>
      </c>
      <c r="K209" s="62"/>
      <c r="L209" s="63"/>
      <c r="M209" s="85"/>
      <c r="N209" s="64"/>
      <c r="O209" s="65"/>
      <c r="P209" s="99"/>
      <c r="Q209" s="70"/>
      <c r="R209" s="67"/>
      <c r="S209" s="68"/>
      <c r="T209" s="76"/>
      <c r="U209" s="70"/>
      <c r="V209" s="1" t="s">
        <v>18041</v>
      </c>
      <c r="W209" s="68"/>
      <c r="X209" s="76"/>
      <c r="Y209" s="70"/>
      <c r="Z209" s="228">
        <f>ROUND((ROUND((ROUND((_15_同援日１．０*_15・基礎２),0)*(1+_15・A早朝)),0)*(1+_15・区３)),0)+ROUND((ROUND((_15_同援日１．０＿２．０*_15・基礎２),0)*(1+_15・区３)),0)</f>
        <v>739</v>
      </c>
      <c r="AA209" s="69"/>
    </row>
    <row r="210" spans="1:27" ht="16.5" customHeight="1" x14ac:dyDescent="0.3">
      <c r="A210" s="2">
        <v>15</v>
      </c>
      <c r="B210" s="2">
        <v>9402</v>
      </c>
      <c r="C210" s="60" t="s">
        <v>9771</v>
      </c>
      <c r="D210" s="1"/>
      <c r="E210" s="68"/>
      <c r="F210" s="70"/>
      <c r="G210" s="1"/>
      <c r="H210" s="68"/>
      <c r="I210" s="70"/>
      <c r="J210" s="106" t="s">
        <v>18035</v>
      </c>
      <c r="K210" s="57" t="s">
        <v>1</v>
      </c>
      <c r="L210" s="58">
        <v>0.9</v>
      </c>
      <c r="M210" s="83" t="s">
        <v>5895</v>
      </c>
      <c r="N210" s="64" t="s">
        <v>1</v>
      </c>
      <c r="O210" s="65">
        <v>1</v>
      </c>
      <c r="P210" s="99"/>
      <c r="Q210" s="70"/>
      <c r="R210" s="66"/>
      <c r="S210" s="57"/>
      <c r="T210" s="58"/>
      <c r="U210" s="77"/>
      <c r="V210" s="1" t="s">
        <v>18039</v>
      </c>
      <c r="W210" s="68"/>
      <c r="X210" s="76"/>
      <c r="Y210" s="70"/>
      <c r="Z210" s="228">
        <f>ROUND((ROUND((ROUND((ROUND((_15_同援日１．０*_15・基礎２),0)*_15・２人),0)*(1+_15・A早朝)),0)*(1+_15・区３)),0)+ROUND((ROUND((ROUND((_15_同援日１．０＿２．０*_15・基礎２),0)*_15・２人),0)*(1+_15・区３)),0)</f>
        <v>739</v>
      </c>
      <c r="AA210" s="69"/>
    </row>
    <row r="211" spans="1:27" ht="16.5" customHeight="1" x14ac:dyDescent="0.3">
      <c r="A211" s="2">
        <v>15</v>
      </c>
      <c r="B211" s="2">
        <v>9403</v>
      </c>
      <c r="C211" s="60" t="s">
        <v>9770</v>
      </c>
      <c r="D211" s="1"/>
      <c r="E211" s="68"/>
      <c r="F211" s="70"/>
      <c r="G211" s="1"/>
      <c r="H211" s="68"/>
      <c r="I211" s="70"/>
      <c r="J211" s="61"/>
      <c r="K211" s="62"/>
      <c r="L211" s="63"/>
      <c r="M211" s="85"/>
      <c r="N211" s="64"/>
      <c r="O211" s="65"/>
      <c r="P211" s="99"/>
      <c r="Q211" s="70"/>
      <c r="R211" s="74" t="s">
        <v>18038</v>
      </c>
      <c r="S211" s="62"/>
      <c r="T211" s="63"/>
      <c r="U211" s="75"/>
      <c r="V211" s="67"/>
      <c r="W211" s="68" t="s">
        <v>1</v>
      </c>
      <c r="X211" s="76">
        <v>0.2</v>
      </c>
      <c r="Y211" s="70" t="s">
        <v>422</v>
      </c>
      <c r="Z211" s="228">
        <f>ROUND((ROUND((ROUND((_15_同援日１．０*(1+_15・A早朝)),0)*(1+_15・盲ろう)),0)*(1+_15・区３)),0)+ROUND((ROUND((_15_同援日１．０＿２．０*(1+_15・盲ろう)),0)*(1+_15・区３)),0)</f>
        <v>1026</v>
      </c>
      <c r="AA211" s="69"/>
    </row>
    <row r="212" spans="1:27" ht="16.5" customHeight="1" x14ac:dyDescent="0.3">
      <c r="A212" s="2">
        <v>15</v>
      </c>
      <c r="B212" s="2">
        <v>9404</v>
      </c>
      <c r="C212" s="60" t="s">
        <v>9769</v>
      </c>
      <c r="D212" s="1"/>
      <c r="E212" s="68"/>
      <c r="F212" s="70"/>
      <c r="G212" s="1"/>
      <c r="H212" s="68"/>
      <c r="I212" s="70"/>
      <c r="J212" s="66"/>
      <c r="K212" s="57"/>
      <c r="L212" s="58"/>
      <c r="M212" s="83" t="s">
        <v>5895</v>
      </c>
      <c r="N212" s="64" t="s">
        <v>1</v>
      </c>
      <c r="O212" s="65">
        <v>1</v>
      </c>
      <c r="P212" s="99"/>
      <c r="Q212" s="70"/>
      <c r="R212" s="94" t="s">
        <v>18037</v>
      </c>
      <c r="S212" s="68"/>
      <c r="T212" s="76"/>
      <c r="U212" s="70"/>
      <c r="V212" s="67"/>
      <c r="W212" s="68"/>
      <c r="X212" s="76"/>
      <c r="Y212" s="70"/>
      <c r="Z212" s="228">
        <f>ROUND((ROUND((ROUND((ROUND((_15_同援日１．０*_15・２人),0)*(1+_15・A早朝)),0)*(1+_15・盲ろう)),0)*(1+_15・区３)),0)+ROUND((ROUND((ROUND((_15_同援日１．０＿２．０*_15・２人),0)*(1+_15・盲ろう)),0)*(1+_15・区３)),0)</f>
        <v>1026</v>
      </c>
      <c r="AA212" s="69"/>
    </row>
    <row r="213" spans="1:27" ht="16.5" customHeight="1" x14ac:dyDescent="0.3">
      <c r="A213" s="2">
        <v>15</v>
      </c>
      <c r="B213" s="2">
        <v>9405</v>
      </c>
      <c r="C213" s="60" t="s">
        <v>9768</v>
      </c>
      <c r="D213" s="1"/>
      <c r="E213" s="68"/>
      <c r="F213" s="70"/>
      <c r="G213" s="1"/>
      <c r="H213" s="68"/>
      <c r="I213" s="70"/>
      <c r="J213" s="74" t="s">
        <v>5898</v>
      </c>
      <c r="K213" s="62"/>
      <c r="L213" s="63"/>
      <c r="M213" s="85"/>
      <c r="N213" s="64"/>
      <c r="O213" s="65"/>
      <c r="P213" s="99"/>
      <c r="Q213" s="70"/>
      <c r="R213" s="67"/>
      <c r="S213" s="68" t="s">
        <v>1</v>
      </c>
      <c r="T213" s="76">
        <v>0.25</v>
      </c>
      <c r="U213" s="70" t="s">
        <v>422</v>
      </c>
      <c r="V213" s="67"/>
      <c r="W213" s="68"/>
      <c r="X213" s="76"/>
      <c r="Y213" s="70"/>
      <c r="Z213" s="228">
        <f>ROUND((ROUND((ROUND((ROUND((_15_同援日１．０*_15・基礎２),0)*(1+_15・A早朝)),0)*(1+_15・盲ろう)),0)*(1+_15・区３)),0)+ROUND((ROUND((ROUND((_15_同援日１．０＿２．０*_15・基礎２),0)*(1+_15・盲ろう)),0)*(1+_15・区３)),0)</f>
        <v>924</v>
      </c>
      <c r="AA213" s="69"/>
    </row>
    <row r="214" spans="1:27" ht="16.5" customHeight="1" x14ac:dyDescent="0.3">
      <c r="A214" s="2">
        <v>15</v>
      </c>
      <c r="B214" s="2">
        <v>9406</v>
      </c>
      <c r="C214" s="60" t="s">
        <v>9767</v>
      </c>
      <c r="D214" s="1"/>
      <c r="E214" s="68"/>
      <c r="F214" s="70"/>
      <c r="G214" s="1"/>
      <c r="H214" s="68"/>
      <c r="I214" s="70"/>
      <c r="J214" s="106" t="s">
        <v>18035</v>
      </c>
      <c r="K214" s="57" t="s">
        <v>1</v>
      </c>
      <c r="L214" s="58">
        <v>0.9</v>
      </c>
      <c r="M214" s="83" t="s">
        <v>5895</v>
      </c>
      <c r="N214" s="64" t="s">
        <v>1</v>
      </c>
      <c r="O214" s="65">
        <v>1</v>
      </c>
      <c r="P214" s="99"/>
      <c r="Q214" s="70"/>
      <c r="R214" s="66"/>
      <c r="S214" s="57"/>
      <c r="T214" s="58"/>
      <c r="U214" s="77"/>
      <c r="V214" s="66"/>
      <c r="W214" s="57"/>
      <c r="X214" s="58"/>
      <c r="Y214" s="77"/>
      <c r="Z214" s="228">
        <f>ROUND((ROUND((ROUND((ROUND((ROUND((_15_同援日１．０*_15・基礎２),0)*_15・２人),0)*(1+_15・A早朝)),0)*(1+_15・盲ろう)),0)*(1+_15・区３)),0)+ROUND((ROUND((ROUND((ROUND((_15_同援日１．０＿２．０*_15・基礎２),0)*_15・２人),0)*(1+_15・盲ろう)),0)*(1+_15・区３)),0)</f>
        <v>924</v>
      </c>
      <c r="AA214" s="69"/>
    </row>
    <row r="215" spans="1:27" ht="16.5" customHeight="1" x14ac:dyDescent="0.3">
      <c r="A215" s="2">
        <v>15</v>
      </c>
      <c r="B215" s="2">
        <v>9407</v>
      </c>
      <c r="C215" s="60" t="s">
        <v>9766</v>
      </c>
      <c r="D215" s="1"/>
      <c r="E215" s="68"/>
      <c r="F215" s="70"/>
      <c r="G215" s="1"/>
      <c r="H215" s="68"/>
      <c r="I215" s="70"/>
      <c r="J215" s="61"/>
      <c r="K215" s="62"/>
      <c r="L215" s="63"/>
      <c r="M215" s="85"/>
      <c r="N215" s="64"/>
      <c r="O215" s="65"/>
      <c r="P215" s="99"/>
      <c r="Q215" s="70"/>
      <c r="R215" s="61"/>
      <c r="S215" s="62"/>
      <c r="T215" s="63"/>
      <c r="U215" s="75"/>
      <c r="V215" s="61"/>
      <c r="W215" s="62"/>
      <c r="X215" s="63"/>
      <c r="Y215" s="75"/>
      <c r="Z215" s="228">
        <f>ROUND((ROUND((_15_同援日１．０*(1+_15・A早朝)),0)*(1+_15・区４)),0)+ROUND((_15_同援日１．０＿２．０*(1+_15・区４)),0)</f>
        <v>958</v>
      </c>
      <c r="AA215" s="69"/>
    </row>
    <row r="216" spans="1:27" ht="16.5" customHeight="1" x14ac:dyDescent="0.3">
      <c r="A216" s="2">
        <v>15</v>
      </c>
      <c r="B216" s="2">
        <v>9408</v>
      </c>
      <c r="C216" s="60" t="s">
        <v>9765</v>
      </c>
      <c r="D216" s="1"/>
      <c r="E216" s="68"/>
      <c r="F216" s="70"/>
      <c r="G216" s="1"/>
      <c r="H216" s="68"/>
      <c r="I216" s="70"/>
      <c r="J216" s="66"/>
      <c r="K216" s="57"/>
      <c r="L216" s="58"/>
      <c r="M216" s="83" t="s">
        <v>5895</v>
      </c>
      <c r="N216" s="64" t="s">
        <v>1</v>
      </c>
      <c r="O216" s="65">
        <v>1</v>
      </c>
      <c r="P216" s="99"/>
      <c r="Q216" s="70"/>
      <c r="R216" s="67"/>
      <c r="S216" s="68"/>
      <c r="T216" s="76"/>
      <c r="U216" s="70"/>
      <c r="V216" s="67"/>
      <c r="W216" s="68"/>
      <c r="X216" s="76"/>
      <c r="Y216" s="70"/>
      <c r="Z216" s="228">
        <f>ROUND((ROUND((ROUND((_15_同援日１．０*_15・２人),0)*(1+_15・A早朝)),0)*(1+_15・区４)),0)+ROUND((ROUND((_15_同援日１．０＿２．０*_15・２人),0)*(1+_15・区４)),0)</f>
        <v>958</v>
      </c>
      <c r="AA216" s="69"/>
    </row>
    <row r="217" spans="1:27" ht="16.5" customHeight="1" x14ac:dyDescent="0.3">
      <c r="A217" s="2">
        <v>15</v>
      </c>
      <c r="B217" s="2">
        <v>9409</v>
      </c>
      <c r="C217" s="60" t="s">
        <v>9764</v>
      </c>
      <c r="D217" s="1"/>
      <c r="E217" s="68"/>
      <c r="F217" s="70"/>
      <c r="G217" s="1"/>
      <c r="H217" s="68"/>
      <c r="I217" s="70"/>
      <c r="J217" s="74" t="s">
        <v>5898</v>
      </c>
      <c r="K217" s="62"/>
      <c r="L217" s="63"/>
      <c r="M217" s="85"/>
      <c r="N217" s="64"/>
      <c r="O217" s="65"/>
      <c r="P217" s="99"/>
      <c r="Q217" s="70"/>
      <c r="R217" s="67"/>
      <c r="S217" s="68"/>
      <c r="T217" s="76"/>
      <c r="U217" s="70"/>
      <c r="V217" s="1" t="s">
        <v>8089</v>
      </c>
      <c r="W217" s="68"/>
      <c r="X217" s="76"/>
      <c r="Y217" s="70"/>
      <c r="Z217" s="228">
        <f>ROUND((ROUND((ROUND((_15_同援日１．０*_15・基礎２),0)*(1+_15・A早朝)),0)*(1+_15・区４)),0)+ROUND((ROUND((_15_同援日１．０＿２．０*_15・基礎２),0)*(1+_15・区４)),0)</f>
        <v>863</v>
      </c>
      <c r="AA217" s="69"/>
    </row>
    <row r="218" spans="1:27" ht="16.5" customHeight="1" x14ac:dyDescent="0.3">
      <c r="A218" s="2">
        <v>15</v>
      </c>
      <c r="B218" s="2">
        <v>9410</v>
      </c>
      <c r="C218" s="60" t="s">
        <v>9763</v>
      </c>
      <c r="D218" s="1"/>
      <c r="E218" s="68"/>
      <c r="F218" s="70"/>
      <c r="G218" s="1"/>
      <c r="H218" s="68"/>
      <c r="I218" s="70"/>
      <c r="J218" s="106" t="s">
        <v>18035</v>
      </c>
      <c r="K218" s="57" t="s">
        <v>1</v>
      </c>
      <c r="L218" s="58">
        <v>0.9</v>
      </c>
      <c r="M218" s="83" t="s">
        <v>5895</v>
      </c>
      <c r="N218" s="64" t="s">
        <v>1</v>
      </c>
      <c r="O218" s="65">
        <v>1</v>
      </c>
      <c r="P218" s="99"/>
      <c r="Q218" s="70"/>
      <c r="R218" s="66"/>
      <c r="S218" s="57"/>
      <c r="T218" s="58"/>
      <c r="U218" s="77"/>
      <c r="V218" s="1" t="s">
        <v>18039</v>
      </c>
      <c r="W218" s="68"/>
      <c r="X218" s="76"/>
      <c r="Y218" s="70"/>
      <c r="Z218" s="228">
        <f>ROUND((ROUND((ROUND((ROUND((_15_同援日１．０*_15・基礎２),0)*_15・２人),0)*(1+_15・A早朝)),0)*(1+_15・区４)),0)+ROUND((ROUND((ROUND((_15_同援日１．０＿２．０*_15・基礎２),0)*_15・２人),0)*(1+_15・区４)),0)</f>
        <v>863</v>
      </c>
      <c r="AA218" s="69"/>
    </row>
    <row r="219" spans="1:27" ht="16.5" customHeight="1" x14ac:dyDescent="0.3">
      <c r="A219" s="2">
        <v>15</v>
      </c>
      <c r="B219" s="2">
        <v>9411</v>
      </c>
      <c r="C219" s="60" t="s">
        <v>9762</v>
      </c>
      <c r="D219" s="1"/>
      <c r="E219" s="68"/>
      <c r="F219" s="70"/>
      <c r="G219" s="1"/>
      <c r="H219" s="68"/>
      <c r="I219" s="70"/>
      <c r="J219" s="61"/>
      <c r="K219" s="62"/>
      <c r="L219" s="63"/>
      <c r="M219" s="85"/>
      <c r="N219" s="64"/>
      <c r="O219" s="65"/>
      <c r="P219" s="99"/>
      <c r="Q219" s="70"/>
      <c r="R219" s="74" t="s">
        <v>18038</v>
      </c>
      <c r="S219" s="62"/>
      <c r="T219" s="63"/>
      <c r="U219" s="75"/>
      <c r="V219" s="67"/>
      <c r="W219" s="68" t="s">
        <v>1</v>
      </c>
      <c r="X219" s="76">
        <v>0.4</v>
      </c>
      <c r="Y219" s="70" t="s">
        <v>422</v>
      </c>
      <c r="Z219" s="228">
        <f>ROUND((ROUND((ROUND((_15_同援日１．０*(1+_15・A早朝)),0)*(1+_15・盲ろう)),0)*(1+_15・区４)),0)+ROUND((ROUND((_15_同援日１．０＿２．０*(1+_15・盲ろう)),0)*(1+_15・区４)),0)</f>
        <v>1197</v>
      </c>
      <c r="AA219" s="69"/>
    </row>
    <row r="220" spans="1:27" ht="16.5" customHeight="1" x14ac:dyDescent="0.3">
      <c r="A220" s="2">
        <v>15</v>
      </c>
      <c r="B220" s="2">
        <v>9412</v>
      </c>
      <c r="C220" s="60" t="s">
        <v>9761</v>
      </c>
      <c r="D220" s="1"/>
      <c r="E220" s="68"/>
      <c r="F220" s="70"/>
      <c r="G220" s="1"/>
      <c r="H220" s="68"/>
      <c r="I220" s="70"/>
      <c r="J220" s="66"/>
      <c r="K220" s="57"/>
      <c r="L220" s="58"/>
      <c r="M220" s="83" t="s">
        <v>5895</v>
      </c>
      <c r="N220" s="64" t="s">
        <v>1</v>
      </c>
      <c r="O220" s="65">
        <v>1</v>
      </c>
      <c r="P220" s="99"/>
      <c r="Q220" s="70"/>
      <c r="R220" s="94" t="s">
        <v>18037</v>
      </c>
      <c r="S220" s="68"/>
      <c r="T220" s="76"/>
      <c r="U220" s="70"/>
      <c r="V220" s="67"/>
      <c r="W220" s="68"/>
      <c r="X220" s="76"/>
      <c r="Y220" s="70"/>
      <c r="Z220" s="228">
        <f>ROUND((ROUND((ROUND((ROUND((_15_同援日１．０*_15・２人),0)*(1+_15・A早朝)),0)*(1+_15・盲ろう)),0)*(1+_15・区４)),0)+ROUND((ROUND((ROUND((_15_同援日１．０＿２．０*_15・２人),0)*(1+_15・盲ろう)),0)*(1+_15・区４)),0)</f>
        <v>1197</v>
      </c>
      <c r="AA220" s="69"/>
    </row>
    <row r="221" spans="1:27" ht="16.5" customHeight="1" x14ac:dyDescent="0.3">
      <c r="A221" s="2">
        <v>15</v>
      </c>
      <c r="B221" s="2">
        <v>9413</v>
      </c>
      <c r="C221" s="60" t="s">
        <v>9760</v>
      </c>
      <c r="D221" s="1"/>
      <c r="E221" s="68"/>
      <c r="F221" s="70"/>
      <c r="G221" s="1"/>
      <c r="H221" s="68"/>
      <c r="I221" s="70"/>
      <c r="J221" s="74" t="s">
        <v>5898</v>
      </c>
      <c r="K221" s="62"/>
      <c r="L221" s="63"/>
      <c r="M221" s="85"/>
      <c r="N221" s="64"/>
      <c r="O221" s="65"/>
      <c r="P221" s="99"/>
      <c r="Q221" s="70"/>
      <c r="R221" s="67"/>
      <c r="S221" s="68" t="s">
        <v>1</v>
      </c>
      <c r="T221" s="76">
        <v>0.25</v>
      </c>
      <c r="U221" s="70" t="s">
        <v>422</v>
      </c>
      <c r="V221" s="67"/>
      <c r="W221" s="68"/>
      <c r="X221" s="76"/>
      <c r="Y221" s="70"/>
      <c r="Z221" s="228">
        <f>ROUND((ROUND((ROUND((ROUND((_15_同援日１．０*_15・基礎２),0)*(1+_15・A早朝)),0)*(1+_15・盲ろう)),0)*(1+_15・区４)),0)+ROUND((ROUND((ROUND((_15_同援日１．０＿２．０*_15・基礎２),0)*(1+_15・盲ろう)),0)*(1+_15・区４)),0)</f>
        <v>1078</v>
      </c>
      <c r="AA221" s="69"/>
    </row>
    <row r="222" spans="1:27" ht="16.5" customHeight="1" x14ac:dyDescent="0.3">
      <c r="A222" s="2">
        <v>15</v>
      </c>
      <c r="B222" s="2">
        <v>9414</v>
      </c>
      <c r="C222" s="60" t="s">
        <v>9759</v>
      </c>
      <c r="D222" s="81"/>
      <c r="E222" s="57"/>
      <c r="F222" s="77"/>
      <c r="G222" s="81"/>
      <c r="H222" s="57"/>
      <c r="I222" s="77"/>
      <c r="J222" s="106" t="s">
        <v>5896</v>
      </c>
      <c r="K222" s="57" t="s">
        <v>1</v>
      </c>
      <c r="L222" s="58">
        <v>0.9</v>
      </c>
      <c r="M222" s="83" t="s">
        <v>5895</v>
      </c>
      <c r="N222" s="64" t="s">
        <v>1</v>
      </c>
      <c r="O222" s="65">
        <v>1</v>
      </c>
      <c r="P222" s="99"/>
      <c r="Q222" s="70"/>
      <c r="R222" s="66"/>
      <c r="S222" s="57"/>
      <c r="T222" s="58"/>
      <c r="U222" s="77"/>
      <c r="V222" s="66"/>
      <c r="W222" s="57"/>
      <c r="X222" s="58"/>
      <c r="Y222" s="77"/>
      <c r="Z222" s="228">
        <f>ROUND((ROUND((ROUND((ROUND((ROUND((_15_同援日１．０*_15・基礎２),0)*_15・２人),0)*(1+_15・A早朝)),0)*(1+_15・盲ろう)),0)*(1+_15・区４)),0)+ROUND((ROUND((ROUND((ROUND((_15_同援日１．０＿２．０*_15・基礎２),0)*_15・２人),0)*(1+_15・盲ろう)),0)*(1+_15・区４)),0)</f>
        <v>1078</v>
      </c>
      <c r="AA222" s="69"/>
    </row>
    <row r="223" spans="1:27" ht="16.5" customHeight="1" x14ac:dyDescent="0.3">
      <c r="A223" s="2">
        <v>15</v>
      </c>
      <c r="B223" s="2">
        <v>9415</v>
      </c>
      <c r="C223" s="60" t="s">
        <v>9758</v>
      </c>
      <c r="D223" s="233" t="s">
        <v>18051</v>
      </c>
      <c r="E223" s="62"/>
      <c r="F223" s="75"/>
      <c r="G223" s="233" t="s">
        <v>6001</v>
      </c>
      <c r="H223" s="62"/>
      <c r="I223" s="75"/>
      <c r="J223" s="61"/>
      <c r="K223" s="62"/>
      <c r="L223" s="63"/>
      <c r="M223" s="85"/>
      <c r="N223" s="64"/>
      <c r="O223" s="65"/>
      <c r="P223" s="99"/>
      <c r="Q223" s="70"/>
      <c r="R223" s="61"/>
      <c r="S223" s="62"/>
      <c r="T223" s="63"/>
      <c r="U223" s="75"/>
      <c r="V223" s="61"/>
      <c r="W223" s="62"/>
      <c r="X223" s="63"/>
      <c r="Y223" s="75"/>
      <c r="Z223" s="228">
        <f>ROUND((_15_同援日１．５*(1+_15・A早朝)),0)+_15_同援日１．５＿０．５</f>
        <v>590</v>
      </c>
      <c r="AA223" s="69"/>
    </row>
    <row r="224" spans="1:27" ht="16.5" customHeight="1" x14ac:dyDescent="0.3">
      <c r="A224" s="2">
        <v>15</v>
      </c>
      <c r="B224" s="2">
        <v>9416</v>
      </c>
      <c r="C224" s="60" t="s">
        <v>9757</v>
      </c>
      <c r="D224" s="1" t="s">
        <v>18048</v>
      </c>
      <c r="E224" s="68"/>
      <c r="F224" s="70"/>
      <c r="G224" s="1" t="s">
        <v>18050</v>
      </c>
      <c r="H224" s="68"/>
      <c r="I224" s="70"/>
      <c r="J224" s="66"/>
      <c r="K224" s="57"/>
      <c r="L224" s="58"/>
      <c r="M224" s="83" t="s">
        <v>5895</v>
      </c>
      <c r="N224" s="64" t="s">
        <v>1</v>
      </c>
      <c r="O224" s="65">
        <v>1</v>
      </c>
      <c r="P224" s="99"/>
      <c r="Q224" s="70"/>
      <c r="R224" s="67"/>
      <c r="S224" s="68"/>
      <c r="T224" s="76"/>
      <c r="U224" s="70"/>
      <c r="V224" s="67"/>
      <c r="W224" s="68"/>
      <c r="X224" s="76"/>
      <c r="Y224" s="70"/>
      <c r="Z224" s="228">
        <f>ROUND((ROUND((_15_同援日１．５*_15・２人),0)*(1+_15・A早朝)),0)+ROUND((_15_同援日１．５＿０．５*_15・２人),0)</f>
        <v>590</v>
      </c>
      <c r="AA224" s="69"/>
    </row>
    <row r="225" spans="1:27" ht="16.5" customHeight="1" x14ac:dyDescent="0.3">
      <c r="A225" s="2">
        <v>15</v>
      </c>
      <c r="B225" s="2">
        <v>9417</v>
      </c>
      <c r="C225" s="60" t="s">
        <v>9756</v>
      </c>
      <c r="D225" s="1" t="s">
        <v>8767</v>
      </c>
      <c r="E225" s="68"/>
      <c r="F225" s="70"/>
      <c r="G225" s="1"/>
      <c r="H225" s="68"/>
      <c r="I225" s="70"/>
      <c r="J225" s="74" t="s">
        <v>18036</v>
      </c>
      <c r="K225" s="62"/>
      <c r="L225" s="63"/>
      <c r="M225" s="85"/>
      <c r="N225" s="64"/>
      <c r="O225" s="65"/>
      <c r="P225" s="99"/>
      <c r="Q225" s="70"/>
      <c r="R225" s="67"/>
      <c r="S225" s="68"/>
      <c r="T225" s="76"/>
      <c r="U225" s="70"/>
      <c r="V225" s="67"/>
      <c r="W225" s="68"/>
      <c r="X225" s="76"/>
      <c r="Y225" s="70"/>
      <c r="Z225" s="228">
        <f>ROUND((ROUND((_15_同援日１．５*_15・基礎２),0)*(1+_15・A早朝)),0)+ROUND((_15_同援日１．５＿０．５*_15・基礎２),0)</f>
        <v>532</v>
      </c>
      <c r="AA225" s="69"/>
    </row>
    <row r="226" spans="1:27" ht="16.5" customHeight="1" x14ac:dyDescent="0.3">
      <c r="A226" s="2">
        <v>15</v>
      </c>
      <c r="B226" s="2">
        <v>9418</v>
      </c>
      <c r="C226" s="60" t="s">
        <v>9755</v>
      </c>
      <c r="D226" s="1"/>
      <c r="E226" s="227">
        <v>421</v>
      </c>
      <c r="F226" s="70" t="s">
        <v>0</v>
      </c>
      <c r="G226" s="1"/>
      <c r="H226" s="119">
        <v>64</v>
      </c>
      <c r="I226" s="70" t="s">
        <v>0</v>
      </c>
      <c r="J226" s="106" t="s">
        <v>18035</v>
      </c>
      <c r="K226" s="57" t="s">
        <v>1</v>
      </c>
      <c r="L226" s="58">
        <v>0.9</v>
      </c>
      <c r="M226" s="83" t="s">
        <v>5895</v>
      </c>
      <c r="N226" s="64" t="s">
        <v>1</v>
      </c>
      <c r="O226" s="65">
        <v>1</v>
      </c>
      <c r="P226" s="99"/>
      <c r="Q226" s="70"/>
      <c r="R226" s="66"/>
      <c r="S226" s="57"/>
      <c r="T226" s="58"/>
      <c r="U226" s="77"/>
      <c r="V226" s="67"/>
      <c r="W226" s="68"/>
      <c r="X226" s="76"/>
      <c r="Y226" s="70"/>
      <c r="Z226" s="228">
        <f>ROUND((ROUND((ROUND((_15_同援日１．５*_15・基礎２),0)*_15・２人),0)*(1+_15・A早朝)),0)+ROUND((ROUND((_15_同援日１．５＿０．５*_15・基礎２),0)*_15・２人),0)</f>
        <v>532</v>
      </c>
      <c r="AA226" s="69"/>
    </row>
    <row r="227" spans="1:27" ht="16.5" customHeight="1" x14ac:dyDescent="0.3">
      <c r="A227" s="2">
        <v>15</v>
      </c>
      <c r="B227" s="2">
        <v>9419</v>
      </c>
      <c r="C227" s="60" t="s">
        <v>9754</v>
      </c>
      <c r="D227" s="1"/>
      <c r="E227" s="68"/>
      <c r="F227" s="70"/>
      <c r="G227" s="1"/>
      <c r="H227" s="68"/>
      <c r="I227" s="70"/>
      <c r="J227" s="61"/>
      <c r="K227" s="62"/>
      <c r="L227" s="63"/>
      <c r="M227" s="85"/>
      <c r="N227" s="64"/>
      <c r="O227" s="65"/>
      <c r="P227" s="99"/>
      <c r="Q227" s="70"/>
      <c r="R227" s="74" t="s">
        <v>18038</v>
      </c>
      <c r="S227" s="62"/>
      <c r="T227" s="63"/>
      <c r="U227" s="75"/>
      <c r="V227" s="67"/>
      <c r="W227" s="68"/>
      <c r="X227" s="76"/>
      <c r="Y227" s="70"/>
      <c r="Z227" s="228">
        <f>ROUND((ROUND((_15_同援日１．５*(1+_15・A早朝)),0)*(1+_15・盲ろう)),0)+ROUND((_15_同援日１．５＿０．５*(1+_15・盲ろう)),0)</f>
        <v>738</v>
      </c>
      <c r="AA227" s="69"/>
    </row>
    <row r="228" spans="1:27" ht="16.5" customHeight="1" x14ac:dyDescent="0.3">
      <c r="A228" s="2">
        <v>15</v>
      </c>
      <c r="B228" s="2">
        <v>9420</v>
      </c>
      <c r="C228" s="60" t="s">
        <v>9753</v>
      </c>
      <c r="D228" s="1"/>
      <c r="E228" s="68"/>
      <c r="F228" s="70"/>
      <c r="G228" s="1"/>
      <c r="H228" s="68"/>
      <c r="I228" s="70"/>
      <c r="J228" s="66"/>
      <c r="K228" s="57"/>
      <c r="L228" s="58"/>
      <c r="M228" s="83" t="s">
        <v>5895</v>
      </c>
      <c r="N228" s="64" t="s">
        <v>1</v>
      </c>
      <c r="O228" s="65">
        <v>1</v>
      </c>
      <c r="P228" s="99"/>
      <c r="Q228" s="70"/>
      <c r="R228" s="94" t="s">
        <v>18037</v>
      </c>
      <c r="S228" s="68"/>
      <c r="T228" s="76"/>
      <c r="U228" s="70"/>
      <c r="V228" s="67"/>
      <c r="W228" s="68"/>
      <c r="X228" s="76"/>
      <c r="Y228" s="70"/>
      <c r="Z228" s="228">
        <f>ROUND((ROUND((ROUND((_15_同援日１．５*_15・２人),0)*(1+_15・A早朝)),0)*(1+_15・盲ろう)),0)+ROUND((ROUND((_15_同援日１．５＿０．５*_15・２人),0)*(1+_15・盲ろう)),0)</f>
        <v>738</v>
      </c>
      <c r="AA228" s="69"/>
    </row>
    <row r="229" spans="1:27" ht="16.5" customHeight="1" x14ac:dyDescent="0.3">
      <c r="A229" s="2">
        <v>15</v>
      </c>
      <c r="B229" s="2">
        <v>9421</v>
      </c>
      <c r="C229" s="60" t="s">
        <v>9752</v>
      </c>
      <c r="D229" s="1"/>
      <c r="E229" s="68"/>
      <c r="F229" s="70"/>
      <c r="G229" s="1"/>
      <c r="H229" s="68"/>
      <c r="I229" s="70"/>
      <c r="J229" s="74" t="s">
        <v>18036</v>
      </c>
      <c r="K229" s="62"/>
      <c r="L229" s="63"/>
      <c r="M229" s="85"/>
      <c r="N229" s="64"/>
      <c r="O229" s="65"/>
      <c r="P229" s="99"/>
      <c r="Q229" s="70"/>
      <c r="R229" s="67"/>
      <c r="S229" s="68" t="s">
        <v>1</v>
      </c>
      <c r="T229" s="76">
        <v>0.25</v>
      </c>
      <c r="U229" s="70" t="s">
        <v>422</v>
      </c>
      <c r="V229" s="67"/>
      <c r="W229" s="68"/>
      <c r="X229" s="76"/>
      <c r="Y229" s="70"/>
      <c r="Z229" s="228">
        <f>ROUND((ROUND((ROUND((_15_同援日１．５*_15・基礎２),0)*(1+_15・A早朝)),0)*(1+_15・盲ろう)),0)+ROUND((ROUND((_15_同援日１．５＿０．５*_15・基礎２),0)*(1+_15・盲ろう)),0)</f>
        <v>666</v>
      </c>
      <c r="AA229" s="69"/>
    </row>
    <row r="230" spans="1:27" ht="16.5" customHeight="1" x14ac:dyDescent="0.3">
      <c r="A230" s="2">
        <v>15</v>
      </c>
      <c r="B230" s="2">
        <v>9422</v>
      </c>
      <c r="C230" s="60" t="s">
        <v>9751</v>
      </c>
      <c r="D230" s="1"/>
      <c r="E230" s="68"/>
      <c r="F230" s="70"/>
      <c r="G230" s="1"/>
      <c r="H230" s="68"/>
      <c r="I230" s="70"/>
      <c r="J230" s="106" t="s">
        <v>18035</v>
      </c>
      <c r="K230" s="57" t="s">
        <v>1</v>
      </c>
      <c r="L230" s="58">
        <v>0.9</v>
      </c>
      <c r="M230" s="83" t="s">
        <v>5895</v>
      </c>
      <c r="N230" s="64" t="s">
        <v>1</v>
      </c>
      <c r="O230" s="65">
        <v>1</v>
      </c>
      <c r="P230" s="99"/>
      <c r="Q230" s="70"/>
      <c r="R230" s="66"/>
      <c r="S230" s="57"/>
      <c r="T230" s="58"/>
      <c r="U230" s="77"/>
      <c r="V230" s="66"/>
      <c r="W230" s="57"/>
      <c r="X230" s="58"/>
      <c r="Y230" s="77"/>
      <c r="Z230" s="228">
        <f>ROUND((ROUND((ROUND((ROUND((_15_同援日１．５*_15・基礎２),0)*_15・２人),0)*(1+_15・A早朝)),0)*(1+_15・盲ろう)),0)+ROUND((ROUND((ROUND((_15_同援日１．５＿０．５*_15・基礎２),0)*_15・２人),0)*(1+_15・盲ろう)),0)</f>
        <v>666</v>
      </c>
      <c r="AA230" s="69"/>
    </row>
    <row r="231" spans="1:27" ht="16.5" customHeight="1" x14ac:dyDescent="0.3">
      <c r="A231" s="2">
        <v>15</v>
      </c>
      <c r="B231" s="2">
        <v>9423</v>
      </c>
      <c r="C231" s="60" t="s">
        <v>9750</v>
      </c>
      <c r="D231" s="1"/>
      <c r="E231" s="68"/>
      <c r="F231" s="70"/>
      <c r="G231" s="1"/>
      <c r="H231" s="68"/>
      <c r="I231" s="70"/>
      <c r="J231" s="61"/>
      <c r="K231" s="62"/>
      <c r="L231" s="63"/>
      <c r="M231" s="85"/>
      <c r="N231" s="64"/>
      <c r="O231" s="65"/>
      <c r="P231" s="99"/>
      <c r="Q231" s="70"/>
      <c r="R231" s="61"/>
      <c r="S231" s="62"/>
      <c r="T231" s="63"/>
      <c r="U231" s="75"/>
      <c r="V231" s="61"/>
      <c r="W231" s="62"/>
      <c r="X231" s="63"/>
      <c r="Y231" s="75"/>
      <c r="Z231" s="228">
        <f>ROUND((ROUND((_15_同援日１．５*(1+_15・A早朝)),0)*(1+_15・区３)),0)+ROUND((_15_同援日１．５＿０．５*(1+_15・区３)),0)</f>
        <v>708</v>
      </c>
      <c r="AA231" s="69"/>
    </row>
    <row r="232" spans="1:27" ht="16.5" customHeight="1" x14ac:dyDescent="0.3">
      <c r="A232" s="2">
        <v>15</v>
      </c>
      <c r="B232" s="2">
        <v>9424</v>
      </c>
      <c r="C232" s="60" t="s">
        <v>9749</v>
      </c>
      <c r="D232" s="1"/>
      <c r="E232" s="68"/>
      <c r="F232" s="70"/>
      <c r="G232" s="1"/>
      <c r="H232" s="68"/>
      <c r="I232" s="70"/>
      <c r="J232" s="66"/>
      <c r="K232" s="57"/>
      <c r="L232" s="58"/>
      <c r="M232" s="83" t="s">
        <v>5895</v>
      </c>
      <c r="N232" s="64" t="s">
        <v>1</v>
      </c>
      <c r="O232" s="65">
        <v>1</v>
      </c>
      <c r="P232" s="99"/>
      <c r="Q232" s="70"/>
      <c r="R232" s="67"/>
      <c r="S232" s="68"/>
      <c r="T232" s="76"/>
      <c r="U232" s="70"/>
      <c r="V232" s="67"/>
      <c r="W232" s="68"/>
      <c r="X232" s="76"/>
      <c r="Y232" s="70"/>
      <c r="Z232" s="228">
        <f>ROUND((ROUND((ROUND((_15_同援日１．５*_15・２人),0)*(1+_15・A早朝)),0)*(1+_15・区３)),0)+ROUND((ROUND((_15_同援日１．５＿０．５*_15・２人),0)*(1+_15・区３)),0)</f>
        <v>708</v>
      </c>
      <c r="AA232" s="69"/>
    </row>
    <row r="233" spans="1:27" ht="16.5" customHeight="1" x14ac:dyDescent="0.3">
      <c r="A233" s="2">
        <v>15</v>
      </c>
      <c r="B233" s="2">
        <v>9425</v>
      </c>
      <c r="C233" s="60" t="s">
        <v>9748</v>
      </c>
      <c r="D233" s="1"/>
      <c r="E233" s="68"/>
      <c r="F233" s="70"/>
      <c r="G233" s="1"/>
      <c r="H233" s="68"/>
      <c r="I233" s="70"/>
      <c r="J233" s="74" t="s">
        <v>18036</v>
      </c>
      <c r="K233" s="62"/>
      <c r="L233" s="63"/>
      <c r="M233" s="85"/>
      <c r="N233" s="64"/>
      <c r="O233" s="65"/>
      <c r="P233" s="99"/>
      <c r="Q233" s="70"/>
      <c r="R233" s="67"/>
      <c r="S233" s="68"/>
      <c r="T233" s="76"/>
      <c r="U233" s="70"/>
      <c r="V233" s="1" t="s">
        <v>18041</v>
      </c>
      <c r="W233" s="68"/>
      <c r="X233" s="76"/>
      <c r="Y233" s="70"/>
      <c r="Z233" s="228">
        <f>ROUND((ROUND((ROUND((_15_同援日１．５*_15・基礎２),0)*(1+_15・A早朝)),0)*(1+_15・区３)),0)+ROUND((ROUND((_15_同援日１．５＿０．５*_15・基礎２),0)*(1+_15・区３)),0)</f>
        <v>639</v>
      </c>
      <c r="AA233" s="69"/>
    </row>
    <row r="234" spans="1:27" ht="16.5" customHeight="1" x14ac:dyDescent="0.3">
      <c r="A234" s="2">
        <v>15</v>
      </c>
      <c r="B234" s="2">
        <v>9426</v>
      </c>
      <c r="C234" s="60" t="s">
        <v>9747</v>
      </c>
      <c r="D234" s="1"/>
      <c r="E234" s="68"/>
      <c r="F234" s="70"/>
      <c r="G234" s="1"/>
      <c r="H234" s="68"/>
      <c r="I234" s="70"/>
      <c r="J234" s="106" t="s">
        <v>18035</v>
      </c>
      <c r="K234" s="57" t="s">
        <v>1</v>
      </c>
      <c r="L234" s="58">
        <v>0.9</v>
      </c>
      <c r="M234" s="83" t="s">
        <v>5895</v>
      </c>
      <c r="N234" s="64" t="s">
        <v>1</v>
      </c>
      <c r="O234" s="65">
        <v>1</v>
      </c>
      <c r="P234" s="99"/>
      <c r="Q234" s="70"/>
      <c r="R234" s="66"/>
      <c r="S234" s="57"/>
      <c r="T234" s="58"/>
      <c r="U234" s="77"/>
      <c r="V234" s="1" t="s">
        <v>8087</v>
      </c>
      <c r="W234" s="68"/>
      <c r="X234" s="76"/>
      <c r="Y234" s="70"/>
      <c r="Z234" s="228">
        <f>ROUND((ROUND((ROUND((ROUND((_15_同援日１．５*_15・基礎２),0)*_15・２人),0)*(1+_15・A早朝)),0)*(1+_15・区３)),0)+ROUND((ROUND((ROUND((_15_同援日１．５＿０．５*_15・基礎２),0)*_15・２人),0)*(1+_15・区３)),0)</f>
        <v>639</v>
      </c>
      <c r="AA234" s="69"/>
    </row>
    <row r="235" spans="1:27" ht="16.5" customHeight="1" x14ac:dyDescent="0.3">
      <c r="A235" s="2">
        <v>15</v>
      </c>
      <c r="B235" s="2">
        <v>9427</v>
      </c>
      <c r="C235" s="60" t="s">
        <v>9746</v>
      </c>
      <c r="D235" s="1"/>
      <c r="E235" s="68"/>
      <c r="F235" s="70"/>
      <c r="G235" s="1"/>
      <c r="H235" s="68"/>
      <c r="I235" s="70"/>
      <c r="J235" s="61"/>
      <c r="K235" s="62"/>
      <c r="L235" s="63"/>
      <c r="M235" s="85"/>
      <c r="N235" s="64"/>
      <c r="O235" s="65"/>
      <c r="P235" s="99"/>
      <c r="Q235" s="70"/>
      <c r="R235" s="74" t="s">
        <v>8085</v>
      </c>
      <c r="S235" s="62"/>
      <c r="T235" s="63"/>
      <c r="U235" s="75"/>
      <c r="V235" s="67"/>
      <c r="W235" s="68" t="s">
        <v>1</v>
      </c>
      <c r="X235" s="76">
        <v>0.2</v>
      </c>
      <c r="Y235" s="70" t="s">
        <v>422</v>
      </c>
      <c r="Z235" s="228">
        <f>ROUND((ROUND((ROUND((_15_同援日１．５*(1+_15・A早朝)),0)*(1+_15・盲ろう)),0)*(1+_15・区３)),0)+ROUND((ROUND((_15_同援日１．５＿０．５*(1+_15・盲ろう)),0)*(1+_15・区３)),0)</f>
        <v>886</v>
      </c>
      <c r="AA235" s="69"/>
    </row>
    <row r="236" spans="1:27" ht="16.5" customHeight="1" x14ac:dyDescent="0.3">
      <c r="A236" s="2">
        <v>15</v>
      </c>
      <c r="B236" s="2">
        <v>9428</v>
      </c>
      <c r="C236" s="60" t="s">
        <v>9745</v>
      </c>
      <c r="D236" s="1"/>
      <c r="E236" s="68"/>
      <c r="F236" s="70"/>
      <c r="G236" s="1"/>
      <c r="H236" s="68"/>
      <c r="I236" s="70"/>
      <c r="J236" s="66"/>
      <c r="K236" s="57"/>
      <c r="L236" s="58"/>
      <c r="M236" s="83" t="s">
        <v>5895</v>
      </c>
      <c r="N236" s="64" t="s">
        <v>1</v>
      </c>
      <c r="O236" s="65">
        <v>1</v>
      </c>
      <c r="P236" s="99"/>
      <c r="Q236" s="70"/>
      <c r="R236" s="94" t="s">
        <v>18037</v>
      </c>
      <c r="S236" s="68"/>
      <c r="T236" s="76"/>
      <c r="U236" s="70"/>
      <c r="V236" s="67"/>
      <c r="W236" s="68"/>
      <c r="X236" s="76"/>
      <c r="Y236" s="70"/>
      <c r="Z236" s="228">
        <f>ROUND((ROUND((ROUND((ROUND((_15_同援日１．５*_15・２人),0)*(1+_15・A早朝)),0)*(1+_15・盲ろう)),0)*(1+_15・区３)),0)+ROUND((ROUND((ROUND((_15_同援日１．５＿０．５*_15・２人),0)*(1+_15・盲ろう)),0)*(1+_15・区３)),0)</f>
        <v>886</v>
      </c>
      <c r="AA236" s="69"/>
    </row>
    <row r="237" spans="1:27" ht="16.5" customHeight="1" x14ac:dyDescent="0.3">
      <c r="A237" s="2">
        <v>15</v>
      </c>
      <c r="B237" s="2">
        <v>9429</v>
      </c>
      <c r="C237" s="60" t="s">
        <v>9744</v>
      </c>
      <c r="D237" s="1"/>
      <c r="E237" s="68"/>
      <c r="F237" s="70"/>
      <c r="G237" s="1"/>
      <c r="H237" s="68"/>
      <c r="I237" s="70"/>
      <c r="J237" s="74" t="s">
        <v>5898</v>
      </c>
      <c r="K237" s="62"/>
      <c r="L237" s="63"/>
      <c r="M237" s="85"/>
      <c r="N237" s="64"/>
      <c r="O237" s="65"/>
      <c r="P237" s="99"/>
      <c r="Q237" s="70"/>
      <c r="R237" s="67"/>
      <c r="S237" s="68" t="s">
        <v>1</v>
      </c>
      <c r="T237" s="76">
        <v>0.25</v>
      </c>
      <c r="U237" s="70" t="s">
        <v>422</v>
      </c>
      <c r="V237" s="67"/>
      <c r="W237" s="68"/>
      <c r="X237" s="76"/>
      <c r="Y237" s="70"/>
      <c r="Z237" s="228">
        <f>ROUND((ROUND((ROUND((ROUND((_15_同援日１．５*_15・基礎２),0)*(1+_15・A早朝)),0)*(1+_15・盲ろう)),0)*(1+_15・区３)),0)+ROUND((ROUND((ROUND((_15_同援日１．５＿０．５*_15・基礎２),0)*(1+_15・盲ろう)),0)*(1+_15・区３)),0)</f>
        <v>800</v>
      </c>
      <c r="AA237" s="69"/>
    </row>
    <row r="238" spans="1:27" ht="16.5" customHeight="1" x14ac:dyDescent="0.3">
      <c r="A238" s="2">
        <v>15</v>
      </c>
      <c r="B238" s="2">
        <v>9430</v>
      </c>
      <c r="C238" s="60" t="s">
        <v>9743</v>
      </c>
      <c r="D238" s="1"/>
      <c r="E238" s="68"/>
      <c r="F238" s="70"/>
      <c r="G238" s="1"/>
      <c r="H238" s="68"/>
      <c r="I238" s="70"/>
      <c r="J238" s="106" t="s">
        <v>18035</v>
      </c>
      <c r="K238" s="57" t="s">
        <v>1</v>
      </c>
      <c r="L238" s="58">
        <v>0.9</v>
      </c>
      <c r="M238" s="83" t="s">
        <v>5895</v>
      </c>
      <c r="N238" s="64" t="s">
        <v>1</v>
      </c>
      <c r="O238" s="65">
        <v>1</v>
      </c>
      <c r="P238" s="99"/>
      <c r="Q238" s="70"/>
      <c r="R238" s="66"/>
      <c r="S238" s="57"/>
      <c r="T238" s="58"/>
      <c r="U238" s="77"/>
      <c r="V238" s="66"/>
      <c r="W238" s="57"/>
      <c r="X238" s="58"/>
      <c r="Y238" s="77"/>
      <c r="Z238" s="228">
        <f>ROUND((ROUND((ROUND((ROUND((ROUND((_15_同援日１．５*_15・基礎２),0)*_15・２人),0)*(1+_15・A早朝)),0)*(1+_15・盲ろう)),0)*(1+_15・区３)),0)+ROUND((ROUND((ROUND((ROUND((_15_同援日１．５＿０．５*_15・基礎２),0)*_15・２人),0)*(1+_15・盲ろう)),0)*(1+_15・区３)),0)</f>
        <v>800</v>
      </c>
      <c r="AA238" s="69"/>
    </row>
    <row r="239" spans="1:27" ht="16.5" customHeight="1" x14ac:dyDescent="0.3">
      <c r="A239" s="2">
        <v>15</v>
      </c>
      <c r="B239" s="2">
        <v>9431</v>
      </c>
      <c r="C239" s="60" t="s">
        <v>9742</v>
      </c>
      <c r="D239" s="1"/>
      <c r="E239" s="68"/>
      <c r="F239" s="70"/>
      <c r="G239" s="1"/>
      <c r="H239" s="68"/>
      <c r="I239" s="70"/>
      <c r="J239" s="61"/>
      <c r="K239" s="62"/>
      <c r="L239" s="63"/>
      <c r="M239" s="85"/>
      <c r="N239" s="64"/>
      <c r="O239" s="65"/>
      <c r="P239" s="99"/>
      <c r="Q239" s="70"/>
      <c r="R239" s="61"/>
      <c r="S239" s="62"/>
      <c r="T239" s="63"/>
      <c r="U239" s="75"/>
      <c r="V239" s="61"/>
      <c r="W239" s="62"/>
      <c r="X239" s="63"/>
      <c r="Y239" s="75"/>
      <c r="Z239" s="228">
        <f>ROUND((ROUND((_15_同援日１．５*(1+_15・A早朝)),0)*(1+_15・区４)),0)+ROUND((_15_同援日１．５＿０．５*(1+_15・区４)),0)</f>
        <v>826</v>
      </c>
      <c r="AA239" s="69"/>
    </row>
    <row r="240" spans="1:27" ht="16.5" customHeight="1" x14ac:dyDescent="0.3">
      <c r="A240" s="2">
        <v>15</v>
      </c>
      <c r="B240" s="2">
        <v>9432</v>
      </c>
      <c r="C240" s="60" t="s">
        <v>9741</v>
      </c>
      <c r="D240" s="1"/>
      <c r="E240" s="68"/>
      <c r="F240" s="70"/>
      <c r="G240" s="1"/>
      <c r="H240" s="68"/>
      <c r="I240" s="70"/>
      <c r="J240" s="66"/>
      <c r="K240" s="57"/>
      <c r="L240" s="58"/>
      <c r="M240" s="83" t="s">
        <v>5895</v>
      </c>
      <c r="N240" s="64" t="s">
        <v>1</v>
      </c>
      <c r="O240" s="65">
        <v>1</v>
      </c>
      <c r="P240" s="99"/>
      <c r="Q240" s="70"/>
      <c r="R240" s="67"/>
      <c r="S240" s="68"/>
      <c r="T240" s="76"/>
      <c r="U240" s="70"/>
      <c r="V240" s="67"/>
      <c r="W240" s="68"/>
      <c r="X240" s="76"/>
      <c r="Y240" s="70"/>
      <c r="Z240" s="228">
        <f>ROUND((ROUND((ROUND((_15_同援日１．５*_15・２人),0)*(1+_15・A早朝)),0)*(1+_15・区４)),0)+ROUND((ROUND((_15_同援日１．５＿０．５*_15・２人),0)*(1+_15・区４)),0)</f>
        <v>826</v>
      </c>
      <c r="AA240" s="69"/>
    </row>
    <row r="241" spans="1:27" ht="16.5" customHeight="1" x14ac:dyDescent="0.3">
      <c r="A241" s="2">
        <v>15</v>
      </c>
      <c r="B241" s="2">
        <v>9433</v>
      </c>
      <c r="C241" s="60" t="s">
        <v>9740</v>
      </c>
      <c r="D241" s="1"/>
      <c r="E241" s="68"/>
      <c r="F241" s="70"/>
      <c r="G241" s="1"/>
      <c r="H241" s="68"/>
      <c r="I241" s="70"/>
      <c r="J241" s="74" t="s">
        <v>18036</v>
      </c>
      <c r="K241" s="62"/>
      <c r="L241" s="63"/>
      <c r="M241" s="85"/>
      <c r="N241" s="64"/>
      <c r="O241" s="65"/>
      <c r="P241" s="99"/>
      <c r="Q241" s="70"/>
      <c r="R241" s="67"/>
      <c r="S241" s="68"/>
      <c r="T241" s="76"/>
      <c r="U241" s="70"/>
      <c r="V241" s="1" t="s">
        <v>18040</v>
      </c>
      <c r="W241" s="68"/>
      <c r="X241" s="76"/>
      <c r="Y241" s="70"/>
      <c r="Z241" s="228">
        <f>ROUND((ROUND((ROUND((_15_同援日１．５*_15・基礎２),0)*(1+_15・A早朝)),0)*(1+_15・区４)),0)+ROUND((ROUND((_15_同援日１．５＿０．５*_15・基礎２),0)*(1+_15・区４)),0)</f>
        <v>745</v>
      </c>
      <c r="AA241" s="69"/>
    </row>
    <row r="242" spans="1:27" ht="16.5" customHeight="1" x14ac:dyDescent="0.3">
      <c r="A242" s="2">
        <v>15</v>
      </c>
      <c r="B242" s="2">
        <v>9434</v>
      </c>
      <c r="C242" s="60" t="s">
        <v>9739</v>
      </c>
      <c r="D242" s="1"/>
      <c r="E242" s="68"/>
      <c r="F242" s="70"/>
      <c r="G242" s="1"/>
      <c r="H242" s="68"/>
      <c r="I242" s="70"/>
      <c r="J242" s="106" t="s">
        <v>5896</v>
      </c>
      <c r="K242" s="57" t="s">
        <v>1</v>
      </c>
      <c r="L242" s="58">
        <v>0.9</v>
      </c>
      <c r="M242" s="83" t="s">
        <v>5895</v>
      </c>
      <c r="N242" s="64" t="s">
        <v>1</v>
      </c>
      <c r="O242" s="65">
        <v>1</v>
      </c>
      <c r="P242" s="99"/>
      <c r="Q242" s="70"/>
      <c r="R242" s="66"/>
      <c r="S242" s="57"/>
      <c r="T242" s="58"/>
      <c r="U242" s="77"/>
      <c r="V242" s="1" t="s">
        <v>8087</v>
      </c>
      <c r="W242" s="68"/>
      <c r="X242" s="76"/>
      <c r="Y242" s="70"/>
      <c r="Z242" s="228">
        <f>ROUND((ROUND((ROUND((ROUND((_15_同援日１．５*_15・基礎２),0)*_15・２人),0)*(1+_15・A早朝)),0)*(1+_15・区４)),0)+ROUND((ROUND((ROUND((_15_同援日１．５＿０．５*_15・基礎２),0)*_15・２人),0)*(1+_15・区４)),0)</f>
        <v>745</v>
      </c>
      <c r="AA242" s="69"/>
    </row>
    <row r="243" spans="1:27" ht="16.5" customHeight="1" x14ac:dyDescent="0.3">
      <c r="A243" s="2">
        <v>15</v>
      </c>
      <c r="B243" s="2">
        <v>9435</v>
      </c>
      <c r="C243" s="60" t="s">
        <v>9738</v>
      </c>
      <c r="D243" s="1"/>
      <c r="E243" s="68"/>
      <c r="F243" s="70"/>
      <c r="G243" s="1"/>
      <c r="H243" s="68"/>
      <c r="I243" s="70"/>
      <c r="J243" s="61"/>
      <c r="K243" s="62"/>
      <c r="L243" s="63"/>
      <c r="M243" s="85"/>
      <c r="N243" s="64"/>
      <c r="O243" s="65"/>
      <c r="P243" s="99"/>
      <c r="Q243" s="70"/>
      <c r="R243" s="74" t="s">
        <v>18038</v>
      </c>
      <c r="S243" s="62"/>
      <c r="T243" s="63"/>
      <c r="U243" s="75"/>
      <c r="V243" s="67"/>
      <c r="W243" s="68" t="s">
        <v>1</v>
      </c>
      <c r="X243" s="76">
        <v>0.4</v>
      </c>
      <c r="Y243" s="70" t="s">
        <v>422</v>
      </c>
      <c r="Z243" s="228">
        <f>ROUND((ROUND((ROUND((_15_同援日１．５*(1+_15・A早朝)),0)*(1+_15・盲ろう)),0)*(1+_15・区４)),0)+ROUND((ROUND((_15_同援日１．５＿０．５*(1+_15・盲ろう)),0)*(1+_15・区４)),0)</f>
        <v>1033</v>
      </c>
      <c r="AA243" s="69"/>
    </row>
    <row r="244" spans="1:27" ht="16.5" customHeight="1" x14ac:dyDescent="0.3">
      <c r="A244" s="2">
        <v>15</v>
      </c>
      <c r="B244" s="2">
        <v>9436</v>
      </c>
      <c r="C244" s="60" t="s">
        <v>9737</v>
      </c>
      <c r="D244" s="1"/>
      <c r="E244" s="68"/>
      <c r="F244" s="70"/>
      <c r="G244" s="1"/>
      <c r="H244" s="68"/>
      <c r="I244" s="70"/>
      <c r="J244" s="66"/>
      <c r="K244" s="57"/>
      <c r="L244" s="58"/>
      <c r="M244" s="83" t="s">
        <v>5895</v>
      </c>
      <c r="N244" s="64" t="s">
        <v>1</v>
      </c>
      <c r="O244" s="65">
        <v>1</v>
      </c>
      <c r="P244" s="99"/>
      <c r="Q244" s="70"/>
      <c r="R244" s="94" t="s">
        <v>18037</v>
      </c>
      <c r="S244" s="68"/>
      <c r="T244" s="76"/>
      <c r="U244" s="70"/>
      <c r="V244" s="67"/>
      <c r="W244" s="68"/>
      <c r="X244" s="76"/>
      <c r="Y244" s="70"/>
      <c r="Z244" s="228">
        <f>ROUND((ROUND((ROUND((ROUND((_15_同援日１．５*_15・２人),0)*(1+_15・A早朝)),0)*(1+_15・盲ろう)),0)*(1+_15・区４)),0)+ROUND((ROUND((ROUND((_15_同援日１．５＿０．５*_15・２人),0)*(1+_15・盲ろう)),0)*(1+_15・区４)),0)</f>
        <v>1033</v>
      </c>
      <c r="AA244" s="69"/>
    </row>
    <row r="245" spans="1:27" ht="16.5" customHeight="1" x14ac:dyDescent="0.3">
      <c r="A245" s="2">
        <v>15</v>
      </c>
      <c r="B245" s="2">
        <v>9437</v>
      </c>
      <c r="C245" s="60" t="s">
        <v>9736</v>
      </c>
      <c r="D245" s="1"/>
      <c r="E245" s="68"/>
      <c r="F245" s="70"/>
      <c r="G245" s="1"/>
      <c r="H245" s="68"/>
      <c r="I245" s="70"/>
      <c r="J245" s="74" t="s">
        <v>5898</v>
      </c>
      <c r="K245" s="62"/>
      <c r="L245" s="63"/>
      <c r="M245" s="85"/>
      <c r="N245" s="64"/>
      <c r="O245" s="65"/>
      <c r="P245" s="99"/>
      <c r="Q245" s="70"/>
      <c r="R245" s="67"/>
      <c r="S245" s="68" t="s">
        <v>1</v>
      </c>
      <c r="T245" s="76">
        <v>0.25</v>
      </c>
      <c r="U245" s="70" t="s">
        <v>422</v>
      </c>
      <c r="V245" s="67"/>
      <c r="W245" s="68"/>
      <c r="X245" s="76"/>
      <c r="Y245" s="70"/>
      <c r="Z245" s="228">
        <f>ROUND((ROUND((ROUND((ROUND((_15_同援日１．５*_15・基礎２),0)*(1+_15・A早朝)),0)*(1+_15・盲ろう)),0)*(1+_15・区４)),0)+ROUND((ROUND((ROUND((_15_同援日１．５＿０．５*_15・基礎２),0)*(1+_15・盲ろう)),0)*(1+_15・区４)),0)</f>
        <v>932</v>
      </c>
      <c r="AA245" s="69"/>
    </row>
    <row r="246" spans="1:27" ht="16.5" customHeight="1" x14ac:dyDescent="0.3">
      <c r="A246" s="2">
        <v>15</v>
      </c>
      <c r="B246" s="2">
        <v>9438</v>
      </c>
      <c r="C246" s="60" t="s">
        <v>9735</v>
      </c>
      <c r="D246" s="1"/>
      <c r="E246" s="68"/>
      <c r="F246" s="70"/>
      <c r="G246" s="81"/>
      <c r="H246" s="57"/>
      <c r="I246" s="77"/>
      <c r="J246" s="106" t="s">
        <v>5896</v>
      </c>
      <c r="K246" s="57" t="s">
        <v>1</v>
      </c>
      <c r="L246" s="58">
        <v>0.9</v>
      </c>
      <c r="M246" s="83" t="s">
        <v>5895</v>
      </c>
      <c r="N246" s="64" t="s">
        <v>1</v>
      </c>
      <c r="O246" s="65">
        <v>1</v>
      </c>
      <c r="P246" s="99"/>
      <c r="Q246" s="70"/>
      <c r="R246" s="66"/>
      <c r="S246" s="57"/>
      <c r="T246" s="58"/>
      <c r="U246" s="77"/>
      <c r="V246" s="66"/>
      <c r="W246" s="57"/>
      <c r="X246" s="58"/>
      <c r="Y246" s="77"/>
      <c r="Z246" s="228">
        <f>ROUND((ROUND((ROUND((ROUND((ROUND((_15_同援日１．５*_15・基礎２),0)*_15・２人),0)*(1+_15・A早朝)),0)*(1+_15・盲ろう)),0)*(1+_15・区４)),0)+ROUND((ROUND((ROUND((ROUND((_15_同援日１．５＿０．５*_15・基礎２),0)*_15・２人),0)*(1+_15・盲ろう)),0)*(1+_15・区４)),0)</f>
        <v>932</v>
      </c>
      <c r="AA246" s="69"/>
    </row>
    <row r="247" spans="1:27" ht="16.5" customHeight="1" x14ac:dyDescent="0.3">
      <c r="A247" s="2">
        <v>15</v>
      </c>
      <c r="B247" s="2">
        <v>9439</v>
      </c>
      <c r="C247" s="60" t="s">
        <v>9734</v>
      </c>
      <c r="D247" s="1"/>
      <c r="E247" s="68"/>
      <c r="F247" s="70"/>
      <c r="G247" s="233" t="s">
        <v>18046</v>
      </c>
      <c r="H247" s="62"/>
      <c r="I247" s="75"/>
      <c r="J247" s="61"/>
      <c r="K247" s="62"/>
      <c r="L247" s="63"/>
      <c r="M247" s="85"/>
      <c r="N247" s="64"/>
      <c r="O247" s="65"/>
      <c r="P247" s="99"/>
      <c r="Q247" s="70"/>
      <c r="R247" s="61"/>
      <c r="S247" s="62"/>
      <c r="T247" s="63"/>
      <c r="U247" s="75"/>
      <c r="V247" s="61"/>
      <c r="W247" s="62"/>
      <c r="X247" s="63"/>
      <c r="Y247" s="75"/>
      <c r="Z247" s="228">
        <f>ROUND((_15_同援日１．５*(1+_15・A早朝)),0)+_15_同援日１．５＿１．０</f>
        <v>653</v>
      </c>
      <c r="AA247" s="69"/>
    </row>
    <row r="248" spans="1:27" ht="16.5" customHeight="1" x14ac:dyDescent="0.3">
      <c r="A248" s="2">
        <v>15</v>
      </c>
      <c r="B248" s="2">
        <v>9440</v>
      </c>
      <c r="C248" s="60" t="s">
        <v>9733</v>
      </c>
      <c r="D248" s="1"/>
      <c r="E248" s="68"/>
      <c r="F248" s="70"/>
      <c r="G248" s="1" t="s">
        <v>18045</v>
      </c>
      <c r="H248" s="68"/>
      <c r="I248" s="70"/>
      <c r="J248" s="66"/>
      <c r="K248" s="57"/>
      <c r="L248" s="58"/>
      <c r="M248" s="83" t="s">
        <v>5895</v>
      </c>
      <c r="N248" s="64" t="s">
        <v>1</v>
      </c>
      <c r="O248" s="65">
        <v>1</v>
      </c>
      <c r="P248" s="99"/>
      <c r="Q248" s="70"/>
      <c r="R248" s="67"/>
      <c r="S248" s="68"/>
      <c r="T248" s="76"/>
      <c r="U248" s="70"/>
      <c r="V248" s="67"/>
      <c r="W248" s="68"/>
      <c r="X248" s="76"/>
      <c r="Y248" s="70"/>
      <c r="Z248" s="228">
        <f>ROUND((ROUND((_15_同援日１．５*_15・２人),0)*(1+_15・A早朝)),0)+ROUND((_15_同援日１．５＿１．０*_15・２人),0)</f>
        <v>653</v>
      </c>
      <c r="AA248" s="69"/>
    </row>
    <row r="249" spans="1:27" ht="16.5" customHeight="1" x14ac:dyDescent="0.3">
      <c r="A249" s="2">
        <v>15</v>
      </c>
      <c r="B249" s="2">
        <v>9441</v>
      </c>
      <c r="C249" s="60" t="s">
        <v>9732</v>
      </c>
      <c r="D249" s="1"/>
      <c r="E249" s="68"/>
      <c r="F249" s="70"/>
      <c r="G249" s="1" t="s">
        <v>8572</v>
      </c>
      <c r="H249" s="68"/>
      <c r="I249" s="70"/>
      <c r="J249" s="74" t="s">
        <v>5898</v>
      </c>
      <c r="K249" s="62"/>
      <c r="L249" s="63"/>
      <c r="M249" s="85"/>
      <c r="N249" s="64"/>
      <c r="O249" s="65"/>
      <c r="P249" s="99"/>
      <c r="Q249" s="70"/>
      <c r="R249" s="67"/>
      <c r="S249" s="68"/>
      <c r="T249" s="76"/>
      <c r="U249" s="70"/>
      <c r="V249" s="67"/>
      <c r="W249" s="68"/>
      <c r="X249" s="76"/>
      <c r="Y249" s="70"/>
      <c r="Z249" s="228">
        <f>ROUND((ROUND((_15_同援日１．５*_15・基礎２),0)*(1+_15・A早朝)),0)+ROUND((_15_同援日１．５＿１．０*_15・基礎２),0)</f>
        <v>588</v>
      </c>
      <c r="AA249" s="69"/>
    </row>
    <row r="250" spans="1:27" ht="16.5" customHeight="1" x14ac:dyDescent="0.3">
      <c r="A250" s="2">
        <v>15</v>
      </c>
      <c r="B250" s="2">
        <v>9442</v>
      </c>
      <c r="C250" s="60" t="s">
        <v>9731</v>
      </c>
      <c r="D250" s="1"/>
      <c r="E250" s="68"/>
      <c r="F250" s="70"/>
      <c r="G250" s="1"/>
      <c r="H250" s="119">
        <v>127</v>
      </c>
      <c r="I250" s="70" t="s">
        <v>0</v>
      </c>
      <c r="J250" s="106" t="s">
        <v>18035</v>
      </c>
      <c r="K250" s="57" t="s">
        <v>1</v>
      </c>
      <c r="L250" s="58">
        <v>0.9</v>
      </c>
      <c r="M250" s="83" t="s">
        <v>5895</v>
      </c>
      <c r="N250" s="64" t="s">
        <v>1</v>
      </c>
      <c r="O250" s="65">
        <v>1</v>
      </c>
      <c r="P250" s="99"/>
      <c r="Q250" s="70"/>
      <c r="R250" s="66"/>
      <c r="S250" s="57"/>
      <c r="T250" s="58"/>
      <c r="U250" s="77"/>
      <c r="V250" s="67"/>
      <c r="W250" s="68"/>
      <c r="X250" s="76"/>
      <c r="Y250" s="70"/>
      <c r="Z250" s="228">
        <f>ROUND((ROUND((ROUND((_15_同援日１．５*_15・基礎２),0)*_15・２人),0)*(1+_15・A早朝)),0)+ROUND((ROUND((_15_同援日１．５＿１．０*_15・基礎２),0)*_15・２人),0)</f>
        <v>588</v>
      </c>
      <c r="AA250" s="69"/>
    </row>
    <row r="251" spans="1:27" ht="16.5" customHeight="1" x14ac:dyDescent="0.3">
      <c r="A251" s="2">
        <v>15</v>
      </c>
      <c r="B251" s="2">
        <v>9443</v>
      </c>
      <c r="C251" s="60" t="s">
        <v>9730</v>
      </c>
      <c r="D251" s="1"/>
      <c r="E251" s="68"/>
      <c r="F251" s="70"/>
      <c r="G251" s="1"/>
      <c r="H251" s="68"/>
      <c r="I251" s="70"/>
      <c r="J251" s="61"/>
      <c r="K251" s="62"/>
      <c r="L251" s="63"/>
      <c r="M251" s="85"/>
      <c r="N251" s="64"/>
      <c r="O251" s="65"/>
      <c r="P251" s="99"/>
      <c r="Q251" s="70"/>
      <c r="R251" s="74" t="s">
        <v>18038</v>
      </c>
      <c r="S251" s="62"/>
      <c r="T251" s="63"/>
      <c r="U251" s="75"/>
      <c r="V251" s="67"/>
      <c r="W251" s="68"/>
      <c r="X251" s="76"/>
      <c r="Y251" s="70"/>
      <c r="Z251" s="228">
        <f>ROUND((ROUND((_15_同援日１．５*(1+_15・A早朝)),0)*(1+_15・盲ろう)),0)+ROUND((_15_同援日１．５＿１．０*(1+_15・盲ろう)),0)</f>
        <v>817</v>
      </c>
      <c r="AA251" s="69"/>
    </row>
    <row r="252" spans="1:27" ht="16.5" customHeight="1" x14ac:dyDescent="0.3">
      <c r="A252" s="2">
        <v>15</v>
      </c>
      <c r="B252" s="2">
        <v>9444</v>
      </c>
      <c r="C252" s="60" t="s">
        <v>9729</v>
      </c>
      <c r="D252" s="1"/>
      <c r="E252" s="68"/>
      <c r="F252" s="70"/>
      <c r="G252" s="1"/>
      <c r="H252" s="68"/>
      <c r="I252" s="70"/>
      <c r="J252" s="66"/>
      <c r="K252" s="57"/>
      <c r="L252" s="58"/>
      <c r="M252" s="83" t="s">
        <v>5895</v>
      </c>
      <c r="N252" s="64" t="s">
        <v>1</v>
      </c>
      <c r="O252" s="65">
        <v>1</v>
      </c>
      <c r="P252" s="99"/>
      <c r="Q252" s="70"/>
      <c r="R252" s="94" t="s">
        <v>18037</v>
      </c>
      <c r="S252" s="68"/>
      <c r="T252" s="76"/>
      <c r="U252" s="70"/>
      <c r="V252" s="67"/>
      <c r="W252" s="68"/>
      <c r="X252" s="76"/>
      <c r="Y252" s="70"/>
      <c r="Z252" s="228">
        <f>ROUND((ROUND((ROUND((_15_同援日１．５*_15・２人),0)*(1+_15・A早朝)),0)*(1+_15・盲ろう)),0)+ROUND((ROUND((_15_同援日１．５＿１．０*_15・２人),0)*(1+_15・盲ろう)),0)</f>
        <v>817</v>
      </c>
      <c r="AA252" s="69"/>
    </row>
    <row r="253" spans="1:27" ht="16.5" customHeight="1" x14ac:dyDescent="0.3">
      <c r="A253" s="2">
        <v>15</v>
      </c>
      <c r="B253" s="2">
        <v>9445</v>
      </c>
      <c r="C253" s="60" t="s">
        <v>9728</v>
      </c>
      <c r="D253" s="1"/>
      <c r="E253" s="68"/>
      <c r="F253" s="70"/>
      <c r="G253" s="1"/>
      <c r="H253" s="68"/>
      <c r="I253" s="70"/>
      <c r="J253" s="74" t="s">
        <v>18036</v>
      </c>
      <c r="K253" s="62"/>
      <c r="L253" s="63"/>
      <c r="M253" s="85"/>
      <c r="N253" s="64"/>
      <c r="O253" s="65"/>
      <c r="P253" s="99"/>
      <c r="Q253" s="70"/>
      <c r="R253" s="67"/>
      <c r="S253" s="68" t="s">
        <v>1</v>
      </c>
      <c r="T253" s="76">
        <v>0.25</v>
      </c>
      <c r="U253" s="70" t="s">
        <v>422</v>
      </c>
      <c r="V253" s="67"/>
      <c r="W253" s="68"/>
      <c r="X253" s="76"/>
      <c r="Y253" s="70"/>
      <c r="Z253" s="228">
        <f>ROUND((ROUND((ROUND((_15_同援日１．５*_15・基礎２),0)*(1+_15・A早朝)),0)*(1+_15・盲ろう)),0)+ROUND((ROUND((_15_同援日１．５＿１．０*_15・基礎２),0)*(1+_15・盲ろう)),0)</f>
        <v>736</v>
      </c>
      <c r="AA253" s="69"/>
    </row>
    <row r="254" spans="1:27" ht="16.5" customHeight="1" x14ac:dyDescent="0.3">
      <c r="A254" s="2">
        <v>15</v>
      </c>
      <c r="B254" s="2">
        <v>9446</v>
      </c>
      <c r="C254" s="60" t="s">
        <v>9727</v>
      </c>
      <c r="D254" s="1"/>
      <c r="E254" s="68"/>
      <c r="F254" s="70"/>
      <c r="G254" s="1"/>
      <c r="H254" s="68"/>
      <c r="I254" s="70"/>
      <c r="J254" s="106" t="s">
        <v>5896</v>
      </c>
      <c r="K254" s="57" t="s">
        <v>1</v>
      </c>
      <c r="L254" s="58">
        <v>0.9</v>
      </c>
      <c r="M254" s="83" t="s">
        <v>5895</v>
      </c>
      <c r="N254" s="64" t="s">
        <v>1</v>
      </c>
      <c r="O254" s="65">
        <v>1</v>
      </c>
      <c r="P254" s="99"/>
      <c r="Q254" s="70"/>
      <c r="R254" s="66"/>
      <c r="S254" s="57"/>
      <c r="T254" s="58"/>
      <c r="U254" s="77"/>
      <c r="V254" s="66"/>
      <c r="W254" s="57"/>
      <c r="X254" s="58"/>
      <c r="Y254" s="77"/>
      <c r="Z254" s="228">
        <f>ROUND((ROUND((ROUND((ROUND((_15_同援日１．５*_15・基礎２),0)*_15・２人),0)*(1+_15・A早朝)),0)*(1+_15・盲ろう)),0)+ROUND((ROUND((ROUND((_15_同援日１．５＿１．０*_15・基礎２),0)*_15・２人),0)*(1+_15・盲ろう)),0)</f>
        <v>736</v>
      </c>
      <c r="AA254" s="69"/>
    </row>
    <row r="255" spans="1:27" ht="16.5" customHeight="1" x14ac:dyDescent="0.3">
      <c r="A255" s="2">
        <v>15</v>
      </c>
      <c r="B255" s="2">
        <v>9447</v>
      </c>
      <c r="C255" s="60" t="s">
        <v>9726</v>
      </c>
      <c r="D255" s="1"/>
      <c r="E255" s="68"/>
      <c r="F255" s="70"/>
      <c r="G255" s="1"/>
      <c r="H255" s="68"/>
      <c r="I255" s="70"/>
      <c r="J255" s="61"/>
      <c r="K255" s="62"/>
      <c r="L255" s="63"/>
      <c r="M255" s="85"/>
      <c r="N255" s="64"/>
      <c r="O255" s="65"/>
      <c r="P255" s="99"/>
      <c r="Q255" s="70"/>
      <c r="R255" s="61"/>
      <c r="S255" s="62"/>
      <c r="T255" s="63"/>
      <c r="U255" s="75"/>
      <c r="V255" s="61"/>
      <c r="W255" s="62"/>
      <c r="X255" s="63"/>
      <c r="Y255" s="75"/>
      <c r="Z255" s="228">
        <f>ROUND((ROUND((_15_同援日１．５*(1+_15・A早朝)),0)*(1+_15・区３)),0)+ROUND((_15_同援日１．５＿１．０*(1+_15・区３)),0)</f>
        <v>783</v>
      </c>
      <c r="AA255" s="69"/>
    </row>
    <row r="256" spans="1:27" ht="16.5" customHeight="1" x14ac:dyDescent="0.3">
      <c r="A256" s="2">
        <v>15</v>
      </c>
      <c r="B256" s="2">
        <v>9448</v>
      </c>
      <c r="C256" s="60" t="s">
        <v>9725</v>
      </c>
      <c r="D256" s="1"/>
      <c r="E256" s="68"/>
      <c r="F256" s="70"/>
      <c r="G256" s="1"/>
      <c r="H256" s="68"/>
      <c r="I256" s="70"/>
      <c r="J256" s="66"/>
      <c r="K256" s="57"/>
      <c r="L256" s="58"/>
      <c r="M256" s="83" t="s">
        <v>5895</v>
      </c>
      <c r="N256" s="64" t="s">
        <v>1</v>
      </c>
      <c r="O256" s="65">
        <v>1</v>
      </c>
      <c r="P256" s="99"/>
      <c r="Q256" s="70"/>
      <c r="R256" s="67"/>
      <c r="S256" s="68"/>
      <c r="T256" s="76"/>
      <c r="U256" s="70"/>
      <c r="V256" s="67"/>
      <c r="W256" s="68"/>
      <c r="X256" s="76"/>
      <c r="Y256" s="70"/>
      <c r="Z256" s="228">
        <f>ROUND((ROUND((ROUND((_15_同援日１．５*_15・２人),0)*(1+_15・A早朝)),0)*(1+_15・区３)),0)+ROUND((ROUND((_15_同援日１．５＿１．０*_15・２人),0)*(1+_15・区３)),0)</f>
        <v>783</v>
      </c>
      <c r="AA256" s="69"/>
    </row>
    <row r="257" spans="1:27" ht="16.5" customHeight="1" x14ac:dyDescent="0.3">
      <c r="A257" s="2">
        <v>15</v>
      </c>
      <c r="B257" s="2">
        <v>9449</v>
      </c>
      <c r="C257" s="60" t="s">
        <v>9724</v>
      </c>
      <c r="D257" s="1"/>
      <c r="E257" s="68"/>
      <c r="F257" s="70"/>
      <c r="G257" s="1"/>
      <c r="H257" s="68"/>
      <c r="I257" s="70"/>
      <c r="J257" s="74" t="s">
        <v>18036</v>
      </c>
      <c r="K257" s="62"/>
      <c r="L257" s="63"/>
      <c r="M257" s="85"/>
      <c r="N257" s="64"/>
      <c r="O257" s="65"/>
      <c r="P257" s="99"/>
      <c r="Q257" s="70"/>
      <c r="R257" s="67"/>
      <c r="S257" s="68"/>
      <c r="T257" s="76"/>
      <c r="U257" s="70"/>
      <c r="V257" s="1" t="s">
        <v>18041</v>
      </c>
      <c r="W257" s="68"/>
      <c r="X257" s="76"/>
      <c r="Y257" s="70"/>
      <c r="Z257" s="228">
        <f>ROUND((ROUND((ROUND((_15_同援日１．５*_15・基礎２),0)*(1+_15・A早朝)),0)*(1+_15・区３)),0)+ROUND((ROUND((_15_同援日１．５＿１．０*_15・基礎２),0)*(1+_15・区３)),0)</f>
        <v>706</v>
      </c>
      <c r="AA257" s="69"/>
    </row>
    <row r="258" spans="1:27" ht="16.5" customHeight="1" x14ac:dyDescent="0.3">
      <c r="A258" s="2">
        <v>15</v>
      </c>
      <c r="B258" s="2">
        <v>9450</v>
      </c>
      <c r="C258" s="60" t="s">
        <v>9723</v>
      </c>
      <c r="D258" s="1"/>
      <c r="E258" s="68"/>
      <c r="F258" s="70"/>
      <c r="G258" s="1"/>
      <c r="H258" s="68"/>
      <c r="I258" s="70"/>
      <c r="J258" s="106" t="s">
        <v>5896</v>
      </c>
      <c r="K258" s="57" t="s">
        <v>1</v>
      </c>
      <c r="L258" s="58">
        <v>0.9</v>
      </c>
      <c r="M258" s="83" t="s">
        <v>5895</v>
      </c>
      <c r="N258" s="64" t="s">
        <v>1</v>
      </c>
      <c r="O258" s="65">
        <v>1</v>
      </c>
      <c r="P258" s="99"/>
      <c r="Q258" s="70"/>
      <c r="R258" s="66"/>
      <c r="S258" s="57"/>
      <c r="T258" s="58"/>
      <c r="U258" s="77"/>
      <c r="V258" s="1" t="s">
        <v>18039</v>
      </c>
      <c r="W258" s="68"/>
      <c r="X258" s="76"/>
      <c r="Y258" s="70"/>
      <c r="Z258" s="228">
        <f>ROUND((ROUND((ROUND((ROUND((_15_同援日１．５*_15・基礎２),0)*_15・２人),0)*(1+_15・A早朝)),0)*(1+_15・区３)),0)+ROUND((ROUND((ROUND((_15_同援日１．５＿１．０*_15・基礎２),0)*_15・２人),0)*(1+_15・区３)),0)</f>
        <v>706</v>
      </c>
      <c r="AA258" s="69"/>
    </row>
    <row r="259" spans="1:27" ht="16.5" customHeight="1" x14ac:dyDescent="0.3">
      <c r="A259" s="2">
        <v>15</v>
      </c>
      <c r="B259" s="2">
        <v>9451</v>
      </c>
      <c r="C259" s="60" t="s">
        <v>9722</v>
      </c>
      <c r="D259" s="1"/>
      <c r="E259" s="68"/>
      <c r="F259" s="70"/>
      <c r="G259" s="1"/>
      <c r="H259" s="68"/>
      <c r="I259" s="70"/>
      <c r="J259" s="61"/>
      <c r="K259" s="62"/>
      <c r="L259" s="63"/>
      <c r="M259" s="85"/>
      <c r="N259" s="64"/>
      <c r="O259" s="65"/>
      <c r="P259" s="99"/>
      <c r="Q259" s="70"/>
      <c r="R259" s="74" t="s">
        <v>18038</v>
      </c>
      <c r="S259" s="62"/>
      <c r="T259" s="63"/>
      <c r="U259" s="75"/>
      <c r="V259" s="67"/>
      <c r="W259" s="68" t="s">
        <v>1</v>
      </c>
      <c r="X259" s="76">
        <v>0.2</v>
      </c>
      <c r="Y259" s="70" t="s">
        <v>422</v>
      </c>
      <c r="Z259" s="228">
        <f>ROUND((ROUND((ROUND((_15_同援日１．５*(1+_15・A早朝)),0)*(1+_15・盲ろう)),0)*(1+_15・区３)),0)+ROUND((ROUND((_15_同援日１．５＿１．０*(1+_15・盲ろう)),0)*(1+_15・区３)),0)</f>
        <v>981</v>
      </c>
      <c r="AA259" s="69"/>
    </row>
    <row r="260" spans="1:27" ht="16.5" customHeight="1" x14ac:dyDescent="0.3">
      <c r="A260" s="2">
        <v>15</v>
      </c>
      <c r="B260" s="2">
        <v>9452</v>
      </c>
      <c r="C260" s="60" t="s">
        <v>9721</v>
      </c>
      <c r="D260" s="1"/>
      <c r="E260" s="68"/>
      <c r="F260" s="70"/>
      <c r="G260" s="1"/>
      <c r="H260" s="68"/>
      <c r="I260" s="70"/>
      <c r="J260" s="66"/>
      <c r="K260" s="57"/>
      <c r="L260" s="58"/>
      <c r="M260" s="83" t="s">
        <v>5895</v>
      </c>
      <c r="N260" s="64" t="s">
        <v>1</v>
      </c>
      <c r="O260" s="65">
        <v>1</v>
      </c>
      <c r="P260" s="99"/>
      <c r="Q260" s="70"/>
      <c r="R260" s="94" t="s">
        <v>18037</v>
      </c>
      <c r="S260" s="68"/>
      <c r="T260" s="76"/>
      <c r="U260" s="70"/>
      <c r="V260" s="67"/>
      <c r="W260" s="68"/>
      <c r="X260" s="76"/>
      <c r="Y260" s="70"/>
      <c r="Z260" s="228">
        <f>ROUND((ROUND((ROUND((ROUND((_15_同援日１．５*_15・２人),0)*(1+_15・A早朝)),0)*(1+_15・盲ろう)),0)*(1+_15・区３)),0)+ROUND((ROUND((ROUND((_15_同援日１．５＿１．０*_15・２人),0)*(1+_15・盲ろう)),0)*(1+_15・区３)),0)</f>
        <v>981</v>
      </c>
      <c r="AA260" s="69"/>
    </row>
    <row r="261" spans="1:27" ht="16.5" customHeight="1" x14ac:dyDescent="0.3">
      <c r="A261" s="2">
        <v>15</v>
      </c>
      <c r="B261" s="2">
        <v>9453</v>
      </c>
      <c r="C261" s="60" t="s">
        <v>9720</v>
      </c>
      <c r="D261" s="1"/>
      <c r="E261" s="68"/>
      <c r="F261" s="70"/>
      <c r="G261" s="1"/>
      <c r="H261" s="68"/>
      <c r="I261" s="70"/>
      <c r="J261" s="74" t="s">
        <v>5898</v>
      </c>
      <c r="K261" s="62"/>
      <c r="L261" s="63"/>
      <c r="M261" s="85"/>
      <c r="N261" s="64"/>
      <c r="O261" s="65"/>
      <c r="P261" s="99"/>
      <c r="Q261" s="70"/>
      <c r="R261" s="67"/>
      <c r="S261" s="68" t="s">
        <v>1</v>
      </c>
      <c r="T261" s="76">
        <v>0.25</v>
      </c>
      <c r="U261" s="70" t="s">
        <v>422</v>
      </c>
      <c r="V261" s="67"/>
      <c r="W261" s="68"/>
      <c r="X261" s="76"/>
      <c r="Y261" s="70"/>
      <c r="Z261" s="228">
        <f>ROUND((ROUND((ROUND((ROUND((_15_同援日１．５*_15・基礎２),0)*(1+_15・A早朝)),0)*(1+_15・盲ろう)),0)*(1+_15・区３)),0)+ROUND((ROUND((ROUND((_15_同援日１．５＿１．０*_15・基礎２),0)*(1+_15・盲ろう)),0)*(1+_15・区３)),0)</f>
        <v>884</v>
      </c>
      <c r="AA261" s="69"/>
    </row>
    <row r="262" spans="1:27" ht="16.5" customHeight="1" x14ac:dyDescent="0.3">
      <c r="A262" s="2">
        <v>15</v>
      </c>
      <c r="B262" s="2">
        <v>9454</v>
      </c>
      <c r="C262" s="60" t="s">
        <v>9719</v>
      </c>
      <c r="D262" s="1"/>
      <c r="E262" s="68"/>
      <c r="F262" s="70"/>
      <c r="G262" s="1"/>
      <c r="H262" s="68"/>
      <c r="I262" s="70"/>
      <c r="J262" s="106" t="s">
        <v>18035</v>
      </c>
      <c r="K262" s="57" t="s">
        <v>1</v>
      </c>
      <c r="L262" s="58">
        <v>0.9</v>
      </c>
      <c r="M262" s="83" t="s">
        <v>5895</v>
      </c>
      <c r="N262" s="64" t="s">
        <v>1</v>
      </c>
      <c r="O262" s="65">
        <v>1</v>
      </c>
      <c r="P262" s="99"/>
      <c r="Q262" s="70"/>
      <c r="R262" s="66"/>
      <c r="S262" s="57"/>
      <c r="T262" s="58"/>
      <c r="U262" s="77"/>
      <c r="V262" s="66"/>
      <c r="W262" s="57"/>
      <c r="X262" s="58"/>
      <c r="Y262" s="77"/>
      <c r="Z262" s="228">
        <f>ROUND((ROUND((ROUND((ROUND((ROUND((_15_同援日１．５*_15・基礎２),0)*_15・２人),0)*(1+_15・A早朝)),0)*(1+_15・盲ろう)),0)*(1+_15・区３)),0)+ROUND((ROUND((ROUND((ROUND((_15_同援日１．５＿１．０*_15・基礎２),0)*_15・２人),0)*(1+_15・盲ろう)),0)*(1+_15・区３)),0)</f>
        <v>884</v>
      </c>
      <c r="AA262" s="69"/>
    </row>
    <row r="263" spans="1:27" ht="16.5" customHeight="1" x14ac:dyDescent="0.3">
      <c r="A263" s="2">
        <v>15</v>
      </c>
      <c r="B263" s="2">
        <v>9455</v>
      </c>
      <c r="C263" s="60" t="s">
        <v>9718</v>
      </c>
      <c r="D263" s="1"/>
      <c r="E263" s="68"/>
      <c r="F263" s="70"/>
      <c r="G263" s="1"/>
      <c r="H263" s="68"/>
      <c r="I263" s="70"/>
      <c r="J263" s="61"/>
      <c r="K263" s="62"/>
      <c r="L263" s="63"/>
      <c r="M263" s="85"/>
      <c r="N263" s="64"/>
      <c r="O263" s="65"/>
      <c r="P263" s="99"/>
      <c r="Q263" s="70"/>
      <c r="R263" s="61"/>
      <c r="S263" s="62"/>
      <c r="T263" s="63"/>
      <c r="U263" s="75"/>
      <c r="V263" s="61"/>
      <c r="W263" s="62"/>
      <c r="X263" s="63"/>
      <c r="Y263" s="75"/>
      <c r="Z263" s="228">
        <f>ROUND((ROUND((_15_同援日１．５*(1+_15・A早朝)),0)*(1+_15・区４)),0)+ROUND((_15_同援日１．５＿１．０*(1+_15・区４)),0)</f>
        <v>914</v>
      </c>
      <c r="AA263" s="69"/>
    </row>
    <row r="264" spans="1:27" ht="16.5" customHeight="1" x14ac:dyDescent="0.3">
      <c r="A264" s="2">
        <v>15</v>
      </c>
      <c r="B264" s="2">
        <v>9456</v>
      </c>
      <c r="C264" s="60" t="s">
        <v>9717</v>
      </c>
      <c r="D264" s="1"/>
      <c r="E264" s="68"/>
      <c r="F264" s="70"/>
      <c r="G264" s="1"/>
      <c r="H264" s="68"/>
      <c r="I264" s="70"/>
      <c r="J264" s="66"/>
      <c r="K264" s="57"/>
      <c r="L264" s="58"/>
      <c r="M264" s="83" t="s">
        <v>5895</v>
      </c>
      <c r="N264" s="64" t="s">
        <v>1</v>
      </c>
      <c r="O264" s="65">
        <v>1</v>
      </c>
      <c r="P264" s="99"/>
      <c r="Q264" s="70"/>
      <c r="R264" s="67"/>
      <c r="S264" s="68"/>
      <c r="T264" s="76"/>
      <c r="U264" s="70"/>
      <c r="V264" s="67"/>
      <c r="W264" s="68"/>
      <c r="X264" s="76"/>
      <c r="Y264" s="70"/>
      <c r="Z264" s="228">
        <f>ROUND((ROUND((ROUND((_15_同援日１．５*_15・２人),0)*(1+_15・A早朝)),0)*(1+_15・区４)),0)+ROUND((ROUND((_15_同援日１．５＿１．０*_15・２人),0)*(1+_15・区４)),0)</f>
        <v>914</v>
      </c>
      <c r="AA264" s="69"/>
    </row>
    <row r="265" spans="1:27" ht="16.5" customHeight="1" x14ac:dyDescent="0.3">
      <c r="A265" s="2">
        <v>15</v>
      </c>
      <c r="B265" s="2">
        <v>9457</v>
      </c>
      <c r="C265" s="60" t="s">
        <v>9716</v>
      </c>
      <c r="D265" s="1"/>
      <c r="E265" s="68"/>
      <c r="F265" s="70"/>
      <c r="G265" s="1"/>
      <c r="H265" s="68"/>
      <c r="I265" s="70"/>
      <c r="J265" s="74" t="s">
        <v>18036</v>
      </c>
      <c r="K265" s="62"/>
      <c r="L265" s="63"/>
      <c r="M265" s="85"/>
      <c r="N265" s="64"/>
      <c r="O265" s="65"/>
      <c r="P265" s="99"/>
      <c r="Q265" s="70"/>
      <c r="R265" s="67"/>
      <c r="S265" s="68"/>
      <c r="T265" s="76"/>
      <c r="U265" s="70"/>
      <c r="V265" s="1" t="s">
        <v>18040</v>
      </c>
      <c r="W265" s="68"/>
      <c r="X265" s="76"/>
      <c r="Y265" s="70"/>
      <c r="Z265" s="228">
        <f>ROUND((ROUND((ROUND((_15_同援日１．５*_15・基礎２),0)*(1+_15・A早朝)),0)*(1+_15・区４)),0)+ROUND((ROUND((_15_同援日１．５＿１．０*_15・基礎２),0)*(1+_15・区４)),0)</f>
        <v>824</v>
      </c>
      <c r="AA265" s="69"/>
    </row>
    <row r="266" spans="1:27" ht="16.5" customHeight="1" x14ac:dyDescent="0.3">
      <c r="A266" s="2">
        <v>15</v>
      </c>
      <c r="B266" s="2">
        <v>9458</v>
      </c>
      <c r="C266" s="60" t="s">
        <v>9715</v>
      </c>
      <c r="D266" s="1"/>
      <c r="E266" s="68"/>
      <c r="F266" s="70"/>
      <c r="G266" s="1"/>
      <c r="H266" s="68"/>
      <c r="I266" s="70"/>
      <c r="J266" s="106" t="s">
        <v>18035</v>
      </c>
      <c r="K266" s="57" t="s">
        <v>1</v>
      </c>
      <c r="L266" s="58">
        <v>0.9</v>
      </c>
      <c r="M266" s="83" t="s">
        <v>5895</v>
      </c>
      <c r="N266" s="64" t="s">
        <v>1</v>
      </c>
      <c r="O266" s="65">
        <v>1</v>
      </c>
      <c r="P266" s="99"/>
      <c r="Q266" s="70"/>
      <c r="R266" s="66"/>
      <c r="S266" s="57"/>
      <c r="T266" s="58"/>
      <c r="U266" s="77"/>
      <c r="V266" s="1" t="s">
        <v>8087</v>
      </c>
      <c r="W266" s="68"/>
      <c r="X266" s="76"/>
      <c r="Y266" s="70"/>
      <c r="Z266" s="228">
        <f>ROUND((ROUND((ROUND((ROUND((_15_同援日１．５*_15・基礎２),0)*_15・２人),0)*(1+_15・A早朝)),0)*(1+_15・区４)),0)+ROUND((ROUND((ROUND((_15_同援日１．５＿１．０*_15・基礎２),0)*_15・２人),0)*(1+_15・区４)),0)</f>
        <v>824</v>
      </c>
      <c r="AA266" s="69"/>
    </row>
    <row r="267" spans="1:27" ht="16.5" customHeight="1" x14ac:dyDescent="0.3">
      <c r="A267" s="2">
        <v>15</v>
      </c>
      <c r="B267" s="2">
        <v>9459</v>
      </c>
      <c r="C267" s="60" t="s">
        <v>9714</v>
      </c>
      <c r="D267" s="1"/>
      <c r="E267" s="68"/>
      <c r="F267" s="70"/>
      <c r="G267" s="1"/>
      <c r="H267" s="68"/>
      <c r="I267" s="70"/>
      <c r="J267" s="61"/>
      <c r="K267" s="62"/>
      <c r="L267" s="63"/>
      <c r="M267" s="85"/>
      <c r="N267" s="64"/>
      <c r="O267" s="65"/>
      <c r="P267" s="99"/>
      <c r="Q267" s="70"/>
      <c r="R267" s="74" t="s">
        <v>18038</v>
      </c>
      <c r="S267" s="62"/>
      <c r="T267" s="63"/>
      <c r="U267" s="75"/>
      <c r="V267" s="67"/>
      <c r="W267" s="68" t="s">
        <v>1</v>
      </c>
      <c r="X267" s="76">
        <v>0.4</v>
      </c>
      <c r="Y267" s="70" t="s">
        <v>422</v>
      </c>
      <c r="Z267" s="228">
        <f>ROUND((ROUND((ROUND((_15_同援日１．５*(1+_15・A早朝)),0)*(1+_15・盲ろう)),0)*(1+_15・区４)),0)+ROUND((ROUND((_15_同援日１．５＿１．０*(1+_15・盲ろう)),0)*(1+_15・区４)),0)</f>
        <v>1144</v>
      </c>
      <c r="AA267" s="69"/>
    </row>
    <row r="268" spans="1:27" ht="16.5" customHeight="1" x14ac:dyDescent="0.3">
      <c r="A268" s="2">
        <v>15</v>
      </c>
      <c r="B268" s="2">
        <v>9460</v>
      </c>
      <c r="C268" s="60" t="s">
        <v>9713</v>
      </c>
      <c r="D268" s="1"/>
      <c r="E268" s="68"/>
      <c r="F268" s="70"/>
      <c r="G268" s="1"/>
      <c r="H268" s="68"/>
      <c r="I268" s="70"/>
      <c r="J268" s="66"/>
      <c r="K268" s="57"/>
      <c r="L268" s="58"/>
      <c r="M268" s="83" t="s">
        <v>5895</v>
      </c>
      <c r="N268" s="64" t="s">
        <v>1</v>
      </c>
      <c r="O268" s="65">
        <v>1</v>
      </c>
      <c r="P268" s="99"/>
      <c r="Q268" s="70"/>
      <c r="R268" s="94" t="s">
        <v>18037</v>
      </c>
      <c r="S268" s="68"/>
      <c r="T268" s="76"/>
      <c r="U268" s="70"/>
      <c r="V268" s="67"/>
      <c r="W268" s="68"/>
      <c r="X268" s="76"/>
      <c r="Y268" s="70"/>
      <c r="Z268" s="228">
        <f>ROUND((ROUND((ROUND((ROUND((_15_同援日１．５*_15・２人),0)*(1+_15・A早朝)),0)*(1+_15・盲ろう)),0)*(1+_15・区４)),0)+ROUND((ROUND((ROUND((_15_同援日１．５＿１．０*_15・２人),0)*(1+_15・盲ろう)),0)*(1+_15・区４)),0)</f>
        <v>1144</v>
      </c>
      <c r="AA268" s="69"/>
    </row>
    <row r="269" spans="1:27" ht="16.5" customHeight="1" x14ac:dyDescent="0.3">
      <c r="A269" s="2">
        <v>15</v>
      </c>
      <c r="B269" s="2">
        <v>9461</v>
      </c>
      <c r="C269" s="60" t="s">
        <v>9712</v>
      </c>
      <c r="D269" s="1"/>
      <c r="E269" s="68"/>
      <c r="F269" s="70"/>
      <c r="G269" s="1"/>
      <c r="H269" s="68"/>
      <c r="I269" s="70"/>
      <c r="J269" s="74" t="s">
        <v>18036</v>
      </c>
      <c r="K269" s="62"/>
      <c r="L269" s="63"/>
      <c r="M269" s="85"/>
      <c r="N269" s="64"/>
      <c r="O269" s="65"/>
      <c r="P269" s="99"/>
      <c r="Q269" s="70"/>
      <c r="R269" s="67"/>
      <c r="S269" s="68" t="s">
        <v>1</v>
      </c>
      <c r="T269" s="76">
        <v>0.25</v>
      </c>
      <c r="U269" s="70" t="s">
        <v>422</v>
      </c>
      <c r="V269" s="67"/>
      <c r="W269" s="68"/>
      <c r="X269" s="76"/>
      <c r="Y269" s="70"/>
      <c r="Z269" s="228">
        <f>ROUND((ROUND((ROUND((ROUND((_15_同援日１．５*_15・基礎２),0)*(1+_15・A早朝)),0)*(1+_15・盲ろう)),0)*(1+_15・区４)),0)+ROUND((ROUND((ROUND((_15_同援日１．５＿１．０*_15・基礎２),0)*(1+_15・盲ろう)),0)*(1+_15・区４)),0)</f>
        <v>1030</v>
      </c>
      <c r="AA269" s="69"/>
    </row>
    <row r="270" spans="1:27" ht="16.5" customHeight="1" x14ac:dyDescent="0.3">
      <c r="A270" s="2">
        <v>15</v>
      </c>
      <c r="B270" s="2">
        <v>9462</v>
      </c>
      <c r="C270" s="60" t="s">
        <v>9711</v>
      </c>
      <c r="D270" s="1"/>
      <c r="E270" s="68"/>
      <c r="F270" s="70"/>
      <c r="G270" s="81"/>
      <c r="H270" s="57"/>
      <c r="I270" s="77"/>
      <c r="J270" s="106" t="s">
        <v>18035</v>
      </c>
      <c r="K270" s="57" t="s">
        <v>1</v>
      </c>
      <c r="L270" s="58">
        <v>0.9</v>
      </c>
      <c r="M270" s="83" t="s">
        <v>5895</v>
      </c>
      <c r="N270" s="64" t="s">
        <v>1</v>
      </c>
      <c r="O270" s="65">
        <v>1</v>
      </c>
      <c r="P270" s="99"/>
      <c r="Q270" s="70"/>
      <c r="R270" s="66"/>
      <c r="S270" s="57"/>
      <c r="T270" s="58"/>
      <c r="U270" s="77"/>
      <c r="V270" s="66"/>
      <c r="W270" s="57"/>
      <c r="X270" s="58"/>
      <c r="Y270" s="77"/>
      <c r="Z270" s="228">
        <f>ROUND((ROUND((ROUND((ROUND((ROUND((_15_同援日１．５*_15・基礎２),0)*_15・２人),0)*(1+_15・A早朝)),0)*(1+_15・盲ろう)),0)*(1+_15・区４)),0)+ROUND((ROUND((ROUND((ROUND((_15_同援日１．５＿１．０*_15・基礎２),0)*_15・２人),0)*(1+_15・盲ろう)),0)*(1+_15・区４)),0)</f>
        <v>1030</v>
      </c>
      <c r="AA270" s="69"/>
    </row>
    <row r="271" spans="1:27" ht="16.5" customHeight="1" x14ac:dyDescent="0.3">
      <c r="A271" s="2">
        <v>15</v>
      </c>
      <c r="B271" s="2">
        <v>9463</v>
      </c>
      <c r="C271" s="60" t="s">
        <v>9710</v>
      </c>
      <c r="D271" s="1"/>
      <c r="E271" s="68"/>
      <c r="F271" s="70"/>
      <c r="G271" s="233" t="s">
        <v>18049</v>
      </c>
      <c r="H271" s="62"/>
      <c r="I271" s="75"/>
      <c r="J271" s="61"/>
      <c r="K271" s="62"/>
      <c r="L271" s="63"/>
      <c r="M271" s="85"/>
      <c r="N271" s="64"/>
      <c r="O271" s="65"/>
      <c r="P271" s="99"/>
      <c r="Q271" s="70"/>
      <c r="R271" s="61"/>
      <c r="S271" s="62"/>
      <c r="T271" s="63"/>
      <c r="U271" s="75"/>
      <c r="V271" s="61"/>
      <c r="W271" s="62"/>
      <c r="X271" s="63"/>
      <c r="Y271" s="75"/>
      <c r="Z271" s="228">
        <f>ROUND((_15_同援日１．５*(1+_15・A早朝)),0)+_15_同援日１．５＿１．５</f>
        <v>716</v>
      </c>
      <c r="AA271" s="69"/>
    </row>
    <row r="272" spans="1:27" ht="16.5" customHeight="1" x14ac:dyDescent="0.3">
      <c r="A272" s="2">
        <v>15</v>
      </c>
      <c r="B272" s="2">
        <v>9464</v>
      </c>
      <c r="C272" s="60" t="s">
        <v>9709</v>
      </c>
      <c r="D272" s="1"/>
      <c r="E272" s="68"/>
      <c r="F272" s="70"/>
      <c r="G272" s="1" t="s">
        <v>18048</v>
      </c>
      <c r="H272" s="68"/>
      <c r="I272" s="70"/>
      <c r="J272" s="66"/>
      <c r="K272" s="57"/>
      <c r="L272" s="58"/>
      <c r="M272" s="83" t="s">
        <v>5895</v>
      </c>
      <c r="N272" s="64" t="s">
        <v>1</v>
      </c>
      <c r="O272" s="65">
        <v>1</v>
      </c>
      <c r="P272" s="99"/>
      <c r="Q272" s="70"/>
      <c r="R272" s="67"/>
      <c r="S272" s="68"/>
      <c r="T272" s="76"/>
      <c r="U272" s="70"/>
      <c r="V272" s="67"/>
      <c r="W272" s="68"/>
      <c r="X272" s="76"/>
      <c r="Y272" s="70"/>
      <c r="Z272" s="228">
        <f>ROUND((ROUND((_15_同援日１．５*_15・２人),0)*(1+_15・A早朝)),0)+ROUND((_15_同援日１．５＿１．５*_15・２人),0)</f>
        <v>716</v>
      </c>
      <c r="AA272" s="69"/>
    </row>
    <row r="273" spans="1:27" ht="16.5" customHeight="1" x14ac:dyDescent="0.3">
      <c r="A273" s="2">
        <v>15</v>
      </c>
      <c r="B273" s="2">
        <v>9465</v>
      </c>
      <c r="C273" s="60" t="s">
        <v>9708</v>
      </c>
      <c r="D273" s="1"/>
      <c r="E273" s="68"/>
      <c r="F273" s="70"/>
      <c r="G273" s="1" t="s">
        <v>8767</v>
      </c>
      <c r="H273" s="68"/>
      <c r="I273" s="70"/>
      <c r="J273" s="74" t="s">
        <v>18036</v>
      </c>
      <c r="K273" s="62"/>
      <c r="L273" s="63"/>
      <c r="M273" s="85"/>
      <c r="N273" s="64"/>
      <c r="O273" s="65"/>
      <c r="P273" s="99"/>
      <c r="Q273" s="70"/>
      <c r="R273" s="67"/>
      <c r="S273" s="68"/>
      <c r="T273" s="76"/>
      <c r="U273" s="70"/>
      <c r="V273" s="67"/>
      <c r="W273" s="68"/>
      <c r="X273" s="76"/>
      <c r="Y273" s="70"/>
      <c r="Z273" s="228">
        <f>ROUND((ROUND((_15_同援日１．５*_15・基礎２),0)*(1+_15・A早朝)),0)+ROUND((_15_同援日１．５＿１．５*_15・基礎２),0)</f>
        <v>645</v>
      </c>
      <c r="AA273" s="69"/>
    </row>
    <row r="274" spans="1:27" ht="16.5" customHeight="1" x14ac:dyDescent="0.3">
      <c r="A274" s="2">
        <v>15</v>
      </c>
      <c r="B274" s="2">
        <v>9466</v>
      </c>
      <c r="C274" s="60" t="s">
        <v>9707</v>
      </c>
      <c r="D274" s="1"/>
      <c r="E274" s="68"/>
      <c r="F274" s="70"/>
      <c r="G274" s="1"/>
      <c r="H274" s="119">
        <v>190</v>
      </c>
      <c r="I274" s="70" t="s">
        <v>0</v>
      </c>
      <c r="J274" s="106" t="s">
        <v>5896</v>
      </c>
      <c r="K274" s="57" t="s">
        <v>1</v>
      </c>
      <c r="L274" s="58">
        <v>0.9</v>
      </c>
      <c r="M274" s="83" t="s">
        <v>5895</v>
      </c>
      <c r="N274" s="64" t="s">
        <v>1</v>
      </c>
      <c r="O274" s="65">
        <v>1</v>
      </c>
      <c r="P274" s="99"/>
      <c r="Q274" s="70"/>
      <c r="R274" s="66"/>
      <c r="S274" s="57"/>
      <c r="T274" s="58"/>
      <c r="U274" s="77"/>
      <c r="V274" s="67"/>
      <c r="W274" s="68"/>
      <c r="X274" s="76"/>
      <c r="Y274" s="70"/>
      <c r="Z274" s="228">
        <f>ROUND((ROUND((ROUND((_15_同援日１．５*_15・基礎２),0)*_15・２人),0)*(1+_15・A早朝)),0)+ROUND((ROUND((_15_同援日１．５＿１．５*_15・基礎２),0)*_15・２人),0)</f>
        <v>645</v>
      </c>
      <c r="AA274" s="69"/>
    </row>
    <row r="275" spans="1:27" ht="16.5" customHeight="1" x14ac:dyDescent="0.3">
      <c r="A275" s="2">
        <v>15</v>
      </c>
      <c r="B275" s="2">
        <v>9467</v>
      </c>
      <c r="C275" s="60" t="s">
        <v>9706</v>
      </c>
      <c r="D275" s="1"/>
      <c r="E275" s="68"/>
      <c r="F275" s="70"/>
      <c r="G275" s="1"/>
      <c r="H275" s="68"/>
      <c r="I275" s="70"/>
      <c r="J275" s="61"/>
      <c r="K275" s="62"/>
      <c r="L275" s="63"/>
      <c r="M275" s="85"/>
      <c r="N275" s="64"/>
      <c r="O275" s="65"/>
      <c r="P275" s="99"/>
      <c r="Q275" s="70"/>
      <c r="R275" s="74" t="s">
        <v>18038</v>
      </c>
      <c r="S275" s="62"/>
      <c r="T275" s="63"/>
      <c r="U275" s="75"/>
      <c r="V275" s="67"/>
      <c r="W275" s="68"/>
      <c r="X275" s="76"/>
      <c r="Y275" s="70"/>
      <c r="Z275" s="228">
        <f>ROUND((ROUND((_15_同援日１．５*(1+_15・A早朝)),0)*(1+_15・盲ろう)),0)+ROUND((_15_同援日１．５＿１．５*(1+_15・盲ろう)),0)</f>
        <v>896</v>
      </c>
      <c r="AA275" s="69"/>
    </row>
    <row r="276" spans="1:27" ht="16.5" customHeight="1" x14ac:dyDescent="0.3">
      <c r="A276" s="2">
        <v>15</v>
      </c>
      <c r="B276" s="2">
        <v>9468</v>
      </c>
      <c r="C276" s="60" t="s">
        <v>9705</v>
      </c>
      <c r="D276" s="1"/>
      <c r="E276" s="68"/>
      <c r="F276" s="70"/>
      <c r="G276" s="1"/>
      <c r="H276" s="68"/>
      <c r="I276" s="70"/>
      <c r="J276" s="66"/>
      <c r="K276" s="57"/>
      <c r="L276" s="58"/>
      <c r="M276" s="83" t="s">
        <v>5895</v>
      </c>
      <c r="N276" s="64" t="s">
        <v>1</v>
      </c>
      <c r="O276" s="65">
        <v>1</v>
      </c>
      <c r="P276" s="99"/>
      <c r="Q276" s="70"/>
      <c r="R276" s="94" t="s">
        <v>8083</v>
      </c>
      <c r="S276" s="68"/>
      <c r="T276" s="76"/>
      <c r="U276" s="70"/>
      <c r="V276" s="67"/>
      <c r="W276" s="68"/>
      <c r="X276" s="76"/>
      <c r="Y276" s="70"/>
      <c r="Z276" s="228">
        <f>ROUND((ROUND((ROUND((_15_同援日１．５*_15・２人),0)*(1+_15・A早朝)),0)*(1+_15・盲ろう)),0)+ROUND((ROUND((_15_同援日１．５＿１．５*_15・２人),0)*(1+_15・盲ろう)),0)</f>
        <v>896</v>
      </c>
      <c r="AA276" s="69"/>
    </row>
    <row r="277" spans="1:27" ht="16.5" customHeight="1" x14ac:dyDescent="0.3">
      <c r="A277" s="2">
        <v>15</v>
      </c>
      <c r="B277" s="2">
        <v>9469</v>
      </c>
      <c r="C277" s="60" t="s">
        <v>9704</v>
      </c>
      <c r="D277" s="1"/>
      <c r="E277" s="68"/>
      <c r="F277" s="70"/>
      <c r="G277" s="1"/>
      <c r="H277" s="68"/>
      <c r="I277" s="70"/>
      <c r="J277" s="74" t="s">
        <v>5898</v>
      </c>
      <c r="K277" s="62"/>
      <c r="L277" s="63"/>
      <c r="M277" s="85"/>
      <c r="N277" s="64"/>
      <c r="O277" s="65"/>
      <c r="P277" s="99"/>
      <c r="Q277" s="70"/>
      <c r="R277" s="67"/>
      <c r="S277" s="68" t="s">
        <v>1</v>
      </c>
      <c r="T277" s="76">
        <v>0.25</v>
      </c>
      <c r="U277" s="70" t="s">
        <v>422</v>
      </c>
      <c r="V277" s="67"/>
      <c r="W277" s="68"/>
      <c r="X277" s="76"/>
      <c r="Y277" s="70"/>
      <c r="Z277" s="228">
        <f>ROUND((ROUND((ROUND((_15_同援日１．５*_15・基礎２),0)*(1+_15・A早朝)),0)*(1+_15・盲ろう)),0)+ROUND((ROUND((_15_同援日１．５＿１．５*_15・基礎２),0)*(1+_15・盲ろう)),0)</f>
        <v>807</v>
      </c>
      <c r="AA277" s="69"/>
    </row>
    <row r="278" spans="1:27" ht="16.5" customHeight="1" x14ac:dyDescent="0.3">
      <c r="A278" s="2">
        <v>15</v>
      </c>
      <c r="B278" s="2">
        <v>9470</v>
      </c>
      <c r="C278" s="60" t="s">
        <v>9703</v>
      </c>
      <c r="D278" s="1"/>
      <c r="E278" s="68"/>
      <c r="F278" s="70"/>
      <c r="G278" s="1"/>
      <c r="H278" s="68"/>
      <c r="I278" s="70"/>
      <c r="J278" s="106" t="s">
        <v>5896</v>
      </c>
      <c r="K278" s="57" t="s">
        <v>1</v>
      </c>
      <c r="L278" s="58">
        <v>0.9</v>
      </c>
      <c r="M278" s="83" t="s">
        <v>5895</v>
      </c>
      <c r="N278" s="64" t="s">
        <v>1</v>
      </c>
      <c r="O278" s="65">
        <v>1</v>
      </c>
      <c r="P278" s="99"/>
      <c r="Q278" s="70"/>
      <c r="R278" s="66"/>
      <c r="S278" s="57"/>
      <c r="T278" s="58"/>
      <c r="U278" s="77"/>
      <c r="V278" s="66"/>
      <c r="W278" s="57"/>
      <c r="X278" s="58"/>
      <c r="Y278" s="77"/>
      <c r="Z278" s="228">
        <f>ROUND((ROUND((ROUND((ROUND((_15_同援日１．５*_15・基礎２),0)*_15・２人),0)*(1+_15・A早朝)),0)*(1+_15・盲ろう)),0)+ROUND((ROUND((ROUND((_15_同援日１．５＿１．５*_15・基礎２),0)*_15・２人),0)*(1+_15・盲ろう)),0)</f>
        <v>807</v>
      </c>
      <c r="AA278" s="69"/>
    </row>
    <row r="279" spans="1:27" ht="16.5" customHeight="1" x14ac:dyDescent="0.3">
      <c r="A279" s="2">
        <v>15</v>
      </c>
      <c r="B279" s="2">
        <v>9471</v>
      </c>
      <c r="C279" s="60" t="s">
        <v>9702</v>
      </c>
      <c r="D279" s="1"/>
      <c r="E279" s="68"/>
      <c r="F279" s="70"/>
      <c r="G279" s="1"/>
      <c r="H279" s="68"/>
      <c r="I279" s="70"/>
      <c r="J279" s="61"/>
      <c r="K279" s="62"/>
      <c r="L279" s="63"/>
      <c r="M279" s="85"/>
      <c r="N279" s="64"/>
      <c r="O279" s="65"/>
      <c r="P279" s="99"/>
      <c r="Q279" s="70"/>
      <c r="R279" s="61"/>
      <c r="S279" s="62"/>
      <c r="T279" s="63"/>
      <c r="U279" s="75"/>
      <c r="V279" s="61"/>
      <c r="W279" s="62"/>
      <c r="X279" s="63"/>
      <c r="Y279" s="75"/>
      <c r="Z279" s="228">
        <f>ROUND((ROUND((_15_同援日１．５*(1+_15・A早朝)),0)*(1+_15・区３)),0)+ROUND((_15_同援日１．５＿１．５*(1+_15・区３)),0)</f>
        <v>859</v>
      </c>
      <c r="AA279" s="69"/>
    </row>
    <row r="280" spans="1:27" ht="16.5" customHeight="1" x14ac:dyDescent="0.3">
      <c r="A280" s="2">
        <v>15</v>
      </c>
      <c r="B280" s="2">
        <v>9472</v>
      </c>
      <c r="C280" s="60" t="s">
        <v>9701</v>
      </c>
      <c r="D280" s="1"/>
      <c r="E280" s="68"/>
      <c r="F280" s="70"/>
      <c r="G280" s="1"/>
      <c r="H280" s="68"/>
      <c r="I280" s="70"/>
      <c r="J280" s="66"/>
      <c r="K280" s="57"/>
      <c r="L280" s="58"/>
      <c r="M280" s="83" t="s">
        <v>5895</v>
      </c>
      <c r="N280" s="64" t="s">
        <v>1</v>
      </c>
      <c r="O280" s="65">
        <v>1</v>
      </c>
      <c r="P280" s="99"/>
      <c r="Q280" s="70"/>
      <c r="R280" s="67"/>
      <c r="S280" s="68"/>
      <c r="T280" s="76"/>
      <c r="U280" s="70"/>
      <c r="V280" s="67"/>
      <c r="W280" s="68"/>
      <c r="X280" s="76"/>
      <c r="Y280" s="70"/>
      <c r="Z280" s="228">
        <f>ROUND((ROUND((ROUND((_15_同援日１．５*_15・２人),0)*(1+_15・A早朝)),0)*(1+_15・区３)),0)+ROUND((ROUND((_15_同援日１．５＿１．５*_15・２人),0)*(1+_15・区３)),0)</f>
        <v>859</v>
      </c>
      <c r="AA280" s="69"/>
    </row>
    <row r="281" spans="1:27" ht="16.5" customHeight="1" x14ac:dyDescent="0.3">
      <c r="A281" s="2">
        <v>15</v>
      </c>
      <c r="B281" s="2">
        <v>9473</v>
      </c>
      <c r="C281" s="60" t="s">
        <v>9700</v>
      </c>
      <c r="D281" s="1"/>
      <c r="E281" s="68"/>
      <c r="F281" s="70"/>
      <c r="G281" s="1"/>
      <c r="H281" s="68"/>
      <c r="I281" s="70"/>
      <c r="J281" s="74" t="s">
        <v>18036</v>
      </c>
      <c r="K281" s="62"/>
      <c r="L281" s="63"/>
      <c r="M281" s="85"/>
      <c r="N281" s="64"/>
      <c r="O281" s="65"/>
      <c r="P281" s="99"/>
      <c r="Q281" s="70"/>
      <c r="R281" s="67"/>
      <c r="S281" s="68"/>
      <c r="T281" s="76"/>
      <c r="U281" s="70"/>
      <c r="V281" s="1" t="s">
        <v>18041</v>
      </c>
      <c r="W281" s="68"/>
      <c r="X281" s="76"/>
      <c r="Y281" s="70"/>
      <c r="Z281" s="228">
        <f>ROUND((ROUND((ROUND((_15_同援日１．５*_15・基礎２),0)*(1+_15・A早朝)),0)*(1+_15・区３)),0)+ROUND((ROUND((_15_同援日１．５＿１．５*_15・基礎２),0)*(1+_15・区３)),0)</f>
        <v>774</v>
      </c>
      <c r="AA281" s="69"/>
    </row>
    <row r="282" spans="1:27" ht="16.5" customHeight="1" x14ac:dyDescent="0.3">
      <c r="A282" s="2">
        <v>15</v>
      </c>
      <c r="B282" s="2">
        <v>9474</v>
      </c>
      <c r="C282" s="60" t="s">
        <v>9699</v>
      </c>
      <c r="D282" s="1"/>
      <c r="E282" s="68"/>
      <c r="F282" s="70"/>
      <c r="G282" s="1"/>
      <c r="H282" s="68"/>
      <c r="I282" s="70"/>
      <c r="J282" s="106" t="s">
        <v>18035</v>
      </c>
      <c r="K282" s="57" t="s">
        <v>1</v>
      </c>
      <c r="L282" s="58">
        <v>0.9</v>
      </c>
      <c r="M282" s="83" t="s">
        <v>5895</v>
      </c>
      <c r="N282" s="64" t="s">
        <v>1</v>
      </c>
      <c r="O282" s="65">
        <v>1</v>
      </c>
      <c r="P282" s="99"/>
      <c r="Q282" s="70"/>
      <c r="R282" s="66"/>
      <c r="S282" s="57"/>
      <c r="T282" s="58"/>
      <c r="U282" s="77"/>
      <c r="V282" s="1" t="s">
        <v>18039</v>
      </c>
      <c r="W282" s="68"/>
      <c r="X282" s="76"/>
      <c r="Y282" s="70"/>
      <c r="Z282" s="228">
        <f>ROUND((ROUND((ROUND((ROUND((_15_同援日１．５*_15・基礎２),0)*_15・２人),0)*(1+_15・A早朝)),0)*(1+_15・区３)),0)+ROUND((ROUND((ROUND((_15_同援日１．５＿１．５*_15・基礎２),0)*_15・２人),0)*(1+_15・区３)),0)</f>
        <v>774</v>
      </c>
      <c r="AA282" s="69"/>
    </row>
    <row r="283" spans="1:27" ht="16.5" customHeight="1" x14ac:dyDescent="0.3">
      <c r="A283" s="2">
        <v>15</v>
      </c>
      <c r="B283" s="2">
        <v>9475</v>
      </c>
      <c r="C283" s="60" t="s">
        <v>9698</v>
      </c>
      <c r="D283" s="1"/>
      <c r="E283" s="68"/>
      <c r="F283" s="70"/>
      <c r="G283" s="1"/>
      <c r="H283" s="68"/>
      <c r="I283" s="70"/>
      <c r="J283" s="61"/>
      <c r="K283" s="62"/>
      <c r="L283" s="63"/>
      <c r="M283" s="85"/>
      <c r="N283" s="64"/>
      <c r="O283" s="65"/>
      <c r="P283" s="99"/>
      <c r="Q283" s="70"/>
      <c r="R283" s="74" t="s">
        <v>8085</v>
      </c>
      <c r="S283" s="62"/>
      <c r="T283" s="63"/>
      <c r="U283" s="75"/>
      <c r="V283" s="67"/>
      <c r="W283" s="68" t="s">
        <v>1</v>
      </c>
      <c r="X283" s="76">
        <v>0.2</v>
      </c>
      <c r="Y283" s="70" t="s">
        <v>422</v>
      </c>
      <c r="Z283" s="228">
        <f>ROUND((ROUND((ROUND((_15_同援日１．５*(1+_15・A早朝)),0)*(1+_15・盲ろう)),0)*(1+_15・区３)),0)+ROUND((ROUND((_15_同援日１．５＿１．５*(1+_15・盲ろう)),0)*(1+_15・区３)),0)</f>
        <v>1076</v>
      </c>
      <c r="AA283" s="69"/>
    </row>
    <row r="284" spans="1:27" ht="16.5" customHeight="1" x14ac:dyDescent="0.3">
      <c r="A284" s="2">
        <v>15</v>
      </c>
      <c r="B284" s="2">
        <v>9476</v>
      </c>
      <c r="C284" s="60" t="s">
        <v>9697</v>
      </c>
      <c r="D284" s="1"/>
      <c r="E284" s="68"/>
      <c r="F284" s="70"/>
      <c r="G284" s="1"/>
      <c r="H284" s="68"/>
      <c r="I284" s="70"/>
      <c r="J284" s="66"/>
      <c r="K284" s="57"/>
      <c r="L284" s="58"/>
      <c r="M284" s="83" t="s">
        <v>5895</v>
      </c>
      <c r="N284" s="64" t="s">
        <v>1</v>
      </c>
      <c r="O284" s="65">
        <v>1</v>
      </c>
      <c r="P284" s="99"/>
      <c r="Q284" s="70"/>
      <c r="R284" s="94" t="s">
        <v>18037</v>
      </c>
      <c r="S284" s="68"/>
      <c r="T284" s="76"/>
      <c r="U284" s="70"/>
      <c r="V284" s="67"/>
      <c r="W284" s="68"/>
      <c r="X284" s="76"/>
      <c r="Y284" s="70"/>
      <c r="Z284" s="228">
        <f>ROUND((ROUND((ROUND((ROUND((_15_同援日１．５*_15・２人),0)*(1+_15・A早朝)),0)*(1+_15・盲ろう)),0)*(1+_15・区３)),0)+ROUND((ROUND((ROUND((_15_同援日１．５＿１．５*_15・２人),0)*(1+_15・盲ろう)),0)*(1+_15・区３)),0)</f>
        <v>1076</v>
      </c>
      <c r="AA284" s="69"/>
    </row>
    <row r="285" spans="1:27" ht="16.5" customHeight="1" x14ac:dyDescent="0.3">
      <c r="A285" s="2">
        <v>15</v>
      </c>
      <c r="B285" s="2">
        <v>9477</v>
      </c>
      <c r="C285" s="60" t="s">
        <v>9696</v>
      </c>
      <c r="D285" s="1"/>
      <c r="E285" s="68"/>
      <c r="F285" s="70"/>
      <c r="G285" s="1"/>
      <c r="H285" s="68"/>
      <c r="I285" s="70"/>
      <c r="J285" s="74" t="s">
        <v>18036</v>
      </c>
      <c r="K285" s="62"/>
      <c r="L285" s="63"/>
      <c r="M285" s="85"/>
      <c r="N285" s="64"/>
      <c r="O285" s="65"/>
      <c r="P285" s="99"/>
      <c r="Q285" s="70"/>
      <c r="R285" s="67"/>
      <c r="S285" s="68" t="s">
        <v>1</v>
      </c>
      <c r="T285" s="76">
        <v>0.25</v>
      </c>
      <c r="U285" s="70" t="s">
        <v>422</v>
      </c>
      <c r="V285" s="67"/>
      <c r="W285" s="68"/>
      <c r="X285" s="76"/>
      <c r="Y285" s="70"/>
      <c r="Z285" s="228">
        <f>ROUND((ROUND((ROUND((ROUND((_15_同援日１．５*_15・基礎２),0)*(1+_15・A早朝)),0)*(1+_15・盲ろう)),0)*(1+_15・区３)),0)+ROUND((ROUND((ROUND((_15_同援日１．５＿１．５*_15・基礎２),0)*(1+_15・盲ろう)),0)*(1+_15・区３)),0)</f>
        <v>969</v>
      </c>
      <c r="AA285" s="69"/>
    </row>
    <row r="286" spans="1:27" ht="16.5" customHeight="1" x14ac:dyDescent="0.3">
      <c r="A286" s="2">
        <v>15</v>
      </c>
      <c r="B286" s="2">
        <v>9478</v>
      </c>
      <c r="C286" s="60" t="s">
        <v>9695</v>
      </c>
      <c r="D286" s="1"/>
      <c r="E286" s="68"/>
      <c r="F286" s="70"/>
      <c r="G286" s="1"/>
      <c r="H286" s="68"/>
      <c r="I286" s="70"/>
      <c r="J286" s="106" t="s">
        <v>5896</v>
      </c>
      <c r="K286" s="57" t="s">
        <v>1</v>
      </c>
      <c r="L286" s="58">
        <v>0.9</v>
      </c>
      <c r="M286" s="83" t="s">
        <v>5895</v>
      </c>
      <c r="N286" s="64" t="s">
        <v>1</v>
      </c>
      <c r="O286" s="65">
        <v>1</v>
      </c>
      <c r="P286" s="99"/>
      <c r="Q286" s="70"/>
      <c r="R286" s="66"/>
      <c r="S286" s="57"/>
      <c r="T286" s="58"/>
      <c r="U286" s="77"/>
      <c r="V286" s="66"/>
      <c r="W286" s="57"/>
      <c r="X286" s="58"/>
      <c r="Y286" s="77"/>
      <c r="Z286" s="228">
        <f>ROUND((ROUND((ROUND((ROUND((ROUND((_15_同援日１．５*_15・基礎２),0)*_15・２人),0)*(1+_15・A早朝)),0)*(1+_15・盲ろう)),0)*(1+_15・区３)),0)+ROUND((ROUND((ROUND((ROUND((_15_同援日１．５＿１．５*_15・基礎２),0)*_15・２人),0)*(1+_15・盲ろう)),0)*(1+_15・区３)),0)</f>
        <v>969</v>
      </c>
      <c r="AA286" s="69"/>
    </row>
    <row r="287" spans="1:27" ht="16.5" customHeight="1" x14ac:dyDescent="0.3">
      <c r="A287" s="2">
        <v>15</v>
      </c>
      <c r="B287" s="2">
        <v>9479</v>
      </c>
      <c r="C287" s="60" t="s">
        <v>9694</v>
      </c>
      <c r="D287" s="1"/>
      <c r="E287" s="68"/>
      <c r="F287" s="70"/>
      <c r="G287" s="1"/>
      <c r="H287" s="68"/>
      <c r="I287" s="70"/>
      <c r="J287" s="61"/>
      <c r="K287" s="62"/>
      <c r="L287" s="63"/>
      <c r="M287" s="85"/>
      <c r="N287" s="64"/>
      <c r="O287" s="65"/>
      <c r="P287" s="99"/>
      <c r="Q287" s="70"/>
      <c r="R287" s="61"/>
      <c r="S287" s="62"/>
      <c r="T287" s="63"/>
      <c r="U287" s="75"/>
      <c r="V287" s="61"/>
      <c r="W287" s="62"/>
      <c r="X287" s="63"/>
      <c r="Y287" s="75"/>
      <c r="Z287" s="228">
        <f>ROUND((ROUND((_15_同援日１．５*(1+_15・A早朝)),0)*(1+_15・区４)),0)+ROUND((_15_同援日１．５＿１．５*(1+_15・区４)),0)</f>
        <v>1002</v>
      </c>
      <c r="AA287" s="69"/>
    </row>
    <row r="288" spans="1:27" ht="16.5" customHeight="1" x14ac:dyDescent="0.3">
      <c r="A288" s="2">
        <v>15</v>
      </c>
      <c r="B288" s="2">
        <v>9480</v>
      </c>
      <c r="C288" s="60" t="s">
        <v>9693</v>
      </c>
      <c r="D288" s="1"/>
      <c r="E288" s="68"/>
      <c r="F288" s="70"/>
      <c r="G288" s="1"/>
      <c r="H288" s="68"/>
      <c r="I288" s="70"/>
      <c r="J288" s="66"/>
      <c r="K288" s="57"/>
      <c r="L288" s="58"/>
      <c r="M288" s="83" t="s">
        <v>5895</v>
      </c>
      <c r="N288" s="64" t="s">
        <v>1</v>
      </c>
      <c r="O288" s="65">
        <v>1</v>
      </c>
      <c r="P288" s="99"/>
      <c r="Q288" s="70"/>
      <c r="R288" s="67"/>
      <c r="S288" s="68"/>
      <c r="T288" s="76"/>
      <c r="U288" s="70"/>
      <c r="V288" s="67"/>
      <c r="W288" s="68"/>
      <c r="X288" s="76"/>
      <c r="Y288" s="70"/>
      <c r="Z288" s="228">
        <f>ROUND((ROUND((ROUND((_15_同援日１．５*_15・２人),0)*(1+_15・A早朝)),0)*(1+_15・区４)),0)+ROUND((ROUND((_15_同援日１．５＿１．５*_15・２人),0)*(1+_15・区４)),0)</f>
        <v>1002</v>
      </c>
      <c r="AA288" s="69"/>
    </row>
    <row r="289" spans="1:27" ht="16.5" customHeight="1" x14ac:dyDescent="0.3">
      <c r="A289" s="2">
        <v>15</v>
      </c>
      <c r="B289" s="2">
        <v>9481</v>
      </c>
      <c r="C289" s="60" t="s">
        <v>9692</v>
      </c>
      <c r="D289" s="1"/>
      <c r="E289" s="68"/>
      <c r="F289" s="70"/>
      <c r="G289" s="1"/>
      <c r="H289" s="68"/>
      <c r="I289" s="70"/>
      <c r="J289" s="74" t="s">
        <v>18036</v>
      </c>
      <c r="K289" s="62"/>
      <c r="L289" s="63"/>
      <c r="M289" s="85"/>
      <c r="N289" s="64"/>
      <c r="O289" s="65"/>
      <c r="P289" s="99"/>
      <c r="Q289" s="70"/>
      <c r="R289" s="67"/>
      <c r="S289" s="68"/>
      <c r="T289" s="76"/>
      <c r="U289" s="70"/>
      <c r="V289" s="1" t="s">
        <v>18040</v>
      </c>
      <c r="W289" s="68"/>
      <c r="X289" s="76"/>
      <c r="Y289" s="70"/>
      <c r="Z289" s="228">
        <f>ROUND((ROUND((ROUND((_15_同援日１．５*_15・基礎２),0)*(1+_15・A早朝)),0)*(1+_15・区４)),0)+ROUND((ROUND((_15_同援日１．５＿１．５*_15・基礎２),0)*(1+_15・区４)),0)</f>
        <v>903</v>
      </c>
      <c r="AA289" s="69"/>
    </row>
    <row r="290" spans="1:27" ht="16.5" customHeight="1" x14ac:dyDescent="0.3">
      <c r="A290" s="2">
        <v>15</v>
      </c>
      <c r="B290" s="2">
        <v>9482</v>
      </c>
      <c r="C290" s="60" t="s">
        <v>9691</v>
      </c>
      <c r="D290" s="1"/>
      <c r="E290" s="68"/>
      <c r="F290" s="70"/>
      <c r="G290" s="1"/>
      <c r="H290" s="68"/>
      <c r="I290" s="70"/>
      <c r="J290" s="106" t="s">
        <v>18035</v>
      </c>
      <c r="K290" s="57" t="s">
        <v>1</v>
      </c>
      <c r="L290" s="58">
        <v>0.9</v>
      </c>
      <c r="M290" s="83" t="s">
        <v>5895</v>
      </c>
      <c r="N290" s="64" t="s">
        <v>1</v>
      </c>
      <c r="O290" s="65">
        <v>1</v>
      </c>
      <c r="P290" s="99"/>
      <c r="Q290" s="70"/>
      <c r="R290" s="66"/>
      <c r="S290" s="57"/>
      <c r="T290" s="58"/>
      <c r="U290" s="77"/>
      <c r="V290" s="1" t="s">
        <v>18039</v>
      </c>
      <c r="W290" s="68"/>
      <c r="X290" s="76"/>
      <c r="Y290" s="70"/>
      <c r="Z290" s="228">
        <f>ROUND((ROUND((ROUND((ROUND((_15_同援日１．５*_15・基礎２),0)*_15・２人),0)*(1+_15・A早朝)),0)*(1+_15・区４)),0)+ROUND((ROUND((ROUND((_15_同援日１．５＿１．５*_15・基礎２),0)*_15・２人),0)*(1+_15・区４)),0)</f>
        <v>903</v>
      </c>
      <c r="AA290" s="69"/>
    </row>
    <row r="291" spans="1:27" ht="16.5" customHeight="1" x14ac:dyDescent="0.3">
      <c r="A291" s="2">
        <v>15</v>
      </c>
      <c r="B291" s="2">
        <v>9483</v>
      </c>
      <c r="C291" s="60" t="s">
        <v>9690</v>
      </c>
      <c r="D291" s="1"/>
      <c r="E291" s="68"/>
      <c r="F291" s="70"/>
      <c r="G291" s="1"/>
      <c r="H291" s="68"/>
      <c r="I291" s="70"/>
      <c r="J291" s="61"/>
      <c r="K291" s="62"/>
      <c r="L291" s="63"/>
      <c r="M291" s="85"/>
      <c r="N291" s="64"/>
      <c r="O291" s="65"/>
      <c r="P291" s="99"/>
      <c r="Q291" s="70"/>
      <c r="R291" s="74" t="s">
        <v>18038</v>
      </c>
      <c r="S291" s="62"/>
      <c r="T291" s="63"/>
      <c r="U291" s="75"/>
      <c r="V291" s="67"/>
      <c r="W291" s="68" t="s">
        <v>1</v>
      </c>
      <c r="X291" s="76">
        <v>0.4</v>
      </c>
      <c r="Y291" s="70" t="s">
        <v>422</v>
      </c>
      <c r="Z291" s="228">
        <f>ROUND((ROUND((ROUND((_15_同援日１．５*(1+_15・A早朝)),0)*(1+_15・盲ろう)),0)*(1+_15・区４)),0)+ROUND((ROUND((_15_同援日１．５＿１．５*(1+_15・盲ろう)),0)*(1+_15・区４)),0)</f>
        <v>1254</v>
      </c>
      <c r="AA291" s="69"/>
    </row>
    <row r="292" spans="1:27" ht="16.5" customHeight="1" x14ac:dyDescent="0.3">
      <c r="A292" s="2">
        <v>15</v>
      </c>
      <c r="B292" s="2">
        <v>9484</v>
      </c>
      <c r="C292" s="60" t="s">
        <v>9689</v>
      </c>
      <c r="D292" s="1"/>
      <c r="E292" s="68"/>
      <c r="F292" s="70"/>
      <c r="G292" s="1"/>
      <c r="H292" s="68"/>
      <c r="I292" s="70"/>
      <c r="J292" s="66"/>
      <c r="K292" s="57"/>
      <c r="L292" s="58"/>
      <c r="M292" s="83" t="s">
        <v>5895</v>
      </c>
      <c r="N292" s="64" t="s">
        <v>1</v>
      </c>
      <c r="O292" s="65">
        <v>1</v>
      </c>
      <c r="P292" s="99"/>
      <c r="Q292" s="70"/>
      <c r="R292" s="94" t="s">
        <v>8083</v>
      </c>
      <c r="S292" s="68"/>
      <c r="T292" s="76"/>
      <c r="U292" s="70"/>
      <c r="V292" s="67"/>
      <c r="W292" s="68"/>
      <c r="X292" s="76"/>
      <c r="Y292" s="70"/>
      <c r="Z292" s="228">
        <f>ROUND((ROUND((ROUND((ROUND((_15_同援日１．５*_15・２人),0)*(1+_15・A早朝)),0)*(1+_15・盲ろう)),0)*(1+_15・区４)),0)+ROUND((ROUND((ROUND((_15_同援日１．５＿１．５*_15・２人),0)*(1+_15・盲ろう)),0)*(1+_15・区４)),0)</f>
        <v>1254</v>
      </c>
      <c r="AA292" s="69"/>
    </row>
    <row r="293" spans="1:27" ht="16.5" customHeight="1" x14ac:dyDescent="0.3">
      <c r="A293" s="2">
        <v>15</v>
      </c>
      <c r="B293" s="2">
        <v>9485</v>
      </c>
      <c r="C293" s="60" t="s">
        <v>9688</v>
      </c>
      <c r="D293" s="1"/>
      <c r="E293" s="68"/>
      <c r="F293" s="70"/>
      <c r="G293" s="1"/>
      <c r="H293" s="68"/>
      <c r="I293" s="70"/>
      <c r="J293" s="74" t="s">
        <v>18036</v>
      </c>
      <c r="K293" s="62"/>
      <c r="L293" s="63"/>
      <c r="M293" s="85"/>
      <c r="N293" s="64"/>
      <c r="O293" s="65"/>
      <c r="P293" s="99"/>
      <c r="Q293" s="70"/>
      <c r="R293" s="67"/>
      <c r="S293" s="68" t="s">
        <v>1</v>
      </c>
      <c r="T293" s="76">
        <v>0.25</v>
      </c>
      <c r="U293" s="70" t="s">
        <v>422</v>
      </c>
      <c r="V293" s="67"/>
      <c r="W293" s="68"/>
      <c r="X293" s="76"/>
      <c r="Y293" s="70"/>
      <c r="Z293" s="228">
        <f>ROUND((ROUND((ROUND((ROUND((_15_同援日１．５*_15・基礎２),0)*(1+_15・A早朝)),0)*(1+_15・盲ろう)),0)*(1+_15・区４)),0)+ROUND((ROUND((ROUND((_15_同援日１．５＿１．５*_15・基礎２),0)*(1+_15・盲ろう)),0)*(1+_15・区４)),0)</f>
        <v>1130</v>
      </c>
      <c r="AA293" s="69"/>
    </row>
    <row r="294" spans="1:27" ht="16.5" customHeight="1" x14ac:dyDescent="0.3">
      <c r="A294" s="2">
        <v>15</v>
      </c>
      <c r="B294" s="2">
        <v>9486</v>
      </c>
      <c r="C294" s="60" t="s">
        <v>9687</v>
      </c>
      <c r="D294" s="81"/>
      <c r="E294" s="57"/>
      <c r="F294" s="77"/>
      <c r="G294" s="81"/>
      <c r="H294" s="57"/>
      <c r="I294" s="77"/>
      <c r="J294" s="106" t="s">
        <v>18035</v>
      </c>
      <c r="K294" s="57" t="s">
        <v>1</v>
      </c>
      <c r="L294" s="58">
        <v>0.9</v>
      </c>
      <c r="M294" s="83" t="s">
        <v>5895</v>
      </c>
      <c r="N294" s="64" t="s">
        <v>1</v>
      </c>
      <c r="O294" s="65">
        <v>1</v>
      </c>
      <c r="P294" s="99"/>
      <c r="Q294" s="70"/>
      <c r="R294" s="66"/>
      <c r="S294" s="57"/>
      <c r="T294" s="58"/>
      <c r="U294" s="77"/>
      <c r="V294" s="66"/>
      <c r="W294" s="57"/>
      <c r="X294" s="58"/>
      <c r="Y294" s="77"/>
      <c r="Z294" s="228">
        <f>ROUND((ROUND((ROUND((ROUND((ROUND((_15_同援日１．５*_15・基礎２),0)*_15・２人),0)*(1+_15・A早朝)),0)*(1+_15・盲ろう)),0)*(1+_15・区４)),0)+ROUND((ROUND((ROUND((ROUND((_15_同援日１．５＿１．５*_15・基礎２),0)*_15・２人),0)*(1+_15・盲ろう)),0)*(1+_15・区４)),0)</f>
        <v>1130</v>
      </c>
      <c r="AA294" s="69"/>
    </row>
    <row r="295" spans="1:27" ht="16.5" customHeight="1" x14ac:dyDescent="0.3">
      <c r="A295" s="2">
        <v>15</v>
      </c>
      <c r="B295" s="2">
        <v>9487</v>
      </c>
      <c r="C295" s="60" t="s">
        <v>9686</v>
      </c>
      <c r="D295" s="233" t="s">
        <v>16303</v>
      </c>
      <c r="E295" s="62"/>
      <c r="F295" s="75"/>
      <c r="G295" s="233" t="s">
        <v>18043</v>
      </c>
      <c r="H295" s="62"/>
      <c r="I295" s="75"/>
      <c r="J295" s="61"/>
      <c r="K295" s="62"/>
      <c r="L295" s="63"/>
      <c r="M295" s="85"/>
      <c r="N295" s="64"/>
      <c r="O295" s="65"/>
      <c r="P295" s="99"/>
      <c r="Q295" s="70"/>
      <c r="R295" s="61"/>
      <c r="S295" s="62"/>
      <c r="T295" s="63"/>
      <c r="U295" s="75"/>
      <c r="V295" s="61"/>
      <c r="W295" s="62"/>
      <c r="X295" s="63"/>
      <c r="Y295" s="75"/>
      <c r="Z295" s="228">
        <f>ROUND((_15_同援日２．０*(1+_15・A早朝)),0)+_15_同援日２．０＿０．５</f>
        <v>669</v>
      </c>
      <c r="AA295" s="69"/>
    </row>
    <row r="296" spans="1:27" ht="16.5" customHeight="1" x14ac:dyDescent="0.3">
      <c r="A296" s="2">
        <v>15</v>
      </c>
      <c r="B296" s="2">
        <v>9488</v>
      </c>
      <c r="C296" s="60" t="s">
        <v>9685</v>
      </c>
      <c r="D296" s="1" t="s">
        <v>18047</v>
      </c>
      <c r="E296" s="68"/>
      <c r="F296" s="70"/>
      <c r="G296" s="1" t="s">
        <v>7928</v>
      </c>
      <c r="H296" s="68"/>
      <c r="I296" s="70"/>
      <c r="J296" s="66"/>
      <c r="K296" s="57"/>
      <c r="L296" s="58"/>
      <c r="M296" s="83" t="s">
        <v>5895</v>
      </c>
      <c r="N296" s="64" t="s">
        <v>1</v>
      </c>
      <c r="O296" s="65">
        <v>1</v>
      </c>
      <c r="P296" s="99"/>
      <c r="Q296" s="70"/>
      <c r="R296" s="67"/>
      <c r="S296" s="68"/>
      <c r="T296" s="76"/>
      <c r="U296" s="70"/>
      <c r="V296" s="67"/>
      <c r="W296" s="68"/>
      <c r="X296" s="76"/>
      <c r="Y296" s="70"/>
      <c r="Z296" s="228">
        <f>ROUND((ROUND((_15_同援日２．０*_15・２人),0)*(1+_15・A早朝)),0)+ROUND((_15_同援日２．０＿０．５*_15・２人),0)</f>
        <v>669</v>
      </c>
      <c r="AA296" s="69"/>
    </row>
    <row r="297" spans="1:27" ht="16.5" customHeight="1" x14ac:dyDescent="0.3">
      <c r="A297" s="2">
        <v>15</v>
      </c>
      <c r="B297" s="2">
        <v>9489</v>
      </c>
      <c r="C297" s="60" t="s">
        <v>9684</v>
      </c>
      <c r="D297" s="1" t="s">
        <v>6448</v>
      </c>
      <c r="E297" s="68"/>
      <c r="F297" s="70"/>
      <c r="G297" s="1"/>
      <c r="H297" s="68"/>
      <c r="I297" s="70"/>
      <c r="J297" s="74" t="s">
        <v>18036</v>
      </c>
      <c r="K297" s="62"/>
      <c r="L297" s="63"/>
      <c r="M297" s="85"/>
      <c r="N297" s="64"/>
      <c r="O297" s="65"/>
      <c r="P297" s="99"/>
      <c r="Q297" s="70"/>
      <c r="R297" s="67"/>
      <c r="S297" s="68"/>
      <c r="T297" s="76"/>
      <c r="U297" s="70"/>
      <c r="V297" s="67"/>
      <c r="W297" s="68"/>
      <c r="X297" s="76"/>
      <c r="Y297" s="70"/>
      <c r="Z297" s="228">
        <f>ROUND((ROUND((_15_同援日２．０*_15・基礎２),0)*(1+_15・A早朝)),0)+ROUND((_15_同援日２．０＿０．５*_15・基礎２),0)</f>
        <v>603</v>
      </c>
      <c r="AA297" s="69"/>
    </row>
    <row r="298" spans="1:27" ht="16.5" customHeight="1" x14ac:dyDescent="0.3">
      <c r="A298" s="2">
        <v>15</v>
      </c>
      <c r="B298" s="2">
        <v>9490</v>
      </c>
      <c r="C298" s="60" t="s">
        <v>9683</v>
      </c>
      <c r="D298" s="1"/>
      <c r="E298" s="227">
        <v>485</v>
      </c>
      <c r="F298" s="70" t="s">
        <v>0</v>
      </c>
      <c r="G298" s="1"/>
      <c r="H298" s="119">
        <v>63</v>
      </c>
      <c r="I298" s="70" t="s">
        <v>0</v>
      </c>
      <c r="J298" s="106" t="s">
        <v>18035</v>
      </c>
      <c r="K298" s="57" t="s">
        <v>1</v>
      </c>
      <c r="L298" s="58">
        <v>0.9</v>
      </c>
      <c r="M298" s="83" t="s">
        <v>5895</v>
      </c>
      <c r="N298" s="64" t="s">
        <v>1</v>
      </c>
      <c r="O298" s="65">
        <v>1</v>
      </c>
      <c r="P298" s="99"/>
      <c r="Q298" s="70"/>
      <c r="R298" s="66"/>
      <c r="S298" s="57"/>
      <c r="T298" s="58"/>
      <c r="U298" s="77"/>
      <c r="V298" s="67"/>
      <c r="W298" s="68"/>
      <c r="X298" s="76"/>
      <c r="Y298" s="70"/>
      <c r="Z298" s="228">
        <f>ROUND((ROUND((ROUND((_15_同援日２．０*_15・基礎２),0)*_15・２人),0)*(1+_15・A早朝)),0)+ROUND((ROUND((_15_同援日２．０＿０．５*_15・基礎２),0)*_15・２人),0)</f>
        <v>603</v>
      </c>
      <c r="AA298" s="69"/>
    </row>
    <row r="299" spans="1:27" ht="16.5" customHeight="1" x14ac:dyDescent="0.3">
      <c r="A299" s="2">
        <v>15</v>
      </c>
      <c r="B299" s="2">
        <v>9491</v>
      </c>
      <c r="C299" s="60" t="s">
        <v>9682</v>
      </c>
      <c r="D299" s="1"/>
      <c r="E299" s="68"/>
      <c r="F299" s="70"/>
      <c r="G299" s="1"/>
      <c r="H299" s="68"/>
      <c r="I299" s="70"/>
      <c r="J299" s="61"/>
      <c r="K299" s="62"/>
      <c r="L299" s="63"/>
      <c r="M299" s="85"/>
      <c r="N299" s="64"/>
      <c r="O299" s="65"/>
      <c r="P299" s="99"/>
      <c r="Q299" s="70"/>
      <c r="R299" s="74" t="s">
        <v>18038</v>
      </c>
      <c r="S299" s="62"/>
      <c r="T299" s="63"/>
      <c r="U299" s="75"/>
      <c r="V299" s="67"/>
      <c r="W299" s="68"/>
      <c r="X299" s="76"/>
      <c r="Y299" s="70"/>
      <c r="Z299" s="228">
        <f>ROUND((ROUND((_15_同援日２．０*(1+_15・A早朝)),0)*(1+_15・盲ろう)),0)+ROUND((_15_同援日２．０＿０．５*(1+_15・盲ろう)),0)</f>
        <v>837</v>
      </c>
      <c r="AA299" s="69"/>
    </row>
    <row r="300" spans="1:27" ht="16.5" customHeight="1" x14ac:dyDescent="0.3">
      <c r="A300" s="2">
        <v>15</v>
      </c>
      <c r="B300" s="2">
        <v>9492</v>
      </c>
      <c r="C300" s="60" t="s">
        <v>9681</v>
      </c>
      <c r="D300" s="1"/>
      <c r="E300" s="68"/>
      <c r="F300" s="70"/>
      <c r="G300" s="1"/>
      <c r="H300" s="68"/>
      <c r="I300" s="70"/>
      <c r="J300" s="66"/>
      <c r="K300" s="57"/>
      <c r="L300" s="58"/>
      <c r="M300" s="83" t="s">
        <v>5895</v>
      </c>
      <c r="N300" s="64" t="s">
        <v>1</v>
      </c>
      <c r="O300" s="65">
        <v>1</v>
      </c>
      <c r="P300" s="99"/>
      <c r="Q300" s="70"/>
      <c r="R300" s="94" t="s">
        <v>18037</v>
      </c>
      <c r="S300" s="68"/>
      <c r="T300" s="76"/>
      <c r="U300" s="70"/>
      <c r="V300" s="67"/>
      <c r="W300" s="68"/>
      <c r="X300" s="76"/>
      <c r="Y300" s="70"/>
      <c r="Z300" s="228">
        <f>ROUND((ROUND((ROUND((_15_同援日２．０*_15・２人),0)*(1+_15・A早朝)),0)*(1+_15・盲ろう)),0)+ROUND((ROUND((_15_同援日２．０＿０．５*_15・２人),0)*(1+_15・盲ろう)),0)</f>
        <v>837</v>
      </c>
      <c r="AA300" s="69"/>
    </row>
    <row r="301" spans="1:27" ht="16.5" customHeight="1" x14ac:dyDescent="0.3">
      <c r="A301" s="2">
        <v>15</v>
      </c>
      <c r="B301" s="2">
        <v>9493</v>
      </c>
      <c r="C301" s="60" t="s">
        <v>9680</v>
      </c>
      <c r="D301" s="1"/>
      <c r="E301" s="68"/>
      <c r="F301" s="70"/>
      <c r="G301" s="1"/>
      <c r="H301" s="68"/>
      <c r="I301" s="70"/>
      <c r="J301" s="74" t="s">
        <v>18036</v>
      </c>
      <c r="K301" s="62"/>
      <c r="L301" s="63"/>
      <c r="M301" s="85"/>
      <c r="N301" s="64"/>
      <c r="O301" s="65"/>
      <c r="P301" s="99"/>
      <c r="Q301" s="70"/>
      <c r="R301" s="67"/>
      <c r="S301" s="68" t="s">
        <v>1</v>
      </c>
      <c r="T301" s="76">
        <v>0.25</v>
      </c>
      <c r="U301" s="70" t="s">
        <v>422</v>
      </c>
      <c r="V301" s="67"/>
      <c r="W301" s="68"/>
      <c r="X301" s="76"/>
      <c r="Y301" s="70"/>
      <c r="Z301" s="228">
        <f>ROUND((ROUND((ROUND((_15_同援日２．０*_15・基礎２),0)*(1+_15・A早朝)),0)*(1+_15・盲ろう)),0)+ROUND((ROUND((_15_同援日２．０＿０．５*_15・基礎２),0)*(1+_15・盲ろう)),0)</f>
        <v>754</v>
      </c>
      <c r="AA301" s="69"/>
    </row>
    <row r="302" spans="1:27" ht="16.5" customHeight="1" x14ac:dyDescent="0.3">
      <c r="A302" s="2">
        <v>15</v>
      </c>
      <c r="B302" s="2">
        <v>9494</v>
      </c>
      <c r="C302" s="60" t="s">
        <v>9679</v>
      </c>
      <c r="D302" s="1"/>
      <c r="E302" s="68"/>
      <c r="F302" s="70"/>
      <c r="G302" s="1"/>
      <c r="H302" s="68"/>
      <c r="I302" s="70"/>
      <c r="J302" s="106" t="s">
        <v>5896</v>
      </c>
      <c r="K302" s="57" t="s">
        <v>1</v>
      </c>
      <c r="L302" s="58">
        <v>0.9</v>
      </c>
      <c r="M302" s="83" t="s">
        <v>5895</v>
      </c>
      <c r="N302" s="64" t="s">
        <v>1</v>
      </c>
      <c r="O302" s="65">
        <v>1</v>
      </c>
      <c r="P302" s="99"/>
      <c r="Q302" s="70"/>
      <c r="R302" s="66"/>
      <c r="S302" s="57"/>
      <c r="T302" s="58"/>
      <c r="U302" s="77"/>
      <c r="V302" s="66"/>
      <c r="W302" s="57"/>
      <c r="X302" s="58"/>
      <c r="Y302" s="77"/>
      <c r="Z302" s="228">
        <f>ROUND((ROUND((ROUND((ROUND((_15_同援日２．０*_15・基礎２),0)*_15・２人),0)*(1+_15・A早朝)),0)*(1+_15・盲ろう)),0)+ROUND((ROUND((ROUND((_15_同援日２．０＿０．５*_15・基礎２),0)*_15・２人),0)*(1+_15・盲ろう)),0)</f>
        <v>754</v>
      </c>
      <c r="AA302" s="69"/>
    </row>
    <row r="303" spans="1:27" ht="16.5" customHeight="1" x14ac:dyDescent="0.3">
      <c r="A303" s="2">
        <v>15</v>
      </c>
      <c r="B303" s="2">
        <v>9495</v>
      </c>
      <c r="C303" s="60" t="s">
        <v>9678</v>
      </c>
      <c r="D303" s="1"/>
      <c r="E303" s="68"/>
      <c r="F303" s="70"/>
      <c r="G303" s="1"/>
      <c r="H303" s="68"/>
      <c r="I303" s="70"/>
      <c r="J303" s="61"/>
      <c r="K303" s="62"/>
      <c r="L303" s="63"/>
      <c r="M303" s="85"/>
      <c r="N303" s="64"/>
      <c r="O303" s="65"/>
      <c r="P303" s="99"/>
      <c r="Q303" s="70"/>
      <c r="R303" s="61"/>
      <c r="S303" s="62"/>
      <c r="T303" s="63"/>
      <c r="U303" s="75"/>
      <c r="V303" s="61"/>
      <c r="W303" s="62"/>
      <c r="X303" s="63"/>
      <c r="Y303" s="75"/>
      <c r="Z303" s="228">
        <f>ROUND((ROUND((_15_同援日２．０*(1+_15・A早朝)),0)*(1+_15・区３)),0)+ROUND((_15_同援日２．０＿０．５*(1+_15・区３)),0)</f>
        <v>803</v>
      </c>
      <c r="AA303" s="69"/>
    </row>
    <row r="304" spans="1:27" ht="16.5" customHeight="1" x14ac:dyDescent="0.3">
      <c r="A304" s="2">
        <v>15</v>
      </c>
      <c r="B304" s="2">
        <v>9496</v>
      </c>
      <c r="C304" s="60" t="s">
        <v>9677</v>
      </c>
      <c r="D304" s="1"/>
      <c r="E304" s="68"/>
      <c r="F304" s="70"/>
      <c r="G304" s="1"/>
      <c r="H304" s="68"/>
      <c r="I304" s="70"/>
      <c r="J304" s="66"/>
      <c r="K304" s="57"/>
      <c r="L304" s="58"/>
      <c r="M304" s="83" t="s">
        <v>5895</v>
      </c>
      <c r="N304" s="64" t="s">
        <v>1</v>
      </c>
      <c r="O304" s="65">
        <v>1</v>
      </c>
      <c r="P304" s="99"/>
      <c r="Q304" s="70"/>
      <c r="R304" s="67"/>
      <c r="S304" s="68"/>
      <c r="T304" s="76"/>
      <c r="U304" s="70"/>
      <c r="V304" s="67"/>
      <c r="W304" s="68"/>
      <c r="X304" s="76"/>
      <c r="Y304" s="70"/>
      <c r="Z304" s="228">
        <f>ROUND((ROUND((ROUND((_15_同援日２．０*_15・２人),0)*(1+_15・A早朝)),0)*(1+_15・区３)),0)+ROUND((ROUND((_15_同援日２．０＿０．５*_15・２人),0)*(1+_15・区３)),0)</f>
        <v>803</v>
      </c>
      <c r="AA304" s="69"/>
    </row>
    <row r="305" spans="1:27" ht="16.5" customHeight="1" x14ac:dyDescent="0.3">
      <c r="A305" s="2">
        <v>15</v>
      </c>
      <c r="B305" s="2">
        <v>9497</v>
      </c>
      <c r="C305" s="60" t="s">
        <v>9676</v>
      </c>
      <c r="D305" s="1"/>
      <c r="E305" s="68"/>
      <c r="F305" s="70"/>
      <c r="G305" s="1"/>
      <c r="H305" s="68"/>
      <c r="I305" s="70"/>
      <c r="J305" s="74" t="s">
        <v>5898</v>
      </c>
      <c r="K305" s="62"/>
      <c r="L305" s="63"/>
      <c r="M305" s="85"/>
      <c r="N305" s="64"/>
      <c r="O305" s="65"/>
      <c r="P305" s="99"/>
      <c r="Q305" s="70"/>
      <c r="R305" s="67"/>
      <c r="S305" s="68"/>
      <c r="T305" s="76"/>
      <c r="U305" s="70"/>
      <c r="V305" s="1" t="s">
        <v>8098</v>
      </c>
      <c r="W305" s="68"/>
      <c r="X305" s="76"/>
      <c r="Y305" s="70"/>
      <c r="Z305" s="228">
        <f>ROUND((ROUND((ROUND((_15_同援日２．０*_15・基礎２),0)*(1+_15・A早朝)),0)*(1+_15・区３)),0)+ROUND((ROUND((_15_同援日２．０＿０．５*_15・基礎２),0)*(1+_15・区３)),0)</f>
        <v>723</v>
      </c>
      <c r="AA305" s="69"/>
    </row>
    <row r="306" spans="1:27" ht="16.5" customHeight="1" x14ac:dyDescent="0.3">
      <c r="A306" s="2">
        <v>15</v>
      </c>
      <c r="B306" s="2">
        <v>9498</v>
      </c>
      <c r="C306" s="60" t="s">
        <v>9675</v>
      </c>
      <c r="D306" s="1"/>
      <c r="E306" s="68"/>
      <c r="F306" s="70"/>
      <c r="G306" s="1"/>
      <c r="H306" s="68"/>
      <c r="I306" s="70"/>
      <c r="J306" s="106" t="s">
        <v>18035</v>
      </c>
      <c r="K306" s="57" t="s">
        <v>1</v>
      </c>
      <c r="L306" s="58">
        <v>0.9</v>
      </c>
      <c r="M306" s="83" t="s">
        <v>5895</v>
      </c>
      <c r="N306" s="64" t="s">
        <v>1</v>
      </c>
      <c r="O306" s="65">
        <v>1</v>
      </c>
      <c r="P306" s="99"/>
      <c r="Q306" s="70"/>
      <c r="R306" s="66"/>
      <c r="S306" s="57"/>
      <c r="T306" s="58"/>
      <c r="U306" s="77"/>
      <c r="V306" s="1" t="s">
        <v>18039</v>
      </c>
      <c r="W306" s="68"/>
      <c r="X306" s="76"/>
      <c r="Y306" s="70"/>
      <c r="Z306" s="228">
        <f>ROUND((ROUND((ROUND((ROUND((_15_同援日２．０*_15・基礎２),0)*_15・２人),0)*(1+_15・A早朝)),0)*(1+_15・区３)),0)+ROUND((ROUND((ROUND((_15_同援日２．０＿０．５*_15・基礎２),0)*_15・２人),0)*(1+_15・区３)),0)</f>
        <v>723</v>
      </c>
      <c r="AA306" s="69"/>
    </row>
    <row r="307" spans="1:27" ht="16.5" customHeight="1" x14ac:dyDescent="0.3">
      <c r="A307" s="2">
        <v>15</v>
      </c>
      <c r="B307" s="2">
        <v>9499</v>
      </c>
      <c r="C307" s="60" t="s">
        <v>9674</v>
      </c>
      <c r="D307" s="1"/>
      <c r="E307" s="68"/>
      <c r="F307" s="70"/>
      <c r="G307" s="1"/>
      <c r="H307" s="68"/>
      <c r="I307" s="70"/>
      <c r="J307" s="61"/>
      <c r="K307" s="62"/>
      <c r="L307" s="63"/>
      <c r="M307" s="85"/>
      <c r="N307" s="64"/>
      <c r="O307" s="65"/>
      <c r="P307" s="99"/>
      <c r="Q307" s="70"/>
      <c r="R307" s="74" t="s">
        <v>8085</v>
      </c>
      <c r="S307" s="62"/>
      <c r="T307" s="63"/>
      <c r="U307" s="75"/>
      <c r="V307" s="67"/>
      <c r="W307" s="68" t="s">
        <v>1</v>
      </c>
      <c r="X307" s="76">
        <v>0.2</v>
      </c>
      <c r="Y307" s="70" t="s">
        <v>422</v>
      </c>
      <c r="Z307" s="228">
        <f>ROUND((ROUND((ROUND((_15_同援日２．０*(1+_15・A早朝)),0)*(1+_15・盲ろう)),0)*(1+_15・区３)),0)+ROUND((ROUND((_15_同援日２．０＿０．５*(1+_15・盲ろう)),0)*(1+_15・区３)),0)</f>
        <v>1005</v>
      </c>
      <c r="AA307" s="69"/>
    </row>
    <row r="308" spans="1:27" ht="16.5" customHeight="1" x14ac:dyDescent="0.3">
      <c r="A308" s="2">
        <v>15</v>
      </c>
      <c r="B308" s="2">
        <v>9500</v>
      </c>
      <c r="C308" s="60" t="s">
        <v>9673</v>
      </c>
      <c r="D308" s="1"/>
      <c r="E308" s="68"/>
      <c r="F308" s="70"/>
      <c r="G308" s="1"/>
      <c r="H308" s="68"/>
      <c r="I308" s="70"/>
      <c r="J308" s="66"/>
      <c r="K308" s="57"/>
      <c r="L308" s="58"/>
      <c r="M308" s="83" t="s">
        <v>5895</v>
      </c>
      <c r="N308" s="64" t="s">
        <v>1</v>
      </c>
      <c r="O308" s="65">
        <v>1</v>
      </c>
      <c r="P308" s="99"/>
      <c r="Q308" s="70"/>
      <c r="R308" s="94" t="s">
        <v>18037</v>
      </c>
      <c r="S308" s="68"/>
      <c r="T308" s="76"/>
      <c r="U308" s="70"/>
      <c r="V308" s="67"/>
      <c r="W308" s="68"/>
      <c r="X308" s="76"/>
      <c r="Y308" s="70"/>
      <c r="Z308" s="228">
        <f>ROUND((ROUND((ROUND((ROUND((_15_同援日２．０*_15・２人),0)*(1+_15・A早朝)),0)*(1+_15・盲ろう)),0)*(1+_15・区３)),0)+ROUND((ROUND((ROUND((_15_同援日２．０＿０．５*_15・２人),0)*(1+_15・盲ろう)),0)*(1+_15・区３)),0)</f>
        <v>1005</v>
      </c>
      <c r="AA308" s="69"/>
    </row>
    <row r="309" spans="1:27" ht="16.5" customHeight="1" x14ac:dyDescent="0.3">
      <c r="A309" s="2">
        <v>15</v>
      </c>
      <c r="B309" s="2">
        <v>9501</v>
      </c>
      <c r="C309" s="60" t="s">
        <v>9672</v>
      </c>
      <c r="D309" s="1"/>
      <c r="E309" s="68"/>
      <c r="F309" s="70"/>
      <c r="G309" s="1"/>
      <c r="H309" s="68"/>
      <c r="I309" s="70"/>
      <c r="J309" s="74" t="s">
        <v>18036</v>
      </c>
      <c r="K309" s="62"/>
      <c r="L309" s="63"/>
      <c r="M309" s="85"/>
      <c r="N309" s="64"/>
      <c r="O309" s="65"/>
      <c r="P309" s="99"/>
      <c r="Q309" s="70"/>
      <c r="R309" s="67"/>
      <c r="S309" s="68" t="s">
        <v>1</v>
      </c>
      <c r="T309" s="76">
        <v>0.25</v>
      </c>
      <c r="U309" s="70" t="s">
        <v>422</v>
      </c>
      <c r="V309" s="67"/>
      <c r="W309" s="68"/>
      <c r="X309" s="76"/>
      <c r="Y309" s="70"/>
      <c r="Z309" s="228">
        <f>ROUND((ROUND((ROUND((ROUND((_15_同援日２．０*_15・基礎２),0)*(1+_15・A早朝)),0)*(1+_15・盲ろう)),0)*(1+_15・区３)),0)+ROUND((ROUND((ROUND((_15_同援日２．０＿０．５*_15・基礎２),0)*(1+_15・盲ろう)),0)*(1+_15・区３)),0)</f>
        <v>905</v>
      </c>
      <c r="AA309" s="69"/>
    </row>
    <row r="310" spans="1:27" ht="16.5" customHeight="1" x14ac:dyDescent="0.3">
      <c r="A310" s="2">
        <v>15</v>
      </c>
      <c r="B310" s="2">
        <v>9502</v>
      </c>
      <c r="C310" s="60" t="s">
        <v>9671</v>
      </c>
      <c r="D310" s="1"/>
      <c r="E310" s="68"/>
      <c r="F310" s="70"/>
      <c r="G310" s="1"/>
      <c r="H310" s="68"/>
      <c r="I310" s="70"/>
      <c r="J310" s="106" t="s">
        <v>18035</v>
      </c>
      <c r="K310" s="57" t="s">
        <v>1</v>
      </c>
      <c r="L310" s="58">
        <v>0.9</v>
      </c>
      <c r="M310" s="83" t="s">
        <v>5895</v>
      </c>
      <c r="N310" s="64" t="s">
        <v>1</v>
      </c>
      <c r="O310" s="65">
        <v>1</v>
      </c>
      <c r="P310" s="99"/>
      <c r="Q310" s="70"/>
      <c r="R310" s="66"/>
      <c r="S310" s="57"/>
      <c r="T310" s="58"/>
      <c r="U310" s="77"/>
      <c r="V310" s="66"/>
      <c r="W310" s="57"/>
      <c r="X310" s="58"/>
      <c r="Y310" s="77"/>
      <c r="Z310" s="228">
        <f>ROUND((ROUND((ROUND((ROUND((ROUND((_15_同援日２．０*_15・基礎２),0)*_15・２人),0)*(1+_15・A早朝)),0)*(1+_15・盲ろう)),0)*(1+_15・区３)),0)+ROUND((ROUND((ROUND((ROUND((_15_同援日２．０＿０．５*_15・基礎２),0)*_15・２人),0)*(1+_15・盲ろう)),0)*(1+_15・区３)),0)</f>
        <v>905</v>
      </c>
      <c r="AA310" s="69"/>
    </row>
    <row r="311" spans="1:27" ht="16.5" customHeight="1" x14ac:dyDescent="0.3">
      <c r="A311" s="2">
        <v>15</v>
      </c>
      <c r="B311" s="2">
        <v>9503</v>
      </c>
      <c r="C311" s="60" t="s">
        <v>9670</v>
      </c>
      <c r="D311" s="1"/>
      <c r="E311" s="68"/>
      <c r="F311" s="70"/>
      <c r="G311" s="1"/>
      <c r="H311" s="68"/>
      <c r="I311" s="70"/>
      <c r="J311" s="61"/>
      <c r="K311" s="62"/>
      <c r="L311" s="63"/>
      <c r="M311" s="85"/>
      <c r="N311" s="64"/>
      <c r="O311" s="65"/>
      <c r="P311" s="99"/>
      <c r="Q311" s="70"/>
      <c r="R311" s="61"/>
      <c r="S311" s="62"/>
      <c r="T311" s="63"/>
      <c r="U311" s="75"/>
      <c r="V311" s="61"/>
      <c r="W311" s="62"/>
      <c r="X311" s="63"/>
      <c r="Y311" s="75"/>
      <c r="Z311" s="228">
        <f>ROUND((ROUND((_15_同援日２．０*(1+_15・A早朝)),0)*(1+_15・区４)),0)+ROUND((_15_同援日２．０＿０．５*(1+_15・区４)),0)</f>
        <v>936</v>
      </c>
      <c r="AA311" s="69"/>
    </row>
    <row r="312" spans="1:27" ht="16.5" customHeight="1" x14ac:dyDescent="0.3">
      <c r="A312" s="2">
        <v>15</v>
      </c>
      <c r="B312" s="2">
        <v>9504</v>
      </c>
      <c r="C312" s="60" t="s">
        <v>9669</v>
      </c>
      <c r="D312" s="1"/>
      <c r="E312" s="68"/>
      <c r="F312" s="70"/>
      <c r="G312" s="1"/>
      <c r="H312" s="68"/>
      <c r="I312" s="70"/>
      <c r="J312" s="66"/>
      <c r="K312" s="57"/>
      <c r="L312" s="58"/>
      <c r="M312" s="83" t="s">
        <v>5895</v>
      </c>
      <c r="N312" s="64" t="s">
        <v>1</v>
      </c>
      <c r="O312" s="65">
        <v>1</v>
      </c>
      <c r="P312" s="99"/>
      <c r="Q312" s="70"/>
      <c r="R312" s="67"/>
      <c r="S312" s="68"/>
      <c r="T312" s="76"/>
      <c r="U312" s="70"/>
      <c r="V312" s="67"/>
      <c r="W312" s="68"/>
      <c r="X312" s="76"/>
      <c r="Y312" s="70"/>
      <c r="Z312" s="228">
        <f>ROUND((ROUND((ROUND((_15_同援日２．０*_15・２人),0)*(1+_15・A早朝)),0)*(1+_15・区４)),0)+ROUND((ROUND((_15_同援日２．０＿０．５*_15・２人),0)*(1+_15・区４)),0)</f>
        <v>936</v>
      </c>
      <c r="AA312" s="69"/>
    </row>
    <row r="313" spans="1:27" ht="16.5" customHeight="1" x14ac:dyDescent="0.3">
      <c r="A313" s="2">
        <v>15</v>
      </c>
      <c r="B313" s="2">
        <v>9505</v>
      </c>
      <c r="C313" s="60" t="s">
        <v>9668</v>
      </c>
      <c r="D313" s="1"/>
      <c r="E313" s="68"/>
      <c r="F313" s="70"/>
      <c r="G313" s="1"/>
      <c r="H313" s="68"/>
      <c r="I313" s="70"/>
      <c r="J313" s="74" t="s">
        <v>18036</v>
      </c>
      <c r="K313" s="62"/>
      <c r="L313" s="63"/>
      <c r="M313" s="85"/>
      <c r="N313" s="64"/>
      <c r="O313" s="65"/>
      <c r="P313" s="99"/>
      <c r="Q313" s="70"/>
      <c r="R313" s="67"/>
      <c r="S313" s="68"/>
      <c r="T313" s="76"/>
      <c r="U313" s="70"/>
      <c r="V313" s="1" t="s">
        <v>18040</v>
      </c>
      <c r="W313" s="68"/>
      <c r="X313" s="76"/>
      <c r="Y313" s="70"/>
      <c r="Z313" s="228">
        <f>ROUND((ROUND((ROUND((_15_同援日２．０*_15・基礎２),0)*(1+_15・A早朝)),0)*(1+_15・区４)),0)+ROUND((ROUND((_15_同援日２．０＿０．５*_15・基礎２),0)*(1+_15・区４)),0)</f>
        <v>844</v>
      </c>
      <c r="AA313" s="69"/>
    </row>
    <row r="314" spans="1:27" ht="16.5" customHeight="1" x14ac:dyDescent="0.3">
      <c r="A314" s="2">
        <v>15</v>
      </c>
      <c r="B314" s="2">
        <v>9506</v>
      </c>
      <c r="C314" s="60" t="s">
        <v>9667</v>
      </c>
      <c r="D314" s="1"/>
      <c r="E314" s="68"/>
      <c r="F314" s="70"/>
      <c r="G314" s="1"/>
      <c r="H314" s="68"/>
      <c r="I314" s="70"/>
      <c r="J314" s="106" t="s">
        <v>18035</v>
      </c>
      <c r="K314" s="57" t="s">
        <v>1</v>
      </c>
      <c r="L314" s="58">
        <v>0.9</v>
      </c>
      <c r="M314" s="83" t="s">
        <v>5895</v>
      </c>
      <c r="N314" s="64" t="s">
        <v>1</v>
      </c>
      <c r="O314" s="65">
        <v>1</v>
      </c>
      <c r="P314" s="99"/>
      <c r="Q314" s="70"/>
      <c r="R314" s="66"/>
      <c r="S314" s="57"/>
      <c r="T314" s="58"/>
      <c r="U314" s="77"/>
      <c r="V314" s="1" t="s">
        <v>18039</v>
      </c>
      <c r="W314" s="68"/>
      <c r="X314" s="76"/>
      <c r="Y314" s="70"/>
      <c r="Z314" s="228">
        <f>ROUND((ROUND((ROUND((ROUND((_15_同援日２．０*_15・基礎２),0)*_15・２人),0)*(1+_15・A早朝)),0)*(1+_15・区４)),0)+ROUND((ROUND((ROUND((_15_同援日２．０＿０．５*_15・基礎２),0)*_15・２人),0)*(1+_15・区４)),0)</f>
        <v>844</v>
      </c>
      <c r="AA314" s="69"/>
    </row>
    <row r="315" spans="1:27" ht="16.5" customHeight="1" x14ac:dyDescent="0.3">
      <c r="A315" s="2">
        <v>15</v>
      </c>
      <c r="B315" s="2">
        <v>9507</v>
      </c>
      <c r="C315" s="60" t="s">
        <v>9666</v>
      </c>
      <c r="D315" s="1"/>
      <c r="E315" s="68"/>
      <c r="F315" s="70"/>
      <c r="G315" s="1"/>
      <c r="H315" s="68"/>
      <c r="I315" s="70"/>
      <c r="J315" s="61"/>
      <c r="K315" s="62"/>
      <c r="L315" s="63"/>
      <c r="M315" s="85"/>
      <c r="N315" s="64"/>
      <c r="O315" s="65"/>
      <c r="P315" s="99"/>
      <c r="Q315" s="70"/>
      <c r="R315" s="74" t="s">
        <v>18038</v>
      </c>
      <c r="S315" s="62"/>
      <c r="T315" s="63"/>
      <c r="U315" s="75"/>
      <c r="V315" s="67"/>
      <c r="W315" s="68" t="s">
        <v>1</v>
      </c>
      <c r="X315" s="76">
        <v>0.4</v>
      </c>
      <c r="Y315" s="70" t="s">
        <v>422</v>
      </c>
      <c r="Z315" s="228">
        <f>ROUND((ROUND((ROUND((_15_同援日２．０*(1+_15・A早朝)),0)*(1+_15・盲ろう)),0)*(1+_15・区４)),0)+ROUND((ROUND((_15_同援日２．０＿０．５*(1+_15・盲ろう)),0)*(1+_15・区４)),0)</f>
        <v>1172</v>
      </c>
      <c r="AA315" s="69"/>
    </row>
    <row r="316" spans="1:27" ht="16.5" customHeight="1" x14ac:dyDescent="0.3">
      <c r="A316" s="2">
        <v>15</v>
      </c>
      <c r="B316" s="2">
        <v>9508</v>
      </c>
      <c r="C316" s="60" t="s">
        <v>9665</v>
      </c>
      <c r="D316" s="1"/>
      <c r="E316" s="68"/>
      <c r="F316" s="70"/>
      <c r="G316" s="1"/>
      <c r="H316" s="68"/>
      <c r="I316" s="70"/>
      <c r="J316" s="66"/>
      <c r="K316" s="57"/>
      <c r="L316" s="58"/>
      <c r="M316" s="83" t="s">
        <v>5895</v>
      </c>
      <c r="N316" s="64" t="s">
        <v>1</v>
      </c>
      <c r="O316" s="65">
        <v>1</v>
      </c>
      <c r="P316" s="99"/>
      <c r="Q316" s="70"/>
      <c r="R316" s="94" t="s">
        <v>18037</v>
      </c>
      <c r="S316" s="68"/>
      <c r="T316" s="76"/>
      <c r="U316" s="70"/>
      <c r="V316" s="67"/>
      <c r="W316" s="68"/>
      <c r="X316" s="76"/>
      <c r="Y316" s="70"/>
      <c r="Z316" s="228">
        <f>ROUND((ROUND((ROUND((ROUND((_15_同援日２．０*_15・２人),0)*(1+_15・A早朝)),0)*(1+_15・盲ろう)),0)*(1+_15・区４)),0)+ROUND((ROUND((ROUND((_15_同援日２．０＿０．５*_15・２人),0)*(1+_15・盲ろう)),0)*(1+_15・区４)),0)</f>
        <v>1172</v>
      </c>
      <c r="AA316" s="69"/>
    </row>
    <row r="317" spans="1:27" ht="16.5" customHeight="1" x14ac:dyDescent="0.3">
      <c r="A317" s="2">
        <v>15</v>
      </c>
      <c r="B317" s="2">
        <v>9509</v>
      </c>
      <c r="C317" s="60" t="s">
        <v>9664</v>
      </c>
      <c r="D317" s="1"/>
      <c r="E317" s="68"/>
      <c r="F317" s="70"/>
      <c r="G317" s="1"/>
      <c r="H317" s="68"/>
      <c r="I317" s="70"/>
      <c r="J317" s="74" t="s">
        <v>18036</v>
      </c>
      <c r="K317" s="62"/>
      <c r="L317" s="63"/>
      <c r="M317" s="85"/>
      <c r="N317" s="64"/>
      <c r="O317" s="65"/>
      <c r="P317" s="99"/>
      <c r="Q317" s="70"/>
      <c r="R317" s="67"/>
      <c r="S317" s="68" t="s">
        <v>1</v>
      </c>
      <c r="T317" s="76">
        <v>0.25</v>
      </c>
      <c r="U317" s="70" t="s">
        <v>422</v>
      </c>
      <c r="V317" s="67"/>
      <c r="W317" s="68"/>
      <c r="X317" s="76"/>
      <c r="Y317" s="70"/>
      <c r="Z317" s="228">
        <f>ROUND((ROUND((ROUND((ROUND((_15_同援日２．０*_15・基礎２),0)*(1+_15・A早朝)),0)*(1+_15・盲ろう)),0)*(1+_15・区４)),0)+ROUND((ROUND((ROUND((_15_同援日２．０＿０．５*_15・基礎２),0)*(1+_15・盲ろう)),0)*(1+_15・区４)),0)</f>
        <v>1055</v>
      </c>
      <c r="AA317" s="69"/>
    </row>
    <row r="318" spans="1:27" ht="16.5" customHeight="1" x14ac:dyDescent="0.3">
      <c r="A318" s="2">
        <v>15</v>
      </c>
      <c r="B318" s="2">
        <v>9510</v>
      </c>
      <c r="C318" s="60" t="s">
        <v>9663</v>
      </c>
      <c r="D318" s="1"/>
      <c r="E318" s="68"/>
      <c r="F318" s="70"/>
      <c r="G318" s="81"/>
      <c r="H318" s="57"/>
      <c r="I318" s="77"/>
      <c r="J318" s="106" t="s">
        <v>18035</v>
      </c>
      <c r="K318" s="57" t="s">
        <v>1</v>
      </c>
      <c r="L318" s="58">
        <v>0.9</v>
      </c>
      <c r="M318" s="83" t="s">
        <v>5895</v>
      </c>
      <c r="N318" s="64" t="s">
        <v>1</v>
      </c>
      <c r="O318" s="65">
        <v>1</v>
      </c>
      <c r="P318" s="99"/>
      <c r="Q318" s="70"/>
      <c r="R318" s="66"/>
      <c r="S318" s="57"/>
      <c r="T318" s="58"/>
      <c r="U318" s="77"/>
      <c r="V318" s="66"/>
      <c r="W318" s="57"/>
      <c r="X318" s="58"/>
      <c r="Y318" s="77"/>
      <c r="Z318" s="228">
        <f>ROUND((ROUND((ROUND((ROUND((ROUND((_15_同援日２．０*_15・基礎２),0)*_15・２人),0)*(1+_15・A早朝)),0)*(1+_15・盲ろう)),0)*(1+_15・区４)),0)+ROUND((ROUND((ROUND((ROUND((_15_同援日２．０＿０．５*_15・基礎２),0)*_15・２人),0)*(1+_15・盲ろう)),0)*(1+_15・区４)),0)</f>
        <v>1055</v>
      </c>
      <c r="AA318" s="69"/>
    </row>
    <row r="319" spans="1:27" ht="16.5" customHeight="1" x14ac:dyDescent="0.3">
      <c r="A319" s="2">
        <v>15</v>
      </c>
      <c r="B319" s="2">
        <v>9511</v>
      </c>
      <c r="C319" s="60" t="s">
        <v>9662</v>
      </c>
      <c r="D319" s="1"/>
      <c r="E319" s="68"/>
      <c r="F319" s="70"/>
      <c r="G319" s="233" t="s">
        <v>18046</v>
      </c>
      <c r="H319" s="62"/>
      <c r="I319" s="75"/>
      <c r="J319" s="61"/>
      <c r="K319" s="62"/>
      <c r="L319" s="63"/>
      <c r="M319" s="85"/>
      <c r="N319" s="64"/>
      <c r="O319" s="65"/>
      <c r="P319" s="99"/>
      <c r="Q319" s="70"/>
      <c r="R319" s="61"/>
      <c r="S319" s="62"/>
      <c r="T319" s="63"/>
      <c r="U319" s="75"/>
      <c r="V319" s="61"/>
      <c r="W319" s="62"/>
      <c r="X319" s="63"/>
      <c r="Y319" s="75"/>
      <c r="Z319" s="228">
        <f>ROUND((_15_同援日２．０*(1+_15・A早朝)),0)+_15_同援日２．０＿１．０</f>
        <v>732</v>
      </c>
      <c r="AA319" s="69"/>
    </row>
    <row r="320" spans="1:27" ht="16.5" customHeight="1" x14ac:dyDescent="0.3">
      <c r="A320" s="2">
        <v>15</v>
      </c>
      <c r="B320" s="2">
        <v>9512</v>
      </c>
      <c r="C320" s="60" t="s">
        <v>9661</v>
      </c>
      <c r="D320" s="1"/>
      <c r="E320" s="68"/>
      <c r="F320" s="70"/>
      <c r="G320" s="1" t="s">
        <v>18045</v>
      </c>
      <c r="H320" s="68"/>
      <c r="I320" s="70"/>
      <c r="J320" s="66"/>
      <c r="K320" s="57"/>
      <c r="L320" s="58"/>
      <c r="M320" s="83" t="s">
        <v>5895</v>
      </c>
      <c r="N320" s="64" t="s">
        <v>1</v>
      </c>
      <c r="O320" s="65">
        <v>1</v>
      </c>
      <c r="P320" s="99"/>
      <c r="Q320" s="70"/>
      <c r="R320" s="67"/>
      <c r="S320" s="68"/>
      <c r="T320" s="76"/>
      <c r="U320" s="70"/>
      <c r="V320" s="67"/>
      <c r="W320" s="68"/>
      <c r="X320" s="76"/>
      <c r="Y320" s="70"/>
      <c r="Z320" s="228">
        <f>ROUND((ROUND((_15_同援日２．０*_15・２人),0)*(1+_15・A早朝)),0)+ROUND((_15_同援日２．０＿１．０*_15・２人),0)</f>
        <v>732</v>
      </c>
      <c r="AA320" s="69"/>
    </row>
    <row r="321" spans="1:27" ht="16.5" customHeight="1" x14ac:dyDescent="0.3">
      <c r="A321" s="2">
        <v>15</v>
      </c>
      <c r="B321" s="2">
        <v>9513</v>
      </c>
      <c r="C321" s="60" t="s">
        <v>9660</v>
      </c>
      <c r="D321" s="1"/>
      <c r="E321" s="68"/>
      <c r="F321" s="70"/>
      <c r="G321" s="1" t="s">
        <v>8572</v>
      </c>
      <c r="H321" s="68"/>
      <c r="I321" s="70"/>
      <c r="J321" s="74" t="s">
        <v>18036</v>
      </c>
      <c r="K321" s="62"/>
      <c r="L321" s="63"/>
      <c r="M321" s="85"/>
      <c r="N321" s="64"/>
      <c r="O321" s="65"/>
      <c r="P321" s="99"/>
      <c r="Q321" s="70"/>
      <c r="R321" s="67"/>
      <c r="S321" s="68"/>
      <c r="T321" s="76"/>
      <c r="U321" s="70"/>
      <c r="V321" s="67"/>
      <c r="W321" s="68"/>
      <c r="X321" s="76"/>
      <c r="Y321" s="70"/>
      <c r="Z321" s="228">
        <f>ROUND((ROUND((_15_同援日２．０*_15・基礎２),0)*(1+_15・A早朝)),0)+ROUND((_15_同援日２．０＿１．０*_15・基礎２),0)</f>
        <v>659</v>
      </c>
      <c r="AA321" s="69"/>
    </row>
    <row r="322" spans="1:27" ht="16.5" customHeight="1" x14ac:dyDescent="0.3">
      <c r="A322" s="2">
        <v>15</v>
      </c>
      <c r="B322" s="2">
        <v>9514</v>
      </c>
      <c r="C322" s="60" t="s">
        <v>9659</v>
      </c>
      <c r="D322" s="1"/>
      <c r="E322" s="68"/>
      <c r="F322" s="70"/>
      <c r="G322" s="1"/>
      <c r="H322" s="119">
        <v>126</v>
      </c>
      <c r="I322" s="70" t="s">
        <v>0</v>
      </c>
      <c r="J322" s="106" t="s">
        <v>18035</v>
      </c>
      <c r="K322" s="57" t="s">
        <v>1</v>
      </c>
      <c r="L322" s="58">
        <v>0.9</v>
      </c>
      <c r="M322" s="83" t="s">
        <v>5895</v>
      </c>
      <c r="N322" s="64" t="s">
        <v>1</v>
      </c>
      <c r="O322" s="65">
        <v>1</v>
      </c>
      <c r="P322" s="99"/>
      <c r="Q322" s="70"/>
      <c r="R322" s="66"/>
      <c r="S322" s="57"/>
      <c r="T322" s="58"/>
      <c r="U322" s="77"/>
      <c r="V322" s="67"/>
      <c r="W322" s="68"/>
      <c r="X322" s="76"/>
      <c r="Y322" s="70"/>
      <c r="Z322" s="228">
        <f>ROUND((ROUND((ROUND((_15_同援日２．０*_15・基礎２),0)*_15・２人),0)*(1+_15・A早朝)),0)+ROUND((ROUND((_15_同援日２．０＿１．０*_15・基礎２),0)*_15・２人),0)</f>
        <v>659</v>
      </c>
      <c r="AA322" s="69"/>
    </row>
    <row r="323" spans="1:27" ht="16.5" customHeight="1" x14ac:dyDescent="0.3">
      <c r="A323" s="2">
        <v>15</v>
      </c>
      <c r="B323" s="2">
        <v>9515</v>
      </c>
      <c r="C323" s="60" t="s">
        <v>9658</v>
      </c>
      <c r="D323" s="1"/>
      <c r="E323" s="68"/>
      <c r="F323" s="70"/>
      <c r="G323" s="1"/>
      <c r="H323" s="68"/>
      <c r="I323" s="70"/>
      <c r="J323" s="61"/>
      <c r="K323" s="62"/>
      <c r="L323" s="63"/>
      <c r="M323" s="85"/>
      <c r="N323" s="64"/>
      <c r="O323" s="65"/>
      <c r="P323" s="99"/>
      <c r="Q323" s="70"/>
      <c r="R323" s="74" t="s">
        <v>18038</v>
      </c>
      <c r="S323" s="62"/>
      <c r="T323" s="63"/>
      <c r="U323" s="75"/>
      <c r="V323" s="67"/>
      <c r="W323" s="68"/>
      <c r="X323" s="76"/>
      <c r="Y323" s="70"/>
      <c r="Z323" s="228">
        <f>ROUND((ROUND((_15_同援日２．０*(1+_15・A早朝)),0)*(1+_15・盲ろう)),0)+ROUND((_15_同援日２．０＿１．０*(1+_15・盲ろう)),0)</f>
        <v>916</v>
      </c>
      <c r="AA323" s="69"/>
    </row>
    <row r="324" spans="1:27" ht="16.5" customHeight="1" x14ac:dyDescent="0.3">
      <c r="A324" s="2">
        <v>15</v>
      </c>
      <c r="B324" s="2">
        <v>9516</v>
      </c>
      <c r="C324" s="60" t="s">
        <v>9657</v>
      </c>
      <c r="D324" s="1"/>
      <c r="E324" s="68"/>
      <c r="F324" s="70"/>
      <c r="G324" s="1"/>
      <c r="H324" s="68"/>
      <c r="I324" s="70"/>
      <c r="J324" s="66"/>
      <c r="K324" s="57"/>
      <c r="L324" s="58"/>
      <c r="M324" s="83" t="s">
        <v>5895</v>
      </c>
      <c r="N324" s="64" t="s">
        <v>1</v>
      </c>
      <c r="O324" s="65">
        <v>1</v>
      </c>
      <c r="P324" s="99"/>
      <c r="Q324" s="70"/>
      <c r="R324" s="94" t="s">
        <v>18037</v>
      </c>
      <c r="S324" s="68"/>
      <c r="T324" s="76"/>
      <c r="U324" s="70"/>
      <c r="V324" s="67"/>
      <c r="W324" s="68"/>
      <c r="X324" s="76"/>
      <c r="Y324" s="70"/>
      <c r="Z324" s="228">
        <f>ROUND((ROUND((ROUND((_15_同援日２．０*_15・２人),0)*(1+_15・A早朝)),0)*(1+_15・盲ろう)),0)+ROUND((ROUND((_15_同援日２．０＿１．０*_15・２人),0)*(1+_15・盲ろう)),0)</f>
        <v>916</v>
      </c>
      <c r="AA324" s="69"/>
    </row>
    <row r="325" spans="1:27" ht="16.5" customHeight="1" x14ac:dyDescent="0.3">
      <c r="A325" s="2">
        <v>15</v>
      </c>
      <c r="B325" s="2">
        <v>9517</v>
      </c>
      <c r="C325" s="60" t="s">
        <v>9656</v>
      </c>
      <c r="D325" s="1"/>
      <c r="E325" s="68"/>
      <c r="F325" s="70"/>
      <c r="G325" s="1"/>
      <c r="H325" s="68"/>
      <c r="I325" s="70"/>
      <c r="J325" s="74" t="s">
        <v>5898</v>
      </c>
      <c r="K325" s="62"/>
      <c r="L325" s="63"/>
      <c r="M325" s="85"/>
      <c r="N325" s="64"/>
      <c r="O325" s="65"/>
      <c r="P325" s="99"/>
      <c r="Q325" s="70"/>
      <c r="R325" s="67"/>
      <c r="S325" s="68" t="s">
        <v>1</v>
      </c>
      <c r="T325" s="76">
        <v>0.25</v>
      </c>
      <c r="U325" s="70" t="s">
        <v>422</v>
      </c>
      <c r="V325" s="67"/>
      <c r="W325" s="68"/>
      <c r="X325" s="76"/>
      <c r="Y325" s="70"/>
      <c r="Z325" s="228">
        <f>ROUND((ROUND((ROUND((_15_同援日２．０*_15・基礎２),0)*(1+_15・A早朝)),0)*(1+_15・盲ろう)),0)+ROUND((ROUND((_15_同援日２．０＿１．０*_15・基礎２),0)*(1+_15・盲ろう)),0)</f>
        <v>824</v>
      </c>
      <c r="AA325" s="69"/>
    </row>
    <row r="326" spans="1:27" ht="16.5" customHeight="1" x14ac:dyDescent="0.3">
      <c r="A326" s="2">
        <v>15</v>
      </c>
      <c r="B326" s="2">
        <v>9518</v>
      </c>
      <c r="C326" s="60" t="s">
        <v>9655</v>
      </c>
      <c r="D326" s="1"/>
      <c r="E326" s="68"/>
      <c r="F326" s="70"/>
      <c r="G326" s="1"/>
      <c r="H326" s="68"/>
      <c r="I326" s="70"/>
      <c r="J326" s="106" t="s">
        <v>18035</v>
      </c>
      <c r="K326" s="57" t="s">
        <v>1</v>
      </c>
      <c r="L326" s="58">
        <v>0.9</v>
      </c>
      <c r="M326" s="83" t="s">
        <v>5895</v>
      </c>
      <c r="N326" s="64" t="s">
        <v>1</v>
      </c>
      <c r="O326" s="65">
        <v>1</v>
      </c>
      <c r="P326" s="99"/>
      <c r="Q326" s="70"/>
      <c r="R326" s="66"/>
      <c r="S326" s="57"/>
      <c r="T326" s="58"/>
      <c r="U326" s="77"/>
      <c r="V326" s="66"/>
      <c r="W326" s="57"/>
      <c r="X326" s="58"/>
      <c r="Y326" s="77"/>
      <c r="Z326" s="228">
        <f>ROUND((ROUND((ROUND((ROUND((_15_同援日２．０*_15・基礎２),0)*_15・２人),0)*(1+_15・A早朝)),0)*(1+_15・盲ろう)),0)+ROUND((ROUND((ROUND((_15_同援日２．０＿１．０*_15・基礎２),0)*_15・２人),0)*(1+_15・盲ろう)),0)</f>
        <v>824</v>
      </c>
      <c r="AA326" s="69"/>
    </row>
    <row r="327" spans="1:27" ht="16.5" customHeight="1" x14ac:dyDescent="0.3">
      <c r="A327" s="2">
        <v>15</v>
      </c>
      <c r="B327" s="2">
        <v>9519</v>
      </c>
      <c r="C327" s="60" t="s">
        <v>9654</v>
      </c>
      <c r="D327" s="1"/>
      <c r="E327" s="68"/>
      <c r="F327" s="70"/>
      <c r="G327" s="1"/>
      <c r="H327" s="68"/>
      <c r="I327" s="70"/>
      <c r="J327" s="61"/>
      <c r="K327" s="62"/>
      <c r="L327" s="63"/>
      <c r="M327" s="85"/>
      <c r="N327" s="64"/>
      <c r="O327" s="65"/>
      <c r="P327" s="99"/>
      <c r="Q327" s="70"/>
      <c r="R327" s="61"/>
      <c r="S327" s="62"/>
      <c r="T327" s="63"/>
      <c r="U327" s="75"/>
      <c r="V327" s="61"/>
      <c r="W327" s="62"/>
      <c r="X327" s="63"/>
      <c r="Y327" s="75"/>
      <c r="Z327" s="228">
        <f>ROUND((ROUND((_15_同援日２．０*(1+_15・A早朝)),0)*(1+_15・区３)),0)+ROUND((_15_同援日２．０＿１．０*(1+_15・区３)),0)</f>
        <v>878</v>
      </c>
      <c r="AA327" s="69"/>
    </row>
    <row r="328" spans="1:27" ht="16.5" customHeight="1" x14ac:dyDescent="0.3">
      <c r="A328" s="2">
        <v>15</v>
      </c>
      <c r="B328" s="2">
        <v>9520</v>
      </c>
      <c r="C328" s="60" t="s">
        <v>9653</v>
      </c>
      <c r="D328" s="1"/>
      <c r="E328" s="68"/>
      <c r="F328" s="70"/>
      <c r="G328" s="1"/>
      <c r="H328" s="68"/>
      <c r="I328" s="70"/>
      <c r="J328" s="66"/>
      <c r="K328" s="57"/>
      <c r="L328" s="58"/>
      <c r="M328" s="83" t="s">
        <v>5895</v>
      </c>
      <c r="N328" s="64" t="s">
        <v>1</v>
      </c>
      <c r="O328" s="65">
        <v>1</v>
      </c>
      <c r="P328" s="99"/>
      <c r="Q328" s="70"/>
      <c r="R328" s="67"/>
      <c r="S328" s="68"/>
      <c r="T328" s="76"/>
      <c r="U328" s="70"/>
      <c r="V328" s="67"/>
      <c r="W328" s="68"/>
      <c r="X328" s="76"/>
      <c r="Y328" s="70"/>
      <c r="Z328" s="228">
        <f>ROUND((ROUND((ROUND((_15_同援日２．０*_15・２人),0)*(1+_15・A早朝)),0)*(1+_15・区３)),0)+ROUND((ROUND((_15_同援日２．０＿１．０*_15・２人),0)*(1+_15・区３)),0)</f>
        <v>878</v>
      </c>
      <c r="AA328" s="69"/>
    </row>
    <row r="329" spans="1:27" ht="16.5" customHeight="1" x14ac:dyDescent="0.3">
      <c r="A329" s="2">
        <v>15</v>
      </c>
      <c r="B329" s="2">
        <v>9521</v>
      </c>
      <c r="C329" s="60" t="s">
        <v>9652</v>
      </c>
      <c r="D329" s="1"/>
      <c r="E329" s="68"/>
      <c r="F329" s="70"/>
      <c r="G329" s="1"/>
      <c r="H329" s="68"/>
      <c r="I329" s="70"/>
      <c r="J329" s="74" t="s">
        <v>5898</v>
      </c>
      <c r="K329" s="62"/>
      <c r="L329" s="63"/>
      <c r="M329" s="85"/>
      <c r="N329" s="64"/>
      <c r="O329" s="65"/>
      <c r="P329" s="99"/>
      <c r="Q329" s="70"/>
      <c r="R329" s="67"/>
      <c r="S329" s="68"/>
      <c r="T329" s="76"/>
      <c r="U329" s="70"/>
      <c r="V329" s="1" t="s">
        <v>18041</v>
      </c>
      <c r="W329" s="68"/>
      <c r="X329" s="76"/>
      <c r="Y329" s="70"/>
      <c r="Z329" s="228">
        <f>ROUND((ROUND((ROUND((_15_同援日２．０*_15・基礎２),0)*(1+_15・A早朝)),0)*(1+_15・区３)),0)+ROUND((ROUND((_15_同援日２．０＿１．０*_15・基礎２),0)*(1+_15・区３)),0)</f>
        <v>791</v>
      </c>
      <c r="AA329" s="69"/>
    </row>
    <row r="330" spans="1:27" ht="16.5" customHeight="1" x14ac:dyDescent="0.3">
      <c r="A330" s="2">
        <v>15</v>
      </c>
      <c r="B330" s="2">
        <v>9522</v>
      </c>
      <c r="C330" s="60" t="s">
        <v>9651</v>
      </c>
      <c r="D330" s="1"/>
      <c r="E330" s="68"/>
      <c r="F330" s="70"/>
      <c r="G330" s="1"/>
      <c r="H330" s="68"/>
      <c r="I330" s="70"/>
      <c r="J330" s="106" t="s">
        <v>18035</v>
      </c>
      <c r="K330" s="57" t="s">
        <v>1</v>
      </c>
      <c r="L330" s="58">
        <v>0.9</v>
      </c>
      <c r="M330" s="83" t="s">
        <v>5895</v>
      </c>
      <c r="N330" s="64" t="s">
        <v>1</v>
      </c>
      <c r="O330" s="65">
        <v>1</v>
      </c>
      <c r="P330" s="99"/>
      <c r="Q330" s="70"/>
      <c r="R330" s="66"/>
      <c r="S330" s="57"/>
      <c r="T330" s="58"/>
      <c r="U330" s="77"/>
      <c r="V330" s="1" t="s">
        <v>18039</v>
      </c>
      <c r="W330" s="68"/>
      <c r="X330" s="76"/>
      <c r="Y330" s="70"/>
      <c r="Z330" s="228">
        <f>ROUND((ROUND((ROUND((ROUND((_15_同援日２．０*_15・基礎２),0)*_15・２人),0)*(1+_15・A早朝)),0)*(1+_15・区３)),0)+ROUND((ROUND((ROUND((_15_同援日２．０＿１．０*_15・基礎２),0)*_15・２人),0)*(1+_15・区３)),0)</f>
        <v>791</v>
      </c>
      <c r="AA330" s="69"/>
    </row>
    <row r="331" spans="1:27" ht="16.5" customHeight="1" x14ac:dyDescent="0.3">
      <c r="A331" s="2">
        <v>15</v>
      </c>
      <c r="B331" s="2">
        <v>9523</v>
      </c>
      <c r="C331" s="60" t="s">
        <v>9650</v>
      </c>
      <c r="D331" s="1"/>
      <c r="E331" s="68"/>
      <c r="F331" s="70"/>
      <c r="G331" s="1"/>
      <c r="H331" s="68"/>
      <c r="I331" s="70"/>
      <c r="J331" s="61"/>
      <c r="K331" s="62"/>
      <c r="L331" s="63"/>
      <c r="M331" s="85"/>
      <c r="N331" s="64"/>
      <c r="O331" s="65"/>
      <c r="P331" s="99"/>
      <c r="Q331" s="70"/>
      <c r="R331" s="74" t="s">
        <v>18038</v>
      </c>
      <c r="S331" s="62"/>
      <c r="T331" s="63"/>
      <c r="U331" s="75"/>
      <c r="V331" s="67"/>
      <c r="W331" s="68" t="s">
        <v>1</v>
      </c>
      <c r="X331" s="76">
        <v>0.2</v>
      </c>
      <c r="Y331" s="70" t="s">
        <v>422</v>
      </c>
      <c r="Z331" s="228">
        <f>ROUND((ROUND((ROUND((_15_同援日２．０*(1+_15・A早朝)),0)*(1+_15・盲ろう)),0)*(1+_15・区３)),0)+ROUND((ROUND((_15_同援日２．０＿１．０*(1+_15・盲ろう)),0)*(1+_15・区３)),0)</f>
        <v>1100</v>
      </c>
      <c r="AA331" s="69"/>
    </row>
    <row r="332" spans="1:27" ht="16.5" customHeight="1" x14ac:dyDescent="0.3">
      <c r="A332" s="2">
        <v>15</v>
      </c>
      <c r="B332" s="2">
        <v>9524</v>
      </c>
      <c r="C332" s="60" t="s">
        <v>9649</v>
      </c>
      <c r="D332" s="1"/>
      <c r="E332" s="68"/>
      <c r="F332" s="70"/>
      <c r="G332" s="1"/>
      <c r="H332" s="68"/>
      <c r="I332" s="70"/>
      <c r="J332" s="66"/>
      <c r="K332" s="57"/>
      <c r="L332" s="58"/>
      <c r="M332" s="83" t="s">
        <v>5895</v>
      </c>
      <c r="N332" s="64" t="s">
        <v>1</v>
      </c>
      <c r="O332" s="65">
        <v>1</v>
      </c>
      <c r="P332" s="99"/>
      <c r="Q332" s="70"/>
      <c r="R332" s="94" t="s">
        <v>18037</v>
      </c>
      <c r="S332" s="68"/>
      <c r="T332" s="76"/>
      <c r="U332" s="70"/>
      <c r="V332" s="67"/>
      <c r="W332" s="68"/>
      <c r="X332" s="76"/>
      <c r="Y332" s="70"/>
      <c r="Z332" s="228">
        <f>ROUND((ROUND((ROUND((ROUND((_15_同援日２．０*_15・２人),0)*(1+_15・A早朝)),0)*(1+_15・盲ろう)),0)*(1+_15・区３)),0)+ROUND((ROUND((ROUND((_15_同援日２．０＿１．０*_15・２人),0)*(1+_15・盲ろう)),0)*(1+_15・区３)),0)</f>
        <v>1100</v>
      </c>
      <c r="AA332" s="69"/>
    </row>
    <row r="333" spans="1:27" ht="16.5" customHeight="1" x14ac:dyDescent="0.3">
      <c r="A333" s="2">
        <v>15</v>
      </c>
      <c r="B333" s="2">
        <v>9525</v>
      </c>
      <c r="C333" s="60" t="s">
        <v>9648</v>
      </c>
      <c r="D333" s="1"/>
      <c r="E333" s="68"/>
      <c r="F333" s="70"/>
      <c r="G333" s="1"/>
      <c r="H333" s="68"/>
      <c r="I333" s="70"/>
      <c r="J333" s="74" t="s">
        <v>18036</v>
      </c>
      <c r="K333" s="62"/>
      <c r="L333" s="63"/>
      <c r="M333" s="85"/>
      <c r="N333" s="64"/>
      <c r="O333" s="65"/>
      <c r="P333" s="99"/>
      <c r="Q333" s="70"/>
      <c r="R333" s="67"/>
      <c r="S333" s="68" t="s">
        <v>1</v>
      </c>
      <c r="T333" s="76">
        <v>0.25</v>
      </c>
      <c r="U333" s="70" t="s">
        <v>422</v>
      </c>
      <c r="V333" s="67"/>
      <c r="W333" s="68"/>
      <c r="X333" s="76"/>
      <c r="Y333" s="70"/>
      <c r="Z333" s="228">
        <f>ROUND((ROUND((ROUND((ROUND((_15_同援日２．０*_15・基礎２),0)*(1+_15・A早朝)),0)*(1+_15・盲ろう)),0)*(1+_15・区３)),0)+ROUND((ROUND((ROUND((_15_同援日２．０＿１．０*_15・基礎２),0)*(1+_15・盲ろう)),0)*(1+_15・区３)),0)</f>
        <v>989</v>
      </c>
      <c r="AA333" s="69"/>
    </row>
    <row r="334" spans="1:27" ht="16.5" customHeight="1" x14ac:dyDescent="0.3">
      <c r="A334" s="2">
        <v>15</v>
      </c>
      <c r="B334" s="2">
        <v>9526</v>
      </c>
      <c r="C334" s="60" t="s">
        <v>9647</v>
      </c>
      <c r="D334" s="1"/>
      <c r="E334" s="68"/>
      <c r="F334" s="70"/>
      <c r="G334" s="1"/>
      <c r="H334" s="68"/>
      <c r="I334" s="70"/>
      <c r="J334" s="106" t="s">
        <v>18035</v>
      </c>
      <c r="K334" s="57" t="s">
        <v>1</v>
      </c>
      <c r="L334" s="58">
        <v>0.9</v>
      </c>
      <c r="M334" s="83" t="s">
        <v>5895</v>
      </c>
      <c r="N334" s="64" t="s">
        <v>1</v>
      </c>
      <c r="O334" s="65">
        <v>1</v>
      </c>
      <c r="P334" s="99"/>
      <c r="Q334" s="70"/>
      <c r="R334" s="66"/>
      <c r="S334" s="57"/>
      <c r="T334" s="58"/>
      <c r="U334" s="77"/>
      <c r="V334" s="66"/>
      <c r="W334" s="57"/>
      <c r="X334" s="58"/>
      <c r="Y334" s="77"/>
      <c r="Z334" s="228">
        <f>ROUND((ROUND((ROUND((ROUND((ROUND((_15_同援日２．０*_15・基礎２),0)*_15・２人),0)*(1+_15・A早朝)),0)*(1+_15・盲ろう)),0)*(1+_15・区３)),0)+ROUND((ROUND((ROUND((ROUND((_15_同援日２．０＿１．０*_15・基礎２),0)*_15・２人),0)*(1+_15・盲ろう)),0)*(1+_15・区３)),0)</f>
        <v>989</v>
      </c>
      <c r="AA334" s="69"/>
    </row>
    <row r="335" spans="1:27" ht="16.5" customHeight="1" x14ac:dyDescent="0.3">
      <c r="A335" s="2">
        <v>15</v>
      </c>
      <c r="B335" s="2">
        <v>9527</v>
      </c>
      <c r="C335" s="60" t="s">
        <v>9646</v>
      </c>
      <c r="D335" s="1"/>
      <c r="E335" s="68"/>
      <c r="F335" s="70"/>
      <c r="G335" s="1"/>
      <c r="H335" s="68"/>
      <c r="I335" s="70"/>
      <c r="J335" s="61"/>
      <c r="K335" s="62"/>
      <c r="L335" s="63"/>
      <c r="M335" s="85"/>
      <c r="N335" s="64"/>
      <c r="O335" s="65"/>
      <c r="P335" s="99"/>
      <c r="Q335" s="70"/>
      <c r="R335" s="61"/>
      <c r="S335" s="62"/>
      <c r="T335" s="63"/>
      <c r="U335" s="75"/>
      <c r="V335" s="61"/>
      <c r="W335" s="62"/>
      <c r="X335" s="63"/>
      <c r="Y335" s="75"/>
      <c r="Z335" s="228">
        <f>ROUND((ROUND((_15_同援日２．０*(1+_15・A早朝)),0)*(1+_15・区４)),0)+ROUND((_15_同援日２．０＿１．０*(1+_15・区４)),0)</f>
        <v>1024</v>
      </c>
      <c r="AA335" s="69"/>
    </row>
    <row r="336" spans="1:27" ht="16.5" customHeight="1" x14ac:dyDescent="0.3">
      <c r="A336" s="2">
        <v>15</v>
      </c>
      <c r="B336" s="2">
        <v>9528</v>
      </c>
      <c r="C336" s="60" t="s">
        <v>9645</v>
      </c>
      <c r="D336" s="1"/>
      <c r="E336" s="68"/>
      <c r="F336" s="70"/>
      <c r="G336" s="1"/>
      <c r="H336" s="68"/>
      <c r="I336" s="70"/>
      <c r="J336" s="66"/>
      <c r="K336" s="57"/>
      <c r="L336" s="58"/>
      <c r="M336" s="83" t="s">
        <v>5895</v>
      </c>
      <c r="N336" s="64" t="s">
        <v>1</v>
      </c>
      <c r="O336" s="65">
        <v>1</v>
      </c>
      <c r="P336" s="99"/>
      <c r="Q336" s="70"/>
      <c r="R336" s="67"/>
      <c r="S336" s="68"/>
      <c r="T336" s="76"/>
      <c r="U336" s="70"/>
      <c r="V336" s="67"/>
      <c r="W336" s="68"/>
      <c r="X336" s="76"/>
      <c r="Y336" s="70"/>
      <c r="Z336" s="228">
        <f>ROUND((ROUND((ROUND((_15_同援日２．０*_15・２人),0)*(1+_15・A早朝)),0)*(1+_15・区４)),0)+ROUND((ROUND((_15_同援日２．０＿１．０*_15・２人),0)*(1+_15・区４)),0)</f>
        <v>1024</v>
      </c>
      <c r="AA336" s="69"/>
    </row>
    <row r="337" spans="1:27" ht="16.5" customHeight="1" x14ac:dyDescent="0.3">
      <c r="A337" s="2">
        <v>15</v>
      </c>
      <c r="B337" s="2">
        <v>9529</v>
      </c>
      <c r="C337" s="60" t="s">
        <v>9644</v>
      </c>
      <c r="D337" s="1"/>
      <c r="E337" s="68"/>
      <c r="F337" s="70"/>
      <c r="G337" s="1"/>
      <c r="H337" s="68"/>
      <c r="I337" s="70"/>
      <c r="J337" s="74" t="s">
        <v>18036</v>
      </c>
      <c r="K337" s="62"/>
      <c r="L337" s="63"/>
      <c r="M337" s="85"/>
      <c r="N337" s="64"/>
      <c r="O337" s="65"/>
      <c r="P337" s="99"/>
      <c r="Q337" s="70"/>
      <c r="R337" s="67"/>
      <c r="S337" s="68"/>
      <c r="T337" s="76"/>
      <c r="U337" s="70"/>
      <c r="V337" s="1" t="s">
        <v>18040</v>
      </c>
      <c r="W337" s="68"/>
      <c r="X337" s="76"/>
      <c r="Y337" s="70"/>
      <c r="Z337" s="228">
        <f>ROUND((ROUND((ROUND((_15_同援日２．０*_15・基礎２),0)*(1+_15・A早朝)),0)*(1+_15・区４)),0)+ROUND((ROUND((_15_同援日２．０＿１．０*_15・基礎２),0)*(1+_15・区４)),0)</f>
        <v>922</v>
      </c>
      <c r="AA337" s="69"/>
    </row>
    <row r="338" spans="1:27" ht="16.5" customHeight="1" x14ac:dyDescent="0.3">
      <c r="A338" s="2">
        <v>15</v>
      </c>
      <c r="B338" s="2">
        <v>9530</v>
      </c>
      <c r="C338" s="60" t="s">
        <v>9643</v>
      </c>
      <c r="D338" s="1"/>
      <c r="E338" s="68"/>
      <c r="F338" s="70"/>
      <c r="G338" s="1"/>
      <c r="H338" s="68"/>
      <c r="I338" s="70"/>
      <c r="J338" s="106" t="s">
        <v>18035</v>
      </c>
      <c r="K338" s="57" t="s">
        <v>1</v>
      </c>
      <c r="L338" s="58">
        <v>0.9</v>
      </c>
      <c r="M338" s="83" t="s">
        <v>5895</v>
      </c>
      <c r="N338" s="64" t="s">
        <v>1</v>
      </c>
      <c r="O338" s="65">
        <v>1</v>
      </c>
      <c r="P338" s="99"/>
      <c r="Q338" s="70"/>
      <c r="R338" s="66"/>
      <c r="S338" s="57"/>
      <c r="T338" s="58"/>
      <c r="U338" s="77"/>
      <c r="V338" s="1" t="s">
        <v>18039</v>
      </c>
      <c r="W338" s="68"/>
      <c r="X338" s="76"/>
      <c r="Y338" s="70"/>
      <c r="Z338" s="228">
        <f>ROUND((ROUND((ROUND((ROUND((_15_同援日２．０*_15・基礎２),0)*_15・２人),0)*(1+_15・A早朝)),0)*(1+_15・区４)),0)+ROUND((ROUND((ROUND((_15_同援日２．０＿１．０*_15・基礎２),0)*_15・２人),0)*(1+_15・区４)),0)</f>
        <v>922</v>
      </c>
      <c r="AA338" s="69"/>
    </row>
    <row r="339" spans="1:27" ht="16.5" customHeight="1" x14ac:dyDescent="0.3">
      <c r="A339" s="2">
        <v>15</v>
      </c>
      <c r="B339" s="2">
        <v>9531</v>
      </c>
      <c r="C339" s="60" t="s">
        <v>9642</v>
      </c>
      <c r="D339" s="1"/>
      <c r="E339" s="68"/>
      <c r="F339" s="70"/>
      <c r="G339" s="1"/>
      <c r="H339" s="68"/>
      <c r="I339" s="70"/>
      <c r="J339" s="61"/>
      <c r="K339" s="62"/>
      <c r="L339" s="63"/>
      <c r="M339" s="85"/>
      <c r="N339" s="64"/>
      <c r="O339" s="65"/>
      <c r="P339" s="99"/>
      <c r="Q339" s="70"/>
      <c r="R339" s="74" t="s">
        <v>18038</v>
      </c>
      <c r="S339" s="62"/>
      <c r="T339" s="63"/>
      <c r="U339" s="75"/>
      <c r="V339" s="67"/>
      <c r="W339" s="68" t="s">
        <v>1</v>
      </c>
      <c r="X339" s="76">
        <v>0.4</v>
      </c>
      <c r="Y339" s="70" t="s">
        <v>422</v>
      </c>
      <c r="Z339" s="228">
        <f>ROUND((ROUND((ROUND((_15_同援日２．０*(1+_15・A早朝)),0)*(1+_15・盲ろう)),0)*(1+_15・区４)),0)+ROUND((ROUND((_15_同援日２．０＿１．０*(1+_15・盲ろう)),0)*(1+_15・区４)),0)</f>
        <v>1282</v>
      </c>
      <c r="AA339" s="69"/>
    </row>
    <row r="340" spans="1:27" ht="16.5" customHeight="1" x14ac:dyDescent="0.3">
      <c r="A340" s="2">
        <v>15</v>
      </c>
      <c r="B340" s="2">
        <v>9532</v>
      </c>
      <c r="C340" s="60" t="s">
        <v>9641</v>
      </c>
      <c r="D340" s="1"/>
      <c r="E340" s="68"/>
      <c r="F340" s="70"/>
      <c r="G340" s="1"/>
      <c r="H340" s="68"/>
      <c r="I340" s="70"/>
      <c r="J340" s="66"/>
      <c r="K340" s="57"/>
      <c r="L340" s="58"/>
      <c r="M340" s="83" t="s">
        <v>5895</v>
      </c>
      <c r="N340" s="64" t="s">
        <v>1</v>
      </c>
      <c r="O340" s="65">
        <v>1</v>
      </c>
      <c r="P340" s="99"/>
      <c r="Q340" s="70"/>
      <c r="R340" s="94" t="s">
        <v>18037</v>
      </c>
      <c r="S340" s="68"/>
      <c r="T340" s="76"/>
      <c r="U340" s="70"/>
      <c r="V340" s="67"/>
      <c r="W340" s="68"/>
      <c r="X340" s="76"/>
      <c r="Y340" s="70"/>
      <c r="Z340" s="228">
        <f>ROUND((ROUND((ROUND((ROUND((_15_同援日２．０*_15・２人),0)*(1+_15・A早朝)),0)*(1+_15・盲ろう)),0)*(1+_15・区４)),0)+ROUND((ROUND((ROUND((_15_同援日２．０＿１．０*_15・２人),0)*(1+_15・盲ろう)),0)*(1+_15・区４)),0)</f>
        <v>1282</v>
      </c>
      <c r="AA340" s="69"/>
    </row>
    <row r="341" spans="1:27" ht="16.5" customHeight="1" x14ac:dyDescent="0.3">
      <c r="A341" s="2">
        <v>15</v>
      </c>
      <c r="B341" s="2">
        <v>9533</v>
      </c>
      <c r="C341" s="60" t="s">
        <v>9640</v>
      </c>
      <c r="D341" s="1"/>
      <c r="E341" s="68"/>
      <c r="F341" s="70"/>
      <c r="G341" s="1"/>
      <c r="H341" s="68"/>
      <c r="I341" s="70"/>
      <c r="J341" s="74" t="s">
        <v>18036</v>
      </c>
      <c r="K341" s="62"/>
      <c r="L341" s="63"/>
      <c r="M341" s="85"/>
      <c r="N341" s="64"/>
      <c r="O341" s="65"/>
      <c r="P341" s="99"/>
      <c r="Q341" s="70"/>
      <c r="R341" s="67"/>
      <c r="S341" s="68" t="s">
        <v>1</v>
      </c>
      <c r="T341" s="76">
        <v>0.25</v>
      </c>
      <c r="U341" s="70" t="s">
        <v>422</v>
      </c>
      <c r="V341" s="67"/>
      <c r="W341" s="68"/>
      <c r="X341" s="76"/>
      <c r="Y341" s="70"/>
      <c r="Z341" s="228">
        <f>ROUND((ROUND((ROUND((ROUND((_15_同援日２．０*_15・基礎２),0)*(1+_15・A早朝)),0)*(1+_15・盲ろう)),0)*(1+_15・区４)),0)+ROUND((ROUND((ROUND((_15_同援日２．０＿１．０*_15・基礎２),0)*(1+_15・盲ろう)),0)*(1+_15・区４)),0)</f>
        <v>1153</v>
      </c>
      <c r="AA341" s="69"/>
    </row>
    <row r="342" spans="1:27" ht="16.5" customHeight="1" x14ac:dyDescent="0.3">
      <c r="A342" s="2">
        <v>15</v>
      </c>
      <c r="B342" s="2">
        <v>9534</v>
      </c>
      <c r="C342" s="60" t="s">
        <v>9639</v>
      </c>
      <c r="D342" s="81"/>
      <c r="E342" s="57"/>
      <c r="F342" s="77"/>
      <c r="G342" s="81"/>
      <c r="H342" s="57"/>
      <c r="I342" s="77"/>
      <c r="J342" s="106" t="s">
        <v>18035</v>
      </c>
      <c r="K342" s="57" t="s">
        <v>1</v>
      </c>
      <c r="L342" s="58">
        <v>0.9</v>
      </c>
      <c r="M342" s="83" t="s">
        <v>5895</v>
      </c>
      <c r="N342" s="64" t="s">
        <v>1</v>
      </c>
      <c r="O342" s="65">
        <v>1</v>
      </c>
      <c r="P342" s="99"/>
      <c r="Q342" s="70"/>
      <c r="R342" s="66"/>
      <c r="S342" s="57"/>
      <c r="T342" s="58"/>
      <c r="U342" s="77"/>
      <c r="V342" s="66"/>
      <c r="W342" s="57"/>
      <c r="X342" s="58"/>
      <c r="Y342" s="77"/>
      <c r="Z342" s="228">
        <f>ROUND((ROUND((ROUND((ROUND((ROUND((_15_同援日２．０*_15・基礎２),0)*_15・２人),0)*(1+_15・A早朝)),0)*(1+_15・盲ろう)),0)*(1+_15・区４)),0)+ROUND((ROUND((ROUND((ROUND((_15_同援日２．０＿１．０*_15・基礎２),0)*_15・２人),0)*(1+_15・盲ろう)),0)*(1+_15・区４)),0)</f>
        <v>1153</v>
      </c>
      <c r="AA342" s="69"/>
    </row>
    <row r="343" spans="1:27" ht="16.5" customHeight="1" x14ac:dyDescent="0.3">
      <c r="A343" s="2">
        <v>15</v>
      </c>
      <c r="B343" s="2">
        <v>9535</v>
      </c>
      <c r="C343" s="60" t="s">
        <v>9638</v>
      </c>
      <c r="D343" s="233" t="s">
        <v>18044</v>
      </c>
      <c r="E343" s="62"/>
      <c r="F343" s="75"/>
      <c r="G343" s="233" t="s">
        <v>18043</v>
      </c>
      <c r="H343" s="62"/>
      <c r="I343" s="75"/>
      <c r="J343" s="61"/>
      <c r="K343" s="62"/>
      <c r="L343" s="63"/>
      <c r="M343" s="85"/>
      <c r="N343" s="64"/>
      <c r="O343" s="65"/>
      <c r="P343" s="99"/>
      <c r="Q343" s="70"/>
      <c r="R343" s="61"/>
      <c r="S343" s="62"/>
      <c r="T343" s="63"/>
      <c r="U343" s="75"/>
      <c r="V343" s="61"/>
      <c r="W343" s="62"/>
      <c r="X343" s="63"/>
      <c r="Y343" s="75"/>
      <c r="Z343" s="228">
        <f>ROUND((_15_同援日２．５*(1+_15・A早朝)),0)+_15_同援日２．５＿０．５</f>
        <v>748</v>
      </c>
      <c r="AA343" s="69"/>
    </row>
    <row r="344" spans="1:27" ht="16.5" customHeight="1" x14ac:dyDescent="0.3">
      <c r="A344" s="2">
        <v>15</v>
      </c>
      <c r="B344" s="2">
        <v>9536</v>
      </c>
      <c r="C344" s="60" t="s">
        <v>9637</v>
      </c>
      <c r="D344" s="1" t="s">
        <v>18042</v>
      </c>
      <c r="E344" s="68"/>
      <c r="F344" s="70"/>
      <c r="G344" s="1" t="s">
        <v>7928</v>
      </c>
      <c r="H344" s="68"/>
      <c r="I344" s="70"/>
      <c r="J344" s="66"/>
      <c r="K344" s="57"/>
      <c r="L344" s="58"/>
      <c r="M344" s="83" t="s">
        <v>5895</v>
      </c>
      <c r="N344" s="64" t="s">
        <v>1</v>
      </c>
      <c r="O344" s="65">
        <v>1</v>
      </c>
      <c r="P344" s="99"/>
      <c r="Q344" s="70"/>
      <c r="R344" s="67"/>
      <c r="S344" s="68"/>
      <c r="T344" s="76"/>
      <c r="U344" s="70"/>
      <c r="V344" s="67"/>
      <c r="W344" s="68"/>
      <c r="X344" s="76"/>
      <c r="Y344" s="70"/>
      <c r="Z344" s="228">
        <f>ROUND((ROUND((_15_同援日２．５*_15・２人),0)*(1+_15・A早朝)),0)+ROUND((_15_同援日２．５＿０．５*_15・２人),0)</f>
        <v>748</v>
      </c>
      <c r="AA344" s="69"/>
    </row>
    <row r="345" spans="1:27" ht="16.5" customHeight="1" x14ac:dyDescent="0.3">
      <c r="A345" s="2">
        <v>15</v>
      </c>
      <c r="B345" s="2">
        <v>9537</v>
      </c>
      <c r="C345" s="60" t="s">
        <v>9636</v>
      </c>
      <c r="D345" s="1" t="s">
        <v>8499</v>
      </c>
      <c r="E345" s="68"/>
      <c r="F345" s="70"/>
      <c r="G345" s="1"/>
      <c r="H345" s="68"/>
      <c r="I345" s="70"/>
      <c r="J345" s="74" t="s">
        <v>18036</v>
      </c>
      <c r="K345" s="62"/>
      <c r="L345" s="63"/>
      <c r="M345" s="85"/>
      <c r="N345" s="64"/>
      <c r="O345" s="65"/>
      <c r="P345" s="99"/>
      <c r="Q345" s="70"/>
      <c r="R345" s="67"/>
      <c r="S345" s="68"/>
      <c r="T345" s="76"/>
      <c r="U345" s="70"/>
      <c r="V345" s="67"/>
      <c r="W345" s="68"/>
      <c r="X345" s="76"/>
      <c r="Y345" s="70"/>
      <c r="Z345" s="228">
        <f>ROUND((ROUND((_15_同援日２．５*_15・基礎２),0)*(1+_15・A早朝)),0)+ROUND((_15_同援日２．５＿０．５*_15・基礎２),0)</f>
        <v>673</v>
      </c>
      <c r="AA345" s="69"/>
    </row>
    <row r="346" spans="1:27" ht="16.5" customHeight="1" x14ac:dyDescent="0.3">
      <c r="A346" s="2">
        <v>15</v>
      </c>
      <c r="B346" s="2">
        <v>9538</v>
      </c>
      <c r="C346" s="60" t="s">
        <v>9635</v>
      </c>
      <c r="D346" s="1"/>
      <c r="E346" s="227">
        <v>548</v>
      </c>
      <c r="F346" s="70" t="s">
        <v>0</v>
      </c>
      <c r="G346" s="1"/>
      <c r="H346" s="119">
        <v>63</v>
      </c>
      <c r="I346" s="70" t="s">
        <v>0</v>
      </c>
      <c r="J346" s="106" t="s">
        <v>18035</v>
      </c>
      <c r="K346" s="57" t="s">
        <v>1</v>
      </c>
      <c r="L346" s="58">
        <v>0.9</v>
      </c>
      <c r="M346" s="83" t="s">
        <v>5895</v>
      </c>
      <c r="N346" s="64" t="s">
        <v>1</v>
      </c>
      <c r="O346" s="65">
        <v>1</v>
      </c>
      <c r="P346" s="99"/>
      <c r="Q346" s="70"/>
      <c r="R346" s="66"/>
      <c r="S346" s="57"/>
      <c r="T346" s="58"/>
      <c r="U346" s="77"/>
      <c r="V346" s="67"/>
      <c r="W346" s="68"/>
      <c r="X346" s="76"/>
      <c r="Y346" s="70"/>
      <c r="Z346" s="228">
        <f>ROUND((ROUND((ROUND((_15_同援日２．５*_15・基礎２),0)*_15・２人),0)*(1+_15・A早朝)),0)+ROUND((ROUND((_15_同援日２．５＿０．５*_15・基礎２),0)*_15・２人),0)</f>
        <v>673</v>
      </c>
      <c r="AA346" s="69"/>
    </row>
    <row r="347" spans="1:27" ht="16.5" customHeight="1" x14ac:dyDescent="0.3">
      <c r="A347" s="2">
        <v>15</v>
      </c>
      <c r="B347" s="2">
        <v>9539</v>
      </c>
      <c r="C347" s="60" t="s">
        <v>9634</v>
      </c>
      <c r="D347" s="1"/>
      <c r="E347" s="68"/>
      <c r="F347" s="70"/>
      <c r="G347" s="1"/>
      <c r="H347" s="68"/>
      <c r="I347" s="70"/>
      <c r="J347" s="61"/>
      <c r="K347" s="62"/>
      <c r="L347" s="63"/>
      <c r="M347" s="85"/>
      <c r="N347" s="64"/>
      <c r="O347" s="65"/>
      <c r="P347" s="99"/>
      <c r="Q347" s="70"/>
      <c r="R347" s="74" t="s">
        <v>18038</v>
      </c>
      <c r="S347" s="62"/>
      <c r="T347" s="63"/>
      <c r="U347" s="75"/>
      <c r="V347" s="67"/>
      <c r="W347" s="68"/>
      <c r="X347" s="76"/>
      <c r="Y347" s="70"/>
      <c r="Z347" s="228">
        <f>ROUND((ROUND((_15_同援日２．５*(1+_15・A早朝)),0)*(1+_15・盲ろう)),0)+ROUND((_15_同援日２．５＿０．５*(1+_15・盲ろう)),0)</f>
        <v>935</v>
      </c>
      <c r="AA347" s="69"/>
    </row>
    <row r="348" spans="1:27" ht="16.5" customHeight="1" x14ac:dyDescent="0.3">
      <c r="A348" s="2">
        <v>15</v>
      </c>
      <c r="B348" s="2">
        <v>9540</v>
      </c>
      <c r="C348" s="60" t="s">
        <v>9633</v>
      </c>
      <c r="D348" s="1"/>
      <c r="E348" s="68"/>
      <c r="F348" s="70"/>
      <c r="G348" s="1"/>
      <c r="H348" s="68"/>
      <c r="I348" s="70"/>
      <c r="J348" s="66"/>
      <c r="K348" s="57"/>
      <c r="L348" s="58"/>
      <c r="M348" s="83" t="s">
        <v>5895</v>
      </c>
      <c r="N348" s="64" t="s">
        <v>1</v>
      </c>
      <c r="O348" s="65">
        <v>1</v>
      </c>
      <c r="P348" s="99"/>
      <c r="Q348" s="70"/>
      <c r="R348" s="94" t="s">
        <v>18037</v>
      </c>
      <c r="S348" s="68"/>
      <c r="T348" s="76"/>
      <c r="U348" s="70"/>
      <c r="V348" s="67"/>
      <c r="W348" s="68"/>
      <c r="X348" s="76"/>
      <c r="Y348" s="70"/>
      <c r="Z348" s="228">
        <f>ROUND((ROUND((ROUND((_15_同援日２．５*_15・２人),0)*(1+_15・A早朝)),0)*(1+_15・盲ろう)),0)+ROUND((ROUND((_15_同援日２．５＿０．５*_15・２人),0)*(1+_15・盲ろう)),0)</f>
        <v>935</v>
      </c>
      <c r="AA348" s="69"/>
    </row>
    <row r="349" spans="1:27" ht="16.5" customHeight="1" x14ac:dyDescent="0.3">
      <c r="A349" s="2">
        <v>15</v>
      </c>
      <c r="B349" s="2">
        <v>9541</v>
      </c>
      <c r="C349" s="60" t="s">
        <v>9632</v>
      </c>
      <c r="D349" s="1"/>
      <c r="E349" s="68"/>
      <c r="F349" s="70"/>
      <c r="G349" s="1"/>
      <c r="H349" s="68"/>
      <c r="I349" s="70"/>
      <c r="J349" s="74" t="s">
        <v>18036</v>
      </c>
      <c r="K349" s="62"/>
      <c r="L349" s="63"/>
      <c r="M349" s="85"/>
      <c r="N349" s="64"/>
      <c r="O349" s="65"/>
      <c r="P349" s="99"/>
      <c r="Q349" s="70"/>
      <c r="R349" s="67"/>
      <c r="S349" s="68" t="s">
        <v>1</v>
      </c>
      <c r="T349" s="76">
        <v>0.25</v>
      </c>
      <c r="U349" s="70" t="s">
        <v>422</v>
      </c>
      <c r="V349" s="67"/>
      <c r="W349" s="68"/>
      <c r="X349" s="76"/>
      <c r="Y349" s="70"/>
      <c r="Z349" s="228">
        <f>ROUND((ROUND((ROUND((_15_同援日２．５*_15・基礎２),0)*(1+_15・A早朝)),0)*(1+_15・盲ろう)),0)+ROUND((ROUND((_15_同援日２．５＿０．５*_15・基礎２),0)*(1+_15・盲ろう)),0)</f>
        <v>841</v>
      </c>
      <c r="AA349" s="69"/>
    </row>
    <row r="350" spans="1:27" ht="16.5" customHeight="1" x14ac:dyDescent="0.3">
      <c r="A350" s="2">
        <v>15</v>
      </c>
      <c r="B350" s="2">
        <v>9542</v>
      </c>
      <c r="C350" s="60" t="s">
        <v>9631</v>
      </c>
      <c r="D350" s="1"/>
      <c r="E350" s="68"/>
      <c r="F350" s="70"/>
      <c r="G350" s="1"/>
      <c r="H350" s="68"/>
      <c r="I350" s="70"/>
      <c r="J350" s="106" t="s">
        <v>18035</v>
      </c>
      <c r="K350" s="57" t="s">
        <v>1</v>
      </c>
      <c r="L350" s="58">
        <v>0.9</v>
      </c>
      <c r="M350" s="83" t="s">
        <v>5895</v>
      </c>
      <c r="N350" s="64" t="s">
        <v>1</v>
      </c>
      <c r="O350" s="65">
        <v>1</v>
      </c>
      <c r="P350" s="99"/>
      <c r="Q350" s="70"/>
      <c r="R350" s="66"/>
      <c r="S350" s="57"/>
      <c r="T350" s="58"/>
      <c r="U350" s="77"/>
      <c r="V350" s="66"/>
      <c r="W350" s="57"/>
      <c r="X350" s="58"/>
      <c r="Y350" s="77"/>
      <c r="Z350" s="228">
        <f>ROUND((ROUND((ROUND((ROUND((_15_同援日２．５*_15・基礎２),0)*_15・２人),0)*(1+_15・A早朝)),0)*(1+_15・盲ろう)),0)+ROUND((ROUND((ROUND((_15_同援日２．５＿０．５*_15・基礎２),0)*_15・２人),0)*(1+_15・盲ろう)),0)</f>
        <v>841</v>
      </c>
      <c r="AA350" s="69"/>
    </row>
    <row r="351" spans="1:27" ht="16.5" customHeight="1" x14ac:dyDescent="0.3">
      <c r="A351" s="2">
        <v>15</v>
      </c>
      <c r="B351" s="2">
        <v>9543</v>
      </c>
      <c r="C351" s="60" t="s">
        <v>9630</v>
      </c>
      <c r="D351" s="1"/>
      <c r="E351" s="68"/>
      <c r="F351" s="70"/>
      <c r="G351" s="1"/>
      <c r="H351" s="68"/>
      <c r="I351" s="70"/>
      <c r="J351" s="61"/>
      <c r="K351" s="62"/>
      <c r="L351" s="63"/>
      <c r="M351" s="85"/>
      <c r="N351" s="64"/>
      <c r="O351" s="65"/>
      <c r="P351" s="99"/>
      <c r="Q351" s="70"/>
      <c r="R351" s="61"/>
      <c r="S351" s="62"/>
      <c r="T351" s="63"/>
      <c r="U351" s="75"/>
      <c r="V351" s="61"/>
      <c r="W351" s="62"/>
      <c r="X351" s="63"/>
      <c r="Y351" s="75"/>
      <c r="Z351" s="228">
        <f>ROUND((ROUND((_15_同援日２．５*(1+_15・A早朝)),0)*(1+_15・区３)),0)+ROUND((_15_同援日２．５＿０．５*(1+_15・区３)),0)</f>
        <v>898</v>
      </c>
      <c r="AA351" s="69"/>
    </row>
    <row r="352" spans="1:27" ht="16.5" customHeight="1" x14ac:dyDescent="0.3">
      <c r="A352" s="2">
        <v>15</v>
      </c>
      <c r="B352" s="2">
        <v>9544</v>
      </c>
      <c r="C352" s="60" t="s">
        <v>9629</v>
      </c>
      <c r="D352" s="1"/>
      <c r="E352" s="68"/>
      <c r="F352" s="70"/>
      <c r="G352" s="1"/>
      <c r="H352" s="68"/>
      <c r="I352" s="70"/>
      <c r="J352" s="66"/>
      <c r="K352" s="57"/>
      <c r="L352" s="58"/>
      <c r="M352" s="83" t="s">
        <v>5895</v>
      </c>
      <c r="N352" s="64" t="s">
        <v>1</v>
      </c>
      <c r="O352" s="65">
        <v>1</v>
      </c>
      <c r="P352" s="99"/>
      <c r="Q352" s="70"/>
      <c r="R352" s="67"/>
      <c r="S352" s="68"/>
      <c r="T352" s="76"/>
      <c r="U352" s="70"/>
      <c r="V352" s="67"/>
      <c r="W352" s="68"/>
      <c r="X352" s="76"/>
      <c r="Y352" s="70"/>
      <c r="Z352" s="228">
        <f>ROUND((ROUND((ROUND((_15_同援日２．５*_15・２人),0)*(1+_15・A早朝)),0)*(1+_15・区３)),0)+ROUND((ROUND((_15_同援日２．５＿０．５*_15・２人),0)*(1+_15・区３)),0)</f>
        <v>898</v>
      </c>
      <c r="AA352" s="69"/>
    </row>
    <row r="353" spans="1:27" ht="16.5" customHeight="1" x14ac:dyDescent="0.3">
      <c r="A353" s="2">
        <v>15</v>
      </c>
      <c r="B353" s="2">
        <v>9545</v>
      </c>
      <c r="C353" s="60" t="s">
        <v>9628</v>
      </c>
      <c r="D353" s="1"/>
      <c r="E353" s="68"/>
      <c r="F353" s="70"/>
      <c r="G353" s="1"/>
      <c r="H353" s="68"/>
      <c r="I353" s="70"/>
      <c r="J353" s="74" t="s">
        <v>18036</v>
      </c>
      <c r="K353" s="62"/>
      <c r="L353" s="63"/>
      <c r="M353" s="85"/>
      <c r="N353" s="64"/>
      <c r="O353" s="65"/>
      <c r="P353" s="99"/>
      <c r="Q353" s="70"/>
      <c r="R353" s="67"/>
      <c r="S353" s="68"/>
      <c r="T353" s="76"/>
      <c r="U353" s="70"/>
      <c r="V353" s="1" t="s">
        <v>18041</v>
      </c>
      <c r="W353" s="68"/>
      <c r="X353" s="76"/>
      <c r="Y353" s="70"/>
      <c r="Z353" s="228">
        <f>ROUND((ROUND((ROUND((_15_同援日２．５*_15・基礎２),0)*(1+_15・A早朝)),0)*(1+_15・区３)),0)+ROUND((ROUND((_15_同援日２．５＿０．５*_15・基礎２),0)*(1+_15・区３)),0)</f>
        <v>807</v>
      </c>
      <c r="AA353" s="69"/>
    </row>
    <row r="354" spans="1:27" ht="16.5" customHeight="1" x14ac:dyDescent="0.3">
      <c r="A354" s="2">
        <v>15</v>
      </c>
      <c r="B354" s="2">
        <v>9546</v>
      </c>
      <c r="C354" s="60" t="s">
        <v>9627</v>
      </c>
      <c r="D354" s="1"/>
      <c r="E354" s="68"/>
      <c r="F354" s="70"/>
      <c r="G354" s="1"/>
      <c r="H354" s="68"/>
      <c r="I354" s="70"/>
      <c r="J354" s="106" t="s">
        <v>18035</v>
      </c>
      <c r="K354" s="57" t="s">
        <v>1</v>
      </c>
      <c r="L354" s="58">
        <v>0.9</v>
      </c>
      <c r="M354" s="83" t="s">
        <v>5895</v>
      </c>
      <c r="N354" s="64" t="s">
        <v>1</v>
      </c>
      <c r="O354" s="65">
        <v>1</v>
      </c>
      <c r="P354" s="99"/>
      <c r="Q354" s="70"/>
      <c r="R354" s="66"/>
      <c r="S354" s="57"/>
      <c r="T354" s="58"/>
      <c r="U354" s="77"/>
      <c r="V354" s="1" t="s">
        <v>18039</v>
      </c>
      <c r="W354" s="68"/>
      <c r="X354" s="76"/>
      <c r="Y354" s="70"/>
      <c r="Z354" s="228">
        <f>ROUND((ROUND((ROUND((ROUND((_15_同援日２．５*_15・基礎２),0)*_15・２人),0)*(1+_15・A早朝)),0)*(1+_15・区３)),0)+ROUND((ROUND((ROUND((_15_同援日２．５＿０．５*_15・基礎２),0)*_15・２人),0)*(1+_15・区３)),0)</f>
        <v>807</v>
      </c>
      <c r="AA354" s="69"/>
    </row>
    <row r="355" spans="1:27" ht="16.5" customHeight="1" x14ac:dyDescent="0.3">
      <c r="A355" s="2">
        <v>15</v>
      </c>
      <c r="B355" s="2">
        <v>9547</v>
      </c>
      <c r="C355" s="60" t="s">
        <v>9626</v>
      </c>
      <c r="D355" s="1"/>
      <c r="E355" s="68"/>
      <c r="F355" s="70"/>
      <c r="G355" s="1"/>
      <c r="H355" s="68"/>
      <c r="I355" s="70"/>
      <c r="J355" s="61"/>
      <c r="K355" s="62"/>
      <c r="L355" s="63"/>
      <c r="M355" s="85"/>
      <c r="N355" s="64"/>
      <c r="O355" s="65"/>
      <c r="P355" s="99"/>
      <c r="Q355" s="70"/>
      <c r="R355" s="74" t="s">
        <v>18038</v>
      </c>
      <c r="S355" s="62"/>
      <c r="T355" s="63"/>
      <c r="U355" s="75"/>
      <c r="V355" s="67"/>
      <c r="W355" s="68" t="s">
        <v>1</v>
      </c>
      <c r="X355" s="76">
        <v>0.2</v>
      </c>
      <c r="Y355" s="70" t="s">
        <v>422</v>
      </c>
      <c r="Z355" s="228">
        <f>ROUND((ROUND((ROUND((_15_同援日２．５*(1+_15・A早朝)),0)*(1+_15・盲ろう)),0)*(1+_15・区３)),0)+ROUND((ROUND((_15_同援日２．５＿０．５*(1+_15・盲ろう)),0)*(1+_15・区３)),0)</f>
        <v>1122</v>
      </c>
      <c r="AA355" s="69"/>
    </row>
    <row r="356" spans="1:27" ht="16.5" customHeight="1" x14ac:dyDescent="0.3">
      <c r="A356" s="2">
        <v>15</v>
      </c>
      <c r="B356" s="2">
        <v>9548</v>
      </c>
      <c r="C356" s="60" t="s">
        <v>9625</v>
      </c>
      <c r="D356" s="1"/>
      <c r="E356" s="68"/>
      <c r="F356" s="70"/>
      <c r="G356" s="1"/>
      <c r="H356" s="68"/>
      <c r="I356" s="70"/>
      <c r="J356" s="66"/>
      <c r="K356" s="57"/>
      <c r="L356" s="58"/>
      <c r="M356" s="83" t="s">
        <v>5895</v>
      </c>
      <c r="N356" s="64" t="s">
        <v>1</v>
      </c>
      <c r="O356" s="65">
        <v>1</v>
      </c>
      <c r="P356" s="99"/>
      <c r="Q356" s="70"/>
      <c r="R356" s="94" t="s">
        <v>18037</v>
      </c>
      <c r="S356" s="68"/>
      <c r="T356" s="76"/>
      <c r="U356" s="70"/>
      <c r="V356" s="67"/>
      <c r="W356" s="68"/>
      <c r="X356" s="76"/>
      <c r="Y356" s="70"/>
      <c r="Z356" s="228">
        <f>ROUND((ROUND((ROUND((ROUND((_15_同援日２．５*_15・２人),0)*(1+_15・A早朝)),0)*(1+_15・盲ろう)),0)*(1+_15・区３)),0)+ROUND((ROUND((ROUND((_15_同援日２．５＿０．５*_15・２人),0)*(1+_15・盲ろう)),0)*(1+_15・区３)),0)</f>
        <v>1122</v>
      </c>
      <c r="AA356" s="69"/>
    </row>
    <row r="357" spans="1:27" ht="16.5" customHeight="1" x14ac:dyDescent="0.3">
      <c r="A357" s="2">
        <v>15</v>
      </c>
      <c r="B357" s="2">
        <v>9549</v>
      </c>
      <c r="C357" s="60" t="s">
        <v>9624</v>
      </c>
      <c r="D357" s="1"/>
      <c r="E357" s="68"/>
      <c r="F357" s="70"/>
      <c r="G357" s="1"/>
      <c r="H357" s="68"/>
      <c r="I357" s="70"/>
      <c r="J357" s="74" t="s">
        <v>18036</v>
      </c>
      <c r="K357" s="62"/>
      <c r="L357" s="63"/>
      <c r="M357" s="85"/>
      <c r="N357" s="64"/>
      <c r="O357" s="65"/>
      <c r="P357" s="99"/>
      <c r="Q357" s="70"/>
      <c r="R357" s="67"/>
      <c r="S357" s="68" t="s">
        <v>1</v>
      </c>
      <c r="T357" s="76">
        <v>0.25</v>
      </c>
      <c r="U357" s="70" t="s">
        <v>422</v>
      </c>
      <c r="V357" s="67"/>
      <c r="W357" s="68"/>
      <c r="X357" s="76"/>
      <c r="Y357" s="70"/>
      <c r="Z357" s="228">
        <f>ROUND((ROUND((ROUND((ROUND((_15_同援日２．５*_15・基礎２),0)*(1+_15・A早朝)),0)*(1+_15・盲ろう)),0)*(1+_15・区３)),0)+ROUND((ROUND((ROUND((_15_同援日２．５＿０．５*_15・基礎２),0)*(1+_15・盲ろう)),0)*(1+_15・区３)),0)</f>
        <v>1009</v>
      </c>
      <c r="AA357" s="69"/>
    </row>
    <row r="358" spans="1:27" ht="16.5" customHeight="1" x14ac:dyDescent="0.3">
      <c r="A358" s="2">
        <v>15</v>
      </c>
      <c r="B358" s="2">
        <v>9550</v>
      </c>
      <c r="C358" s="60" t="s">
        <v>9623</v>
      </c>
      <c r="D358" s="1"/>
      <c r="E358" s="68"/>
      <c r="F358" s="70"/>
      <c r="G358" s="1"/>
      <c r="H358" s="68"/>
      <c r="I358" s="70"/>
      <c r="J358" s="106" t="s">
        <v>18035</v>
      </c>
      <c r="K358" s="57" t="s">
        <v>1</v>
      </c>
      <c r="L358" s="58">
        <v>0.9</v>
      </c>
      <c r="M358" s="83" t="s">
        <v>5895</v>
      </c>
      <c r="N358" s="64" t="s">
        <v>1</v>
      </c>
      <c r="O358" s="65">
        <v>1</v>
      </c>
      <c r="P358" s="99"/>
      <c r="Q358" s="70"/>
      <c r="R358" s="66"/>
      <c r="S358" s="57"/>
      <c r="T358" s="58"/>
      <c r="U358" s="77"/>
      <c r="V358" s="66"/>
      <c r="W358" s="57"/>
      <c r="X358" s="58"/>
      <c r="Y358" s="77"/>
      <c r="Z358" s="228">
        <f>ROUND((ROUND((ROUND((ROUND((ROUND((_15_同援日２．５*_15・基礎２),0)*_15・２人),0)*(1+_15・A早朝)),0)*(1+_15・盲ろう)),0)*(1+_15・区３)),0)+ROUND((ROUND((ROUND((ROUND((_15_同援日２．５＿０．５*_15・基礎２),0)*_15・２人),0)*(1+_15・盲ろう)),0)*(1+_15・区３)),0)</f>
        <v>1009</v>
      </c>
      <c r="AA358" s="69"/>
    </row>
    <row r="359" spans="1:27" ht="16.5" customHeight="1" x14ac:dyDescent="0.3">
      <c r="A359" s="2">
        <v>15</v>
      </c>
      <c r="B359" s="2">
        <v>9551</v>
      </c>
      <c r="C359" s="60" t="s">
        <v>9622</v>
      </c>
      <c r="D359" s="1"/>
      <c r="E359" s="68"/>
      <c r="F359" s="70"/>
      <c r="G359" s="1"/>
      <c r="H359" s="68"/>
      <c r="I359" s="70"/>
      <c r="J359" s="61"/>
      <c r="K359" s="62"/>
      <c r="L359" s="63"/>
      <c r="M359" s="85"/>
      <c r="N359" s="64"/>
      <c r="O359" s="65"/>
      <c r="P359" s="99"/>
      <c r="Q359" s="70"/>
      <c r="R359" s="61"/>
      <c r="S359" s="62"/>
      <c r="T359" s="63"/>
      <c r="U359" s="75"/>
      <c r="V359" s="61"/>
      <c r="W359" s="62"/>
      <c r="X359" s="63"/>
      <c r="Y359" s="75"/>
      <c r="Z359" s="228">
        <f>ROUND((ROUND((_15_同援日２．５*(1+_15・A早朝)),0)*(1+_15・区４)),0)+ROUND((_15_同援日２．５＿０．５*(1+_15・区４)),0)</f>
        <v>1047</v>
      </c>
      <c r="AA359" s="69"/>
    </row>
    <row r="360" spans="1:27" ht="16.5" customHeight="1" x14ac:dyDescent="0.3">
      <c r="A360" s="2">
        <v>15</v>
      </c>
      <c r="B360" s="2">
        <v>9552</v>
      </c>
      <c r="C360" s="60" t="s">
        <v>9621</v>
      </c>
      <c r="D360" s="1"/>
      <c r="E360" s="68"/>
      <c r="F360" s="70"/>
      <c r="G360" s="1"/>
      <c r="H360" s="68"/>
      <c r="I360" s="70"/>
      <c r="J360" s="66"/>
      <c r="K360" s="57"/>
      <c r="L360" s="58"/>
      <c r="M360" s="83" t="s">
        <v>5895</v>
      </c>
      <c r="N360" s="64" t="s">
        <v>1</v>
      </c>
      <c r="O360" s="65">
        <v>1</v>
      </c>
      <c r="P360" s="99"/>
      <c r="Q360" s="70"/>
      <c r="R360" s="67"/>
      <c r="S360" s="68"/>
      <c r="T360" s="76"/>
      <c r="U360" s="70"/>
      <c r="V360" s="67"/>
      <c r="W360" s="68"/>
      <c r="X360" s="76"/>
      <c r="Y360" s="70"/>
      <c r="Z360" s="228">
        <f>ROUND((ROUND((ROUND((_15_同援日２．５*_15・２人),0)*(1+_15・A早朝)),0)*(1+_15・区４)),0)+ROUND((ROUND((_15_同援日２．５＿０．５*_15・２人),0)*(1+_15・区４)),0)</f>
        <v>1047</v>
      </c>
      <c r="AA360" s="69"/>
    </row>
    <row r="361" spans="1:27" ht="16.5" customHeight="1" x14ac:dyDescent="0.3">
      <c r="A361" s="2">
        <v>15</v>
      </c>
      <c r="B361" s="2">
        <v>9553</v>
      </c>
      <c r="C361" s="60" t="s">
        <v>9620</v>
      </c>
      <c r="D361" s="1"/>
      <c r="E361" s="68"/>
      <c r="F361" s="70"/>
      <c r="G361" s="1"/>
      <c r="H361" s="68"/>
      <c r="I361" s="70"/>
      <c r="J361" s="74" t="s">
        <v>18036</v>
      </c>
      <c r="K361" s="62"/>
      <c r="L361" s="63"/>
      <c r="M361" s="85"/>
      <c r="N361" s="64"/>
      <c r="O361" s="65"/>
      <c r="P361" s="99"/>
      <c r="Q361" s="70"/>
      <c r="R361" s="67"/>
      <c r="S361" s="68"/>
      <c r="T361" s="76"/>
      <c r="U361" s="70"/>
      <c r="V361" s="1" t="s">
        <v>18040</v>
      </c>
      <c r="W361" s="68"/>
      <c r="X361" s="76"/>
      <c r="Y361" s="70"/>
      <c r="Z361" s="228">
        <f>ROUND((ROUND((ROUND((_15_同援日２．５*_15・基礎２),0)*(1+_15・A早朝)),0)*(1+_15・区４)),0)+ROUND((ROUND((_15_同援日２．５＿０．５*_15・基礎２),0)*(1+_15・区４)),0)</f>
        <v>942</v>
      </c>
      <c r="AA361" s="69"/>
    </row>
    <row r="362" spans="1:27" ht="16.5" customHeight="1" x14ac:dyDescent="0.3">
      <c r="A362" s="2">
        <v>15</v>
      </c>
      <c r="B362" s="2">
        <v>9554</v>
      </c>
      <c r="C362" s="60" t="s">
        <v>9619</v>
      </c>
      <c r="D362" s="1"/>
      <c r="E362" s="68"/>
      <c r="F362" s="70"/>
      <c r="G362" s="1"/>
      <c r="H362" s="68"/>
      <c r="I362" s="70"/>
      <c r="J362" s="106" t="s">
        <v>18035</v>
      </c>
      <c r="K362" s="57" t="s">
        <v>1</v>
      </c>
      <c r="L362" s="58">
        <v>0.9</v>
      </c>
      <c r="M362" s="83" t="s">
        <v>5895</v>
      </c>
      <c r="N362" s="64" t="s">
        <v>1</v>
      </c>
      <c r="O362" s="65">
        <v>1</v>
      </c>
      <c r="P362" s="99"/>
      <c r="Q362" s="70"/>
      <c r="R362" s="66"/>
      <c r="S362" s="57"/>
      <c r="T362" s="58"/>
      <c r="U362" s="77"/>
      <c r="V362" s="1" t="s">
        <v>18039</v>
      </c>
      <c r="W362" s="68"/>
      <c r="X362" s="76"/>
      <c r="Y362" s="70"/>
      <c r="Z362" s="228">
        <f>ROUND((ROUND((ROUND((ROUND((_15_同援日２．５*_15・基礎２),0)*_15・２人),0)*(1+_15・A早朝)),0)*(1+_15・区４)),0)+ROUND((ROUND((ROUND((_15_同援日２．５＿０．５*_15・基礎２),0)*_15・２人),0)*(1+_15・区４)),0)</f>
        <v>942</v>
      </c>
      <c r="AA362" s="69"/>
    </row>
    <row r="363" spans="1:27" ht="16.5" customHeight="1" x14ac:dyDescent="0.3">
      <c r="A363" s="2">
        <v>15</v>
      </c>
      <c r="B363" s="2">
        <v>9555</v>
      </c>
      <c r="C363" s="60" t="s">
        <v>9618</v>
      </c>
      <c r="D363" s="1"/>
      <c r="E363" s="68"/>
      <c r="F363" s="70"/>
      <c r="G363" s="1"/>
      <c r="H363" s="68"/>
      <c r="I363" s="70"/>
      <c r="J363" s="61"/>
      <c r="K363" s="62"/>
      <c r="L363" s="63"/>
      <c r="M363" s="85"/>
      <c r="N363" s="64"/>
      <c r="O363" s="65"/>
      <c r="P363" s="99"/>
      <c r="Q363" s="70"/>
      <c r="R363" s="74" t="s">
        <v>18038</v>
      </c>
      <c r="S363" s="62"/>
      <c r="T363" s="63"/>
      <c r="U363" s="75"/>
      <c r="V363" s="67"/>
      <c r="W363" s="68" t="s">
        <v>1</v>
      </c>
      <c r="X363" s="76">
        <v>0.4</v>
      </c>
      <c r="Y363" s="70" t="s">
        <v>422</v>
      </c>
      <c r="Z363" s="228">
        <f>ROUND((ROUND((ROUND((_15_同援日２．５*(1+_15・A早朝)),0)*(1+_15・盲ろう)),0)*(1+_15・区４)),0)+ROUND((ROUND((_15_同援日２．５＿０．５*(1+_15・盲ろう)),0)*(1+_15・区４)),0)</f>
        <v>1309</v>
      </c>
      <c r="AA363" s="69"/>
    </row>
    <row r="364" spans="1:27" ht="16.5" customHeight="1" x14ac:dyDescent="0.3">
      <c r="A364" s="2">
        <v>15</v>
      </c>
      <c r="B364" s="2">
        <v>9556</v>
      </c>
      <c r="C364" s="60" t="s">
        <v>9617</v>
      </c>
      <c r="D364" s="1"/>
      <c r="E364" s="68"/>
      <c r="F364" s="70"/>
      <c r="G364" s="1"/>
      <c r="H364" s="68"/>
      <c r="I364" s="70"/>
      <c r="J364" s="66"/>
      <c r="K364" s="57"/>
      <c r="L364" s="58"/>
      <c r="M364" s="83" t="s">
        <v>5895</v>
      </c>
      <c r="N364" s="64" t="s">
        <v>1</v>
      </c>
      <c r="O364" s="65">
        <v>1</v>
      </c>
      <c r="P364" s="99"/>
      <c r="Q364" s="70"/>
      <c r="R364" s="94" t="s">
        <v>18037</v>
      </c>
      <c r="S364" s="68"/>
      <c r="T364" s="76"/>
      <c r="U364" s="70"/>
      <c r="V364" s="67"/>
      <c r="W364" s="68"/>
      <c r="X364" s="76"/>
      <c r="Y364" s="70"/>
      <c r="Z364" s="228">
        <f>ROUND((ROUND((ROUND((ROUND((_15_同援日２．５*_15・２人),0)*(1+_15・A早朝)),0)*(1+_15・盲ろう)),0)*(1+_15・区４)),0)+ROUND((ROUND((ROUND((_15_同援日２．５＿０．５*_15・２人),0)*(1+_15・盲ろう)),0)*(1+_15・区４)),0)</f>
        <v>1309</v>
      </c>
      <c r="AA364" s="69"/>
    </row>
    <row r="365" spans="1:27" ht="16.5" customHeight="1" x14ac:dyDescent="0.3">
      <c r="A365" s="2">
        <v>15</v>
      </c>
      <c r="B365" s="2">
        <v>9557</v>
      </c>
      <c r="C365" s="60" t="s">
        <v>9616</v>
      </c>
      <c r="D365" s="1"/>
      <c r="E365" s="68"/>
      <c r="F365" s="70"/>
      <c r="G365" s="1"/>
      <c r="H365" s="68"/>
      <c r="I365" s="70"/>
      <c r="J365" s="74" t="s">
        <v>18036</v>
      </c>
      <c r="K365" s="62"/>
      <c r="L365" s="63"/>
      <c r="M365" s="85"/>
      <c r="N365" s="64"/>
      <c r="O365" s="65"/>
      <c r="P365" s="99"/>
      <c r="Q365" s="70"/>
      <c r="R365" s="67"/>
      <c r="S365" s="68" t="s">
        <v>1</v>
      </c>
      <c r="T365" s="76">
        <v>0.25</v>
      </c>
      <c r="U365" s="70" t="s">
        <v>422</v>
      </c>
      <c r="V365" s="67"/>
      <c r="W365" s="68"/>
      <c r="X365" s="76"/>
      <c r="Y365" s="70"/>
      <c r="Z365" s="228">
        <f>ROUND((ROUND((ROUND((ROUND((_15_同援日２．５*_15・基礎２),0)*(1+_15・A早朝)),0)*(1+_15・盲ろう)),0)*(1+_15・区４)),0)+ROUND((ROUND((ROUND((_15_同援日２．５＿０．５*_15・基礎２),0)*(1+_15・盲ろう)),0)*(1+_15・区４)),0)</f>
        <v>1177</v>
      </c>
      <c r="AA365" s="69"/>
    </row>
    <row r="366" spans="1:27" ht="16.5" customHeight="1" x14ac:dyDescent="0.3">
      <c r="A366" s="2">
        <v>15</v>
      </c>
      <c r="B366" s="2">
        <v>9558</v>
      </c>
      <c r="C366" s="60" t="s">
        <v>9615</v>
      </c>
      <c r="D366" s="81"/>
      <c r="E366" s="57"/>
      <c r="F366" s="77"/>
      <c r="G366" s="81"/>
      <c r="H366" s="57"/>
      <c r="I366" s="77"/>
      <c r="J366" s="106" t="s">
        <v>18035</v>
      </c>
      <c r="K366" s="57" t="s">
        <v>1</v>
      </c>
      <c r="L366" s="58">
        <v>0.9</v>
      </c>
      <c r="M366" s="83" t="s">
        <v>5895</v>
      </c>
      <c r="N366" s="64" t="s">
        <v>1</v>
      </c>
      <c r="O366" s="65">
        <v>1</v>
      </c>
      <c r="P366" s="101"/>
      <c r="Q366" s="77"/>
      <c r="R366" s="66"/>
      <c r="S366" s="57"/>
      <c r="T366" s="58"/>
      <c r="U366" s="77"/>
      <c r="V366" s="66"/>
      <c r="W366" s="57"/>
      <c r="X366" s="58"/>
      <c r="Y366" s="77"/>
      <c r="Z366" s="228">
        <f>ROUND((ROUND((ROUND((ROUND((ROUND((_15_同援日２．５*_15・基礎２),0)*_15・２人),0)*(1+_15・A早朝)),0)*(1+_15・盲ろう)),0)*(1+_15・区４)),0)+ROUND((ROUND((ROUND((ROUND((_15_同援日２．５＿０．５*_15・基礎２),0)*_15・２人),0)*(1+_15・盲ろう)),0)*(1+_15・区４)),0)</f>
        <v>1177</v>
      </c>
      <c r="AA366" s="71"/>
    </row>
    <row r="367" spans="1:27" ht="16.5" customHeight="1" x14ac:dyDescent="0.3"/>
    <row r="368" spans="1:27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02" max="16383" man="1"/>
    <brk id="198" max="16383" man="1"/>
    <brk id="29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0000"/>
    <pageSetUpPr fitToPage="1"/>
  </sheetPr>
  <dimension ref="A1:AF397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2.62890625" style="45" customWidth="1"/>
    <col min="11" max="11" width="3.26171875" style="46" bestFit="1" customWidth="1"/>
    <col min="12" max="12" width="4.734375" style="46" bestFit="1" customWidth="1"/>
    <col min="13" max="13" width="14.62890625" style="46" customWidth="1"/>
    <col min="14" max="14" width="3.1015625" style="46" bestFit="1" customWidth="1"/>
    <col min="15" max="15" width="4.1015625" style="47" bestFit="1" customWidth="1"/>
    <col min="16" max="16" width="26" style="46" bestFit="1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bestFit="1" customWidth="1"/>
    <col min="21" max="21" width="4.1015625" style="47" bestFit="1" customWidth="1"/>
    <col min="22" max="22" width="4.734375" style="46" bestFit="1" customWidth="1"/>
    <col min="23" max="23" width="10.62890625" style="46" customWidth="1"/>
    <col min="24" max="24" width="3.1015625" style="46" bestFit="1" customWidth="1"/>
    <col min="25" max="25" width="4.1015625" style="47" bestFit="1" customWidth="1"/>
    <col min="26" max="26" width="4.734375" style="46" bestFit="1" customWidth="1"/>
    <col min="27" max="27" width="8.62890625" style="46" customWidth="1"/>
    <col min="28" max="28" width="3.1015625" style="46" bestFit="1" customWidth="1"/>
    <col min="29" max="29" width="4.1015625" style="47" bestFit="1" customWidth="1"/>
    <col min="30" max="30" width="4.734375" style="46" bestFit="1" customWidth="1"/>
    <col min="31" max="31" width="6.3671875" style="84" bestFit="1" customWidth="1"/>
    <col min="32" max="32" width="7.734375" style="48" bestFit="1" customWidth="1"/>
    <col min="33" max="16384" width="9" style="49"/>
  </cols>
  <sheetData>
    <row r="1" spans="1:32" ht="16.5" customHeight="1" x14ac:dyDescent="0.3"/>
    <row r="2" spans="1:32" ht="16.5" customHeight="1" x14ac:dyDescent="0.3"/>
    <row r="3" spans="1:32" ht="16.5" customHeight="1" x14ac:dyDescent="0.3"/>
    <row r="4" spans="1:32" ht="16.5" customHeight="1" x14ac:dyDescent="0.3">
      <c r="B4" s="229" t="s">
        <v>18083</v>
      </c>
      <c r="C4" s="131"/>
      <c r="D4" s="72"/>
    </row>
    <row r="5" spans="1:3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79"/>
      <c r="K5" s="53"/>
      <c r="L5" s="53"/>
      <c r="M5" s="53"/>
      <c r="N5" s="53"/>
      <c r="O5" s="54"/>
      <c r="P5" s="53"/>
      <c r="Q5" s="53"/>
      <c r="R5" s="54"/>
      <c r="S5" s="54"/>
      <c r="T5" s="53"/>
      <c r="U5" s="54"/>
      <c r="V5" s="53"/>
      <c r="W5" s="53"/>
      <c r="X5" s="53"/>
      <c r="Y5" s="54"/>
      <c r="Z5" s="53"/>
      <c r="AA5" s="53"/>
      <c r="AB5" s="53"/>
      <c r="AC5" s="54"/>
      <c r="AD5" s="53"/>
      <c r="AE5" s="55" t="s">
        <v>5869</v>
      </c>
      <c r="AF5" s="55" t="s">
        <v>5871</v>
      </c>
    </row>
    <row r="6" spans="1:3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80" t="s">
        <v>5872</v>
      </c>
      <c r="H6" s="86"/>
      <c r="I6" s="87"/>
      <c r="J6" s="82"/>
      <c r="K6" s="68"/>
      <c r="L6" s="68"/>
      <c r="M6" s="68"/>
      <c r="N6" s="68"/>
      <c r="O6" s="76"/>
      <c r="P6" s="57"/>
      <c r="Q6" s="57"/>
      <c r="R6" s="58"/>
      <c r="S6" s="76"/>
      <c r="T6" s="68"/>
      <c r="U6" s="76"/>
      <c r="V6" s="68"/>
      <c r="W6" s="57"/>
      <c r="X6" s="57"/>
      <c r="Y6" s="58"/>
      <c r="Z6" s="57"/>
      <c r="AA6" s="57"/>
      <c r="AB6" s="57"/>
      <c r="AC6" s="58"/>
      <c r="AD6" s="57"/>
      <c r="AE6" s="59" t="s">
        <v>5870</v>
      </c>
      <c r="AF6" s="59" t="s">
        <v>0</v>
      </c>
    </row>
    <row r="7" spans="1:32" ht="16.5" customHeight="1" x14ac:dyDescent="0.3">
      <c r="A7" s="2">
        <v>15</v>
      </c>
      <c r="B7" s="2">
        <v>9559</v>
      </c>
      <c r="C7" s="60" t="s">
        <v>10358</v>
      </c>
      <c r="D7" s="233" t="s">
        <v>16299</v>
      </c>
      <c r="E7" s="235"/>
      <c r="F7" s="75"/>
      <c r="G7" s="233" t="s">
        <v>18071</v>
      </c>
      <c r="H7" s="62"/>
      <c r="I7" s="62"/>
      <c r="J7" s="74"/>
      <c r="K7" s="62"/>
      <c r="L7" s="62"/>
      <c r="M7" s="62"/>
      <c r="N7" s="62"/>
      <c r="O7" s="92"/>
      <c r="P7" s="64"/>
      <c r="Q7" s="64"/>
      <c r="R7" s="65"/>
      <c r="S7" s="98"/>
      <c r="T7" s="62"/>
      <c r="U7" s="63"/>
      <c r="V7" s="75"/>
      <c r="W7" s="62"/>
      <c r="X7" s="62"/>
      <c r="Y7" s="63"/>
      <c r="Z7" s="75"/>
      <c r="AA7" s="61"/>
      <c r="AB7" s="62"/>
      <c r="AC7" s="63"/>
      <c r="AD7" s="75"/>
      <c r="AE7" s="228">
        <f>_15_同援日０．５+ROUND((_15_同援日０．５＿０．５*(1+_15・B夜間)),0)</f>
        <v>319</v>
      </c>
      <c r="AF7" s="52" t="s">
        <v>5863</v>
      </c>
    </row>
    <row r="8" spans="1:32" ht="16.5" customHeight="1" x14ac:dyDescent="0.3">
      <c r="A8" s="2">
        <v>15</v>
      </c>
      <c r="B8" s="2">
        <v>9560</v>
      </c>
      <c r="C8" s="60" t="s">
        <v>10357</v>
      </c>
      <c r="D8" s="1" t="s">
        <v>7928</v>
      </c>
      <c r="E8" s="68"/>
      <c r="F8" s="70"/>
      <c r="G8" s="1" t="s">
        <v>7928</v>
      </c>
      <c r="H8" s="68"/>
      <c r="I8" s="68"/>
      <c r="J8" s="81"/>
      <c r="K8" s="57"/>
      <c r="L8" s="57"/>
      <c r="M8" s="57"/>
      <c r="N8" s="57"/>
      <c r="O8" s="89"/>
      <c r="P8" s="107" t="s">
        <v>5895</v>
      </c>
      <c r="Q8" s="64" t="s">
        <v>1</v>
      </c>
      <c r="R8" s="65">
        <v>1</v>
      </c>
      <c r="S8" s="99"/>
      <c r="T8" s="68"/>
      <c r="U8" s="76"/>
      <c r="V8" s="70"/>
      <c r="W8" s="68"/>
      <c r="X8" s="68"/>
      <c r="Y8" s="76"/>
      <c r="Z8" s="70"/>
      <c r="AA8" s="67"/>
      <c r="AB8" s="68"/>
      <c r="AC8" s="76"/>
      <c r="AD8" s="70"/>
      <c r="AE8" s="228">
        <f>ROUND((_15_同援日０．５*_15・２人),0)+ROUND((ROUND((_15_同援日０．５＿０．５*_15・２人),0)*(1+_15・B夜間)),0)</f>
        <v>319</v>
      </c>
      <c r="AF8" s="69"/>
    </row>
    <row r="9" spans="1:32" ht="16.5" customHeight="1" x14ac:dyDescent="0.3">
      <c r="A9" s="2">
        <v>15</v>
      </c>
      <c r="B9" s="2">
        <v>9561</v>
      </c>
      <c r="C9" s="60" t="s">
        <v>10356</v>
      </c>
      <c r="D9" s="1"/>
      <c r="E9" s="68"/>
      <c r="F9" s="70"/>
      <c r="G9" s="1"/>
      <c r="H9" s="68"/>
      <c r="I9" s="70"/>
      <c r="J9" s="74" t="s">
        <v>18069</v>
      </c>
      <c r="K9" s="62"/>
      <c r="L9" s="62"/>
      <c r="M9" s="62"/>
      <c r="N9" s="62"/>
      <c r="O9" s="92"/>
      <c r="P9" s="85"/>
      <c r="Q9" s="64"/>
      <c r="R9" s="65"/>
      <c r="S9" s="99"/>
      <c r="T9" s="68"/>
      <c r="U9" s="76"/>
      <c r="V9" s="70"/>
      <c r="W9" s="68"/>
      <c r="X9" s="68"/>
      <c r="Y9" s="76"/>
      <c r="Z9" s="70"/>
      <c r="AA9" s="67"/>
      <c r="AB9" s="68"/>
      <c r="AC9" s="76"/>
      <c r="AD9" s="70"/>
      <c r="AE9" s="228">
        <f>ROUND((_15_同援日０．５*_15・基礎２),0)+ROUND((ROUND((_15_同援日０．５＿０．５*_15・基礎２),0)*(1+_15・B夜間)),0)</f>
        <v>287</v>
      </c>
      <c r="AF9" s="69"/>
    </row>
    <row r="10" spans="1:32" ht="16.5" customHeight="1" x14ac:dyDescent="0.3">
      <c r="A10" s="2">
        <v>15</v>
      </c>
      <c r="B10" s="2">
        <v>9562</v>
      </c>
      <c r="C10" s="60" t="s">
        <v>10355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81"/>
      <c r="K10" s="57"/>
      <c r="L10" s="57"/>
      <c r="M10" s="57"/>
      <c r="N10" s="57" t="s">
        <v>1</v>
      </c>
      <c r="O10" s="89">
        <v>0.9</v>
      </c>
      <c r="P10" s="105" t="s">
        <v>5895</v>
      </c>
      <c r="Q10" s="64" t="s">
        <v>1</v>
      </c>
      <c r="R10" s="65">
        <v>1</v>
      </c>
      <c r="S10" s="99"/>
      <c r="T10" s="68"/>
      <c r="U10" s="76"/>
      <c r="V10" s="70"/>
      <c r="W10" s="57"/>
      <c r="X10" s="57"/>
      <c r="Y10" s="58"/>
      <c r="Z10" s="77"/>
      <c r="AA10" s="67"/>
      <c r="AB10" s="68"/>
      <c r="AC10" s="76"/>
      <c r="AD10" s="70"/>
      <c r="AE10" s="228">
        <f>ROUND((ROUND((_15_同援日０．５*_15・基礎２),0)*_15・２人),0)+ROUND((ROUND((ROUND((_15_同援日０．５＿０．５*_15・基礎２),0)*_15・２人),0)*(1+_15・B夜間)),0)</f>
        <v>287</v>
      </c>
      <c r="AF10" s="69"/>
    </row>
    <row r="11" spans="1:32" ht="16.5" customHeight="1" x14ac:dyDescent="0.3">
      <c r="A11" s="2">
        <v>15</v>
      </c>
      <c r="B11" s="2">
        <v>9563</v>
      </c>
      <c r="C11" s="60" t="s">
        <v>10354</v>
      </c>
      <c r="D11" s="1"/>
      <c r="E11" s="68"/>
      <c r="F11" s="70"/>
      <c r="G11" s="1"/>
      <c r="H11" s="68"/>
      <c r="I11" s="70"/>
      <c r="J11" s="74"/>
      <c r="K11" s="62"/>
      <c r="L11" s="62"/>
      <c r="M11" s="62"/>
      <c r="N11" s="62"/>
      <c r="O11" s="92"/>
      <c r="P11" s="85"/>
      <c r="Q11" s="64"/>
      <c r="R11" s="65"/>
      <c r="S11" s="99"/>
      <c r="T11" s="68"/>
      <c r="U11" s="76"/>
      <c r="V11" s="70"/>
      <c r="W11" s="88" t="s">
        <v>18059</v>
      </c>
      <c r="X11" s="62"/>
      <c r="Y11" s="63"/>
      <c r="Z11" s="75"/>
      <c r="AA11" s="67"/>
      <c r="AB11" s="68"/>
      <c r="AC11" s="76"/>
      <c r="AD11" s="70"/>
      <c r="AE11" s="228">
        <f>ROUND((_15_同援日０．５*(1+_15・盲ろう)),0)+ROUND((ROUND((_15_同援日０．５＿０．５*(1+_15・B夜間)),0)*(1+_15・盲ろう)),0)</f>
        <v>399</v>
      </c>
      <c r="AF11" s="69"/>
    </row>
    <row r="12" spans="1:32" ht="16.5" customHeight="1" x14ac:dyDescent="0.3">
      <c r="A12" s="2">
        <v>15</v>
      </c>
      <c r="B12" s="2">
        <v>9564</v>
      </c>
      <c r="C12" s="60" t="s">
        <v>10353</v>
      </c>
      <c r="D12" s="1"/>
      <c r="E12" s="68"/>
      <c r="F12" s="70"/>
      <c r="G12" s="1"/>
      <c r="H12" s="68"/>
      <c r="I12" s="70"/>
      <c r="J12" s="81"/>
      <c r="K12" s="57"/>
      <c r="L12" s="57"/>
      <c r="M12" s="57"/>
      <c r="N12" s="57"/>
      <c r="O12" s="89"/>
      <c r="P12" s="105" t="s">
        <v>5895</v>
      </c>
      <c r="Q12" s="64" t="s">
        <v>1</v>
      </c>
      <c r="R12" s="65">
        <v>1</v>
      </c>
      <c r="S12" s="108" t="s">
        <v>18082</v>
      </c>
      <c r="T12" s="68"/>
      <c r="U12" s="76"/>
      <c r="V12" s="70"/>
      <c r="W12" s="95" t="s">
        <v>18058</v>
      </c>
      <c r="X12" s="68"/>
      <c r="Y12" s="76"/>
      <c r="Z12" s="70"/>
      <c r="AA12" s="67"/>
      <c r="AB12" s="68"/>
      <c r="AC12" s="76"/>
      <c r="AD12" s="70"/>
      <c r="AE12" s="228">
        <f>ROUND((ROUND((_15_同援日０．５*_15・２人),0)*(1+_15・盲ろう)),0)+ROUND((ROUND((ROUND((_15_同援日０．５＿０．５*_15・２人),0)*(1+_15・B夜間)),0)*(1+_15・盲ろう)),0)</f>
        <v>399</v>
      </c>
      <c r="AF12" s="69"/>
    </row>
    <row r="13" spans="1:32" ht="16.5" customHeight="1" x14ac:dyDescent="0.3">
      <c r="A13" s="2">
        <v>15</v>
      </c>
      <c r="B13" s="2">
        <v>9565</v>
      </c>
      <c r="C13" s="60" t="s">
        <v>10352</v>
      </c>
      <c r="D13" s="1"/>
      <c r="E13" s="68"/>
      <c r="F13" s="70"/>
      <c r="G13" s="1"/>
      <c r="H13" s="68"/>
      <c r="I13" s="70"/>
      <c r="J13" s="74" t="s">
        <v>18069</v>
      </c>
      <c r="K13" s="62"/>
      <c r="L13" s="62"/>
      <c r="M13" s="62"/>
      <c r="N13" s="62"/>
      <c r="O13" s="92"/>
      <c r="P13" s="85"/>
      <c r="Q13" s="64"/>
      <c r="R13" s="65"/>
      <c r="S13" s="99"/>
      <c r="T13" s="68"/>
      <c r="U13" s="68" t="s">
        <v>1</v>
      </c>
      <c r="V13" s="93">
        <v>0.25</v>
      </c>
      <c r="W13" s="68"/>
      <c r="X13" s="68" t="s">
        <v>1</v>
      </c>
      <c r="Y13" s="76">
        <v>0.25</v>
      </c>
      <c r="Z13" s="70" t="s">
        <v>422</v>
      </c>
      <c r="AA13" s="67"/>
      <c r="AB13" s="68"/>
      <c r="AC13" s="76"/>
      <c r="AD13" s="70"/>
      <c r="AE13" s="228">
        <f>ROUND((ROUND((_15_同援日０．５*_15・基礎２),0)*(1+_15・盲ろう)),0)+ROUND((ROUND((ROUND((_15_同援日０．５＿０．５*_15・基礎２),0)*(1+_15・B夜間)),0)*(1+_15・盲ろう)),0)</f>
        <v>359</v>
      </c>
      <c r="AF13" s="69"/>
    </row>
    <row r="14" spans="1:32" ht="16.5" customHeight="1" x14ac:dyDescent="0.3">
      <c r="A14" s="2">
        <v>15</v>
      </c>
      <c r="B14" s="2">
        <v>9566</v>
      </c>
      <c r="C14" s="60" t="s">
        <v>10351</v>
      </c>
      <c r="D14" s="1"/>
      <c r="E14" s="68"/>
      <c r="F14" s="70"/>
      <c r="G14" s="1"/>
      <c r="H14" s="68"/>
      <c r="I14" s="70"/>
      <c r="J14" s="81"/>
      <c r="K14" s="57"/>
      <c r="L14" s="57"/>
      <c r="M14" s="57"/>
      <c r="N14" s="57" t="s">
        <v>1</v>
      </c>
      <c r="O14" s="89">
        <v>0.9</v>
      </c>
      <c r="P14" s="105" t="s">
        <v>5895</v>
      </c>
      <c r="Q14" s="64" t="s">
        <v>1</v>
      </c>
      <c r="R14" s="65">
        <v>1</v>
      </c>
      <c r="S14" s="99"/>
      <c r="T14" s="68"/>
      <c r="U14" s="76"/>
      <c r="V14" s="100" t="s">
        <v>422</v>
      </c>
      <c r="W14" s="57"/>
      <c r="X14" s="57"/>
      <c r="Y14" s="58"/>
      <c r="Z14" s="77"/>
      <c r="AA14" s="66"/>
      <c r="AB14" s="57"/>
      <c r="AC14" s="58"/>
      <c r="AD14" s="77"/>
      <c r="AE14" s="228">
        <f>ROUND((ROUND((ROUND((_15_同援日０．５*_15・基礎２),0)*_15・２人),0)*(1+_15・盲ろう)),0)+ROUND((ROUND((ROUND((ROUND((_15_同援日０．５＿０．５*_15・基礎２),0)*_15・２人),0)*(1+_15・B夜間)),0)*(1+_15・盲ろう)),0)</f>
        <v>359</v>
      </c>
      <c r="AF14" s="69"/>
    </row>
    <row r="15" spans="1:32" ht="16.5" customHeight="1" x14ac:dyDescent="0.3">
      <c r="A15" s="2">
        <v>15</v>
      </c>
      <c r="B15" s="2">
        <v>9567</v>
      </c>
      <c r="C15" s="60" t="s">
        <v>10350</v>
      </c>
      <c r="D15" s="1"/>
      <c r="E15" s="68"/>
      <c r="F15" s="70"/>
      <c r="G15" s="1"/>
      <c r="H15" s="68"/>
      <c r="I15" s="70"/>
      <c r="J15" s="74"/>
      <c r="K15" s="62"/>
      <c r="L15" s="62"/>
      <c r="M15" s="62"/>
      <c r="N15" s="62"/>
      <c r="O15" s="92"/>
      <c r="P15" s="85"/>
      <c r="Q15" s="64"/>
      <c r="R15" s="65"/>
      <c r="S15" s="99"/>
      <c r="T15" s="68"/>
      <c r="U15" s="76"/>
      <c r="V15" s="70"/>
      <c r="W15" s="62"/>
      <c r="X15" s="62"/>
      <c r="Y15" s="63"/>
      <c r="Z15" s="75"/>
      <c r="AA15" s="61"/>
      <c r="AB15" s="62"/>
      <c r="AC15" s="63"/>
      <c r="AD15" s="75"/>
      <c r="AE15" s="228">
        <f>ROUND((_15_同援日０．５*(1+_15・区３)),0)+ROUND((ROUND((_15_同援日０．５＿０．５*(1+_15・B夜間)),0)*(1+_15・区３)),0)</f>
        <v>383</v>
      </c>
      <c r="AF15" s="69"/>
    </row>
    <row r="16" spans="1:32" ht="16.5" customHeight="1" x14ac:dyDescent="0.3">
      <c r="A16" s="2">
        <v>15</v>
      </c>
      <c r="B16" s="2">
        <v>9568</v>
      </c>
      <c r="C16" s="60" t="s">
        <v>10349</v>
      </c>
      <c r="D16" s="1"/>
      <c r="E16" s="68"/>
      <c r="F16" s="70"/>
      <c r="G16" s="1"/>
      <c r="H16" s="68"/>
      <c r="I16" s="70"/>
      <c r="J16" s="81"/>
      <c r="K16" s="57"/>
      <c r="L16" s="57"/>
      <c r="M16" s="57"/>
      <c r="N16" s="57"/>
      <c r="O16" s="89"/>
      <c r="P16" s="105" t="s">
        <v>5895</v>
      </c>
      <c r="Q16" s="64" t="s">
        <v>1</v>
      </c>
      <c r="R16" s="65">
        <v>1</v>
      </c>
      <c r="S16" s="99"/>
      <c r="T16" s="68"/>
      <c r="U16" s="76"/>
      <c r="V16" s="70"/>
      <c r="W16" s="68"/>
      <c r="X16" s="68"/>
      <c r="Y16" s="76"/>
      <c r="Z16" s="70"/>
      <c r="AA16" s="67"/>
      <c r="AB16" s="68"/>
      <c r="AC16" s="76"/>
      <c r="AD16" s="70"/>
      <c r="AE16" s="228">
        <f>ROUND((ROUND((_15_同援日０．５*_15・２人),0)*(1+_15・区３)),0)+ROUND((ROUND((ROUND((_15_同援日０．５＿０．５*_15・２人),0)*(1+_15・B夜間)),0)*(1+_15・区３)),0)</f>
        <v>383</v>
      </c>
      <c r="AF16" s="69"/>
    </row>
    <row r="17" spans="1:32" ht="16.5" customHeight="1" x14ac:dyDescent="0.3">
      <c r="A17" s="2">
        <v>15</v>
      </c>
      <c r="B17" s="2">
        <v>9569</v>
      </c>
      <c r="C17" s="60" t="s">
        <v>10348</v>
      </c>
      <c r="D17" s="1"/>
      <c r="E17" s="68"/>
      <c r="F17" s="70"/>
      <c r="G17" s="1"/>
      <c r="H17" s="68"/>
      <c r="I17" s="70"/>
      <c r="J17" s="74" t="s">
        <v>6260</v>
      </c>
      <c r="K17" s="62"/>
      <c r="L17" s="62"/>
      <c r="M17" s="62"/>
      <c r="N17" s="62"/>
      <c r="O17" s="92"/>
      <c r="P17" s="85"/>
      <c r="Q17" s="64"/>
      <c r="R17" s="65"/>
      <c r="S17" s="99"/>
      <c r="T17" s="68"/>
      <c r="U17" s="76"/>
      <c r="V17" s="70"/>
      <c r="W17" s="68"/>
      <c r="X17" s="68"/>
      <c r="Y17" s="76"/>
      <c r="Z17" s="70"/>
      <c r="AA17" s="1" t="s">
        <v>18062</v>
      </c>
      <c r="AB17" s="68"/>
      <c r="AC17" s="76"/>
      <c r="AD17" s="70"/>
      <c r="AE17" s="228">
        <f>ROUND((ROUND((_15_同援日０．５*_15・基礎２),0)*(1+_15・区３)),0)+ROUND((ROUND((ROUND((_15_同援日０．５＿０．５*_15・基礎２),0)*(1+_15・B夜間)),0)*(1+_15・区３)),0)</f>
        <v>344</v>
      </c>
      <c r="AF17" s="69"/>
    </row>
    <row r="18" spans="1:32" ht="16.5" customHeight="1" x14ac:dyDescent="0.3">
      <c r="A18" s="2">
        <v>15</v>
      </c>
      <c r="B18" s="2">
        <v>9570</v>
      </c>
      <c r="C18" s="60" t="s">
        <v>10347</v>
      </c>
      <c r="D18" s="1"/>
      <c r="E18" s="68"/>
      <c r="F18" s="70"/>
      <c r="G18" s="1"/>
      <c r="H18" s="68"/>
      <c r="I18" s="70"/>
      <c r="J18" s="81"/>
      <c r="K18" s="57"/>
      <c r="L18" s="57"/>
      <c r="M18" s="57"/>
      <c r="N18" s="57" t="s">
        <v>1</v>
      </c>
      <c r="O18" s="89">
        <v>0.9</v>
      </c>
      <c r="P18" s="105" t="s">
        <v>5895</v>
      </c>
      <c r="Q18" s="64" t="s">
        <v>1</v>
      </c>
      <c r="R18" s="65">
        <v>1</v>
      </c>
      <c r="S18" s="99"/>
      <c r="T18" s="68"/>
      <c r="U18" s="76"/>
      <c r="V18" s="70"/>
      <c r="W18" s="57"/>
      <c r="X18" s="57"/>
      <c r="Y18" s="58"/>
      <c r="Z18" s="77"/>
      <c r="AA18" s="1" t="s">
        <v>18060</v>
      </c>
      <c r="AB18" s="68"/>
      <c r="AC18" s="76"/>
      <c r="AD18" s="70"/>
      <c r="AE18" s="228">
        <f>ROUND((ROUND((ROUND((_15_同援日０．５*_15・基礎２),0)*_15・２人),0)*(1+_15・区３)),0)+ROUND((ROUND((ROUND((ROUND((_15_同援日０．５＿０．５*_15・基礎２),0)*_15・２人),0)*(1+_15・B夜間)),0)*(1+_15・区３)),0)</f>
        <v>344</v>
      </c>
      <c r="AF18" s="69"/>
    </row>
    <row r="19" spans="1:32" ht="16.5" customHeight="1" x14ac:dyDescent="0.3">
      <c r="A19" s="2">
        <v>15</v>
      </c>
      <c r="B19" s="2">
        <v>9571</v>
      </c>
      <c r="C19" s="60" t="s">
        <v>10346</v>
      </c>
      <c r="D19" s="1"/>
      <c r="E19" s="68"/>
      <c r="F19" s="70"/>
      <c r="G19" s="1"/>
      <c r="H19" s="68"/>
      <c r="I19" s="70"/>
      <c r="J19" s="74"/>
      <c r="K19" s="62"/>
      <c r="L19" s="62"/>
      <c r="M19" s="62"/>
      <c r="N19" s="62"/>
      <c r="O19" s="92"/>
      <c r="P19" s="85"/>
      <c r="Q19" s="64"/>
      <c r="R19" s="65"/>
      <c r="S19" s="99"/>
      <c r="T19" s="68"/>
      <c r="U19" s="76"/>
      <c r="V19" s="70"/>
      <c r="W19" s="78" t="s">
        <v>18059</v>
      </c>
      <c r="X19" s="62"/>
      <c r="Y19" s="63"/>
      <c r="Z19" s="75"/>
      <c r="AA19" s="67"/>
      <c r="AB19" s="68" t="s">
        <v>1</v>
      </c>
      <c r="AC19" s="76">
        <v>0.2</v>
      </c>
      <c r="AD19" s="70" t="s">
        <v>422</v>
      </c>
      <c r="AE19" s="228">
        <f>ROUND((ROUND((_15_同援日０．５*(1+_15・盲ろう)),0)*(1+_15・区３)),0)+ROUND((ROUND((ROUND((_15_同援日０．５＿０．５*(1+_15・B夜間)),0)*(1+_15・盲ろう)),0)*(1+_15・区３)),0)</f>
        <v>479</v>
      </c>
      <c r="AF19" s="69"/>
    </row>
    <row r="20" spans="1:32" ht="16.5" customHeight="1" x14ac:dyDescent="0.3">
      <c r="A20" s="2">
        <v>15</v>
      </c>
      <c r="B20" s="2">
        <v>9572</v>
      </c>
      <c r="C20" s="60" t="s">
        <v>10345</v>
      </c>
      <c r="D20" s="1"/>
      <c r="E20" s="68"/>
      <c r="F20" s="70"/>
      <c r="G20" s="1"/>
      <c r="H20" s="68"/>
      <c r="I20" s="70"/>
      <c r="J20" s="81"/>
      <c r="K20" s="57"/>
      <c r="L20" s="57"/>
      <c r="M20" s="57"/>
      <c r="N20" s="57"/>
      <c r="O20" s="89"/>
      <c r="P20" s="105" t="s">
        <v>5895</v>
      </c>
      <c r="Q20" s="64" t="s">
        <v>1</v>
      </c>
      <c r="R20" s="65">
        <v>1</v>
      </c>
      <c r="S20" s="99"/>
      <c r="T20" s="68"/>
      <c r="U20" s="76"/>
      <c r="V20" s="70"/>
      <c r="W20" s="94" t="s">
        <v>18058</v>
      </c>
      <c r="X20" s="68"/>
      <c r="Y20" s="76"/>
      <c r="Z20" s="70"/>
      <c r="AA20" s="67"/>
      <c r="AB20" s="68"/>
      <c r="AC20" s="76"/>
      <c r="AD20" s="70"/>
      <c r="AE20" s="228">
        <f>ROUND((ROUND((ROUND((_15_同援日０．５*_15・２人),0)*(1+_15・盲ろう)),0)*(1+_15・区３)),0)+ROUND((ROUND((ROUND((ROUND((_15_同援日０．５＿０．５*_15・２人),0)*(1+_15・B夜間)),0)*(1+_15・盲ろう)),0)*(1+_15・区３)),0)</f>
        <v>479</v>
      </c>
      <c r="AF20" s="69"/>
    </row>
    <row r="21" spans="1:32" ht="16.5" customHeight="1" x14ac:dyDescent="0.3">
      <c r="A21" s="2">
        <v>15</v>
      </c>
      <c r="B21" s="2">
        <v>9573</v>
      </c>
      <c r="C21" s="60" t="s">
        <v>10344</v>
      </c>
      <c r="D21" s="1"/>
      <c r="E21" s="68"/>
      <c r="F21" s="70"/>
      <c r="G21" s="1"/>
      <c r="H21" s="68"/>
      <c r="I21" s="70"/>
      <c r="J21" s="74" t="s">
        <v>18069</v>
      </c>
      <c r="K21" s="62"/>
      <c r="L21" s="62"/>
      <c r="M21" s="62"/>
      <c r="N21" s="62"/>
      <c r="O21" s="92"/>
      <c r="P21" s="85"/>
      <c r="Q21" s="64"/>
      <c r="R21" s="65"/>
      <c r="S21" s="99"/>
      <c r="T21" s="68"/>
      <c r="U21" s="76"/>
      <c r="V21" s="70"/>
      <c r="W21" s="67"/>
      <c r="X21" s="68" t="s">
        <v>1</v>
      </c>
      <c r="Y21" s="76">
        <v>0.25</v>
      </c>
      <c r="Z21" s="70" t="s">
        <v>422</v>
      </c>
      <c r="AA21" s="67"/>
      <c r="AB21" s="68"/>
      <c r="AC21" s="76"/>
      <c r="AD21" s="70"/>
      <c r="AE21" s="228">
        <f>ROUND((ROUND((ROUND((_15_同援日０．５*_15・基礎２),0)*(1+_15・盲ろう)),0)*(1+_15・区３)),0)+ROUND((ROUND((ROUND((ROUND((_15_同援日０．５＿０．５*_15・基礎２),0)*(1+_15・B夜間)),0)*(1+_15・盲ろう)),0)*(1+_15・区３)),0)</f>
        <v>431</v>
      </c>
      <c r="AF21" s="69"/>
    </row>
    <row r="22" spans="1:32" ht="16.5" customHeight="1" x14ac:dyDescent="0.3">
      <c r="A22" s="2">
        <v>15</v>
      </c>
      <c r="B22" s="2">
        <v>9574</v>
      </c>
      <c r="C22" s="60" t="s">
        <v>10343</v>
      </c>
      <c r="D22" s="1"/>
      <c r="E22" s="68"/>
      <c r="F22" s="70"/>
      <c r="G22" s="1"/>
      <c r="H22" s="68"/>
      <c r="I22" s="70"/>
      <c r="J22" s="81"/>
      <c r="K22" s="57"/>
      <c r="L22" s="57"/>
      <c r="M22" s="57"/>
      <c r="N22" s="57" t="s">
        <v>1</v>
      </c>
      <c r="O22" s="89">
        <v>0.9</v>
      </c>
      <c r="P22" s="105" t="s">
        <v>5895</v>
      </c>
      <c r="Q22" s="64" t="s">
        <v>1</v>
      </c>
      <c r="R22" s="65">
        <v>1</v>
      </c>
      <c r="S22" s="99"/>
      <c r="T22" s="68"/>
      <c r="U22" s="76"/>
      <c r="V22" s="70"/>
      <c r="W22" s="66"/>
      <c r="X22" s="57"/>
      <c r="Y22" s="58"/>
      <c r="Z22" s="77"/>
      <c r="AA22" s="66"/>
      <c r="AB22" s="57"/>
      <c r="AC22" s="58"/>
      <c r="AD22" s="77"/>
      <c r="AE22" s="228">
        <f>ROUND((ROUND((ROUND((ROUND((_15_同援日０．５*_15・基礎２),0)*_15・２人),0)*(1+_15・盲ろう)),0)*(1+_15・区３)),0)+ROUND((ROUND((ROUND((ROUND((ROUND((_15_同援日０．５＿０．５*_15・基礎２),0)*_15・２人),0)*(1+_15・B夜間)),0)*(1+_15・盲ろう)),0)*(1+_15・区３)),0)</f>
        <v>431</v>
      </c>
      <c r="AF22" s="69"/>
    </row>
    <row r="23" spans="1:32" ht="16.5" customHeight="1" x14ac:dyDescent="0.3">
      <c r="A23" s="2">
        <v>15</v>
      </c>
      <c r="B23" s="2">
        <v>9575</v>
      </c>
      <c r="C23" s="60" t="s">
        <v>10342</v>
      </c>
      <c r="D23" s="1"/>
      <c r="E23" s="68"/>
      <c r="F23" s="70"/>
      <c r="G23" s="1"/>
      <c r="H23" s="68"/>
      <c r="I23" s="70"/>
      <c r="J23" s="74"/>
      <c r="K23" s="62"/>
      <c r="L23" s="62"/>
      <c r="M23" s="62"/>
      <c r="N23" s="62"/>
      <c r="O23" s="92"/>
      <c r="P23" s="85"/>
      <c r="Q23" s="64"/>
      <c r="R23" s="65"/>
      <c r="S23" s="99"/>
      <c r="T23" s="68"/>
      <c r="U23" s="76"/>
      <c r="V23" s="70"/>
      <c r="W23" s="61"/>
      <c r="X23" s="62"/>
      <c r="Y23" s="63"/>
      <c r="Z23" s="75"/>
      <c r="AA23" s="61"/>
      <c r="AB23" s="62"/>
      <c r="AC23" s="63"/>
      <c r="AD23" s="75"/>
      <c r="AE23" s="228">
        <f>ROUND((_15_同援日０．５*(1+_15・区４)),0)+ROUND((ROUND((_15_同援日０．５＿０．５*(1+_15・B夜間)),0)*(1+_15・区４)),0)</f>
        <v>447</v>
      </c>
      <c r="AF23" s="69"/>
    </row>
    <row r="24" spans="1:32" ht="16.5" customHeight="1" x14ac:dyDescent="0.3">
      <c r="A24" s="2">
        <v>15</v>
      </c>
      <c r="B24" s="2">
        <v>9576</v>
      </c>
      <c r="C24" s="60" t="s">
        <v>10341</v>
      </c>
      <c r="D24" s="1"/>
      <c r="E24" s="68"/>
      <c r="F24" s="70"/>
      <c r="G24" s="1"/>
      <c r="H24" s="68"/>
      <c r="I24" s="70"/>
      <c r="J24" s="81"/>
      <c r="K24" s="57"/>
      <c r="L24" s="57"/>
      <c r="M24" s="57"/>
      <c r="N24" s="57"/>
      <c r="O24" s="89"/>
      <c r="P24" s="105" t="s">
        <v>5895</v>
      </c>
      <c r="Q24" s="64" t="s">
        <v>1</v>
      </c>
      <c r="R24" s="65">
        <v>1</v>
      </c>
      <c r="S24" s="99"/>
      <c r="T24" s="68"/>
      <c r="U24" s="76"/>
      <c r="V24" s="70"/>
      <c r="W24" s="67"/>
      <c r="X24" s="68"/>
      <c r="Y24" s="76"/>
      <c r="Z24" s="70"/>
      <c r="AA24" s="67"/>
      <c r="AB24" s="68"/>
      <c r="AC24" s="76"/>
      <c r="AD24" s="70"/>
      <c r="AE24" s="228">
        <f>ROUND((ROUND((_15_同援日０．５*_15・２人),0)*(1+_15・区４)),0)+ROUND((ROUND((ROUND((_15_同援日０．５＿０．５*_15・２人),0)*(1+_15・B夜間)),0)*(1+_15・区４)),0)</f>
        <v>447</v>
      </c>
      <c r="AF24" s="69"/>
    </row>
    <row r="25" spans="1:32" ht="16.5" customHeight="1" x14ac:dyDescent="0.3">
      <c r="A25" s="2">
        <v>15</v>
      </c>
      <c r="B25" s="2">
        <v>9577</v>
      </c>
      <c r="C25" s="60" t="s">
        <v>10340</v>
      </c>
      <c r="D25" s="1"/>
      <c r="E25" s="68"/>
      <c r="F25" s="70"/>
      <c r="G25" s="1"/>
      <c r="H25" s="68"/>
      <c r="I25" s="70"/>
      <c r="J25" s="74" t="s">
        <v>18069</v>
      </c>
      <c r="K25" s="62"/>
      <c r="L25" s="62"/>
      <c r="M25" s="62"/>
      <c r="N25" s="62"/>
      <c r="O25" s="92"/>
      <c r="P25" s="85"/>
      <c r="Q25" s="64"/>
      <c r="R25" s="65"/>
      <c r="S25" s="99"/>
      <c r="T25" s="68"/>
      <c r="U25" s="76"/>
      <c r="V25" s="70"/>
      <c r="W25" s="67"/>
      <c r="X25" s="68"/>
      <c r="Y25" s="76"/>
      <c r="Z25" s="70"/>
      <c r="AA25" s="1" t="s">
        <v>18061</v>
      </c>
      <c r="AB25" s="68"/>
      <c r="AC25" s="76"/>
      <c r="AD25" s="70"/>
      <c r="AE25" s="228">
        <f>ROUND((ROUND((_15_同援日０．５*_15・基礎２),0)*(1+_15・区４)),0)+ROUND((ROUND((ROUND((_15_同援日０．５＿０．５*_15・基礎２),0)*(1+_15・B夜間)),0)*(1+_15・区４)),0)</f>
        <v>401</v>
      </c>
      <c r="AF25" s="69"/>
    </row>
    <row r="26" spans="1:32" ht="16.5" customHeight="1" x14ac:dyDescent="0.3">
      <c r="A26" s="2">
        <v>15</v>
      </c>
      <c r="B26" s="2">
        <v>9578</v>
      </c>
      <c r="C26" s="60" t="s">
        <v>10339</v>
      </c>
      <c r="D26" s="1"/>
      <c r="E26" s="68"/>
      <c r="F26" s="70"/>
      <c r="G26" s="1"/>
      <c r="H26" s="68"/>
      <c r="I26" s="70"/>
      <c r="J26" s="81"/>
      <c r="K26" s="57"/>
      <c r="L26" s="57"/>
      <c r="M26" s="57"/>
      <c r="N26" s="57" t="s">
        <v>1</v>
      </c>
      <c r="O26" s="89">
        <v>0.9</v>
      </c>
      <c r="P26" s="105" t="s">
        <v>5895</v>
      </c>
      <c r="Q26" s="64" t="s">
        <v>1</v>
      </c>
      <c r="R26" s="65">
        <v>1</v>
      </c>
      <c r="S26" s="99"/>
      <c r="T26" s="68"/>
      <c r="U26" s="76"/>
      <c r="V26" s="70"/>
      <c r="W26" s="66"/>
      <c r="X26" s="57"/>
      <c r="Y26" s="58"/>
      <c r="Z26" s="77"/>
      <c r="AA26" s="1" t="s">
        <v>18060</v>
      </c>
      <c r="AB26" s="68"/>
      <c r="AC26" s="76"/>
      <c r="AD26" s="70"/>
      <c r="AE26" s="228">
        <f>ROUND((ROUND((ROUND((_15_同援日０．５*_15・基礎２),0)*_15・２人),0)*(1+_15・区４)),0)+ROUND((ROUND((ROUND((ROUND((_15_同援日０．５＿０．５*_15・基礎２),0)*_15・２人),0)*(1+_15・B夜間)),0)*(1+_15・区４)),0)</f>
        <v>401</v>
      </c>
      <c r="AF26" s="69"/>
    </row>
    <row r="27" spans="1:32" ht="16.5" customHeight="1" x14ac:dyDescent="0.3">
      <c r="A27" s="2">
        <v>15</v>
      </c>
      <c r="B27" s="2">
        <v>9579</v>
      </c>
      <c r="C27" s="60" t="s">
        <v>10338</v>
      </c>
      <c r="D27" s="1"/>
      <c r="E27" s="68"/>
      <c r="F27" s="70"/>
      <c r="G27" s="1"/>
      <c r="H27" s="68"/>
      <c r="I27" s="70"/>
      <c r="J27" s="74"/>
      <c r="K27" s="62"/>
      <c r="L27" s="62"/>
      <c r="M27" s="62"/>
      <c r="N27" s="62"/>
      <c r="O27" s="92"/>
      <c r="P27" s="85"/>
      <c r="Q27" s="64"/>
      <c r="R27" s="65"/>
      <c r="S27" s="99"/>
      <c r="T27" s="68"/>
      <c r="U27" s="76"/>
      <c r="V27" s="70"/>
      <c r="W27" s="78" t="s">
        <v>8085</v>
      </c>
      <c r="X27" s="62"/>
      <c r="Y27" s="63"/>
      <c r="Z27" s="75"/>
      <c r="AA27" s="67"/>
      <c r="AB27" s="68" t="s">
        <v>1</v>
      </c>
      <c r="AC27" s="76">
        <v>0.4</v>
      </c>
      <c r="AD27" s="70" t="s">
        <v>422</v>
      </c>
      <c r="AE27" s="228">
        <f>ROUND((ROUND((_15_同援日０．５*(1+_15・盲ろう)),0)*(1+_15・区４)),0)+ROUND((ROUND((ROUND((_15_同援日０．５＿０．５*(1+_15・B夜間)),0)*(1+_15・盲ろう)),0)*(1+_15・区４)),0)</f>
        <v>559</v>
      </c>
      <c r="AF27" s="69"/>
    </row>
    <row r="28" spans="1:32" ht="16.5" customHeight="1" x14ac:dyDescent="0.3">
      <c r="A28" s="2">
        <v>15</v>
      </c>
      <c r="B28" s="2">
        <v>9580</v>
      </c>
      <c r="C28" s="60" t="s">
        <v>10337</v>
      </c>
      <c r="D28" s="1"/>
      <c r="E28" s="68"/>
      <c r="F28" s="70"/>
      <c r="G28" s="1"/>
      <c r="H28" s="68"/>
      <c r="I28" s="70"/>
      <c r="J28" s="81"/>
      <c r="K28" s="57"/>
      <c r="L28" s="57"/>
      <c r="M28" s="57"/>
      <c r="N28" s="57"/>
      <c r="O28" s="89"/>
      <c r="P28" s="105" t="s">
        <v>5895</v>
      </c>
      <c r="Q28" s="64" t="s">
        <v>1</v>
      </c>
      <c r="R28" s="65">
        <v>1</v>
      </c>
      <c r="S28" s="99"/>
      <c r="T28" s="68"/>
      <c r="U28" s="76"/>
      <c r="V28" s="70"/>
      <c r="W28" s="94" t="s">
        <v>8083</v>
      </c>
      <c r="X28" s="68"/>
      <c r="Y28" s="76"/>
      <c r="Z28" s="70"/>
      <c r="AA28" s="67"/>
      <c r="AB28" s="68"/>
      <c r="AC28" s="76"/>
      <c r="AD28" s="70"/>
      <c r="AE28" s="228">
        <f>ROUND((ROUND((ROUND((_15_同援日０．５*_15・２人),0)*(1+_15・盲ろう)),0)*(1+_15・区４)),0)+ROUND((ROUND((ROUND((ROUND((_15_同援日０．５＿０．５*_15・２人),0)*(1+_15・B夜間)),0)*(1+_15・盲ろう)),0)*(1+_15・区４)),0)</f>
        <v>559</v>
      </c>
      <c r="AF28" s="69"/>
    </row>
    <row r="29" spans="1:32" ht="16.5" customHeight="1" x14ac:dyDescent="0.3">
      <c r="A29" s="2">
        <v>15</v>
      </c>
      <c r="B29" s="2">
        <v>9581</v>
      </c>
      <c r="C29" s="60" t="s">
        <v>10336</v>
      </c>
      <c r="D29" s="1"/>
      <c r="E29" s="68"/>
      <c r="F29" s="70"/>
      <c r="G29" s="1"/>
      <c r="H29" s="68"/>
      <c r="I29" s="70"/>
      <c r="J29" s="74" t="s">
        <v>18069</v>
      </c>
      <c r="K29" s="62"/>
      <c r="L29" s="62"/>
      <c r="M29" s="62"/>
      <c r="N29" s="62"/>
      <c r="O29" s="92"/>
      <c r="P29" s="85"/>
      <c r="Q29" s="64"/>
      <c r="R29" s="65"/>
      <c r="S29" s="99"/>
      <c r="T29" s="68"/>
      <c r="U29" s="76"/>
      <c r="V29" s="70"/>
      <c r="W29" s="67"/>
      <c r="X29" s="68" t="s">
        <v>1</v>
      </c>
      <c r="Y29" s="76">
        <v>0.25</v>
      </c>
      <c r="Z29" s="70" t="s">
        <v>422</v>
      </c>
      <c r="AA29" s="67"/>
      <c r="AB29" s="68"/>
      <c r="AC29" s="76"/>
      <c r="AD29" s="70"/>
      <c r="AE29" s="228">
        <f>ROUND((ROUND((ROUND((_15_同援日０．５*_15・基礎２),0)*(1+_15・盲ろう)),0)*(1+_15・区４)),0)+ROUND((ROUND((ROUND((ROUND((_15_同援日０．５＿０．５*_15・基礎２),0)*(1+_15・B夜間)),0)*(1+_15・盲ろう)),0)*(1+_15・区４)),0)</f>
        <v>502</v>
      </c>
      <c r="AF29" s="69"/>
    </row>
    <row r="30" spans="1:32" ht="16.5" customHeight="1" x14ac:dyDescent="0.3">
      <c r="A30" s="2">
        <v>15</v>
      </c>
      <c r="B30" s="2">
        <v>9582</v>
      </c>
      <c r="C30" s="60" t="s">
        <v>10335</v>
      </c>
      <c r="D30" s="1"/>
      <c r="E30" s="68"/>
      <c r="F30" s="70"/>
      <c r="G30" s="81"/>
      <c r="H30" s="57"/>
      <c r="I30" s="77"/>
      <c r="J30" s="81"/>
      <c r="K30" s="57"/>
      <c r="L30" s="57"/>
      <c r="M30" s="57"/>
      <c r="N30" s="57" t="s">
        <v>1</v>
      </c>
      <c r="O30" s="89">
        <v>0.9</v>
      </c>
      <c r="P30" s="105" t="s">
        <v>5895</v>
      </c>
      <c r="Q30" s="64" t="s">
        <v>1</v>
      </c>
      <c r="R30" s="65">
        <v>1</v>
      </c>
      <c r="S30" s="99"/>
      <c r="T30" s="68"/>
      <c r="U30" s="76"/>
      <c r="V30" s="70"/>
      <c r="W30" s="66"/>
      <c r="X30" s="57"/>
      <c r="Y30" s="58"/>
      <c r="Z30" s="77"/>
      <c r="AA30" s="66"/>
      <c r="AB30" s="57"/>
      <c r="AC30" s="58"/>
      <c r="AD30" s="77"/>
      <c r="AE30" s="228">
        <f>ROUND((ROUND((ROUND((ROUND((_15_同援日０．５*_15・基礎２),0)*_15・２人),0)*(1+_15・盲ろう)),0)*(1+_15・区４)),0)+ROUND((ROUND((ROUND((ROUND((ROUND((_15_同援日０．５＿０．５*_15・基礎２),0)*_15・２人),0)*(1+_15・B夜間)),0)*(1+_15・盲ろう)),0)*(1+_15・区４)),0)</f>
        <v>502</v>
      </c>
      <c r="AF30" s="69"/>
    </row>
    <row r="31" spans="1:32" ht="16.5" customHeight="1" x14ac:dyDescent="0.3">
      <c r="A31" s="2">
        <v>15</v>
      </c>
      <c r="B31" s="2">
        <v>9583</v>
      </c>
      <c r="C31" s="60" t="s">
        <v>10334</v>
      </c>
      <c r="D31" s="1"/>
      <c r="E31" s="68"/>
      <c r="F31" s="70"/>
      <c r="G31" s="233" t="s">
        <v>18073</v>
      </c>
      <c r="H31" s="62"/>
      <c r="I31" s="75"/>
      <c r="J31" s="74"/>
      <c r="K31" s="62"/>
      <c r="L31" s="62"/>
      <c r="M31" s="62"/>
      <c r="N31" s="62"/>
      <c r="O31" s="92"/>
      <c r="P31" s="85"/>
      <c r="Q31" s="64"/>
      <c r="R31" s="65"/>
      <c r="S31" s="99"/>
      <c r="T31" s="68"/>
      <c r="U31" s="76"/>
      <c r="V31" s="70"/>
      <c r="W31" s="61"/>
      <c r="X31" s="62"/>
      <c r="Y31" s="63"/>
      <c r="Z31" s="75"/>
      <c r="AA31" s="61"/>
      <c r="AB31" s="62"/>
      <c r="AC31" s="63"/>
      <c r="AD31" s="75"/>
      <c r="AE31" s="228">
        <f>_15_同援日０．５+ROUND((_15_同援日０．５＿１．０*(1+_15・B夜間)),0)</f>
        <v>480</v>
      </c>
      <c r="AF31" s="69"/>
    </row>
    <row r="32" spans="1:32" ht="16.5" customHeight="1" x14ac:dyDescent="0.3">
      <c r="A32" s="2">
        <v>15</v>
      </c>
      <c r="B32" s="2">
        <v>9584</v>
      </c>
      <c r="C32" s="60" t="s">
        <v>10333</v>
      </c>
      <c r="D32" s="1"/>
      <c r="E32" s="68"/>
      <c r="F32" s="70"/>
      <c r="G32" s="1" t="s">
        <v>18078</v>
      </c>
      <c r="H32" s="68"/>
      <c r="I32" s="70"/>
      <c r="J32" s="81"/>
      <c r="K32" s="57"/>
      <c r="L32" s="57"/>
      <c r="M32" s="57"/>
      <c r="N32" s="57"/>
      <c r="O32" s="89"/>
      <c r="P32" s="105" t="s">
        <v>5895</v>
      </c>
      <c r="Q32" s="64" t="s">
        <v>1</v>
      </c>
      <c r="R32" s="65">
        <v>1</v>
      </c>
      <c r="S32" s="99"/>
      <c r="T32" s="68"/>
      <c r="U32" s="76"/>
      <c r="V32" s="70"/>
      <c r="W32" s="67"/>
      <c r="X32" s="68"/>
      <c r="Y32" s="76"/>
      <c r="Z32" s="70"/>
      <c r="AA32" s="67"/>
      <c r="AB32" s="68"/>
      <c r="AC32" s="76"/>
      <c r="AD32" s="70"/>
      <c r="AE32" s="228">
        <f>ROUND((_15_同援日０．５*_15・２人),0)+ROUND((ROUND((_15_同援日０．５＿１．０*_15・２人),0)*(1+_15・B夜間)),0)</f>
        <v>480</v>
      </c>
      <c r="AF32" s="69"/>
    </row>
    <row r="33" spans="1:32" ht="16.5" customHeight="1" x14ac:dyDescent="0.3">
      <c r="A33" s="2">
        <v>15</v>
      </c>
      <c r="B33" s="2">
        <v>9585</v>
      </c>
      <c r="C33" s="60" t="s">
        <v>10332</v>
      </c>
      <c r="D33" s="1"/>
      <c r="E33" s="68"/>
      <c r="F33" s="70"/>
      <c r="G33" s="1" t="s">
        <v>8572</v>
      </c>
      <c r="H33" s="68"/>
      <c r="I33" s="70"/>
      <c r="J33" s="74" t="s">
        <v>18069</v>
      </c>
      <c r="K33" s="62"/>
      <c r="L33" s="62"/>
      <c r="M33" s="62"/>
      <c r="N33" s="62"/>
      <c r="O33" s="92"/>
      <c r="P33" s="85"/>
      <c r="Q33" s="64"/>
      <c r="R33" s="65"/>
      <c r="S33" s="99"/>
      <c r="T33" s="68"/>
      <c r="U33" s="76"/>
      <c r="V33" s="70"/>
      <c r="W33" s="67"/>
      <c r="X33" s="68"/>
      <c r="Y33" s="76"/>
      <c r="Z33" s="70"/>
      <c r="AA33" s="67"/>
      <c r="AB33" s="68"/>
      <c r="AC33" s="76"/>
      <c r="AD33" s="70"/>
      <c r="AE33" s="228">
        <f>ROUND((_15_同援日０．５*_15・基礎２),0)+ROUND((ROUND((_15_同援日０．５＿１．０*_15・基礎２),0)*(1+_15・B夜間)),0)</f>
        <v>432</v>
      </c>
      <c r="AF33" s="69"/>
    </row>
    <row r="34" spans="1:32" ht="16.5" customHeight="1" x14ac:dyDescent="0.3">
      <c r="A34" s="2">
        <v>15</v>
      </c>
      <c r="B34" s="2">
        <v>9586</v>
      </c>
      <c r="C34" s="60" t="s">
        <v>10331</v>
      </c>
      <c r="D34" s="1"/>
      <c r="E34" s="68"/>
      <c r="F34" s="70"/>
      <c r="G34" s="1"/>
      <c r="H34" s="227">
        <v>237</v>
      </c>
      <c r="I34" s="70" t="s">
        <v>0</v>
      </c>
      <c r="J34" s="81"/>
      <c r="K34" s="57"/>
      <c r="L34" s="57"/>
      <c r="M34" s="57"/>
      <c r="N34" s="57" t="s">
        <v>1</v>
      </c>
      <c r="O34" s="89">
        <v>0.9</v>
      </c>
      <c r="P34" s="105" t="s">
        <v>5895</v>
      </c>
      <c r="Q34" s="64" t="s">
        <v>1</v>
      </c>
      <c r="R34" s="65">
        <v>1</v>
      </c>
      <c r="S34" s="99"/>
      <c r="T34" s="68"/>
      <c r="U34" s="76"/>
      <c r="V34" s="70"/>
      <c r="W34" s="66"/>
      <c r="X34" s="57"/>
      <c r="Y34" s="58"/>
      <c r="Z34" s="77"/>
      <c r="AA34" s="67"/>
      <c r="AB34" s="68"/>
      <c r="AC34" s="76"/>
      <c r="AD34" s="70"/>
      <c r="AE34" s="228">
        <f>ROUND((ROUND((_15_同援日０．５*_15・基礎２),0)*_15・２人),0)+ROUND((ROUND((ROUND((_15_同援日０．５＿１．０*_15・基礎２),0)*_15・２人),0)*(1+_15・B夜間)),0)</f>
        <v>432</v>
      </c>
      <c r="AF34" s="69"/>
    </row>
    <row r="35" spans="1:32" ht="16.5" customHeight="1" x14ac:dyDescent="0.3">
      <c r="A35" s="2">
        <v>15</v>
      </c>
      <c r="B35" s="2">
        <v>9587</v>
      </c>
      <c r="C35" s="60" t="s">
        <v>10330</v>
      </c>
      <c r="D35" s="1"/>
      <c r="E35" s="68"/>
      <c r="F35" s="70"/>
      <c r="G35" s="1"/>
      <c r="H35" s="68"/>
      <c r="I35" s="70"/>
      <c r="J35" s="74"/>
      <c r="K35" s="62"/>
      <c r="L35" s="62"/>
      <c r="M35" s="62"/>
      <c r="N35" s="62"/>
      <c r="O35" s="92"/>
      <c r="P35" s="85"/>
      <c r="Q35" s="64"/>
      <c r="R35" s="65"/>
      <c r="S35" s="99"/>
      <c r="T35" s="68"/>
      <c r="U35" s="76"/>
      <c r="V35" s="70"/>
      <c r="W35" s="78" t="s">
        <v>18059</v>
      </c>
      <c r="X35" s="62"/>
      <c r="Y35" s="63"/>
      <c r="Z35" s="75"/>
      <c r="AA35" s="67"/>
      <c r="AB35" s="68"/>
      <c r="AC35" s="76"/>
      <c r="AD35" s="70"/>
      <c r="AE35" s="228">
        <f>ROUND((_15_同援日０．５*(1+_15・盲ろう)),0)+ROUND((ROUND((_15_同援日０．５＿１．０*(1+_15・B夜間)),0)*(1+_15・盲ろう)),0)</f>
        <v>600</v>
      </c>
      <c r="AF35" s="69"/>
    </row>
    <row r="36" spans="1:32" ht="16.5" customHeight="1" x14ac:dyDescent="0.3">
      <c r="A36" s="2">
        <v>15</v>
      </c>
      <c r="B36" s="2">
        <v>9588</v>
      </c>
      <c r="C36" s="60" t="s">
        <v>10329</v>
      </c>
      <c r="D36" s="1"/>
      <c r="E36" s="68"/>
      <c r="F36" s="70"/>
      <c r="G36" s="1"/>
      <c r="H36" s="68"/>
      <c r="I36" s="70"/>
      <c r="J36" s="81"/>
      <c r="K36" s="57"/>
      <c r="L36" s="57"/>
      <c r="M36" s="57"/>
      <c r="N36" s="57"/>
      <c r="O36" s="89"/>
      <c r="P36" s="105" t="s">
        <v>5895</v>
      </c>
      <c r="Q36" s="64" t="s">
        <v>1</v>
      </c>
      <c r="R36" s="65">
        <v>1</v>
      </c>
      <c r="S36" s="99"/>
      <c r="T36" s="68"/>
      <c r="U36" s="76"/>
      <c r="V36" s="70"/>
      <c r="W36" s="94" t="s">
        <v>8083</v>
      </c>
      <c r="X36" s="68"/>
      <c r="Y36" s="76"/>
      <c r="Z36" s="70"/>
      <c r="AA36" s="67"/>
      <c r="AB36" s="68"/>
      <c r="AC36" s="76"/>
      <c r="AD36" s="70"/>
      <c r="AE36" s="228">
        <f>ROUND((ROUND((_15_同援日０．５*_15・２人),0)*(1+_15・盲ろう)),0)+ROUND((ROUND((ROUND((_15_同援日０．５＿１．０*_15・２人),0)*(1+_15・B夜間)),0)*(1+_15・盲ろう)),0)</f>
        <v>600</v>
      </c>
      <c r="AF36" s="69"/>
    </row>
    <row r="37" spans="1:32" ht="16.5" customHeight="1" x14ac:dyDescent="0.3">
      <c r="A37" s="2">
        <v>15</v>
      </c>
      <c r="B37" s="2">
        <v>9589</v>
      </c>
      <c r="C37" s="60" t="s">
        <v>10328</v>
      </c>
      <c r="D37" s="1"/>
      <c r="E37" s="68"/>
      <c r="F37" s="70"/>
      <c r="G37" s="1"/>
      <c r="H37" s="68"/>
      <c r="I37" s="70"/>
      <c r="J37" s="74" t="s">
        <v>18069</v>
      </c>
      <c r="K37" s="62"/>
      <c r="L37" s="62"/>
      <c r="M37" s="62"/>
      <c r="N37" s="62"/>
      <c r="O37" s="92"/>
      <c r="P37" s="85"/>
      <c r="Q37" s="64"/>
      <c r="R37" s="65"/>
      <c r="S37" s="99"/>
      <c r="T37" s="68"/>
      <c r="U37" s="76"/>
      <c r="V37" s="70"/>
      <c r="W37" s="67"/>
      <c r="X37" s="68" t="s">
        <v>1</v>
      </c>
      <c r="Y37" s="76">
        <v>0.25</v>
      </c>
      <c r="Z37" s="70" t="s">
        <v>422</v>
      </c>
      <c r="AA37" s="67"/>
      <c r="AB37" s="68"/>
      <c r="AC37" s="76"/>
      <c r="AD37" s="70"/>
      <c r="AE37" s="228">
        <f>ROUND((ROUND((_15_同援日０．５*_15・基礎２),0)*(1+_15・盲ろう)),0)+ROUND((ROUND((ROUND((_15_同援日０．５＿１．０*_15・基礎２),0)*(1+_15・B夜間)),0)*(1+_15・盲ろう)),0)</f>
        <v>541</v>
      </c>
      <c r="AF37" s="69"/>
    </row>
    <row r="38" spans="1:32" ht="16.5" customHeight="1" x14ac:dyDescent="0.3">
      <c r="A38" s="2">
        <v>15</v>
      </c>
      <c r="B38" s="2">
        <v>9590</v>
      </c>
      <c r="C38" s="60" t="s">
        <v>10327</v>
      </c>
      <c r="D38" s="1"/>
      <c r="E38" s="68"/>
      <c r="F38" s="70"/>
      <c r="G38" s="1"/>
      <c r="H38" s="68"/>
      <c r="I38" s="70"/>
      <c r="J38" s="81"/>
      <c r="K38" s="57"/>
      <c r="L38" s="57"/>
      <c r="M38" s="57"/>
      <c r="N38" s="57" t="s">
        <v>1</v>
      </c>
      <c r="O38" s="89">
        <v>0.9</v>
      </c>
      <c r="P38" s="105" t="s">
        <v>5895</v>
      </c>
      <c r="Q38" s="64" t="s">
        <v>1</v>
      </c>
      <c r="R38" s="65">
        <v>1</v>
      </c>
      <c r="S38" s="99"/>
      <c r="T38" s="68"/>
      <c r="U38" s="76"/>
      <c r="V38" s="70"/>
      <c r="W38" s="66"/>
      <c r="X38" s="57"/>
      <c r="Y38" s="58"/>
      <c r="Z38" s="77"/>
      <c r="AA38" s="66"/>
      <c r="AB38" s="57"/>
      <c r="AC38" s="58"/>
      <c r="AD38" s="77"/>
      <c r="AE38" s="228">
        <f>ROUND((ROUND((ROUND((_15_同援日０．５*_15・基礎２),0)*_15・２人),0)*(1+_15・盲ろう)),0)+ROUND((ROUND((ROUND((ROUND((_15_同援日０．５＿１．０*_15・基礎２),0)*_15・２人),0)*(1+_15・B夜間)),0)*(1+_15・盲ろう)),0)</f>
        <v>541</v>
      </c>
      <c r="AF38" s="69"/>
    </row>
    <row r="39" spans="1:32" ht="16.5" customHeight="1" x14ac:dyDescent="0.3">
      <c r="A39" s="2">
        <v>15</v>
      </c>
      <c r="B39" s="2">
        <v>9591</v>
      </c>
      <c r="C39" s="60" t="s">
        <v>10326</v>
      </c>
      <c r="D39" s="1"/>
      <c r="E39" s="68"/>
      <c r="F39" s="70"/>
      <c r="G39" s="1"/>
      <c r="H39" s="68"/>
      <c r="I39" s="70"/>
      <c r="J39" s="74"/>
      <c r="K39" s="62"/>
      <c r="L39" s="62"/>
      <c r="M39" s="62"/>
      <c r="N39" s="62"/>
      <c r="O39" s="92"/>
      <c r="P39" s="85"/>
      <c r="Q39" s="64"/>
      <c r="R39" s="65"/>
      <c r="S39" s="99"/>
      <c r="T39" s="68"/>
      <c r="U39" s="76"/>
      <c r="V39" s="70"/>
      <c r="W39" s="61"/>
      <c r="X39" s="62"/>
      <c r="Y39" s="63"/>
      <c r="Z39" s="75"/>
      <c r="AA39" s="61"/>
      <c r="AB39" s="62"/>
      <c r="AC39" s="63"/>
      <c r="AD39" s="75"/>
      <c r="AE39" s="228">
        <f>ROUND((_15_同援日０．５*(1+_15・区３)),0)+ROUND((ROUND((_15_同援日０．５＿１．０*(1+_15・B夜間)),0)*(1+_15・区３)),0)</f>
        <v>576</v>
      </c>
      <c r="AF39" s="69"/>
    </row>
    <row r="40" spans="1:32" ht="16.5" customHeight="1" x14ac:dyDescent="0.3">
      <c r="A40" s="2">
        <v>15</v>
      </c>
      <c r="B40" s="2">
        <v>9592</v>
      </c>
      <c r="C40" s="60" t="s">
        <v>10325</v>
      </c>
      <c r="D40" s="1"/>
      <c r="E40" s="68"/>
      <c r="F40" s="70"/>
      <c r="G40" s="1"/>
      <c r="H40" s="68"/>
      <c r="I40" s="70"/>
      <c r="J40" s="81"/>
      <c r="K40" s="57"/>
      <c r="L40" s="57"/>
      <c r="M40" s="57"/>
      <c r="N40" s="57"/>
      <c r="O40" s="89"/>
      <c r="P40" s="105" t="s">
        <v>5895</v>
      </c>
      <c r="Q40" s="64" t="s">
        <v>1</v>
      </c>
      <c r="R40" s="65">
        <v>1</v>
      </c>
      <c r="S40" s="99"/>
      <c r="T40" s="68"/>
      <c r="U40" s="76"/>
      <c r="V40" s="70"/>
      <c r="W40" s="67"/>
      <c r="X40" s="68"/>
      <c r="Y40" s="76"/>
      <c r="Z40" s="70"/>
      <c r="AA40" s="67"/>
      <c r="AB40" s="68"/>
      <c r="AC40" s="76"/>
      <c r="AD40" s="70"/>
      <c r="AE40" s="228">
        <f>ROUND((ROUND((_15_同援日０．５*_15・２人),0)*(1+_15・区３)),0)+ROUND((ROUND((ROUND((_15_同援日０．５＿１．０*_15・２人),0)*(1+_15・B夜間)),0)*(1+_15・区３)),0)</f>
        <v>576</v>
      </c>
      <c r="AF40" s="69"/>
    </row>
    <row r="41" spans="1:32" ht="16.5" customHeight="1" x14ac:dyDescent="0.3">
      <c r="A41" s="2">
        <v>15</v>
      </c>
      <c r="B41" s="2">
        <v>9593</v>
      </c>
      <c r="C41" s="60" t="s">
        <v>10324</v>
      </c>
      <c r="D41" s="1"/>
      <c r="E41" s="68"/>
      <c r="F41" s="70"/>
      <c r="G41" s="1"/>
      <c r="H41" s="68"/>
      <c r="I41" s="70"/>
      <c r="J41" s="74" t="s">
        <v>18069</v>
      </c>
      <c r="K41" s="62"/>
      <c r="L41" s="62"/>
      <c r="M41" s="62"/>
      <c r="N41" s="62"/>
      <c r="O41" s="92"/>
      <c r="P41" s="85"/>
      <c r="Q41" s="64"/>
      <c r="R41" s="65"/>
      <c r="S41" s="99"/>
      <c r="T41" s="68"/>
      <c r="U41" s="76"/>
      <c r="V41" s="70"/>
      <c r="W41" s="67"/>
      <c r="X41" s="68"/>
      <c r="Y41" s="76"/>
      <c r="Z41" s="70"/>
      <c r="AA41" s="1" t="s">
        <v>18062</v>
      </c>
      <c r="AB41" s="68"/>
      <c r="AC41" s="76"/>
      <c r="AD41" s="70"/>
      <c r="AE41" s="228">
        <f>ROUND((ROUND((_15_同援日０．５*_15・基礎２),0)*(1+_15・区３)),0)+ROUND((ROUND((ROUND((_15_同援日０．５＿１．０*_15・基礎２),0)*(1+_15・B夜間)),0)*(1+_15・区３)),0)</f>
        <v>518</v>
      </c>
      <c r="AF41" s="69"/>
    </row>
    <row r="42" spans="1:32" ht="16.5" customHeight="1" x14ac:dyDescent="0.3">
      <c r="A42" s="2">
        <v>15</v>
      </c>
      <c r="B42" s="2">
        <v>9594</v>
      </c>
      <c r="C42" s="60" t="s">
        <v>10323</v>
      </c>
      <c r="D42" s="1"/>
      <c r="E42" s="68"/>
      <c r="F42" s="70"/>
      <c r="G42" s="1"/>
      <c r="H42" s="68"/>
      <c r="I42" s="70"/>
      <c r="J42" s="81"/>
      <c r="K42" s="57"/>
      <c r="L42" s="57"/>
      <c r="M42" s="57"/>
      <c r="N42" s="57" t="s">
        <v>1</v>
      </c>
      <c r="O42" s="89">
        <v>0.9</v>
      </c>
      <c r="P42" s="105" t="s">
        <v>5895</v>
      </c>
      <c r="Q42" s="64" t="s">
        <v>1</v>
      </c>
      <c r="R42" s="65">
        <v>1</v>
      </c>
      <c r="S42" s="99"/>
      <c r="T42" s="68"/>
      <c r="U42" s="76"/>
      <c r="V42" s="70"/>
      <c r="W42" s="66"/>
      <c r="X42" s="57"/>
      <c r="Y42" s="58"/>
      <c r="Z42" s="77"/>
      <c r="AA42" s="1" t="s">
        <v>8087</v>
      </c>
      <c r="AB42" s="68"/>
      <c r="AC42" s="76"/>
      <c r="AD42" s="70"/>
      <c r="AE42" s="228">
        <f>ROUND((ROUND((ROUND((_15_同援日０．５*_15・基礎２),0)*_15・２人),0)*(1+_15・区３)),0)+ROUND((ROUND((ROUND((ROUND((_15_同援日０．５＿１．０*_15・基礎２),0)*_15・２人),0)*(1+_15・B夜間)),0)*(1+_15・区３)),0)</f>
        <v>518</v>
      </c>
      <c r="AF42" s="69"/>
    </row>
    <row r="43" spans="1:32" ht="16.5" customHeight="1" x14ac:dyDescent="0.3">
      <c r="A43" s="2">
        <v>15</v>
      </c>
      <c r="B43" s="2">
        <v>9595</v>
      </c>
      <c r="C43" s="60" t="s">
        <v>10322</v>
      </c>
      <c r="D43" s="1"/>
      <c r="E43" s="68"/>
      <c r="F43" s="70"/>
      <c r="G43" s="1"/>
      <c r="H43" s="68"/>
      <c r="I43" s="70"/>
      <c r="J43" s="74"/>
      <c r="K43" s="62"/>
      <c r="L43" s="62"/>
      <c r="M43" s="62"/>
      <c r="N43" s="62"/>
      <c r="O43" s="92"/>
      <c r="P43" s="85"/>
      <c r="Q43" s="64"/>
      <c r="R43" s="65"/>
      <c r="S43" s="99"/>
      <c r="T43" s="68"/>
      <c r="U43" s="76"/>
      <c r="V43" s="70"/>
      <c r="W43" s="78" t="s">
        <v>8085</v>
      </c>
      <c r="X43" s="62"/>
      <c r="Y43" s="63"/>
      <c r="Z43" s="75"/>
      <c r="AA43" s="67"/>
      <c r="AB43" s="68" t="s">
        <v>1</v>
      </c>
      <c r="AC43" s="76">
        <v>0.2</v>
      </c>
      <c r="AD43" s="70" t="s">
        <v>422</v>
      </c>
      <c r="AE43" s="228">
        <f>ROUND((ROUND((_15_同援日０．５*(1+_15・盲ろう)),0)*(1+_15・区３)),0)+ROUND((ROUND((ROUND((_15_同援日０．５＿１．０*(1+_15・B夜間)),0)*(1+_15・盲ろう)),0)*(1+_15・区３)),0)</f>
        <v>720</v>
      </c>
      <c r="AF43" s="69"/>
    </row>
    <row r="44" spans="1:32" ht="16.5" customHeight="1" x14ac:dyDescent="0.3">
      <c r="A44" s="2">
        <v>15</v>
      </c>
      <c r="B44" s="2">
        <v>9596</v>
      </c>
      <c r="C44" s="60" t="s">
        <v>10321</v>
      </c>
      <c r="D44" s="1"/>
      <c r="E44" s="68"/>
      <c r="F44" s="70"/>
      <c r="G44" s="1"/>
      <c r="H44" s="68"/>
      <c r="I44" s="70"/>
      <c r="J44" s="81"/>
      <c r="K44" s="57"/>
      <c r="L44" s="57"/>
      <c r="M44" s="57"/>
      <c r="N44" s="57"/>
      <c r="O44" s="89"/>
      <c r="P44" s="105" t="s">
        <v>5895</v>
      </c>
      <c r="Q44" s="64" t="s">
        <v>1</v>
      </c>
      <c r="R44" s="65">
        <v>1</v>
      </c>
      <c r="S44" s="99"/>
      <c r="T44" s="68"/>
      <c r="U44" s="76"/>
      <c r="V44" s="70"/>
      <c r="W44" s="94" t="s">
        <v>18058</v>
      </c>
      <c r="X44" s="68"/>
      <c r="Y44" s="76"/>
      <c r="Z44" s="70"/>
      <c r="AA44" s="67"/>
      <c r="AB44" s="68"/>
      <c r="AC44" s="76"/>
      <c r="AD44" s="70"/>
      <c r="AE44" s="228">
        <f>ROUND((ROUND((ROUND((_15_同援日０．５*_15・２人),0)*(1+_15・盲ろう)),0)*(1+_15・区３)),0)+ROUND((ROUND((ROUND((ROUND((_15_同援日０．５＿１．０*_15・２人),0)*(1+_15・B夜間)),0)*(1+_15・盲ろう)),0)*(1+_15・区３)),0)</f>
        <v>720</v>
      </c>
      <c r="AF44" s="69"/>
    </row>
    <row r="45" spans="1:32" ht="16.5" customHeight="1" x14ac:dyDescent="0.3">
      <c r="A45" s="2">
        <v>15</v>
      </c>
      <c r="B45" s="2">
        <v>9597</v>
      </c>
      <c r="C45" s="60" t="s">
        <v>10320</v>
      </c>
      <c r="D45" s="1"/>
      <c r="E45" s="68"/>
      <c r="F45" s="70"/>
      <c r="G45" s="1"/>
      <c r="H45" s="68"/>
      <c r="I45" s="70"/>
      <c r="J45" s="74" t="s">
        <v>18069</v>
      </c>
      <c r="K45" s="62"/>
      <c r="L45" s="62"/>
      <c r="M45" s="62"/>
      <c r="N45" s="62"/>
      <c r="O45" s="92"/>
      <c r="P45" s="85"/>
      <c r="Q45" s="64"/>
      <c r="R45" s="65"/>
      <c r="S45" s="99"/>
      <c r="T45" s="68"/>
      <c r="U45" s="76"/>
      <c r="V45" s="70"/>
      <c r="W45" s="67"/>
      <c r="X45" s="68" t="s">
        <v>1</v>
      </c>
      <c r="Y45" s="76">
        <v>0.25</v>
      </c>
      <c r="Z45" s="70" t="s">
        <v>422</v>
      </c>
      <c r="AA45" s="67"/>
      <c r="AB45" s="68"/>
      <c r="AC45" s="76"/>
      <c r="AD45" s="70"/>
      <c r="AE45" s="228">
        <f>ROUND((ROUND((ROUND((_15_同援日０．５*_15・基礎２),0)*(1+_15・盲ろう)),0)*(1+_15・区３)),0)+ROUND((ROUND((ROUND((ROUND((_15_同援日０．５＿１．０*_15・基礎２),0)*(1+_15・B夜間)),0)*(1+_15・盲ろう)),0)*(1+_15・区３)),0)</f>
        <v>650</v>
      </c>
      <c r="AF45" s="69"/>
    </row>
    <row r="46" spans="1:32" ht="16.5" customHeight="1" x14ac:dyDescent="0.3">
      <c r="A46" s="2">
        <v>15</v>
      </c>
      <c r="B46" s="2">
        <v>9598</v>
      </c>
      <c r="C46" s="60" t="s">
        <v>10319</v>
      </c>
      <c r="D46" s="1"/>
      <c r="E46" s="68"/>
      <c r="F46" s="70"/>
      <c r="G46" s="1"/>
      <c r="H46" s="68"/>
      <c r="I46" s="70"/>
      <c r="J46" s="81"/>
      <c r="K46" s="57"/>
      <c r="L46" s="57"/>
      <c r="M46" s="57"/>
      <c r="N46" s="57" t="s">
        <v>1</v>
      </c>
      <c r="O46" s="89">
        <v>0.9</v>
      </c>
      <c r="P46" s="105" t="s">
        <v>5895</v>
      </c>
      <c r="Q46" s="64" t="s">
        <v>1</v>
      </c>
      <c r="R46" s="65">
        <v>1</v>
      </c>
      <c r="S46" s="99"/>
      <c r="T46" s="68"/>
      <c r="U46" s="76"/>
      <c r="V46" s="70"/>
      <c r="W46" s="66"/>
      <c r="X46" s="57"/>
      <c r="Y46" s="58"/>
      <c r="Z46" s="77"/>
      <c r="AA46" s="66"/>
      <c r="AB46" s="57"/>
      <c r="AC46" s="58"/>
      <c r="AD46" s="77"/>
      <c r="AE46" s="228">
        <f>ROUND((ROUND((ROUND((ROUND((_15_同援日０．５*_15・基礎２),0)*_15・２人),0)*(1+_15・盲ろう)),0)*(1+_15・区３)),0)+ROUND((ROUND((ROUND((ROUND((ROUND((_15_同援日０．５＿１．０*_15・基礎２),0)*_15・２人),0)*(1+_15・B夜間)),0)*(1+_15・盲ろう)),0)*(1+_15・区３)),0)</f>
        <v>650</v>
      </c>
      <c r="AF46" s="69"/>
    </row>
    <row r="47" spans="1:32" ht="16.5" customHeight="1" x14ac:dyDescent="0.3">
      <c r="A47" s="2">
        <v>15</v>
      </c>
      <c r="B47" s="2">
        <v>9599</v>
      </c>
      <c r="C47" s="60" t="s">
        <v>10318</v>
      </c>
      <c r="D47" s="1"/>
      <c r="E47" s="68"/>
      <c r="F47" s="70"/>
      <c r="G47" s="1"/>
      <c r="H47" s="68"/>
      <c r="I47" s="70"/>
      <c r="J47" s="74"/>
      <c r="K47" s="62"/>
      <c r="L47" s="62"/>
      <c r="M47" s="62"/>
      <c r="N47" s="62"/>
      <c r="O47" s="92"/>
      <c r="P47" s="85"/>
      <c r="Q47" s="64"/>
      <c r="R47" s="65"/>
      <c r="S47" s="99"/>
      <c r="T47" s="68"/>
      <c r="U47" s="76"/>
      <c r="V47" s="70"/>
      <c r="W47" s="61"/>
      <c r="X47" s="62"/>
      <c r="Y47" s="63"/>
      <c r="Z47" s="75"/>
      <c r="AA47" s="61"/>
      <c r="AB47" s="62"/>
      <c r="AC47" s="63"/>
      <c r="AD47" s="75"/>
      <c r="AE47" s="228">
        <f>ROUND((_15_同援日０．５*(1+_15・区４)),0)+ROUND((ROUND((_15_同援日０．５＿１．０*(1+_15・B夜間)),0)*(1+_15・区４)),0)</f>
        <v>672</v>
      </c>
      <c r="AF47" s="69"/>
    </row>
    <row r="48" spans="1:32" ht="16.5" customHeight="1" x14ac:dyDescent="0.3">
      <c r="A48" s="2">
        <v>15</v>
      </c>
      <c r="B48" s="2">
        <v>9600</v>
      </c>
      <c r="C48" s="60" t="s">
        <v>10317</v>
      </c>
      <c r="D48" s="1"/>
      <c r="E48" s="68"/>
      <c r="F48" s="70"/>
      <c r="G48" s="1"/>
      <c r="H48" s="68"/>
      <c r="I48" s="70"/>
      <c r="J48" s="81"/>
      <c r="K48" s="57"/>
      <c r="L48" s="57"/>
      <c r="M48" s="57"/>
      <c r="N48" s="57"/>
      <c r="O48" s="89"/>
      <c r="P48" s="105" t="s">
        <v>5895</v>
      </c>
      <c r="Q48" s="64" t="s">
        <v>1</v>
      </c>
      <c r="R48" s="65">
        <v>1</v>
      </c>
      <c r="S48" s="99"/>
      <c r="T48" s="68"/>
      <c r="U48" s="76"/>
      <c r="V48" s="70"/>
      <c r="W48" s="67"/>
      <c r="X48" s="68"/>
      <c r="Y48" s="76"/>
      <c r="Z48" s="70"/>
      <c r="AA48" s="67"/>
      <c r="AB48" s="68"/>
      <c r="AC48" s="76"/>
      <c r="AD48" s="70"/>
      <c r="AE48" s="228">
        <f>ROUND((ROUND((_15_同援日０．５*_15・２人),0)*(1+_15・区４)),0)+ROUND((ROUND((ROUND((_15_同援日０．５＿１．０*_15・２人),0)*(1+_15・B夜間)),0)*(1+_15・区４)),0)</f>
        <v>672</v>
      </c>
      <c r="AF48" s="69"/>
    </row>
    <row r="49" spans="1:32" ht="16.5" customHeight="1" x14ac:dyDescent="0.3">
      <c r="A49" s="2">
        <v>15</v>
      </c>
      <c r="B49" s="2">
        <v>9601</v>
      </c>
      <c r="C49" s="60" t="s">
        <v>10316</v>
      </c>
      <c r="D49" s="1"/>
      <c r="E49" s="68"/>
      <c r="F49" s="70"/>
      <c r="G49" s="1"/>
      <c r="H49" s="68"/>
      <c r="I49" s="70"/>
      <c r="J49" s="74" t="s">
        <v>18069</v>
      </c>
      <c r="K49" s="62"/>
      <c r="L49" s="62"/>
      <c r="M49" s="62"/>
      <c r="N49" s="62"/>
      <c r="O49" s="92"/>
      <c r="P49" s="85"/>
      <c r="Q49" s="64"/>
      <c r="R49" s="65"/>
      <c r="S49" s="99"/>
      <c r="T49" s="68"/>
      <c r="U49" s="76"/>
      <c r="V49" s="70"/>
      <c r="W49" s="67"/>
      <c r="X49" s="68"/>
      <c r="Y49" s="76"/>
      <c r="Z49" s="70"/>
      <c r="AA49" s="1" t="s">
        <v>8089</v>
      </c>
      <c r="AB49" s="68"/>
      <c r="AC49" s="76"/>
      <c r="AD49" s="70"/>
      <c r="AE49" s="228">
        <f>ROUND((ROUND((_15_同援日０．５*_15・基礎２),0)*(1+_15・区４)),0)+ROUND((ROUND((ROUND((_15_同援日０．５＿１．０*_15・基礎２),0)*(1+_15・B夜間)),0)*(1+_15・区４)),0)</f>
        <v>604</v>
      </c>
      <c r="AF49" s="69"/>
    </row>
    <row r="50" spans="1:32" ht="16.5" customHeight="1" x14ac:dyDescent="0.3">
      <c r="A50" s="2">
        <v>15</v>
      </c>
      <c r="B50" s="2">
        <v>9602</v>
      </c>
      <c r="C50" s="60" t="s">
        <v>10315</v>
      </c>
      <c r="D50" s="1"/>
      <c r="E50" s="68"/>
      <c r="F50" s="70"/>
      <c r="G50" s="1"/>
      <c r="H50" s="68"/>
      <c r="I50" s="70"/>
      <c r="J50" s="81"/>
      <c r="K50" s="57"/>
      <c r="L50" s="57"/>
      <c r="M50" s="57"/>
      <c r="N50" s="57" t="s">
        <v>1</v>
      </c>
      <c r="O50" s="89">
        <v>0.9</v>
      </c>
      <c r="P50" s="105" t="s">
        <v>5895</v>
      </c>
      <c r="Q50" s="64" t="s">
        <v>1</v>
      </c>
      <c r="R50" s="65">
        <v>1</v>
      </c>
      <c r="S50" s="99"/>
      <c r="T50" s="68"/>
      <c r="U50" s="76"/>
      <c r="V50" s="70"/>
      <c r="W50" s="66"/>
      <c r="X50" s="57"/>
      <c r="Y50" s="58"/>
      <c r="Z50" s="77"/>
      <c r="AA50" s="1" t="s">
        <v>18060</v>
      </c>
      <c r="AB50" s="68"/>
      <c r="AC50" s="76"/>
      <c r="AD50" s="70"/>
      <c r="AE50" s="228">
        <f>ROUND((ROUND((ROUND((_15_同援日０．５*_15・基礎２),0)*_15・２人),0)*(1+_15・区４)),0)+ROUND((ROUND((ROUND((ROUND((_15_同援日０．５＿１．０*_15・基礎２),0)*_15・２人),0)*(1+_15・B夜間)),0)*(1+_15・区４)),0)</f>
        <v>604</v>
      </c>
      <c r="AF50" s="69"/>
    </row>
    <row r="51" spans="1:32" ht="16.5" customHeight="1" x14ac:dyDescent="0.3">
      <c r="A51" s="2">
        <v>15</v>
      </c>
      <c r="B51" s="2">
        <v>9603</v>
      </c>
      <c r="C51" s="60" t="s">
        <v>10314</v>
      </c>
      <c r="D51" s="1"/>
      <c r="E51" s="68"/>
      <c r="F51" s="70"/>
      <c r="G51" s="1"/>
      <c r="H51" s="68"/>
      <c r="I51" s="70"/>
      <c r="J51" s="74"/>
      <c r="K51" s="62"/>
      <c r="L51" s="62"/>
      <c r="M51" s="62"/>
      <c r="N51" s="62"/>
      <c r="O51" s="92"/>
      <c r="P51" s="85"/>
      <c r="Q51" s="64"/>
      <c r="R51" s="65"/>
      <c r="S51" s="99"/>
      <c r="T51" s="68"/>
      <c r="U51" s="76"/>
      <c r="V51" s="70"/>
      <c r="W51" s="78" t="s">
        <v>18059</v>
      </c>
      <c r="X51" s="62"/>
      <c r="Y51" s="63"/>
      <c r="Z51" s="75"/>
      <c r="AA51" s="67"/>
      <c r="AB51" s="68" t="s">
        <v>1</v>
      </c>
      <c r="AC51" s="76">
        <v>0.4</v>
      </c>
      <c r="AD51" s="70" t="s">
        <v>422</v>
      </c>
      <c r="AE51" s="228">
        <f>ROUND((ROUND((_15_同援日０．５*(1+_15・盲ろう)),0)*(1+_15・区４)),0)+ROUND((ROUND((ROUND((_15_同援日０．５＿１．０*(1+_15・B夜間)),0)*(1+_15・盲ろう)),0)*(1+_15・区４)),0)</f>
        <v>840</v>
      </c>
      <c r="AF51" s="69"/>
    </row>
    <row r="52" spans="1:32" ht="16.5" customHeight="1" x14ac:dyDescent="0.3">
      <c r="A52" s="2">
        <v>15</v>
      </c>
      <c r="B52" s="2">
        <v>9604</v>
      </c>
      <c r="C52" s="60" t="s">
        <v>10313</v>
      </c>
      <c r="D52" s="1"/>
      <c r="E52" s="68"/>
      <c r="F52" s="70"/>
      <c r="G52" s="1"/>
      <c r="H52" s="68"/>
      <c r="I52" s="70"/>
      <c r="J52" s="81"/>
      <c r="K52" s="57"/>
      <c r="L52" s="57"/>
      <c r="M52" s="57"/>
      <c r="N52" s="57"/>
      <c r="O52" s="89"/>
      <c r="P52" s="105" t="s">
        <v>5895</v>
      </c>
      <c r="Q52" s="64" t="s">
        <v>1</v>
      </c>
      <c r="R52" s="65">
        <v>1</v>
      </c>
      <c r="S52" s="99"/>
      <c r="T52" s="68"/>
      <c r="U52" s="76"/>
      <c r="V52" s="70"/>
      <c r="W52" s="94" t="s">
        <v>8083</v>
      </c>
      <c r="X52" s="68"/>
      <c r="Y52" s="76"/>
      <c r="Z52" s="70"/>
      <c r="AA52" s="67"/>
      <c r="AB52" s="68"/>
      <c r="AC52" s="76"/>
      <c r="AD52" s="70"/>
      <c r="AE52" s="228">
        <f>ROUND((ROUND((ROUND((_15_同援日０．５*_15・２人),0)*(1+_15・盲ろう)),0)*(1+_15・区４)),0)+ROUND((ROUND((ROUND((ROUND((_15_同援日０．５＿１．０*_15・２人),0)*(1+_15・B夜間)),0)*(1+_15・盲ろう)),0)*(1+_15・区４)),0)</f>
        <v>840</v>
      </c>
      <c r="AF52" s="69"/>
    </row>
    <row r="53" spans="1:32" ht="16.5" customHeight="1" x14ac:dyDescent="0.3">
      <c r="A53" s="2">
        <v>15</v>
      </c>
      <c r="B53" s="2">
        <v>9605</v>
      </c>
      <c r="C53" s="60" t="s">
        <v>10312</v>
      </c>
      <c r="D53" s="1"/>
      <c r="E53" s="68"/>
      <c r="F53" s="70"/>
      <c r="G53" s="1"/>
      <c r="H53" s="68"/>
      <c r="I53" s="70"/>
      <c r="J53" s="74" t="s">
        <v>6260</v>
      </c>
      <c r="K53" s="62"/>
      <c r="L53" s="62"/>
      <c r="M53" s="62"/>
      <c r="N53" s="62"/>
      <c r="O53" s="92"/>
      <c r="P53" s="85"/>
      <c r="Q53" s="64"/>
      <c r="R53" s="65"/>
      <c r="S53" s="99"/>
      <c r="T53" s="68"/>
      <c r="U53" s="76"/>
      <c r="V53" s="70"/>
      <c r="W53" s="67"/>
      <c r="X53" s="68" t="s">
        <v>1</v>
      </c>
      <c r="Y53" s="76">
        <v>0.25</v>
      </c>
      <c r="Z53" s="70" t="s">
        <v>422</v>
      </c>
      <c r="AA53" s="67"/>
      <c r="AB53" s="68"/>
      <c r="AC53" s="76"/>
      <c r="AD53" s="70"/>
      <c r="AE53" s="228">
        <f>ROUND((ROUND((ROUND((_15_同援日０．５*_15・基礎２),0)*(1+_15・盲ろう)),0)*(1+_15・区４)),0)+ROUND((ROUND((ROUND((ROUND((_15_同援日０．５＿１．０*_15・基礎２),0)*(1+_15・B夜間)),0)*(1+_15・盲ろう)),0)*(1+_15・区４)),0)</f>
        <v>757</v>
      </c>
      <c r="AF53" s="69"/>
    </row>
    <row r="54" spans="1:32" ht="16.5" customHeight="1" x14ac:dyDescent="0.3">
      <c r="A54" s="2">
        <v>15</v>
      </c>
      <c r="B54" s="2">
        <v>9606</v>
      </c>
      <c r="C54" s="60" t="s">
        <v>10311</v>
      </c>
      <c r="D54" s="1"/>
      <c r="E54" s="68"/>
      <c r="F54" s="70"/>
      <c r="G54" s="81"/>
      <c r="H54" s="57"/>
      <c r="I54" s="77"/>
      <c r="J54" s="81"/>
      <c r="K54" s="57"/>
      <c r="L54" s="57"/>
      <c r="M54" s="57"/>
      <c r="N54" s="57" t="s">
        <v>1</v>
      </c>
      <c r="O54" s="89">
        <v>0.9</v>
      </c>
      <c r="P54" s="105" t="s">
        <v>5895</v>
      </c>
      <c r="Q54" s="64" t="s">
        <v>1</v>
      </c>
      <c r="R54" s="65">
        <v>1</v>
      </c>
      <c r="S54" s="99"/>
      <c r="T54" s="68"/>
      <c r="U54" s="76"/>
      <c r="V54" s="70"/>
      <c r="W54" s="66"/>
      <c r="X54" s="57"/>
      <c r="Y54" s="58"/>
      <c r="Z54" s="77"/>
      <c r="AA54" s="66"/>
      <c r="AB54" s="57"/>
      <c r="AC54" s="58"/>
      <c r="AD54" s="77"/>
      <c r="AE54" s="228">
        <f>ROUND((ROUND((ROUND((ROUND((_15_同援日０．５*_15・基礎２),0)*_15・２人),0)*(1+_15・盲ろう)),0)*(1+_15・区４)),0)+ROUND((ROUND((ROUND((ROUND((ROUND((_15_同援日０．５＿１．０*_15・基礎２),0)*_15・２人),0)*(1+_15・B夜間)),0)*(1+_15・盲ろう)),0)*(1+_15・区４)),0)</f>
        <v>757</v>
      </c>
      <c r="AF54" s="69"/>
    </row>
    <row r="55" spans="1:32" ht="16.5" customHeight="1" x14ac:dyDescent="0.3">
      <c r="A55" s="2">
        <v>15</v>
      </c>
      <c r="B55" s="2">
        <v>9607</v>
      </c>
      <c r="C55" s="60" t="s">
        <v>10310</v>
      </c>
      <c r="D55" s="1"/>
      <c r="E55" s="68"/>
      <c r="F55" s="70"/>
      <c r="G55" s="233" t="s">
        <v>6032</v>
      </c>
      <c r="H55" s="62"/>
      <c r="I55" s="75"/>
      <c r="J55" s="74"/>
      <c r="K55" s="62"/>
      <c r="L55" s="62"/>
      <c r="M55" s="62"/>
      <c r="N55" s="62"/>
      <c r="O55" s="92"/>
      <c r="P55" s="85"/>
      <c r="Q55" s="64"/>
      <c r="R55" s="65"/>
      <c r="S55" s="99"/>
      <c r="T55" s="68"/>
      <c r="U55" s="76"/>
      <c r="V55" s="70"/>
      <c r="W55" s="61"/>
      <c r="X55" s="62"/>
      <c r="Y55" s="63"/>
      <c r="Z55" s="75"/>
      <c r="AA55" s="61"/>
      <c r="AB55" s="62"/>
      <c r="AC55" s="63"/>
      <c r="AD55" s="75"/>
      <c r="AE55" s="228">
        <f>_15_同援日０．５+ROUND((_15_同援日０．５＿１．５*(1+_15・B夜間)),0)</f>
        <v>560</v>
      </c>
      <c r="AF55" s="69"/>
    </row>
    <row r="56" spans="1:32" ht="16.5" customHeight="1" x14ac:dyDescent="0.3">
      <c r="A56" s="2">
        <v>15</v>
      </c>
      <c r="B56" s="2">
        <v>9608</v>
      </c>
      <c r="C56" s="60" t="s">
        <v>10309</v>
      </c>
      <c r="D56" s="1"/>
      <c r="E56" s="68"/>
      <c r="F56" s="70"/>
      <c r="G56" s="1" t="s">
        <v>5987</v>
      </c>
      <c r="H56" s="68"/>
      <c r="I56" s="70"/>
      <c r="J56" s="81"/>
      <c r="K56" s="57"/>
      <c r="L56" s="57"/>
      <c r="M56" s="57"/>
      <c r="N56" s="57"/>
      <c r="O56" s="89"/>
      <c r="P56" s="105" t="s">
        <v>5895</v>
      </c>
      <c r="Q56" s="64" t="s">
        <v>1</v>
      </c>
      <c r="R56" s="65">
        <v>1</v>
      </c>
      <c r="S56" s="99"/>
      <c r="T56" s="68"/>
      <c r="U56" s="76"/>
      <c r="V56" s="70"/>
      <c r="W56" s="67"/>
      <c r="X56" s="68"/>
      <c r="Y56" s="76"/>
      <c r="Z56" s="70"/>
      <c r="AA56" s="67"/>
      <c r="AB56" s="68"/>
      <c r="AC56" s="76"/>
      <c r="AD56" s="70"/>
      <c r="AE56" s="228">
        <f>ROUND((_15_同援日０．５*_15・２人),0)+ROUND((ROUND((_15_同援日０．５＿１．５*_15・２人),0)*(1+_15・B夜間)),0)</f>
        <v>560</v>
      </c>
      <c r="AF56" s="69"/>
    </row>
    <row r="57" spans="1:32" ht="16.5" customHeight="1" x14ac:dyDescent="0.3">
      <c r="A57" s="2">
        <v>15</v>
      </c>
      <c r="B57" s="2">
        <v>9609</v>
      </c>
      <c r="C57" s="60" t="s">
        <v>10308</v>
      </c>
      <c r="D57" s="1"/>
      <c r="E57" s="68"/>
      <c r="F57" s="70"/>
      <c r="G57" s="1" t="s">
        <v>8767</v>
      </c>
      <c r="H57" s="68"/>
      <c r="I57" s="70"/>
      <c r="J57" s="74" t="s">
        <v>18069</v>
      </c>
      <c r="K57" s="62"/>
      <c r="L57" s="62"/>
      <c r="M57" s="62"/>
      <c r="N57" s="62"/>
      <c r="O57" s="92"/>
      <c r="P57" s="85"/>
      <c r="Q57" s="64"/>
      <c r="R57" s="65"/>
      <c r="S57" s="99"/>
      <c r="T57" s="68"/>
      <c r="U57" s="76"/>
      <c r="V57" s="70"/>
      <c r="W57" s="67"/>
      <c r="X57" s="68"/>
      <c r="Y57" s="76"/>
      <c r="Z57" s="70"/>
      <c r="AA57" s="67"/>
      <c r="AB57" s="68"/>
      <c r="AC57" s="76"/>
      <c r="AD57" s="70"/>
      <c r="AE57" s="228">
        <f>ROUND((_15_同援日０．５*_15・基礎２),0)+ROUND((ROUND((_15_同援日０．５＿１．５*_15・基礎２),0)*(1+_15・B夜間)),0)</f>
        <v>505</v>
      </c>
      <c r="AF57" s="69"/>
    </row>
    <row r="58" spans="1:32" ht="16.5" customHeight="1" x14ac:dyDescent="0.3">
      <c r="A58" s="2">
        <v>15</v>
      </c>
      <c r="B58" s="2">
        <v>9610</v>
      </c>
      <c r="C58" s="60" t="s">
        <v>10307</v>
      </c>
      <c r="D58" s="1"/>
      <c r="E58" s="68"/>
      <c r="F58" s="70"/>
      <c r="G58" s="1"/>
      <c r="H58" s="227">
        <v>301</v>
      </c>
      <c r="I58" s="70" t="s">
        <v>0</v>
      </c>
      <c r="J58" s="81"/>
      <c r="K58" s="57"/>
      <c r="L58" s="57"/>
      <c r="M58" s="57"/>
      <c r="N58" s="57" t="s">
        <v>1</v>
      </c>
      <c r="O58" s="89">
        <v>0.9</v>
      </c>
      <c r="P58" s="105" t="s">
        <v>5895</v>
      </c>
      <c r="Q58" s="64" t="s">
        <v>1</v>
      </c>
      <c r="R58" s="65">
        <v>1</v>
      </c>
      <c r="S58" s="99"/>
      <c r="T58" s="68"/>
      <c r="U58" s="76"/>
      <c r="V58" s="70"/>
      <c r="W58" s="66"/>
      <c r="X58" s="57"/>
      <c r="Y58" s="58"/>
      <c r="Z58" s="77"/>
      <c r="AA58" s="67"/>
      <c r="AB58" s="68"/>
      <c r="AC58" s="76"/>
      <c r="AD58" s="70"/>
      <c r="AE58" s="228">
        <f>ROUND((ROUND((_15_同援日０．５*_15・基礎２),0)*_15・２人),0)+ROUND((ROUND((ROUND((_15_同援日０．５＿１．５*_15・基礎２),0)*_15・２人),0)*(1+_15・B夜間)),0)</f>
        <v>505</v>
      </c>
      <c r="AF58" s="69"/>
    </row>
    <row r="59" spans="1:32" ht="16.5" customHeight="1" x14ac:dyDescent="0.3">
      <c r="A59" s="2">
        <v>15</v>
      </c>
      <c r="B59" s="2">
        <v>9611</v>
      </c>
      <c r="C59" s="60" t="s">
        <v>10306</v>
      </c>
      <c r="D59" s="1"/>
      <c r="E59" s="68"/>
      <c r="F59" s="70"/>
      <c r="G59" s="1"/>
      <c r="H59" s="68"/>
      <c r="I59" s="70"/>
      <c r="J59" s="74"/>
      <c r="K59" s="62"/>
      <c r="L59" s="62"/>
      <c r="M59" s="62"/>
      <c r="N59" s="62"/>
      <c r="O59" s="92"/>
      <c r="P59" s="85"/>
      <c r="Q59" s="64"/>
      <c r="R59" s="65"/>
      <c r="S59" s="99"/>
      <c r="T59" s="68"/>
      <c r="U59" s="76"/>
      <c r="V59" s="70"/>
      <c r="W59" s="78" t="s">
        <v>18059</v>
      </c>
      <c r="X59" s="62"/>
      <c r="Y59" s="63"/>
      <c r="Z59" s="75"/>
      <c r="AA59" s="67"/>
      <c r="AB59" s="68"/>
      <c r="AC59" s="76"/>
      <c r="AD59" s="70"/>
      <c r="AE59" s="228">
        <f>ROUND((_15_同援日０．５*(1+_15・盲ろう)),0)+ROUND((ROUND((_15_同援日０．５＿１．５*(1+_15・B夜間)),0)*(1+_15・盲ろう)),0)</f>
        <v>700</v>
      </c>
      <c r="AF59" s="69"/>
    </row>
    <row r="60" spans="1:32" ht="16.5" customHeight="1" x14ac:dyDescent="0.3">
      <c r="A60" s="2">
        <v>15</v>
      </c>
      <c r="B60" s="2">
        <v>9612</v>
      </c>
      <c r="C60" s="60" t="s">
        <v>10305</v>
      </c>
      <c r="D60" s="1"/>
      <c r="E60" s="68"/>
      <c r="F60" s="70"/>
      <c r="G60" s="1"/>
      <c r="H60" s="68"/>
      <c r="I60" s="70"/>
      <c r="J60" s="81"/>
      <c r="K60" s="57"/>
      <c r="L60" s="57"/>
      <c r="M60" s="57"/>
      <c r="N60" s="57"/>
      <c r="O60" s="89"/>
      <c r="P60" s="105" t="s">
        <v>5895</v>
      </c>
      <c r="Q60" s="64" t="s">
        <v>1</v>
      </c>
      <c r="R60" s="65">
        <v>1</v>
      </c>
      <c r="S60" s="99"/>
      <c r="T60" s="68"/>
      <c r="U60" s="76"/>
      <c r="V60" s="70"/>
      <c r="W60" s="94" t="s">
        <v>18058</v>
      </c>
      <c r="X60" s="68"/>
      <c r="Y60" s="76"/>
      <c r="Z60" s="70"/>
      <c r="AA60" s="67"/>
      <c r="AB60" s="68"/>
      <c r="AC60" s="76"/>
      <c r="AD60" s="70"/>
      <c r="AE60" s="228">
        <f>ROUND((ROUND((_15_同援日０．５*_15・２人),0)*(1+_15・盲ろう)),0)+ROUND((ROUND((ROUND((_15_同援日０．５＿１．５*_15・２人),0)*(1+_15・B夜間)),0)*(1+_15・盲ろう)),0)</f>
        <v>700</v>
      </c>
      <c r="AF60" s="69"/>
    </row>
    <row r="61" spans="1:32" ht="16.5" customHeight="1" x14ac:dyDescent="0.3">
      <c r="A61" s="2">
        <v>15</v>
      </c>
      <c r="B61" s="2">
        <v>9613</v>
      </c>
      <c r="C61" s="60" t="s">
        <v>10304</v>
      </c>
      <c r="D61" s="1"/>
      <c r="E61" s="68"/>
      <c r="F61" s="70"/>
      <c r="G61" s="1"/>
      <c r="H61" s="68"/>
      <c r="I61" s="70"/>
      <c r="J61" s="74" t="s">
        <v>18069</v>
      </c>
      <c r="K61" s="62"/>
      <c r="L61" s="62"/>
      <c r="M61" s="62"/>
      <c r="N61" s="62"/>
      <c r="O61" s="92"/>
      <c r="P61" s="85"/>
      <c r="Q61" s="64"/>
      <c r="R61" s="65"/>
      <c r="S61" s="99"/>
      <c r="T61" s="68"/>
      <c r="U61" s="76"/>
      <c r="V61" s="70"/>
      <c r="W61" s="67"/>
      <c r="X61" s="68" t="s">
        <v>1</v>
      </c>
      <c r="Y61" s="76">
        <v>0.25</v>
      </c>
      <c r="Z61" s="70" t="s">
        <v>422</v>
      </c>
      <c r="AA61" s="67"/>
      <c r="AB61" s="68"/>
      <c r="AC61" s="76"/>
      <c r="AD61" s="70"/>
      <c r="AE61" s="228">
        <f>ROUND((ROUND((_15_同援日０．５*_15・基礎２),0)*(1+_15・盲ろう)),0)+ROUND((ROUND((ROUND((_15_同援日０．５＿１．５*_15・基礎２),0)*(1+_15・B夜間)),0)*(1+_15・盲ろう)),0)</f>
        <v>632</v>
      </c>
      <c r="AF61" s="69"/>
    </row>
    <row r="62" spans="1:32" ht="16.5" customHeight="1" x14ac:dyDescent="0.3">
      <c r="A62" s="2">
        <v>15</v>
      </c>
      <c r="B62" s="2">
        <v>9614</v>
      </c>
      <c r="C62" s="60" t="s">
        <v>10303</v>
      </c>
      <c r="D62" s="1"/>
      <c r="E62" s="68"/>
      <c r="F62" s="70"/>
      <c r="G62" s="1"/>
      <c r="H62" s="68"/>
      <c r="I62" s="70"/>
      <c r="J62" s="81"/>
      <c r="K62" s="57"/>
      <c r="L62" s="57"/>
      <c r="M62" s="57"/>
      <c r="N62" s="57" t="s">
        <v>1</v>
      </c>
      <c r="O62" s="89">
        <v>0.9</v>
      </c>
      <c r="P62" s="105" t="s">
        <v>5895</v>
      </c>
      <c r="Q62" s="64" t="s">
        <v>1</v>
      </c>
      <c r="R62" s="65">
        <v>1</v>
      </c>
      <c r="S62" s="99"/>
      <c r="T62" s="68"/>
      <c r="U62" s="76"/>
      <c r="V62" s="70"/>
      <c r="W62" s="66"/>
      <c r="X62" s="57"/>
      <c r="Y62" s="58"/>
      <c r="Z62" s="77"/>
      <c r="AA62" s="66"/>
      <c r="AB62" s="57"/>
      <c r="AC62" s="58"/>
      <c r="AD62" s="77"/>
      <c r="AE62" s="228">
        <f>ROUND((ROUND((ROUND((_15_同援日０．５*_15・基礎２),0)*_15・２人),0)*(1+_15・盲ろう)),0)+ROUND((ROUND((ROUND((ROUND((_15_同援日０．５＿１．５*_15・基礎２),0)*_15・２人),0)*(1+_15・B夜間)),0)*(1+_15・盲ろう)),0)</f>
        <v>632</v>
      </c>
      <c r="AF62" s="69"/>
    </row>
    <row r="63" spans="1:32" ht="16.5" customHeight="1" x14ac:dyDescent="0.3">
      <c r="A63" s="2">
        <v>15</v>
      </c>
      <c r="B63" s="2">
        <v>9615</v>
      </c>
      <c r="C63" s="60" t="s">
        <v>10302</v>
      </c>
      <c r="D63" s="1"/>
      <c r="E63" s="68"/>
      <c r="F63" s="70"/>
      <c r="G63" s="1"/>
      <c r="H63" s="68"/>
      <c r="I63" s="70"/>
      <c r="J63" s="74"/>
      <c r="K63" s="62"/>
      <c r="L63" s="62"/>
      <c r="M63" s="62"/>
      <c r="N63" s="62"/>
      <c r="O63" s="92"/>
      <c r="P63" s="85"/>
      <c r="Q63" s="64"/>
      <c r="R63" s="65"/>
      <c r="S63" s="99"/>
      <c r="T63" s="68"/>
      <c r="U63" s="76"/>
      <c r="V63" s="70"/>
      <c r="W63" s="61"/>
      <c r="X63" s="62"/>
      <c r="Y63" s="63"/>
      <c r="Z63" s="75"/>
      <c r="AA63" s="61"/>
      <c r="AB63" s="62"/>
      <c r="AC63" s="63"/>
      <c r="AD63" s="75"/>
      <c r="AE63" s="228">
        <f>ROUND((_15_同援日０．５*(1+_15・区３)),0)+ROUND((ROUND((_15_同援日０．５＿１．５*(1+_15・B夜間)),0)*(1+_15・区３)),0)</f>
        <v>672</v>
      </c>
      <c r="AF63" s="69"/>
    </row>
    <row r="64" spans="1:32" ht="16.5" customHeight="1" x14ac:dyDescent="0.3">
      <c r="A64" s="2">
        <v>15</v>
      </c>
      <c r="B64" s="2">
        <v>9616</v>
      </c>
      <c r="C64" s="60" t="s">
        <v>10301</v>
      </c>
      <c r="D64" s="1"/>
      <c r="E64" s="68"/>
      <c r="F64" s="70"/>
      <c r="G64" s="1"/>
      <c r="H64" s="68"/>
      <c r="I64" s="70"/>
      <c r="J64" s="81"/>
      <c r="K64" s="57"/>
      <c r="L64" s="57"/>
      <c r="M64" s="57"/>
      <c r="N64" s="57"/>
      <c r="O64" s="89"/>
      <c r="P64" s="105" t="s">
        <v>5895</v>
      </c>
      <c r="Q64" s="64" t="s">
        <v>1</v>
      </c>
      <c r="R64" s="65">
        <v>1</v>
      </c>
      <c r="S64" s="99"/>
      <c r="T64" s="68"/>
      <c r="U64" s="76"/>
      <c r="V64" s="70"/>
      <c r="W64" s="67"/>
      <c r="X64" s="68"/>
      <c r="Y64" s="76"/>
      <c r="Z64" s="70"/>
      <c r="AA64" s="67"/>
      <c r="AB64" s="68"/>
      <c r="AC64" s="76"/>
      <c r="AD64" s="70"/>
      <c r="AE64" s="228">
        <f>ROUND((ROUND((_15_同援日０．５*_15・２人),0)*(1+_15・区３)),0)+ROUND((ROUND((ROUND((_15_同援日０．５＿１．５*_15・２人),0)*(1+_15・B夜間)),0)*(1+_15・区３)),0)</f>
        <v>672</v>
      </c>
      <c r="AF64" s="69"/>
    </row>
    <row r="65" spans="1:32" ht="16.5" customHeight="1" x14ac:dyDescent="0.3">
      <c r="A65" s="2">
        <v>15</v>
      </c>
      <c r="B65" s="2">
        <v>9617</v>
      </c>
      <c r="C65" s="60" t="s">
        <v>10300</v>
      </c>
      <c r="D65" s="1"/>
      <c r="E65" s="68"/>
      <c r="F65" s="70"/>
      <c r="G65" s="1"/>
      <c r="H65" s="68"/>
      <c r="I65" s="70"/>
      <c r="J65" s="74" t="s">
        <v>6260</v>
      </c>
      <c r="K65" s="62"/>
      <c r="L65" s="62"/>
      <c r="M65" s="62"/>
      <c r="N65" s="62"/>
      <c r="O65" s="92"/>
      <c r="P65" s="85"/>
      <c r="Q65" s="64"/>
      <c r="R65" s="65"/>
      <c r="S65" s="99"/>
      <c r="T65" s="68"/>
      <c r="U65" s="76"/>
      <c r="V65" s="70"/>
      <c r="W65" s="67"/>
      <c r="X65" s="68"/>
      <c r="Y65" s="76"/>
      <c r="Z65" s="70"/>
      <c r="AA65" s="1" t="s">
        <v>18062</v>
      </c>
      <c r="AB65" s="68"/>
      <c r="AC65" s="76"/>
      <c r="AD65" s="70"/>
      <c r="AE65" s="228">
        <f>ROUND((ROUND((_15_同援日０．５*_15・基礎２),0)*(1+_15・区３)),0)+ROUND((ROUND((ROUND((_15_同援日０．５＿１．５*_15・基礎２),0)*(1+_15・B夜間)),0)*(1+_15・区３)),0)</f>
        <v>606</v>
      </c>
      <c r="AF65" s="69"/>
    </row>
    <row r="66" spans="1:32" ht="16.5" customHeight="1" x14ac:dyDescent="0.3">
      <c r="A66" s="2">
        <v>15</v>
      </c>
      <c r="B66" s="2">
        <v>9618</v>
      </c>
      <c r="C66" s="60" t="s">
        <v>10299</v>
      </c>
      <c r="D66" s="1"/>
      <c r="E66" s="68"/>
      <c r="F66" s="70"/>
      <c r="G66" s="1"/>
      <c r="H66" s="68"/>
      <c r="I66" s="70"/>
      <c r="J66" s="81"/>
      <c r="K66" s="57"/>
      <c r="L66" s="57"/>
      <c r="M66" s="57"/>
      <c r="N66" s="57" t="s">
        <v>1</v>
      </c>
      <c r="O66" s="89">
        <v>0.9</v>
      </c>
      <c r="P66" s="105" t="s">
        <v>5895</v>
      </c>
      <c r="Q66" s="64" t="s">
        <v>1</v>
      </c>
      <c r="R66" s="65">
        <v>1</v>
      </c>
      <c r="S66" s="99"/>
      <c r="T66" s="68"/>
      <c r="U66" s="76"/>
      <c r="V66" s="70"/>
      <c r="W66" s="66"/>
      <c r="X66" s="57"/>
      <c r="Y66" s="58"/>
      <c r="Z66" s="77"/>
      <c r="AA66" s="1" t="s">
        <v>8087</v>
      </c>
      <c r="AB66" s="68"/>
      <c r="AC66" s="76"/>
      <c r="AD66" s="70"/>
      <c r="AE66" s="228">
        <f>ROUND((ROUND((ROUND((_15_同援日０．５*_15・基礎２),0)*_15・２人),0)*(1+_15・区３)),0)+ROUND((ROUND((ROUND((ROUND((_15_同援日０．５＿１．５*_15・基礎２),0)*_15・２人),0)*(1+_15・B夜間)),0)*(1+_15・区３)),0)</f>
        <v>606</v>
      </c>
      <c r="AF66" s="69"/>
    </row>
    <row r="67" spans="1:32" ht="16.5" customHeight="1" x14ac:dyDescent="0.3">
      <c r="A67" s="2">
        <v>15</v>
      </c>
      <c r="B67" s="2">
        <v>9619</v>
      </c>
      <c r="C67" s="60" t="s">
        <v>10298</v>
      </c>
      <c r="D67" s="1"/>
      <c r="E67" s="68"/>
      <c r="F67" s="70"/>
      <c r="G67" s="1"/>
      <c r="H67" s="68"/>
      <c r="I67" s="70"/>
      <c r="J67" s="74"/>
      <c r="K67" s="62"/>
      <c r="L67" s="62"/>
      <c r="M67" s="62"/>
      <c r="N67" s="62"/>
      <c r="O67" s="92"/>
      <c r="P67" s="85"/>
      <c r="Q67" s="64"/>
      <c r="R67" s="65"/>
      <c r="S67" s="99"/>
      <c r="T67" s="68"/>
      <c r="U67" s="76"/>
      <c r="V67" s="70"/>
      <c r="W67" s="78" t="s">
        <v>8085</v>
      </c>
      <c r="X67" s="62"/>
      <c r="Y67" s="63"/>
      <c r="Z67" s="75"/>
      <c r="AA67" s="67"/>
      <c r="AB67" s="68" t="s">
        <v>1</v>
      </c>
      <c r="AC67" s="76">
        <v>0.2</v>
      </c>
      <c r="AD67" s="70" t="s">
        <v>422</v>
      </c>
      <c r="AE67" s="228">
        <f>ROUND((ROUND((_15_同援日０．５*(1+_15・盲ろう)),0)*(1+_15・区３)),0)+ROUND((ROUND((ROUND((_15_同援日０．５＿１．５*(1+_15・B夜間)),0)*(1+_15・盲ろう)),0)*(1+_15・区３)),0)</f>
        <v>840</v>
      </c>
      <c r="AF67" s="69"/>
    </row>
    <row r="68" spans="1:32" ht="16.5" customHeight="1" x14ac:dyDescent="0.3">
      <c r="A68" s="2">
        <v>15</v>
      </c>
      <c r="B68" s="2">
        <v>9620</v>
      </c>
      <c r="C68" s="60" t="s">
        <v>10297</v>
      </c>
      <c r="D68" s="1"/>
      <c r="E68" s="68"/>
      <c r="F68" s="70"/>
      <c r="G68" s="1"/>
      <c r="H68" s="68"/>
      <c r="I68" s="70"/>
      <c r="J68" s="81"/>
      <c r="K68" s="57"/>
      <c r="L68" s="57"/>
      <c r="M68" s="57"/>
      <c r="N68" s="57"/>
      <c r="O68" s="89"/>
      <c r="P68" s="105" t="s">
        <v>5895</v>
      </c>
      <c r="Q68" s="64" t="s">
        <v>1</v>
      </c>
      <c r="R68" s="65">
        <v>1</v>
      </c>
      <c r="S68" s="99"/>
      <c r="T68" s="68"/>
      <c r="U68" s="76"/>
      <c r="V68" s="70"/>
      <c r="W68" s="94" t="s">
        <v>18058</v>
      </c>
      <c r="X68" s="68"/>
      <c r="Y68" s="76"/>
      <c r="Z68" s="70"/>
      <c r="AA68" s="67"/>
      <c r="AB68" s="68"/>
      <c r="AC68" s="76"/>
      <c r="AD68" s="70"/>
      <c r="AE68" s="228">
        <f>ROUND((ROUND((ROUND((_15_同援日０．５*_15・２人),0)*(1+_15・盲ろう)),0)*(1+_15・区３)),0)+ROUND((ROUND((ROUND((ROUND((_15_同援日０．５＿１．５*_15・２人),0)*(1+_15・B夜間)),0)*(1+_15・盲ろう)),0)*(1+_15・区３)),0)</f>
        <v>840</v>
      </c>
      <c r="AF68" s="69"/>
    </row>
    <row r="69" spans="1:32" ht="16.5" customHeight="1" x14ac:dyDescent="0.3">
      <c r="A69" s="2">
        <v>15</v>
      </c>
      <c r="B69" s="2">
        <v>9621</v>
      </c>
      <c r="C69" s="60" t="s">
        <v>10296</v>
      </c>
      <c r="D69" s="1"/>
      <c r="E69" s="68"/>
      <c r="F69" s="70"/>
      <c r="G69" s="1"/>
      <c r="H69" s="68"/>
      <c r="I69" s="70"/>
      <c r="J69" s="74" t="s">
        <v>6260</v>
      </c>
      <c r="K69" s="62"/>
      <c r="L69" s="62"/>
      <c r="M69" s="62"/>
      <c r="N69" s="62"/>
      <c r="O69" s="92"/>
      <c r="P69" s="85"/>
      <c r="Q69" s="64"/>
      <c r="R69" s="65"/>
      <c r="S69" s="99"/>
      <c r="T69" s="68"/>
      <c r="U69" s="76"/>
      <c r="V69" s="70"/>
      <c r="W69" s="67"/>
      <c r="X69" s="68" t="s">
        <v>1</v>
      </c>
      <c r="Y69" s="76">
        <v>0.25</v>
      </c>
      <c r="Z69" s="70" t="s">
        <v>422</v>
      </c>
      <c r="AA69" s="67"/>
      <c r="AB69" s="68"/>
      <c r="AC69" s="76"/>
      <c r="AD69" s="70"/>
      <c r="AE69" s="228">
        <f>ROUND((ROUND((ROUND((_15_同援日０．５*_15・基礎２),0)*(1+_15・盲ろう)),0)*(1+_15・区３)),0)+ROUND((ROUND((ROUND((ROUND((_15_同援日０．５＿１．５*_15・基礎２),0)*(1+_15・B夜間)),0)*(1+_15・盲ろう)),0)*(1+_15・区３)),0)</f>
        <v>759</v>
      </c>
      <c r="AF69" s="69"/>
    </row>
    <row r="70" spans="1:32" ht="16.5" customHeight="1" x14ac:dyDescent="0.3">
      <c r="A70" s="2">
        <v>15</v>
      </c>
      <c r="B70" s="2">
        <v>9622</v>
      </c>
      <c r="C70" s="60" t="s">
        <v>10295</v>
      </c>
      <c r="D70" s="1"/>
      <c r="E70" s="68"/>
      <c r="F70" s="70"/>
      <c r="G70" s="1"/>
      <c r="H70" s="68"/>
      <c r="I70" s="70"/>
      <c r="J70" s="81"/>
      <c r="K70" s="57"/>
      <c r="L70" s="57"/>
      <c r="M70" s="57"/>
      <c r="N70" s="57" t="s">
        <v>1</v>
      </c>
      <c r="O70" s="89">
        <v>0.9</v>
      </c>
      <c r="P70" s="105" t="s">
        <v>5895</v>
      </c>
      <c r="Q70" s="64" t="s">
        <v>1</v>
      </c>
      <c r="R70" s="65">
        <v>1</v>
      </c>
      <c r="S70" s="99"/>
      <c r="T70" s="68"/>
      <c r="U70" s="76"/>
      <c r="V70" s="70"/>
      <c r="W70" s="66"/>
      <c r="X70" s="57"/>
      <c r="Y70" s="58"/>
      <c r="Z70" s="77"/>
      <c r="AA70" s="66"/>
      <c r="AB70" s="57"/>
      <c r="AC70" s="58"/>
      <c r="AD70" s="77"/>
      <c r="AE70" s="228">
        <f>ROUND((ROUND((ROUND((ROUND((_15_同援日０．５*_15・基礎２),0)*_15・２人),0)*(1+_15・盲ろう)),0)*(1+_15・区３)),0)+ROUND((ROUND((ROUND((ROUND((ROUND((_15_同援日０．５＿１．５*_15・基礎２),0)*_15・２人),0)*(1+_15・B夜間)),0)*(1+_15・盲ろう)),0)*(1+_15・区３)),0)</f>
        <v>759</v>
      </c>
      <c r="AF70" s="69"/>
    </row>
    <row r="71" spans="1:32" ht="16.5" customHeight="1" x14ac:dyDescent="0.3">
      <c r="A71" s="2">
        <v>15</v>
      </c>
      <c r="B71" s="2">
        <v>9623</v>
      </c>
      <c r="C71" s="60" t="s">
        <v>10294</v>
      </c>
      <c r="D71" s="1"/>
      <c r="E71" s="68"/>
      <c r="F71" s="70"/>
      <c r="G71" s="1"/>
      <c r="H71" s="68"/>
      <c r="I71" s="70"/>
      <c r="J71" s="74"/>
      <c r="K71" s="62"/>
      <c r="L71" s="62"/>
      <c r="M71" s="62"/>
      <c r="N71" s="62"/>
      <c r="O71" s="92"/>
      <c r="P71" s="85"/>
      <c r="Q71" s="64"/>
      <c r="R71" s="65"/>
      <c r="S71" s="99"/>
      <c r="T71" s="68"/>
      <c r="U71" s="76"/>
      <c r="V71" s="70"/>
      <c r="W71" s="61"/>
      <c r="X71" s="62"/>
      <c r="Y71" s="63"/>
      <c r="Z71" s="75"/>
      <c r="AA71" s="61"/>
      <c r="AB71" s="62"/>
      <c r="AC71" s="63"/>
      <c r="AD71" s="75"/>
      <c r="AE71" s="228">
        <f>ROUND((_15_同援日０．５*(1+_15・区４)),0)+ROUND((ROUND((_15_同援日０．５＿１．５*(1+_15・B夜間)),0)*(1+_15・区４)),0)</f>
        <v>784</v>
      </c>
      <c r="AF71" s="69"/>
    </row>
    <row r="72" spans="1:32" ht="16.5" customHeight="1" x14ac:dyDescent="0.3">
      <c r="A72" s="2">
        <v>15</v>
      </c>
      <c r="B72" s="2">
        <v>9624</v>
      </c>
      <c r="C72" s="60" t="s">
        <v>10293</v>
      </c>
      <c r="D72" s="1"/>
      <c r="E72" s="68"/>
      <c r="F72" s="70"/>
      <c r="G72" s="1"/>
      <c r="H72" s="68"/>
      <c r="I72" s="70"/>
      <c r="J72" s="81"/>
      <c r="K72" s="57"/>
      <c r="L72" s="57"/>
      <c r="M72" s="57"/>
      <c r="N72" s="57"/>
      <c r="O72" s="89"/>
      <c r="P72" s="105" t="s">
        <v>5895</v>
      </c>
      <c r="Q72" s="64" t="s">
        <v>1</v>
      </c>
      <c r="R72" s="65">
        <v>1</v>
      </c>
      <c r="S72" s="99"/>
      <c r="T72" s="68"/>
      <c r="U72" s="76"/>
      <c r="V72" s="70"/>
      <c r="W72" s="67"/>
      <c r="X72" s="68"/>
      <c r="Y72" s="76"/>
      <c r="Z72" s="70"/>
      <c r="AA72" s="67"/>
      <c r="AB72" s="68"/>
      <c r="AC72" s="76"/>
      <c r="AD72" s="70"/>
      <c r="AE72" s="228">
        <f>ROUND((ROUND((_15_同援日０．５*_15・２人),0)*(1+_15・区４)),0)+ROUND((ROUND((ROUND((_15_同援日０．５＿１．５*_15・２人),0)*(1+_15・B夜間)),0)*(1+_15・区４)),0)</f>
        <v>784</v>
      </c>
      <c r="AF72" s="69"/>
    </row>
    <row r="73" spans="1:32" ht="16.5" customHeight="1" x14ac:dyDescent="0.3">
      <c r="A73" s="2">
        <v>15</v>
      </c>
      <c r="B73" s="2">
        <v>9625</v>
      </c>
      <c r="C73" s="60" t="s">
        <v>10292</v>
      </c>
      <c r="D73" s="1"/>
      <c r="E73" s="68"/>
      <c r="F73" s="70"/>
      <c r="G73" s="1"/>
      <c r="H73" s="68"/>
      <c r="I73" s="70"/>
      <c r="J73" s="74" t="s">
        <v>18069</v>
      </c>
      <c r="K73" s="62"/>
      <c r="L73" s="62"/>
      <c r="M73" s="62"/>
      <c r="N73" s="62"/>
      <c r="O73" s="92"/>
      <c r="P73" s="85"/>
      <c r="Q73" s="64"/>
      <c r="R73" s="65"/>
      <c r="S73" s="99"/>
      <c r="T73" s="68"/>
      <c r="U73" s="76"/>
      <c r="V73" s="70"/>
      <c r="W73" s="67"/>
      <c r="X73" s="68"/>
      <c r="Y73" s="76"/>
      <c r="Z73" s="70"/>
      <c r="AA73" s="1" t="s">
        <v>18061</v>
      </c>
      <c r="AB73" s="68"/>
      <c r="AC73" s="76"/>
      <c r="AD73" s="70"/>
      <c r="AE73" s="228">
        <f>ROUND((ROUND((_15_同援日０．５*_15・基礎２),0)*(1+_15・区４)),0)+ROUND((ROUND((ROUND((_15_同援日０．５＿１．５*_15・基礎２),0)*(1+_15・B夜間)),0)*(1+_15・区４)),0)</f>
        <v>707</v>
      </c>
      <c r="AF73" s="69"/>
    </row>
    <row r="74" spans="1:32" ht="16.5" customHeight="1" x14ac:dyDescent="0.3">
      <c r="A74" s="2">
        <v>15</v>
      </c>
      <c r="B74" s="2">
        <v>9626</v>
      </c>
      <c r="C74" s="60" t="s">
        <v>10291</v>
      </c>
      <c r="D74" s="1"/>
      <c r="E74" s="68"/>
      <c r="F74" s="70"/>
      <c r="G74" s="1"/>
      <c r="H74" s="68"/>
      <c r="I74" s="70"/>
      <c r="J74" s="81"/>
      <c r="K74" s="57"/>
      <c r="L74" s="57"/>
      <c r="M74" s="57"/>
      <c r="N74" s="57" t="s">
        <v>1</v>
      </c>
      <c r="O74" s="89">
        <v>0.9</v>
      </c>
      <c r="P74" s="105" t="s">
        <v>5895</v>
      </c>
      <c r="Q74" s="64" t="s">
        <v>1</v>
      </c>
      <c r="R74" s="65">
        <v>1</v>
      </c>
      <c r="S74" s="99"/>
      <c r="T74" s="68"/>
      <c r="U74" s="76"/>
      <c r="V74" s="70"/>
      <c r="W74" s="66"/>
      <c r="X74" s="57"/>
      <c r="Y74" s="58"/>
      <c r="Z74" s="77"/>
      <c r="AA74" s="1" t="s">
        <v>8087</v>
      </c>
      <c r="AB74" s="68"/>
      <c r="AC74" s="76"/>
      <c r="AD74" s="70"/>
      <c r="AE74" s="228">
        <f>ROUND((ROUND((ROUND((_15_同援日０．５*_15・基礎２),0)*_15・２人),0)*(1+_15・区４)),0)+ROUND((ROUND((ROUND((ROUND((_15_同援日０．５＿１．５*_15・基礎２),0)*_15・２人),0)*(1+_15・B夜間)),0)*(1+_15・区４)),0)</f>
        <v>707</v>
      </c>
      <c r="AF74" s="69"/>
    </row>
    <row r="75" spans="1:32" ht="16.5" customHeight="1" x14ac:dyDescent="0.3">
      <c r="A75" s="2">
        <v>15</v>
      </c>
      <c r="B75" s="2">
        <v>9627</v>
      </c>
      <c r="C75" s="60" t="s">
        <v>10290</v>
      </c>
      <c r="D75" s="1"/>
      <c r="E75" s="68"/>
      <c r="F75" s="70"/>
      <c r="G75" s="1"/>
      <c r="H75" s="68"/>
      <c r="I75" s="70"/>
      <c r="J75" s="74"/>
      <c r="K75" s="62"/>
      <c r="L75" s="62"/>
      <c r="M75" s="62"/>
      <c r="N75" s="62"/>
      <c r="O75" s="92"/>
      <c r="P75" s="85"/>
      <c r="Q75" s="64"/>
      <c r="R75" s="65"/>
      <c r="S75" s="99"/>
      <c r="T75" s="68"/>
      <c r="U75" s="76"/>
      <c r="V75" s="70"/>
      <c r="W75" s="78" t="s">
        <v>18059</v>
      </c>
      <c r="X75" s="62"/>
      <c r="Y75" s="63"/>
      <c r="Z75" s="75"/>
      <c r="AA75" s="67"/>
      <c r="AB75" s="68" t="s">
        <v>1</v>
      </c>
      <c r="AC75" s="76">
        <v>0.4</v>
      </c>
      <c r="AD75" s="70" t="s">
        <v>422</v>
      </c>
      <c r="AE75" s="228">
        <f>ROUND((ROUND((_15_同援日０．５*(1+_15・盲ろう)),0)*(1+_15・区４)),0)+ROUND((ROUND((ROUND((_15_同援日０．５＿１．５*(1+_15・B夜間)),0)*(1+_15・盲ろう)),0)*(1+_15・区４)),0)</f>
        <v>980</v>
      </c>
      <c r="AF75" s="69"/>
    </row>
    <row r="76" spans="1:32" ht="16.5" customHeight="1" x14ac:dyDescent="0.3">
      <c r="A76" s="2">
        <v>15</v>
      </c>
      <c r="B76" s="2">
        <v>9628</v>
      </c>
      <c r="C76" s="60" t="s">
        <v>10289</v>
      </c>
      <c r="D76" s="1"/>
      <c r="E76" s="68"/>
      <c r="F76" s="70"/>
      <c r="G76" s="1"/>
      <c r="H76" s="68"/>
      <c r="I76" s="70"/>
      <c r="J76" s="81"/>
      <c r="K76" s="57"/>
      <c r="L76" s="57"/>
      <c r="M76" s="57"/>
      <c r="N76" s="57"/>
      <c r="O76" s="89"/>
      <c r="P76" s="105" t="s">
        <v>5895</v>
      </c>
      <c r="Q76" s="64" t="s">
        <v>1</v>
      </c>
      <c r="R76" s="65">
        <v>1</v>
      </c>
      <c r="S76" s="99"/>
      <c r="T76" s="68"/>
      <c r="U76" s="76"/>
      <c r="V76" s="70"/>
      <c r="W76" s="94" t="s">
        <v>18058</v>
      </c>
      <c r="X76" s="68"/>
      <c r="Y76" s="76"/>
      <c r="Z76" s="70"/>
      <c r="AA76" s="67"/>
      <c r="AB76" s="68"/>
      <c r="AC76" s="76"/>
      <c r="AD76" s="70"/>
      <c r="AE76" s="228">
        <f>ROUND((ROUND((ROUND((_15_同援日０．５*_15・２人),0)*(1+_15・盲ろう)),0)*(1+_15・区４)),0)+ROUND((ROUND((ROUND((ROUND((_15_同援日０．５＿１．５*_15・２人),0)*(1+_15・B夜間)),0)*(1+_15・盲ろう)),0)*(1+_15・区４)),0)</f>
        <v>980</v>
      </c>
      <c r="AF76" s="69"/>
    </row>
    <row r="77" spans="1:32" ht="16.5" customHeight="1" x14ac:dyDescent="0.3">
      <c r="A77" s="2">
        <v>15</v>
      </c>
      <c r="B77" s="2">
        <v>9629</v>
      </c>
      <c r="C77" s="60" t="s">
        <v>10288</v>
      </c>
      <c r="D77" s="1"/>
      <c r="E77" s="68"/>
      <c r="F77" s="70"/>
      <c r="G77" s="1"/>
      <c r="H77" s="68"/>
      <c r="I77" s="70"/>
      <c r="J77" s="74" t="s">
        <v>6260</v>
      </c>
      <c r="K77" s="62"/>
      <c r="L77" s="62"/>
      <c r="M77" s="62"/>
      <c r="N77" s="62"/>
      <c r="O77" s="92"/>
      <c r="P77" s="85"/>
      <c r="Q77" s="64"/>
      <c r="R77" s="65"/>
      <c r="S77" s="99"/>
      <c r="T77" s="68"/>
      <c r="U77" s="76"/>
      <c r="V77" s="70"/>
      <c r="W77" s="67"/>
      <c r="X77" s="68" t="s">
        <v>1</v>
      </c>
      <c r="Y77" s="76">
        <v>0.25</v>
      </c>
      <c r="Z77" s="70" t="s">
        <v>422</v>
      </c>
      <c r="AA77" s="67"/>
      <c r="AB77" s="68"/>
      <c r="AC77" s="76"/>
      <c r="AD77" s="70"/>
      <c r="AE77" s="228">
        <f>ROUND((ROUND((ROUND((_15_同援日０．５*_15・基礎２),0)*(1+_15・盲ろう)),0)*(1+_15・区４)),0)+ROUND((ROUND((ROUND((ROUND((_15_同援日０．５＿１．５*_15・基礎２),0)*(1+_15・B夜間)),0)*(1+_15・盲ろう)),0)*(1+_15・区４)),0)</f>
        <v>885</v>
      </c>
      <c r="AF77" s="69"/>
    </row>
    <row r="78" spans="1:32" ht="16.5" customHeight="1" x14ac:dyDescent="0.3">
      <c r="A78" s="2">
        <v>15</v>
      </c>
      <c r="B78" s="2">
        <v>9630</v>
      </c>
      <c r="C78" s="60" t="s">
        <v>10287</v>
      </c>
      <c r="D78" s="1"/>
      <c r="E78" s="68"/>
      <c r="F78" s="70"/>
      <c r="G78" s="81"/>
      <c r="H78" s="57"/>
      <c r="I78" s="77"/>
      <c r="J78" s="81"/>
      <c r="K78" s="57"/>
      <c r="L78" s="57"/>
      <c r="M78" s="57"/>
      <c r="N78" s="57" t="s">
        <v>1</v>
      </c>
      <c r="O78" s="89">
        <v>0.9</v>
      </c>
      <c r="P78" s="105" t="s">
        <v>5895</v>
      </c>
      <c r="Q78" s="64" t="s">
        <v>1</v>
      </c>
      <c r="R78" s="65">
        <v>1</v>
      </c>
      <c r="S78" s="99"/>
      <c r="T78" s="68"/>
      <c r="U78" s="76"/>
      <c r="V78" s="70"/>
      <c r="W78" s="66"/>
      <c r="X78" s="57"/>
      <c r="Y78" s="58"/>
      <c r="Z78" s="77"/>
      <c r="AA78" s="66"/>
      <c r="AB78" s="57"/>
      <c r="AC78" s="58"/>
      <c r="AD78" s="77"/>
      <c r="AE78" s="228">
        <f>ROUND((ROUND((ROUND((ROUND((_15_同援日０．５*_15・基礎２),0)*_15・２人),0)*(1+_15・盲ろう)),0)*(1+_15・区４)),0)+ROUND((ROUND((ROUND((ROUND((ROUND((_15_同援日０．５＿１．５*_15・基礎２),0)*_15・２人),0)*(1+_15・B夜間)),0)*(1+_15・盲ろう)),0)*(1+_15・区４)),0)</f>
        <v>885</v>
      </c>
      <c r="AF78" s="69"/>
    </row>
    <row r="79" spans="1:32" ht="16.5" customHeight="1" x14ac:dyDescent="0.3">
      <c r="A79" s="2">
        <v>15</v>
      </c>
      <c r="B79" s="2">
        <v>9631</v>
      </c>
      <c r="C79" s="60" t="s">
        <v>10286</v>
      </c>
      <c r="D79" s="1"/>
      <c r="E79" s="68"/>
      <c r="F79" s="70"/>
      <c r="G79" s="233" t="s">
        <v>18080</v>
      </c>
      <c r="H79" s="62"/>
      <c r="I79" s="75"/>
      <c r="J79" s="74"/>
      <c r="K79" s="62"/>
      <c r="L79" s="62"/>
      <c r="M79" s="62"/>
      <c r="N79" s="62"/>
      <c r="O79" s="92"/>
      <c r="P79" s="85"/>
      <c r="Q79" s="64"/>
      <c r="R79" s="65"/>
      <c r="S79" s="99"/>
      <c r="T79" s="68"/>
      <c r="U79" s="76"/>
      <c r="V79" s="70"/>
      <c r="W79" s="61"/>
      <c r="X79" s="62"/>
      <c r="Y79" s="63"/>
      <c r="Z79" s="75"/>
      <c r="AA79" s="61"/>
      <c r="AB79" s="62"/>
      <c r="AC79" s="63"/>
      <c r="AD79" s="75"/>
      <c r="AE79" s="228">
        <f>_15_同援日０．５+ROUND((_15_同援日０．５＿２．０*(1+_15・B夜間)),0)</f>
        <v>639</v>
      </c>
      <c r="AF79" s="69"/>
    </row>
    <row r="80" spans="1:32" ht="16.5" customHeight="1" x14ac:dyDescent="0.3">
      <c r="A80" s="2">
        <v>15</v>
      </c>
      <c r="B80" s="2">
        <v>9632</v>
      </c>
      <c r="C80" s="60" t="s">
        <v>10285</v>
      </c>
      <c r="D80" s="1"/>
      <c r="E80" s="68"/>
      <c r="F80" s="70"/>
      <c r="G80" s="1" t="s">
        <v>18063</v>
      </c>
      <c r="H80" s="68"/>
      <c r="I80" s="70"/>
      <c r="J80" s="81"/>
      <c r="K80" s="57"/>
      <c r="L80" s="57"/>
      <c r="M80" s="57"/>
      <c r="N80" s="57"/>
      <c r="O80" s="89"/>
      <c r="P80" s="105" t="s">
        <v>5895</v>
      </c>
      <c r="Q80" s="64" t="s">
        <v>1</v>
      </c>
      <c r="R80" s="65">
        <v>1</v>
      </c>
      <c r="S80" s="99"/>
      <c r="T80" s="68"/>
      <c r="U80" s="76"/>
      <c r="V80" s="70"/>
      <c r="W80" s="67"/>
      <c r="X80" s="68"/>
      <c r="Y80" s="76"/>
      <c r="Z80" s="70"/>
      <c r="AA80" s="67"/>
      <c r="AB80" s="68"/>
      <c r="AC80" s="76"/>
      <c r="AD80" s="70"/>
      <c r="AE80" s="228">
        <f>ROUND((_15_同援日０．５*_15・２人),0)+ROUND((ROUND((_15_同援日０．５＿２．０*_15・２人),0)*(1+_15・B夜間)),0)</f>
        <v>639</v>
      </c>
      <c r="AF80" s="69"/>
    </row>
    <row r="81" spans="1:32" ht="16.5" customHeight="1" x14ac:dyDescent="0.3">
      <c r="A81" s="2">
        <v>15</v>
      </c>
      <c r="B81" s="2">
        <v>9633</v>
      </c>
      <c r="C81" s="60" t="s">
        <v>10284</v>
      </c>
      <c r="D81" s="1"/>
      <c r="E81" s="68"/>
      <c r="F81" s="70"/>
      <c r="G81" s="1" t="s">
        <v>6448</v>
      </c>
      <c r="H81" s="68"/>
      <c r="I81" s="70"/>
      <c r="J81" s="74" t="s">
        <v>18069</v>
      </c>
      <c r="K81" s="62"/>
      <c r="L81" s="62"/>
      <c r="M81" s="62"/>
      <c r="N81" s="62"/>
      <c r="O81" s="92"/>
      <c r="P81" s="85"/>
      <c r="Q81" s="64"/>
      <c r="R81" s="65"/>
      <c r="S81" s="99"/>
      <c r="T81" s="68"/>
      <c r="U81" s="76"/>
      <c r="V81" s="70"/>
      <c r="W81" s="67"/>
      <c r="X81" s="68"/>
      <c r="Y81" s="76"/>
      <c r="Z81" s="70"/>
      <c r="AA81" s="67"/>
      <c r="AB81" s="68"/>
      <c r="AC81" s="76"/>
      <c r="AD81" s="70"/>
      <c r="AE81" s="228">
        <f>ROUND((_15_同援日０．５*_15・基礎２),0)+ROUND((ROUND((_15_同援日０．５＿２．０*_15・基礎２),0)*(1+_15・B夜間)),0)</f>
        <v>576</v>
      </c>
      <c r="AF81" s="69"/>
    </row>
    <row r="82" spans="1:32" ht="16.5" customHeight="1" x14ac:dyDescent="0.3">
      <c r="A82" s="2">
        <v>15</v>
      </c>
      <c r="B82" s="2">
        <v>9634</v>
      </c>
      <c r="C82" s="60" t="s">
        <v>10283</v>
      </c>
      <c r="D82" s="1"/>
      <c r="E82" s="68"/>
      <c r="F82" s="70"/>
      <c r="G82" s="1"/>
      <c r="H82" s="227">
        <v>364</v>
      </c>
      <c r="I82" s="70" t="s">
        <v>0</v>
      </c>
      <c r="J82" s="81"/>
      <c r="K82" s="57"/>
      <c r="L82" s="57"/>
      <c r="M82" s="57"/>
      <c r="N82" s="57" t="s">
        <v>1</v>
      </c>
      <c r="O82" s="89">
        <v>0.9</v>
      </c>
      <c r="P82" s="105" t="s">
        <v>5895</v>
      </c>
      <c r="Q82" s="64" t="s">
        <v>1</v>
      </c>
      <c r="R82" s="65">
        <v>1</v>
      </c>
      <c r="S82" s="99"/>
      <c r="T82" s="68"/>
      <c r="U82" s="76"/>
      <c r="V82" s="70"/>
      <c r="W82" s="66"/>
      <c r="X82" s="57"/>
      <c r="Y82" s="58"/>
      <c r="Z82" s="77"/>
      <c r="AA82" s="67"/>
      <c r="AB82" s="68"/>
      <c r="AC82" s="76"/>
      <c r="AD82" s="70"/>
      <c r="AE82" s="228">
        <f>ROUND((ROUND((_15_同援日０．５*_15・基礎２),0)*_15・２人),0)+ROUND((ROUND((ROUND((_15_同援日０．５＿２．０*_15・基礎２),0)*_15・２人),0)*(1+_15・B夜間)),0)</f>
        <v>576</v>
      </c>
      <c r="AF82" s="69"/>
    </row>
    <row r="83" spans="1:32" ht="16.5" customHeight="1" x14ac:dyDescent="0.3">
      <c r="A83" s="2">
        <v>15</v>
      </c>
      <c r="B83" s="2">
        <v>9635</v>
      </c>
      <c r="C83" s="60" t="s">
        <v>10282</v>
      </c>
      <c r="D83" s="1"/>
      <c r="E83" s="68"/>
      <c r="F83" s="70"/>
      <c r="G83" s="1"/>
      <c r="H83" s="68"/>
      <c r="I83" s="70"/>
      <c r="J83" s="74"/>
      <c r="K83" s="62"/>
      <c r="L83" s="62"/>
      <c r="M83" s="62"/>
      <c r="N83" s="62"/>
      <c r="O83" s="92"/>
      <c r="P83" s="85"/>
      <c r="Q83" s="64"/>
      <c r="R83" s="65"/>
      <c r="S83" s="99"/>
      <c r="T83" s="68"/>
      <c r="U83" s="76"/>
      <c r="V83" s="70"/>
      <c r="W83" s="78" t="s">
        <v>8085</v>
      </c>
      <c r="X83" s="62"/>
      <c r="Y83" s="63"/>
      <c r="Z83" s="75"/>
      <c r="AA83" s="67"/>
      <c r="AB83" s="68"/>
      <c r="AC83" s="76"/>
      <c r="AD83" s="70"/>
      <c r="AE83" s="228">
        <f>ROUND((_15_同援日０．５*(1+_15・盲ろう)),0)+ROUND((ROUND((_15_同援日０．５＿２．０*(1+_15・B夜間)),0)*(1+_15・盲ろう)),0)</f>
        <v>799</v>
      </c>
      <c r="AF83" s="69"/>
    </row>
    <row r="84" spans="1:32" ht="16.5" customHeight="1" x14ac:dyDescent="0.3">
      <c r="A84" s="2">
        <v>15</v>
      </c>
      <c r="B84" s="2">
        <v>9636</v>
      </c>
      <c r="C84" s="60" t="s">
        <v>10281</v>
      </c>
      <c r="D84" s="1"/>
      <c r="E84" s="68"/>
      <c r="F84" s="70"/>
      <c r="G84" s="1"/>
      <c r="H84" s="68"/>
      <c r="I84" s="70"/>
      <c r="J84" s="81"/>
      <c r="K84" s="57"/>
      <c r="L84" s="57"/>
      <c r="M84" s="57"/>
      <c r="N84" s="57"/>
      <c r="O84" s="89"/>
      <c r="P84" s="105" t="s">
        <v>5895</v>
      </c>
      <c r="Q84" s="64" t="s">
        <v>1</v>
      </c>
      <c r="R84" s="65">
        <v>1</v>
      </c>
      <c r="S84" s="99"/>
      <c r="T84" s="68"/>
      <c r="U84" s="76"/>
      <c r="V84" s="70"/>
      <c r="W84" s="94" t="s">
        <v>8083</v>
      </c>
      <c r="X84" s="68"/>
      <c r="Y84" s="76"/>
      <c r="Z84" s="70"/>
      <c r="AA84" s="67"/>
      <c r="AB84" s="68"/>
      <c r="AC84" s="76"/>
      <c r="AD84" s="70"/>
      <c r="AE84" s="228">
        <f>ROUND((ROUND((_15_同援日０．５*_15・２人),0)*(1+_15・盲ろう)),0)+ROUND((ROUND((ROUND((_15_同援日０．５＿２．０*_15・２人),0)*(1+_15・B夜間)),0)*(1+_15・盲ろう)),0)</f>
        <v>799</v>
      </c>
      <c r="AF84" s="69"/>
    </row>
    <row r="85" spans="1:32" ht="16.5" customHeight="1" x14ac:dyDescent="0.3">
      <c r="A85" s="2">
        <v>15</v>
      </c>
      <c r="B85" s="2">
        <v>9637</v>
      </c>
      <c r="C85" s="60" t="s">
        <v>10280</v>
      </c>
      <c r="D85" s="1"/>
      <c r="E85" s="68"/>
      <c r="F85" s="70"/>
      <c r="G85" s="1"/>
      <c r="H85" s="68"/>
      <c r="I85" s="70"/>
      <c r="J85" s="74" t="s">
        <v>18069</v>
      </c>
      <c r="K85" s="62"/>
      <c r="L85" s="62"/>
      <c r="M85" s="62"/>
      <c r="N85" s="62"/>
      <c r="O85" s="92"/>
      <c r="P85" s="85"/>
      <c r="Q85" s="64"/>
      <c r="R85" s="65"/>
      <c r="S85" s="99"/>
      <c r="T85" s="68"/>
      <c r="U85" s="76"/>
      <c r="V85" s="70"/>
      <c r="W85" s="67"/>
      <c r="X85" s="68" t="s">
        <v>1</v>
      </c>
      <c r="Y85" s="76">
        <v>0.25</v>
      </c>
      <c r="Z85" s="70" t="s">
        <v>422</v>
      </c>
      <c r="AA85" s="67"/>
      <c r="AB85" s="68"/>
      <c r="AC85" s="76"/>
      <c r="AD85" s="70"/>
      <c r="AE85" s="228">
        <f>ROUND((ROUND((_15_同援日０．５*_15・基礎２),0)*(1+_15・盲ろう)),0)+ROUND((ROUND((ROUND((_15_同援日０．５＿２．０*_15・基礎２),0)*(1+_15・B夜間)),0)*(1+_15・盲ろう)),0)</f>
        <v>721</v>
      </c>
      <c r="AF85" s="69"/>
    </row>
    <row r="86" spans="1:32" ht="16.5" customHeight="1" x14ac:dyDescent="0.3">
      <c r="A86" s="2">
        <v>15</v>
      </c>
      <c r="B86" s="2">
        <v>9638</v>
      </c>
      <c r="C86" s="60" t="s">
        <v>10279</v>
      </c>
      <c r="D86" s="1"/>
      <c r="E86" s="68"/>
      <c r="F86" s="70"/>
      <c r="G86" s="1"/>
      <c r="H86" s="68"/>
      <c r="I86" s="70"/>
      <c r="J86" s="81"/>
      <c r="K86" s="57"/>
      <c r="L86" s="57"/>
      <c r="M86" s="57"/>
      <c r="N86" s="57" t="s">
        <v>1</v>
      </c>
      <c r="O86" s="89">
        <v>0.9</v>
      </c>
      <c r="P86" s="105" t="s">
        <v>5895</v>
      </c>
      <c r="Q86" s="64" t="s">
        <v>1</v>
      </c>
      <c r="R86" s="65">
        <v>1</v>
      </c>
      <c r="S86" s="99"/>
      <c r="T86" s="68"/>
      <c r="U86" s="76"/>
      <c r="V86" s="70"/>
      <c r="W86" s="66"/>
      <c r="X86" s="57"/>
      <c r="Y86" s="58"/>
      <c r="Z86" s="77"/>
      <c r="AA86" s="66"/>
      <c r="AB86" s="57"/>
      <c r="AC86" s="58"/>
      <c r="AD86" s="77"/>
      <c r="AE86" s="228">
        <f>ROUND((ROUND((ROUND((_15_同援日０．５*_15・基礎２),0)*_15・２人),0)*(1+_15・盲ろう)),0)+ROUND((ROUND((ROUND((ROUND((_15_同援日０．５＿２．０*_15・基礎２),0)*_15・２人),0)*(1+_15・B夜間)),0)*(1+_15・盲ろう)),0)</f>
        <v>721</v>
      </c>
      <c r="AF86" s="69"/>
    </row>
    <row r="87" spans="1:32" ht="16.5" customHeight="1" x14ac:dyDescent="0.3">
      <c r="A87" s="2">
        <v>15</v>
      </c>
      <c r="B87" s="2">
        <v>9639</v>
      </c>
      <c r="C87" s="60" t="s">
        <v>10278</v>
      </c>
      <c r="D87" s="1"/>
      <c r="E87" s="68"/>
      <c r="F87" s="70"/>
      <c r="G87" s="1"/>
      <c r="H87" s="68"/>
      <c r="I87" s="70"/>
      <c r="J87" s="74"/>
      <c r="K87" s="62"/>
      <c r="L87" s="62"/>
      <c r="M87" s="62"/>
      <c r="N87" s="62"/>
      <c r="O87" s="92"/>
      <c r="P87" s="85"/>
      <c r="Q87" s="64"/>
      <c r="R87" s="65"/>
      <c r="S87" s="99"/>
      <c r="T87" s="68"/>
      <c r="U87" s="76"/>
      <c r="V87" s="70"/>
      <c r="W87" s="61"/>
      <c r="X87" s="62"/>
      <c r="Y87" s="63"/>
      <c r="Z87" s="75"/>
      <c r="AA87" s="61"/>
      <c r="AB87" s="62"/>
      <c r="AC87" s="63"/>
      <c r="AD87" s="75"/>
      <c r="AE87" s="228">
        <f>ROUND((_15_同援日０．５*(1+_15・区３)),0)+ROUND((ROUND((_15_同援日０．５＿２．０*(1+_15・B夜間)),0)*(1+_15・区３)),0)</f>
        <v>767</v>
      </c>
      <c r="AF87" s="69"/>
    </row>
    <row r="88" spans="1:32" ht="16.5" customHeight="1" x14ac:dyDescent="0.3">
      <c r="A88" s="2">
        <v>15</v>
      </c>
      <c r="B88" s="2">
        <v>9640</v>
      </c>
      <c r="C88" s="60" t="s">
        <v>10277</v>
      </c>
      <c r="D88" s="1"/>
      <c r="E88" s="68"/>
      <c r="F88" s="70"/>
      <c r="G88" s="1"/>
      <c r="H88" s="68"/>
      <c r="I88" s="70"/>
      <c r="J88" s="81"/>
      <c r="K88" s="57"/>
      <c r="L88" s="57"/>
      <c r="M88" s="57"/>
      <c r="N88" s="57"/>
      <c r="O88" s="89"/>
      <c r="P88" s="105" t="s">
        <v>5895</v>
      </c>
      <c r="Q88" s="64" t="s">
        <v>1</v>
      </c>
      <c r="R88" s="65">
        <v>1</v>
      </c>
      <c r="S88" s="99"/>
      <c r="T88" s="68"/>
      <c r="U88" s="76"/>
      <c r="V88" s="70"/>
      <c r="W88" s="67"/>
      <c r="X88" s="68"/>
      <c r="Y88" s="76"/>
      <c r="Z88" s="70"/>
      <c r="AA88" s="67"/>
      <c r="AB88" s="68"/>
      <c r="AC88" s="76"/>
      <c r="AD88" s="70"/>
      <c r="AE88" s="228">
        <f>ROUND((ROUND((_15_同援日０．５*_15・２人),0)*(1+_15・区３)),0)+ROUND((ROUND((ROUND((_15_同援日０．５＿２．０*_15・２人),0)*(1+_15・B夜間)),0)*(1+_15・区３)),0)</f>
        <v>767</v>
      </c>
      <c r="AF88" s="69"/>
    </row>
    <row r="89" spans="1:32" ht="16.5" customHeight="1" x14ac:dyDescent="0.3">
      <c r="A89" s="2">
        <v>15</v>
      </c>
      <c r="B89" s="2">
        <v>9641</v>
      </c>
      <c r="C89" s="60" t="s">
        <v>10276</v>
      </c>
      <c r="D89" s="1"/>
      <c r="E89" s="68"/>
      <c r="F89" s="70"/>
      <c r="G89" s="1"/>
      <c r="H89" s="68"/>
      <c r="I89" s="70"/>
      <c r="J89" s="74" t="s">
        <v>18069</v>
      </c>
      <c r="K89" s="62"/>
      <c r="L89" s="62"/>
      <c r="M89" s="62"/>
      <c r="N89" s="62"/>
      <c r="O89" s="92"/>
      <c r="P89" s="85"/>
      <c r="Q89" s="64"/>
      <c r="R89" s="65"/>
      <c r="S89" s="99"/>
      <c r="T89" s="68"/>
      <c r="U89" s="76"/>
      <c r="V89" s="70"/>
      <c r="W89" s="67"/>
      <c r="X89" s="68"/>
      <c r="Y89" s="76"/>
      <c r="Z89" s="70"/>
      <c r="AA89" s="1" t="s">
        <v>18062</v>
      </c>
      <c r="AB89" s="68"/>
      <c r="AC89" s="76"/>
      <c r="AD89" s="70"/>
      <c r="AE89" s="228">
        <f>ROUND((ROUND((_15_同援日０．５*_15・基礎２),0)*(1+_15・区３)),0)+ROUND((ROUND((ROUND((_15_同援日０．５＿２．０*_15・基礎２),0)*(1+_15・B夜間)),0)*(1+_15・区３)),0)</f>
        <v>691</v>
      </c>
      <c r="AF89" s="69"/>
    </row>
    <row r="90" spans="1:32" ht="16.5" customHeight="1" x14ac:dyDescent="0.3">
      <c r="A90" s="2">
        <v>15</v>
      </c>
      <c r="B90" s="2">
        <v>9642</v>
      </c>
      <c r="C90" s="60" t="s">
        <v>10275</v>
      </c>
      <c r="D90" s="1"/>
      <c r="E90" s="68"/>
      <c r="F90" s="70"/>
      <c r="G90" s="1"/>
      <c r="H90" s="68"/>
      <c r="I90" s="70"/>
      <c r="J90" s="81"/>
      <c r="K90" s="57"/>
      <c r="L90" s="57"/>
      <c r="M90" s="57"/>
      <c r="N90" s="57" t="s">
        <v>1</v>
      </c>
      <c r="O90" s="89">
        <v>0.9</v>
      </c>
      <c r="P90" s="105" t="s">
        <v>5895</v>
      </c>
      <c r="Q90" s="64" t="s">
        <v>1</v>
      </c>
      <c r="R90" s="65">
        <v>1</v>
      </c>
      <c r="S90" s="99"/>
      <c r="T90" s="68"/>
      <c r="U90" s="76"/>
      <c r="V90" s="70"/>
      <c r="W90" s="66"/>
      <c r="X90" s="57"/>
      <c r="Y90" s="58"/>
      <c r="Z90" s="77"/>
      <c r="AA90" s="1" t="s">
        <v>18060</v>
      </c>
      <c r="AB90" s="68"/>
      <c r="AC90" s="76"/>
      <c r="AD90" s="70"/>
      <c r="AE90" s="228">
        <f>ROUND((ROUND((ROUND((_15_同援日０．５*_15・基礎２),0)*_15・２人),0)*(1+_15・区３)),0)+ROUND((ROUND((ROUND((ROUND((_15_同援日０．５＿２．０*_15・基礎２),0)*_15・２人),0)*(1+_15・B夜間)),0)*(1+_15・区３)),0)</f>
        <v>691</v>
      </c>
      <c r="AF90" s="69"/>
    </row>
    <row r="91" spans="1:32" ht="16.5" customHeight="1" x14ac:dyDescent="0.3">
      <c r="A91" s="2">
        <v>15</v>
      </c>
      <c r="B91" s="2">
        <v>9643</v>
      </c>
      <c r="C91" s="60" t="s">
        <v>10274</v>
      </c>
      <c r="D91" s="1"/>
      <c r="E91" s="68"/>
      <c r="F91" s="70"/>
      <c r="G91" s="1"/>
      <c r="H91" s="68"/>
      <c r="I91" s="70"/>
      <c r="J91" s="74"/>
      <c r="K91" s="62"/>
      <c r="L91" s="62"/>
      <c r="M91" s="62"/>
      <c r="N91" s="62"/>
      <c r="O91" s="92"/>
      <c r="P91" s="85"/>
      <c r="Q91" s="64"/>
      <c r="R91" s="65"/>
      <c r="S91" s="99"/>
      <c r="T91" s="68"/>
      <c r="U91" s="76"/>
      <c r="V91" s="70"/>
      <c r="W91" s="78" t="s">
        <v>18059</v>
      </c>
      <c r="X91" s="62"/>
      <c r="Y91" s="63"/>
      <c r="Z91" s="75"/>
      <c r="AA91" s="67"/>
      <c r="AB91" s="68" t="s">
        <v>1</v>
      </c>
      <c r="AC91" s="76">
        <v>0.2</v>
      </c>
      <c r="AD91" s="70" t="s">
        <v>422</v>
      </c>
      <c r="AE91" s="228">
        <f>ROUND((ROUND((_15_同援日０．５*(1+_15・盲ろう)),0)*(1+_15・区３)),0)+ROUND((ROUND((ROUND((_15_同援日０．５＿２．０*(1+_15・B夜間)),0)*(1+_15・盲ろう)),0)*(1+_15・区３)),0)</f>
        <v>959</v>
      </c>
      <c r="AF91" s="69"/>
    </row>
    <row r="92" spans="1:32" ht="16.5" customHeight="1" x14ac:dyDescent="0.3">
      <c r="A92" s="2">
        <v>15</v>
      </c>
      <c r="B92" s="2">
        <v>9644</v>
      </c>
      <c r="C92" s="60" t="s">
        <v>10273</v>
      </c>
      <c r="D92" s="1"/>
      <c r="E92" s="68"/>
      <c r="F92" s="70"/>
      <c r="G92" s="1"/>
      <c r="H92" s="68"/>
      <c r="I92" s="70"/>
      <c r="J92" s="81"/>
      <c r="K92" s="57"/>
      <c r="L92" s="57"/>
      <c r="M92" s="57"/>
      <c r="N92" s="57"/>
      <c r="O92" s="89"/>
      <c r="P92" s="105" t="s">
        <v>5895</v>
      </c>
      <c r="Q92" s="64" t="s">
        <v>1</v>
      </c>
      <c r="R92" s="65">
        <v>1</v>
      </c>
      <c r="S92" s="99"/>
      <c r="T92" s="68"/>
      <c r="U92" s="76"/>
      <c r="V92" s="70"/>
      <c r="W92" s="94" t="s">
        <v>18058</v>
      </c>
      <c r="X92" s="68"/>
      <c r="Y92" s="76"/>
      <c r="Z92" s="70"/>
      <c r="AA92" s="67"/>
      <c r="AB92" s="68"/>
      <c r="AC92" s="76"/>
      <c r="AD92" s="70"/>
      <c r="AE92" s="228">
        <f>ROUND((ROUND((ROUND((_15_同援日０．５*_15・２人),0)*(1+_15・盲ろう)),0)*(1+_15・区３)),0)+ROUND((ROUND((ROUND((ROUND((_15_同援日０．５＿２．０*_15・２人),0)*(1+_15・B夜間)),0)*(1+_15・盲ろう)),0)*(1+_15・区３)),0)</f>
        <v>959</v>
      </c>
      <c r="AF92" s="69"/>
    </row>
    <row r="93" spans="1:32" ht="16.5" customHeight="1" x14ac:dyDescent="0.3">
      <c r="A93" s="2">
        <v>15</v>
      </c>
      <c r="B93" s="2">
        <v>9645</v>
      </c>
      <c r="C93" s="60" t="s">
        <v>10272</v>
      </c>
      <c r="D93" s="1"/>
      <c r="E93" s="68"/>
      <c r="F93" s="70"/>
      <c r="G93" s="1"/>
      <c r="H93" s="68"/>
      <c r="I93" s="70"/>
      <c r="J93" s="74" t="s">
        <v>6260</v>
      </c>
      <c r="K93" s="62"/>
      <c r="L93" s="62"/>
      <c r="M93" s="62"/>
      <c r="N93" s="62"/>
      <c r="O93" s="92"/>
      <c r="P93" s="85"/>
      <c r="Q93" s="64"/>
      <c r="R93" s="65"/>
      <c r="S93" s="99"/>
      <c r="T93" s="68"/>
      <c r="U93" s="76"/>
      <c r="V93" s="70"/>
      <c r="W93" s="67"/>
      <c r="X93" s="68" t="s">
        <v>1</v>
      </c>
      <c r="Y93" s="76">
        <v>0.25</v>
      </c>
      <c r="Z93" s="70" t="s">
        <v>422</v>
      </c>
      <c r="AA93" s="67"/>
      <c r="AB93" s="68"/>
      <c r="AC93" s="76"/>
      <c r="AD93" s="70"/>
      <c r="AE93" s="228">
        <f>ROUND((ROUND((ROUND((_15_同援日０．５*_15・基礎２),0)*(1+_15・盲ろう)),0)*(1+_15・区３)),0)+ROUND((ROUND((ROUND((ROUND((_15_同援日０．５＿２．０*_15・基礎２),0)*(1+_15・B夜間)),0)*(1+_15・盲ろう)),0)*(1+_15・区３)),0)</f>
        <v>866</v>
      </c>
      <c r="AF93" s="69"/>
    </row>
    <row r="94" spans="1:32" ht="16.5" customHeight="1" x14ac:dyDescent="0.3">
      <c r="A94" s="2">
        <v>15</v>
      </c>
      <c r="B94" s="2">
        <v>9646</v>
      </c>
      <c r="C94" s="60" t="s">
        <v>10271</v>
      </c>
      <c r="D94" s="1"/>
      <c r="E94" s="68"/>
      <c r="F94" s="70"/>
      <c r="G94" s="1"/>
      <c r="H94" s="68"/>
      <c r="I94" s="70"/>
      <c r="J94" s="81"/>
      <c r="K94" s="57"/>
      <c r="L94" s="57"/>
      <c r="M94" s="57"/>
      <c r="N94" s="57" t="s">
        <v>1</v>
      </c>
      <c r="O94" s="89">
        <v>0.9</v>
      </c>
      <c r="P94" s="105" t="s">
        <v>5895</v>
      </c>
      <c r="Q94" s="64" t="s">
        <v>1</v>
      </c>
      <c r="R94" s="65">
        <v>1</v>
      </c>
      <c r="S94" s="99"/>
      <c r="T94" s="68"/>
      <c r="U94" s="76"/>
      <c r="V94" s="70"/>
      <c r="W94" s="66"/>
      <c r="X94" s="57"/>
      <c r="Y94" s="58"/>
      <c r="Z94" s="77"/>
      <c r="AA94" s="66"/>
      <c r="AB94" s="57"/>
      <c r="AC94" s="58"/>
      <c r="AD94" s="77"/>
      <c r="AE94" s="228">
        <f>ROUND((ROUND((ROUND((ROUND((_15_同援日０．５*_15・基礎２),0)*_15・２人),0)*(1+_15・盲ろう)),0)*(1+_15・区３)),0)+ROUND((ROUND((ROUND((ROUND((ROUND((_15_同援日０．５＿２．０*_15・基礎２),0)*_15・２人),0)*(1+_15・B夜間)),0)*(1+_15・盲ろう)),0)*(1+_15・区３)),0)</f>
        <v>866</v>
      </c>
      <c r="AF94" s="69"/>
    </row>
    <row r="95" spans="1:32" ht="16.5" customHeight="1" x14ac:dyDescent="0.3">
      <c r="A95" s="2">
        <v>15</v>
      </c>
      <c r="B95" s="2">
        <v>9647</v>
      </c>
      <c r="C95" s="60" t="s">
        <v>10270</v>
      </c>
      <c r="D95" s="1"/>
      <c r="E95" s="68"/>
      <c r="F95" s="70"/>
      <c r="G95" s="1"/>
      <c r="H95" s="68"/>
      <c r="I95" s="70"/>
      <c r="J95" s="74"/>
      <c r="K95" s="62"/>
      <c r="L95" s="62"/>
      <c r="M95" s="62"/>
      <c r="N95" s="62"/>
      <c r="O95" s="92"/>
      <c r="P95" s="85"/>
      <c r="Q95" s="64"/>
      <c r="R95" s="65"/>
      <c r="S95" s="99"/>
      <c r="T95" s="68"/>
      <c r="U95" s="76"/>
      <c r="V95" s="70"/>
      <c r="W95" s="61"/>
      <c r="X95" s="62"/>
      <c r="Y95" s="63"/>
      <c r="Z95" s="75"/>
      <c r="AA95" s="61"/>
      <c r="AB95" s="62"/>
      <c r="AC95" s="63"/>
      <c r="AD95" s="75"/>
      <c r="AE95" s="228">
        <f>ROUND((_15_同援日０．５*(1+_15・区４)),0)+ROUND((ROUND((_15_同援日０．５＿２．０*(1+_15・B夜間)),0)*(1+_15・区４)),0)</f>
        <v>895</v>
      </c>
      <c r="AF95" s="69"/>
    </row>
    <row r="96" spans="1:32" ht="16.5" customHeight="1" x14ac:dyDescent="0.3">
      <c r="A96" s="2">
        <v>15</v>
      </c>
      <c r="B96" s="2">
        <v>9648</v>
      </c>
      <c r="C96" s="60" t="s">
        <v>10269</v>
      </c>
      <c r="D96" s="1"/>
      <c r="E96" s="68"/>
      <c r="F96" s="70"/>
      <c r="G96" s="1"/>
      <c r="H96" s="68"/>
      <c r="I96" s="70"/>
      <c r="J96" s="81"/>
      <c r="K96" s="57"/>
      <c r="L96" s="57"/>
      <c r="M96" s="57"/>
      <c r="N96" s="57"/>
      <c r="O96" s="89"/>
      <c r="P96" s="105" t="s">
        <v>5895</v>
      </c>
      <c r="Q96" s="64" t="s">
        <v>1</v>
      </c>
      <c r="R96" s="65">
        <v>1</v>
      </c>
      <c r="S96" s="99"/>
      <c r="T96" s="68"/>
      <c r="U96" s="76"/>
      <c r="V96" s="70"/>
      <c r="W96" s="67"/>
      <c r="X96" s="68"/>
      <c r="Y96" s="76"/>
      <c r="Z96" s="70"/>
      <c r="AA96" s="67"/>
      <c r="AB96" s="68"/>
      <c r="AC96" s="76"/>
      <c r="AD96" s="70"/>
      <c r="AE96" s="228">
        <f>ROUND((ROUND((_15_同援日０．５*_15・２人),0)*(1+_15・区４)),0)+ROUND((ROUND((ROUND((_15_同援日０．５＿２．０*_15・２人),0)*(1+_15・B夜間)),0)*(1+_15・区４)),0)</f>
        <v>895</v>
      </c>
      <c r="AF96" s="69"/>
    </row>
    <row r="97" spans="1:32" ht="16.5" customHeight="1" x14ac:dyDescent="0.3">
      <c r="A97" s="2">
        <v>15</v>
      </c>
      <c r="B97" s="2">
        <v>9649</v>
      </c>
      <c r="C97" s="60" t="s">
        <v>10268</v>
      </c>
      <c r="D97" s="1"/>
      <c r="E97" s="68"/>
      <c r="F97" s="70"/>
      <c r="G97" s="1"/>
      <c r="H97" s="68"/>
      <c r="I97" s="70"/>
      <c r="J97" s="74" t="s">
        <v>18069</v>
      </c>
      <c r="K97" s="62"/>
      <c r="L97" s="62"/>
      <c r="M97" s="62"/>
      <c r="N97" s="62"/>
      <c r="O97" s="92"/>
      <c r="P97" s="85"/>
      <c r="Q97" s="64"/>
      <c r="R97" s="65"/>
      <c r="S97" s="99"/>
      <c r="T97" s="68"/>
      <c r="U97" s="76"/>
      <c r="V97" s="70"/>
      <c r="W97" s="67"/>
      <c r="X97" s="68"/>
      <c r="Y97" s="76"/>
      <c r="Z97" s="70"/>
      <c r="AA97" s="1" t="s">
        <v>18061</v>
      </c>
      <c r="AB97" s="68"/>
      <c r="AC97" s="76"/>
      <c r="AD97" s="70"/>
      <c r="AE97" s="228">
        <f>ROUND((ROUND((_15_同援日０．５*_15・基礎２),0)*(1+_15・区４)),0)+ROUND((ROUND((ROUND((_15_同援日０．５＿２．０*_15・基礎２),0)*(1+_15・B夜間)),0)*(1+_15・区４)),0)</f>
        <v>806</v>
      </c>
      <c r="AF97" s="69"/>
    </row>
    <row r="98" spans="1:32" ht="16.5" customHeight="1" x14ac:dyDescent="0.3">
      <c r="A98" s="2">
        <v>15</v>
      </c>
      <c r="B98" s="2">
        <v>9650</v>
      </c>
      <c r="C98" s="60" t="s">
        <v>10267</v>
      </c>
      <c r="D98" s="1"/>
      <c r="E98" s="68"/>
      <c r="F98" s="70"/>
      <c r="G98" s="1"/>
      <c r="H98" s="68"/>
      <c r="I98" s="70"/>
      <c r="J98" s="81"/>
      <c r="K98" s="57"/>
      <c r="L98" s="57"/>
      <c r="M98" s="57"/>
      <c r="N98" s="57" t="s">
        <v>1</v>
      </c>
      <c r="O98" s="89">
        <v>0.9</v>
      </c>
      <c r="P98" s="105" t="s">
        <v>5895</v>
      </c>
      <c r="Q98" s="64" t="s">
        <v>1</v>
      </c>
      <c r="R98" s="65">
        <v>1</v>
      </c>
      <c r="S98" s="99"/>
      <c r="T98" s="68"/>
      <c r="U98" s="76"/>
      <c r="V98" s="70"/>
      <c r="W98" s="66"/>
      <c r="X98" s="57"/>
      <c r="Y98" s="58"/>
      <c r="Z98" s="77"/>
      <c r="AA98" s="1" t="s">
        <v>8087</v>
      </c>
      <c r="AB98" s="68"/>
      <c r="AC98" s="76"/>
      <c r="AD98" s="70"/>
      <c r="AE98" s="228">
        <f>ROUND((ROUND((ROUND((_15_同援日０．５*_15・基礎２),0)*_15・２人),0)*(1+_15・区４)),0)+ROUND((ROUND((ROUND((ROUND((_15_同援日０．５＿２．０*_15・基礎２),0)*_15・２人),0)*(1+_15・B夜間)),0)*(1+_15・区４)),0)</f>
        <v>806</v>
      </c>
      <c r="AF98" s="69"/>
    </row>
    <row r="99" spans="1:32" ht="16.5" customHeight="1" x14ac:dyDescent="0.3">
      <c r="A99" s="2">
        <v>15</v>
      </c>
      <c r="B99" s="2">
        <v>9651</v>
      </c>
      <c r="C99" s="60" t="s">
        <v>10266</v>
      </c>
      <c r="D99" s="1"/>
      <c r="E99" s="68"/>
      <c r="F99" s="70"/>
      <c r="G99" s="1"/>
      <c r="H99" s="68"/>
      <c r="I99" s="70"/>
      <c r="J99" s="74"/>
      <c r="K99" s="62"/>
      <c r="L99" s="62"/>
      <c r="M99" s="62"/>
      <c r="N99" s="62"/>
      <c r="O99" s="92"/>
      <c r="P99" s="85"/>
      <c r="Q99" s="64"/>
      <c r="R99" s="65"/>
      <c r="S99" s="99"/>
      <c r="T99" s="68"/>
      <c r="U99" s="76"/>
      <c r="V99" s="70"/>
      <c r="W99" s="78" t="s">
        <v>18059</v>
      </c>
      <c r="X99" s="62"/>
      <c r="Y99" s="63"/>
      <c r="Z99" s="75"/>
      <c r="AA99" s="67"/>
      <c r="AB99" s="68" t="s">
        <v>1</v>
      </c>
      <c r="AC99" s="76">
        <v>0.4</v>
      </c>
      <c r="AD99" s="70" t="s">
        <v>422</v>
      </c>
      <c r="AE99" s="228">
        <f>ROUND((ROUND((_15_同援日０．５*(1+_15・盲ろう)),0)*(1+_15・区４)),0)+ROUND((ROUND((ROUND((_15_同援日０．５＿２．０*(1+_15・B夜間)),0)*(1+_15・盲ろう)),0)*(1+_15・区４)),0)</f>
        <v>1119</v>
      </c>
      <c r="AF99" s="69"/>
    </row>
    <row r="100" spans="1:32" ht="16.5" customHeight="1" x14ac:dyDescent="0.3">
      <c r="A100" s="2">
        <v>15</v>
      </c>
      <c r="B100" s="2">
        <v>9652</v>
      </c>
      <c r="C100" s="60" t="s">
        <v>10265</v>
      </c>
      <c r="D100" s="1"/>
      <c r="E100" s="68"/>
      <c r="F100" s="70"/>
      <c r="G100" s="1"/>
      <c r="H100" s="68"/>
      <c r="I100" s="70"/>
      <c r="J100" s="81"/>
      <c r="K100" s="57"/>
      <c r="L100" s="57"/>
      <c r="M100" s="57"/>
      <c r="N100" s="57"/>
      <c r="O100" s="89"/>
      <c r="P100" s="105" t="s">
        <v>5895</v>
      </c>
      <c r="Q100" s="64" t="s">
        <v>1</v>
      </c>
      <c r="R100" s="65">
        <v>1</v>
      </c>
      <c r="S100" s="99"/>
      <c r="T100" s="68"/>
      <c r="U100" s="76"/>
      <c r="V100" s="70"/>
      <c r="W100" s="94" t="s">
        <v>18058</v>
      </c>
      <c r="X100" s="68"/>
      <c r="Y100" s="76"/>
      <c r="Z100" s="70"/>
      <c r="AA100" s="67"/>
      <c r="AB100" s="68"/>
      <c r="AC100" s="76"/>
      <c r="AD100" s="70"/>
      <c r="AE100" s="228">
        <f>ROUND((ROUND((ROUND((_15_同援日０．５*_15・２人),0)*(1+_15・盲ろう)),0)*(1+_15・区４)),0)+ROUND((ROUND((ROUND((ROUND((_15_同援日０．５＿２．０*_15・２人),0)*(1+_15・B夜間)),0)*(1+_15・盲ろう)),0)*(1+_15・区４)),0)</f>
        <v>1119</v>
      </c>
      <c r="AF100" s="69"/>
    </row>
    <row r="101" spans="1:32" ht="16.5" customHeight="1" x14ac:dyDescent="0.3">
      <c r="A101" s="2">
        <v>15</v>
      </c>
      <c r="B101" s="2">
        <v>9653</v>
      </c>
      <c r="C101" s="60" t="s">
        <v>10264</v>
      </c>
      <c r="D101" s="1"/>
      <c r="E101" s="68"/>
      <c r="F101" s="70"/>
      <c r="G101" s="1"/>
      <c r="H101" s="68"/>
      <c r="I101" s="70"/>
      <c r="J101" s="74" t="s">
        <v>18069</v>
      </c>
      <c r="K101" s="62"/>
      <c r="L101" s="62"/>
      <c r="M101" s="62"/>
      <c r="N101" s="62"/>
      <c r="O101" s="92"/>
      <c r="P101" s="85"/>
      <c r="Q101" s="64"/>
      <c r="R101" s="65"/>
      <c r="S101" s="99"/>
      <c r="T101" s="68"/>
      <c r="U101" s="76"/>
      <c r="V101" s="70"/>
      <c r="W101" s="67"/>
      <c r="X101" s="68" t="s">
        <v>1</v>
      </c>
      <c r="Y101" s="76">
        <v>0.25</v>
      </c>
      <c r="Z101" s="70" t="s">
        <v>422</v>
      </c>
      <c r="AA101" s="67"/>
      <c r="AB101" s="68"/>
      <c r="AC101" s="76"/>
      <c r="AD101" s="70"/>
      <c r="AE101" s="228">
        <f>ROUND((ROUND((ROUND((_15_同援日０．５*_15・基礎２),0)*(1+_15・盲ろう)),0)*(1+_15・区４)),0)+ROUND((ROUND((ROUND((ROUND((_15_同援日０．５＿２．０*_15・基礎２),0)*(1+_15・B夜間)),0)*(1+_15・盲ろう)),0)*(1+_15・区４)),0)</f>
        <v>1009</v>
      </c>
      <c r="AF101" s="69"/>
    </row>
    <row r="102" spans="1:32" ht="16.5" customHeight="1" x14ac:dyDescent="0.3">
      <c r="A102" s="2">
        <v>15</v>
      </c>
      <c r="B102" s="2">
        <v>9654</v>
      </c>
      <c r="C102" s="60" t="s">
        <v>10263</v>
      </c>
      <c r="D102" s="1"/>
      <c r="E102" s="68"/>
      <c r="F102" s="70"/>
      <c r="G102" s="81"/>
      <c r="H102" s="57"/>
      <c r="I102" s="77"/>
      <c r="J102" s="81"/>
      <c r="K102" s="57"/>
      <c r="L102" s="57"/>
      <c r="M102" s="57"/>
      <c r="N102" s="57" t="s">
        <v>1</v>
      </c>
      <c r="O102" s="89">
        <v>0.9</v>
      </c>
      <c r="P102" s="105" t="s">
        <v>5895</v>
      </c>
      <c r="Q102" s="64" t="s">
        <v>1</v>
      </c>
      <c r="R102" s="65">
        <v>1</v>
      </c>
      <c r="S102" s="99"/>
      <c r="T102" s="68"/>
      <c r="U102" s="76"/>
      <c r="V102" s="70"/>
      <c r="W102" s="66"/>
      <c r="X102" s="57"/>
      <c r="Y102" s="58"/>
      <c r="Z102" s="77"/>
      <c r="AA102" s="66"/>
      <c r="AB102" s="57"/>
      <c r="AC102" s="58"/>
      <c r="AD102" s="77"/>
      <c r="AE102" s="228">
        <f>ROUND((ROUND((ROUND((ROUND((_15_同援日０．５*_15・基礎２),0)*_15・２人),0)*(1+_15・盲ろう)),0)*(1+_15・区４)),0)+ROUND((ROUND((ROUND((ROUND((ROUND((_15_同援日０．５＿２．０*_15・基礎２),0)*_15・２人),0)*(1+_15・B夜間)),0)*(1+_15・盲ろう)),0)*(1+_15・区４)),0)</f>
        <v>1009</v>
      </c>
      <c r="AF102" s="69"/>
    </row>
    <row r="103" spans="1:32" ht="16.5" customHeight="1" x14ac:dyDescent="0.3">
      <c r="A103" s="2">
        <v>15</v>
      </c>
      <c r="B103" s="2">
        <v>9655</v>
      </c>
      <c r="C103" s="60" t="s">
        <v>10262</v>
      </c>
      <c r="D103" s="1"/>
      <c r="E103" s="68"/>
      <c r="F103" s="70"/>
      <c r="G103" s="233" t="s">
        <v>18081</v>
      </c>
      <c r="H103" s="62"/>
      <c r="I103" s="75"/>
      <c r="J103" s="74"/>
      <c r="K103" s="62"/>
      <c r="L103" s="62"/>
      <c r="M103" s="62"/>
      <c r="N103" s="62"/>
      <c r="O103" s="92"/>
      <c r="P103" s="85"/>
      <c r="Q103" s="64"/>
      <c r="R103" s="65"/>
      <c r="S103" s="99"/>
      <c r="T103" s="68"/>
      <c r="U103" s="76"/>
      <c r="V103" s="70"/>
      <c r="W103" s="61"/>
      <c r="X103" s="62"/>
      <c r="Y103" s="63"/>
      <c r="Z103" s="75"/>
      <c r="AA103" s="61"/>
      <c r="AB103" s="62"/>
      <c r="AC103" s="63"/>
      <c r="AD103" s="75"/>
      <c r="AE103" s="228">
        <f>_15_同援日０．５+ROUND((_15_同援日０．５＿２．５*(1+_15・B夜間)),0)</f>
        <v>718</v>
      </c>
      <c r="AF103" s="69"/>
    </row>
    <row r="104" spans="1:32" ht="16.5" customHeight="1" x14ac:dyDescent="0.3">
      <c r="A104" s="2">
        <v>15</v>
      </c>
      <c r="B104" s="2">
        <v>9656</v>
      </c>
      <c r="C104" s="60" t="s">
        <v>10261</v>
      </c>
      <c r="D104" s="1"/>
      <c r="E104" s="68"/>
      <c r="F104" s="70"/>
      <c r="G104" s="1" t="s">
        <v>18070</v>
      </c>
      <c r="H104" s="68"/>
      <c r="I104" s="70"/>
      <c r="J104" s="81"/>
      <c r="K104" s="57"/>
      <c r="L104" s="57"/>
      <c r="M104" s="57"/>
      <c r="N104" s="57"/>
      <c r="O104" s="89"/>
      <c r="P104" s="105" t="s">
        <v>5895</v>
      </c>
      <c r="Q104" s="64" t="s">
        <v>1</v>
      </c>
      <c r="R104" s="65">
        <v>1</v>
      </c>
      <c r="S104" s="99"/>
      <c r="T104" s="68"/>
      <c r="U104" s="76"/>
      <c r="V104" s="70"/>
      <c r="W104" s="67"/>
      <c r="X104" s="68"/>
      <c r="Y104" s="76"/>
      <c r="Z104" s="70"/>
      <c r="AA104" s="67"/>
      <c r="AB104" s="68"/>
      <c r="AC104" s="76"/>
      <c r="AD104" s="70"/>
      <c r="AE104" s="228">
        <f>ROUND((_15_同援日０．５*_15・２人),0)+ROUND((ROUND((_15_同援日０．５＿２．５*_15・２人),0)*(1+_15・B夜間)),0)</f>
        <v>718</v>
      </c>
      <c r="AF104" s="69"/>
    </row>
    <row r="105" spans="1:32" ht="16.5" customHeight="1" x14ac:dyDescent="0.3">
      <c r="A105" s="2">
        <v>15</v>
      </c>
      <c r="B105" s="2">
        <v>9657</v>
      </c>
      <c r="C105" s="60" t="s">
        <v>10260</v>
      </c>
      <c r="D105" s="1"/>
      <c r="E105" s="68"/>
      <c r="F105" s="70"/>
      <c r="G105" s="1" t="s">
        <v>8499</v>
      </c>
      <c r="H105" s="68"/>
      <c r="I105" s="70"/>
      <c r="J105" s="74" t="s">
        <v>18069</v>
      </c>
      <c r="K105" s="62"/>
      <c r="L105" s="62"/>
      <c r="M105" s="62"/>
      <c r="N105" s="62"/>
      <c r="O105" s="92"/>
      <c r="P105" s="85"/>
      <c r="Q105" s="64"/>
      <c r="R105" s="65"/>
      <c r="S105" s="99"/>
      <c r="T105" s="68"/>
      <c r="U105" s="76"/>
      <c r="V105" s="70"/>
      <c r="W105" s="67"/>
      <c r="X105" s="68"/>
      <c r="Y105" s="76"/>
      <c r="Z105" s="70"/>
      <c r="AA105" s="67"/>
      <c r="AB105" s="68"/>
      <c r="AC105" s="76"/>
      <c r="AD105" s="70"/>
      <c r="AE105" s="228">
        <f>ROUND((_15_同援日０．５*_15・基礎２),0)+ROUND((ROUND((_15_同援日０．５＿２．５*_15・基礎２),0)*(1+_15・B夜間)),0)</f>
        <v>646</v>
      </c>
      <c r="AF105" s="69"/>
    </row>
    <row r="106" spans="1:32" ht="16.5" customHeight="1" x14ac:dyDescent="0.3">
      <c r="A106" s="2">
        <v>15</v>
      </c>
      <c r="B106" s="2">
        <v>9658</v>
      </c>
      <c r="C106" s="60" t="s">
        <v>10259</v>
      </c>
      <c r="D106" s="1"/>
      <c r="E106" s="68"/>
      <c r="F106" s="70"/>
      <c r="G106" s="1"/>
      <c r="H106" s="227">
        <v>427</v>
      </c>
      <c r="I106" s="70" t="s">
        <v>0</v>
      </c>
      <c r="J106" s="81"/>
      <c r="K106" s="57"/>
      <c r="L106" s="57"/>
      <c r="M106" s="57"/>
      <c r="N106" s="57" t="s">
        <v>1</v>
      </c>
      <c r="O106" s="89">
        <v>0.9</v>
      </c>
      <c r="P106" s="105" t="s">
        <v>5895</v>
      </c>
      <c r="Q106" s="64" t="s">
        <v>1</v>
      </c>
      <c r="R106" s="65">
        <v>1</v>
      </c>
      <c r="S106" s="99"/>
      <c r="T106" s="68"/>
      <c r="U106" s="76"/>
      <c r="V106" s="70"/>
      <c r="W106" s="66"/>
      <c r="X106" s="57"/>
      <c r="Y106" s="58"/>
      <c r="Z106" s="77"/>
      <c r="AA106" s="67"/>
      <c r="AB106" s="68"/>
      <c r="AC106" s="76"/>
      <c r="AD106" s="70"/>
      <c r="AE106" s="228">
        <f>ROUND((ROUND((_15_同援日０．５*_15・基礎２),0)*_15・２人),0)+ROUND((ROUND((ROUND((_15_同援日０．５＿２．５*_15・基礎２),0)*_15・２人),0)*(1+_15・B夜間)),0)</f>
        <v>646</v>
      </c>
      <c r="AF106" s="69"/>
    </row>
    <row r="107" spans="1:32" ht="16.5" customHeight="1" x14ac:dyDescent="0.3">
      <c r="A107" s="2">
        <v>15</v>
      </c>
      <c r="B107" s="2">
        <v>9659</v>
      </c>
      <c r="C107" s="60" t="s">
        <v>10258</v>
      </c>
      <c r="D107" s="1"/>
      <c r="E107" s="68"/>
      <c r="F107" s="70"/>
      <c r="G107" s="1"/>
      <c r="H107" s="68"/>
      <c r="I107" s="70"/>
      <c r="J107" s="74"/>
      <c r="K107" s="62"/>
      <c r="L107" s="62"/>
      <c r="M107" s="62"/>
      <c r="N107" s="62"/>
      <c r="O107" s="92"/>
      <c r="P107" s="85"/>
      <c r="Q107" s="64"/>
      <c r="R107" s="65"/>
      <c r="S107" s="99"/>
      <c r="T107" s="68"/>
      <c r="U107" s="76"/>
      <c r="V107" s="70"/>
      <c r="W107" s="78" t="s">
        <v>8085</v>
      </c>
      <c r="X107" s="62"/>
      <c r="Y107" s="63"/>
      <c r="Z107" s="75"/>
      <c r="AA107" s="67"/>
      <c r="AB107" s="68"/>
      <c r="AC107" s="76"/>
      <c r="AD107" s="70"/>
      <c r="AE107" s="228">
        <f>ROUND((_15_同援日０．５*(1+_15・盲ろう)),0)+ROUND((ROUND((_15_同援日０．５＿２．５*(1+_15・B夜間)),0)*(1+_15・盲ろう)),0)</f>
        <v>898</v>
      </c>
      <c r="AF107" s="69"/>
    </row>
    <row r="108" spans="1:32" ht="16.5" customHeight="1" x14ac:dyDescent="0.3">
      <c r="A108" s="2">
        <v>15</v>
      </c>
      <c r="B108" s="2">
        <v>9660</v>
      </c>
      <c r="C108" s="60" t="s">
        <v>10257</v>
      </c>
      <c r="D108" s="1"/>
      <c r="E108" s="68"/>
      <c r="F108" s="70"/>
      <c r="G108" s="1"/>
      <c r="H108" s="68"/>
      <c r="I108" s="70"/>
      <c r="J108" s="81"/>
      <c r="K108" s="57"/>
      <c r="L108" s="57"/>
      <c r="M108" s="57"/>
      <c r="N108" s="57"/>
      <c r="O108" s="89"/>
      <c r="P108" s="105" t="s">
        <v>5895</v>
      </c>
      <c r="Q108" s="64" t="s">
        <v>1</v>
      </c>
      <c r="R108" s="65">
        <v>1</v>
      </c>
      <c r="S108" s="99"/>
      <c r="T108" s="68"/>
      <c r="U108" s="76"/>
      <c r="V108" s="70"/>
      <c r="W108" s="94" t="s">
        <v>8083</v>
      </c>
      <c r="X108" s="68"/>
      <c r="Y108" s="76"/>
      <c r="Z108" s="70"/>
      <c r="AA108" s="67"/>
      <c r="AB108" s="68"/>
      <c r="AC108" s="76"/>
      <c r="AD108" s="70"/>
      <c r="AE108" s="228">
        <f>ROUND((ROUND((_15_同援日０．５*_15・２人),0)*(1+_15・盲ろう)),0)+ROUND((ROUND((ROUND((_15_同援日０．５＿２．５*_15・２人),0)*(1+_15・B夜間)),0)*(1+_15・盲ろう)),0)</f>
        <v>898</v>
      </c>
      <c r="AF108" s="69"/>
    </row>
    <row r="109" spans="1:32" ht="16.5" customHeight="1" x14ac:dyDescent="0.3">
      <c r="A109" s="2">
        <v>15</v>
      </c>
      <c r="B109" s="2">
        <v>9661</v>
      </c>
      <c r="C109" s="60" t="s">
        <v>10256</v>
      </c>
      <c r="D109" s="1"/>
      <c r="E109" s="68"/>
      <c r="F109" s="70"/>
      <c r="G109" s="1"/>
      <c r="H109" s="68"/>
      <c r="I109" s="70"/>
      <c r="J109" s="74" t="s">
        <v>18069</v>
      </c>
      <c r="K109" s="62"/>
      <c r="L109" s="62"/>
      <c r="M109" s="62"/>
      <c r="N109" s="62"/>
      <c r="O109" s="92"/>
      <c r="P109" s="85"/>
      <c r="Q109" s="64"/>
      <c r="R109" s="65"/>
      <c r="S109" s="99"/>
      <c r="T109" s="68"/>
      <c r="U109" s="76"/>
      <c r="V109" s="70"/>
      <c r="W109" s="67"/>
      <c r="X109" s="68" t="s">
        <v>1</v>
      </c>
      <c r="Y109" s="76">
        <v>0.25</v>
      </c>
      <c r="Z109" s="70" t="s">
        <v>422</v>
      </c>
      <c r="AA109" s="67"/>
      <c r="AB109" s="68"/>
      <c r="AC109" s="76"/>
      <c r="AD109" s="70"/>
      <c r="AE109" s="228">
        <f>ROUND((ROUND((_15_同援日０．５*_15・基礎２),0)*(1+_15・盲ろう)),0)+ROUND((ROUND((ROUND((_15_同援日０．５＿２．５*_15・基礎２),0)*(1+_15・B夜間)),0)*(1+_15・盲ろう)),0)</f>
        <v>808</v>
      </c>
      <c r="AF109" s="69"/>
    </row>
    <row r="110" spans="1:32" ht="16.5" customHeight="1" x14ac:dyDescent="0.3">
      <c r="A110" s="2">
        <v>15</v>
      </c>
      <c r="B110" s="2">
        <v>9662</v>
      </c>
      <c r="C110" s="60" t="s">
        <v>10255</v>
      </c>
      <c r="D110" s="1"/>
      <c r="E110" s="68"/>
      <c r="F110" s="70"/>
      <c r="G110" s="1"/>
      <c r="H110" s="68"/>
      <c r="I110" s="70"/>
      <c r="J110" s="81"/>
      <c r="K110" s="57"/>
      <c r="L110" s="57"/>
      <c r="M110" s="57"/>
      <c r="N110" s="57" t="s">
        <v>1</v>
      </c>
      <c r="O110" s="89">
        <v>0.9</v>
      </c>
      <c r="P110" s="105" t="s">
        <v>5895</v>
      </c>
      <c r="Q110" s="64" t="s">
        <v>1</v>
      </c>
      <c r="R110" s="65">
        <v>1</v>
      </c>
      <c r="S110" s="99"/>
      <c r="T110" s="68"/>
      <c r="U110" s="76"/>
      <c r="V110" s="70"/>
      <c r="W110" s="66"/>
      <c r="X110" s="57"/>
      <c r="Y110" s="58"/>
      <c r="Z110" s="77"/>
      <c r="AA110" s="66"/>
      <c r="AB110" s="57"/>
      <c r="AC110" s="58"/>
      <c r="AD110" s="77"/>
      <c r="AE110" s="228">
        <f>ROUND((ROUND((ROUND((_15_同援日０．５*_15・基礎２),0)*_15・２人),0)*(1+_15・盲ろう)),0)+ROUND((ROUND((ROUND((ROUND((_15_同援日０．５＿２．５*_15・基礎２),0)*_15・２人),0)*(1+_15・B夜間)),0)*(1+_15・盲ろう)),0)</f>
        <v>808</v>
      </c>
      <c r="AF110" s="69"/>
    </row>
    <row r="111" spans="1:32" ht="16.5" customHeight="1" x14ac:dyDescent="0.3">
      <c r="A111" s="2">
        <v>15</v>
      </c>
      <c r="B111" s="2">
        <v>9663</v>
      </c>
      <c r="C111" s="60" t="s">
        <v>10254</v>
      </c>
      <c r="D111" s="1"/>
      <c r="E111" s="68"/>
      <c r="F111" s="70"/>
      <c r="G111" s="1"/>
      <c r="H111" s="68"/>
      <c r="I111" s="70"/>
      <c r="J111" s="74"/>
      <c r="K111" s="62"/>
      <c r="L111" s="62"/>
      <c r="M111" s="62"/>
      <c r="N111" s="62"/>
      <c r="O111" s="92"/>
      <c r="P111" s="85"/>
      <c r="Q111" s="64"/>
      <c r="R111" s="65"/>
      <c r="S111" s="99"/>
      <c r="T111" s="68"/>
      <c r="U111" s="76"/>
      <c r="V111" s="70"/>
      <c r="W111" s="61"/>
      <c r="X111" s="62"/>
      <c r="Y111" s="63"/>
      <c r="Z111" s="75"/>
      <c r="AA111" s="61"/>
      <c r="AB111" s="62"/>
      <c r="AC111" s="63"/>
      <c r="AD111" s="75"/>
      <c r="AE111" s="228">
        <f>ROUND((_15_同援日０．５*(1+_15・区３)),0)+ROUND((ROUND((_15_同援日０．５＿２．５*(1+_15・B夜間)),0)*(1+_15・区３)),0)</f>
        <v>862</v>
      </c>
      <c r="AF111" s="69"/>
    </row>
    <row r="112" spans="1:32" ht="16.5" customHeight="1" x14ac:dyDescent="0.3">
      <c r="A112" s="2">
        <v>15</v>
      </c>
      <c r="B112" s="2">
        <v>9664</v>
      </c>
      <c r="C112" s="60" t="s">
        <v>10253</v>
      </c>
      <c r="D112" s="1"/>
      <c r="E112" s="68"/>
      <c r="F112" s="70"/>
      <c r="G112" s="1"/>
      <c r="H112" s="68"/>
      <c r="I112" s="70"/>
      <c r="J112" s="81"/>
      <c r="K112" s="57"/>
      <c r="L112" s="57"/>
      <c r="M112" s="57"/>
      <c r="N112" s="57"/>
      <c r="O112" s="89"/>
      <c r="P112" s="105" t="s">
        <v>5895</v>
      </c>
      <c r="Q112" s="64" t="s">
        <v>1</v>
      </c>
      <c r="R112" s="65">
        <v>1</v>
      </c>
      <c r="S112" s="99"/>
      <c r="T112" s="68"/>
      <c r="U112" s="76"/>
      <c r="V112" s="70"/>
      <c r="W112" s="67"/>
      <c r="X112" s="68"/>
      <c r="Y112" s="76"/>
      <c r="Z112" s="70"/>
      <c r="AA112" s="67"/>
      <c r="AB112" s="68"/>
      <c r="AC112" s="76"/>
      <c r="AD112" s="70"/>
      <c r="AE112" s="228">
        <f>ROUND((ROUND((_15_同援日０．５*_15・２人),0)*(1+_15・区３)),0)+ROUND((ROUND((ROUND((_15_同援日０．５＿２．５*_15・２人),0)*(1+_15・B夜間)),0)*(1+_15・区３)),0)</f>
        <v>862</v>
      </c>
      <c r="AF112" s="69"/>
    </row>
    <row r="113" spans="1:32" ht="16.5" customHeight="1" x14ac:dyDescent="0.3">
      <c r="A113" s="2">
        <v>15</v>
      </c>
      <c r="B113" s="2">
        <v>9665</v>
      </c>
      <c r="C113" s="60" t="s">
        <v>10252</v>
      </c>
      <c r="D113" s="1"/>
      <c r="E113" s="68"/>
      <c r="F113" s="70"/>
      <c r="G113" s="1"/>
      <c r="H113" s="68"/>
      <c r="I113" s="70"/>
      <c r="J113" s="74" t="s">
        <v>18069</v>
      </c>
      <c r="K113" s="62"/>
      <c r="L113" s="62"/>
      <c r="M113" s="62"/>
      <c r="N113" s="62"/>
      <c r="O113" s="92"/>
      <c r="P113" s="85"/>
      <c r="Q113" s="64"/>
      <c r="R113" s="65"/>
      <c r="S113" s="99"/>
      <c r="T113" s="68"/>
      <c r="U113" s="76"/>
      <c r="V113" s="70"/>
      <c r="W113" s="67"/>
      <c r="X113" s="68"/>
      <c r="Y113" s="76"/>
      <c r="Z113" s="70"/>
      <c r="AA113" s="1" t="s">
        <v>18062</v>
      </c>
      <c r="AB113" s="68"/>
      <c r="AC113" s="76"/>
      <c r="AD113" s="70"/>
      <c r="AE113" s="228">
        <f>ROUND((ROUND((_15_同援日０．５*_15・基礎２),0)*(1+_15・区３)),0)+ROUND((ROUND((ROUND((_15_同援日０．５＿２．５*_15・基礎２),0)*(1+_15・B夜間)),0)*(1+_15・区３)),0)</f>
        <v>775</v>
      </c>
      <c r="AF113" s="69"/>
    </row>
    <row r="114" spans="1:32" ht="16.5" customHeight="1" x14ac:dyDescent="0.3">
      <c r="A114" s="2">
        <v>15</v>
      </c>
      <c r="B114" s="2">
        <v>9666</v>
      </c>
      <c r="C114" s="60" t="s">
        <v>10251</v>
      </c>
      <c r="D114" s="1"/>
      <c r="E114" s="68"/>
      <c r="F114" s="70"/>
      <c r="G114" s="1"/>
      <c r="H114" s="68"/>
      <c r="I114" s="70"/>
      <c r="J114" s="81"/>
      <c r="K114" s="57"/>
      <c r="L114" s="57"/>
      <c r="M114" s="57"/>
      <c r="N114" s="57" t="s">
        <v>1</v>
      </c>
      <c r="O114" s="89">
        <v>0.9</v>
      </c>
      <c r="P114" s="105" t="s">
        <v>5895</v>
      </c>
      <c r="Q114" s="64" t="s">
        <v>1</v>
      </c>
      <c r="R114" s="65">
        <v>1</v>
      </c>
      <c r="S114" s="99"/>
      <c r="T114" s="68"/>
      <c r="U114" s="76"/>
      <c r="V114" s="70"/>
      <c r="W114" s="66"/>
      <c r="X114" s="57"/>
      <c r="Y114" s="58"/>
      <c r="Z114" s="77"/>
      <c r="AA114" s="1" t="s">
        <v>18060</v>
      </c>
      <c r="AB114" s="68"/>
      <c r="AC114" s="76"/>
      <c r="AD114" s="70"/>
      <c r="AE114" s="228">
        <f>ROUND((ROUND((ROUND((_15_同援日０．５*_15・基礎２),0)*_15・２人),0)*(1+_15・区３)),0)+ROUND((ROUND((ROUND((ROUND((_15_同援日０．５＿２．５*_15・基礎２),0)*_15・２人),0)*(1+_15・B夜間)),0)*(1+_15・区３)),0)</f>
        <v>775</v>
      </c>
      <c r="AF114" s="69"/>
    </row>
    <row r="115" spans="1:32" ht="16.5" customHeight="1" x14ac:dyDescent="0.3">
      <c r="A115" s="2">
        <v>15</v>
      </c>
      <c r="B115" s="2">
        <v>9667</v>
      </c>
      <c r="C115" s="60" t="s">
        <v>10250</v>
      </c>
      <c r="D115" s="1"/>
      <c r="E115" s="68"/>
      <c r="F115" s="70"/>
      <c r="G115" s="1"/>
      <c r="H115" s="68"/>
      <c r="I115" s="70"/>
      <c r="J115" s="74"/>
      <c r="K115" s="62"/>
      <c r="L115" s="62"/>
      <c r="M115" s="62"/>
      <c r="N115" s="62"/>
      <c r="O115" s="92"/>
      <c r="P115" s="85"/>
      <c r="Q115" s="64"/>
      <c r="R115" s="65"/>
      <c r="S115" s="99"/>
      <c r="T115" s="68"/>
      <c r="U115" s="76"/>
      <c r="V115" s="70"/>
      <c r="W115" s="78" t="s">
        <v>18059</v>
      </c>
      <c r="X115" s="62"/>
      <c r="Y115" s="63"/>
      <c r="Z115" s="75"/>
      <c r="AA115" s="67"/>
      <c r="AB115" s="68" t="s">
        <v>1</v>
      </c>
      <c r="AC115" s="76">
        <v>0.2</v>
      </c>
      <c r="AD115" s="70" t="s">
        <v>422</v>
      </c>
      <c r="AE115" s="228">
        <f>ROUND((ROUND((_15_同援日０．５*(1+_15・盲ろう)),0)*(1+_15・区３)),0)+ROUND((ROUND((ROUND((_15_同援日０．５＿２．５*(1+_15・B夜間)),0)*(1+_15・盲ろう)),0)*(1+_15・区３)),0)</f>
        <v>1078</v>
      </c>
      <c r="AF115" s="69"/>
    </row>
    <row r="116" spans="1:32" ht="16.5" customHeight="1" x14ac:dyDescent="0.3">
      <c r="A116" s="2">
        <v>15</v>
      </c>
      <c r="B116" s="2">
        <v>9668</v>
      </c>
      <c r="C116" s="60" t="s">
        <v>10249</v>
      </c>
      <c r="D116" s="1"/>
      <c r="E116" s="68"/>
      <c r="F116" s="70"/>
      <c r="G116" s="1"/>
      <c r="H116" s="68"/>
      <c r="I116" s="70"/>
      <c r="J116" s="81"/>
      <c r="K116" s="57"/>
      <c r="L116" s="57"/>
      <c r="M116" s="57"/>
      <c r="N116" s="57"/>
      <c r="O116" s="89"/>
      <c r="P116" s="105" t="s">
        <v>5895</v>
      </c>
      <c r="Q116" s="64" t="s">
        <v>1</v>
      </c>
      <c r="R116" s="65">
        <v>1</v>
      </c>
      <c r="S116" s="99"/>
      <c r="T116" s="68"/>
      <c r="U116" s="76"/>
      <c r="V116" s="70"/>
      <c r="W116" s="94" t="s">
        <v>18058</v>
      </c>
      <c r="X116" s="68"/>
      <c r="Y116" s="76"/>
      <c r="Z116" s="70"/>
      <c r="AA116" s="67"/>
      <c r="AB116" s="68"/>
      <c r="AC116" s="76"/>
      <c r="AD116" s="70"/>
      <c r="AE116" s="228">
        <f>ROUND((ROUND((ROUND((_15_同援日０．５*_15・２人),0)*(1+_15・盲ろう)),0)*(1+_15・区３)),0)+ROUND((ROUND((ROUND((ROUND((_15_同援日０．５＿２．５*_15・２人),0)*(1+_15・B夜間)),0)*(1+_15・盲ろう)),0)*(1+_15・区３)),0)</f>
        <v>1078</v>
      </c>
      <c r="AF116" s="69"/>
    </row>
    <row r="117" spans="1:32" ht="16.5" customHeight="1" x14ac:dyDescent="0.3">
      <c r="A117" s="2">
        <v>15</v>
      </c>
      <c r="B117" s="2">
        <v>9669</v>
      </c>
      <c r="C117" s="60" t="s">
        <v>10248</v>
      </c>
      <c r="D117" s="1"/>
      <c r="E117" s="68"/>
      <c r="F117" s="70"/>
      <c r="G117" s="1"/>
      <c r="H117" s="68"/>
      <c r="I117" s="70"/>
      <c r="J117" s="74" t="s">
        <v>6260</v>
      </c>
      <c r="K117" s="62"/>
      <c r="L117" s="62"/>
      <c r="M117" s="62"/>
      <c r="N117" s="62"/>
      <c r="O117" s="92"/>
      <c r="P117" s="85"/>
      <c r="Q117" s="64"/>
      <c r="R117" s="65"/>
      <c r="S117" s="99"/>
      <c r="T117" s="68"/>
      <c r="U117" s="76"/>
      <c r="V117" s="70"/>
      <c r="W117" s="67"/>
      <c r="X117" s="68" t="s">
        <v>1</v>
      </c>
      <c r="Y117" s="76">
        <v>0.25</v>
      </c>
      <c r="Z117" s="70" t="s">
        <v>422</v>
      </c>
      <c r="AA117" s="67"/>
      <c r="AB117" s="68"/>
      <c r="AC117" s="76"/>
      <c r="AD117" s="70"/>
      <c r="AE117" s="228">
        <f>ROUND((ROUND((ROUND((_15_同援日０．５*_15・基礎２),0)*(1+_15・盲ろう)),0)*(1+_15・区３)),0)+ROUND((ROUND((ROUND((ROUND((_15_同援日０．５＿２．５*_15・基礎２),0)*(1+_15・B夜間)),0)*(1+_15・盲ろう)),0)*(1+_15・区３)),0)</f>
        <v>970</v>
      </c>
      <c r="AF117" s="69"/>
    </row>
    <row r="118" spans="1:32" ht="16.5" customHeight="1" x14ac:dyDescent="0.3">
      <c r="A118" s="2">
        <v>15</v>
      </c>
      <c r="B118" s="2">
        <v>9670</v>
      </c>
      <c r="C118" s="60" t="s">
        <v>10247</v>
      </c>
      <c r="D118" s="1"/>
      <c r="E118" s="68"/>
      <c r="F118" s="70"/>
      <c r="G118" s="1"/>
      <c r="H118" s="68"/>
      <c r="I118" s="70"/>
      <c r="J118" s="81"/>
      <c r="K118" s="57"/>
      <c r="L118" s="57"/>
      <c r="M118" s="57"/>
      <c r="N118" s="57" t="s">
        <v>1</v>
      </c>
      <c r="O118" s="89">
        <v>0.9</v>
      </c>
      <c r="P118" s="105" t="s">
        <v>5895</v>
      </c>
      <c r="Q118" s="64" t="s">
        <v>1</v>
      </c>
      <c r="R118" s="65">
        <v>1</v>
      </c>
      <c r="S118" s="99"/>
      <c r="T118" s="68"/>
      <c r="U118" s="76"/>
      <c r="V118" s="70"/>
      <c r="W118" s="66"/>
      <c r="X118" s="57"/>
      <c r="Y118" s="58"/>
      <c r="Z118" s="77"/>
      <c r="AA118" s="66"/>
      <c r="AB118" s="57"/>
      <c r="AC118" s="58"/>
      <c r="AD118" s="77"/>
      <c r="AE118" s="228">
        <f>ROUND((ROUND((ROUND((ROUND((_15_同援日０．５*_15・基礎２),0)*_15・２人),0)*(1+_15・盲ろう)),0)*(1+_15・区３)),0)+ROUND((ROUND((ROUND((ROUND((ROUND((_15_同援日０．５＿２．５*_15・基礎２),0)*_15・２人),0)*(1+_15・B夜間)),0)*(1+_15・盲ろう)),0)*(1+_15・区３)),0)</f>
        <v>970</v>
      </c>
      <c r="AF118" s="69"/>
    </row>
    <row r="119" spans="1:32" ht="16.5" customHeight="1" x14ac:dyDescent="0.3">
      <c r="A119" s="2">
        <v>15</v>
      </c>
      <c r="B119" s="2">
        <v>9671</v>
      </c>
      <c r="C119" s="60" t="s">
        <v>10246</v>
      </c>
      <c r="D119" s="1"/>
      <c r="E119" s="68"/>
      <c r="F119" s="70"/>
      <c r="G119" s="1"/>
      <c r="H119" s="68"/>
      <c r="I119" s="70"/>
      <c r="J119" s="74"/>
      <c r="K119" s="62"/>
      <c r="L119" s="62"/>
      <c r="M119" s="62"/>
      <c r="N119" s="62"/>
      <c r="O119" s="92"/>
      <c r="P119" s="85"/>
      <c r="Q119" s="64"/>
      <c r="R119" s="65"/>
      <c r="S119" s="99"/>
      <c r="T119" s="68"/>
      <c r="U119" s="76"/>
      <c r="V119" s="70"/>
      <c r="W119" s="61"/>
      <c r="X119" s="62"/>
      <c r="Y119" s="63"/>
      <c r="Z119" s="75"/>
      <c r="AA119" s="61"/>
      <c r="AB119" s="62"/>
      <c r="AC119" s="63"/>
      <c r="AD119" s="75"/>
      <c r="AE119" s="228">
        <f>ROUND((_15_同援日０．５*(1+_15・区４)),0)+ROUND((ROUND((_15_同援日０．５＿２．５*(1+_15・B夜間)),0)*(1+_15・区４)),0)</f>
        <v>1006</v>
      </c>
      <c r="AF119" s="69"/>
    </row>
    <row r="120" spans="1:32" ht="16.5" customHeight="1" x14ac:dyDescent="0.3">
      <c r="A120" s="2">
        <v>15</v>
      </c>
      <c r="B120" s="2">
        <v>9672</v>
      </c>
      <c r="C120" s="60" t="s">
        <v>10245</v>
      </c>
      <c r="D120" s="1"/>
      <c r="E120" s="68"/>
      <c r="F120" s="70"/>
      <c r="G120" s="1"/>
      <c r="H120" s="68"/>
      <c r="I120" s="70"/>
      <c r="J120" s="81"/>
      <c r="K120" s="57"/>
      <c r="L120" s="57"/>
      <c r="M120" s="57"/>
      <c r="N120" s="57"/>
      <c r="O120" s="89"/>
      <c r="P120" s="105" t="s">
        <v>5895</v>
      </c>
      <c r="Q120" s="64" t="s">
        <v>1</v>
      </c>
      <c r="R120" s="65">
        <v>1</v>
      </c>
      <c r="S120" s="99"/>
      <c r="T120" s="68"/>
      <c r="U120" s="76"/>
      <c r="V120" s="70"/>
      <c r="W120" s="67"/>
      <c r="X120" s="68"/>
      <c r="Y120" s="76"/>
      <c r="Z120" s="70"/>
      <c r="AA120" s="67"/>
      <c r="AB120" s="68"/>
      <c r="AC120" s="76"/>
      <c r="AD120" s="70"/>
      <c r="AE120" s="228">
        <f>ROUND((ROUND((_15_同援日０．５*_15・２人),0)*(1+_15・区４)),0)+ROUND((ROUND((ROUND((_15_同援日０．５＿２．５*_15・２人),0)*(1+_15・B夜間)),0)*(1+_15・区４)),0)</f>
        <v>1006</v>
      </c>
      <c r="AF120" s="69"/>
    </row>
    <row r="121" spans="1:32" ht="16.5" customHeight="1" x14ac:dyDescent="0.3">
      <c r="A121" s="2">
        <v>15</v>
      </c>
      <c r="B121" s="2">
        <v>9673</v>
      </c>
      <c r="C121" s="60" t="s">
        <v>10244</v>
      </c>
      <c r="D121" s="1"/>
      <c r="E121" s="68"/>
      <c r="F121" s="70"/>
      <c r="G121" s="1"/>
      <c r="H121" s="68"/>
      <c r="I121" s="70"/>
      <c r="J121" s="74" t="s">
        <v>6260</v>
      </c>
      <c r="K121" s="62"/>
      <c r="L121" s="62"/>
      <c r="M121" s="62"/>
      <c r="N121" s="62"/>
      <c r="O121" s="92"/>
      <c r="P121" s="85"/>
      <c r="Q121" s="64"/>
      <c r="R121" s="65"/>
      <c r="S121" s="99"/>
      <c r="T121" s="68"/>
      <c r="U121" s="76"/>
      <c r="V121" s="70"/>
      <c r="W121" s="67"/>
      <c r="X121" s="68"/>
      <c r="Y121" s="76"/>
      <c r="Z121" s="70"/>
      <c r="AA121" s="1" t="s">
        <v>18061</v>
      </c>
      <c r="AB121" s="68"/>
      <c r="AC121" s="76"/>
      <c r="AD121" s="70"/>
      <c r="AE121" s="228">
        <f>ROUND((ROUND((_15_同援日０．５*_15・基礎２),0)*(1+_15・区４)),0)+ROUND((ROUND((ROUND((_15_同援日０．５＿２．５*_15・基礎２),0)*(1+_15・B夜間)),0)*(1+_15・区４)),0)</f>
        <v>904</v>
      </c>
      <c r="AF121" s="69"/>
    </row>
    <row r="122" spans="1:32" ht="16.5" customHeight="1" x14ac:dyDescent="0.3">
      <c r="A122" s="2">
        <v>15</v>
      </c>
      <c r="B122" s="2">
        <v>9674</v>
      </c>
      <c r="C122" s="60" t="s">
        <v>10243</v>
      </c>
      <c r="D122" s="1"/>
      <c r="E122" s="68"/>
      <c r="F122" s="70"/>
      <c r="G122" s="1"/>
      <c r="H122" s="68"/>
      <c r="I122" s="70"/>
      <c r="J122" s="81"/>
      <c r="K122" s="57"/>
      <c r="L122" s="57"/>
      <c r="M122" s="57"/>
      <c r="N122" s="57" t="s">
        <v>1</v>
      </c>
      <c r="O122" s="89">
        <v>0.9</v>
      </c>
      <c r="P122" s="105" t="s">
        <v>5895</v>
      </c>
      <c r="Q122" s="64" t="s">
        <v>1</v>
      </c>
      <c r="R122" s="65">
        <v>1</v>
      </c>
      <c r="S122" s="99"/>
      <c r="T122" s="68"/>
      <c r="U122" s="76"/>
      <c r="V122" s="70"/>
      <c r="W122" s="66"/>
      <c r="X122" s="57"/>
      <c r="Y122" s="58"/>
      <c r="Z122" s="77"/>
      <c r="AA122" s="1" t="s">
        <v>8087</v>
      </c>
      <c r="AB122" s="68"/>
      <c r="AC122" s="76"/>
      <c r="AD122" s="70"/>
      <c r="AE122" s="228">
        <f>ROUND((ROUND((ROUND((_15_同援日０．５*_15・基礎２),0)*_15・２人),0)*(1+_15・区４)),0)+ROUND((ROUND((ROUND((ROUND((_15_同援日０．５＿２．５*_15・基礎２),0)*_15・２人),0)*(1+_15・B夜間)),0)*(1+_15・区４)),0)</f>
        <v>904</v>
      </c>
      <c r="AF122" s="69"/>
    </row>
    <row r="123" spans="1:32" ht="16.5" customHeight="1" x14ac:dyDescent="0.3">
      <c r="A123" s="2">
        <v>15</v>
      </c>
      <c r="B123" s="2">
        <v>9675</v>
      </c>
      <c r="C123" s="60" t="s">
        <v>10242</v>
      </c>
      <c r="D123" s="1"/>
      <c r="E123" s="68"/>
      <c r="F123" s="70"/>
      <c r="G123" s="1"/>
      <c r="H123" s="68"/>
      <c r="I123" s="70"/>
      <c r="J123" s="74"/>
      <c r="K123" s="62"/>
      <c r="L123" s="62"/>
      <c r="M123" s="62"/>
      <c r="N123" s="62"/>
      <c r="O123" s="92"/>
      <c r="P123" s="85"/>
      <c r="Q123" s="64"/>
      <c r="R123" s="65"/>
      <c r="S123" s="99"/>
      <c r="T123" s="68"/>
      <c r="U123" s="76"/>
      <c r="V123" s="70"/>
      <c r="W123" s="78" t="s">
        <v>18059</v>
      </c>
      <c r="X123" s="62"/>
      <c r="Y123" s="63"/>
      <c r="Z123" s="75"/>
      <c r="AA123" s="67"/>
      <c r="AB123" s="68" t="s">
        <v>1</v>
      </c>
      <c r="AC123" s="76">
        <v>0.4</v>
      </c>
      <c r="AD123" s="70" t="s">
        <v>422</v>
      </c>
      <c r="AE123" s="228">
        <f>ROUND((ROUND((_15_同援日０．５*(1+_15・盲ろう)),0)*(1+_15・区４)),0)+ROUND((ROUND((ROUND((_15_同援日０．５＿２．５*(1+_15・B夜間)),0)*(1+_15・盲ろう)),0)*(1+_15・区４)),0)</f>
        <v>1257</v>
      </c>
      <c r="AF123" s="69"/>
    </row>
    <row r="124" spans="1:32" ht="16.5" customHeight="1" x14ac:dyDescent="0.3">
      <c r="A124" s="2">
        <v>15</v>
      </c>
      <c r="B124" s="2">
        <v>9676</v>
      </c>
      <c r="C124" s="60" t="s">
        <v>10241</v>
      </c>
      <c r="D124" s="1"/>
      <c r="E124" s="68"/>
      <c r="F124" s="70"/>
      <c r="G124" s="1"/>
      <c r="H124" s="68"/>
      <c r="I124" s="70"/>
      <c r="J124" s="81"/>
      <c r="K124" s="57"/>
      <c r="L124" s="57"/>
      <c r="M124" s="57"/>
      <c r="N124" s="57"/>
      <c r="O124" s="89"/>
      <c r="P124" s="105" t="s">
        <v>5895</v>
      </c>
      <c r="Q124" s="64" t="s">
        <v>1</v>
      </c>
      <c r="R124" s="65">
        <v>1</v>
      </c>
      <c r="S124" s="99"/>
      <c r="T124" s="68"/>
      <c r="U124" s="76"/>
      <c r="V124" s="70"/>
      <c r="W124" s="94" t="s">
        <v>18058</v>
      </c>
      <c r="X124" s="68"/>
      <c r="Y124" s="76"/>
      <c r="Z124" s="70"/>
      <c r="AA124" s="67"/>
      <c r="AB124" s="68"/>
      <c r="AC124" s="76"/>
      <c r="AD124" s="70"/>
      <c r="AE124" s="228">
        <f>ROUND((ROUND((ROUND((_15_同援日０．５*_15・２人),0)*(1+_15・盲ろう)),0)*(1+_15・区４)),0)+ROUND((ROUND((ROUND((ROUND((_15_同援日０．５＿２．５*_15・２人),0)*(1+_15・B夜間)),0)*(1+_15・盲ろう)),0)*(1+_15・区４)),0)</f>
        <v>1257</v>
      </c>
      <c r="AF124" s="69"/>
    </row>
    <row r="125" spans="1:32" ht="16.5" customHeight="1" x14ac:dyDescent="0.3">
      <c r="A125" s="2">
        <v>15</v>
      </c>
      <c r="B125" s="2">
        <v>9677</v>
      </c>
      <c r="C125" s="60" t="s">
        <v>10240</v>
      </c>
      <c r="D125" s="1"/>
      <c r="E125" s="68"/>
      <c r="F125" s="70"/>
      <c r="G125" s="1"/>
      <c r="H125" s="68"/>
      <c r="I125" s="70"/>
      <c r="J125" s="74" t="s">
        <v>18069</v>
      </c>
      <c r="K125" s="62"/>
      <c r="L125" s="62"/>
      <c r="M125" s="62"/>
      <c r="N125" s="62"/>
      <c r="O125" s="92"/>
      <c r="P125" s="85"/>
      <c r="Q125" s="64"/>
      <c r="R125" s="65"/>
      <c r="S125" s="99"/>
      <c r="T125" s="68"/>
      <c r="U125" s="76"/>
      <c r="V125" s="70"/>
      <c r="W125" s="67"/>
      <c r="X125" s="68" t="s">
        <v>1</v>
      </c>
      <c r="Y125" s="76">
        <v>0.25</v>
      </c>
      <c r="Z125" s="70" t="s">
        <v>422</v>
      </c>
      <c r="AA125" s="67"/>
      <c r="AB125" s="68"/>
      <c r="AC125" s="76"/>
      <c r="AD125" s="70"/>
      <c r="AE125" s="228">
        <f>ROUND((ROUND((ROUND((_15_同援日０．５*_15・基礎２),0)*(1+_15・盲ろう)),0)*(1+_15・区４)),0)+ROUND((ROUND((ROUND((ROUND((_15_同援日０．５＿２．５*_15・基礎２),0)*(1+_15・B夜間)),0)*(1+_15・盲ろう)),0)*(1+_15・区４)),0)</f>
        <v>1131</v>
      </c>
      <c r="AF125" s="69"/>
    </row>
    <row r="126" spans="1:32" ht="16.5" customHeight="1" x14ac:dyDescent="0.3">
      <c r="A126" s="2">
        <v>15</v>
      </c>
      <c r="B126" s="2">
        <v>9678</v>
      </c>
      <c r="C126" s="60" t="s">
        <v>10239</v>
      </c>
      <c r="D126" s="81"/>
      <c r="E126" s="57"/>
      <c r="F126" s="77"/>
      <c r="G126" s="81"/>
      <c r="H126" s="57"/>
      <c r="I126" s="77"/>
      <c r="J126" s="81"/>
      <c r="K126" s="57"/>
      <c r="L126" s="57"/>
      <c r="M126" s="57"/>
      <c r="N126" s="57" t="s">
        <v>1</v>
      </c>
      <c r="O126" s="89">
        <v>0.9</v>
      </c>
      <c r="P126" s="105" t="s">
        <v>5895</v>
      </c>
      <c r="Q126" s="64" t="s">
        <v>1</v>
      </c>
      <c r="R126" s="65">
        <v>1</v>
      </c>
      <c r="S126" s="99"/>
      <c r="T126" s="68"/>
      <c r="U126" s="76"/>
      <c r="V126" s="70"/>
      <c r="W126" s="66"/>
      <c r="X126" s="57"/>
      <c r="Y126" s="58"/>
      <c r="Z126" s="77"/>
      <c r="AA126" s="66"/>
      <c r="AB126" s="57"/>
      <c r="AC126" s="58"/>
      <c r="AD126" s="77"/>
      <c r="AE126" s="228">
        <f>ROUND((ROUND((ROUND((ROUND((_15_同援日０．５*_15・基礎２),0)*_15・２人),0)*(1+_15・盲ろう)),0)*(1+_15・区４)),0)+ROUND((ROUND((ROUND((ROUND((ROUND((_15_同援日０．５＿２．５*_15・基礎２),0)*_15・２人),0)*(1+_15・B夜間)),0)*(1+_15・盲ろう)),0)*(1+_15・区４)),0)</f>
        <v>1131</v>
      </c>
      <c r="AF126" s="69"/>
    </row>
    <row r="127" spans="1:32" ht="16.5" customHeight="1" x14ac:dyDescent="0.3">
      <c r="A127" s="2">
        <v>15</v>
      </c>
      <c r="B127" s="2">
        <v>9679</v>
      </c>
      <c r="C127" s="60" t="s">
        <v>10238</v>
      </c>
      <c r="D127" s="233" t="s">
        <v>16300</v>
      </c>
      <c r="E127" s="235"/>
      <c r="F127" s="75"/>
      <c r="G127" s="233" t="s">
        <v>18071</v>
      </c>
      <c r="H127" s="62"/>
      <c r="I127" s="75"/>
      <c r="J127" s="74"/>
      <c r="K127" s="62"/>
      <c r="L127" s="62"/>
      <c r="M127" s="62"/>
      <c r="N127" s="62"/>
      <c r="O127" s="92"/>
      <c r="P127" s="85"/>
      <c r="Q127" s="64"/>
      <c r="R127" s="65"/>
      <c r="S127" s="99"/>
      <c r="T127" s="68"/>
      <c r="U127" s="76"/>
      <c r="V127" s="70"/>
      <c r="W127" s="61"/>
      <c r="X127" s="62"/>
      <c r="Y127" s="63"/>
      <c r="Z127" s="75"/>
      <c r="AA127" s="61"/>
      <c r="AB127" s="62"/>
      <c r="AC127" s="63"/>
      <c r="AD127" s="75"/>
      <c r="AE127" s="228">
        <f>_15_同援日１．０+ROUND((_15_同援日１．０＿０．５*(1+_15・B夜間)),0)</f>
        <v>453</v>
      </c>
      <c r="AF127" s="69"/>
    </row>
    <row r="128" spans="1:32" ht="16.5" customHeight="1" x14ac:dyDescent="0.3">
      <c r="A128" s="2">
        <v>15</v>
      </c>
      <c r="B128" s="2">
        <v>9680</v>
      </c>
      <c r="C128" s="60" t="s">
        <v>10237</v>
      </c>
      <c r="D128" s="1" t="s">
        <v>18078</v>
      </c>
      <c r="E128" s="68"/>
      <c r="F128" s="70"/>
      <c r="G128" s="1" t="s">
        <v>7928</v>
      </c>
      <c r="H128" s="68"/>
      <c r="I128" s="70"/>
      <c r="J128" s="81"/>
      <c r="K128" s="57"/>
      <c r="L128" s="57"/>
      <c r="M128" s="57"/>
      <c r="N128" s="57"/>
      <c r="O128" s="89"/>
      <c r="P128" s="105" t="s">
        <v>5895</v>
      </c>
      <c r="Q128" s="64" t="s">
        <v>1</v>
      </c>
      <c r="R128" s="65">
        <v>1</v>
      </c>
      <c r="S128" s="99"/>
      <c r="T128" s="68"/>
      <c r="U128" s="76"/>
      <c r="V128" s="70"/>
      <c r="W128" s="67"/>
      <c r="X128" s="68"/>
      <c r="Y128" s="76"/>
      <c r="Z128" s="70"/>
      <c r="AA128" s="67"/>
      <c r="AB128" s="68"/>
      <c r="AC128" s="76"/>
      <c r="AD128" s="70"/>
      <c r="AE128" s="228">
        <f>ROUND((_15_同援日１．０*_15・２人),0)+ROUND((ROUND((_15_同援日１．０＿０．５*_15・２人),0)*(1+_15・B夜間)),0)</f>
        <v>453</v>
      </c>
      <c r="AF128" s="69"/>
    </row>
    <row r="129" spans="1:32" ht="16.5" customHeight="1" x14ac:dyDescent="0.3">
      <c r="A129" s="2">
        <v>15</v>
      </c>
      <c r="B129" s="2">
        <v>9681</v>
      </c>
      <c r="C129" s="60" t="s">
        <v>10236</v>
      </c>
      <c r="D129" s="1" t="s">
        <v>8572</v>
      </c>
      <c r="E129" s="68"/>
      <c r="F129" s="70"/>
      <c r="G129" s="1"/>
      <c r="H129" s="68"/>
      <c r="I129" s="70"/>
      <c r="J129" s="74" t="s">
        <v>18069</v>
      </c>
      <c r="K129" s="62"/>
      <c r="L129" s="62"/>
      <c r="M129" s="62"/>
      <c r="N129" s="62"/>
      <c r="O129" s="92"/>
      <c r="P129" s="85"/>
      <c r="Q129" s="64"/>
      <c r="R129" s="65"/>
      <c r="S129" s="99"/>
      <c r="T129" s="68"/>
      <c r="U129" s="76"/>
      <c r="V129" s="70"/>
      <c r="W129" s="67"/>
      <c r="X129" s="68"/>
      <c r="Y129" s="76"/>
      <c r="Z129" s="70"/>
      <c r="AA129" s="67"/>
      <c r="AB129" s="68"/>
      <c r="AC129" s="76"/>
      <c r="AD129" s="70"/>
      <c r="AE129" s="228">
        <f>ROUND((_15_同援日１．０*_15・基礎２),0)+ROUND((ROUND((_15_同援日１．０＿０．５*_15・基礎２),0)*(1+_15・B夜間)),0)</f>
        <v>408</v>
      </c>
      <c r="AF129" s="69"/>
    </row>
    <row r="130" spans="1:32" ht="16.5" customHeight="1" x14ac:dyDescent="0.3">
      <c r="A130" s="2">
        <v>15</v>
      </c>
      <c r="B130" s="2">
        <v>9682</v>
      </c>
      <c r="C130" s="60" t="s">
        <v>10235</v>
      </c>
      <c r="D130" s="1"/>
      <c r="E130" s="227">
        <v>292</v>
      </c>
      <c r="F130" s="70" t="s">
        <v>0</v>
      </c>
      <c r="G130" s="1"/>
      <c r="H130" s="119">
        <v>129</v>
      </c>
      <c r="I130" s="70" t="s">
        <v>0</v>
      </c>
      <c r="J130" s="81"/>
      <c r="K130" s="57"/>
      <c r="L130" s="57"/>
      <c r="M130" s="57"/>
      <c r="N130" s="57" t="s">
        <v>1</v>
      </c>
      <c r="O130" s="89">
        <v>0.9</v>
      </c>
      <c r="P130" s="105" t="s">
        <v>5895</v>
      </c>
      <c r="Q130" s="64" t="s">
        <v>1</v>
      </c>
      <c r="R130" s="65">
        <v>1</v>
      </c>
      <c r="S130" s="99"/>
      <c r="T130" s="68"/>
      <c r="U130" s="76"/>
      <c r="V130" s="70"/>
      <c r="W130" s="66"/>
      <c r="X130" s="57"/>
      <c r="Y130" s="58"/>
      <c r="Z130" s="77"/>
      <c r="AA130" s="67"/>
      <c r="AB130" s="68"/>
      <c r="AC130" s="76"/>
      <c r="AD130" s="70"/>
      <c r="AE130" s="228">
        <f>ROUND((ROUND((_15_同援日１．０*_15・基礎２),0)*_15・２人),0)+ROUND((ROUND((ROUND((_15_同援日１．０＿０．５*_15・基礎２),0)*_15・２人),0)*(1+_15・B夜間)),0)</f>
        <v>408</v>
      </c>
      <c r="AF130" s="69"/>
    </row>
    <row r="131" spans="1:32" ht="16.5" customHeight="1" x14ac:dyDescent="0.3">
      <c r="A131" s="2">
        <v>15</v>
      </c>
      <c r="B131" s="2">
        <v>9683</v>
      </c>
      <c r="C131" s="60" t="s">
        <v>10234</v>
      </c>
      <c r="D131" s="1"/>
      <c r="E131" s="68"/>
      <c r="F131" s="70"/>
      <c r="G131" s="1"/>
      <c r="H131" s="68"/>
      <c r="I131" s="70"/>
      <c r="J131" s="74"/>
      <c r="K131" s="62"/>
      <c r="L131" s="62"/>
      <c r="M131" s="62"/>
      <c r="N131" s="62"/>
      <c r="O131" s="92"/>
      <c r="P131" s="85"/>
      <c r="Q131" s="64"/>
      <c r="R131" s="65"/>
      <c r="S131" s="99"/>
      <c r="T131" s="68"/>
      <c r="U131" s="76"/>
      <c r="V131" s="70"/>
      <c r="W131" s="78" t="s">
        <v>18059</v>
      </c>
      <c r="X131" s="62"/>
      <c r="Y131" s="63"/>
      <c r="Z131" s="75"/>
      <c r="AA131" s="67"/>
      <c r="AB131" s="68"/>
      <c r="AC131" s="76"/>
      <c r="AD131" s="70"/>
      <c r="AE131" s="228">
        <f>ROUND((_15_同援日１．０*(1+_15・盲ろう)),0)+ROUND((ROUND((_15_同援日１．０＿０．５*(1+_15・B夜間)),0)*(1+_15・盲ろう)),0)</f>
        <v>566</v>
      </c>
      <c r="AF131" s="69"/>
    </row>
    <row r="132" spans="1:32" ht="16.5" customHeight="1" x14ac:dyDescent="0.3">
      <c r="A132" s="2">
        <v>15</v>
      </c>
      <c r="B132" s="2">
        <v>9684</v>
      </c>
      <c r="C132" s="60" t="s">
        <v>10233</v>
      </c>
      <c r="D132" s="1"/>
      <c r="E132" s="68"/>
      <c r="F132" s="70"/>
      <c r="G132" s="1"/>
      <c r="H132" s="68"/>
      <c r="I132" s="70"/>
      <c r="J132" s="81"/>
      <c r="K132" s="57"/>
      <c r="L132" s="57"/>
      <c r="M132" s="57"/>
      <c r="N132" s="57"/>
      <c r="O132" s="89"/>
      <c r="P132" s="105" t="s">
        <v>5895</v>
      </c>
      <c r="Q132" s="64" t="s">
        <v>1</v>
      </c>
      <c r="R132" s="65">
        <v>1</v>
      </c>
      <c r="S132" s="99"/>
      <c r="T132" s="68"/>
      <c r="U132" s="76"/>
      <c r="V132" s="70"/>
      <c r="W132" s="94" t="s">
        <v>18058</v>
      </c>
      <c r="X132" s="68"/>
      <c r="Y132" s="76"/>
      <c r="Z132" s="70"/>
      <c r="AA132" s="67"/>
      <c r="AB132" s="68"/>
      <c r="AC132" s="76"/>
      <c r="AD132" s="70"/>
      <c r="AE132" s="228">
        <f>ROUND((ROUND((_15_同援日１．０*_15・２人),0)*(1+_15・盲ろう)),0)+ROUND((ROUND((ROUND((_15_同援日１．０＿０．５*_15・２人),0)*(1+_15・B夜間)),0)*(1+_15・盲ろう)),0)</f>
        <v>566</v>
      </c>
      <c r="AF132" s="69"/>
    </row>
    <row r="133" spans="1:32" ht="16.5" customHeight="1" x14ac:dyDescent="0.3">
      <c r="A133" s="2">
        <v>15</v>
      </c>
      <c r="B133" s="2">
        <v>9685</v>
      </c>
      <c r="C133" s="60" t="s">
        <v>10232</v>
      </c>
      <c r="D133" s="1"/>
      <c r="E133" s="68"/>
      <c r="F133" s="70"/>
      <c r="G133" s="1"/>
      <c r="H133" s="68"/>
      <c r="I133" s="70"/>
      <c r="J133" s="74" t="s">
        <v>18069</v>
      </c>
      <c r="K133" s="62"/>
      <c r="L133" s="62"/>
      <c r="M133" s="62"/>
      <c r="N133" s="62"/>
      <c r="O133" s="92"/>
      <c r="P133" s="85"/>
      <c r="Q133" s="64"/>
      <c r="R133" s="65"/>
      <c r="S133" s="99"/>
      <c r="T133" s="68"/>
      <c r="U133" s="76"/>
      <c r="V133" s="70"/>
      <c r="W133" s="67"/>
      <c r="X133" s="68" t="s">
        <v>1</v>
      </c>
      <c r="Y133" s="76">
        <v>0.25</v>
      </c>
      <c r="Z133" s="70" t="s">
        <v>422</v>
      </c>
      <c r="AA133" s="67"/>
      <c r="AB133" s="68"/>
      <c r="AC133" s="76"/>
      <c r="AD133" s="70"/>
      <c r="AE133" s="228">
        <f>ROUND((ROUND((_15_同援日１．０*_15・基礎２),0)*(1+_15・盲ろう)),0)+ROUND((ROUND((ROUND((_15_同援日１．０＿０．５*_15・基礎２),0)*(1+_15・B夜間)),0)*(1+_15・盲ろう)),0)</f>
        <v>510</v>
      </c>
      <c r="AF133" s="69"/>
    </row>
    <row r="134" spans="1:32" ht="16.5" customHeight="1" x14ac:dyDescent="0.3">
      <c r="A134" s="2">
        <v>15</v>
      </c>
      <c r="B134" s="2">
        <v>9686</v>
      </c>
      <c r="C134" s="60" t="s">
        <v>10231</v>
      </c>
      <c r="D134" s="1"/>
      <c r="E134" s="68"/>
      <c r="F134" s="70"/>
      <c r="G134" s="1"/>
      <c r="H134" s="68"/>
      <c r="I134" s="70"/>
      <c r="J134" s="81"/>
      <c r="K134" s="57"/>
      <c r="L134" s="57"/>
      <c r="M134" s="57"/>
      <c r="N134" s="57" t="s">
        <v>1</v>
      </c>
      <c r="O134" s="89">
        <v>0.9</v>
      </c>
      <c r="P134" s="105" t="s">
        <v>5895</v>
      </c>
      <c r="Q134" s="64" t="s">
        <v>1</v>
      </c>
      <c r="R134" s="65">
        <v>1</v>
      </c>
      <c r="S134" s="99"/>
      <c r="T134" s="68"/>
      <c r="U134" s="76"/>
      <c r="V134" s="70"/>
      <c r="W134" s="66"/>
      <c r="X134" s="57"/>
      <c r="Y134" s="58"/>
      <c r="Z134" s="77"/>
      <c r="AA134" s="66"/>
      <c r="AB134" s="57"/>
      <c r="AC134" s="58"/>
      <c r="AD134" s="77"/>
      <c r="AE134" s="228">
        <f>ROUND((ROUND((ROUND((_15_同援日１．０*_15・基礎２),0)*_15・２人),0)*(1+_15・盲ろう)),0)+ROUND((ROUND((ROUND((ROUND((_15_同援日１．０＿０．５*_15・基礎２),0)*_15・２人),0)*(1+_15・B夜間)),0)*(1+_15・盲ろう)),0)</f>
        <v>510</v>
      </c>
      <c r="AF134" s="69"/>
    </row>
    <row r="135" spans="1:32" ht="16.5" customHeight="1" x14ac:dyDescent="0.3">
      <c r="A135" s="2">
        <v>15</v>
      </c>
      <c r="B135" s="2">
        <v>9687</v>
      </c>
      <c r="C135" s="60" t="s">
        <v>10230</v>
      </c>
      <c r="D135" s="1"/>
      <c r="E135" s="68"/>
      <c r="F135" s="70"/>
      <c r="G135" s="1"/>
      <c r="H135" s="68"/>
      <c r="I135" s="70"/>
      <c r="J135" s="74"/>
      <c r="K135" s="62"/>
      <c r="L135" s="62"/>
      <c r="M135" s="62"/>
      <c r="N135" s="62"/>
      <c r="O135" s="92"/>
      <c r="P135" s="85"/>
      <c r="Q135" s="64"/>
      <c r="R135" s="65"/>
      <c r="S135" s="99"/>
      <c r="T135" s="68"/>
      <c r="U135" s="76"/>
      <c r="V135" s="70"/>
      <c r="W135" s="61"/>
      <c r="X135" s="62"/>
      <c r="Y135" s="63"/>
      <c r="Z135" s="75"/>
      <c r="AA135" s="61"/>
      <c r="AB135" s="62"/>
      <c r="AC135" s="63"/>
      <c r="AD135" s="75"/>
      <c r="AE135" s="228">
        <f>ROUND((_15_同援日１．０*(1+_15・区３)),0)+ROUND((ROUND((_15_同援日１．０＿０．５*(1+_15・B夜間)),0)*(1+_15・区３)),0)</f>
        <v>543</v>
      </c>
      <c r="AF135" s="69"/>
    </row>
    <row r="136" spans="1:32" ht="16.5" customHeight="1" x14ac:dyDescent="0.3">
      <c r="A136" s="2">
        <v>15</v>
      </c>
      <c r="B136" s="2">
        <v>9688</v>
      </c>
      <c r="C136" s="60" t="s">
        <v>10229</v>
      </c>
      <c r="D136" s="1"/>
      <c r="E136" s="68"/>
      <c r="F136" s="70"/>
      <c r="G136" s="1"/>
      <c r="H136" s="68"/>
      <c r="I136" s="70"/>
      <c r="J136" s="81"/>
      <c r="K136" s="57"/>
      <c r="L136" s="57"/>
      <c r="M136" s="57"/>
      <c r="N136" s="57"/>
      <c r="O136" s="89"/>
      <c r="P136" s="105" t="s">
        <v>5895</v>
      </c>
      <c r="Q136" s="64" t="s">
        <v>1</v>
      </c>
      <c r="R136" s="65">
        <v>1</v>
      </c>
      <c r="S136" s="99"/>
      <c r="T136" s="68"/>
      <c r="U136" s="76"/>
      <c r="V136" s="70"/>
      <c r="W136" s="67"/>
      <c r="X136" s="68"/>
      <c r="Y136" s="76"/>
      <c r="Z136" s="70"/>
      <c r="AA136" s="67"/>
      <c r="AB136" s="68"/>
      <c r="AC136" s="76"/>
      <c r="AD136" s="70"/>
      <c r="AE136" s="228">
        <f>ROUND((ROUND((_15_同援日１．０*_15・２人),0)*(1+_15・区３)),0)+ROUND((ROUND((ROUND((_15_同援日１．０＿０．５*_15・２人),0)*(1+_15・B夜間)),0)*(1+_15・区３)),0)</f>
        <v>543</v>
      </c>
      <c r="AF136" s="69"/>
    </row>
    <row r="137" spans="1:32" ht="16.5" customHeight="1" x14ac:dyDescent="0.3">
      <c r="A137" s="2">
        <v>15</v>
      </c>
      <c r="B137" s="2">
        <v>9689</v>
      </c>
      <c r="C137" s="60" t="s">
        <v>10228</v>
      </c>
      <c r="D137" s="1"/>
      <c r="E137" s="68"/>
      <c r="F137" s="70"/>
      <c r="G137" s="1"/>
      <c r="H137" s="68"/>
      <c r="I137" s="70"/>
      <c r="J137" s="74" t="s">
        <v>6260</v>
      </c>
      <c r="K137" s="62"/>
      <c r="L137" s="62"/>
      <c r="M137" s="62"/>
      <c r="N137" s="62"/>
      <c r="O137" s="92"/>
      <c r="P137" s="85"/>
      <c r="Q137" s="64"/>
      <c r="R137" s="65"/>
      <c r="S137" s="99"/>
      <c r="T137" s="68"/>
      <c r="U137" s="76"/>
      <c r="V137" s="70"/>
      <c r="W137" s="67"/>
      <c r="X137" s="68"/>
      <c r="Y137" s="76"/>
      <c r="Z137" s="70"/>
      <c r="AA137" s="1" t="s">
        <v>18062</v>
      </c>
      <c r="AB137" s="68"/>
      <c r="AC137" s="76"/>
      <c r="AD137" s="70"/>
      <c r="AE137" s="228">
        <f>ROUND((ROUND((_15_同援日１．０*_15・基礎２),0)*(1+_15・区３)),0)+ROUND((ROUND((ROUND((_15_同援日１．０＿０．５*_15・基礎２),0)*(1+_15・B夜間)),0)*(1+_15・区３)),0)</f>
        <v>490</v>
      </c>
      <c r="AF137" s="69"/>
    </row>
    <row r="138" spans="1:32" ht="16.5" customHeight="1" x14ac:dyDescent="0.3">
      <c r="A138" s="2">
        <v>15</v>
      </c>
      <c r="B138" s="2">
        <v>9690</v>
      </c>
      <c r="C138" s="60" t="s">
        <v>10227</v>
      </c>
      <c r="D138" s="1"/>
      <c r="E138" s="68"/>
      <c r="F138" s="70"/>
      <c r="G138" s="1"/>
      <c r="H138" s="68"/>
      <c r="I138" s="70"/>
      <c r="J138" s="81"/>
      <c r="K138" s="57"/>
      <c r="L138" s="57"/>
      <c r="M138" s="57"/>
      <c r="N138" s="57" t="s">
        <v>1</v>
      </c>
      <c r="O138" s="89">
        <v>0.9</v>
      </c>
      <c r="P138" s="105" t="s">
        <v>5895</v>
      </c>
      <c r="Q138" s="64" t="s">
        <v>1</v>
      </c>
      <c r="R138" s="65">
        <v>1</v>
      </c>
      <c r="S138" s="99"/>
      <c r="T138" s="68"/>
      <c r="U138" s="76"/>
      <c r="V138" s="70"/>
      <c r="W138" s="66"/>
      <c r="X138" s="57"/>
      <c r="Y138" s="58"/>
      <c r="Z138" s="77"/>
      <c r="AA138" s="1" t="s">
        <v>18060</v>
      </c>
      <c r="AB138" s="68"/>
      <c r="AC138" s="76"/>
      <c r="AD138" s="70"/>
      <c r="AE138" s="228">
        <f>ROUND((ROUND((ROUND((_15_同援日１．０*_15・基礎２),0)*_15・２人),0)*(1+_15・区３)),0)+ROUND((ROUND((ROUND((ROUND((_15_同援日１．０＿０．５*_15・基礎２),0)*_15・２人),0)*(1+_15・B夜間)),0)*(1+_15・区３)),0)</f>
        <v>490</v>
      </c>
      <c r="AF138" s="69"/>
    </row>
    <row r="139" spans="1:32" ht="16.5" customHeight="1" x14ac:dyDescent="0.3">
      <c r="A139" s="2">
        <v>15</v>
      </c>
      <c r="B139" s="2">
        <v>9691</v>
      </c>
      <c r="C139" s="60" t="s">
        <v>10226</v>
      </c>
      <c r="D139" s="1"/>
      <c r="E139" s="68"/>
      <c r="F139" s="70"/>
      <c r="G139" s="1"/>
      <c r="H139" s="68"/>
      <c r="I139" s="70"/>
      <c r="J139" s="74"/>
      <c r="K139" s="62"/>
      <c r="L139" s="62"/>
      <c r="M139" s="62"/>
      <c r="N139" s="62"/>
      <c r="O139" s="92"/>
      <c r="P139" s="85"/>
      <c r="Q139" s="64"/>
      <c r="R139" s="65"/>
      <c r="S139" s="99"/>
      <c r="T139" s="68"/>
      <c r="U139" s="76"/>
      <c r="V139" s="70"/>
      <c r="W139" s="78" t="s">
        <v>8085</v>
      </c>
      <c r="X139" s="62"/>
      <c r="Y139" s="63"/>
      <c r="Z139" s="75"/>
      <c r="AA139" s="67"/>
      <c r="AB139" s="68" t="s">
        <v>1</v>
      </c>
      <c r="AC139" s="76">
        <v>0.2</v>
      </c>
      <c r="AD139" s="70" t="s">
        <v>422</v>
      </c>
      <c r="AE139" s="228">
        <f>ROUND((ROUND((_15_同援日１．０*(1+_15・盲ろう)),0)*(1+_15・区３)),0)+ROUND((ROUND((ROUND((_15_同援日１．０＿０．５*(1+_15・B夜間)),0)*(1+_15・盲ろう)),0)*(1+_15・区３)),0)</f>
        <v>679</v>
      </c>
      <c r="AF139" s="69"/>
    </row>
    <row r="140" spans="1:32" ht="16.5" customHeight="1" x14ac:dyDescent="0.3">
      <c r="A140" s="2">
        <v>15</v>
      </c>
      <c r="B140" s="2">
        <v>9692</v>
      </c>
      <c r="C140" s="60" t="s">
        <v>10225</v>
      </c>
      <c r="D140" s="1"/>
      <c r="E140" s="68"/>
      <c r="F140" s="70"/>
      <c r="G140" s="1"/>
      <c r="H140" s="68"/>
      <c r="I140" s="70"/>
      <c r="J140" s="81"/>
      <c r="K140" s="57"/>
      <c r="L140" s="57"/>
      <c r="M140" s="57"/>
      <c r="N140" s="57"/>
      <c r="O140" s="89"/>
      <c r="P140" s="105" t="s">
        <v>5895</v>
      </c>
      <c r="Q140" s="64" t="s">
        <v>1</v>
      </c>
      <c r="R140" s="65">
        <v>1</v>
      </c>
      <c r="S140" s="99"/>
      <c r="T140" s="68"/>
      <c r="U140" s="76"/>
      <c r="V140" s="70"/>
      <c r="W140" s="94" t="s">
        <v>8083</v>
      </c>
      <c r="X140" s="68"/>
      <c r="Y140" s="76"/>
      <c r="Z140" s="70"/>
      <c r="AA140" s="67"/>
      <c r="AB140" s="68"/>
      <c r="AC140" s="76"/>
      <c r="AD140" s="70"/>
      <c r="AE140" s="228">
        <f>ROUND((ROUND((ROUND((_15_同援日１．０*_15・２人),0)*(1+_15・盲ろう)),0)*(1+_15・区３)),0)+ROUND((ROUND((ROUND((ROUND((_15_同援日１．０＿０．５*_15・２人),0)*(1+_15・B夜間)),0)*(1+_15・盲ろう)),0)*(1+_15・区３)),0)</f>
        <v>679</v>
      </c>
      <c r="AF140" s="69"/>
    </row>
    <row r="141" spans="1:32" ht="16.5" customHeight="1" x14ac:dyDescent="0.3">
      <c r="A141" s="2">
        <v>15</v>
      </c>
      <c r="B141" s="2">
        <v>9693</v>
      </c>
      <c r="C141" s="60" t="s">
        <v>10224</v>
      </c>
      <c r="D141" s="1"/>
      <c r="E141" s="68"/>
      <c r="F141" s="70"/>
      <c r="G141" s="1"/>
      <c r="H141" s="68"/>
      <c r="I141" s="70"/>
      <c r="J141" s="74" t="s">
        <v>18069</v>
      </c>
      <c r="K141" s="62"/>
      <c r="L141" s="62"/>
      <c r="M141" s="62"/>
      <c r="N141" s="62"/>
      <c r="O141" s="92"/>
      <c r="P141" s="85"/>
      <c r="Q141" s="64"/>
      <c r="R141" s="65"/>
      <c r="S141" s="99"/>
      <c r="T141" s="68"/>
      <c r="U141" s="76"/>
      <c r="V141" s="70"/>
      <c r="W141" s="67"/>
      <c r="X141" s="68" t="s">
        <v>1</v>
      </c>
      <c r="Y141" s="76">
        <v>0.25</v>
      </c>
      <c r="Z141" s="70" t="s">
        <v>422</v>
      </c>
      <c r="AA141" s="67"/>
      <c r="AB141" s="68"/>
      <c r="AC141" s="76"/>
      <c r="AD141" s="70"/>
      <c r="AE141" s="228">
        <f>ROUND((ROUND((ROUND((_15_同援日１．０*_15・基礎２),0)*(1+_15・盲ろう)),0)*(1+_15・区３)),0)+ROUND((ROUND((ROUND((ROUND((_15_同援日１．０＿０．５*_15・基礎２),0)*(1+_15・B夜間)),0)*(1+_15・盲ろう)),0)*(1+_15・区３)),0)</f>
        <v>612</v>
      </c>
      <c r="AF141" s="69"/>
    </row>
    <row r="142" spans="1:32" ht="16.5" customHeight="1" x14ac:dyDescent="0.3">
      <c r="A142" s="2">
        <v>15</v>
      </c>
      <c r="B142" s="2">
        <v>9694</v>
      </c>
      <c r="C142" s="60" t="s">
        <v>10223</v>
      </c>
      <c r="D142" s="1"/>
      <c r="E142" s="68"/>
      <c r="F142" s="70"/>
      <c r="G142" s="1"/>
      <c r="H142" s="68"/>
      <c r="I142" s="70"/>
      <c r="J142" s="81"/>
      <c r="K142" s="57"/>
      <c r="L142" s="57"/>
      <c r="M142" s="57"/>
      <c r="N142" s="57" t="s">
        <v>1</v>
      </c>
      <c r="O142" s="89">
        <v>0.9</v>
      </c>
      <c r="P142" s="105" t="s">
        <v>5895</v>
      </c>
      <c r="Q142" s="64" t="s">
        <v>1</v>
      </c>
      <c r="R142" s="65">
        <v>1</v>
      </c>
      <c r="S142" s="99"/>
      <c r="T142" s="68"/>
      <c r="U142" s="76"/>
      <c r="V142" s="70"/>
      <c r="W142" s="66"/>
      <c r="X142" s="57"/>
      <c r="Y142" s="58"/>
      <c r="Z142" s="77"/>
      <c r="AA142" s="66"/>
      <c r="AB142" s="57"/>
      <c r="AC142" s="58"/>
      <c r="AD142" s="77"/>
      <c r="AE142" s="228">
        <f>ROUND((ROUND((ROUND((ROUND((_15_同援日１．０*_15・基礎２),0)*_15・２人),0)*(1+_15・盲ろう)),0)*(1+_15・区３)),0)+ROUND((ROUND((ROUND((ROUND((ROUND((_15_同援日１．０＿０．５*_15・基礎２),0)*_15・２人),0)*(1+_15・B夜間)),0)*(1+_15・盲ろう)),0)*(1+_15・区３)),0)</f>
        <v>612</v>
      </c>
      <c r="AF142" s="69"/>
    </row>
    <row r="143" spans="1:32" ht="16.5" customHeight="1" x14ac:dyDescent="0.3">
      <c r="A143" s="2">
        <v>15</v>
      </c>
      <c r="B143" s="2">
        <v>9695</v>
      </c>
      <c r="C143" s="60" t="s">
        <v>10222</v>
      </c>
      <c r="D143" s="1"/>
      <c r="E143" s="68"/>
      <c r="F143" s="70"/>
      <c r="G143" s="1"/>
      <c r="H143" s="68"/>
      <c r="I143" s="70"/>
      <c r="J143" s="74"/>
      <c r="K143" s="62"/>
      <c r="L143" s="62"/>
      <c r="M143" s="62"/>
      <c r="N143" s="62"/>
      <c r="O143" s="92"/>
      <c r="P143" s="85"/>
      <c r="Q143" s="64"/>
      <c r="R143" s="65"/>
      <c r="S143" s="99"/>
      <c r="T143" s="68"/>
      <c r="U143" s="76"/>
      <c r="V143" s="70"/>
      <c r="W143" s="61"/>
      <c r="X143" s="62"/>
      <c r="Y143" s="63"/>
      <c r="Z143" s="75"/>
      <c r="AA143" s="61"/>
      <c r="AB143" s="62"/>
      <c r="AC143" s="63"/>
      <c r="AD143" s="75"/>
      <c r="AE143" s="228">
        <f>ROUND((_15_同援日１．０*(1+_15・区４)),0)+ROUND((ROUND((_15_同援日１．０＿０．５*(1+_15・B夜間)),0)*(1+_15・区４)),0)</f>
        <v>634</v>
      </c>
      <c r="AF143" s="69"/>
    </row>
    <row r="144" spans="1:32" ht="16.5" customHeight="1" x14ac:dyDescent="0.3">
      <c r="A144" s="2">
        <v>15</v>
      </c>
      <c r="B144" s="2">
        <v>9696</v>
      </c>
      <c r="C144" s="60" t="s">
        <v>10221</v>
      </c>
      <c r="D144" s="1"/>
      <c r="E144" s="68"/>
      <c r="F144" s="70"/>
      <c r="G144" s="1"/>
      <c r="H144" s="68"/>
      <c r="I144" s="70"/>
      <c r="J144" s="81"/>
      <c r="K144" s="57"/>
      <c r="L144" s="57"/>
      <c r="M144" s="57"/>
      <c r="N144" s="57"/>
      <c r="O144" s="89"/>
      <c r="P144" s="105" t="s">
        <v>5895</v>
      </c>
      <c r="Q144" s="64" t="s">
        <v>1</v>
      </c>
      <c r="R144" s="65">
        <v>1</v>
      </c>
      <c r="S144" s="99"/>
      <c r="T144" s="68"/>
      <c r="U144" s="76"/>
      <c r="V144" s="70"/>
      <c r="W144" s="67"/>
      <c r="X144" s="68"/>
      <c r="Y144" s="76"/>
      <c r="Z144" s="70"/>
      <c r="AA144" s="67"/>
      <c r="AB144" s="68"/>
      <c r="AC144" s="76"/>
      <c r="AD144" s="70"/>
      <c r="AE144" s="228">
        <f>ROUND((ROUND((_15_同援日１．０*_15・２人),0)*(1+_15・区４)),0)+ROUND((ROUND((ROUND((_15_同援日１．０＿０．５*_15・２人),0)*(1+_15・B夜間)),0)*(1+_15・区４)),0)</f>
        <v>634</v>
      </c>
      <c r="AF144" s="69"/>
    </row>
    <row r="145" spans="1:32" ht="16.5" customHeight="1" x14ac:dyDescent="0.3">
      <c r="A145" s="2">
        <v>15</v>
      </c>
      <c r="B145" s="2">
        <v>9697</v>
      </c>
      <c r="C145" s="60" t="s">
        <v>10220</v>
      </c>
      <c r="D145" s="1"/>
      <c r="E145" s="68"/>
      <c r="F145" s="70"/>
      <c r="G145" s="1"/>
      <c r="H145" s="68"/>
      <c r="I145" s="70"/>
      <c r="J145" s="74" t="s">
        <v>18069</v>
      </c>
      <c r="K145" s="62"/>
      <c r="L145" s="62"/>
      <c r="M145" s="62"/>
      <c r="N145" s="62"/>
      <c r="O145" s="92"/>
      <c r="P145" s="85"/>
      <c r="Q145" s="64"/>
      <c r="R145" s="65"/>
      <c r="S145" s="99"/>
      <c r="T145" s="68"/>
      <c r="U145" s="76"/>
      <c r="V145" s="70"/>
      <c r="W145" s="67"/>
      <c r="X145" s="68"/>
      <c r="Y145" s="76"/>
      <c r="Z145" s="70"/>
      <c r="AA145" s="1" t="s">
        <v>18061</v>
      </c>
      <c r="AB145" s="68"/>
      <c r="AC145" s="76"/>
      <c r="AD145" s="70"/>
      <c r="AE145" s="228">
        <f>ROUND((ROUND((_15_同援日１．０*_15・基礎２),0)*(1+_15・区４)),0)+ROUND((ROUND((ROUND((_15_同援日１．０＿０．５*_15・基礎２),0)*(1+_15・B夜間)),0)*(1+_15・区４)),0)</f>
        <v>571</v>
      </c>
      <c r="AF145" s="69"/>
    </row>
    <row r="146" spans="1:32" ht="16.5" customHeight="1" x14ac:dyDescent="0.3">
      <c r="A146" s="2">
        <v>15</v>
      </c>
      <c r="B146" s="2">
        <v>9698</v>
      </c>
      <c r="C146" s="60" t="s">
        <v>10219</v>
      </c>
      <c r="D146" s="1"/>
      <c r="E146" s="68"/>
      <c r="F146" s="70"/>
      <c r="G146" s="1"/>
      <c r="H146" s="68"/>
      <c r="I146" s="70"/>
      <c r="J146" s="81"/>
      <c r="K146" s="57"/>
      <c r="L146" s="57"/>
      <c r="M146" s="57"/>
      <c r="N146" s="57" t="s">
        <v>1</v>
      </c>
      <c r="O146" s="89">
        <v>0.9</v>
      </c>
      <c r="P146" s="105" t="s">
        <v>5895</v>
      </c>
      <c r="Q146" s="64" t="s">
        <v>1</v>
      </c>
      <c r="R146" s="65">
        <v>1</v>
      </c>
      <c r="S146" s="99"/>
      <c r="T146" s="68"/>
      <c r="U146" s="76"/>
      <c r="V146" s="70"/>
      <c r="W146" s="66"/>
      <c r="X146" s="57"/>
      <c r="Y146" s="58"/>
      <c r="Z146" s="77"/>
      <c r="AA146" s="1" t="s">
        <v>8087</v>
      </c>
      <c r="AB146" s="68"/>
      <c r="AC146" s="76"/>
      <c r="AD146" s="70"/>
      <c r="AE146" s="228">
        <f>ROUND((ROUND((ROUND((_15_同援日１．０*_15・基礎２),0)*_15・２人),0)*(1+_15・区４)),0)+ROUND((ROUND((ROUND((ROUND((_15_同援日１．０＿０．５*_15・基礎２),0)*_15・２人),0)*(1+_15・B夜間)),0)*(1+_15・区４)),0)</f>
        <v>571</v>
      </c>
      <c r="AF146" s="69"/>
    </row>
    <row r="147" spans="1:32" ht="16.5" customHeight="1" x14ac:dyDescent="0.3">
      <c r="A147" s="2">
        <v>15</v>
      </c>
      <c r="B147" s="2">
        <v>9699</v>
      </c>
      <c r="C147" s="60" t="s">
        <v>10218</v>
      </c>
      <c r="D147" s="1"/>
      <c r="E147" s="68"/>
      <c r="F147" s="70"/>
      <c r="G147" s="1"/>
      <c r="H147" s="68"/>
      <c r="I147" s="70"/>
      <c r="J147" s="74"/>
      <c r="K147" s="62"/>
      <c r="L147" s="62"/>
      <c r="M147" s="62"/>
      <c r="N147" s="62"/>
      <c r="O147" s="92"/>
      <c r="P147" s="85"/>
      <c r="Q147" s="64"/>
      <c r="R147" s="65"/>
      <c r="S147" s="99"/>
      <c r="T147" s="68"/>
      <c r="U147" s="76"/>
      <c r="V147" s="70"/>
      <c r="W147" s="78" t="s">
        <v>18059</v>
      </c>
      <c r="X147" s="62"/>
      <c r="Y147" s="63"/>
      <c r="Z147" s="75"/>
      <c r="AA147" s="67"/>
      <c r="AB147" s="68" t="s">
        <v>1</v>
      </c>
      <c r="AC147" s="76">
        <v>0.4</v>
      </c>
      <c r="AD147" s="70" t="s">
        <v>422</v>
      </c>
      <c r="AE147" s="228">
        <f>ROUND((ROUND((_15_同援日１．０*(1+_15・盲ろう)),0)*(1+_15・区４)),0)+ROUND((ROUND((ROUND((_15_同援日１．０＿０．５*(1+_15・B夜間)),0)*(1+_15・盲ろう)),0)*(1+_15・区４)),0)</f>
        <v>792</v>
      </c>
      <c r="AF147" s="69"/>
    </row>
    <row r="148" spans="1:32" ht="16.5" customHeight="1" x14ac:dyDescent="0.3">
      <c r="A148" s="2">
        <v>15</v>
      </c>
      <c r="B148" s="2">
        <v>9700</v>
      </c>
      <c r="C148" s="60" t="s">
        <v>10217</v>
      </c>
      <c r="D148" s="1"/>
      <c r="E148" s="68"/>
      <c r="F148" s="70"/>
      <c r="G148" s="1"/>
      <c r="H148" s="68"/>
      <c r="I148" s="70"/>
      <c r="J148" s="81"/>
      <c r="K148" s="57"/>
      <c r="L148" s="57"/>
      <c r="M148" s="57"/>
      <c r="N148" s="57"/>
      <c r="O148" s="89"/>
      <c r="P148" s="105" t="s">
        <v>5895</v>
      </c>
      <c r="Q148" s="64" t="s">
        <v>1</v>
      </c>
      <c r="R148" s="65">
        <v>1</v>
      </c>
      <c r="S148" s="99"/>
      <c r="T148" s="68"/>
      <c r="U148" s="76"/>
      <c r="V148" s="70"/>
      <c r="W148" s="94" t="s">
        <v>18058</v>
      </c>
      <c r="X148" s="68"/>
      <c r="Y148" s="76"/>
      <c r="Z148" s="70"/>
      <c r="AA148" s="67"/>
      <c r="AB148" s="68"/>
      <c r="AC148" s="76"/>
      <c r="AD148" s="70"/>
      <c r="AE148" s="228">
        <f>ROUND((ROUND((ROUND((_15_同援日１．０*_15・２人),0)*(1+_15・盲ろう)),0)*(1+_15・区４)),0)+ROUND((ROUND((ROUND((ROUND((_15_同援日１．０＿０．５*_15・２人),0)*(1+_15・B夜間)),0)*(1+_15・盲ろう)),0)*(1+_15・区４)),0)</f>
        <v>792</v>
      </c>
      <c r="AF148" s="69"/>
    </row>
    <row r="149" spans="1:32" ht="16.5" customHeight="1" x14ac:dyDescent="0.3">
      <c r="A149" s="2">
        <v>15</v>
      </c>
      <c r="B149" s="2">
        <v>9701</v>
      </c>
      <c r="C149" s="60" t="s">
        <v>10216</v>
      </c>
      <c r="D149" s="1"/>
      <c r="E149" s="68"/>
      <c r="F149" s="70"/>
      <c r="G149" s="1"/>
      <c r="H149" s="68"/>
      <c r="I149" s="70"/>
      <c r="J149" s="74" t="s">
        <v>6260</v>
      </c>
      <c r="K149" s="62"/>
      <c r="L149" s="62"/>
      <c r="M149" s="62"/>
      <c r="N149" s="62"/>
      <c r="O149" s="92"/>
      <c r="P149" s="85"/>
      <c r="Q149" s="64"/>
      <c r="R149" s="65"/>
      <c r="S149" s="99"/>
      <c r="T149" s="68"/>
      <c r="U149" s="76"/>
      <c r="V149" s="70"/>
      <c r="W149" s="67"/>
      <c r="X149" s="68" t="s">
        <v>1</v>
      </c>
      <c r="Y149" s="76">
        <v>0.25</v>
      </c>
      <c r="Z149" s="70" t="s">
        <v>422</v>
      </c>
      <c r="AA149" s="67"/>
      <c r="AB149" s="68"/>
      <c r="AC149" s="76"/>
      <c r="AD149" s="70"/>
      <c r="AE149" s="228">
        <f>ROUND((ROUND((ROUND((_15_同援日１．０*_15・基礎２),0)*(1+_15・盲ろう)),0)*(1+_15・区４)),0)+ROUND((ROUND((ROUND((ROUND((_15_同援日１．０＿０．５*_15・基礎２),0)*(1+_15・B夜間)),0)*(1+_15・盲ろう)),0)*(1+_15・区４)),0)</f>
        <v>714</v>
      </c>
      <c r="AF149" s="69"/>
    </row>
    <row r="150" spans="1:32" ht="16.5" customHeight="1" x14ac:dyDescent="0.3">
      <c r="A150" s="2">
        <v>15</v>
      </c>
      <c r="B150" s="2">
        <v>9702</v>
      </c>
      <c r="C150" s="60" t="s">
        <v>10215</v>
      </c>
      <c r="D150" s="1"/>
      <c r="E150" s="68"/>
      <c r="F150" s="70"/>
      <c r="G150" s="81"/>
      <c r="H150" s="57"/>
      <c r="I150" s="77"/>
      <c r="J150" s="81"/>
      <c r="K150" s="57"/>
      <c r="L150" s="57"/>
      <c r="M150" s="57"/>
      <c r="N150" s="57" t="s">
        <v>1</v>
      </c>
      <c r="O150" s="89">
        <v>0.9</v>
      </c>
      <c r="P150" s="105" t="s">
        <v>5895</v>
      </c>
      <c r="Q150" s="64" t="s">
        <v>1</v>
      </c>
      <c r="R150" s="65">
        <v>1</v>
      </c>
      <c r="S150" s="99"/>
      <c r="T150" s="68"/>
      <c r="U150" s="76"/>
      <c r="V150" s="70"/>
      <c r="W150" s="66"/>
      <c r="X150" s="57"/>
      <c r="Y150" s="58"/>
      <c r="Z150" s="77"/>
      <c r="AA150" s="66"/>
      <c r="AB150" s="57"/>
      <c r="AC150" s="58"/>
      <c r="AD150" s="77"/>
      <c r="AE150" s="228">
        <f>ROUND((ROUND((ROUND((ROUND((_15_同援日１．０*_15・基礎２),0)*_15・２人),0)*(1+_15・盲ろう)),0)*(1+_15・区４)),0)+ROUND((ROUND((ROUND((ROUND((ROUND((_15_同援日１．０＿０．５*_15・基礎２),0)*_15・２人),0)*(1+_15・B夜間)),0)*(1+_15・盲ろう)),0)*(1+_15・区４)),0)</f>
        <v>714</v>
      </c>
      <c r="AF150" s="69"/>
    </row>
    <row r="151" spans="1:32" ht="16.5" customHeight="1" x14ac:dyDescent="0.3">
      <c r="A151" s="2">
        <v>15</v>
      </c>
      <c r="B151" s="2">
        <v>9703</v>
      </c>
      <c r="C151" s="60" t="s">
        <v>10214</v>
      </c>
      <c r="D151" s="1"/>
      <c r="E151" s="68"/>
      <c r="F151" s="70"/>
      <c r="G151" s="233" t="s">
        <v>18073</v>
      </c>
      <c r="H151" s="62"/>
      <c r="I151" s="75"/>
      <c r="J151" s="74"/>
      <c r="K151" s="62"/>
      <c r="L151" s="62"/>
      <c r="M151" s="62"/>
      <c r="N151" s="62"/>
      <c r="O151" s="92"/>
      <c r="P151" s="85"/>
      <c r="Q151" s="64"/>
      <c r="R151" s="65"/>
      <c r="S151" s="99"/>
      <c r="T151" s="68"/>
      <c r="U151" s="76"/>
      <c r="V151" s="70"/>
      <c r="W151" s="61"/>
      <c r="X151" s="62"/>
      <c r="Y151" s="63"/>
      <c r="Z151" s="75"/>
      <c r="AA151" s="61"/>
      <c r="AB151" s="62"/>
      <c r="AC151" s="63"/>
      <c r="AD151" s="75"/>
      <c r="AE151" s="228">
        <f>_15_同援日１．０+ROUND((_15_同援日１．０＿１．０*(1+_15・B夜間)),0)</f>
        <v>533</v>
      </c>
      <c r="AF151" s="69"/>
    </row>
    <row r="152" spans="1:32" ht="16.5" customHeight="1" x14ac:dyDescent="0.3">
      <c r="A152" s="2">
        <v>15</v>
      </c>
      <c r="B152" s="2">
        <v>9704</v>
      </c>
      <c r="C152" s="60" t="s">
        <v>10213</v>
      </c>
      <c r="D152" s="1"/>
      <c r="E152" s="68"/>
      <c r="F152" s="70"/>
      <c r="G152" s="1" t="s">
        <v>18078</v>
      </c>
      <c r="H152" s="68"/>
      <c r="I152" s="70"/>
      <c r="J152" s="81"/>
      <c r="K152" s="57"/>
      <c r="L152" s="57"/>
      <c r="M152" s="57"/>
      <c r="N152" s="57"/>
      <c r="O152" s="89"/>
      <c r="P152" s="105" t="s">
        <v>5895</v>
      </c>
      <c r="Q152" s="64" t="s">
        <v>1</v>
      </c>
      <c r="R152" s="65">
        <v>1</v>
      </c>
      <c r="S152" s="99"/>
      <c r="T152" s="68"/>
      <c r="U152" s="76"/>
      <c r="V152" s="70"/>
      <c r="W152" s="67"/>
      <c r="X152" s="68"/>
      <c r="Y152" s="76"/>
      <c r="Z152" s="70"/>
      <c r="AA152" s="67"/>
      <c r="AB152" s="68"/>
      <c r="AC152" s="76"/>
      <c r="AD152" s="70"/>
      <c r="AE152" s="228">
        <f>ROUND((_15_同援日１．０*_15・２人),0)+ROUND((ROUND((_15_同援日１．０＿１．０*_15・２人),0)*(1+_15・B夜間)),0)</f>
        <v>533</v>
      </c>
      <c r="AF152" s="69"/>
    </row>
    <row r="153" spans="1:32" ht="16.5" customHeight="1" x14ac:dyDescent="0.3">
      <c r="A153" s="2">
        <v>15</v>
      </c>
      <c r="B153" s="2">
        <v>9705</v>
      </c>
      <c r="C153" s="60" t="s">
        <v>10212</v>
      </c>
      <c r="D153" s="1"/>
      <c r="E153" s="68"/>
      <c r="F153" s="70"/>
      <c r="G153" s="1" t="s">
        <v>8572</v>
      </c>
      <c r="H153" s="68"/>
      <c r="I153" s="70"/>
      <c r="J153" s="74" t="s">
        <v>18069</v>
      </c>
      <c r="K153" s="62"/>
      <c r="L153" s="62"/>
      <c r="M153" s="62"/>
      <c r="N153" s="62"/>
      <c r="O153" s="92"/>
      <c r="P153" s="85"/>
      <c r="Q153" s="64"/>
      <c r="R153" s="65"/>
      <c r="S153" s="99"/>
      <c r="T153" s="68"/>
      <c r="U153" s="76"/>
      <c r="V153" s="70"/>
      <c r="W153" s="67"/>
      <c r="X153" s="68"/>
      <c r="Y153" s="76"/>
      <c r="Z153" s="70"/>
      <c r="AA153" s="67"/>
      <c r="AB153" s="68"/>
      <c r="AC153" s="76"/>
      <c r="AD153" s="70"/>
      <c r="AE153" s="228">
        <f>ROUND((_15_同援日１．０*_15・基礎２),0)+ROUND((ROUND((_15_同援日１．０＿１．０*_15・基礎２),0)*(1+_15・B夜間)),0)</f>
        <v>481</v>
      </c>
      <c r="AF153" s="69"/>
    </row>
    <row r="154" spans="1:32" ht="16.5" customHeight="1" x14ac:dyDescent="0.3">
      <c r="A154" s="2">
        <v>15</v>
      </c>
      <c r="B154" s="2">
        <v>9706</v>
      </c>
      <c r="C154" s="60" t="s">
        <v>10211</v>
      </c>
      <c r="D154" s="1"/>
      <c r="E154" s="68"/>
      <c r="F154" s="70"/>
      <c r="G154" s="1"/>
      <c r="H154" s="119">
        <v>193</v>
      </c>
      <c r="I154" s="70" t="s">
        <v>0</v>
      </c>
      <c r="J154" s="81"/>
      <c r="K154" s="57"/>
      <c r="L154" s="57"/>
      <c r="M154" s="57"/>
      <c r="N154" s="57" t="s">
        <v>1</v>
      </c>
      <c r="O154" s="89">
        <v>0.9</v>
      </c>
      <c r="P154" s="105" t="s">
        <v>5895</v>
      </c>
      <c r="Q154" s="64" t="s">
        <v>1</v>
      </c>
      <c r="R154" s="65">
        <v>1</v>
      </c>
      <c r="S154" s="99"/>
      <c r="T154" s="68"/>
      <c r="U154" s="76"/>
      <c r="V154" s="70"/>
      <c r="W154" s="66"/>
      <c r="X154" s="57"/>
      <c r="Y154" s="58"/>
      <c r="Z154" s="77"/>
      <c r="AA154" s="67"/>
      <c r="AB154" s="68"/>
      <c r="AC154" s="76"/>
      <c r="AD154" s="70"/>
      <c r="AE154" s="228">
        <f>ROUND((ROUND((_15_同援日１．０*_15・基礎２),0)*_15・２人),0)+ROUND((ROUND((ROUND((_15_同援日１．０＿１．０*_15・基礎２),0)*_15・２人),0)*(1+_15・B夜間)),0)</f>
        <v>481</v>
      </c>
      <c r="AF154" s="69"/>
    </row>
    <row r="155" spans="1:32" ht="16.5" customHeight="1" x14ac:dyDescent="0.3">
      <c r="A155" s="2">
        <v>15</v>
      </c>
      <c r="B155" s="2">
        <v>9707</v>
      </c>
      <c r="C155" s="60" t="s">
        <v>10210</v>
      </c>
      <c r="D155" s="1"/>
      <c r="E155" s="68"/>
      <c r="F155" s="70"/>
      <c r="G155" s="1"/>
      <c r="H155" s="68"/>
      <c r="I155" s="70"/>
      <c r="J155" s="74"/>
      <c r="K155" s="62"/>
      <c r="L155" s="62"/>
      <c r="M155" s="62"/>
      <c r="N155" s="62"/>
      <c r="O155" s="92"/>
      <c r="P155" s="85"/>
      <c r="Q155" s="64"/>
      <c r="R155" s="65"/>
      <c r="S155" s="99"/>
      <c r="T155" s="68"/>
      <c r="U155" s="76"/>
      <c r="V155" s="70"/>
      <c r="W155" s="78" t="s">
        <v>18059</v>
      </c>
      <c r="X155" s="62"/>
      <c r="Y155" s="63"/>
      <c r="Z155" s="75"/>
      <c r="AA155" s="67"/>
      <c r="AB155" s="68"/>
      <c r="AC155" s="76"/>
      <c r="AD155" s="70"/>
      <c r="AE155" s="228">
        <f>ROUND((_15_同援日１．０*(1+_15・盲ろう)),0)+ROUND((ROUND((_15_同援日１．０＿１．０*(1+_15・B夜間)),0)*(1+_15・盲ろう)),0)</f>
        <v>666</v>
      </c>
      <c r="AF155" s="69"/>
    </row>
    <row r="156" spans="1:32" ht="16.5" customHeight="1" x14ac:dyDescent="0.3">
      <c r="A156" s="2">
        <v>15</v>
      </c>
      <c r="B156" s="2">
        <v>9708</v>
      </c>
      <c r="C156" s="60" t="s">
        <v>10209</v>
      </c>
      <c r="D156" s="1"/>
      <c r="E156" s="68"/>
      <c r="F156" s="70"/>
      <c r="G156" s="1"/>
      <c r="H156" s="68"/>
      <c r="I156" s="70"/>
      <c r="J156" s="81"/>
      <c r="K156" s="57"/>
      <c r="L156" s="57"/>
      <c r="M156" s="57"/>
      <c r="N156" s="57"/>
      <c r="O156" s="89"/>
      <c r="P156" s="105" t="s">
        <v>5895</v>
      </c>
      <c r="Q156" s="64" t="s">
        <v>1</v>
      </c>
      <c r="R156" s="65">
        <v>1</v>
      </c>
      <c r="S156" s="99"/>
      <c r="T156" s="68"/>
      <c r="U156" s="76"/>
      <c r="V156" s="70"/>
      <c r="W156" s="94" t="s">
        <v>18058</v>
      </c>
      <c r="X156" s="68"/>
      <c r="Y156" s="76"/>
      <c r="Z156" s="70"/>
      <c r="AA156" s="67"/>
      <c r="AB156" s="68"/>
      <c r="AC156" s="76"/>
      <c r="AD156" s="70"/>
      <c r="AE156" s="228">
        <f>ROUND((ROUND((_15_同援日１．０*_15・２人),0)*(1+_15・盲ろう)),0)+ROUND((ROUND((ROUND((_15_同援日１．０＿１．０*_15・２人),0)*(1+_15・B夜間)),0)*(1+_15・盲ろう)),0)</f>
        <v>666</v>
      </c>
      <c r="AF156" s="69"/>
    </row>
    <row r="157" spans="1:32" ht="16.5" customHeight="1" x14ac:dyDescent="0.3">
      <c r="A157" s="2">
        <v>15</v>
      </c>
      <c r="B157" s="2">
        <v>9709</v>
      </c>
      <c r="C157" s="60" t="s">
        <v>10208</v>
      </c>
      <c r="D157" s="1"/>
      <c r="E157" s="68"/>
      <c r="F157" s="70"/>
      <c r="G157" s="1"/>
      <c r="H157" s="68"/>
      <c r="I157" s="70"/>
      <c r="J157" s="74" t="s">
        <v>18069</v>
      </c>
      <c r="K157" s="62"/>
      <c r="L157" s="62"/>
      <c r="M157" s="62"/>
      <c r="N157" s="62"/>
      <c r="O157" s="92"/>
      <c r="P157" s="85"/>
      <c r="Q157" s="64"/>
      <c r="R157" s="65"/>
      <c r="S157" s="99"/>
      <c r="T157" s="68"/>
      <c r="U157" s="76"/>
      <c r="V157" s="70"/>
      <c r="W157" s="67"/>
      <c r="X157" s="68" t="s">
        <v>1</v>
      </c>
      <c r="Y157" s="76">
        <v>0.25</v>
      </c>
      <c r="Z157" s="70" t="s">
        <v>422</v>
      </c>
      <c r="AA157" s="67"/>
      <c r="AB157" s="68"/>
      <c r="AC157" s="76"/>
      <c r="AD157" s="70"/>
      <c r="AE157" s="228">
        <f>ROUND((ROUND((_15_同援日１．０*_15・基礎２),0)*(1+_15・盲ろう)),0)+ROUND((ROUND((ROUND((_15_同援日１．０＿１．０*_15・基礎２),0)*(1+_15・B夜間)),0)*(1+_15・盲ろう)),0)</f>
        <v>602</v>
      </c>
      <c r="AF157" s="69"/>
    </row>
    <row r="158" spans="1:32" ht="16.5" customHeight="1" x14ac:dyDescent="0.3">
      <c r="A158" s="2">
        <v>15</v>
      </c>
      <c r="B158" s="2">
        <v>9710</v>
      </c>
      <c r="C158" s="60" t="s">
        <v>10207</v>
      </c>
      <c r="D158" s="1"/>
      <c r="E158" s="68"/>
      <c r="F158" s="70"/>
      <c r="G158" s="1"/>
      <c r="H158" s="68"/>
      <c r="I158" s="70"/>
      <c r="J158" s="81"/>
      <c r="K158" s="57"/>
      <c r="L158" s="57"/>
      <c r="M158" s="57"/>
      <c r="N158" s="57" t="s">
        <v>1</v>
      </c>
      <c r="O158" s="89">
        <v>0.9</v>
      </c>
      <c r="P158" s="105" t="s">
        <v>5895</v>
      </c>
      <c r="Q158" s="64" t="s">
        <v>1</v>
      </c>
      <c r="R158" s="65">
        <v>1</v>
      </c>
      <c r="S158" s="99"/>
      <c r="T158" s="68"/>
      <c r="U158" s="76"/>
      <c r="V158" s="70"/>
      <c r="W158" s="66"/>
      <c r="X158" s="57"/>
      <c r="Y158" s="58"/>
      <c r="Z158" s="77"/>
      <c r="AA158" s="66"/>
      <c r="AB158" s="57"/>
      <c r="AC158" s="58"/>
      <c r="AD158" s="77"/>
      <c r="AE158" s="228">
        <f>ROUND((ROUND((ROUND((_15_同援日１．０*_15・基礎２),0)*_15・２人),0)*(1+_15・盲ろう)),0)+ROUND((ROUND((ROUND((ROUND((_15_同援日１．０＿１．０*_15・基礎２),0)*_15・２人),0)*(1+_15・B夜間)),0)*(1+_15・盲ろう)),0)</f>
        <v>602</v>
      </c>
      <c r="AF158" s="69"/>
    </row>
    <row r="159" spans="1:32" ht="16.5" customHeight="1" x14ac:dyDescent="0.3">
      <c r="A159" s="2">
        <v>15</v>
      </c>
      <c r="B159" s="2">
        <v>9711</v>
      </c>
      <c r="C159" s="60" t="s">
        <v>10206</v>
      </c>
      <c r="D159" s="1"/>
      <c r="E159" s="68"/>
      <c r="F159" s="70"/>
      <c r="G159" s="1"/>
      <c r="H159" s="68"/>
      <c r="I159" s="70"/>
      <c r="J159" s="74"/>
      <c r="K159" s="62"/>
      <c r="L159" s="62"/>
      <c r="M159" s="62"/>
      <c r="N159" s="62"/>
      <c r="O159" s="92"/>
      <c r="P159" s="85"/>
      <c r="Q159" s="64"/>
      <c r="R159" s="65"/>
      <c r="S159" s="99"/>
      <c r="T159" s="68"/>
      <c r="U159" s="76"/>
      <c r="V159" s="70"/>
      <c r="W159" s="61"/>
      <c r="X159" s="62"/>
      <c r="Y159" s="63"/>
      <c r="Z159" s="75"/>
      <c r="AA159" s="61"/>
      <c r="AB159" s="62"/>
      <c r="AC159" s="63"/>
      <c r="AD159" s="75"/>
      <c r="AE159" s="228">
        <f>ROUND((_15_同援日１．０*(1+_15・区３)),0)+ROUND((ROUND((_15_同援日１．０＿１．０*(1+_15・B夜間)),0)*(1+_15・区３)),0)</f>
        <v>639</v>
      </c>
      <c r="AF159" s="69"/>
    </row>
    <row r="160" spans="1:32" ht="16.5" customHeight="1" x14ac:dyDescent="0.3">
      <c r="A160" s="2">
        <v>15</v>
      </c>
      <c r="B160" s="2">
        <v>9712</v>
      </c>
      <c r="C160" s="60" t="s">
        <v>10205</v>
      </c>
      <c r="D160" s="1"/>
      <c r="E160" s="68"/>
      <c r="F160" s="70"/>
      <c r="G160" s="1"/>
      <c r="H160" s="68"/>
      <c r="I160" s="70"/>
      <c r="J160" s="81"/>
      <c r="K160" s="57"/>
      <c r="L160" s="57"/>
      <c r="M160" s="57"/>
      <c r="N160" s="57"/>
      <c r="O160" s="89"/>
      <c r="P160" s="105" t="s">
        <v>5895</v>
      </c>
      <c r="Q160" s="64" t="s">
        <v>1</v>
      </c>
      <c r="R160" s="65">
        <v>1</v>
      </c>
      <c r="S160" s="99"/>
      <c r="T160" s="68"/>
      <c r="U160" s="76"/>
      <c r="V160" s="70"/>
      <c r="W160" s="67"/>
      <c r="X160" s="68"/>
      <c r="Y160" s="76"/>
      <c r="Z160" s="70"/>
      <c r="AA160" s="67"/>
      <c r="AB160" s="68"/>
      <c r="AC160" s="76"/>
      <c r="AD160" s="70"/>
      <c r="AE160" s="228">
        <f>ROUND((ROUND((_15_同援日１．０*_15・２人),0)*(1+_15・区３)),0)+ROUND((ROUND((ROUND((_15_同援日１．０＿１．０*_15・２人),0)*(1+_15・B夜間)),0)*(1+_15・区３)),0)</f>
        <v>639</v>
      </c>
      <c r="AF160" s="69"/>
    </row>
    <row r="161" spans="1:32" ht="16.5" customHeight="1" x14ac:dyDescent="0.3">
      <c r="A161" s="2">
        <v>15</v>
      </c>
      <c r="B161" s="2">
        <v>9713</v>
      </c>
      <c r="C161" s="60" t="s">
        <v>10204</v>
      </c>
      <c r="D161" s="1"/>
      <c r="E161" s="68"/>
      <c r="F161" s="70"/>
      <c r="G161" s="1"/>
      <c r="H161" s="68"/>
      <c r="I161" s="70"/>
      <c r="J161" s="74" t="s">
        <v>18069</v>
      </c>
      <c r="K161" s="62"/>
      <c r="L161" s="62"/>
      <c r="M161" s="62"/>
      <c r="N161" s="62"/>
      <c r="O161" s="92"/>
      <c r="P161" s="85"/>
      <c r="Q161" s="64"/>
      <c r="R161" s="65"/>
      <c r="S161" s="99"/>
      <c r="T161" s="68"/>
      <c r="U161" s="76"/>
      <c r="V161" s="70"/>
      <c r="W161" s="67"/>
      <c r="X161" s="68"/>
      <c r="Y161" s="76"/>
      <c r="Z161" s="70"/>
      <c r="AA161" s="1" t="s">
        <v>18062</v>
      </c>
      <c r="AB161" s="68"/>
      <c r="AC161" s="76"/>
      <c r="AD161" s="70"/>
      <c r="AE161" s="228">
        <f>ROUND((ROUND((_15_同援日１．０*_15・基礎２),0)*(1+_15・区３)),0)+ROUND((ROUND((ROUND((_15_同援日１．０＿１．０*_15・基礎２),0)*(1+_15・B夜間)),0)*(1+_15・区３)),0)</f>
        <v>578</v>
      </c>
      <c r="AF161" s="69"/>
    </row>
    <row r="162" spans="1:32" ht="16.5" customHeight="1" x14ac:dyDescent="0.3">
      <c r="A162" s="2">
        <v>15</v>
      </c>
      <c r="B162" s="2">
        <v>9714</v>
      </c>
      <c r="C162" s="60" t="s">
        <v>10203</v>
      </c>
      <c r="D162" s="1"/>
      <c r="E162" s="68"/>
      <c r="F162" s="70"/>
      <c r="G162" s="1"/>
      <c r="H162" s="68"/>
      <c r="I162" s="70"/>
      <c r="J162" s="81"/>
      <c r="K162" s="57"/>
      <c r="L162" s="57"/>
      <c r="M162" s="57"/>
      <c r="N162" s="57" t="s">
        <v>1</v>
      </c>
      <c r="O162" s="89">
        <v>0.9</v>
      </c>
      <c r="P162" s="105" t="s">
        <v>5895</v>
      </c>
      <c r="Q162" s="64" t="s">
        <v>1</v>
      </c>
      <c r="R162" s="65">
        <v>1</v>
      </c>
      <c r="S162" s="99"/>
      <c r="T162" s="68"/>
      <c r="U162" s="76"/>
      <c r="V162" s="70"/>
      <c r="W162" s="66"/>
      <c r="X162" s="57"/>
      <c r="Y162" s="58"/>
      <c r="Z162" s="77"/>
      <c r="AA162" s="1" t="s">
        <v>18060</v>
      </c>
      <c r="AB162" s="68"/>
      <c r="AC162" s="76"/>
      <c r="AD162" s="70"/>
      <c r="AE162" s="228">
        <f>ROUND((ROUND((ROUND((_15_同援日１．０*_15・基礎２),0)*_15・２人),0)*(1+_15・区３)),0)+ROUND((ROUND((ROUND((ROUND((_15_同援日１．０＿１．０*_15・基礎２),0)*_15・２人),0)*(1+_15・B夜間)),0)*(1+_15・区３)),0)</f>
        <v>578</v>
      </c>
      <c r="AF162" s="69"/>
    </row>
    <row r="163" spans="1:32" ht="16.5" customHeight="1" x14ac:dyDescent="0.3">
      <c r="A163" s="2">
        <v>15</v>
      </c>
      <c r="B163" s="2">
        <v>9715</v>
      </c>
      <c r="C163" s="60" t="s">
        <v>10202</v>
      </c>
      <c r="D163" s="1"/>
      <c r="E163" s="68"/>
      <c r="F163" s="70"/>
      <c r="G163" s="1"/>
      <c r="H163" s="68"/>
      <c r="I163" s="70"/>
      <c r="J163" s="74"/>
      <c r="K163" s="62"/>
      <c r="L163" s="62"/>
      <c r="M163" s="62"/>
      <c r="N163" s="62"/>
      <c r="O163" s="92"/>
      <c r="P163" s="85"/>
      <c r="Q163" s="64"/>
      <c r="R163" s="65"/>
      <c r="S163" s="99"/>
      <c r="T163" s="68"/>
      <c r="U163" s="76"/>
      <c r="V163" s="70"/>
      <c r="W163" s="78" t="s">
        <v>18059</v>
      </c>
      <c r="X163" s="62"/>
      <c r="Y163" s="63"/>
      <c r="Z163" s="75"/>
      <c r="AA163" s="67"/>
      <c r="AB163" s="68" t="s">
        <v>1</v>
      </c>
      <c r="AC163" s="76">
        <v>0.2</v>
      </c>
      <c r="AD163" s="70" t="s">
        <v>422</v>
      </c>
      <c r="AE163" s="228">
        <f>ROUND((ROUND((_15_同援日１．０*(1+_15・盲ろう)),0)*(1+_15・区３)),0)+ROUND((ROUND((ROUND((_15_同援日１．０＿１．０*(1+_15・B夜間)),0)*(1+_15・盲ろう)),0)*(1+_15・区３)),0)</f>
        <v>799</v>
      </c>
      <c r="AF163" s="69"/>
    </row>
    <row r="164" spans="1:32" ht="16.5" customHeight="1" x14ac:dyDescent="0.3">
      <c r="A164" s="2">
        <v>15</v>
      </c>
      <c r="B164" s="2">
        <v>9716</v>
      </c>
      <c r="C164" s="60" t="s">
        <v>10201</v>
      </c>
      <c r="D164" s="1"/>
      <c r="E164" s="68"/>
      <c r="F164" s="70"/>
      <c r="G164" s="1"/>
      <c r="H164" s="68"/>
      <c r="I164" s="70"/>
      <c r="J164" s="81"/>
      <c r="K164" s="57"/>
      <c r="L164" s="57"/>
      <c r="M164" s="57"/>
      <c r="N164" s="57"/>
      <c r="O164" s="89"/>
      <c r="P164" s="105" t="s">
        <v>5895</v>
      </c>
      <c r="Q164" s="64" t="s">
        <v>1</v>
      </c>
      <c r="R164" s="65">
        <v>1</v>
      </c>
      <c r="S164" s="99"/>
      <c r="T164" s="68"/>
      <c r="U164" s="76"/>
      <c r="V164" s="70"/>
      <c r="W164" s="94" t="s">
        <v>18058</v>
      </c>
      <c r="X164" s="68"/>
      <c r="Y164" s="76"/>
      <c r="Z164" s="70"/>
      <c r="AA164" s="67"/>
      <c r="AB164" s="68"/>
      <c r="AC164" s="76"/>
      <c r="AD164" s="70"/>
      <c r="AE164" s="228">
        <f>ROUND((ROUND((ROUND((_15_同援日１．０*_15・２人),0)*(1+_15・盲ろう)),0)*(1+_15・区３)),0)+ROUND((ROUND((ROUND((ROUND((_15_同援日１．０＿１．０*_15・２人),0)*(1+_15・B夜間)),0)*(1+_15・盲ろう)),0)*(1+_15・区３)),0)</f>
        <v>799</v>
      </c>
      <c r="AF164" s="69"/>
    </row>
    <row r="165" spans="1:32" ht="16.5" customHeight="1" x14ac:dyDescent="0.3">
      <c r="A165" s="2">
        <v>15</v>
      </c>
      <c r="B165" s="2">
        <v>9717</v>
      </c>
      <c r="C165" s="60" t="s">
        <v>10200</v>
      </c>
      <c r="D165" s="1"/>
      <c r="E165" s="68"/>
      <c r="F165" s="70"/>
      <c r="G165" s="1"/>
      <c r="H165" s="68"/>
      <c r="I165" s="70"/>
      <c r="J165" s="74" t="s">
        <v>18069</v>
      </c>
      <c r="K165" s="62"/>
      <c r="L165" s="62"/>
      <c r="M165" s="62"/>
      <c r="N165" s="62"/>
      <c r="O165" s="92"/>
      <c r="P165" s="85"/>
      <c r="Q165" s="64"/>
      <c r="R165" s="65"/>
      <c r="S165" s="99"/>
      <c r="T165" s="68"/>
      <c r="U165" s="76"/>
      <c r="V165" s="70"/>
      <c r="W165" s="67"/>
      <c r="X165" s="68" t="s">
        <v>1</v>
      </c>
      <c r="Y165" s="76">
        <v>0.25</v>
      </c>
      <c r="Z165" s="70" t="s">
        <v>422</v>
      </c>
      <c r="AA165" s="67"/>
      <c r="AB165" s="68"/>
      <c r="AC165" s="76"/>
      <c r="AD165" s="70"/>
      <c r="AE165" s="228">
        <f>ROUND((ROUND((ROUND((_15_同援日１．０*_15・基礎２),0)*(1+_15・盲ろう)),0)*(1+_15・区３)),0)+ROUND((ROUND((ROUND((ROUND((_15_同援日１．０＿１．０*_15・基礎２),0)*(1+_15・B夜間)),0)*(1+_15・盲ろう)),0)*(1+_15・区３)),0)</f>
        <v>723</v>
      </c>
      <c r="AF165" s="69"/>
    </row>
    <row r="166" spans="1:32" ht="16.5" customHeight="1" x14ac:dyDescent="0.3">
      <c r="A166" s="2">
        <v>15</v>
      </c>
      <c r="B166" s="2">
        <v>9718</v>
      </c>
      <c r="C166" s="60" t="s">
        <v>10199</v>
      </c>
      <c r="D166" s="1"/>
      <c r="E166" s="68"/>
      <c r="F166" s="70"/>
      <c r="G166" s="1"/>
      <c r="H166" s="68"/>
      <c r="I166" s="70"/>
      <c r="J166" s="81"/>
      <c r="K166" s="57"/>
      <c r="L166" s="57"/>
      <c r="M166" s="57"/>
      <c r="N166" s="57" t="s">
        <v>1</v>
      </c>
      <c r="O166" s="89">
        <v>0.9</v>
      </c>
      <c r="P166" s="105" t="s">
        <v>5895</v>
      </c>
      <c r="Q166" s="64" t="s">
        <v>1</v>
      </c>
      <c r="R166" s="65">
        <v>1</v>
      </c>
      <c r="S166" s="99"/>
      <c r="T166" s="68"/>
      <c r="U166" s="76"/>
      <c r="V166" s="70"/>
      <c r="W166" s="66"/>
      <c r="X166" s="57"/>
      <c r="Y166" s="58"/>
      <c r="Z166" s="77"/>
      <c r="AA166" s="66"/>
      <c r="AB166" s="57"/>
      <c r="AC166" s="58"/>
      <c r="AD166" s="77"/>
      <c r="AE166" s="228">
        <f>ROUND((ROUND((ROUND((ROUND((_15_同援日１．０*_15・基礎２),0)*_15・２人),0)*(1+_15・盲ろう)),0)*(1+_15・区３)),0)+ROUND((ROUND((ROUND((ROUND((ROUND((_15_同援日１．０＿１．０*_15・基礎２),0)*_15・２人),0)*(1+_15・B夜間)),0)*(1+_15・盲ろう)),0)*(1+_15・区３)),0)</f>
        <v>723</v>
      </c>
      <c r="AF166" s="69"/>
    </row>
    <row r="167" spans="1:32" ht="16.5" customHeight="1" x14ac:dyDescent="0.3">
      <c r="A167" s="2">
        <v>15</v>
      </c>
      <c r="B167" s="2">
        <v>9719</v>
      </c>
      <c r="C167" s="60" t="s">
        <v>10198</v>
      </c>
      <c r="D167" s="1"/>
      <c r="E167" s="68"/>
      <c r="F167" s="70"/>
      <c r="G167" s="1"/>
      <c r="H167" s="68"/>
      <c r="I167" s="70"/>
      <c r="J167" s="74"/>
      <c r="K167" s="62"/>
      <c r="L167" s="62"/>
      <c r="M167" s="62"/>
      <c r="N167" s="62"/>
      <c r="O167" s="92"/>
      <c r="P167" s="85"/>
      <c r="Q167" s="64"/>
      <c r="R167" s="65"/>
      <c r="S167" s="99"/>
      <c r="T167" s="68"/>
      <c r="U167" s="76"/>
      <c r="V167" s="70"/>
      <c r="W167" s="61"/>
      <c r="X167" s="62"/>
      <c r="Y167" s="63"/>
      <c r="Z167" s="75"/>
      <c r="AA167" s="61"/>
      <c r="AB167" s="62"/>
      <c r="AC167" s="63"/>
      <c r="AD167" s="75"/>
      <c r="AE167" s="228">
        <f>ROUND((_15_同援日１．０*(1+_15・区４)),0)+ROUND((ROUND((_15_同援日１．０＿１．０*(1+_15・B夜間)),0)*(1+_15・区４)),0)</f>
        <v>746</v>
      </c>
      <c r="AF167" s="69"/>
    </row>
    <row r="168" spans="1:32" ht="16.5" customHeight="1" x14ac:dyDescent="0.3">
      <c r="A168" s="2">
        <v>15</v>
      </c>
      <c r="B168" s="2">
        <v>9720</v>
      </c>
      <c r="C168" s="60" t="s">
        <v>10197</v>
      </c>
      <c r="D168" s="1"/>
      <c r="E168" s="68"/>
      <c r="F168" s="70"/>
      <c r="G168" s="1"/>
      <c r="H168" s="68"/>
      <c r="I168" s="70"/>
      <c r="J168" s="81"/>
      <c r="K168" s="57"/>
      <c r="L168" s="57"/>
      <c r="M168" s="57"/>
      <c r="N168" s="57"/>
      <c r="O168" s="89"/>
      <c r="P168" s="105" t="s">
        <v>5895</v>
      </c>
      <c r="Q168" s="64" t="s">
        <v>1</v>
      </c>
      <c r="R168" s="65">
        <v>1</v>
      </c>
      <c r="S168" s="99"/>
      <c r="T168" s="68"/>
      <c r="U168" s="76"/>
      <c r="V168" s="70"/>
      <c r="W168" s="67"/>
      <c r="X168" s="68"/>
      <c r="Y168" s="76"/>
      <c r="Z168" s="70"/>
      <c r="AA168" s="67"/>
      <c r="AB168" s="68"/>
      <c r="AC168" s="76"/>
      <c r="AD168" s="70"/>
      <c r="AE168" s="228">
        <f>ROUND((ROUND((_15_同援日１．０*_15・２人),0)*(1+_15・区４)),0)+ROUND((ROUND((ROUND((_15_同援日１．０＿１．０*_15・２人),0)*(1+_15・B夜間)),0)*(1+_15・区４)),0)</f>
        <v>746</v>
      </c>
      <c r="AF168" s="69"/>
    </row>
    <row r="169" spans="1:32" ht="16.5" customHeight="1" x14ac:dyDescent="0.3">
      <c r="A169" s="2">
        <v>15</v>
      </c>
      <c r="B169" s="2">
        <v>9721</v>
      </c>
      <c r="C169" s="60" t="s">
        <v>10196</v>
      </c>
      <c r="D169" s="1"/>
      <c r="E169" s="68"/>
      <c r="F169" s="70"/>
      <c r="G169" s="1"/>
      <c r="H169" s="68"/>
      <c r="I169" s="70"/>
      <c r="J169" s="74" t="s">
        <v>18069</v>
      </c>
      <c r="K169" s="62"/>
      <c r="L169" s="62"/>
      <c r="M169" s="62"/>
      <c r="N169" s="62"/>
      <c r="O169" s="92"/>
      <c r="P169" s="85"/>
      <c r="Q169" s="64"/>
      <c r="R169" s="65"/>
      <c r="S169" s="99"/>
      <c r="T169" s="68"/>
      <c r="U169" s="76"/>
      <c r="V169" s="70"/>
      <c r="W169" s="67"/>
      <c r="X169" s="68"/>
      <c r="Y169" s="76"/>
      <c r="Z169" s="70"/>
      <c r="AA169" s="1" t="s">
        <v>8089</v>
      </c>
      <c r="AB169" s="68"/>
      <c r="AC169" s="76"/>
      <c r="AD169" s="70"/>
      <c r="AE169" s="228">
        <f>ROUND((ROUND((_15_同援日１．０*_15・基礎２),0)*(1+_15・区４)),0)+ROUND((ROUND((ROUND((_15_同援日１．０＿１．０*_15・基礎２),0)*(1+_15・B夜間)),0)*(1+_15・区４)),0)</f>
        <v>673</v>
      </c>
      <c r="AF169" s="69"/>
    </row>
    <row r="170" spans="1:32" ht="16.5" customHeight="1" x14ac:dyDescent="0.3">
      <c r="A170" s="2">
        <v>15</v>
      </c>
      <c r="B170" s="2">
        <v>9722</v>
      </c>
      <c r="C170" s="60" t="s">
        <v>10195</v>
      </c>
      <c r="D170" s="1"/>
      <c r="E170" s="68"/>
      <c r="F170" s="70"/>
      <c r="G170" s="1"/>
      <c r="H170" s="68"/>
      <c r="I170" s="70"/>
      <c r="J170" s="81"/>
      <c r="K170" s="57"/>
      <c r="L170" s="57"/>
      <c r="M170" s="57"/>
      <c r="N170" s="57" t="s">
        <v>1</v>
      </c>
      <c r="O170" s="89">
        <v>0.9</v>
      </c>
      <c r="P170" s="105" t="s">
        <v>5895</v>
      </c>
      <c r="Q170" s="64" t="s">
        <v>1</v>
      </c>
      <c r="R170" s="65">
        <v>1</v>
      </c>
      <c r="S170" s="99"/>
      <c r="T170" s="68"/>
      <c r="U170" s="76"/>
      <c r="V170" s="70"/>
      <c r="W170" s="66"/>
      <c r="X170" s="57"/>
      <c r="Y170" s="58"/>
      <c r="Z170" s="77"/>
      <c r="AA170" s="1" t="s">
        <v>18060</v>
      </c>
      <c r="AB170" s="68"/>
      <c r="AC170" s="76"/>
      <c r="AD170" s="70"/>
      <c r="AE170" s="228">
        <f>ROUND((ROUND((ROUND((_15_同援日１．０*_15・基礎２),0)*_15・２人),0)*(1+_15・区４)),0)+ROUND((ROUND((ROUND((ROUND((_15_同援日１．０＿１．０*_15・基礎２),0)*_15・２人),0)*(1+_15・B夜間)),0)*(1+_15・区４)),0)</f>
        <v>673</v>
      </c>
      <c r="AF170" s="69"/>
    </row>
    <row r="171" spans="1:32" ht="16.5" customHeight="1" x14ac:dyDescent="0.3">
      <c r="A171" s="2">
        <v>15</v>
      </c>
      <c r="B171" s="2">
        <v>9723</v>
      </c>
      <c r="C171" s="60" t="s">
        <v>10194</v>
      </c>
      <c r="D171" s="1"/>
      <c r="E171" s="68"/>
      <c r="F171" s="70"/>
      <c r="G171" s="1"/>
      <c r="H171" s="68"/>
      <c r="I171" s="70"/>
      <c r="J171" s="74"/>
      <c r="K171" s="62"/>
      <c r="L171" s="62"/>
      <c r="M171" s="62"/>
      <c r="N171" s="62"/>
      <c r="O171" s="92"/>
      <c r="P171" s="85"/>
      <c r="Q171" s="64"/>
      <c r="R171" s="65"/>
      <c r="S171" s="99"/>
      <c r="T171" s="68"/>
      <c r="U171" s="76"/>
      <c r="V171" s="70"/>
      <c r="W171" s="78" t="s">
        <v>18059</v>
      </c>
      <c r="X171" s="62"/>
      <c r="Y171" s="63"/>
      <c r="Z171" s="75"/>
      <c r="AA171" s="67"/>
      <c r="AB171" s="68" t="s">
        <v>1</v>
      </c>
      <c r="AC171" s="76">
        <v>0.4</v>
      </c>
      <c r="AD171" s="70" t="s">
        <v>422</v>
      </c>
      <c r="AE171" s="228">
        <f>ROUND((ROUND((_15_同援日１．０*(1+_15・盲ろう)),0)*(1+_15・区４)),0)+ROUND((ROUND((ROUND((_15_同援日１．０＿１．０*(1+_15・B夜間)),0)*(1+_15・盲ろう)),0)*(1+_15・区４)),0)</f>
        <v>932</v>
      </c>
      <c r="AF171" s="69"/>
    </row>
    <row r="172" spans="1:32" ht="16.5" customHeight="1" x14ac:dyDescent="0.3">
      <c r="A172" s="2">
        <v>15</v>
      </c>
      <c r="B172" s="2">
        <v>9724</v>
      </c>
      <c r="C172" s="60" t="s">
        <v>10193</v>
      </c>
      <c r="D172" s="1"/>
      <c r="E172" s="68"/>
      <c r="F172" s="70"/>
      <c r="G172" s="1"/>
      <c r="H172" s="68"/>
      <c r="I172" s="70"/>
      <c r="J172" s="81"/>
      <c r="K172" s="57"/>
      <c r="L172" s="57"/>
      <c r="M172" s="57"/>
      <c r="N172" s="57"/>
      <c r="O172" s="89"/>
      <c r="P172" s="105" t="s">
        <v>5895</v>
      </c>
      <c r="Q172" s="64" t="s">
        <v>1</v>
      </c>
      <c r="R172" s="65">
        <v>1</v>
      </c>
      <c r="S172" s="99"/>
      <c r="T172" s="68"/>
      <c r="U172" s="76"/>
      <c r="V172" s="70"/>
      <c r="W172" s="94" t="s">
        <v>18058</v>
      </c>
      <c r="X172" s="68"/>
      <c r="Y172" s="76"/>
      <c r="Z172" s="70"/>
      <c r="AA172" s="67"/>
      <c r="AB172" s="68"/>
      <c r="AC172" s="76"/>
      <c r="AD172" s="70"/>
      <c r="AE172" s="228">
        <f>ROUND((ROUND((ROUND((_15_同援日１．０*_15・２人),0)*(1+_15・盲ろう)),0)*(1+_15・区４)),0)+ROUND((ROUND((ROUND((ROUND((_15_同援日１．０＿１．０*_15・２人),0)*(1+_15・B夜間)),0)*(1+_15・盲ろう)),0)*(1+_15・区４)),0)</f>
        <v>932</v>
      </c>
      <c r="AF172" s="69"/>
    </row>
    <row r="173" spans="1:32" ht="16.5" customHeight="1" x14ac:dyDescent="0.3">
      <c r="A173" s="2">
        <v>15</v>
      </c>
      <c r="B173" s="2">
        <v>9725</v>
      </c>
      <c r="C173" s="60" t="s">
        <v>10192</v>
      </c>
      <c r="D173" s="1"/>
      <c r="E173" s="68"/>
      <c r="F173" s="70"/>
      <c r="G173" s="1"/>
      <c r="H173" s="68"/>
      <c r="I173" s="70"/>
      <c r="J173" s="74" t="s">
        <v>18069</v>
      </c>
      <c r="K173" s="62"/>
      <c r="L173" s="62"/>
      <c r="M173" s="62"/>
      <c r="N173" s="62"/>
      <c r="O173" s="92"/>
      <c r="P173" s="85"/>
      <c r="Q173" s="64"/>
      <c r="R173" s="65"/>
      <c r="S173" s="99"/>
      <c r="T173" s="68"/>
      <c r="U173" s="76"/>
      <c r="V173" s="70"/>
      <c r="W173" s="67"/>
      <c r="X173" s="68" t="s">
        <v>1</v>
      </c>
      <c r="Y173" s="76">
        <v>0.25</v>
      </c>
      <c r="Z173" s="70" t="s">
        <v>422</v>
      </c>
      <c r="AA173" s="67"/>
      <c r="AB173" s="68"/>
      <c r="AC173" s="76"/>
      <c r="AD173" s="70"/>
      <c r="AE173" s="228">
        <f>ROUND((ROUND((ROUND((_15_同援日１．０*_15・基礎２),0)*(1+_15・盲ろう)),0)*(1+_15・区４)),0)+ROUND((ROUND((ROUND((ROUND((_15_同援日１．０＿１．０*_15・基礎２),0)*(1+_15・B夜間)),0)*(1+_15・盲ろう)),0)*(1+_15・区４)),0)</f>
        <v>843</v>
      </c>
      <c r="AF173" s="69"/>
    </row>
    <row r="174" spans="1:32" ht="16.5" customHeight="1" x14ac:dyDescent="0.3">
      <c r="A174" s="2">
        <v>15</v>
      </c>
      <c r="B174" s="2">
        <v>9726</v>
      </c>
      <c r="C174" s="60" t="s">
        <v>10191</v>
      </c>
      <c r="D174" s="1"/>
      <c r="E174" s="68"/>
      <c r="F174" s="70"/>
      <c r="G174" s="81"/>
      <c r="H174" s="57"/>
      <c r="I174" s="77"/>
      <c r="J174" s="81"/>
      <c r="K174" s="57"/>
      <c r="L174" s="57"/>
      <c r="M174" s="57"/>
      <c r="N174" s="57" t="s">
        <v>1</v>
      </c>
      <c r="O174" s="89">
        <v>0.9</v>
      </c>
      <c r="P174" s="105" t="s">
        <v>5895</v>
      </c>
      <c r="Q174" s="64" t="s">
        <v>1</v>
      </c>
      <c r="R174" s="65">
        <v>1</v>
      </c>
      <c r="S174" s="99"/>
      <c r="T174" s="68"/>
      <c r="U174" s="76"/>
      <c r="V174" s="70"/>
      <c r="W174" s="66"/>
      <c r="X174" s="57"/>
      <c r="Y174" s="58"/>
      <c r="Z174" s="77"/>
      <c r="AA174" s="66"/>
      <c r="AB174" s="57"/>
      <c r="AC174" s="58"/>
      <c r="AD174" s="77"/>
      <c r="AE174" s="228">
        <f>ROUND((ROUND((ROUND((ROUND((_15_同援日１．０*_15・基礎２),0)*_15・２人),0)*(1+_15・盲ろう)),0)*(1+_15・区４)),0)+ROUND((ROUND((ROUND((ROUND((ROUND((_15_同援日１．０＿１．０*_15・基礎２),0)*_15・２人),0)*(1+_15・B夜間)),0)*(1+_15・盲ろう)),0)*(1+_15・区４)),0)</f>
        <v>843</v>
      </c>
      <c r="AF174" s="69"/>
    </row>
    <row r="175" spans="1:32" ht="16.5" customHeight="1" x14ac:dyDescent="0.3">
      <c r="A175" s="2">
        <v>15</v>
      </c>
      <c r="B175" s="2">
        <v>9727</v>
      </c>
      <c r="C175" s="60" t="s">
        <v>10190</v>
      </c>
      <c r="D175" s="1"/>
      <c r="E175" s="68"/>
      <c r="F175" s="70"/>
      <c r="G175" s="233" t="s">
        <v>6032</v>
      </c>
      <c r="H175" s="62"/>
      <c r="I175" s="75"/>
      <c r="J175" s="74"/>
      <c r="K175" s="62"/>
      <c r="L175" s="62"/>
      <c r="M175" s="62"/>
      <c r="N175" s="62"/>
      <c r="O175" s="92"/>
      <c r="P175" s="85"/>
      <c r="Q175" s="64"/>
      <c r="R175" s="65"/>
      <c r="S175" s="99"/>
      <c r="T175" s="68"/>
      <c r="U175" s="76"/>
      <c r="V175" s="70"/>
      <c r="W175" s="61"/>
      <c r="X175" s="62"/>
      <c r="Y175" s="63"/>
      <c r="Z175" s="75"/>
      <c r="AA175" s="61"/>
      <c r="AB175" s="62"/>
      <c r="AC175" s="63"/>
      <c r="AD175" s="75"/>
      <c r="AE175" s="228">
        <f>_15_同援日１．０+ROUND((_15_同援日１．０＿１．５*(1+_15・B夜間)),0)</f>
        <v>612</v>
      </c>
      <c r="AF175" s="69"/>
    </row>
    <row r="176" spans="1:32" ht="16.5" customHeight="1" x14ac:dyDescent="0.3">
      <c r="A176" s="2">
        <v>15</v>
      </c>
      <c r="B176" s="2">
        <v>9728</v>
      </c>
      <c r="C176" s="60" t="s">
        <v>10189</v>
      </c>
      <c r="D176" s="1"/>
      <c r="E176" s="68"/>
      <c r="F176" s="70"/>
      <c r="G176" s="1" t="s">
        <v>18076</v>
      </c>
      <c r="H176" s="68"/>
      <c r="I176" s="70"/>
      <c r="J176" s="81"/>
      <c r="K176" s="57"/>
      <c r="L176" s="57"/>
      <c r="M176" s="57"/>
      <c r="N176" s="57"/>
      <c r="O176" s="89"/>
      <c r="P176" s="105" t="s">
        <v>5895</v>
      </c>
      <c r="Q176" s="64" t="s">
        <v>1</v>
      </c>
      <c r="R176" s="65">
        <v>1</v>
      </c>
      <c r="S176" s="99"/>
      <c r="T176" s="68"/>
      <c r="U176" s="76"/>
      <c r="V176" s="70"/>
      <c r="W176" s="67"/>
      <c r="X176" s="68"/>
      <c r="Y176" s="76"/>
      <c r="Z176" s="70"/>
      <c r="AA176" s="67"/>
      <c r="AB176" s="68"/>
      <c r="AC176" s="76"/>
      <c r="AD176" s="70"/>
      <c r="AE176" s="228">
        <f>ROUND((_15_同援日１．０*_15・２人),0)+ROUND((ROUND((_15_同援日１．０＿１．５*_15・２人),0)*(1+_15・B夜間)),0)</f>
        <v>612</v>
      </c>
      <c r="AF176" s="69"/>
    </row>
    <row r="177" spans="1:32" ht="16.5" customHeight="1" x14ac:dyDescent="0.3">
      <c r="A177" s="2">
        <v>15</v>
      </c>
      <c r="B177" s="2">
        <v>9729</v>
      </c>
      <c r="C177" s="60" t="s">
        <v>10188</v>
      </c>
      <c r="D177" s="1"/>
      <c r="E177" s="68"/>
      <c r="F177" s="70"/>
      <c r="G177" s="1" t="s">
        <v>8767</v>
      </c>
      <c r="H177" s="68"/>
      <c r="I177" s="70"/>
      <c r="J177" s="74" t="s">
        <v>18069</v>
      </c>
      <c r="K177" s="62"/>
      <c r="L177" s="62"/>
      <c r="M177" s="62"/>
      <c r="N177" s="62"/>
      <c r="O177" s="92"/>
      <c r="P177" s="85"/>
      <c r="Q177" s="64"/>
      <c r="R177" s="65"/>
      <c r="S177" s="99"/>
      <c r="T177" s="68"/>
      <c r="U177" s="76"/>
      <c r="V177" s="70"/>
      <c r="W177" s="67"/>
      <c r="X177" s="68"/>
      <c r="Y177" s="76"/>
      <c r="Z177" s="70"/>
      <c r="AA177" s="67"/>
      <c r="AB177" s="68"/>
      <c r="AC177" s="76"/>
      <c r="AD177" s="70"/>
      <c r="AE177" s="228">
        <f>ROUND((_15_同援日１．０*_15・基礎２),0)+ROUND((ROUND((_15_同援日１．０＿１．５*_15・基礎２),0)*(1+_15・B夜間)),0)</f>
        <v>551</v>
      </c>
      <c r="AF177" s="69"/>
    </row>
    <row r="178" spans="1:32" ht="16.5" customHeight="1" x14ac:dyDescent="0.3">
      <c r="A178" s="2">
        <v>15</v>
      </c>
      <c r="B178" s="2">
        <v>9730</v>
      </c>
      <c r="C178" s="60" t="s">
        <v>10187</v>
      </c>
      <c r="D178" s="1"/>
      <c r="E178" s="68"/>
      <c r="F178" s="70"/>
      <c r="G178" s="1"/>
      <c r="H178" s="119">
        <v>256</v>
      </c>
      <c r="I178" s="70" t="s">
        <v>0</v>
      </c>
      <c r="J178" s="81"/>
      <c r="K178" s="57"/>
      <c r="L178" s="57"/>
      <c r="M178" s="57"/>
      <c r="N178" s="57" t="s">
        <v>1</v>
      </c>
      <c r="O178" s="89">
        <v>0.9</v>
      </c>
      <c r="P178" s="105" t="s">
        <v>5895</v>
      </c>
      <c r="Q178" s="64" t="s">
        <v>1</v>
      </c>
      <c r="R178" s="65">
        <v>1</v>
      </c>
      <c r="S178" s="99"/>
      <c r="T178" s="68"/>
      <c r="U178" s="76"/>
      <c r="V178" s="70"/>
      <c r="W178" s="66"/>
      <c r="X178" s="57"/>
      <c r="Y178" s="58"/>
      <c r="Z178" s="77"/>
      <c r="AA178" s="67"/>
      <c r="AB178" s="68"/>
      <c r="AC178" s="76"/>
      <c r="AD178" s="70"/>
      <c r="AE178" s="228">
        <f>ROUND((ROUND((_15_同援日１．０*_15・基礎２),0)*_15・２人),0)+ROUND((ROUND((ROUND((_15_同援日１．０＿１．５*_15・基礎２),0)*_15・２人),0)*(1+_15・B夜間)),0)</f>
        <v>551</v>
      </c>
      <c r="AF178" s="69"/>
    </row>
    <row r="179" spans="1:32" ht="16.5" customHeight="1" x14ac:dyDescent="0.3">
      <c r="A179" s="2">
        <v>15</v>
      </c>
      <c r="B179" s="2">
        <v>9731</v>
      </c>
      <c r="C179" s="60" t="s">
        <v>10186</v>
      </c>
      <c r="D179" s="1"/>
      <c r="E179" s="68"/>
      <c r="F179" s="70"/>
      <c r="G179" s="1"/>
      <c r="H179" s="68"/>
      <c r="I179" s="70"/>
      <c r="J179" s="74"/>
      <c r="K179" s="62"/>
      <c r="L179" s="62"/>
      <c r="M179" s="62"/>
      <c r="N179" s="62"/>
      <c r="O179" s="92"/>
      <c r="P179" s="85"/>
      <c r="Q179" s="64"/>
      <c r="R179" s="65"/>
      <c r="S179" s="99"/>
      <c r="T179" s="68"/>
      <c r="U179" s="76"/>
      <c r="V179" s="70"/>
      <c r="W179" s="78" t="s">
        <v>18059</v>
      </c>
      <c r="X179" s="62"/>
      <c r="Y179" s="63"/>
      <c r="Z179" s="75"/>
      <c r="AA179" s="67"/>
      <c r="AB179" s="68"/>
      <c r="AC179" s="76"/>
      <c r="AD179" s="70"/>
      <c r="AE179" s="228">
        <f>ROUND((_15_同援日１．０*(1+_15・盲ろう)),0)+ROUND((ROUND((_15_同援日１．０＿１．５*(1+_15・B夜間)),0)*(1+_15・盲ろう)),0)</f>
        <v>765</v>
      </c>
      <c r="AF179" s="69"/>
    </row>
    <row r="180" spans="1:32" ht="16.5" customHeight="1" x14ac:dyDescent="0.3">
      <c r="A180" s="2">
        <v>15</v>
      </c>
      <c r="B180" s="2">
        <v>9732</v>
      </c>
      <c r="C180" s="60" t="s">
        <v>10185</v>
      </c>
      <c r="D180" s="1"/>
      <c r="E180" s="68"/>
      <c r="F180" s="70"/>
      <c r="G180" s="1"/>
      <c r="H180" s="68"/>
      <c r="I180" s="70"/>
      <c r="J180" s="81"/>
      <c r="K180" s="57"/>
      <c r="L180" s="57"/>
      <c r="M180" s="57"/>
      <c r="N180" s="57"/>
      <c r="O180" s="89"/>
      <c r="P180" s="105" t="s">
        <v>5895</v>
      </c>
      <c r="Q180" s="64" t="s">
        <v>1</v>
      </c>
      <c r="R180" s="65">
        <v>1</v>
      </c>
      <c r="S180" s="99"/>
      <c r="T180" s="68"/>
      <c r="U180" s="76"/>
      <c r="V180" s="70"/>
      <c r="W180" s="94" t="s">
        <v>18058</v>
      </c>
      <c r="X180" s="68"/>
      <c r="Y180" s="76"/>
      <c r="Z180" s="70"/>
      <c r="AA180" s="67"/>
      <c r="AB180" s="68"/>
      <c r="AC180" s="76"/>
      <c r="AD180" s="70"/>
      <c r="AE180" s="228">
        <f>ROUND((ROUND((_15_同援日１．０*_15・２人),0)*(1+_15・盲ろう)),0)+ROUND((ROUND((ROUND((_15_同援日１．０＿１．５*_15・２人),0)*(1+_15・B夜間)),0)*(1+_15・盲ろう)),0)</f>
        <v>765</v>
      </c>
      <c r="AF180" s="69"/>
    </row>
    <row r="181" spans="1:32" ht="16.5" customHeight="1" x14ac:dyDescent="0.3">
      <c r="A181" s="2">
        <v>15</v>
      </c>
      <c r="B181" s="2">
        <v>9733</v>
      </c>
      <c r="C181" s="60" t="s">
        <v>10184</v>
      </c>
      <c r="D181" s="1"/>
      <c r="E181" s="68"/>
      <c r="F181" s="70"/>
      <c r="G181" s="1"/>
      <c r="H181" s="68"/>
      <c r="I181" s="70"/>
      <c r="J181" s="74" t="s">
        <v>18069</v>
      </c>
      <c r="K181" s="62"/>
      <c r="L181" s="62"/>
      <c r="M181" s="62"/>
      <c r="N181" s="62"/>
      <c r="O181" s="92"/>
      <c r="P181" s="85"/>
      <c r="Q181" s="64"/>
      <c r="R181" s="65"/>
      <c r="S181" s="99"/>
      <c r="T181" s="68"/>
      <c r="U181" s="76"/>
      <c r="V181" s="70"/>
      <c r="W181" s="67"/>
      <c r="X181" s="68" t="s">
        <v>1</v>
      </c>
      <c r="Y181" s="76">
        <v>0.25</v>
      </c>
      <c r="Z181" s="70" t="s">
        <v>422</v>
      </c>
      <c r="AA181" s="67"/>
      <c r="AB181" s="68"/>
      <c r="AC181" s="76"/>
      <c r="AD181" s="70"/>
      <c r="AE181" s="228">
        <f>ROUND((ROUND((_15_同援日１．０*_15・基礎２),0)*(1+_15・盲ろう)),0)+ROUND((ROUND((ROUND((_15_同援日１．０＿１．５*_15・基礎２),0)*(1+_15・B夜間)),0)*(1+_15・盲ろう)),0)</f>
        <v>689</v>
      </c>
      <c r="AF181" s="69"/>
    </row>
    <row r="182" spans="1:32" ht="16.5" customHeight="1" x14ac:dyDescent="0.3">
      <c r="A182" s="2">
        <v>15</v>
      </c>
      <c r="B182" s="2">
        <v>9734</v>
      </c>
      <c r="C182" s="60" t="s">
        <v>10183</v>
      </c>
      <c r="D182" s="1"/>
      <c r="E182" s="68"/>
      <c r="F182" s="70"/>
      <c r="G182" s="1"/>
      <c r="H182" s="68"/>
      <c r="I182" s="70"/>
      <c r="J182" s="81"/>
      <c r="K182" s="57"/>
      <c r="L182" s="57"/>
      <c r="M182" s="57"/>
      <c r="N182" s="57" t="s">
        <v>1</v>
      </c>
      <c r="O182" s="89">
        <v>0.9</v>
      </c>
      <c r="P182" s="105" t="s">
        <v>5895</v>
      </c>
      <c r="Q182" s="64" t="s">
        <v>1</v>
      </c>
      <c r="R182" s="65">
        <v>1</v>
      </c>
      <c r="S182" s="99"/>
      <c r="T182" s="68"/>
      <c r="U182" s="76"/>
      <c r="V182" s="70"/>
      <c r="W182" s="66"/>
      <c r="X182" s="57"/>
      <c r="Y182" s="58"/>
      <c r="Z182" s="77"/>
      <c r="AA182" s="66"/>
      <c r="AB182" s="57"/>
      <c r="AC182" s="58"/>
      <c r="AD182" s="77"/>
      <c r="AE182" s="228">
        <f>ROUND((ROUND((ROUND((_15_同援日１．０*_15・基礎２),0)*_15・２人),0)*(1+_15・盲ろう)),0)+ROUND((ROUND((ROUND((ROUND((_15_同援日１．０＿１．５*_15・基礎２),0)*_15・２人),0)*(1+_15・B夜間)),0)*(1+_15・盲ろう)),0)</f>
        <v>689</v>
      </c>
      <c r="AF182" s="69"/>
    </row>
    <row r="183" spans="1:32" ht="16.5" customHeight="1" x14ac:dyDescent="0.3">
      <c r="A183" s="2">
        <v>15</v>
      </c>
      <c r="B183" s="2">
        <v>9735</v>
      </c>
      <c r="C183" s="60" t="s">
        <v>10182</v>
      </c>
      <c r="D183" s="1"/>
      <c r="E183" s="68"/>
      <c r="F183" s="70"/>
      <c r="G183" s="1"/>
      <c r="H183" s="68"/>
      <c r="I183" s="70"/>
      <c r="J183" s="74"/>
      <c r="K183" s="62"/>
      <c r="L183" s="62"/>
      <c r="M183" s="62"/>
      <c r="N183" s="62"/>
      <c r="O183" s="92"/>
      <c r="P183" s="85"/>
      <c r="Q183" s="64"/>
      <c r="R183" s="65"/>
      <c r="S183" s="99"/>
      <c r="T183" s="68"/>
      <c r="U183" s="76"/>
      <c r="V183" s="70"/>
      <c r="W183" s="61"/>
      <c r="X183" s="62"/>
      <c r="Y183" s="63"/>
      <c r="Z183" s="75"/>
      <c r="AA183" s="61"/>
      <c r="AB183" s="62"/>
      <c r="AC183" s="63"/>
      <c r="AD183" s="75"/>
      <c r="AE183" s="228">
        <f>ROUND((_15_同援日１．０*(1+_15・区３)),0)+ROUND((ROUND((_15_同援日１．０＿１．５*(1+_15・B夜間)),0)*(1+_15・区３)),0)</f>
        <v>734</v>
      </c>
      <c r="AF183" s="69"/>
    </row>
    <row r="184" spans="1:32" ht="16.5" customHeight="1" x14ac:dyDescent="0.3">
      <c r="A184" s="2">
        <v>15</v>
      </c>
      <c r="B184" s="2">
        <v>9736</v>
      </c>
      <c r="C184" s="60" t="s">
        <v>10181</v>
      </c>
      <c r="D184" s="1"/>
      <c r="E184" s="68"/>
      <c r="F184" s="70"/>
      <c r="G184" s="1"/>
      <c r="H184" s="68"/>
      <c r="I184" s="70"/>
      <c r="J184" s="81"/>
      <c r="K184" s="57"/>
      <c r="L184" s="57"/>
      <c r="M184" s="57"/>
      <c r="N184" s="57"/>
      <c r="O184" s="89"/>
      <c r="P184" s="105" t="s">
        <v>5895</v>
      </c>
      <c r="Q184" s="64" t="s">
        <v>1</v>
      </c>
      <c r="R184" s="65">
        <v>1</v>
      </c>
      <c r="S184" s="99"/>
      <c r="T184" s="68"/>
      <c r="U184" s="76"/>
      <c r="V184" s="70"/>
      <c r="W184" s="67"/>
      <c r="X184" s="68"/>
      <c r="Y184" s="76"/>
      <c r="Z184" s="70"/>
      <c r="AA184" s="67"/>
      <c r="AB184" s="68"/>
      <c r="AC184" s="76"/>
      <c r="AD184" s="70"/>
      <c r="AE184" s="228">
        <f>ROUND((ROUND((_15_同援日１．０*_15・２人),0)*(1+_15・区３)),0)+ROUND((ROUND((ROUND((_15_同援日１．０＿１．５*_15・２人),0)*(1+_15・B夜間)),0)*(1+_15・区３)),0)</f>
        <v>734</v>
      </c>
      <c r="AF184" s="69"/>
    </row>
    <row r="185" spans="1:32" ht="16.5" customHeight="1" x14ac:dyDescent="0.3">
      <c r="A185" s="2">
        <v>15</v>
      </c>
      <c r="B185" s="2">
        <v>9737</v>
      </c>
      <c r="C185" s="60" t="s">
        <v>10180</v>
      </c>
      <c r="D185" s="1"/>
      <c r="E185" s="68"/>
      <c r="F185" s="70"/>
      <c r="G185" s="1"/>
      <c r="H185" s="68"/>
      <c r="I185" s="70"/>
      <c r="J185" s="74" t="s">
        <v>18069</v>
      </c>
      <c r="K185" s="62"/>
      <c r="L185" s="62"/>
      <c r="M185" s="62"/>
      <c r="N185" s="62"/>
      <c r="O185" s="92"/>
      <c r="P185" s="85"/>
      <c r="Q185" s="64"/>
      <c r="R185" s="65"/>
      <c r="S185" s="99"/>
      <c r="T185" s="68"/>
      <c r="U185" s="76"/>
      <c r="V185" s="70"/>
      <c r="W185" s="67"/>
      <c r="X185" s="68"/>
      <c r="Y185" s="76"/>
      <c r="Z185" s="70"/>
      <c r="AA185" s="1" t="s">
        <v>18062</v>
      </c>
      <c r="AB185" s="68"/>
      <c r="AC185" s="76"/>
      <c r="AD185" s="70"/>
      <c r="AE185" s="228">
        <f>ROUND((ROUND((_15_同援日１．０*_15・基礎２),0)*(1+_15・区３)),0)+ROUND((ROUND((ROUND((_15_同援日１．０＿１．５*_15・基礎２),0)*(1+_15・B夜間)),0)*(1+_15・区３)),0)</f>
        <v>662</v>
      </c>
      <c r="AF185" s="69"/>
    </row>
    <row r="186" spans="1:32" ht="16.5" customHeight="1" x14ac:dyDescent="0.3">
      <c r="A186" s="2">
        <v>15</v>
      </c>
      <c r="B186" s="2">
        <v>9738</v>
      </c>
      <c r="C186" s="60" t="s">
        <v>10179</v>
      </c>
      <c r="D186" s="1"/>
      <c r="E186" s="68"/>
      <c r="F186" s="70"/>
      <c r="G186" s="1"/>
      <c r="H186" s="68"/>
      <c r="I186" s="70"/>
      <c r="J186" s="81"/>
      <c r="K186" s="57"/>
      <c r="L186" s="57"/>
      <c r="M186" s="57"/>
      <c r="N186" s="57" t="s">
        <v>1</v>
      </c>
      <c r="O186" s="89">
        <v>0.9</v>
      </c>
      <c r="P186" s="105" t="s">
        <v>5895</v>
      </c>
      <c r="Q186" s="64" t="s">
        <v>1</v>
      </c>
      <c r="R186" s="65">
        <v>1</v>
      </c>
      <c r="S186" s="99"/>
      <c r="T186" s="68"/>
      <c r="U186" s="76"/>
      <c r="V186" s="70"/>
      <c r="W186" s="66"/>
      <c r="X186" s="57"/>
      <c r="Y186" s="58"/>
      <c r="Z186" s="77"/>
      <c r="AA186" s="1" t="s">
        <v>18060</v>
      </c>
      <c r="AB186" s="68"/>
      <c r="AC186" s="76"/>
      <c r="AD186" s="70"/>
      <c r="AE186" s="228">
        <f>ROUND((ROUND((ROUND((_15_同援日１．０*_15・基礎２),0)*_15・２人),0)*(1+_15・区３)),0)+ROUND((ROUND((ROUND((ROUND((_15_同援日１．０＿１．５*_15・基礎２),0)*_15・２人),0)*(1+_15・B夜間)),0)*(1+_15・区３)),0)</f>
        <v>662</v>
      </c>
      <c r="AF186" s="69"/>
    </row>
    <row r="187" spans="1:32" ht="16.5" customHeight="1" x14ac:dyDescent="0.3">
      <c r="A187" s="2">
        <v>15</v>
      </c>
      <c r="B187" s="2">
        <v>9739</v>
      </c>
      <c r="C187" s="60" t="s">
        <v>10178</v>
      </c>
      <c r="D187" s="1"/>
      <c r="E187" s="68"/>
      <c r="F187" s="70"/>
      <c r="G187" s="1"/>
      <c r="H187" s="68"/>
      <c r="I187" s="70"/>
      <c r="J187" s="74"/>
      <c r="K187" s="62"/>
      <c r="L187" s="62"/>
      <c r="M187" s="62"/>
      <c r="N187" s="62"/>
      <c r="O187" s="92"/>
      <c r="P187" s="85"/>
      <c r="Q187" s="64"/>
      <c r="R187" s="65"/>
      <c r="S187" s="99"/>
      <c r="T187" s="68"/>
      <c r="U187" s="76"/>
      <c r="V187" s="70"/>
      <c r="W187" s="78" t="s">
        <v>18059</v>
      </c>
      <c r="X187" s="62"/>
      <c r="Y187" s="63"/>
      <c r="Z187" s="75"/>
      <c r="AA187" s="67"/>
      <c r="AB187" s="68" t="s">
        <v>1</v>
      </c>
      <c r="AC187" s="76">
        <v>0.2</v>
      </c>
      <c r="AD187" s="70" t="s">
        <v>422</v>
      </c>
      <c r="AE187" s="228">
        <f>ROUND((ROUND((_15_同援日１．０*(1+_15・盲ろう)),0)*(1+_15・区３)),0)+ROUND((ROUND((ROUND((_15_同援日１．０＿１．５*(1+_15・B夜間)),0)*(1+_15・盲ろう)),0)*(1+_15・区３)),0)</f>
        <v>918</v>
      </c>
      <c r="AF187" s="69"/>
    </row>
    <row r="188" spans="1:32" ht="16.5" customHeight="1" x14ac:dyDescent="0.3">
      <c r="A188" s="2">
        <v>15</v>
      </c>
      <c r="B188" s="2">
        <v>9740</v>
      </c>
      <c r="C188" s="60" t="s">
        <v>10177</v>
      </c>
      <c r="D188" s="1"/>
      <c r="E188" s="68"/>
      <c r="F188" s="70"/>
      <c r="G188" s="1"/>
      <c r="H188" s="68"/>
      <c r="I188" s="70"/>
      <c r="J188" s="81"/>
      <c r="K188" s="57"/>
      <c r="L188" s="57"/>
      <c r="M188" s="57"/>
      <c r="N188" s="57"/>
      <c r="O188" s="89"/>
      <c r="P188" s="105" t="s">
        <v>5895</v>
      </c>
      <c r="Q188" s="64" t="s">
        <v>1</v>
      </c>
      <c r="R188" s="65">
        <v>1</v>
      </c>
      <c r="S188" s="99"/>
      <c r="T188" s="68"/>
      <c r="U188" s="76"/>
      <c r="V188" s="70"/>
      <c r="W188" s="94" t="s">
        <v>18058</v>
      </c>
      <c r="X188" s="68"/>
      <c r="Y188" s="76"/>
      <c r="Z188" s="70"/>
      <c r="AA188" s="67"/>
      <c r="AB188" s="68"/>
      <c r="AC188" s="76"/>
      <c r="AD188" s="70"/>
      <c r="AE188" s="228">
        <f>ROUND((ROUND((ROUND((_15_同援日１．０*_15・２人),0)*(1+_15・盲ろう)),0)*(1+_15・区３)),0)+ROUND((ROUND((ROUND((ROUND((_15_同援日１．０＿１．５*_15・２人),0)*(1+_15・B夜間)),0)*(1+_15・盲ろう)),0)*(1+_15・区３)),0)</f>
        <v>918</v>
      </c>
      <c r="AF188" s="69"/>
    </row>
    <row r="189" spans="1:32" ht="16.5" customHeight="1" x14ac:dyDescent="0.3">
      <c r="A189" s="2">
        <v>15</v>
      </c>
      <c r="B189" s="2">
        <v>9741</v>
      </c>
      <c r="C189" s="60" t="s">
        <v>10176</v>
      </c>
      <c r="D189" s="1"/>
      <c r="E189" s="68"/>
      <c r="F189" s="70"/>
      <c r="G189" s="1"/>
      <c r="H189" s="68"/>
      <c r="I189" s="70"/>
      <c r="J189" s="74" t="s">
        <v>18069</v>
      </c>
      <c r="K189" s="62"/>
      <c r="L189" s="62"/>
      <c r="M189" s="62"/>
      <c r="N189" s="62"/>
      <c r="O189" s="92"/>
      <c r="P189" s="85"/>
      <c r="Q189" s="64"/>
      <c r="R189" s="65"/>
      <c r="S189" s="99"/>
      <c r="T189" s="68"/>
      <c r="U189" s="76"/>
      <c r="V189" s="70"/>
      <c r="W189" s="67"/>
      <c r="X189" s="68" t="s">
        <v>1</v>
      </c>
      <c r="Y189" s="76">
        <v>0.25</v>
      </c>
      <c r="Z189" s="70" t="s">
        <v>422</v>
      </c>
      <c r="AA189" s="67"/>
      <c r="AB189" s="68"/>
      <c r="AC189" s="76"/>
      <c r="AD189" s="70"/>
      <c r="AE189" s="228">
        <f>ROUND((ROUND((ROUND((_15_同援日１．０*_15・基礎２),0)*(1+_15・盲ろう)),0)*(1+_15・区３)),0)+ROUND((ROUND((ROUND((ROUND((_15_同援日１．０＿１．５*_15・基礎２),0)*(1+_15・B夜間)),0)*(1+_15・盲ろう)),0)*(1+_15・区３)),0)</f>
        <v>827</v>
      </c>
      <c r="AF189" s="69"/>
    </row>
    <row r="190" spans="1:32" ht="16.5" customHeight="1" x14ac:dyDescent="0.3">
      <c r="A190" s="2">
        <v>15</v>
      </c>
      <c r="B190" s="2">
        <v>9742</v>
      </c>
      <c r="C190" s="60" t="s">
        <v>10175</v>
      </c>
      <c r="D190" s="1"/>
      <c r="E190" s="68"/>
      <c r="F190" s="70"/>
      <c r="G190" s="1"/>
      <c r="H190" s="68"/>
      <c r="I190" s="70"/>
      <c r="J190" s="81"/>
      <c r="K190" s="57"/>
      <c r="L190" s="57"/>
      <c r="M190" s="57"/>
      <c r="N190" s="57" t="s">
        <v>1</v>
      </c>
      <c r="O190" s="89">
        <v>0.9</v>
      </c>
      <c r="P190" s="105" t="s">
        <v>5895</v>
      </c>
      <c r="Q190" s="64" t="s">
        <v>1</v>
      </c>
      <c r="R190" s="65">
        <v>1</v>
      </c>
      <c r="S190" s="99"/>
      <c r="T190" s="68"/>
      <c r="U190" s="76"/>
      <c r="V190" s="70"/>
      <c r="W190" s="66"/>
      <c r="X190" s="57"/>
      <c r="Y190" s="58"/>
      <c r="Z190" s="77"/>
      <c r="AA190" s="66"/>
      <c r="AB190" s="57"/>
      <c r="AC190" s="58"/>
      <c r="AD190" s="77"/>
      <c r="AE190" s="228">
        <f>ROUND((ROUND((ROUND((ROUND((_15_同援日１．０*_15・基礎２),0)*_15・２人),0)*(1+_15・盲ろう)),0)*(1+_15・区３)),0)+ROUND((ROUND((ROUND((ROUND((ROUND((_15_同援日１．０＿１．５*_15・基礎２),0)*_15・２人),0)*(1+_15・B夜間)),0)*(1+_15・盲ろう)),0)*(1+_15・区３)),0)</f>
        <v>827</v>
      </c>
      <c r="AF190" s="69"/>
    </row>
    <row r="191" spans="1:32" ht="16.5" customHeight="1" x14ac:dyDescent="0.3">
      <c r="A191" s="2">
        <v>15</v>
      </c>
      <c r="B191" s="2">
        <v>9743</v>
      </c>
      <c r="C191" s="60" t="s">
        <v>10174</v>
      </c>
      <c r="D191" s="1"/>
      <c r="E191" s="68"/>
      <c r="F191" s="70"/>
      <c r="G191" s="1"/>
      <c r="H191" s="68"/>
      <c r="I191" s="70"/>
      <c r="J191" s="74"/>
      <c r="K191" s="62"/>
      <c r="L191" s="62"/>
      <c r="M191" s="62"/>
      <c r="N191" s="62"/>
      <c r="O191" s="92"/>
      <c r="P191" s="85"/>
      <c r="Q191" s="64"/>
      <c r="R191" s="65"/>
      <c r="S191" s="99"/>
      <c r="T191" s="68"/>
      <c r="U191" s="76"/>
      <c r="V191" s="70"/>
      <c r="W191" s="61"/>
      <c r="X191" s="62"/>
      <c r="Y191" s="63"/>
      <c r="Z191" s="75"/>
      <c r="AA191" s="61"/>
      <c r="AB191" s="62"/>
      <c r="AC191" s="63"/>
      <c r="AD191" s="75"/>
      <c r="AE191" s="228">
        <f>ROUND((_15_同援日１．０*(1+_15・区４)),0)+ROUND((ROUND((_15_同援日１．０＿１．５*(1+_15・B夜間)),0)*(1+_15・区４)),0)</f>
        <v>857</v>
      </c>
      <c r="AF191" s="69"/>
    </row>
    <row r="192" spans="1:32" ht="16.5" customHeight="1" x14ac:dyDescent="0.3">
      <c r="A192" s="2">
        <v>15</v>
      </c>
      <c r="B192" s="2">
        <v>9744</v>
      </c>
      <c r="C192" s="60" t="s">
        <v>10173</v>
      </c>
      <c r="D192" s="1"/>
      <c r="E192" s="68"/>
      <c r="F192" s="70"/>
      <c r="G192" s="1"/>
      <c r="H192" s="68"/>
      <c r="I192" s="70"/>
      <c r="J192" s="81"/>
      <c r="K192" s="57"/>
      <c r="L192" s="57"/>
      <c r="M192" s="57"/>
      <c r="N192" s="57"/>
      <c r="O192" s="89"/>
      <c r="P192" s="105" t="s">
        <v>5895</v>
      </c>
      <c r="Q192" s="64" t="s">
        <v>1</v>
      </c>
      <c r="R192" s="65">
        <v>1</v>
      </c>
      <c r="S192" s="99"/>
      <c r="T192" s="68"/>
      <c r="U192" s="76"/>
      <c r="V192" s="70"/>
      <c r="W192" s="67"/>
      <c r="X192" s="68"/>
      <c r="Y192" s="76"/>
      <c r="Z192" s="70"/>
      <c r="AA192" s="67"/>
      <c r="AB192" s="68"/>
      <c r="AC192" s="76"/>
      <c r="AD192" s="70"/>
      <c r="AE192" s="228">
        <f>ROUND((ROUND((_15_同援日１．０*_15・２人),0)*(1+_15・区４)),0)+ROUND((ROUND((ROUND((_15_同援日１．０＿１．５*_15・２人),0)*(1+_15・B夜間)),0)*(1+_15・区４)),0)</f>
        <v>857</v>
      </c>
      <c r="AF192" s="69"/>
    </row>
    <row r="193" spans="1:32" ht="16.5" customHeight="1" x14ac:dyDescent="0.3">
      <c r="A193" s="2">
        <v>15</v>
      </c>
      <c r="B193" s="2">
        <v>9745</v>
      </c>
      <c r="C193" s="60" t="s">
        <v>10172</v>
      </c>
      <c r="D193" s="1"/>
      <c r="E193" s="68"/>
      <c r="F193" s="70"/>
      <c r="G193" s="1"/>
      <c r="H193" s="68"/>
      <c r="I193" s="70"/>
      <c r="J193" s="74" t="s">
        <v>18069</v>
      </c>
      <c r="K193" s="62"/>
      <c r="L193" s="62"/>
      <c r="M193" s="62"/>
      <c r="N193" s="62"/>
      <c r="O193" s="92"/>
      <c r="P193" s="85"/>
      <c r="Q193" s="64"/>
      <c r="R193" s="65"/>
      <c r="S193" s="99"/>
      <c r="T193" s="68"/>
      <c r="U193" s="76"/>
      <c r="V193" s="70"/>
      <c r="W193" s="67"/>
      <c r="X193" s="68"/>
      <c r="Y193" s="76"/>
      <c r="Z193" s="70"/>
      <c r="AA193" s="1" t="s">
        <v>18061</v>
      </c>
      <c r="AB193" s="68"/>
      <c r="AC193" s="76"/>
      <c r="AD193" s="70"/>
      <c r="AE193" s="228">
        <f>ROUND((ROUND((_15_同援日１．０*_15・基礎２),0)*(1+_15・区４)),0)+ROUND((ROUND((ROUND((_15_同援日１．０＿１．５*_15・基礎２),0)*(1+_15・B夜間)),0)*(1+_15・区４)),0)</f>
        <v>771</v>
      </c>
      <c r="AF193" s="69"/>
    </row>
    <row r="194" spans="1:32" ht="16.5" customHeight="1" x14ac:dyDescent="0.3">
      <c r="A194" s="2">
        <v>15</v>
      </c>
      <c r="B194" s="2">
        <v>9746</v>
      </c>
      <c r="C194" s="60" t="s">
        <v>10171</v>
      </c>
      <c r="D194" s="1"/>
      <c r="E194" s="68"/>
      <c r="F194" s="70"/>
      <c r="G194" s="1"/>
      <c r="H194" s="68"/>
      <c r="I194" s="70"/>
      <c r="J194" s="81"/>
      <c r="K194" s="57"/>
      <c r="L194" s="57"/>
      <c r="M194" s="57"/>
      <c r="N194" s="57" t="s">
        <v>1</v>
      </c>
      <c r="O194" s="89">
        <v>0.9</v>
      </c>
      <c r="P194" s="105" t="s">
        <v>5895</v>
      </c>
      <c r="Q194" s="64" t="s">
        <v>1</v>
      </c>
      <c r="R194" s="65">
        <v>1</v>
      </c>
      <c r="S194" s="99"/>
      <c r="T194" s="68"/>
      <c r="U194" s="76"/>
      <c r="V194" s="70"/>
      <c r="W194" s="66"/>
      <c r="X194" s="57"/>
      <c r="Y194" s="58"/>
      <c r="Z194" s="77"/>
      <c r="AA194" s="1" t="s">
        <v>18060</v>
      </c>
      <c r="AB194" s="68"/>
      <c r="AC194" s="76"/>
      <c r="AD194" s="70"/>
      <c r="AE194" s="228">
        <f>ROUND((ROUND((ROUND((_15_同援日１．０*_15・基礎２),0)*_15・２人),0)*(1+_15・区４)),0)+ROUND((ROUND((ROUND((ROUND((_15_同援日１．０＿１．５*_15・基礎２),0)*_15・２人),0)*(1+_15・B夜間)),0)*(1+_15・区４)),0)</f>
        <v>771</v>
      </c>
      <c r="AF194" s="69"/>
    </row>
    <row r="195" spans="1:32" ht="16.5" customHeight="1" x14ac:dyDescent="0.3">
      <c r="A195" s="2">
        <v>15</v>
      </c>
      <c r="B195" s="2">
        <v>9747</v>
      </c>
      <c r="C195" s="60" t="s">
        <v>10170</v>
      </c>
      <c r="D195" s="1"/>
      <c r="E195" s="68"/>
      <c r="F195" s="70"/>
      <c r="G195" s="1"/>
      <c r="H195" s="68"/>
      <c r="I195" s="70"/>
      <c r="J195" s="74"/>
      <c r="K195" s="62"/>
      <c r="L195" s="62"/>
      <c r="M195" s="62"/>
      <c r="N195" s="62"/>
      <c r="O195" s="92"/>
      <c r="P195" s="85"/>
      <c r="Q195" s="64"/>
      <c r="R195" s="65"/>
      <c r="S195" s="99"/>
      <c r="T195" s="68"/>
      <c r="U195" s="76"/>
      <c r="V195" s="70"/>
      <c r="W195" s="78" t="s">
        <v>18059</v>
      </c>
      <c r="X195" s="62"/>
      <c r="Y195" s="63"/>
      <c r="Z195" s="75"/>
      <c r="AA195" s="67"/>
      <c r="AB195" s="68" t="s">
        <v>1</v>
      </c>
      <c r="AC195" s="76">
        <v>0.4</v>
      </c>
      <c r="AD195" s="70" t="s">
        <v>422</v>
      </c>
      <c r="AE195" s="228">
        <f>ROUND((ROUND((_15_同援日１．０*(1+_15・盲ろう)),0)*(1+_15・区４)),0)+ROUND((ROUND((ROUND((_15_同援日１．０＿１．５*(1+_15・B夜間)),0)*(1+_15・盲ろう)),0)*(1+_15・区４)),0)</f>
        <v>1071</v>
      </c>
      <c r="AF195" s="69"/>
    </row>
    <row r="196" spans="1:32" ht="16.5" customHeight="1" x14ac:dyDescent="0.3">
      <c r="A196" s="2">
        <v>15</v>
      </c>
      <c r="B196" s="2">
        <v>9748</v>
      </c>
      <c r="C196" s="60" t="s">
        <v>10169</v>
      </c>
      <c r="D196" s="1"/>
      <c r="E196" s="68"/>
      <c r="F196" s="70"/>
      <c r="G196" s="1"/>
      <c r="H196" s="68"/>
      <c r="I196" s="70"/>
      <c r="J196" s="81"/>
      <c r="K196" s="57"/>
      <c r="L196" s="57"/>
      <c r="M196" s="57"/>
      <c r="N196" s="57"/>
      <c r="O196" s="89"/>
      <c r="P196" s="105" t="s">
        <v>5895</v>
      </c>
      <c r="Q196" s="64" t="s">
        <v>1</v>
      </c>
      <c r="R196" s="65">
        <v>1</v>
      </c>
      <c r="S196" s="99"/>
      <c r="T196" s="68"/>
      <c r="U196" s="76"/>
      <c r="V196" s="70"/>
      <c r="W196" s="94" t="s">
        <v>18058</v>
      </c>
      <c r="X196" s="68"/>
      <c r="Y196" s="76"/>
      <c r="Z196" s="70"/>
      <c r="AA196" s="67"/>
      <c r="AB196" s="68"/>
      <c r="AC196" s="76"/>
      <c r="AD196" s="70"/>
      <c r="AE196" s="228">
        <f>ROUND((ROUND((ROUND((_15_同援日１．０*_15・２人),0)*(1+_15・盲ろう)),0)*(1+_15・区４)),0)+ROUND((ROUND((ROUND((ROUND((_15_同援日１．０＿１．５*_15・２人),0)*(1+_15・B夜間)),0)*(1+_15・盲ろう)),0)*(1+_15・区４)),0)</f>
        <v>1071</v>
      </c>
      <c r="AF196" s="69"/>
    </row>
    <row r="197" spans="1:32" ht="16.5" customHeight="1" x14ac:dyDescent="0.3">
      <c r="A197" s="2">
        <v>15</v>
      </c>
      <c r="B197" s="2">
        <v>9749</v>
      </c>
      <c r="C197" s="60" t="s">
        <v>10168</v>
      </c>
      <c r="D197" s="1"/>
      <c r="E197" s="68"/>
      <c r="F197" s="70"/>
      <c r="G197" s="1"/>
      <c r="H197" s="68"/>
      <c r="I197" s="70"/>
      <c r="J197" s="74" t="s">
        <v>18069</v>
      </c>
      <c r="K197" s="62"/>
      <c r="L197" s="62"/>
      <c r="M197" s="62"/>
      <c r="N197" s="62"/>
      <c r="O197" s="92"/>
      <c r="P197" s="85"/>
      <c r="Q197" s="64"/>
      <c r="R197" s="65"/>
      <c r="S197" s="99"/>
      <c r="T197" s="68"/>
      <c r="U197" s="76"/>
      <c r="V197" s="70"/>
      <c r="W197" s="67"/>
      <c r="X197" s="68" t="s">
        <v>1</v>
      </c>
      <c r="Y197" s="76">
        <v>0.25</v>
      </c>
      <c r="Z197" s="70" t="s">
        <v>422</v>
      </c>
      <c r="AA197" s="67"/>
      <c r="AB197" s="68"/>
      <c r="AC197" s="76"/>
      <c r="AD197" s="70"/>
      <c r="AE197" s="228">
        <f>ROUND((ROUND((ROUND((_15_同援日１．０*_15・基礎２),0)*(1+_15・盲ろう)),0)*(1+_15・区４)),0)+ROUND((ROUND((ROUND((ROUND((_15_同援日１．０＿１．５*_15・基礎２),0)*(1+_15・B夜間)),0)*(1+_15・盲ろう)),0)*(1+_15・区４)),0)</f>
        <v>965</v>
      </c>
      <c r="AF197" s="69"/>
    </row>
    <row r="198" spans="1:32" ht="16.5" customHeight="1" x14ac:dyDescent="0.3">
      <c r="A198" s="2">
        <v>15</v>
      </c>
      <c r="B198" s="2">
        <v>9750</v>
      </c>
      <c r="C198" s="60" t="s">
        <v>10167</v>
      </c>
      <c r="D198" s="1"/>
      <c r="E198" s="68"/>
      <c r="F198" s="70"/>
      <c r="G198" s="81"/>
      <c r="H198" s="57"/>
      <c r="I198" s="77"/>
      <c r="J198" s="81"/>
      <c r="K198" s="57"/>
      <c r="L198" s="57"/>
      <c r="M198" s="57"/>
      <c r="N198" s="57" t="s">
        <v>1</v>
      </c>
      <c r="O198" s="89">
        <v>0.9</v>
      </c>
      <c r="P198" s="105" t="s">
        <v>5895</v>
      </c>
      <c r="Q198" s="64" t="s">
        <v>1</v>
      </c>
      <c r="R198" s="65">
        <v>1</v>
      </c>
      <c r="S198" s="99"/>
      <c r="T198" s="68"/>
      <c r="U198" s="76"/>
      <c r="V198" s="70"/>
      <c r="W198" s="66"/>
      <c r="X198" s="57"/>
      <c r="Y198" s="58"/>
      <c r="Z198" s="77"/>
      <c r="AA198" s="66"/>
      <c r="AB198" s="57"/>
      <c r="AC198" s="58"/>
      <c r="AD198" s="77"/>
      <c r="AE198" s="228">
        <f>ROUND((ROUND((ROUND((ROUND((_15_同援日１．０*_15・基礎２),0)*_15・２人),0)*(1+_15・盲ろう)),0)*(1+_15・区４)),0)+ROUND((ROUND((ROUND((ROUND((ROUND((_15_同援日１．０＿１．５*_15・基礎２),0)*_15・２人),0)*(1+_15・B夜間)),0)*(1+_15・盲ろう)),0)*(1+_15・区４)),0)</f>
        <v>965</v>
      </c>
      <c r="AF198" s="69"/>
    </row>
    <row r="199" spans="1:32" ht="16.5" customHeight="1" x14ac:dyDescent="0.3">
      <c r="A199" s="2">
        <v>15</v>
      </c>
      <c r="B199" s="2">
        <v>9751</v>
      </c>
      <c r="C199" s="60" t="s">
        <v>10166</v>
      </c>
      <c r="D199" s="1"/>
      <c r="E199" s="68"/>
      <c r="F199" s="70"/>
      <c r="G199" s="233" t="s">
        <v>18080</v>
      </c>
      <c r="H199" s="62"/>
      <c r="I199" s="75"/>
      <c r="J199" s="74"/>
      <c r="K199" s="62"/>
      <c r="L199" s="62"/>
      <c r="M199" s="62"/>
      <c r="N199" s="62"/>
      <c r="O199" s="92"/>
      <c r="P199" s="85"/>
      <c r="Q199" s="64"/>
      <c r="R199" s="65"/>
      <c r="S199" s="99"/>
      <c r="T199" s="68"/>
      <c r="U199" s="76"/>
      <c r="V199" s="70"/>
      <c r="W199" s="61"/>
      <c r="X199" s="62"/>
      <c r="Y199" s="63"/>
      <c r="Z199" s="75"/>
      <c r="AA199" s="61"/>
      <c r="AB199" s="62"/>
      <c r="AC199" s="63"/>
      <c r="AD199" s="75"/>
      <c r="AE199" s="228">
        <f>_15_同援日１．０+ROUND((_15_同援日１．０＿２．０*(1+_15・B夜間)),0)</f>
        <v>691</v>
      </c>
      <c r="AF199" s="69"/>
    </row>
    <row r="200" spans="1:32" ht="16.5" customHeight="1" x14ac:dyDescent="0.3">
      <c r="A200" s="2">
        <v>15</v>
      </c>
      <c r="B200" s="2">
        <v>9752</v>
      </c>
      <c r="C200" s="60" t="s">
        <v>10165</v>
      </c>
      <c r="D200" s="1"/>
      <c r="E200" s="68"/>
      <c r="F200" s="70"/>
      <c r="G200" s="1" t="s">
        <v>18063</v>
      </c>
      <c r="H200" s="68"/>
      <c r="I200" s="70"/>
      <c r="J200" s="81"/>
      <c r="K200" s="57"/>
      <c r="L200" s="57"/>
      <c r="M200" s="57"/>
      <c r="N200" s="57"/>
      <c r="O200" s="89"/>
      <c r="P200" s="105" t="s">
        <v>5895</v>
      </c>
      <c r="Q200" s="64" t="s">
        <v>1</v>
      </c>
      <c r="R200" s="65">
        <v>1</v>
      </c>
      <c r="S200" s="99"/>
      <c r="T200" s="68"/>
      <c r="U200" s="76"/>
      <c r="V200" s="70"/>
      <c r="W200" s="67"/>
      <c r="X200" s="68"/>
      <c r="Y200" s="76"/>
      <c r="Z200" s="70"/>
      <c r="AA200" s="67"/>
      <c r="AB200" s="68"/>
      <c r="AC200" s="76"/>
      <c r="AD200" s="70"/>
      <c r="AE200" s="228">
        <f>ROUND((_15_同援日１．０*_15・２人),0)+ROUND((ROUND((_15_同援日１．０＿２．０*_15・２人),0)*(1+_15・B夜間)),0)</f>
        <v>691</v>
      </c>
      <c r="AF200" s="69"/>
    </row>
    <row r="201" spans="1:32" ht="16.5" customHeight="1" x14ac:dyDescent="0.3">
      <c r="A201" s="2">
        <v>15</v>
      </c>
      <c r="B201" s="2">
        <v>9753</v>
      </c>
      <c r="C201" s="60" t="s">
        <v>10164</v>
      </c>
      <c r="D201" s="1"/>
      <c r="E201" s="68"/>
      <c r="F201" s="70"/>
      <c r="G201" s="1" t="s">
        <v>6448</v>
      </c>
      <c r="H201" s="68"/>
      <c r="I201" s="70"/>
      <c r="J201" s="74" t="s">
        <v>18069</v>
      </c>
      <c r="K201" s="62"/>
      <c r="L201" s="62"/>
      <c r="M201" s="62"/>
      <c r="N201" s="62"/>
      <c r="O201" s="92"/>
      <c r="P201" s="85"/>
      <c r="Q201" s="64"/>
      <c r="R201" s="65"/>
      <c r="S201" s="99"/>
      <c r="T201" s="68"/>
      <c r="U201" s="76"/>
      <c r="V201" s="70"/>
      <c r="W201" s="67"/>
      <c r="X201" s="68"/>
      <c r="Y201" s="76"/>
      <c r="Z201" s="70"/>
      <c r="AA201" s="67"/>
      <c r="AB201" s="68"/>
      <c r="AC201" s="76"/>
      <c r="AD201" s="70"/>
      <c r="AE201" s="228">
        <f>ROUND((_15_同援日１．０*_15・基礎２),0)+ROUND((ROUND((_15_同援日１．０＿２．０*_15・基礎２),0)*(1+_15・B夜間)),0)</f>
        <v>622</v>
      </c>
      <c r="AF201" s="69"/>
    </row>
    <row r="202" spans="1:32" ht="16.5" customHeight="1" x14ac:dyDescent="0.3">
      <c r="A202" s="2">
        <v>15</v>
      </c>
      <c r="B202" s="2">
        <v>9754</v>
      </c>
      <c r="C202" s="60" t="s">
        <v>10163</v>
      </c>
      <c r="D202" s="1"/>
      <c r="E202" s="68"/>
      <c r="F202" s="70"/>
      <c r="G202" s="1"/>
      <c r="H202" s="119">
        <v>319</v>
      </c>
      <c r="I202" s="70" t="s">
        <v>0</v>
      </c>
      <c r="J202" s="81"/>
      <c r="K202" s="57"/>
      <c r="L202" s="57"/>
      <c r="M202" s="57"/>
      <c r="N202" s="57" t="s">
        <v>1</v>
      </c>
      <c r="O202" s="89">
        <v>0.9</v>
      </c>
      <c r="P202" s="105" t="s">
        <v>5895</v>
      </c>
      <c r="Q202" s="64" t="s">
        <v>1</v>
      </c>
      <c r="R202" s="65">
        <v>1</v>
      </c>
      <c r="S202" s="99"/>
      <c r="T202" s="68"/>
      <c r="U202" s="76"/>
      <c r="V202" s="70"/>
      <c r="W202" s="66"/>
      <c r="X202" s="57"/>
      <c r="Y202" s="58"/>
      <c r="Z202" s="77"/>
      <c r="AA202" s="67"/>
      <c r="AB202" s="68"/>
      <c r="AC202" s="76"/>
      <c r="AD202" s="70"/>
      <c r="AE202" s="228">
        <f>ROUND((ROUND((_15_同援日１．０*_15・基礎２),0)*_15・２人),0)+ROUND((ROUND((ROUND((_15_同援日１．０＿２．０*_15・基礎２),0)*_15・２人),0)*(1+_15・B夜間)),0)</f>
        <v>622</v>
      </c>
      <c r="AF202" s="69"/>
    </row>
    <row r="203" spans="1:32" ht="16.5" customHeight="1" x14ac:dyDescent="0.3">
      <c r="A203" s="2">
        <v>15</v>
      </c>
      <c r="B203" s="2">
        <v>9755</v>
      </c>
      <c r="C203" s="60" t="s">
        <v>10162</v>
      </c>
      <c r="D203" s="1"/>
      <c r="E203" s="68"/>
      <c r="F203" s="70"/>
      <c r="G203" s="1"/>
      <c r="H203" s="68"/>
      <c r="I203" s="70"/>
      <c r="J203" s="74"/>
      <c r="K203" s="62"/>
      <c r="L203" s="62"/>
      <c r="M203" s="62"/>
      <c r="N203" s="62"/>
      <c r="O203" s="92"/>
      <c r="P203" s="85"/>
      <c r="Q203" s="64"/>
      <c r="R203" s="65"/>
      <c r="S203" s="99"/>
      <c r="T203" s="68"/>
      <c r="U203" s="76"/>
      <c r="V203" s="70"/>
      <c r="W203" s="78" t="s">
        <v>8085</v>
      </c>
      <c r="X203" s="62"/>
      <c r="Y203" s="63"/>
      <c r="Z203" s="75"/>
      <c r="AA203" s="67"/>
      <c r="AB203" s="68"/>
      <c r="AC203" s="76"/>
      <c r="AD203" s="70"/>
      <c r="AE203" s="228">
        <f>ROUND((_15_同援日１．０*(1+_15・盲ろう)),0)+ROUND((ROUND((_15_同援日１．０＿２．０*(1+_15・B夜間)),0)*(1+_15・盲ろう)),0)</f>
        <v>864</v>
      </c>
      <c r="AF203" s="69"/>
    </row>
    <row r="204" spans="1:32" ht="16.5" customHeight="1" x14ac:dyDescent="0.3">
      <c r="A204" s="2">
        <v>15</v>
      </c>
      <c r="B204" s="2">
        <v>9756</v>
      </c>
      <c r="C204" s="60" t="s">
        <v>10161</v>
      </c>
      <c r="D204" s="1"/>
      <c r="E204" s="68"/>
      <c r="F204" s="70"/>
      <c r="G204" s="1"/>
      <c r="H204" s="68"/>
      <c r="I204" s="70"/>
      <c r="J204" s="81"/>
      <c r="K204" s="57"/>
      <c r="L204" s="57"/>
      <c r="M204" s="57"/>
      <c r="N204" s="57"/>
      <c r="O204" s="89"/>
      <c r="P204" s="105" t="s">
        <v>5895</v>
      </c>
      <c r="Q204" s="64" t="s">
        <v>1</v>
      </c>
      <c r="R204" s="65">
        <v>1</v>
      </c>
      <c r="S204" s="99"/>
      <c r="T204" s="68"/>
      <c r="U204" s="76"/>
      <c r="V204" s="70"/>
      <c r="W204" s="94" t="s">
        <v>18058</v>
      </c>
      <c r="X204" s="68"/>
      <c r="Y204" s="76"/>
      <c r="Z204" s="70"/>
      <c r="AA204" s="67"/>
      <c r="AB204" s="68"/>
      <c r="AC204" s="76"/>
      <c r="AD204" s="70"/>
      <c r="AE204" s="228">
        <f>ROUND((ROUND((_15_同援日１．０*_15・２人),0)*(1+_15・盲ろう)),0)+ROUND((ROUND((ROUND((_15_同援日１．０＿２．０*_15・２人),0)*(1+_15・B夜間)),0)*(1+_15・盲ろう)),0)</f>
        <v>864</v>
      </c>
      <c r="AF204" s="69"/>
    </row>
    <row r="205" spans="1:32" ht="16.5" customHeight="1" x14ac:dyDescent="0.3">
      <c r="A205" s="2">
        <v>15</v>
      </c>
      <c r="B205" s="2">
        <v>9757</v>
      </c>
      <c r="C205" s="60" t="s">
        <v>10160</v>
      </c>
      <c r="D205" s="1"/>
      <c r="E205" s="68"/>
      <c r="F205" s="70"/>
      <c r="G205" s="1"/>
      <c r="H205" s="68"/>
      <c r="I205" s="70"/>
      <c r="J205" s="74" t="s">
        <v>18069</v>
      </c>
      <c r="K205" s="62"/>
      <c r="L205" s="62"/>
      <c r="M205" s="62"/>
      <c r="N205" s="62"/>
      <c r="O205" s="92"/>
      <c r="P205" s="85"/>
      <c r="Q205" s="64"/>
      <c r="R205" s="65"/>
      <c r="S205" s="99"/>
      <c r="T205" s="68"/>
      <c r="U205" s="76"/>
      <c r="V205" s="70"/>
      <c r="W205" s="67"/>
      <c r="X205" s="68" t="s">
        <v>1</v>
      </c>
      <c r="Y205" s="76">
        <v>0.25</v>
      </c>
      <c r="Z205" s="70" t="s">
        <v>422</v>
      </c>
      <c r="AA205" s="67"/>
      <c r="AB205" s="68"/>
      <c r="AC205" s="76"/>
      <c r="AD205" s="70"/>
      <c r="AE205" s="228">
        <f>ROUND((ROUND((_15_同援日１．０*_15・基礎２),0)*(1+_15・盲ろう)),0)+ROUND((ROUND((ROUND((_15_同援日１．０＿２．０*_15・基礎２),0)*(1+_15・B夜間)),0)*(1+_15・盲ろう)),0)</f>
        <v>778</v>
      </c>
      <c r="AF205" s="69"/>
    </row>
    <row r="206" spans="1:32" ht="16.5" customHeight="1" x14ac:dyDescent="0.3">
      <c r="A206" s="2">
        <v>15</v>
      </c>
      <c r="B206" s="2">
        <v>9758</v>
      </c>
      <c r="C206" s="60" t="s">
        <v>10159</v>
      </c>
      <c r="D206" s="1"/>
      <c r="E206" s="68"/>
      <c r="F206" s="70"/>
      <c r="G206" s="1"/>
      <c r="H206" s="68"/>
      <c r="I206" s="70"/>
      <c r="J206" s="81"/>
      <c r="K206" s="57"/>
      <c r="L206" s="57"/>
      <c r="M206" s="57"/>
      <c r="N206" s="57" t="s">
        <v>1</v>
      </c>
      <c r="O206" s="89">
        <v>0.9</v>
      </c>
      <c r="P206" s="105" t="s">
        <v>5895</v>
      </c>
      <c r="Q206" s="64" t="s">
        <v>1</v>
      </c>
      <c r="R206" s="65">
        <v>1</v>
      </c>
      <c r="S206" s="99"/>
      <c r="T206" s="68"/>
      <c r="U206" s="76"/>
      <c r="V206" s="70"/>
      <c r="W206" s="66"/>
      <c r="X206" s="57"/>
      <c r="Y206" s="58"/>
      <c r="Z206" s="77"/>
      <c r="AA206" s="66"/>
      <c r="AB206" s="57"/>
      <c r="AC206" s="58"/>
      <c r="AD206" s="77"/>
      <c r="AE206" s="228">
        <f>ROUND((ROUND((ROUND((_15_同援日１．０*_15・基礎２),0)*_15・２人),0)*(1+_15・盲ろう)),0)+ROUND((ROUND((ROUND((ROUND((_15_同援日１．０＿２．０*_15・基礎２),0)*_15・２人),0)*(1+_15・B夜間)),0)*(1+_15・盲ろう)),0)</f>
        <v>778</v>
      </c>
      <c r="AF206" s="69"/>
    </row>
    <row r="207" spans="1:32" ht="16.5" customHeight="1" x14ac:dyDescent="0.3">
      <c r="A207" s="2">
        <v>15</v>
      </c>
      <c r="B207" s="2">
        <v>9759</v>
      </c>
      <c r="C207" s="60" t="s">
        <v>10158</v>
      </c>
      <c r="D207" s="1"/>
      <c r="E207" s="68"/>
      <c r="F207" s="70"/>
      <c r="G207" s="1"/>
      <c r="H207" s="68"/>
      <c r="I207" s="70"/>
      <c r="J207" s="74"/>
      <c r="K207" s="62"/>
      <c r="L207" s="62"/>
      <c r="M207" s="62"/>
      <c r="N207" s="62"/>
      <c r="O207" s="92"/>
      <c r="P207" s="85"/>
      <c r="Q207" s="64"/>
      <c r="R207" s="65"/>
      <c r="S207" s="99"/>
      <c r="T207" s="68"/>
      <c r="U207" s="76"/>
      <c r="V207" s="70"/>
      <c r="W207" s="61"/>
      <c r="X207" s="62"/>
      <c r="Y207" s="63"/>
      <c r="Z207" s="75"/>
      <c r="AA207" s="61"/>
      <c r="AB207" s="62"/>
      <c r="AC207" s="63"/>
      <c r="AD207" s="75"/>
      <c r="AE207" s="228">
        <f>ROUND((_15_同援日１．０*(1+_15・区３)),0)+ROUND((ROUND((_15_同援日１．０＿２．０*(1+_15・B夜間)),0)*(1+_15・区３)),0)</f>
        <v>829</v>
      </c>
      <c r="AF207" s="69"/>
    </row>
    <row r="208" spans="1:32" ht="16.5" customHeight="1" x14ac:dyDescent="0.3">
      <c r="A208" s="2">
        <v>15</v>
      </c>
      <c r="B208" s="2">
        <v>9760</v>
      </c>
      <c r="C208" s="60" t="s">
        <v>10157</v>
      </c>
      <c r="D208" s="1"/>
      <c r="E208" s="68"/>
      <c r="F208" s="70"/>
      <c r="G208" s="1"/>
      <c r="H208" s="68"/>
      <c r="I208" s="70"/>
      <c r="J208" s="81"/>
      <c r="K208" s="57"/>
      <c r="L208" s="57"/>
      <c r="M208" s="57"/>
      <c r="N208" s="57"/>
      <c r="O208" s="89"/>
      <c r="P208" s="105" t="s">
        <v>5895</v>
      </c>
      <c r="Q208" s="64" t="s">
        <v>1</v>
      </c>
      <c r="R208" s="65">
        <v>1</v>
      </c>
      <c r="S208" s="99"/>
      <c r="T208" s="68"/>
      <c r="U208" s="76"/>
      <c r="V208" s="70"/>
      <c r="W208" s="67"/>
      <c r="X208" s="68"/>
      <c r="Y208" s="76"/>
      <c r="Z208" s="70"/>
      <c r="AA208" s="67"/>
      <c r="AB208" s="68"/>
      <c r="AC208" s="76"/>
      <c r="AD208" s="70"/>
      <c r="AE208" s="228">
        <f>ROUND((ROUND((_15_同援日１．０*_15・２人),0)*(1+_15・区３)),0)+ROUND((ROUND((ROUND((_15_同援日１．０＿２．０*_15・２人),0)*(1+_15・B夜間)),0)*(1+_15・区３)),0)</f>
        <v>829</v>
      </c>
      <c r="AF208" s="69"/>
    </row>
    <row r="209" spans="1:32" ht="16.5" customHeight="1" x14ac:dyDescent="0.3">
      <c r="A209" s="2">
        <v>15</v>
      </c>
      <c r="B209" s="2">
        <v>9761</v>
      </c>
      <c r="C209" s="60" t="s">
        <v>10156</v>
      </c>
      <c r="D209" s="1"/>
      <c r="E209" s="68"/>
      <c r="F209" s="70"/>
      <c r="G209" s="1"/>
      <c r="H209" s="68"/>
      <c r="I209" s="70"/>
      <c r="J209" s="74" t="s">
        <v>18069</v>
      </c>
      <c r="K209" s="62"/>
      <c r="L209" s="62"/>
      <c r="M209" s="62"/>
      <c r="N209" s="62"/>
      <c r="O209" s="92"/>
      <c r="P209" s="85"/>
      <c r="Q209" s="64"/>
      <c r="R209" s="65"/>
      <c r="S209" s="99"/>
      <c r="T209" s="68"/>
      <c r="U209" s="76"/>
      <c r="V209" s="70"/>
      <c r="W209" s="67"/>
      <c r="X209" s="68"/>
      <c r="Y209" s="76"/>
      <c r="Z209" s="70"/>
      <c r="AA209" s="1" t="s">
        <v>8098</v>
      </c>
      <c r="AB209" s="68"/>
      <c r="AC209" s="76"/>
      <c r="AD209" s="70"/>
      <c r="AE209" s="228">
        <f>ROUND((ROUND((_15_同援日１．０*_15・基礎２),0)*(1+_15・区３)),0)+ROUND((ROUND((ROUND((_15_同援日１．０＿２．０*_15・基礎２),0)*(1+_15・B夜間)),0)*(1+_15・区３)),0)</f>
        <v>747</v>
      </c>
      <c r="AF209" s="69"/>
    </row>
    <row r="210" spans="1:32" ht="16.5" customHeight="1" x14ac:dyDescent="0.3">
      <c r="A210" s="2">
        <v>15</v>
      </c>
      <c r="B210" s="2">
        <v>9762</v>
      </c>
      <c r="C210" s="60" t="s">
        <v>10155</v>
      </c>
      <c r="D210" s="1"/>
      <c r="E210" s="68"/>
      <c r="F210" s="70"/>
      <c r="G210" s="1"/>
      <c r="H210" s="68"/>
      <c r="I210" s="70"/>
      <c r="J210" s="81"/>
      <c r="K210" s="57"/>
      <c r="L210" s="57"/>
      <c r="M210" s="57"/>
      <c r="N210" s="57" t="s">
        <v>1</v>
      </c>
      <c r="O210" s="89">
        <v>0.9</v>
      </c>
      <c r="P210" s="105" t="s">
        <v>5895</v>
      </c>
      <c r="Q210" s="64" t="s">
        <v>1</v>
      </c>
      <c r="R210" s="65">
        <v>1</v>
      </c>
      <c r="S210" s="99"/>
      <c r="T210" s="68"/>
      <c r="U210" s="76"/>
      <c r="V210" s="70"/>
      <c r="W210" s="66"/>
      <c r="X210" s="57"/>
      <c r="Y210" s="58"/>
      <c r="Z210" s="77"/>
      <c r="AA210" s="1" t="s">
        <v>18060</v>
      </c>
      <c r="AB210" s="68"/>
      <c r="AC210" s="76"/>
      <c r="AD210" s="70"/>
      <c r="AE210" s="228">
        <f>ROUND((ROUND((ROUND((_15_同援日１．０*_15・基礎２),0)*_15・２人),0)*(1+_15・区３)),0)+ROUND((ROUND((ROUND((ROUND((_15_同援日１．０＿２．０*_15・基礎２),0)*_15・２人),0)*(1+_15・B夜間)),0)*(1+_15・区３)),0)</f>
        <v>747</v>
      </c>
      <c r="AF210" s="69"/>
    </row>
    <row r="211" spans="1:32" ht="16.5" customHeight="1" x14ac:dyDescent="0.3">
      <c r="A211" s="2">
        <v>15</v>
      </c>
      <c r="B211" s="2">
        <v>9763</v>
      </c>
      <c r="C211" s="60" t="s">
        <v>10154</v>
      </c>
      <c r="D211" s="1"/>
      <c r="E211" s="68"/>
      <c r="F211" s="70"/>
      <c r="G211" s="1"/>
      <c r="H211" s="68"/>
      <c r="I211" s="70"/>
      <c r="J211" s="74"/>
      <c r="K211" s="62"/>
      <c r="L211" s="62"/>
      <c r="M211" s="62"/>
      <c r="N211" s="62"/>
      <c r="O211" s="92"/>
      <c r="P211" s="85"/>
      <c r="Q211" s="64"/>
      <c r="R211" s="65"/>
      <c r="S211" s="99"/>
      <c r="T211" s="68"/>
      <c r="U211" s="76"/>
      <c r="V211" s="70"/>
      <c r="W211" s="78" t="s">
        <v>18059</v>
      </c>
      <c r="X211" s="62"/>
      <c r="Y211" s="63"/>
      <c r="Z211" s="75"/>
      <c r="AA211" s="67"/>
      <c r="AB211" s="68" t="s">
        <v>1</v>
      </c>
      <c r="AC211" s="76">
        <v>0.2</v>
      </c>
      <c r="AD211" s="70" t="s">
        <v>422</v>
      </c>
      <c r="AE211" s="228">
        <f>ROUND((ROUND((_15_同援日１．０*(1+_15・盲ろう)),0)*(1+_15・区３)),0)+ROUND((ROUND((ROUND((_15_同援日１．０＿２．０*(1+_15・B夜間)),0)*(1+_15・盲ろう)),0)*(1+_15・区３)),0)</f>
        <v>1037</v>
      </c>
      <c r="AF211" s="69"/>
    </row>
    <row r="212" spans="1:32" ht="16.5" customHeight="1" x14ac:dyDescent="0.3">
      <c r="A212" s="2">
        <v>15</v>
      </c>
      <c r="B212" s="2">
        <v>9764</v>
      </c>
      <c r="C212" s="60" t="s">
        <v>10153</v>
      </c>
      <c r="D212" s="1"/>
      <c r="E212" s="68"/>
      <c r="F212" s="70"/>
      <c r="G212" s="1"/>
      <c r="H212" s="68"/>
      <c r="I212" s="70"/>
      <c r="J212" s="81"/>
      <c r="K212" s="57"/>
      <c r="L212" s="57"/>
      <c r="M212" s="57"/>
      <c r="N212" s="57"/>
      <c r="O212" s="89"/>
      <c r="P212" s="105" t="s">
        <v>5895</v>
      </c>
      <c r="Q212" s="64" t="s">
        <v>1</v>
      </c>
      <c r="R212" s="65">
        <v>1</v>
      </c>
      <c r="S212" s="99"/>
      <c r="T212" s="68"/>
      <c r="U212" s="76"/>
      <c r="V212" s="70"/>
      <c r="W212" s="94" t="s">
        <v>8083</v>
      </c>
      <c r="X212" s="68"/>
      <c r="Y212" s="76"/>
      <c r="Z212" s="70"/>
      <c r="AA212" s="67"/>
      <c r="AB212" s="68"/>
      <c r="AC212" s="76"/>
      <c r="AD212" s="70"/>
      <c r="AE212" s="228">
        <f>ROUND((ROUND((ROUND((_15_同援日１．０*_15・２人),0)*(1+_15・盲ろう)),0)*(1+_15・区３)),0)+ROUND((ROUND((ROUND((ROUND((_15_同援日１．０＿２．０*_15・２人),0)*(1+_15・B夜間)),0)*(1+_15・盲ろう)),0)*(1+_15・区３)),0)</f>
        <v>1037</v>
      </c>
      <c r="AF212" s="69"/>
    </row>
    <row r="213" spans="1:32" ht="16.5" customHeight="1" x14ac:dyDescent="0.3">
      <c r="A213" s="2">
        <v>15</v>
      </c>
      <c r="B213" s="2">
        <v>9765</v>
      </c>
      <c r="C213" s="60" t="s">
        <v>10152</v>
      </c>
      <c r="D213" s="1"/>
      <c r="E213" s="68"/>
      <c r="F213" s="70"/>
      <c r="G213" s="1"/>
      <c r="H213" s="68"/>
      <c r="I213" s="70"/>
      <c r="J213" s="74" t="s">
        <v>18069</v>
      </c>
      <c r="K213" s="62"/>
      <c r="L213" s="62"/>
      <c r="M213" s="62"/>
      <c r="N213" s="62"/>
      <c r="O213" s="92"/>
      <c r="P213" s="85"/>
      <c r="Q213" s="64"/>
      <c r="R213" s="65"/>
      <c r="S213" s="99"/>
      <c r="T213" s="68"/>
      <c r="U213" s="76"/>
      <c r="V213" s="70"/>
      <c r="W213" s="67"/>
      <c r="X213" s="68" t="s">
        <v>1</v>
      </c>
      <c r="Y213" s="76">
        <v>0.25</v>
      </c>
      <c r="Z213" s="70" t="s">
        <v>422</v>
      </c>
      <c r="AA213" s="67"/>
      <c r="AB213" s="68"/>
      <c r="AC213" s="76"/>
      <c r="AD213" s="70"/>
      <c r="AE213" s="228">
        <f>ROUND((ROUND((ROUND((_15_同援日１．０*_15・基礎２),0)*(1+_15・盲ろう)),0)*(1+_15・区３)),0)+ROUND((ROUND((ROUND((ROUND((_15_同援日１．０＿２．０*_15・基礎２),0)*(1+_15・B夜間)),0)*(1+_15・盲ろう)),0)*(1+_15・区３)),0)</f>
        <v>934</v>
      </c>
      <c r="AF213" s="69"/>
    </row>
    <row r="214" spans="1:32" ht="16.5" customHeight="1" x14ac:dyDescent="0.3">
      <c r="A214" s="2">
        <v>15</v>
      </c>
      <c r="B214" s="2">
        <v>9766</v>
      </c>
      <c r="C214" s="60" t="s">
        <v>10151</v>
      </c>
      <c r="D214" s="1"/>
      <c r="E214" s="68"/>
      <c r="F214" s="70"/>
      <c r="G214" s="1"/>
      <c r="H214" s="68"/>
      <c r="I214" s="70"/>
      <c r="J214" s="81"/>
      <c r="K214" s="57"/>
      <c r="L214" s="57"/>
      <c r="M214" s="57"/>
      <c r="N214" s="57" t="s">
        <v>1</v>
      </c>
      <c r="O214" s="89">
        <v>0.9</v>
      </c>
      <c r="P214" s="105" t="s">
        <v>5895</v>
      </c>
      <c r="Q214" s="64" t="s">
        <v>1</v>
      </c>
      <c r="R214" s="65">
        <v>1</v>
      </c>
      <c r="S214" s="99"/>
      <c r="T214" s="68"/>
      <c r="U214" s="76"/>
      <c r="V214" s="70"/>
      <c r="W214" s="66"/>
      <c r="X214" s="57"/>
      <c r="Y214" s="58"/>
      <c r="Z214" s="77"/>
      <c r="AA214" s="66"/>
      <c r="AB214" s="57"/>
      <c r="AC214" s="58"/>
      <c r="AD214" s="77"/>
      <c r="AE214" s="228">
        <f>ROUND((ROUND((ROUND((ROUND((_15_同援日１．０*_15・基礎２),0)*_15・２人),0)*(1+_15・盲ろう)),0)*(1+_15・区３)),0)+ROUND((ROUND((ROUND((ROUND((ROUND((_15_同援日１．０＿２．０*_15・基礎２),0)*_15・２人),0)*(1+_15・B夜間)),0)*(1+_15・盲ろう)),0)*(1+_15・区３)),0)</f>
        <v>934</v>
      </c>
      <c r="AF214" s="69"/>
    </row>
    <row r="215" spans="1:32" ht="16.5" customHeight="1" x14ac:dyDescent="0.3">
      <c r="A215" s="2">
        <v>15</v>
      </c>
      <c r="B215" s="2">
        <v>9767</v>
      </c>
      <c r="C215" s="60" t="s">
        <v>10150</v>
      </c>
      <c r="D215" s="1"/>
      <c r="E215" s="68"/>
      <c r="F215" s="70"/>
      <c r="G215" s="1"/>
      <c r="H215" s="68"/>
      <c r="I215" s="70"/>
      <c r="J215" s="74"/>
      <c r="K215" s="62"/>
      <c r="L215" s="62"/>
      <c r="M215" s="62"/>
      <c r="N215" s="62"/>
      <c r="O215" s="92"/>
      <c r="P215" s="85"/>
      <c r="Q215" s="64"/>
      <c r="R215" s="65"/>
      <c r="S215" s="99"/>
      <c r="T215" s="68"/>
      <c r="U215" s="76"/>
      <c r="V215" s="70"/>
      <c r="W215" s="61"/>
      <c r="X215" s="62"/>
      <c r="Y215" s="63"/>
      <c r="Z215" s="75"/>
      <c r="AA215" s="61"/>
      <c r="AB215" s="62"/>
      <c r="AC215" s="63"/>
      <c r="AD215" s="75"/>
      <c r="AE215" s="228">
        <f>ROUND((_15_同援日１．０*(1+_15・区４)),0)+ROUND((ROUND((_15_同援日１．０＿２．０*(1+_15・B夜間)),0)*(1+_15・区４)),0)</f>
        <v>968</v>
      </c>
      <c r="AF215" s="69"/>
    </row>
    <row r="216" spans="1:32" ht="16.5" customHeight="1" x14ac:dyDescent="0.3">
      <c r="A216" s="2">
        <v>15</v>
      </c>
      <c r="B216" s="2">
        <v>9768</v>
      </c>
      <c r="C216" s="60" t="s">
        <v>10149</v>
      </c>
      <c r="D216" s="1"/>
      <c r="E216" s="68"/>
      <c r="F216" s="70"/>
      <c r="G216" s="1"/>
      <c r="H216" s="68"/>
      <c r="I216" s="70"/>
      <c r="J216" s="81"/>
      <c r="K216" s="57"/>
      <c r="L216" s="57"/>
      <c r="M216" s="57"/>
      <c r="N216" s="57"/>
      <c r="O216" s="89"/>
      <c r="P216" s="105" t="s">
        <v>5895</v>
      </c>
      <c r="Q216" s="64" t="s">
        <v>1</v>
      </c>
      <c r="R216" s="65">
        <v>1</v>
      </c>
      <c r="S216" s="99"/>
      <c r="T216" s="68"/>
      <c r="U216" s="76"/>
      <c r="V216" s="70"/>
      <c r="W216" s="67"/>
      <c r="X216" s="68"/>
      <c r="Y216" s="76"/>
      <c r="Z216" s="70"/>
      <c r="AA216" s="67"/>
      <c r="AB216" s="68"/>
      <c r="AC216" s="76"/>
      <c r="AD216" s="70"/>
      <c r="AE216" s="228">
        <f>ROUND((ROUND((_15_同援日１．０*_15・２人),0)*(1+_15・区４)),0)+ROUND((ROUND((ROUND((_15_同援日１．０＿２．０*_15・２人),0)*(1+_15・B夜間)),0)*(1+_15・区４)),0)</f>
        <v>968</v>
      </c>
      <c r="AF216" s="69"/>
    </row>
    <row r="217" spans="1:32" ht="16.5" customHeight="1" x14ac:dyDescent="0.3">
      <c r="A217" s="2">
        <v>15</v>
      </c>
      <c r="B217" s="2">
        <v>9769</v>
      </c>
      <c r="C217" s="60" t="s">
        <v>10148</v>
      </c>
      <c r="D217" s="1"/>
      <c r="E217" s="68"/>
      <c r="F217" s="70"/>
      <c r="G217" s="1"/>
      <c r="H217" s="68"/>
      <c r="I217" s="70"/>
      <c r="J217" s="74" t="s">
        <v>18069</v>
      </c>
      <c r="K217" s="62"/>
      <c r="L217" s="62"/>
      <c r="M217" s="62"/>
      <c r="N217" s="62"/>
      <c r="O217" s="92"/>
      <c r="P217" s="85"/>
      <c r="Q217" s="64"/>
      <c r="R217" s="65"/>
      <c r="S217" s="99"/>
      <c r="T217" s="68"/>
      <c r="U217" s="76"/>
      <c r="V217" s="70"/>
      <c r="W217" s="67"/>
      <c r="X217" s="68"/>
      <c r="Y217" s="76"/>
      <c r="Z217" s="70"/>
      <c r="AA217" s="1" t="s">
        <v>18061</v>
      </c>
      <c r="AB217" s="68"/>
      <c r="AC217" s="76"/>
      <c r="AD217" s="70"/>
      <c r="AE217" s="228">
        <f>ROUND((ROUND((_15_同援日１．０*_15・基礎２),0)*(1+_15・区４)),0)+ROUND((ROUND((ROUND((_15_同援日１．０＿２．０*_15・基礎２),0)*(1+_15・B夜間)),0)*(1+_15・区４)),0)</f>
        <v>871</v>
      </c>
      <c r="AF217" s="69"/>
    </row>
    <row r="218" spans="1:32" ht="16.5" customHeight="1" x14ac:dyDescent="0.3">
      <c r="A218" s="2">
        <v>15</v>
      </c>
      <c r="B218" s="2">
        <v>9770</v>
      </c>
      <c r="C218" s="60" t="s">
        <v>10147</v>
      </c>
      <c r="D218" s="1"/>
      <c r="E218" s="68"/>
      <c r="F218" s="70"/>
      <c r="G218" s="1"/>
      <c r="H218" s="68"/>
      <c r="I218" s="70"/>
      <c r="J218" s="81"/>
      <c r="K218" s="57"/>
      <c r="L218" s="57"/>
      <c r="M218" s="57"/>
      <c r="N218" s="57" t="s">
        <v>1</v>
      </c>
      <c r="O218" s="89">
        <v>0.9</v>
      </c>
      <c r="P218" s="105" t="s">
        <v>5895</v>
      </c>
      <c r="Q218" s="64" t="s">
        <v>1</v>
      </c>
      <c r="R218" s="65">
        <v>1</v>
      </c>
      <c r="S218" s="99"/>
      <c r="T218" s="68"/>
      <c r="U218" s="76"/>
      <c r="V218" s="70"/>
      <c r="W218" s="66"/>
      <c r="X218" s="57"/>
      <c r="Y218" s="58"/>
      <c r="Z218" s="77"/>
      <c r="AA218" s="1" t="s">
        <v>18060</v>
      </c>
      <c r="AB218" s="68"/>
      <c r="AC218" s="76"/>
      <c r="AD218" s="70"/>
      <c r="AE218" s="228">
        <f>ROUND((ROUND((ROUND((_15_同援日１．０*_15・基礎２),0)*_15・２人),0)*(1+_15・区４)),0)+ROUND((ROUND((ROUND((ROUND((_15_同援日１．０＿２．０*_15・基礎２),0)*_15・２人),0)*(1+_15・B夜間)),0)*(1+_15・区４)),0)</f>
        <v>871</v>
      </c>
      <c r="AF218" s="69"/>
    </row>
    <row r="219" spans="1:32" ht="16.5" customHeight="1" x14ac:dyDescent="0.3">
      <c r="A219" s="2">
        <v>15</v>
      </c>
      <c r="B219" s="2">
        <v>9771</v>
      </c>
      <c r="C219" s="60" t="s">
        <v>10146</v>
      </c>
      <c r="D219" s="1"/>
      <c r="E219" s="68"/>
      <c r="F219" s="70"/>
      <c r="G219" s="1"/>
      <c r="H219" s="68"/>
      <c r="I219" s="70"/>
      <c r="J219" s="74"/>
      <c r="K219" s="62"/>
      <c r="L219" s="62"/>
      <c r="M219" s="62"/>
      <c r="N219" s="62"/>
      <c r="O219" s="92"/>
      <c r="P219" s="85"/>
      <c r="Q219" s="64"/>
      <c r="R219" s="65"/>
      <c r="S219" s="99"/>
      <c r="T219" s="68"/>
      <c r="U219" s="76"/>
      <c r="V219" s="70"/>
      <c r="W219" s="78" t="s">
        <v>8085</v>
      </c>
      <c r="X219" s="62"/>
      <c r="Y219" s="63"/>
      <c r="Z219" s="75"/>
      <c r="AA219" s="67"/>
      <c r="AB219" s="68" t="s">
        <v>1</v>
      </c>
      <c r="AC219" s="76">
        <v>0.4</v>
      </c>
      <c r="AD219" s="70" t="s">
        <v>422</v>
      </c>
      <c r="AE219" s="228">
        <f>ROUND((ROUND((_15_同援日１．０*(1+_15・盲ろう)),0)*(1+_15・区４)),0)+ROUND((ROUND((ROUND((_15_同援日１．０＿２．０*(1+_15・B夜間)),0)*(1+_15・盲ろう)),0)*(1+_15・区４)),0)</f>
        <v>1210</v>
      </c>
      <c r="AF219" s="69"/>
    </row>
    <row r="220" spans="1:32" ht="16.5" customHeight="1" x14ac:dyDescent="0.3">
      <c r="A220" s="2">
        <v>15</v>
      </c>
      <c r="B220" s="2">
        <v>9772</v>
      </c>
      <c r="C220" s="60" t="s">
        <v>10145</v>
      </c>
      <c r="D220" s="1"/>
      <c r="E220" s="68"/>
      <c r="F220" s="70"/>
      <c r="G220" s="1"/>
      <c r="H220" s="68"/>
      <c r="I220" s="70"/>
      <c r="J220" s="81"/>
      <c r="K220" s="57"/>
      <c r="L220" s="57"/>
      <c r="M220" s="57"/>
      <c r="N220" s="57"/>
      <c r="O220" s="89"/>
      <c r="P220" s="105" t="s">
        <v>5895</v>
      </c>
      <c r="Q220" s="64" t="s">
        <v>1</v>
      </c>
      <c r="R220" s="65">
        <v>1</v>
      </c>
      <c r="S220" s="99"/>
      <c r="T220" s="68"/>
      <c r="U220" s="76"/>
      <c r="V220" s="70"/>
      <c r="W220" s="94" t="s">
        <v>8083</v>
      </c>
      <c r="X220" s="68"/>
      <c r="Y220" s="76"/>
      <c r="Z220" s="70"/>
      <c r="AA220" s="67"/>
      <c r="AB220" s="68"/>
      <c r="AC220" s="76"/>
      <c r="AD220" s="70"/>
      <c r="AE220" s="228">
        <f>ROUND((ROUND((ROUND((_15_同援日１．０*_15・２人),0)*(1+_15・盲ろう)),0)*(1+_15・区４)),0)+ROUND((ROUND((ROUND((ROUND((_15_同援日１．０＿２．０*_15・２人),0)*(1+_15・B夜間)),0)*(1+_15・盲ろう)),0)*(1+_15・区４)),0)</f>
        <v>1210</v>
      </c>
      <c r="AF220" s="69"/>
    </row>
    <row r="221" spans="1:32" ht="16.5" customHeight="1" x14ac:dyDescent="0.3">
      <c r="A221" s="2">
        <v>15</v>
      </c>
      <c r="B221" s="2">
        <v>9773</v>
      </c>
      <c r="C221" s="60" t="s">
        <v>10144</v>
      </c>
      <c r="D221" s="1"/>
      <c r="E221" s="68"/>
      <c r="F221" s="70"/>
      <c r="G221" s="1"/>
      <c r="H221" s="68"/>
      <c r="I221" s="70"/>
      <c r="J221" s="74" t="s">
        <v>6260</v>
      </c>
      <c r="K221" s="62"/>
      <c r="L221" s="62"/>
      <c r="M221" s="62"/>
      <c r="N221" s="62"/>
      <c r="O221" s="92"/>
      <c r="P221" s="85"/>
      <c r="Q221" s="64"/>
      <c r="R221" s="65"/>
      <c r="S221" s="99"/>
      <c r="T221" s="68"/>
      <c r="U221" s="76"/>
      <c r="V221" s="70"/>
      <c r="W221" s="67"/>
      <c r="X221" s="68" t="s">
        <v>1</v>
      </c>
      <c r="Y221" s="76">
        <v>0.25</v>
      </c>
      <c r="Z221" s="70" t="s">
        <v>422</v>
      </c>
      <c r="AA221" s="67"/>
      <c r="AB221" s="68"/>
      <c r="AC221" s="76"/>
      <c r="AD221" s="70"/>
      <c r="AE221" s="228">
        <f>ROUND((ROUND((ROUND((_15_同援日１．０*_15・基礎２),0)*(1+_15・盲ろう)),0)*(1+_15・区４)),0)+ROUND((ROUND((ROUND((ROUND((_15_同援日１．０＿２．０*_15・基礎２),0)*(1+_15・B夜間)),0)*(1+_15・盲ろう)),0)*(1+_15・区４)),0)</f>
        <v>1090</v>
      </c>
      <c r="AF221" s="69"/>
    </row>
    <row r="222" spans="1:32" ht="16.5" customHeight="1" x14ac:dyDescent="0.3">
      <c r="A222" s="2">
        <v>15</v>
      </c>
      <c r="B222" s="2">
        <v>9774</v>
      </c>
      <c r="C222" s="60" t="s">
        <v>10143</v>
      </c>
      <c r="D222" s="81"/>
      <c r="E222" s="57"/>
      <c r="F222" s="77"/>
      <c r="G222" s="81"/>
      <c r="H222" s="57"/>
      <c r="I222" s="77"/>
      <c r="J222" s="81"/>
      <c r="K222" s="57"/>
      <c r="L222" s="57"/>
      <c r="M222" s="57"/>
      <c r="N222" s="57" t="s">
        <v>1</v>
      </c>
      <c r="O222" s="89">
        <v>0.9</v>
      </c>
      <c r="P222" s="105" t="s">
        <v>5895</v>
      </c>
      <c r="Q222" s="64" t="s">
        <v>1</v>
      </c>
      <c r="R222" s="65">
        <v>1</v>
      </c>
      <c r="S222" s="99"/>
      <c r="T222" s="68"/>
      <c r="U222" s="76"/>
      <c r="V222" s="70"/>
      <c r="W222" s="66"/>
      <c r="X222" s="57"/>
      <c r="Y222" s="58"/>
      <c r="Z222" s="77"/>
      <c r="AA222" s="66"/>
      <c r="AB222" s="57"/>
      <c r="AC222" s="58"/>
      <c r="AD222" s="77"/>
      <c r="AE222" s="228">
        <f>ROUND((ROUND((ROUND((ROUND((_15_同援日１．０*_15・基礎２),0)*_15・２人),0)*(1+_15・盲ろう)),0)*(1+_15・区４)),0)+ROUND((ROUND((ROUND((ROUND((ROUND((_15_同援日１．０＿２．０*_15・基礎２),0)*_15・２人),0)*(1+_15・B夜間)),0)*(1+_15・盲ろう)),0)*(1+_15・区４)),0)</f>
        <v>1090</v>
      </c>
      <c r="AF222" s="69"/>
    </row>
    <row r="223" spans="1:32" ht="16.5" customHeight="1" x14ac:dyDescent="0.3">
      <c r="A223" s="2">
        <v>15</v>
      </c>
      <c r="B223" s="2">
        <v>9775</v>
      </c>
      <c r="C223" s="60" t="s">
        <v>10142</v>
      </c>
      <c r="D223" s="233" t="s">
        <v>18079</v>
      </c>
      <c r="E223" s="235"/>
      <c r="F223" s="75"/>
      <c r="G223" s="233" t="s">
        <v>18071</v>
      </c>
      <c r="H223" s="62"/>
      <c r="I223" s="75"/>
      <c r="J223" s="74"/>
      <c r="K223" s="62"/>
      <c r="L223" s="62"/>
      <c r="M223" s="62"/>
      <c r="N223" s="62"/>
      <c r="O223" s="92"/>
      <c r="P223" s="85"/>
      <c r="Q223" s="64"/>
      <c r="R223" s="65"/>
      <c r="S223" s="99"/>
      <c r="T223" s="68"/>
      <c r="U223" s="76"/>
      <c r="V223" s="70"/>
      <c r="W223" s="61"/>
      <c r="X223" s="62"/>
      <c r="Y223" s="63"/>
      <c r="Z223" s="75"/>
      <c r="AA223" s="61"/>
      <c r="AB223" s="62"/>
      <c r="AC223" s="63"/>
      <c r="AD223" s="75"/>
      <c r="AE223" s="228">
        <f>_15_同援日１．５+ROUND((_15_同援日１．５＿０．５*(1+_15・B夜間)),0)</f>
        <v>501</v>
      </c>
      <c r="AF223" s="69"/>
    </row>
    <row r="224" spans="1:32" ht="16.5" customHeight="1" x14ac:dyDescent="0.3">
      <c r="A224" s="2">
        <v>15</v>
      </c>
      <c r="B224" s="2">
        <v>9776</v>
      </c>
      <c r="C224" s="60" t="s">
        <v>10141</v>
      </c>
      <c r="D224" s="1" t="s">
        <v>5987</v>
      </c>
      <c r="E224" s="68"/>
      <c r="F224" s="70"/>
      <c r="G224" s="1" t="s">
        <v>7928</v>
      </c>
      <c r="H224" s="68"/>
      <c r="I224" s="70"/>
      <c r="J224" s="81"/>
      <c r="K224" s="57"/>
      <c r="L224" s="57"/>
      <c r="M224" s="57"/>
      <c r="N224" s="57"/>
      <c r="O224" s="89"/>
      <c r="P224" s="105" t="s">
        <v>5895</v>
      </c>
      <c r="Q224" s="64" t="s">
        <v>1</v>
      </c>
      <c r="R224" s="65">
        <v>1</v>
      </c>
      <c r="S224" s="99"/>
      <c r="T224" s="68"/>
      <c r="U224" s="76"/>
      <c r="V224" s="70"/>
      <c r="W224" s="67"/>
      <c r="X224" s="68"/>
      <c r="Y224" s="76"/>
      <c r="Z224" s="70"/>
      <c r="AA224" s="67"/>
      <c r="AB224" s="68"/>
      <c r="AC224" s="76"/>
      <c r="AD224" s="70"/>
      <c r="AE224" s="228">
        <f>ROUND((_15_同援日１．５*_15・２人),0)+ROUND((ROUND((_15_同援日１．５＿０．５*_15・２人),0)*(1+_15・B夜間)),0)</f>
        <v>501</v>
      </c>
      <c r="AF224" s="69"/>
    </row>
    <row r="225" spans="1:32" ht="16.5" customHeight="1" x14ac:dyDescent="0.3">
      <c r="A225" s="2">
        <v>15</v>
      </c>
      <c r="B225" s="2">
        <v>9777</v>
      </c>
      <c r="C225" s="60" t="s">
        <v>10140</v>
      </c>
      <c r="D225" s="1" t="s">
        <v>8767</v>
      </c>
      <c r="E225" s="68"/>
      <c r="F225" s="70"/>
      <c r="G225" s="1"/>
      <c r="H225" s="68"/>
      <c r="I225" s="70"/>
      <c r="J225" s="74" t="s">
        <v>18069</v>
      </c>
      <c r="K225" s="62"/>
      <c r="L225" s="62"/>
      <c r="M225" s="62"/>
      <c r="N225" s="62"/>
      <c r="O225" s="92"/>
      <c r="P225" s="85"/>
      <c r="Q225" s="64"/>
      <c r="R225" s="65"/>
      <c r="S225" s="99"/>
      <c r="T225" s="68"/>
      <c r="U225" s="76"/>
      <c r="V225" s="70"/>
      <c r="W225" s="67"/>
      <c r="X225" s="68"/>
      <c r="Y225" s="76"/>
      <c r="Z225" s="70"/>
      <c r="AA225" s="67"/>
      <c r="AB225" s="68"/>
      <c r="AC225" s="76"/>
      <c r="AD225" s="70"/>
      <c r="AE225" s="228">
        <f>ROUND((_15_同援日１．５*_15・基礎２),0)+ROUND((ROUND((_15_同援日１．５＿０．５*_15・基礎２),0)*(1+_15・B夜間)),0)</f>
        <v>452</v>
      </c>
      <c r="AF225" s="69"/>
    </row>
    <row r="226" spans="1:32" ht="16.5" customHeight="1" x14ac:dyDescent="0.3">
      <c r="A226" s="2">
        <v>15</v>
      </c>
      <c r="B226" s="2">
        <v>9778</v>
      </c>
      <c r="C226" s="60" t="s">
        <v>10139</v>
      </c>
      <c r="D226" s="1"/>
      <c r="E226" s="227">
        <v>421</v>
      </c>
      <c r="F226" s="70" t="s">
        <v>0</v>
      </c>
      <c r="G226" s="1"/>
      <c r="H226" s="119">
        <v>64</v>
      </c>
      <c r="I226" s="70" t="s">
        <v>0</v>
      </c>
      <c r="J226" s="81"/>
      <c r="K226" s="57"/>
      <c r="L226" s="57"/>
      <c r="M226" s="57"/>
      <c r="N226" s="57" t="s">
        <v>1</v>
      </c>
      <c r="O226" s="89">
        <v>0.9</v>
      </c>
      <c r="P226" s="105" t="s">
        <v>5895</v>
      </c>
      <c r="Q226" s="64" t="s">
        <v>1</v>
      </c>
      <c r="R226" s="65">
        <v>1</v>
      </c>
      <c r="S226" s="99"/>
      <c r="T226" s="68"/>
      <c r="U226" s="76"/>
      <c r="V226" s="70"/>
      <c r="W226" s="66"/>
      <c r="X226" s="57"/>
      <c r="Y226" s="58"/>
      <c r="Z226" s="77"/>
      <c r="AA226" s="67"/>
      <c r="AB226" s="68"/>
      <c r="AC226" s="76"/>
      <c r="AD226" s="70"/>
      <c r="AE226" s="228">
        <f>ROUND((ROUND((_15_同援日１．５*_15・基礎２),0)*_15・２人),0)+ROUND((ROUND((ROUND((_15_同援日１．５＿０．５*_15・基礎２),0)*_15・２人),0)*(1+_15・B夜間)),0)</f>
        <v>452</v>
      </c>
      <c r="AF226" s="69"/>
    </row>
    <row r="227" spans="1:32" ht="16.5" customHeight="1" x14ac:dyDescent="0.3">
      <c r="A227" s="2">
        <v>15</v>
      </c>
      <c r="B227" s="2">
        <v>9779</v>
      </c>
      <c r="C227" s="60" t="s">
        <v>10138</v>
      </c>
      <c r="D227" s="1"/>
      <c r="E227" s="68"/>
      <c r="F227" s="70"/>
      <c r="G227" s="1"/>
      <c r="H227" s="68"/>
      <c r="I227" s="70"/>
      <c r="J227" s="74"/>
      <c r="K227" s="62"/>
      <c r="L227" s="62"/>
      <c r="M227" s="62"/>
      <c r="N227" s="62"/>
      <c r="O227" s="92"/>
      <c r="P227" s="85"/>
      <c r="Q227" s="64"/>
      <c r="R227" s="65"/>
      <c r="S227" s="99"/>
      <c r="T227" s="68"/>
      <c r="U227" s="76"/>
      <c r="V227" s="70"/>
      <c r="W227" s="78" t="s">
        <v>18059</v>
      </c>
      <c r="X227" s="62"/>
      <c r="Y227" s="63"/>
      <c r="Z227" s="75"/>
      <c r="AA227" s="67"/>
      <c r="AB227" s="68"/>
      <c r="AC227" s="76"/>
      <c r="AD227" s="70"/>
      <c r="AE227" s="228">
        <f>ROUND((_15_同援日１．５*(1+_15・盲ろう)),0)+ROUND((ROUND((_15_同援日１．５＿０．５*(1+_15・B夜間)),0)*(1+_15・盲ろう)),0)</f>
        <v>626</v>
      </c>
      <c r="AF227" s="69"/>
    </row>
    <row r="228" spans="1:32" ht="16.5" customHeight="1" x14ac:dyDescent="0.3">
      <c r="A228" s="2">
        <v>15</v>
      </c>
      <c r="B228" s="2">
        <v>9780</v>
      </c>
      <c r="C228" s="60" t="s">
        <v>10137</v>
      </c>
      <c r="D228" s="1"/>
      <c r="E228" s="68"/>
      <c r="F228" s="70"/>
      <c r="G228" s="1"/>
      <c r="H228" s="68"/>
      <c r="I228" s="70"/>
      <c r="J228" s="81"/>
      <c r="K228" s="57"/>
      <c r="L228" s="57"/>
      <c r="M228" s="57"/>
      <c r="N228" s="57"/>
      <c r="O228" s="89"/>
      <c r="P228" s="105" t="s">
        <v>5895</v>
      </c>
      <c r="Q228" s="64" t="s">
        <v>1</v>
      </c>
      <c r="R228" s="65">
        <v>1</v>
      </c>
      <c r="S228" s="99"/>
      <c r="T228" s="68"/>
      <c r="U228" s="76"/>
      <c r="V228" s="70"/>
      <c r="W228" s="94" t="s">
        <v>18058</v>
      </c>
      <c r="X228" s="68"/>
      <c r="Y228" s="76"/>
      <c r="Z228" s="70"/>
      <c r="AA228" s="67"/>
      <c r="AB228" s="68"/>
      <c r="AC228" s="76"/>
      <c r="AD228" s="70"/>
      <c r="AE228" s="228">
        <f>ROUND((ROUND((_15_同援日１．５*_15・２人),0)*(1+_15・盲ろう)),0)+ROUND((ROUND((ROUND((_15_同援日１．５＿０．５*_15・２人),0)*(1+_15・B夜間)),0)*(1+_15・盲ろう)),0)</f>
        <v>626</v>
      </c>
      <c r="AF228" s="69"/>
    </row>
    <row r="229" spans="1:32" ht="16.5" customHeight="1" x14ac:dyDescent="0.3">
      <c r="A229" s="2">
        <v>15</v>
      </c>
      <c r="B229" s="2">
        <v>9781</v>
      </c>
      <c r="C229" s="60" t="s">
        <v>10136</v>
      </c>
      <c r="D229" s="1"/>
      <c r="E229" s="68"/>
      <c r="F229" s="70"/>
      <c r="G229" s="1"/>
      <c r="H229" s="68"/>
      <c r="I229" s="70"/>
      <c r="J229" s="74" t="s">
        <v>6260</v>
      </c>
      <c r="K229" s="62"/>
      <c r="L229" s="62"/>
      <c r="M229" s="62"/>
      <c r="N229" s="62"/>
      <c r="O229" s="92"/>
      <c r="P229" s="85"/>
      <c r="Q229" s="64"/>
      <c r="R229" s="65"/>
      <c r="S229" s="99"/>
      <c r="T229" s="68"/>
      <c r="U229" s="76"/>
      <c r="V229" s="70"/>
      <c r="W229" s="67"/>
      <c r="X229" s="68" t="s">
        <v>1</v>
      </c>
      <c r="Y229" s="76">
        <v>0.25</v>
      </c>
      <c r="Z229" s="70" t="s">
        <v>422</v>
      </c>
      <c r="AA229" s="67"/>
      <c r="AB229" s="68"/>
      <c r="AC229" s="76"/>
      <c r="AD229" s="70"/>
      <c r="AE229" s="228">
        <f>ROUND((ROUND((_15_同援日１．５*_15・基礎２),0)*(1+_15・盲ろう)),0)+ROUND((ROUND((ROUND((_15_同援日１．５＿０．５*_15・基礎２),0)*(1+_15・B夜間)),0)*(1+_15・盲ろう)),0)</f>
        <v>565</v>
      </c>
      <c r="AF229" s="69"/>
    </row>
    <row r="230" spans="1:32" ht="16.5" customHeight="1" x14ac:dyDescent="0.3">
      <c r="A230" s="2">
        <v>15</v>
      </c>
      <c r="B230" s="2">
        <v>9782</v>
      </c>
      <c r="C230" s="60" t="s">
        <v>10135</v>
      </c>
      <c r="D230" s="1"/>
      <c r="E230" s="68"/>
      <c r="F230" s="70"/>
      <c r="G230" s="1"/>
      <c r="H230" s="68"/>
      <c r="I230" s="70"/>
      <c r="J230" s="81"/>
      <c r="K230" s="57"/>
      <c r="L230" s="57"/>
      <c r="M230" s="57"/>
      <c r="N230" s="57" t="s">
        <v>1</v>
      </c>
      <c r="O230" s="89">
        <v>0.9</v>
      </c>
      <c r="P230" s="105" t="s">
        <v>5895</v>
      </c>
      <c r="Q230" s="64" t="s">
        <v>1</v>
      </c>
      <c r="R230" s="65">
        <v>1</v>
      </c>
      <c r="S230" s="99"/>
      <c r="T230" s="68"/>
      <c r="U230" s="76"/>
      <c r="V230" s="70"/>
      <c r="W230" s="66"/>
      <c r="X230" s="57"/>
      <c r="Y230" s="58"/>
      <c r="Z230" s="77"/>
      <c r="AA230" s="66"/>
      <c r="AB230" s="57"/>
      <c r="AC230" s="58"/>
      <c r="AD230" s="77"/>
      <c r="AE230" s="228">
        <f>ROUND((ROUND((ROUND((_15_同援日１．５*_15・基礎２),0)*_15・２人),0)*(1+_15・盲ろう)),0)+ROUND((ROUND((ROUND((ROUND((_15_同援日１．５＿０．５*_15・基礎２),0)*_15・２人),0)*(1+_15・B夜間)),0)*(1+_15・盲ろう)),0)</f>
        <v>565</v>
      </c>
      <c r="AF230" s="69"/>
    </row>
    <row r="231" spans="1:32" ht="16.5" customHeight="1" x14ac:dyDescent="0.3">
      <c r="A231" s="2">
        <v>15</v>
      </c>
      <c r="B231" s="2">
        <v>9783</v>
      </c>
      <c r="C231" s="60" t="s">
        <v>10134</v>
      </c>
      <c r="D231" s="1"/>
      <c r="E231" s="68"/>
      <c r="F231" s="70"/>
      <c r="G231" s="1"/>
      <c r="H231" s="68"/>
      <c r="I231" s="70"/>
      <c r="J231" s="74"/>
      <c r="K231" s="62"/>
      <c r="L231" s="62"/>
      <c r="M231" s="62"/>
      <c r="N231" s="62"/>
      <c r="O231" s="92"/>
      <c r="P231" s="85"/>
      <c r="Q231" s="64"/>
      <c r="R231" s="65"/>
      <c r="S231" s="99"/>
      <c r="T231" s="68"/>
      <c r="U231" s="76"/>
      <c r="V231" s="70"/>
      <c r="W231" s="61"/>
      <c r="X231" s="62"/>
      <c r="Y231" s="63"/>
      <c r="Z231" s="75"/>
      <c r="AA231" s="61"/>
      <c r="AB231" s="62"/>
      <c r="AC231" s="63"/>
      <c r="AD231" s="75"/>
      <c r="AE231" s="228">
        <f>ROUND((_15_同援日１．５*(1+_15・区３)),0)+ROUND((ROUND((_15_同援日１．５＿０．５*(1+_15・B夜間)),0)*(1+_15・区３)),0)</f>
        <v>601</v>
      </c>
      <c r="AF231" s="69"/>
    </row>
    <row r="232" spans="1:32" ht="16.5" customHeight="1" x14ac:dyDescent="0.3">
      <c r="A232" s="2">
        <v>15</v>
      </c>
      <c r="B232" s="2">
        <v>9784</v>
      </c>
      <c r="C232" s="60" t="s">
        <v>10133</v>
      </c>
      <c r="D232" s="1"/>
      <c r="E232" s="68"/>
      <c r="F232" s="70"/>
      <c r="G232" s="1"/>
      <c r="H232" s="68"/>
      <c r="I232" s="70"/>
      <c r="J232" s="81"/>
      <c r="K232" s="57"/>
      <c r="L232" s="57"/>
      <c r="M232" s="57"/>
      <c r="N232" s="57"/>
      <c r="O232" s="89"/>
      <c r="P232" s="105" t="s">
        <v>5895</v>
      </c>
      <c r="Q232" s="64" t="s">
        <v>1</v>
      </c>
      <c r="R232" s="65">
        <v>1</v>
      </c>
      <c r="S232" s="99"/>
      <c r="T232" s="68"/>
      <c r="U232" s="76"/>
      <c r="V232" s="70"/>
      <c r="W232" s="67"/>
      <c r="X232" s="68"/>
      <c r="Y232" s="76"/>
      <c r="Z232" s="70"/>
      <c r="AA232" s="67"/>
      <c r="AB232" s="68"/>
      <c r="AC232" s="76"/>
      <c r="AD232" s="70"/>
      <c r="AE232" s="228">
        <f>ROUND((ROUND((_15_同援日１．５*_15・２人),0)*(1+_15・区３)),0)+ROUND((ROUND((ROUND((_15_同援日１．５＿０．５*_15・２人),0)*(1+_15・B夜間)),0)*(1+_15・区３)),0)</f>
        <v>601</v>
      </c>
      <c r="AF232" s="69"/>
    </row>
    <row r="233" spans="1:32" ht="16.5" customHeight="1" x14ac:dyDescent="0.3">
      <c r="A233" s="2">
        <v>15</v>
      </c>
      <c r="B233" s="2">
        <v>9785</v>
      </c>
      <c r="C233" s="60" t="s">
        <v>10132</v>
      </c>
      <c r="D233" s="1"/>
      <c r="E233" s="68"/>
      <c r="F233" s="70"/>
      <c r="G233" s="1"/>
      <c r="H233" s="68"/>
      <c r="I233" s="70"/>
      <c r="J233" s="74" t="s">
        <v>6260</v>
      </c>
      <c r="K233" s="62"/>
      <c r="L233" s="62"/>
      <c r="M233" s="62"/>
      <c r="N233" s="62"/>
      <c r="O233" s="92"/>
      <c r="P233" s="85"/>
      <c r="Q233" s="64"/>
      <c r="R233" s="65"/>
      <c r="S233" s="99"/>
      <c r="T233" s="68"/>
      <c r="U233" s="76"/>
      <c r="V233" s="70"/>
      <c r="W233" s="67"/>
      <c r="X233" s="68"/>
      <c r="Y233" s="76"/>
      <c r="Z233" s="70"/>
      <c r="AA233" s="1" t="s">
        <v>18062</v>
      </c>
      <c r="AB233" s="68"/>
      <c r="AC233" s="76"/>
      <c r="AD233" s="70"/>
      <c r="AE233" s="228">
        <f>ROUND((ROUND((_15_同援日１．５*_15・基礎２),0)*(1+_15・区３)),0)+ROUND((ROUND((ROUND((_15_同援日１．５＿０．５*_15・基礎２),0)*(1+_15・B夜間)),0)*(1+_15・区３)),0)</f>
        <v>543</v>
      </c>
      <c r="AF233" s="69"/>
    </row>
    <row r="234" spans="1:32" ht="16.5" customHeight="1" x14ac:dyDescent="0.3">
      <c r="A234" s="2">
        <v>15</v>
      </c>
      <c r="B234" s="2">
        <v>9786</v>
      </c>
      <c r="C234" s="60" t="s">
        <v>10131</v>
      </c>
      <c r="D234" s="1"/>
      <c r="E234" s="68"/>
      <c r="F234" s="70"/>
      <c r="G234" s="1"/>
      <c r="H234" s="68"/>
      <c r="I234" s="70"/>
      <c r="J234" s="81"/>
      <c r="K234" s="57"/>
      <c r="L234" s="57"/>
      <c r="M234" s="57"/>
      <c r="N234" s="57" t="s">
        <v>1</v>
      </c>
      <c r="O234" s="89">
        <v>0.9</v>
      </c>
      <c r="P234" s="105" t="s">
        <v>5895</v>
      </c>
      <c r="Q234" s="64" t="s">
        <v>1</v>
      </c>
      <c r="R234" s="65">
        <v>1</v>
      </c>
      <c r="S234" s="99"/>
      <c r="T234" s="68"/>
      <c r="U234" s="76"/>
      <c r="V234" s="70"/>
      <c r="W234" s="66"/>
      <c r="X234" s="57"/>
      <c r="Y234" s="58"/>
      <c r="Z234" s="77"/>
      <c r="AA234" s="1" t="s">
        <v>18060</v>
      </c>
      <c r="AB234" s="68"/>
      <c r="AC234" s="76"/>
      <c r="AD234" s="70"/>
      <c r="AE234" s="228">
        <f>ROUND((ROUND((ROUND((_15_同援日１．５*_15・基礎２),0)*_15・２人),0)*(1+_15・区３)),0)+ROUND((ROUND((ROUND((ROUND((_15_同援日１．５＿０．５*_15・基礎２),0)*_15・２人),0)*(1+_15・B夜間)),0)*(1+_15・区３)),0)</f>
        <v>543</v>
      </c>
      <c r="AF234" s="69"/>
    </row>
    <row r="235" spans="1:32" ht="16.5" customHeight="1" x14ac:dyDescent="0.3">
      <c r="A235" s="2">
        <v>15</v>
      </c>
      <c r="B235" s="2">
        <v>9787</v>
      </c>
      <c r="C235" s="60" t="s">
        <v>10130</v>
      </c>
      <c r="D235" s="1"/>
      <c r="E235" s="68"/>
      <c r="F235" s="70"/>
      <c r="G235" s="1"/>
      <c r="H235" s="68"/>
      <c r="I235" s="70"/>
      <c r="J235" s="74"/>
      <c r="K235" s="62"/>
      <c r="L235" s="62"/>
      <c r="M235" s="62"/>
      <c r="N235" s="62"/>
      <c r="O235" s="92"/>
      <c r="P235" s="85"/>
      <c r="Q235" s="64"/>
      <c r="R235" s="65"/>
      <c r="S235" s="99"/>
      <c r="T235" s="68"/>
      <c r="U235" s="76"/>
      <c r="V235" s="70"/>
      <c r="W235" s="78" t="s">
        <v>18059</v>
      </c>
      <c r="X235" s="62"/>
      <c r="Y235" s="63"/>
      <c r="Z235" s="75"/>
      <c r="AA235" s="67"/>
      <c r="AB235" s="68" t="s">
        <v>1</v>
      </c>
      <c r="AC235" s="76">
        <v>0.2</v>
      </c>
      <c r="AD235" s="70" t="s">
        <v>422</v>
      </c>
      <c r="AE235" s="228">
        <f>ROUND((ROUND((_15_同援日１．５*(1+_15・盲ろう)),0)*(1+_15・区３)),0)+ROUND((ROUND((ROUND((_15_同援日１．５＿０．５*(1+_15・B夜間)),0)*(1+_15・盲ろう)),0)*(1+_15・区３)),0)</f>
        <v>751</v>
      </c>
      <c r="AF235" s="69"/>
    </row>
    <row r="236" spans="1:32" ht="16.5" customHeight="1" x14ac:dyDescent="0.3">
      <c r="A236" s="2">
        <v>15</v>
      </c>
      <c r="B236" s="2">
        <v>9788</v>
      </c>
      <c r="C236" s="60" t="s">
        <v>10129</v>
      </c>
      <c r="D236" s="1"/>
      <c r="E236" s="68"/>
      <c r="F236" s="70"/>
      <c r="G236" s="1"/>
      <c r="H236" s="68"/>
      <c r="I236" s="70"/>
      <c r="J236" s="81"/>
      <c r="K236" s="57"/>
      <c r="L236" s="57"/>
      <c r="M236" s="57"/>
      <c r="N236" s="57"/>
      <c r="O236" s="89"/>
      <c r="P236" s="105" t="s">
        <v>5895</v>
      </c>
      <c r="Q236" s="64" t="s">
        <v>1</v>
      </c>
      <c r="R236" s="65">
        <v>1</v>
      </c>
      <c r="S236" s="99"/>
      <c r="T236" s="68"/>
      <c r="U236" s="76"/>
      <c r="V236" s="70"/>
      <c r="W236" s="94" t="s">
        <v>18058</v>
      </c>
      <c r="X236" s="68"/>
      <c r="Y236" s="76"/>
      <c r="Z236" s="70"/>
      <c r="AA236" s="67"/>
      <c r="AB236" s="68"/>
      <c r="AC236" s="76"/>
      <c r="AD236" s="70"/>
      <c r="AE236" s="228">
        <f>ROUND((ROUND((ROUND((_15_同援日１．５*_15・２人),0)*(1+_15・盲ろう)),0)*(1+_15・区３)),0)+ROUND((ROUND((ROUND((ROUND((_15_同援日１．５＿０．５*_15・２人),0)*(1+_15・B夜間)),0)*(1+_15・盲ろう)),0)*(1+_15・区３)),0)</f>
        <v>751</v>
      </c>
      <c r="AF236" s="69"/>
    </row>
    <row r="237" spans="1:32" ht="16.5" customHeight="1" x14ac:dyDescent="0.3">
      <c r="A237" s="2">
        <v>15</v>
      </c>
      <c r="B237" s="2">
        <v>9789</v>
      </c>
      <c r="C237" s="60" t="s">
        <v>10128</v>
      </c>
      <c r="D237" s="1"/>
      <c r="E237" s="68"/>
      <c r="F237" s="70"/>
      <c r="G237" s="1"/>
      <c r="H237" s="68"/>
      <c r="I237" s="70"/>
      <c r="J237" s="74" t="s">
        <v>18069</v>
      </c>
      <c r="K237" s="62"/>
      <c r="L237" s="62"/>
      <c r="M237" s="62"/>
      <c r="N237" s="62"/>
      <c r="O237" s="92"/>
      <c r="P237" s="85"/>
      <c r="Q237" s="64"/>
      <c r="R237" s="65"/>
      <c r="S237" s="99"/>
      <c r="T237" s="68"/>
      <c r="U237" s="76"/>
      <c r="V237" s="70"/>
      <c r="W237" s="67"/>
      <c r="X237" s="68" t="s">
        <v>1</v>
      </c>
      <c r="Y237" s="76">
        <v>0.25</v>
      </c>
      <c r="Z237" s="70" t="s">
        <v>422</v>
      </c>
      <c r="AA237" s="67"/>
      <c r="AB237" s="68"/>
      <c r="AC237" s="76"/>
      <c r="AD237" s="70"/>
      <c r="AE237" s="228">
        <f>ROUND((ROUND((ROUND((_15_同援日１．５*_15・基礎２),0)*(1+_15・盲ろう)),0)*(1+_15・区３)),0)+ROUND((ROUND((ROUND((ROUND((_15_同援日１．５＿０．５*_15・基礎２),0)*(1+_15・B夜間)),0)*(1+_15・盲ろう)),0)*(1+_15・区３)),0)</f>
        <v>678</v>
      </c>
      <c r="AF237" s="69"/>
    </row>
    <row r="238" spans="1:32" ht="16.5" customHeight="1" x14ac:dyDescent="0.3">
      <c r="A238" s="2">
        <v>15</v>
      </c>
      <c r="B238" s="2">
        <v>9790</v>
      </c>
      <c r="C238" s="60" t="s">
        <v>10127</v>
      </c>
      <c r="D238" s="1"/>
      <c r="E238" s="68"/>
      <c r="F238" s="70"/>
      <c r="G238" s="1"/>
      <c r="H238" s="68"/>
      <c r="I238" s="70"/>
      <c r="J238" s="81"/>
      <c r="K238" s="57"/>
      <c r="L238" s="57"/>
      <c r="M238" s="57"/>
      <c r="N238" s="57" t="s">
        <v>1</v>
      </c>
      <c r="O238" s="89">
        <v>0.9</v>
      </c>
      <c r="P238" s="105" t="s">
        <v>5895</v>
      </c>
      <c r="Q238" s="64" t="s">
        <v>1</v>
      </c>
      <c r="R238" s="65">
        <v>1</v>
      </c>
      <c r="S238" s="99"/>
      <c r="T238" s="68"/>
      <c r="U238" s="76"/>
      <c r="V238" s="70"/>
      <c r="W238" s="66"/>
      <c r="X238" s="57"/>
      <c r="Y238" s="58"/>
      <c r="Z238" s="77"/>
      <c r="AA238" s="66"/>
      <c r="AB238" s="57"/>
      <c r="AC238" s="58"/>
      <c r="AD238" s="77"/>
      <c r="AE238" s="228">
        <f>ROUND((ROUND((ROUND((ROUND((_15_同援日１．５*_15・基礎２),0)*_15・２人),0)*(1+_15・盲ろう)),0)*(1+_15・区３)),0)+ROUND((ROUND((ROUND((ROUND((ROUND((_15_同援日１．５＿０．５*_15・基礎２),0)*_15・２人),0)*(1+_15・B夜間)),0)*(1+_15・盲ろう)),0)*(1+_15・区３)),0)</f>
        <v>678</v>
      </c>
      <c r="AF238" s="69"/>
    </row>
    <row r="239" spans="1:32" ht="16.5" customHeight="1" x14ac:dyDescent="0.3">
      <c r="A239" s="2">
        <v>15</v>
      </c>
      <c r="B239" s="2">
        <v>9791</v>
      </c>
      <c r="C239" s="60" t="s">
        <v>10126</v>
      </c>
      <c r="D239" s="1"/>
      <c r="E239" s="68"/>
      <c r="F239" s="70"/>
      <c r="G239" s="1"/>
      <c r="H239" s="68"/>
      <c r="I239" s="70"/>
      <c r="J239" s="74"/>
      <c r="K239" s="62"/>
      <c r="L239" s="62"/>
      <c r="M239" s="62"/>
      <c r="N239" s="62"/>
      <c r="O239" s="92"/>
      <c r="P239" s="85"/>
      <c r="Q239" s="64"/>
      <c r="R239" s="65"/>
      <c r="S239" s="99"/>
      <c r="T239" s="68"/>
      <c r="U239" s="76"/>
      <c r="V239" s="70"/>
      <c r="W239" s="61"/>
      <c r="X239" s="62"/>
      <c r="Y239" s="63"/>
      <c r="Z239" s="75"/>
      <c r="AA239" s="61"/>
      <c r="AB239" s="62"/>
      <c r="AC239" s="63"/>
      <c r="AD239" s="75"/>
      <c r="AE239" s="228">
        <f>ROUND((_15_同援日１．５*(1+_15・区４)),0)+ROUND((ROUND((_15_同援日１．５＿０．５*(1+_15・B夜間)),0)*(1+_15・区４)),0)</f>
        <v>701</v>
      </c>
      <c r="AF239" s="69"/>
    </row>
    <row r="240" spans="1:32" ht="16.5" customHeight="1" x14ac:dyDescent="0.3">
      <c r="A240" s="2">
        <v>15</v>
      </c>
      <c r="B240" s="2">
        <v>9792</v>
      </c>
      <c r="C240" s="60" t="s">
        <v>10125</v>
      </c>
      <c r="D240" s="1"/>
      <c r="E240" s="68"/>
      <c r="F240" s="70"/>
      <c r="G240" s="1"/>
      <c r="H240" s="68"/>
      <c r="I240" s="70"/>
      <c r="J240" s="81"/>
      <c r="K240" s="57"/>
      <c r="L240" s="57"/>
      <c r="M240" s="57"/>
      <c r="N240" s="57"/>
      <c r="O240" s="89"/>
      <c r="P240" s="105" t="s">
        <v>5895</v>
      </c>
      <c r="Q240" s="64" t="s">
        <v>1</v>
      </c>
      <c r="R240" s="65">
        <v>1</v>
      </c>
      <c r="S240" s="99"/>
      <c r="T240" s="68"/>
      <c r="U240" s="76"/>
      <c r="V240" s="70"/>
      <c r="W240" s="67"/>
      <c r="X240" s="68"/>
      <c r="Y240" s="76"/>
      <c r="Z240" s="70"/>
      <c r="AA240" s="67"/>
      <c r="AB240" s="68"/>
      <c r="AC240" s="76"/>
      <c r="AD240" s="70"/>
      <c r="AE240" s="228">
        <f>ROUND((ROUND((_15_同援日１．５*_15・２人),0)*(1+_15・区４)),0)+ROUND((ROUND((ROUND((_15_同援日１．５＿０．５*_15・２人),0)*(1+_15・B夜間)),0)*(1+_15・区４)),0)</f>
        <v>701</v>
      </c>
      <c r="AF240" s="69"/>
    </row>
    <row r="241" spans="1:32" ht="16.5" customHeight="1" x14ac:dyDescent="0.3">
      <c r="A241" s="2">
        <v>15</v>
      </c>
      <c r="B241" s="2">
        <v>9793</v>
      </c>
      <c r="C241" s="60" t="s">
        <v>10124</v>
      </c>
      <c r="D241" s="1"/>
      <c r="E241" s="68"/>
      <c r="F241" s="70"/>
      <c r="G241" s="1"/>
      <c r="H241" s="68"/>
      <c r="I241" s="70"/>
      <c r="J241" s="74" t="s">
        <v>18069</v>
      </c>
      <c r="K241" s="62"/>
      <c r="L241" s="62"/>
      <c r="M241" s="62"/>
      <c r="N241" s="62"/>
      <c r="O241" s="92"/>
      <c r="P241" s="85"/>
      <c r="Q241" s="64"/>
      <c r="R241" s="65"/>
      <c r="S241" s="99"/>
      <c r="T241" s="68"/>
      <c r="U241" s="76"/>
      <c r="V241" s="70"/>
      <c r="W241" s="67"/>
      <c r="X241" s="68"/>
      <c r="Y241" s="76"/>
      <c r="Z241" s="70"/>
      <c r="AA241" s="1" t="s">
        <v>18061</v>
      </c>
      <c r="AB241" s="68"/>
      <c r="AC241" s="76"/>
      <c r="AD241" s="70"/>
      <c r="AE241" s="228">
        <f>ROUND((ROUND((_15_同援日１．５*_15・基礎２),0)*(1+_15・区４)),0)+ROUND((ROUND((ROUND((_15_同援日１．５＿０．５*_15・基礎２),0)*(1+_15・B夜間)),0)*(1+_15・区４)),0)</f>
        <v>633</v>
      </c>
      <c r="AF241" s="69"/>
    </row>
    <row r="242" spans="1:32" ht="16.5" customHeight="1" x14ac:dyDescent="0.3">
      <c r="A242" s="2">
        <v>15</v>
      </c>
      <c r="B242" s="2">
        <v>9794</v>
      </c>
      <c r="C242" s="60" t="s">
        <v>10123</v>
      </c>
      <c r="D242" s="1"/>
      <c r="E242" s="68"/>
      <c r="F242" s="70"/>
      <c r="G242" s="1"/>
      <c r="H242" s="68"/>
      <c r="I242" s="70"/>
      <c r="J242" s="81"/>
      <c r="K242" s="57"/>
      <c r="L242" s="57"/>
      <c r="M242" s="57"/>
      <c r="N242" s="57" t="s">
        <v>1</v>
      </c>
      <c r="O242" s="89">
        <v>0.9</v>
      </c>
      <c r="P242" s="105" t="s">
        <v>5895</v>
      </c>
      <c r="Q242" s="64" t="s">
        <v>1</v>
      </c>
      <c r="R242" s="65">
        <v>1</v>
      </c>
      <c r="S242" s="99"/>
      <c r="T242" s="68"/>
      <c r="U242" s="76"/>
      <c r="V242" s="70"/>
      <c r="W242" s="66"/>
      <c r="X242" s="57"/>
      <c r="Y242" s="58"/>
      <c r="Z242" s="77"/>
      <c r="AA242" s="1" t="s">
        <v>18060</v>
      </c>
      <c r="AB242" s="68"/>
      <c r="AC242" s="76"/>
      <c r="AD242" s="70"/>
      <c r="AE242" s="228">
        <f>ROUND((ROUND((ROUND((_15_同援日１．５*_15・基礎２),0)*_15・２人),0)*(1+_15・区４)),0)+ROUND((ROUND((ROUND((ROUND((_15_同援日１．５＿０．５*_15・基礎２),0)*_15・２人),0)*(1+_15・B夜間)),0)*(1+_15・区４)),0)</f>
        <v>633</v>
      </c>
      <c r="AF242" s="69"/>
    </row>
    <row r="243" spans="1:32" ht="16.5" customHeight="1" x14ac:dyDescent="0.3">
      <c r="A243" s="2">
        <v>15</v>
      </c>
      <c r="B243" s="2">
        <v>9795</v>
      </c>
      <c r="C243" s="60" t="s">
        <v>10122</v>
      </c>
      <c r="D243" s="1"/>
      <c r="E243" s="68"/>
      <c r="F243" s="70"/>
      <c r="G243" s="1"/>
      <c r="H243" s="68"/>
      <c r="I243" s="70"/>
      <c r="J243" s="74"/>
      <c r="K243" s="62"/>
      <c r="L243" s="62"/>
      <c r="M243" s="62"/>
      <c r="N243" s="62"/>
      <c r="O243" s="92"/>
      <c r="P243" s="85"/>
      <c r="Q243" s="64"/>
      <c r="R243" s="65"/>
      <c r="S243" s="99"/>
      <c r="T243" s="68"/>
      <c r="U243" s="76"/>
      <c r="V243" s="70"/>
      <c r="W243" s="78" t="s">
        <v>18059</v>
      </c>
      <c r="X243" s="62"/>
      <c r="Y243" s="63"/>
      <c r="Z243" s="75"/>
      <c r="AA243" s="67"/>
      <c r="AB243" s="68" t="s">
        <v>1</v>
      </c>
      <c r="AC243" s="76">
        <v>0.4</v>
      </c>
      <c r="AD243" s="70" t="s">
        <v>422</v>
      </c>
      <c r="AE243" s="228">
        <f>ROUND((ROUND((_15_同援日１．５*(1+_15・盲ろう)),0)*(1+_15・区４)),0)+ROUND((ROUND((ROUND((_15_同援日１．５＿０．５*(1+_15・B夜間)),0)*(1+_15・盲ろう)),0)*(1+_15・区４)),0)</f>
        <v>876</v>
      </c>
      <c r="AF243" s="69"/>
    </row>
    <row r="244" spans="1:32" ht="16.5" customHeight="1" x14ac:dyDescent="0.3">
      <c r="A244" s="2">
        <v>15</v>
      </c>
      <c r="B244" s="2">
        <v>9796</v>
      </c>
      <c r="C244" s="60" t="s">
        <v>10121</v>
      </c>
      <c r="D244" s="1"/>
      <c r="E244" s="68"/>
      <c r="F244" s="70"/>
      <c r="G244" s="1"/>
      <c r="H244" s="68"/>
      <c r="I244" s="70"/>
      <c r="J244" s="81"/>
      <c r="K244" s="57"/>
      <c r="L244" s="57"/>
      <c r="M244" s="57"/>
      <c r="N244" s="57"/>
      <c r="O244" s="89"/>
      <c r="P244" s="105" t="s">
        <v>5895</v>
      </c>
      <c r="Q244" s="64" t="s">
        <v>1</v>
      </c>
      <c r="R244" s="65">
        <v>1</v>
      </c>
      <c r="S244" s="99"/>
      <c r="T244" s="68"/>
      <c r="U244" s="76"/>
      <c r="V244" s="70"/>
      <c r="W244" s="94" t="s">
        <v>18058</v>
      </c>
      <c r="X244" s="68"/>
      <c r="Y244" s="76"/>
      <c r="Z244" s="70"/>
      <c r="AA244" s="67"/>
      <c r="AB244" s="68"/>
      <c r="AC244" s="76"/>
      <c r="AD244" s="70"/>
      <c r="AE244" s="228">
        <f>ROUND((ROUND((ROUND((_15_同援日１．５*_15・２人),0)*(1+_15・盲ろう)),0)*(1+_15・区４)),0)+ROUND((ROUND((ROUND((ROUND((_15_同援日１．５＿０．５*_15・２人),0)*(1+_15・B夜間)),0)*(1+_15・盲ろう)),0)*(1+_15・区４)),0)</f>
        <v>876</v>
      </c>
      <c r="AF244" s="69"/>
    </row>
    <row r="245" spans="1:32" ht="16.5" customHeight="1" x14ac:dyDescent="0.3">
      <c r="A245" s="2">
        <v>15</v>
      </c>
      <c r="B245" s="2">
        <v>9797</v>
      </c>
      <c r="C245" s="60" t="s">
        <v>10120</v>
      </c>
      <c r="D245" s="1"/>
      <c r="E245" s="68"/>
      <c r="F245" s="70"/>
      <c r="G245" s="1"/>
      <c r="H245" s="68"/>
      <c r="I245" s="70"/>
      <c r="J245" s="74" t="s">
        <v>18069</v>
      </c>
      <c r="K245" s="62"/>
      <c r="L245" s="62"/>
      <c r="M245" s="62"/>
      <c r="N245" s="62"/>
      <c r="O245" s="92"/>
      <c r="P245" s="85"/>
      <c r="Q245" s="64"/>
      <c r="R245" s="65"/>
      <c r="S245" s="99"/>
      <c r="T245" s="68"/>
      <c r="U245" s="76"/>
      <c r="V245" s="70"/>
      <c r="W245" s="67"/>
      <c r="X245" s="68" t="s">
        <v>1</v>
      </c>
      <c r="Y245" s="76">
        <v>0.25</v>
      </c>
      <c r="Z245" s="70" t="s">
        <v>422</v>
      </c>
      <c r="AA245" s="67"/>
      <c r="AB245" s="68"/>
      <c r="AC245" s="76"/>
      <c r="AD245" s="70"/>
      <c r="AE245" s="228">
        <f>ROUND((ROUND((ROUND((_15_同援日１．５*_15・基礎２),0)*(1+_15・盲ろう)),0)*(1+_15・区４)),0)+ROUND((ROUND((ROUND((ROUND((_15_同援日１．５＿０．５*_15・基礎２),0)*(1+_15・B夜間)),0)*(1+_15・盲ろう)),0)*(1+_15・区４)),0)</f>
        <v>791</v>
      </c>
      <c r="AF245" s="69"/>
    </row>
    <row r="246" spans="1:32" ht="16.5" customHeight="1" x14ac:dyDescent="0.3">
      <c r="A246" s="2">
        <v>15</v>
      </c>
      <c r="B246" s="2">
        <v>9798</v>
      </c>
      <c r="C246" s="60" t="s">
        <v>10119</v>
      </c>
      <c r="D246" s="1"/>
      <c r="E246" s="68"/>
      <c r="F246" s="70"/>
      <c r="G246" s="81"/>
      <c r="H246" s="57"/>
      <c r="I246" s="77"/>
      <c r="J246" s="81"/>
      <c r="K246" s="57"/>
      <c r="L246" s="57"/>
      <c r="M246" s="57"/>
      <c r="N246" s="57" t="s">
        <v>1</v>
      </c>
      <c r="O246" s="89">
        <v>0.9</v>
      </c>
      <c r="P246" s="105" t="s">
        <v>5895</v>
      </c>
      <c r="Q246" s="64" t="s">
        <v>1</v>
      </c>
      <c r="R246" s="65">
        <v>1</v>
      </c>
      <c r="S246" s="99"/>
      <c r="T246" s="68"/>
      <c r="U246" s="76"/>
      <c r="V246" s="70"/>
      <c r="W246" s="66"/>
      <c r="X246" s="57"/>
      <c r="Y246" s="58"/>
      <c r="Z246" s="77"/>
      <c r="AA246" s="66"/>
      <c r="AB246" s="57"/>
      <c r="AC246" s="58"/>
      <c r="AD246" s="77"/>
      <c r="AE246" s="228">
        <f>ROUND((ROUND((ROUND((ROUND((_15_同援日１．５*_15・基礎２),0)*_15・２人),0)*(1+_15・盲ろう)),0)*(1+_15・区４)),0)+ROUND((ROUND((ROUND((ROUND((ROUND((_15_同援日１．５＿０．５*_15・基礎２),0)*_15・２人),0)*(1+_15・B夜間)),0)*(1+_15・盲ろう)),0)*(1+_15・区４)),0)</f>
        <v>791</v>
      </c>
      <c r="AF246" s="69"/>
    </row>
    <row r="247" spans="1:32" ht="16.5" customHeight="1" x14ac:dyDescent="0.3">
      <c r="A247" s="2">
        <v>15</v>
      </c>
      <c r="B247" s="2">
        <v>9799</v>
      </c>
      <c r="C247" s="60" t="s">
        <v>10118</v>
      </c>
      <c r="D247" s="1"/>
      <c r="E247" s="68"/>
      <c r="F247" s="70"/>
      <c r="G247" s="233" t="s">
        <v>18073</v>
      </c>
      <c r="H247" s="62"/>
      <c r="I247" s="75"/>
      <c r="J247" s="74"/>
      <c r="K247" s="62"/>
      <c r="L247" s="62"/>
      <c r="M247" s="62"/>
      <c r="N247" s="62"/>
      <c r="O247" s="92"/>
      <c r="P247" s="85"/>
      <c r="Q247" s="64"/>
      <c r="R247" s="65"/>
      <c r="S247" s="99"/>
      <c r="T247" s="68"/>
      <c r="U247" s="76"/>
      <c r="V247" s="70"/>
      <c r="W247" s="61"/>
      <c r="X247" s="62"/>
      <c r="Y247" s="63"/>
      <c r="Z247" s="75"/>
      <c r="AA247" s="61"/>
      <c r="AB247" s="62"/>
      <c r="AC247" s="63"/>
      <c r="AD247" s="75"/>
      <c r="AE247" s="228">
        <f>_15_同援日１．５+ROUND((_15_同援日１．５＿１．０*(1+_15・B夜間)),0)</f>
        <v>580</v>
      </c>
      <c r="AF247" s="69"/>
    </row>
    <row r="248" spans="1:32" ht="16.5" customHeight="1" x14ac:dyDescent="0.3">
      <c r="A248" s="2">
        <v>15</v>
      </c>
      <c r="B248" s="2">
        <v>9800</v>
      </c>
      <c r="C248" s="60" t="s">
        <v>10117</v>
      </c>
      <c r="D248" s="1"/>
      <c r="E248" s="68"/>
      <c r="F248" s="70"/>
      <c r="G248" s="1" t="s">
        <v>18078</v>
      </c>
      <c r="H248" s="68"/>
      <c r="I248" s="70"/>
      <c r="J248" s="81"/>
      <c r="K248" s="57"/>
      <c r="L248" s="57"/>
      <c r="M248" s="57"/>
      <c r="N248" s="57"/>
      <c r="O248" s="89"/>
      <c r="P248" s="105" t="s">
        <v>5895</v>
      </c>
      <c r="Q248" s="64" t="s">
        <v>1</v>
      </c>
      <c r="R248" s="65">
        <v>1</v>
      </c>
      <c r="S248" s="99"/>
      <c r="T248" s="68"/>
      <c r="U248" s="76"/>
      <c r="V248" s="70"/>
      <c r="W248" s="67"/>
      <c r="X248" s="68"/>
      <c r="Y248" s="76"/>
      <c r="Z248" s="70"/>
      <c r="AA248" s="67"/>
      <c r="AB248" s="68"/>
      <c r="AC248" s="76"/>
      <c r="AD248" s="70"/>
      <c r="AE248" s="228">
        <f>ROUND((_15_同援日１．５*_15・２人),0)+ROUND((ROUND((_15_同援日１．５＿１．０*_15・２人),0)*(1+_15・B夜間)),0)</f>
        <v>580</v>
      </c>
      <c r="AF248" s="69"/>
    </row>
    <row r="249" spans="1:32" ht="16.5" customHeight="1" x14ac:dyDescent="0.3">
      <c r="A249" s="2">
        <v>15</v>
      </c>
      <c r="B249" s="2">
        <v>9801</v>
      </c>
      <c r="C249" s="60" t="s">
        <v>10116</v>
      </c>
      <c r="D249" s="1"/>
      <c r="E249" s="68"/>
      <c r="F249" s="70"/>
      <c r="G249" s="1" t="s">
        <v>8572</v>
      </c>
      <c r="H249" s="68"/>
      <c r="I249" s="70"/>
      <c r="J249" s="74" t="s">
        <v>18069</v>
      </c>
      <c r="K249" s="62"/>
      <c r="L249" s="62"/>
      <c r="M249" s="62"/>
      <c r="N249" s="62"/>
      <c r="O249" s="92"/>
      <c r="P249" s="85"/>
      <c r="Q249" s="64"/>
      <c r="R249" s="65"/>
      <c r="S249" s="99"/>
      <c r="T249" s="68"/>
      <c r="U249" s="76"/>
      <c r="V249" s="70"/>
      <c r="W249" s="67"/>
      <c r="X249" s="68"/>
      <c r="Y249" s="76"/>
      <c r="Z249" s="70"/>
      <c r="AA249" s="67"/>
      <c r="AB249" s="68"/>
      <c r="AC249" s="76"/>
      <c r="AD249" s="70"/>
      <c r="AE249" s="228">
        <f>ROUND((_15_同援日１．５*_15・基礎２),0)+ROUND((ROUND((_15_同援日１．５＿１．０*_15・基礎２),0)*(1+_15・B夜間)),0)</f>
        <v>522</v>
      </c>
      <c r="AF249" s="69"/>
    </row>
    <row r="250" spans="1:32" ht="16.5" customHeight="1" x14ac:dyDescent="0.3">
      <c r="A250" s="2">
        <v>15</v>
      </c>
      <c r="B250" s="2">
        <v>9802</v>
      </c>
      <c r="C250" s="60" t="s">
        <v>10115</v>
      </c>
      <c r="D250" s="1"/>
      <c r="E250" s="68"/>
      <c r="F250" s="70"/>
      <c r="G250" s="1"/>
      <c r="H250" s="119">
        <v>127</v>
      </c>
      <c r="I250" s="70" t="s">
        <v>0</v>
      </c>
      <c r="J250" s="81"/>
      <c r="K250" s="57"/>
      <c r="L250" s="57"/>
      <c r="M250" s="57"/>
      <c r="N250" s="57" t="s">
        <v>1</v>
      </c>
      <c r="O250" s="89">
        <v>0.9</v>
      </c>
      <c r="P250" s="105" t="s">
        <v>5895</v>
      </c>
      <c r="Q250" s="64" t="s">
        <v>1</v>
      </c>
      <c r="R250" s="65">
        <v>1</v>
      </c>
      <c r="S250" s="99"/>
      <c r="T250" s="68"/>
      <c r="U250" s="76"/>
      <c r="V250" s="70"/>
      <c r="W250" s="66"/>
      <c r="X250" s="57"/>
      <c r="Y250" s="58"/>
      <c r="Z250" s="77"/>
      <c r="AA250" s="67"/>
      <c r="AB250" s="68"/>
      <c r="AC250" s="76"/>
      <c r="AD250" s="70"/>
      <c r="AE250" s="228">
        <f>ROUND((ROUND((_15_同援日１．５*_15・基礎２),0)*_15・２人),0)+ROUND((ROUND((ROUND((_15_同援日１．５＿１．０*_15・基礎２),0)*_15・２人),0)*(1+_15・B夜間)),0)</f>
        <v>522</v>
      </c>
      <c r="AF250" s="69"/>
    </row>
    <row r="251" spans="1:32" ht="16.5" customHeight="1" x14ac:dyDescent="0.3">
      <c r="A251" s="2">
        <v>15</v>
      </c>
      <c r="B251" s="2">
        <v>9803</v>
      </c>
      <c r="C251" s="60" t="s">
        <v>10114</v>
      </c>
      <c r="D251" s="1"/>
      <c r="E251" s="68"/>
      <c r="F251" s="70"/>
      <c r="G251" s="1"/>
      <c r="H251" s="68"/>
      <c r="I251" s="70"/>
      <c r="J251" s="74"/>
      <c r="K251" s="62"/>
      <c r="L251" s="62"/>
      <c r="M251" s="62"/>
      <c r="N251" s="62"/>
      <c r="O251" s="92"/>
      <c r="P251" s="85"/>
      <c r="Q251" s="64"/>
      <c r="R251" s="65"/>
      <c r="S251" s="99"/>
      <c r="T251" s="68"/>
      <c r="U251" s="76"/>
      <c r="V251" s="70"/>
      <c r="W251" s="78" t="s">
        <v>18059</v>
      </c>
      <c r="X251" s="62"/>
      <c r="Y251" s="63"/>
      <c r="Z251" s="75"/>
      <c r="AA251" s="67"/>
      <c r="AB251" s="68"/>
      <c r="AC251" s="76"/>
      <c r="AD251" s="70"/>
      <c r="AE251" s="228">
        <f>ROUND((_15_同援日１．５*(1+_15・盲ろう)),0)+ROUND((ROUND((_15_同援日１．５＿１．０*(1+_15・B夜間)),0)*(1+_15・盲ろう)),0)</f>
        <v>725</v>
      </c>
      <c r="AF251" s="69"/>
    </row>
    <row r="252" spans="1:32" ht="16.5" customHeight="1" x14ac:dyDescent="0.3">
      <c r="A252" s="2">
        <v>15</v>
      </c>
      <c r="B252" s="2">
        <v>9804</v>
      </c>
      <c r="C252" s="60" t="s">
        <v>10113</v>
      </c>
      <c r="D252" s="1"/>
      <c r="E252" s="68"/>
      <c r="F252" s="70"/>
      <c r="G252" s="1"/>
      <c r="H252" s="68"/>
      <c r="I252" s="70"/>
      <c r="J252" s="81"/>
      <c r="K252" s="57"/>
      <c r="L252" s="57"/>
      <c r="M252" s="57"/>
      <c r="N252" s="57"/>
      <c r="O252" s="89"/>
      <c r="P252" s="105" t="s">
        <v>5895</v>
      </c>
      <c r="Q252" s="64" t="s">
        <v>1</v>
      </c>
      <c r="R252" s="65">
        <v>1</v>
      </c>
      <c r="S252" s="99"/>
      <c r="T252" s="68"/>
      <c r="U252" s="76"/>
      <c r="V252" s="70"/>
      <c r="W252" s="94" t="s">
        <v>18058</v>
      </c>
      <c r="X252" s="68"/>
      <c r="Y252" s="76"/>
      <c r="Z252" s="70"/>
      <c r="AA252" s="67"/>
      <c r="AB252" s="68"/>
      <c r="AC252" s="76"/>
      <c r="AD252" s="70"/>
      <c r="AE252" s="228">
        <f>ROUND((ROUND((_15_同援日１．５*_15・２人),0)*(1+_15・盲ろう)),0)+ROUND((ROUND((ROUND((_15_同援日１．５＿１．０*_15・２人),0)*(1+_15・B夜間)),0)*(1+_15・盲ろう)),0)</f>
        <v>725</v>
      </c>
      <c r="AF252" s="69"/>
    </row>
    <row r="253" spans="1:32" ht="16.5" customHeight="1" x14ac:dyDescent="0.3">
      <c r="A253" s="2">
        <v>15</v>
      </c>
      <c r="B253" s="2">
        <v>9805</v>
      </c>
      <c r="C253" s="60" t="s">
        <v>10112</v>
      </c>
      <c r="D253" s="1"/>
      <c r="E253" s="68"/>
      <c r="F253" s="70"/>
      <c r="G253" s="1"/>
      <c r="H253" s="68"/>
      <c r="I253" s="70"/>
      <c r="J253" s="74" t="s">
        <v>18069</v>
      </c>
      <c r="K253" s="62"/>
      <c r="L253" s="62"/>
      <c r="M253" s="62"/>
      <c r="N253" s="62"/>
      <c r="O253" s="92"/>
      <c r="P253" s="85"/>
      <c r="Q253" s="64"/>
      <c r="R253" s="65"/>
      <c r="S253" s="99"/>
      <c r="T253" s="68"/>
      <c r="U253" s="76"/>
      <c r="V253" s="70"/>
      <c r="W253" s="67"/>
      <c r="X253" s="68" t="s">
        <v>1</v>
      </c>
      <c r="Y253" s="76">
        <v>0.25</v>
      </c>
      <c r="Z253" s="70" t="s">
        <v>422</v>
      </c>
      <c r="AA253" s="67"/>
      <c r="AB253" s="68"/>
      <c r="AC253" s="76"/>
      <c r="AD253" s="70"/>
      <c r="AE253" s="228">
        <f>ROUND((ROUND((_15_同援日１．５*_15・基礎２),0)*(1+_15・盲ろう)),0)+ROUND((ROUND((ROUND((_15_同援日１．５＿１．０*_15・基礎２),0)*(1+_15・B夜間)),0)*(1+_15・盲ろう)),0)</f>
        <v>653</v>
      </c>
      <c r="AF253" s="69"/>
    </row>
    <row r="254" spans="1:32" ht="16.5" customHeight="1" x14ac:dyDescent="0.3">
      <c r="A254" s="2">
        <v>15</v>
      </c>
      <c r="B254" s="2">
        <v>9806</v>
      </c>
      <c r="C254" s="60" t="s">
        <v>10111</v>
      </c>
      <c r="D254" s="1"/>
      <c r="E254" s="68"/>
      <c r="F254" s="70"/>
      <c r="G254" s="1"/>
      <c r="H254" s="68"/>
      <c r="I254" s="70"/>
      <c r="J254" s="81"/>
      <c r="K254" s="57"/>
      <c r="L254" s="57"/>
      <c r="M254" s="57"/>
      <c r="N254" s="57" t="s">
        <v>1</v>
      </c>
      <c r="O254" s="89">
        <v>0.9</v>
      </c>
      <c r="P254" s="105" t="s">
        <v>5895</v>
      </c>
      <c r="Q254" s="64" t="s">
        <v>1</v>
      </c>
      <c r="R254" s="65">
        <v>1</v>
      </c>
      <c r="S254" s="99"/>
      <c r="T254" s="68"/>
      <c r="U254" s="76"/>
      <c r="V254" s="70"/>
      <c r="W254" s="66"/>
      <c r="X254" s="57"/>
      <c r="Y254" s="58"/>
      <c r="Z254" s="77"/>
      <c r="AA254" s="66"/>
      <c r="AB254" s="57"/>
      <c r="AC254" s="58"/>
      <c r="AD254" s="77"/>
      <c r="AE254" s="228">
        <f>ROUND((ROUND((ROUND((_15_同援日１．５*_15・基礎２),0)*_15・２人),0)*(1+_15・盲ろう)),0)+ROUND((ROUND((ROUND((ROUND((_15_同援日１．５＿１．０*_15・基礎２),0)*_15・２人),0)*(1+_15・B夜間)),0)*(1+_15・盲ろう)),0)</f>
        <v>653</v>
      </c>
      <c r="AF254" s="69"/>
    </row>
    <row r="255" spans="1:32" ht="16.5" customHeight="1" x14ac:dyDescent="0.3">
      <c r="A255" s="2">
        <v>15</v>
      </c>
      <c r="B255" s="2">
        <v>9807</v>
      </c>
      <c r="C255" s="60" t="s">
        <v>10110</v>
      </c>
      <c r="D255" s="1"/>
      <c r="E255" s="68"/>
      <c r="F255" s="70"/>
      <c r="G255" s="1"/>
      <c r="H255" s="68"/>
      <c r="I255" s="70"/>
      <c r="J255" s="74"/>
      <c r="K255" s="62"/>
      <c r="L255" s="62"/>
      <c r="M255" s="62"/>
      <c r="N255" s="62"/>
      <c r="O255" s="92"/>
      <c r="P255" s="85"/>
      <c r="Q255" s="64"/>
      <c r="R255" s="65"/>
      <c r="S255" s="99"/>
      <c r="T255" s="68"/>
      <c r="U255" s="76"/>
      <c r="V255" s="70"/>
      <c r="W255" s="61"/>
      <c r="X255" s="62"/>
      <c r="Y255" s="63"/>
      <c r="Z255" s="75"/>
      <c r="AA255" s="61"/>
      <c r="AB255" s="62"/>
      <c r="AC255" s="63"/>
      <c r="AD255" s="75"/>
      <c r="AE255" s="228">
        <f>ROUND((_15_同援日１．５*(1+_15・区３)),0)+ROUND((ROUND((_15_同援日１．５＿１．０*(1+_15・B夜間)),0)*(1+_15・区３)),0)</f>
        <v>696</v>
      </c>
      <c r="AF255" s="69"/>
    </row>
    <row r="256" spans="1:32" ht="16.5" customHeight="1" x14ac:dyDescent="0.3">
      <c r="A256" s="2">
        <v>15</v>
      </c>
      <c r="B256" s="2">
        <v>9808</v>
      </c>
      <c r="C256" s="60" t="s">
        <v>10109</v>
      </c>
      <c r="D256" s="1"/>
      <c r="E256" s="68"/>
      <c r="F256" s="70"/>
      <c r="G256" s="1"/>
      <c r="H256" s="68"/>
      <c r="I256" s="70"/>
      <c r="J256" s="81"/>
      <c r="K256" s="57"/>
      <c r="L256" s="57"/>
      <c r="M256" s="57"/>
      <c r="N256" s="57"/>
      <c r="O256" s="89"/>
      <c r="P256" s="105" t="s">
        <v>5895</v>
      </c>
      <c r="Q256" s="64" t="s">
        <v>1</v>
      </c>
      <c r="R256" s="65">
        <v>1</v>
      </c>
      <c r="S256" s="99"/>
      <c r="T256" s="68"/>
      <c r="U256" s="76"/>
      <c r="V256" s="70"/>
      <c r="W256" s="67"/>
      <c r="X256" s="68"/>
      <c r="Y256" s="76"/>
      <c r="Z256" s="70"/>
      <c r="AA256" s="67"/>
      <c r="AB256" s="68"/>
      <c r="AC256" s="76"/>
      <c r="AD256" s="70"/>
      <c r="AE256" s="228">
        <f>ROUND((ROUND((_15_同援日１．５*_15・２人),0)*(1+_15・区３)),0)+ROUND((ROUND((ROUND((_15_同援日１．５＿１．０*_15・２人),0)*(1+_15・B夜間)),0)*(1+_15・区３)),0)</f>
        <v>696</v>
      </c>
      <c r="AF256" s="69"/>
    </row>
    <row r="257" spans="1:32" ht="16.5" customHeight="1" x14ac:dyDescent="0.3">
      <c r="A257" s="2">
        <v>15</v>
      </c>
      <c r="B257" s="2">
        <v>9809</v>
      </c>
      <c r="C257" s="60" t="s">
        <v>10108</v>
      </c>
      <c r="D257" s="1"/>
      <c r="E257" s="68"/>
      <c r="F257" s="70"/>
      <c r="G257" s="1"/>
      <c r="H257" s="68"/>
      <c r="I257" s="70"/>
      <c r="J257" s="74" t="s">
        <v>18069</v>
      </c>
      <c r="K257" s="62"/>
      <c r="L257" s="62"/>
      <c r="M257" s="62"/>
      <c r="N257" s="62"/>
      <c r="O257" s="92"/>
      <c r="P257" s="85"/>
      <c r="Q257" s="64"/>
      <c r="R257" s="65"/>
      <c r="S257" s="99"/>
      <c r="T257" s="68"/>
      <c r="U257" s="76"/>
      <c r="V257" s="70"/>
      <c r="W257" s="67"/>
      <c r="X257" s="68"/>
      <c r="Y257" s="76"/>
      <c r="Z257" s="70"/>
      <c r="AA257" s="1" t="s">
        <v>18062</v>
      </c>
      <c r="AB257" s="68"/>
      <c r="AC257" s="76"/>
      <c r="AD257" s="70"/>
      <c r="AE257" s="228">
        <f>ROUND((ROUND((_15_同援日１．５*_15・基礎２),0)*(1+_15・区３)),0)+ROUND((ROUND((ROUND((_15_同援日１．５＿１．０*_15・基礎２),0)*(1+_15・B夜間)),0)*(1+_15・区３)),0)</f>
        <v>627</v>
      </c>
      <c r="AF257" s="69"/>
    </row>
    <row r="258" spans="1:32" ht="16.5" customHeight="1" x14ac:dyDescent="0.3">
      <c r="A258" s="2">
        <v>15</v>
      </c>
      <c r="B258" s="2">
        <v>9810</v>
      </c>
      <c r="C258" s="60" t="s">
        <v>10107</v>
      </c>
      <c r="D258" s="1"/>
      <c r="E258" s="68"/>
      <c r="F258" s="70"/>
      <c r="G258" s="1"/>
      <c r="H258" s="68"/>
      <c r="I258" s="70"/>
      <c r="J258" s="81"/>
      <c r="K258" s="57"/>
      <c r="L258" s="57"/>
      <c r="M258" s="57"/>
      <c r="N258" s="57" t="s">
        <v>1</v>
      </c>
      <c r="O258" s="89">
        <v>0.9</v>
      </c>
      <c r="P258" s="105" t="s">
        <v>5895</v>
      </c>
      <c r="Q258" s="64" t="s">
        <v>1</v>
      </c>
      <c r="R258" s="65">
        <v>1</v>
      </c>
      <c r="S258" s="99"/>
      <c r="T258" s="68"/>
      <c r="U258" s="76"/>
      <c r="V258" s="70"/>
      <c r="W258" s="66"/>
      <c r="X258" s="57"/>
      <c r="Y258" s="58"/>
      <c r="Z258" s="77"/>
      <c r="AA258" s="1" t="s">
        <v>18060</v>
      </c>
      <c r="AB258" s="68"/>
      <c r="AC258" s="76"/>
      <c r="AD258" s="70"/>
      <c r="AE258" s="228">
        <f>ROUND((ROUND((ROUND((_15_同援日１．５*_15・基礎２),0)*_15・２人),0)*(1+_15・区３)),0)+ROUND((ROUND((ROUND((ROUND((_15_同援日１．５＿１．０*_15・基礎２),0)*_15・２人),0)*(1+_15・B夜間)),0)*(1+_15・区３)),0)</f>
        <v>627</v>
      </c>
      <c r="AF258" s="69"/>
    </row>
    <row r="259" spans="1:32" ht="16.5" customHeight="1" x14ac:dyDescent="0.3">
      <c r="A259" s="2">
        <v>15</v>
      </c>
      <c r="B259" s="2">
        <v>9811</v>
      </c>
      <c r="C259" s="60" t="s">
        <v>10106</v>
      </c>
      <c r="D259" s="1"/>
      <c r="E259" s="68"/>
      <c r="F259" s="70"/>
      <c r="G259" s="1"/>
      <c r="H259" s="68"/>
      <c r="I259" s="70"/>
      <c r="J259" s="74"/>
      <c r="K259" s="62"/>
      <c r="L259" s="62"/>
      <c r="M259" s="62"/>
      <c r="N259" s="62"/>
      <c r="O259" s="92"/>
      <c r="P259" s="85"/>
      <c r="Q259" s="64"/>
      <c r="R259" s="65"/>
      <c r="S259" s="99"/>
      <c r="T259" s="68"/>
      <c r="U259" s="76"/>
      <c r="V259" s="70"/>
      <c r="W259" s="78" t="s">
        <v>8085</v>
      </c>
      <c r="X259" s="62"/>
      <c r="Y259" s="63"/>
      <c r="Z259" s="75"/>
      <c r="AA259" s="67"/>
      <c r="AB259" s="68" t="s">
        <v>1</v>
      </c>
      <c r="AC259" s="76">
        <v>0.2</v>
      </c>
      <c r="AD259" s="70" t="s">
        <v>422</v>
      </c>
      <c r="AE259" s="228">
        <f>ROUND((ROUND((_15_同援日１．５*(1+_15・盲ろう)),0)*(1+_15・区３)),0)+ROUND((ROUND((ROUND((_15_同援日１．５＿１．０*(1+_15・B夜間)),0)*(1+_15・盲ろう)),0)*(1+_15・区３)),0)</f>
        <v>870</v>
      </c>
      <c r="AF259" s="69"/>
    </row>
    <row r="260" spans="1:32" ht="16.5" customHeight="1" x14ac:dyDescent="0.3">
      <c r="A260" s="2">
        <v>15</v>
      </c>
      <c r="B260" s="2">
        <v>9812</v>
      </c>
      <c r="C260" s="60" t="s">
        <v>10105</v>
      </c>
      <c r="D260" s="1"/>
      <c r="E260" s="68"/>
      <c r="F260" s="70"/>
      <c r="G260" s="1"/>
      <c r="H260" s="68"/>
      <c r="I260" s="70"/>
      <c r="J260" s="81"/>
      <c r="K260" s="57"/>
      <c r="L260" s="57"/>
      <c r="M260" s="57"/>
      <c r="N260" s="57"/>
      <c r="O260" s="89"/>
      <c r="P260" s="105" t="s">
        <v>5895</v>
      </c>
      <c r="Q260" s="64" t="s">
        <v>1</v>
      </c>
      <c r="R260" s="65">
        <v>1</v>
      </c>
      <c r="S260" s="99"/>
      <c r="T260" s="68"/>
      <c r="U260" s="76"/>
      <c r="V260" s="70"/>
      <c r="W260" s="94" t="s">
        <v>18058</v>
      </c>
      <c r="X260" s="68"/>
      <c r="Y260" s="76"/>
      <c r="Z260" s="70"/>
      <c r="AA260" s="67"/>
      <c r="AB260" s="68"/>
      <c r="AC260" s="76"/>
      <c r="AD260" s="70"/>
      <c r="AE260" s="228">
        <f>ROUND((ROUND((ROUND((_15_同援日１．５*_15・２人),0)*(1+_15・盲ろう)),0)*(1+_15・区３)),0)+ROUND((ROUND((ROUND((ROUND((_15_同援日１．５＿１．０*_15・２人),0)*(1+_15・B夜間)),0)*(1+_15・盲ろう)),0)*(1+_15・区３)),0)</f>
        <v>870</v>
      </c>
      <c r="AF260" s="69"/>
    </row>
    <row r="261" spans="1:32" ht="16.5" customHeight="1" x14ac:dyDescent="0.3">
      <c r="A261" s="2">
        <v>15</v>
      </c>
      <c r="B261" s="2">
        <v>9813</v>
      </c>
      <c r="C261" s="60" t="s">
        <v>10104</v>
      </c>
      <c r="D261" s="1"/>
      <c r="E261" s="68"/>
      <c r="F261" s="70"/>
      <c r="G261" s="1"/>
      <c r="H261" s="68"/>
      <c r="I261" s="70"/>
      <c r="J261" s="74" t="s">
        <v>18069</v>
      </c>
      <c r="K261" s="62"/>
      <c r="L261" s="62"/>
      <c r="M261" s="62"/>
      <c r="N261" s="62"/>
      <c r="O261" s="92"/>
      <c r="P261" s="85"/>
      <c r="Q261" s="64"/>
      <c r="R261" s="65"/>
      <c r="S261" s="99"/>
      <c r="T261" s="68"/>
      <c r="U261" s="76"/>
      <c r="V261" s="70"/>
      <c r="W261" s="67"/>
      <c r="X261" s="68" t="s">
        <v>1</v>
      </c>
      <c r="Y261" s="76">
        <v>0.25</v>
      </c>
      <c r="Z261" s="70" t="s">
        <v>422</v>
      </c>
      <c r="AA261" s="67"/>
      <c r="AB261" s="68"/>
      <c r="AC261" s="76"/>
      <c r="AD261" s="70"/>
      <c r="AE261" s="228">
        <f>ROUND((ROUND((ROUND((_15_同援日１．５*_15・基礎２),0)*(1+_15・盲ろう)),0)*(1+_15・区３)),0)+ROUND((ROUND((ROUND((ROUND((_15_同援日１．５＿１．０*_15・基礎２),0)*(1+_15・B夜間)),0)*(1+_15・盲ろう)),0)*(1+_15・区３)),0)</f>
        <v>784</v>
      </c>
      <c r="AF261" s="69"/>
    </row>
    <row r="262" spans="1:32" ht="16.5" customHeight="1" x14ac:dyDescent="0.3">
      <c r="A262" s="2">
        <v>15</v>
      </c>
      <c r="B262" s="2">
        <v>9814</v>
      </c>
      <c r="C262" s="60" t="s">
        <v>10103</v>
      </c>
      <c r="D262" s="1"/>
      <c r="E262" s="68"/>
      <c r="F262" s="70"/>
      <c r="G262" s="1"/>
      <c r="H262" s="68"/>
      <c r="I262" s="70"/>
      <c r="J262" s="81"/>
      <c r="K262" s="57"/>
      <c r="L262" s="57"/>
      <c r="M262" s="57"/>
      <c r="N262" s="57" t="s">
        <v>1</v>
      </c>
      <c r="O262" s="89">
        <v>0.9</v>
      </c>
      <c r="P262" s="105" t="s">
        <v>5895</v>
      </c>
      <c r="Q262" s="64" t="s">
        <v>1</v>
      </c>
      <c r="R262" s="65">
        <v>1</v>
      </c>
      <c r="S262" s="99"/>
      <c r="T262" s="68"/>
      <c r="U262" s="76"/>
      <c r="V262" s="70"/>
      <c r="W262" s="66"/>
      <c r="X262" s="57"/>
      <c r="Y262" s="58"/>
      <c r="Z262" s="77"/>
      <c r="AA262" s="66"/>
      <c r="AB262" s="57"/>
      <c r="AC262" s="58"/>
      <c r="AD262" s="77"/>
      <c r="AE262" s="228">
        <f>ROUND((ROUND((ROUND((ROUND((_15_同援日１．５*_15・基礎２),0)*_15・２人),0)*(1+_15・盲ろう)),0)*(1+_15・区３)),0)+ROUND((ROUND((ROUND((ROUND((ROUND((_15_同援日１．５＿１．０*_15・基礎２),0)*_15・２人),0)*(1+_15・B夜間)),0)*(1+_15・盲ろう)),0)*(1+_15・区３)),0)</f>
        <v>784</v>
      </c>
      <c r="AF262" s="69"/>
    </row>
    <row r="263" spans="1:32" ht="16.5" customHeight="1" x14ac:dyDescent="0.3">
      <c r="A263" s="2">
        <v>15</v>
      </c>
      <c r="B263" s="2">
        <v>9815</v>
      </c>
      <c r="C263" s="60" t="s">
        <v>10102</v>
      </c>
      <c r="D263" s="1"/>
      <c r="E263" s="68"/>
      <c r="F263" s="70"/>
      <c r="G263" s="1"/>
      <c r="H263" s="68"/>
      <c r="I263" s="70"/>
      <c r="J263" s="74"/>
      <c r="K263" s="62"/>
      <c r="L263" s="62"/>
      <c r="M263" s="62"/>
      <c r="N263" s="62"/>
      <c r="O263" s="92"/>
      <c r="P263" s="85"/>
      <c r="Q263" s="64"/>
      <c r="R263" s="65"/>
      <c r="S263" s="99"/>
      <c r="T263" s="68"/>
      <c r="U263" s="76"/>
      <c r="V263" s="70"/>
      <c r="W263" s="61"/>
      <c r="X263" s="62"/>
      <c r="Y263" s="63"/>
      <c r="Z263" s="75"/>
      <c r="AA263" s="61"/>
      <c r="AB263" s="62"/>
      <c r="AC263" s="63"/>
      <c r="AD263" s="75"/>
      <c r="AE263" s="228">
        <f>ROUND((_15_同援日１．５*(1+_15・区４)),0)+ROUND((ROUND((_15_同援日１．５＿１．０*(1+_15・B夜間)),0)*(1+_15・区４)),0)</f>
        <v>812</v>
      </c>
      <c r="AF263" s="69"/>
    </row>
    <row r="264" spans="1:32" ht="16.5" customHeight="1" x14ac:dyDescent="0.3">
      <c r="A264" s="2">
        <v>15</v>
      </c>
      <c r="B264" s="2">
        <v>9816</v>
      </c>
      <c r="C264" s="60" t="s">
        <v>10101</v>
      </c>
      <c r="D264" s="1"/>
      <c r="E264" s="68"/>
      <c r="F264" s="70"/>
      <c r="G264" s="1"/>
      <c r="H264" s="68"/>
      <c r="I264" s="70"/>
      <c r="J264" s="81"/>
      <c r="K264" s="57"/>
      <c r="L264" s="57"/>
      <c r="M264" s="57"/>
      <c r="N264" s="57"/>
      <c r="O264" s="89"/>
      <c r="P264" s="105" t="s">
        <v>5895</v>
      </c>
      <c r="Q264" s="64" t="s">
        <v>1</v>
      </c>
      <c r="R264" s="65">
        <v>1</v>
      </c>
      <c r="S264" s="99"/>
      <c r="T264" s="68"/>
      <c r="U264" s="76"/>
      <c r="V264" s="70"/>
      <c r="W264" s="67"/>
      <c r="X264" s="68"/>
      <c r="Y264" s="76"/>
      <c r="Z264" s="70"/>
      <c r="AA264" s="67"/>
      <c r="AB264" s="68"/>
      <c r="AC264" s="76"/>
      <c r="AD264" s="70"/>
      <c r="AE264" s="228">
        <f>ROUND((ROUND((_15_同援日１．５*_15・２人),0)*(1+_15・区４)),0)+ROUND((ROUND((ROUND((_15_同援日１．５＿１．０*_15・２人),0)*(1+_15・B夜間)),0)*(1+_15・区４)),0)</f>
        <v>812</v>
      </c>
      <c r="AF264" s="69"/>
    </row>
    <row r="265" spans="1:32" ht="16.5" customHeight="1" x14ac:dyDescent="0.3">
      <c r="A265" s="2">
        <v>15</v>
      </c>
      <c r="B265" s="2">
        <v>9817</v>
      </c>
      <c r="C265" s="60" t="s">
        <v>10100</v>
      </c>
      <c r="D265" s="1"/>
      <c r="E265" s="68"/>
      <c r="F265" s="70"/>
      <c r="G265" s="1"/>
      <c r="H265" s="68"/>
      <c r="I265" s="70"/>
      <c r="J265" s="74" t="s">
        <v>18069</v>
      </c>
      <c r="K265" s="62"/>
      <c r="L265" s="62"/>
      <c r="M265" s="62"/>
      <c r="N265" s="62"/>
      <c r="O265" s="92"/>
      <c r="P265" s="85"/>
      <c r="Q265" s="64"/>
      <c r="R265" s="65"/>
      <c r="S265" s="99"/>
      <c r="T265" s="68"/>
      <c r="U265" s="76"/>
      <c r="V265" s="70"/>
      <c r="W265" s="67"/>
      <c r="X265" s="68"/>
      <c r="Y265" s="76"/>
      <c r="Z265" s="70"/>
      <c r="AA265" s="1" t="s">
        <v>18061</v>
      </c>
      <c r="AB265" s="68"/>
      <c r="AC265" s="76"/>
      <c r="AD265" s="70"/>
      <c r="AE265" s="228">
        <f>ROUND((ROUND((_15_同援日１．５*_15・基礎２),0)*(1+_15・区４)),0)+ROUND((ROUND((ROUND((_15_同援日１．５＿１．０*_15・基礎２),0)*(1+_15・B夜間)),0)*(1+_15・区４)),0)</f>
        <v>731</v>
      </c>
      <c r="AF265" s="69"/>
    </row>
    <row r="266" spans="1:32" ht="16.5" customHeight="1" x14ac:dyDescent="0.3">
      <c r="A266" s="2">
        <v>15</v>
      </c>
      <c r="B266" s="2">
        <v>9818</v>
      </c>
      <c r="C266" s="60" t="s">
        <v>10099</v>
      </c>
      <c r="D266" s="1"/>
      <c r="E266" s="68"/>
      <c r="F266" s="70"/>
      <c r="G266" s="1"/>
      <c r="H266" s="68"/>
      <c r="I266" s="70"/>
      <c r="J266" s="81"/>
      <c r="K266" s="57"/>
      <c r="L266" s="57"/>
      <c r="M266" s="57"/>
      <c r="N266" s="57" t="s">
        <v>1</v>
      </c>
      <c r="O266" s="89">
        <v>0.9</v>
      </c>
      <c r="P266" s="105" t="s">
        <v>5895</v>
      </c>
      <c r="Q266" s="64" t="s">
        <v>1</v>
      </c>
      <c r="R266" s="65">
        <v>1</v>
      </c>
      <c r="S266" s="99"/>
      <c r="T266" s="68"/>
      <c r="U266" s="76"/>
      <c r="V266" s="70"/>
      <c r="W266" s="66"/>
      <c r="X266" s="57"/>
      <c r="Y266" s="58"/>
      <c r="Z266" s="77"/>
      <c r="AA266" s="1" t="s">
        <v>18060</v>
      </c>
      <c r="AB266" s="68"/>
      <c r="AC266" s="76"/>
      <c r="AD266" s="70"/>
      <c r="AE266" s="228">
        <f>ROUND((ROUND((ROUND((_15_同援日１．５*_15・基礎２),0)*_15・２人),0)*(1+_15・区４)),0)+ROUND((ROUND((ROUND((ROUND((_15_同援日１．５＿１．０*_15・基礎２),0)*_15・２人),0)*(1+_15・B夜間)),0)*(1+_15・区４)),0)</f>
        <v>731</v>
      </c>
      <c r="AF266" s="69"/>
    </row>
    <row r="267" spans="1:32" ht="16.5" customHeight="1" x14ac:dyDescent="0.3">
      <c r="A267" s="2">
        <v>15</v>
      </c>
      <c r="B267" s="2">
        <v>9819</v>
      </c>
      <c r="C267" s="60" t="s">
        <v>10098</v>
      </c>
      <c r="D267" s="1"/>
      <c r="E267" s="68"/>
      <c r="F267" s="70"/>
      <c r="G267" s="1"/>
      <c r="H267" s="68"/>
      <c r="I267" s="70"/>
      <c r="J267" s="74"/>
      <c r="K267" s="62"/>
      <c r="L267" s="62"/>
      <c r="M267" s="62"/>
      <c r="N267" s="62"/>
      <c r="O267" s="92"/>
      <c r="P267" s="85"/>
      <c r="Q267" s="64"/>
      <c r="R267" s="65"/>
      <c r="S267" s="99"/>
      <c r="T267" s="68"/>
      <c r="U267" s="76"/>
      <c r="V267" s="70"/>
      <c r="W267" s="78" t="s">
        <v>18059</v>
      </c>
      <c r="X267" s="62"/>
      <c r="Y267" s="63"/>
      <c r="Z267" s="75"/>
      <c r="AA267" s="67"/>
      <c r="AB267" s="68" t="s">
        <v>1</v>
      </c>
      <c r="AC267" s="76">
        <v>0.4</v>
      </c>
      <c r="AD267" s="70" t="s">
        <v>422</v>
      </c>
      <c r="AE267" s="228">
        <f>ROUND((ROUND((_15_同援日１．５*(1+_15・盲ろう)),0)*(1+_15・区４)),0)+ROUND((ROUND((ROUND((_15_同援日１．５＿１．０*(1+_15・B夜間)),0)*(1+_15・盲ろう)),0)*(1+_15・区４)),0)</f>
        <v>1015</v>
      </c>
      <c r="AF267" s="69"/>
    </row>
    <row r="268" spans="1:32" ht="16.5" customHeight="1" x14ac:dyDescent="0.3">
      <c r="A268" s="2">
        <v>15</v>
      </c>
      <c r="B268" s="2">
        <v>9820</v>
      </c>
      <c r="C268" s="60" t="s">
        <v>10097</v>
      </c>
      <c r="D268" s="1"/>
      <c r="E268" s="68"/>
      <c r="F268" s="70"/>
      <c r="G268" s="1"/>
      <c r="H268" s="68"/>
      <c r="I268" s="70"/>
      <c r="J268" s="81"/>
      <c r="K268" s="57"/>
      <c r="L268" s="57"/>
      <c r="M268" s="57"/>
      <c r="N268" s="57"/>
      <c r="O268" s="89"/>
      <c r="P268" s="105" t="s">
        <v>5895</v>
      </c>
      <c r="Q268" s="64" t="s">
        <v>1</v>
      </c>
      <c r="R268" s="65">
        <v>1</v>
      </c>
      <c r="S268" s="99"/>
      <c r="T268" s="68"/>
      <c r="U268" s="76"/>
      <c r="V268" s="70"/>
      <c r="W268" s="94" t="s">
        <v>18058</v>
      </c>
      <c r="X268" s="68"/>
      <c r="Y268" s="76"/>
      <c r="Z268" s="70"/>
      <c r="AA268" s="67"/>
      <c r="AB268" s="68"/>
      <c r="AC268" s="76"/>
      <c r="AD268" s="70"/>
      <c r="AE268" s="228">
        <f>ROUND((ROUND((ROUND((_15_同援日１．５*_15・２人),0)*(1+_15・盲ろう)),0)*(1+_15・区４)),0)+ROUND((ROUND((ROUND((ROUND((_15_同援日１．５＿１．０*_15・２人),0)*(1+_15・B夜間)),0)*(1+_15・盲ろう)),0)*(1+_15・区４)),0)</f>
        <v>1015</v>
      </c>
      <c r="AF268" s="69"/>
    </row>
    <row r="269" spans="1:32" ht="16.5" customHeight="1" x14ac:dyDescent="0.3">
      <c r="A269" s="2">
        <v>15</v>
      </c>
      <c r="B269" s="2">
        <v>9821</v>
      </c>
      <c r="C269" s="60" t="s">
        <v>10096</v>
      </c>
      <c r="D269" s="1"/>
      <c r="E269" s="68"/>
      <c r="F269" s="70"/>
      <c r="G269" s="1"/>
      <c r="H269" s="68"/>
      <c r="I269" s="70"/>
      <c r="J269" s="74" t="s">
        <v>18069</v>
      </c>
      <c r="K269" s="62"/>
      <c r="L269" s="62"/>
      <c r="M269" s="62"/>
      <c r="N269" s="62"/>
      <c r="O269" s="92"/>
      <c r="P269" s="85"/>
      <c r="Q269" s="64"/>
      <c r="R269" s="65"/>
      <c r="S269" s="99"/>
      <c r="T269" s="68"/>
      <c r="U269" s="76"/>
      <c r="V269" s="70"/>
      <c r="W269" s="67"/>
      <c r="X269" s="68" t="s">
        <v>1</v>
      </c>
      <c r="Y269" s="76">
        <v>0.25</v>
      </c>
      <c r="Z269" s="70" t="s">
        <v>422</v>
      </c>
      <c r="AA269" s="67"/>
      <c r="AB269" s="68"/>
      <c r="AC269" s="76"/>
      <c r="AD269" s="70"/>
      <c r="AE269" s="228">
        <f>ROUND((ROUND((ROUND((_15_同援日１．５*_15・基礎２),0)*(1+_15・盲ろう)),0)*(1+_15・区４)),0)+ROUND((ROUND((ROUND((ROUND((_15_同援日１．５＿１．０*_15・基礎２),0)*(1+_15・B夜間)),0)*(1+_15・盲ろう)),0)*(1+_15・区４)),0)</f>
        <v>915</v>
      </c>
      <c r="AF269" s="69"/>
    </row>
    <row r="270" spans="1:32" ht="16.5" customHeight="1" x14ac:dyDescent="0.3">
      <c r="A270" s="2">
        <v>15</v>
      </c>
      <c r="B270" s="2">
        <v>9822</v>
      </c>
      <c r="C270" s="60" t="s">
        <v>10095</v>
      </c>
      <c r="D270" s="1"/>
      <c r="E270" s="68"/>
      <c r="F270" s="70"/>
      <c r="G270" s="81"/>
      <c r="H270" s="57"/>
      <c r="I270" s="77"/>
      <c r="J270" s="81"/>
      <c r="K270" s="57"/>
      <c r="L270" s="57"/>
      <c r="M270" s="57"/>
      <c r="N270" s="57" t="s">
        <v>1</v>
      </c>
      <c r="O270" s="89">
        <v>0.9</v>
      </c>
      <c r="P270" s="105" t="s">
        <v>5895</v>
      </c>
      <c r="Q270" s="64" t="s">
        <v>1</v>
      </c>
      <c r="R270" s="65">
        <v>1</v>
      </c>
      <c r="S270" s="99"/>
      <c r="T270" s="68"/>
      <c r="U270" s="76"/>
      <c r="V270" s="70"/>
      <c r="W270" s="66"/>
      <c r="X270" s="57"/>
      <c r="Y270" s="58"/>
      <c r="Z270" s="77"/>
      <c r="AA270" s="66"/>
      <c r="AB270" s="57"/>
      <c r="AC270" s="58"/>
      <c r="AD270" s="77"/>
      <c r="AE270" s="228">
        <f>ROUND((ROUND((ROUND((ROUND((_15_同援日１．５*_15・基礎２),0)*_15・２人),0)*(1+_15・盲ろう)),0)*(1+_15・区４)),0)+ROUND((ROUND((ROUND((ROUND((ROUND((_15_同援日１．５＿１．０*_15・基礎２),0)*_15・２人),0)*(1+_15・B夜間)),0)*(1+_15・盲ろう)),0)*(1+_15・区４)),0)</f>
        <v>915</v>
      </c>
      <c r="AF270" s="69"/>
    </row>
    <row r="271" spans="1:32" ht="16.5" customHeight="1" x14ac:dyDescent="0.3">
      <c r="A271" s="2">
        <v>15</v>
      </c>
      <c r="B271" s="2">
        <v>9823</v>
      </c>
      <c r="C271" s="60" t="s">
        <v>10094</v>
      </c>
      <c r="D271" s="1"/>
      <c r="E271" s="68"/>
      <c r="F271" s="70"/>
      <c r="G271" s="233" t="s">
        <v>18077</v>
      </c>
      <c r="H271" s="62"/>
      <c r="I271" s="75"/>
      <c r="J271" s="74"/>
      <c r="K271" s="62"/>
      <c r="L271" s="62"/>
      <c r="M271" s="62"/>
      <c r="N271" s="62"/>
      <c r="O271" s="92"/>
      <c r="P271" s="85"/>
      <c r="Q271" s="64"/>
      <c r="R271" s="65"/>
      <c r="S271" s="99"/>
      <c r="T271" s="68"/>
      <c r="U271" s="76"/>
      <c r="V271" s="70"/>
      <c r="W271" s="61"/>
      <c r="X271" s="62"/>
      <c r="Y271" s="63"/>
      <c r="Z271" s="75"/>
      <c r="AA271" s="61"/>
      <c r="AB271" s="62"/>
      <c r="AC271" s="63"/>
      <c r="AD271" s="75"/>
      <c r="AE271" s="228">
        <f>_15_同援日１．５+ROUND((_15_同援日１．５＿１．５*(1+_15・B夜間)),0)</f>
        <v>659</v>
      </c>
      <c r="AF271" s="69"/>
    </row>
    <row r="272" spans="1:32" ht="16.5" customHeight="1" x14ac:dyDescent="0.3">
      <c r="A272" s="2">
        <v>15</v>
      </c>
      <c r="B272" s="2">
        <v>9824</v>
      </c>
      <c r="C272" s="60" t="s">
        <v>10093</v>
      </c>
      <c r="D272" s="1"/>
      <c r="E272" s="68"/>
      <c r="F272" s="70"/>
      <c r="G272" s="1" t="s">
        <v>18076</v>
      </c>
      <c r="H272" s="68"/>
      <c r="I272" s="70"/>
      <c r="J272" s="81"/>
      <c r="K272" s="57"/>
      <c r="L272" s="57"/>
      <c r="M272" s="57"/>
      <c r="N272" s="57"/>
      <c r="O272" s="89"/>
      <c r="P272" s="105" t="s">
        <v>5895</v>
      </c>
      <c r="Q272" s="64" t="s">
        <v>1</v>
      </c>
      <c r="R272" s="65">
        <v>1</v>
      </c>
      <c r="S272" s="99"/>
      <c r="T272" s="68"/>
      <c r="U272" s="76"/>
      <c r="V272" s="70"/>
      <c r="W272" s="67"/>
      <c r="X272" s="68"/>
      <c r="Y272" s="76"/>
      <c r="Z272" s="70"/>
      <c r="AA272" s="67"/>
      <c r="AB272" s="68"/>
      <c r="AC272" s="76"/>
      <c r="AD272" s="70"/>
      <c r="AE272" s="228">
        <f>ROUND((_15_同援日１．５*_15・２人),0)+ROUND((ROUND((_15_同援日１．５＿１．５*_15・２人),0)*(1+_15・B夜間)),0)</f>
        <v>659</v>
      </c>
      <c r="AF272" s="69"/>
    </row>
    <row r="273" spans="1:32" ht="16.5" customHeight="1" x14ac:dyDescent="0.3">
      <c r="A273" s="2">
        <v>15</v>
      </c>
      <c r="B273" s="2">
        <v>9825</v>
      </c>
      <c r="C273" s="60" t="s">
        <v>10092</v>
      </c>
      <c r="D273" s="1"/>
      <c r="E273" s="68"/>
      <c r="F273" s="70"/>
      <c r="G273" s="1" t="s">
        <v>18075</v>
      </c>
      <c r="H273" s="68"/>
      <c r="I273" s="70"/>
      <c r="J273" s="74" t="s">
        <v>18069</v>
      </c>
      <c r="K273" s="62"/>
      <c r="L273" s="62"/>
      <c r="M273" s="62"/>
      <c r="N273" s="62"/>
      <c r="O273" s="92"/>
      <c r="P273" s="85"/>
      <c r="Q273" s="64"/>
      <c r="R273" s="65"/>
      <c r="S273" s="99"/>
      <c r="T273" s="68"/>
      <c r="U273" s="76"/>
      <c r="V273" s="70"/>
      <c r="W273" s="67"/>
      <c r="X273" s="68"/>
      <c r="Y273" s="76"/>
      <c r="Z273" s="70"/>
      <c r="AA273" s="67"/>
      <c r="AB273" s="68"/>
      <c r="AC273" s="76"/>
      <c r="AD273" s="70"/>
      <c r="AE273" s="228">
        <f>ROUND((_15_同援日１．５*_15・基礎２),0)+ROUND((ROUND((_15_同援日１．５＿１．５*_15・基礎２),0)*(1+_15・B夜間)),0)</f>
        <v>593</v>
      </c>
      <c r="AF273" s="69"/>
    </row>
    <row r="274" spans="1:32" ht="16.5" customHeight="1" x14ac:dyDescent="0.3">
      <c r="A274" s="2">
        <v>15</v>
      </c>
      <c r="B274" s="2">
        <v>9826</v>
      </c>
      <c r="C274" s="60" t="s">
        <v>10091</v>
      </c>
      <c r="D274" s="1"/>
      <c r="E274" s="68"/>
      <c r="F274" s="70"/>
      <c r="G274" s="1"/>
      <c r="H274" s="119">
        <v>190</v>
      </c>
      <c r="I274" s="70" t="s">
        <v>0</v>
      </c>
      <c r="J274" s="81"/>
      <c r="K274" s="57"/>
      <c r="L274" s="57"/>
      <c r="M274" s="57"/>
      <c r="N274" s="57" t="s">
        <v>1</v>
      </c>
      <c r="O274" s="89">
        <v>0.9</v>
      </c>
      <c r="P274" s="105" t="s">
        <v>5895</v>
      </c>
      <c r="Q274" s="64" t="s">
        <v>1</v>
      </c>
      <c r="R274" s="65">
        <v>1</v>
      </c>
      <c r="S274" s="99"/>
      <c r="T274" s="68"/>
      <c r="U274" s="76"/>
      <c r="V274" s="70"/>
      <c r="W274" s="66"/>
      <c r="X274" s="57"/>
      <c r="Y274" s="58"/>
      <c r="Z274" s="77"/>
      <c r="AA274" s="67"/>
      <c r="AB274" s="68"/>
      <c r="AC274" s="76"/>
      <c r="AD274" s="70"/>
      <c r="AE274" s="228">
        <f>ROUND((ROUND((_15_同援日１．５*_15・基礎２),0)*_15・２人),0)+ROUND((ROUND((ROUND((_15_同援日１．５＿１．５*_15・基礎２),0)*_15・２人),0)*(1+_15・B夜間)),0)</f>
        <v>593</v>
      </c>
      <c r="AF274" s="69"/>
    </row>
    <row r="275" spans="1:32" ht="16.5" customHeight="1" x14ac:dyDescent="0.3">
      <c r="A275" s="2">
        <v>15</v>
      </c>
      <c r="B275" s="2">
        <v>9827</v>
      </c>
      <c r="C275" s="60" t="s">
        <v>10090</v>
      </c>
      <c r="D275" s="1"/>
      <c r="E275" s="68"/>
      <c r="F275" s="70"/>
      <c r="G275" s="1"/>
      <c r="H275" s="68"/>
      <c r="I275" s="70"/>
      <c r="J275" s="74"/>
      <c r="K275" s="62"/>
      <c r="L275" s="62"/>
      <c r="M275" s="62"/>
      <c r="N275" s="62"/>
      <c r="O275" s="92"/>
      <c r="P275" s="85"/>
      <c r="Q275" s="64"/>
      <c r="R275" s="65"/>
      <c r="S275" s="99"/>
      <c r="T275" s="68"/>
      <c r="U275" s="76"/>
      <c r="V275" s="70"/>
      <c r="W275" s="78" t="s">
        <v>18059</v>
      </c>
      <c r="X275" s="62"/>
      <c r="Y275" s="63"/>
      <c r="Z275" s="75"/>
      <c r="AA275" s="67"/>
      <c r="AB275" s="68"/>
      <c r="AC275" s="76"/>
      <c r="AD275" s="70"/>
      <c r="AE275" s="228">
        <f>ROUND((_15_同援日１．５*(1+_15・盲ろう)),0)+ROUND((ROUND((_15_同援日１．５＿１．５*(1+_15・B夜間)),0)*(1+_15・盲ろう)),0)</f>
        <v>824</v>
      </c>
      <c r="AF275" s="69"/>
    </row>
    <row r="276" spans="1:32" ht="16.5" customHeight="1" x14ac:dyDescent="0.3">
      <c r="A276" s="2">
        <v>15</v>
      </c>
      <c r="B276" s="2">
        <v>9828</v>
      </c>
      <c r="C276" s="60" t="s">
        <v>10089</v>
      </c>
      <c r="D276" s="1"/>
      <c r="E276" s="68"/>
      <c r="F276" s="70"/>
      <c r="G276" s="1"/>
      <c r="H276" s="68"/>
      <c r="I276" s="70"/>
      <c r="J276" s="81"/>
      <c r="K276" s="57"/>
      <c r="L276" s="57"/>
      <c r="M276" s="57"/>
      <c r="N276" s="57"/>
      <c r="O276" s="89"/>
      <c r="P276" s="105" t="s">
        <v>5895</v>
      </c>
      <c r="Q276" s="64" t="s">
        <v>1</v>
      </c>
      <c r="R276" s="65">
        <v>1</v>
      </c>
      <c r="S276" s="99"/>
      <c r="T276" s="68"/>
      <c r="U276" s="76"/>
      <c r="V276" s="70"/>
      <c r="W276" s="94" t="s">
        <v>18058</v>
      </c>
      <c r="X276" s="68"/>
      <c r="Y276" s="76"/>
      <c r="Z276" s="70"/>
      <c r="AA276" s="67"/>
      <c r="AB276" s="68"/>
      <c r="AC276" s="76"/>
      <c r="AD276" s="70"/>
      <c r="AE276" s="228">
        <f>ROUND((ROUND((_15_同援日１．５*_15・２人),0)*(1+_15・盲ろう)),0)+ROUND((ROUND((ROUND((_15_同援日１．５＿１．５*_15・２人),0)*(1+_15・B夜間)),0)*(1+_15・盲ろう)),0)</f>
        <v>824</v>
      </c>
      <c r="AF276" s="69"/>
    </row>
    <row r="277" spans="1:32" ht="16.5" customHeight="1" x14ac:dyDescent="0.3">
      <c r="A277" s="2">
        <v>15</v>
      </c>
      <c r="B277" s="2">
        <v>9829</v>
      </c>
      <c r="C277" s="60" t="s">
        <v>10088</v>
      </c>
      <c r="D277" s="1"/>
      <c r="E277" s="68"/>
      <c r="F277" s="70"/>
      <c r="G277" s="1"/>
      <c r="H277" s="68"/>
      <c r="I277" s="70"/>
      <c r="J277" s="74" t="s">
        <v>18069</v>
      </c>
      <c r="K277" s="62"/>
      <c r="L277" s="62"/>
      <c r="M277" s="62"/>
      <c r="N277" s="62"/>
      <c r="O277" s="92"/>
      <c r="P277" s="85"/>
      <c r="Q277" s="64"/>
      <c r="R277" s="65"/>
      <c r="S277" s="99"/>
      <c r="T277" s="68"/>
      <c r="U277" s="76"/>
      <c r="V277" s="70"/>
      <c r="W277" s="67"/>
      <c r="X277" s="68" t="s">
        <v>1</v>
      </c>
      <c r="Y277" s="76">
        <v>0.25</v>
      </c>
      <c r="Z277" s="70" t="s">
        <v>422</v>
      </c>
      <c r="AA277" s="67"/>
      <c r="AB277" s="68"/>
      <c r="AC277" s="76"/>
      <c r="AD277" s="70"/>
      <c r="AE277" s="228">
        <f>ROUND((ROUND((_15_同援日１．５*_15・基礎２),0)*(1+_15・盲ろう)),0)+ROUND((ROUND((ROUND((_15_同援日１．５＿１．５*_15・基礎２),0)*(1+_15・B夜間)),0)*(1+_15・盲ろう)),0)</f>
        <v>742</v>
      </c>
      <c r="AF277" s="69"/>
    </row>
    <row r="278" spans="1:32" ht="16.5" customHeight="1" x14ac:dyDescent="0.3">
      <c r="A278" s="2">
        <v>15</v>
      </c>
      <c r="B278" s="2">
        <v>9830</v>
      </c>
      <c r="C278" s="60" t="s">
        <v>10087</v>
      </c>
      <c r="D278" s="1"/>
      <c r="E278" s="68"/>
      <c r="F278" s="70"/>
      <c r="G278" s="1"/>
      <c r="H278" s="68"/>
      <c r="I278" s="70"/>
      <c r="J278" s="81"/>
      <c r="K278" s="57"/>
      <c r="L278" s="57"/>
      <c r="M278" s="57"/>
      <c r="N278" s="57" t="s">
        <v>1</v>
      </c>
      <c r="O278" s="89">
        <v>0.9</v>
      </c>
      <c r="P278" s="105" t="s">
        <v>5895</v>
      </c>
      <c r="Q278" s="64" t="s">
        <v>1</v>
      </c>
      <c r="R278" s="65">
        <v>1</v>
      </c>
      <c r="S278" s="99"/>
      <c r="T278" s="68"/>
      <c r="U278" s="76"/>
      <c r="V278" s="70"/>
      <c r="W278" s="66"/>
      <c r="X278" s="57"/>
      <c r="Y278" s="58"/>
      <c r="Z278" s="77"/>
      <c r="AA278" s="66"/>
      <c r="AB278" s="57"/>
      <c r="AC278" s="58"/>
      <c r="AD278" s="77"/>
      <c r="AE278" s="228">
        <f>ROUND((ROUND((ROUND((_15_同援日１．５*_15・基礎２),0)*_15・２人),0)*(1+_15・盲ろう)),0)+ROUND((ROUND((ROUND((ROUND((_15_同援日１．５＿１．５*_15・基礎２),0)*_15・２人),0)*(1+_15・B夜間)),0)*(1+_15・盲ろう)),0)</f>
        <v>742</v>
      </c>
      <c r="AF278" s="69"/>
    </row>
    <row r="279" spans="1:32" ht="16.5" customHeight="1" x14ac:dyDescent="0.3">
      <c r="A279" s="2">
        <v>15</v>
      </c>
      <c r="B279" s="2">
        <v>9831</v>
      </c>
      <c r="C279" s="60" t="s">
        <v>10086</v>
      </c>
      <c r="D279" s="1"/>
      <c r="E279" s="68"/>
      <c r="F279" s="70"/>
      <c r="G279" s="1"/>
      <c r="H279" s="68"/>
      <c r="I279" s="70"/>
      <c r="J279" s="74"/>
      <c r="K279" s="62"/>
      <c r="L279" s="62"/>
      <c r="M279" s="62"/>
      <c r="N279" s="62"/>
      <c r="O279" s="92"/>
      <c r="P279" s="85"/>
      <c r="Q279" s="64"/>
      <c r="R279" s="65"/>
      <c r="S279" s="99"/>
      <c r="T279" s="68"/>
      <c r="U279" s="76"/>
      <c r="V279" s="70"/>
      <c r="W279" s="61"/>
      <c r="X279" s="62"/>
      <c r="Y279" s="63"/>
      <c r="Z279" s="75"/>
      <c r="AA279" s="61"/>
      <c r="AB279" s="62"/>
      <c r="AC279" s="63"/>
      <c r="AD279" s="75"/>
      <c r="AE279" s="228">
        <f>ROUND((_15_同援日１．５*(1+_15・区３)),0)+ROUND((ROUND((_15_同援日１．５＿１．５*(1+_15・B夜間)),0)*(1+_15・区３)),0)</f>
        <v>791</v>
      </c>
      <c r="AF279" s="69"/>
    </row>
    <row r="280" spans="1:32" ht="16.5" customHeight="1" x14ac:dyDescent="0.3">
      <c r="A280" s="2">
        <v>15</v>
      </c>
      <c r="B280" s="2">
        <v>9832</v>
      </c>
      <c r="C280" s="60" t="s">
        <v>10085</v>
      </c>
      <c r="D280" s="1"/>
      <c r="E280" s="68"/>
      <c r="F280" s="70"/>
      <c r="G280" s="1"/>
      <c r="H280" s="68"/>
      <c r="I280" s="70"/>
      <c r="J280" s="81"/>
      <c r="K280" s="57"/>
      <c r="L280" s="57"/>
      <c r="M280" s="57"/>
      <c r="N280" s="57"/>
      <c r="O280" s="89"/>
      <c r="P280" s="105" t="s">
        <v>5895</v>
      </c>
      <c r="Q280" s="64" t="s">
        <v>1</v>
      </c>
      <c r="R280" s="65">
        <v>1</v>
      </c>
      <c r="S280" s="99"/>
      <c r="T280" s="68"/>
      <c r="U280" s="76"/>
      <c r="V280" s="70"/>
      <c r="W280" s="67"/>
      <c r="X280" s="68"/>
      <c r="Y280" s="76"/>
      <c r="Z280" s="70"/>
      <c r="AA280" s="67"/>
      <c r="AB280" s="68"/>
      <c r="AC280" s="76"/>
      <c r="AD280" s="70"/>
      <c r="AE280" s="228">
        <f>ROUND((ROUND((_15_同援日１．５*_15・２人),0)*(1+_15・区３)),0)+ROUND((ROUND((ROUND((_15_同援日１．５＿１．５*_15・２人),0)*(1+_15・B夜間)),0)*(1+_15・区３)),0)</f>
        <v>791</v>
      </c>
      <c r="AF280" s="69"/>
    </row>
    <row r="281" spans="1:32" ht="16.5" customHeight="1" x14ac:dyDescent="0.3">
      <c r="A281" s="2">
        <v>15</v>
      </c>
      <c r="B281" s="2">
        <v>9833</v>
      </c>
      <c r="C281" s="60" t="s">
        <v>10084</v>
      </c>
      <c r="D281" s="1"/>
      <c r="E281" s="68"/>
      <c r="F281" s="70"/>
      <c r="G281" s="1"/>
      <c r="H281" s="68"/>
      <c r="I281" s="70"/>
      <c r="J281" s="74" t="s">
        <v>6260</v>
      </c>
      <c r="K281" s="62"/>
      <c r="L281" s="62"/>
      <c r="M281" s="62"/>
      <c r="N281" s="62"/>
      <c r="O281" s="92"/>
      <c r="P281" s="85"/>
      <c r="Q281" s="64"/>
      <c r="R281" s="65"/>
      <c r="S281" s="99"/>
      <c r="T281" s="68"/>
      <c r="U281" s="76"/>
      <c r="V281" s="70"/>
      <c r="W281" s="67"/>
      <c r="X281" s="68"/>
      <c r="Y281" s="76"/>
      <c r="Z281" s="70"/>
      <c r="AA281" s="1" t="s">
        <v>18062</v>
      </c>
      <c r="AB281" s="68"/>
      <c r="AC281" s="76"/>
      <c r="AD281" s="70"/>
      <c r="AE281" s="228">
        <f>ROUND((ROUND((_15_同援日１．５*_15・基礎２),0)*(1+_15・区３)),0)+ROUND((ROUND((ROUND((_15_同援日１．５＿１．５*_15・基礎２),0)*(1+_15・B夜間)),0)*(1+_15・区３)),0)</f>
        <v>712</v>
      </c>
      <c r="AF281" s="69"/>
    </row>
    <row r="282" spans="1:32" ht="16.5" customHeight="1" x14ac:dyDescent="0.3">
      <c r="A282" s="2">
        <v>15</v>
      </c>
      <c r="B282" s="2">
        <v>9834</v>
      </c>
      <c r="C282" s="60" t="s">
        <v>10083</v>
      </c>
      <c r="D282" s="1"/>
      <c r="E282" s="68"/>
      <c r="F282" s="70"/>
      <c r="G282" s="1"/>
      <c r="H282" s="68"/>
      <c r="I282" s="70"/>
      <c r="J282" s="81"/>
      <c r="K282" s="57"/>
      <c r="L282" s="57"/>
      <c r="M282" s="57"/>
      <c r="N282" s="57" t="s">
        <v>1</v>
      </c>
      <c r="O282" s="89">
        <v>0.9</v>
      </c>
      <c r="P282" s="105" t="s">
        <v>5895</v>
      </c>
      <c r="Q282" s="64" t="s">
        <v>1</v>
      </c>
      <c r="R282" s="65">
        <v>1</v>
      </c>
      <c r="S282" s="99"/>
      <c r="T282" s="68"/>
      <c r="U282" s="76"/>
      <c r="V282" s="70"/>
      <c r="W282" s="66"/>
      <c r="X282" s="57"/>
      <c r="Y282" s="58"/>
      <c r="Z282" s="77"/>
      <c r="AA282" s="1" t="s">
        <v>18060</v>
      </c>
      <c r="AB282" s="68"/>
      <c r="AC282" s="76"/>
      <c r="AD282" s="70"/>
      <c r="AE282" s="228">
        <f>ROUND((ROUND((ROUND((_15_同援日１．５*_15・基礎２),0)*_15・２人),0)*(1+_15・区３)),0)+ROUND((ROUND((ROUND((ROUND((_15_同援日１．５＿１．５*_15・基礎２),0)*_15・２人),0)*(1+_15・B夜間)),0)*(1+_15・区３)),0)</f>
        <v>712</v>
      </c>
      <c r="AF282" s="69"/>
    </row>
    <row r="283" spans="1:32" ht="16.5" customHeight="1" x14ac:dyDescent="0.3">
      <c r="A283" s="2">
        <v>15</v>
      </c>
      <c r="B283" s="2">
        <v>9835</v>
      </c>
      <c r="C283" s="60" t="s">
        <v>10082</v>
      </c>
      <c r="D283" s="1"/>
      <c r="E283" s="68"/>
      <c r="F283" s="70"/>
      <c r="G283" s="1"/>
      <c r="H283" s="68"/>
      <c r="I283" s="70"/>
      <c r="J283" s="74"/>
      <c r="K283" s="62"/>
      <c r="L283" s="62"/>
      <c r="M283" s="62"/>
      <c r="N283" s="62"/>
      <c r="O283" s="92"/>
      <c r="P283" s="85"/>
      <c r="Q283" s="64"/>
      <c r="R283" s="65"/>
      <c r="S283" s="99"/>
      <c r="T283" s="68"/>
      <c r="U283" s="76"/>
      <c r="V283" s="70"/>
      <c r="W283" s="78" t="s">
        <v>18059</v>
      </c>
      <c r="X283" s="62"/>
      <c r="Y283" s="63"/>
      <c r="Z283" s="75"/>
      <c r="AA283" s="67"/>
      <c r="AB283" s="68" t="s">
        <v>1</v>
      </c>
      <c r="AC283" s="76">
        <v>0.2</v>
      </c>
      <c r="AD283" s="70" t="s">
        <v>422</v>
      </c>
      <c r="AE283" s="228">
        <f>ROUND((ROUND((_15_同援日１．５*(1+_15・盲ろう)),0)*(1+_15・区３)),0)+ROUND((ROUND((ROUND((_15_同援日１．５＿１．５*(1+_15・B夜間)),0)*(1+_15・盲ろう)),0)*(1+_15・区３)),0)</f>
        <v>989</v>
      </c>
      <c r="AF283" s="69"/>
    </row>
    <row r="284" spans="1:32" ht="16.5" customHeight="1" x14ac:dyDescent="0.3">
      <c r="A284" s="2">
        <v>15</v>
      </c>
      <c r="B284" s="2">
        <v>9836</v>
      </c>
      <c r="C284" s="60" t="s">
        <v>10081</v>
      </c>
      <c r="D284" s="1"/>
      <c r="E284" s="68"/>
      <c r="F284" s="70"/>
      <c r="G284" s="1"/>
      <c r="H284" s="68"/>
      <c r="I284" s="70"/>
      <c r="J284" s="81"/>
      <c r="K284" s="57"/>
      <c r="L284" s="57"/>
      <c r="M284" s="57"/>
      <c r="N284" s="57"/>
      <c r="O284" s="89"/>
      <c r="P284" s="105" t="s">
        <v>5895</v>
      </c>
      <c r="Q284" s="64" t="s">
        <v>1</v>
      </c>
      <c r="R284" s="65">
        <v>1</v>
      </c>
      <c r="S284" s="99"/>
      <c r="T284" s="68"/>
      <c r="U284" s="76"/>
      <c r="V284" s="70"/>
      <c r="W284" s="94" t="s">
        <v>18058</v>
      </c>
      <c r="X284" s="68"/>
      <c r="Y284" s="76"/>
      <c r="Z284" s="70"/>
      <c r="AA284" s="67"/>
      <c r="AB284" s="68"/>
      <c r="AC284" s="76"/>
      <c r="AD284" s="70"/>
      <c r="AE284" s="228">
        <f>ROUND((ROUND((ROUND((_15_同援日１．５*_15・２人),0)*(1+_15・盲ろう)),0)*(1+_15・区３)),0)+ROUND((ROUND((ROUND((ROUND((_15_同援日１．５＿１．５*_15・２人),0)*(1+_15・B夜間)),0)*(1+_15・盲ろう)),0)*(1+_15・区３)),0)</f>
        <v>989</v>
      </c>
      <c r="AF284" s="69"/>
    </row>
    <row r="285" spans="1:32" ht="16.5" customHeight="1" x14ac:dyDescent="0.3">
      <c r="A285" s="2">
        <v>15</v>
      </c>
      <c r="B285" s="2">
        <v>9837</v>
      </c>
      <c r="C285" s="60" t="s">
        <v>10080</v>
      </c>
      <c r="D285" s="1"/>
      <c r="E285" s="68"/>
      <c r="F285" s="70"/>
      <c r="G285" s="1"/>
      <c r="H285" s="68"/>
      <c r="I285" s="70"/>
      <c r="J285" s="74" t="s">
        <v>18069</v>
      </c>
      <c r="K285" s="62"/>
      <c r="L285" s="62"/>
      <c r="M285" s="62"/>
      <c r="N285" s="62"/>
      <c r="O285" s="92"/>
      <c r="P285" s="85"/>
      <c r="Q285" s="64"/>
      <c r="R285" s="65"/>
      <c r="S285" s="99"/>
      <c r="T285" s="68"/>
      <c r="U285" s="76"/>
      <c r="V285" s="70"/>
      <c r="W285" s="67"/>
      <c r="X285" s="68" t="s">
        <v>1</v>
      </c>
      <c r="Y285" s="76">
        <v>0.25</v>
      </c>
      <c r="Z285" s="70" t="s">
        <v>422</v>
      </c>
      <c r="AA285" s="67"/>
      <c r="AB285" s="68"/>
      <c r="AC285" s="76"/>
      <c r="AD285" s="70"/>
      <c r="AE285" s="228">
        <f>ROUND((ROUND((ROUND((_15_同援日１．５*_15・基礎２),0)*(1+_15・盲ろう)),0)*(1+_15・区３)),0)+ROUND((ROUND((ROUND((ROUND((_15_同援日１．５＿１．５*_15・基礎２),0)*(1+_15・B夜間)),0)*(1+_15・盲ろう)),0)*(1+_15・区３)),0)</f>
        <v>891</v>
      </c>
      <c r="AF285" s="69"/>
    </row>
    <row r="286" spans="1:32" ht="16.5" customHeight="1" x14ac:dyDescent="0.3">
      <c r="A286" s="2">
        <v>15</v>
      </c>
      <c r="B286" s="2">
        <v>9838</v>
      </c>
      <c r="C286" s="60" t="s">
        <v>10079</v>
      </c>
      <c r="D286" s="1"/>
      <c r="E286" s="68"/>
      <c r="F286" s="70"/>
      <c r="G286" s="1"/>
      <c r="H286" s="68"/>
      <c r="I286" s="70"/>
      <c r="J286" s="81"/>
      <c r="K286" s="57"/>
      <c r="L286" s="57"/>
      <c r="M286" s="57"/>
      <c r="N286" s="57" t="s">
        <v>1</v>
      </c>
      <c r="O286" s="89">
        <v>0.9</v>
      </c>
      <c r="P286" s="105" t="s">
        <v>5895</v>
      </c>
      <c r="Q286" s="64" t="s">
        <v>1</v>
      </c>
      <c r="R286" s="65">
        <v>1</v>
      </c>
      <c r="S286" s="99"/>
      <c r="T286" s="68"/>
      <c r="U286" s="76"/>
      <c r="V286" s="70"/>
      <c r="W286" s="66"/>
      <c r="X286" s="57"/>
      <c r="Y286" s="58"/>
      <c r="Z286" s="77"/>
      <c r="AA286" s="66"/>
      <c r="AB286" s="57"/>
      <c r="AC286" s="58"/>
      <c r="AD286" s="77"/>
      <c r="AE286" s="228">
        <f>ROUND((ROUND((ROUND((ROUND((_15_同援日１．５*_15・基礎２),0)*_15・２人),0)*(1+_15・盲ろう)),0)*(1+_15・区３)),0)+ROUND((ROUND((ROUND((ROUND((ROUND((_15_同援日１．５＿１．５*_15・基礎２),0)*_15・２人),0)*(1+_15・B夜間)),0)*(1+_15・盲ろう)),0)*(1+_15・区３)),0)</f>
        <v>891</v>
      </c>
      <c r="AF286" s="69"/>
    </row>
    <row r="287" spans="1:32" ht="16.5" customHeight="1" x14ac:dyDescent="0.3">
      <c r="A287" s="2">
        <v>15</v>
      </c>
      <c r="B287" s="2">
        <v>9839</v>
      </c>
      <c r="C287" s="60" t="s">
        <v>10078</v>
      </c>
      <c r="D287" s="1"/>
      <c r="E287" s="68"/>
      <c r="F287" s="70"/>
      <c r="G287" s="1"/>
      <c r="H287" s="68"/>
      <c r="I287" s="70"/>
      <c r="J287" s="74"/>
      <c r="K287" s="62"/>
      <c r="L287" s="62"/>
      <c r="M287" s="62"/>
      <c r="N287" s="62"/>
      <c r="O287" s="92"/>
      <c r="P287" s="85"/>
      <c r="Q287" s="64"/>
      <c r="R287" s="65"/>
      <c r="S287" s="99"/>
      <c r="T287" s="68"/>
      <c r="U287" s="76"/>
      <c r="V287" s="70"/>
      <c r="W287" s="61"/>
      <c r="X287" s="62"/>
      <c r="Y287" s="63"/>
      <c r="Z287" s="75"/>
      <c r="AA287" s="61"/>
      <c r="AB287" s="62"/>
      <c r="AC287" s="63"/>
      <c r="AD287" s="75"/>
      <c r="AE287" s="228">
        <f>ROUND((_15_同援日１．５*(1+_15・区４)),0)+ROUND((ROUND((_15_同援日１．５＿１．５*(1+_15・B夜間)),0)*(1+_15・区４)),0)</f>
        <v>922</v>
      </c>
      <c r="AF287" s="69"/>
    </row>
    <row r="288" spans="1:32" ht="16.5" customHeight="1" x14ac:dyDescent="0.3">
      <c r="A288" s="2">
        <v>15</v>
      </c>
      <c r="B288" s="2">
        <v>9840</v>
      </c>
      <c r="C288" s="60" t="s">
        <v>10077</v>
      </c>
      <c r="D288" s="1"/>
      <c r="E288" s="68"/>
      <c r="F288" s="70"/>
      <c r="G288" s="1"/>
      <c r="H288" s="68"/>
      <c r="I288" s="70"/>
      <c r="J288" s="81"/>
      <c r="K288" s="57"/>
      <c r="L288" s="57"/>
      <c r="M288" s="57"/>
      <c r="N288" s="57"/>
      <c r="O288" s="89"/>
      <c r="P288" s="105" t="s">
        <v>5895</v>
      </c>
      <c r="Q288" s="64" t="s">
        <v>1</v>
      </c>
      <c r="R288" s="65">
        <v>1</v>
      </c>
      <c r="S288" s="99"/>
      <c r="T288" s="68"/>
      <c r="U288" s="76"/>
      <c r="V288" s="70"/>
      <c r="W288" s="67"/>
      <c r="X288" s="68"/>
      <c r="Y288" s="76"/>
      <c r="Z288" s="70"/>
      <c r="AA288" s="67"/>
      <c r="AB288" s="68"/>
      <c r="AC288" s="76"/>
      <c r="AD288" s="70"/>
      <c r="AE288" s="228">
        <f>ROUND((ROUND((_15_同援日１．５*_15・２人),0)*(1+_15・区４)),0)+ROUND((ROUND((ROUND((_15_同援日１．５＿１．５*_15・２人),0)*(1+_15・B夜間)),0)*(1+_15・区４)),0)</f>
        <v>922</v>
      </c>
      <c r="AF288" s="69"/>
    </row>
    <row r="289" spans="1:32" ht="16.5" customHeight="1" x14ac:dyDescent="0.3">
      <c r="A289" s="2">
        <v>15</v>
      </c>
      <c r="B289" s="2">
        <v>9841</v>
      </c>
      <c r="C289" s="60" t="s">
        <v>10076</v>
      </c>
      <c r="D289" s="1"/>
      <c r="E289" s="68"/>
      <c r="F289" s="70"/>
      <c r="G289" s="1"/>
      <c r="H289" s="68"/>
      <c r="I289" s="70"/>
      <c r="J289" s="74" t="s">
        <v>18069</v>
      </c>
      <c r="K289" s="62"/>
      <c r="L289" s="62"/>
      <c r="M289" s="62"/>
      <c r="N289" s="62"/>
      <c r="O289" s="92"/>
      <c r="P289" s="85"/>
      <c r="Q289" s="64"/>
      <c r="R289" s="65"/>
      <c r="S289" s="99"/>
      <c r="T289" s="68"/>
      <c r="U289" s="76"/>
      <c r="V289" s="70"/>
      <c r="W289" s="67"/>
      <c r="X289" s="68"/>
      <c r="Y289" s="76"/>
      <c r="Z289" s="70"/>
      <c r="AA289" s="1" t="s">
        <v>18061</v>
      </c>
      <c r="AB289" s="68"/>
      <c r="AC289" s="76"/>
      <c r="AD289" s="70"/>
      <c r="AE289" s="228">
        <f>ROUND((ROUND((_15_同援日１．５*_15・基礎２),0)*(1+_15・区４)),0)+ROUND((ROUND((ROUND((_15_同援日１．５＿１．５*_15・基礎２),0)*(1+_15・B夜間)),0)*(1+_15・区４)),0)</f>
        <v>831</v>
      </c>
      <c r="AF289" s="69"/>
    </row>
    <row r="290" spans="1:32" ht="16.5" customHeight="1" x14ac:dyDescent="0.3">
      <c r="A290" s="2">
        <v>15</v>
      </c>
      <c r="B290" s="2">
        <v>9842</v>
      </c>
      <c r="C290" s="60" t="s">
        <v>10075</v>
      </c>
      <c r="D290" s="1"/>
      <c r="E290" s="68"/>
      <c r="F290" s="70"/>
      <c r="G290" s="1"/>
      <c r="H290" s="68"/>
      <c r="I290" s="70"/>
      <c r="J290" s="81"/>
      <c r="K290" s="57"/>
      <c r="L290" s="57"/>
      <c r="M290" s="57"/>
      <c r="N290" s="57" t="s">
        <v>1</v>
      </c>
      <c r="O290" s="89">
        <v>0.9</v>
      </c>
      <c r="P290" s="105" t="s">
        <v>5895</v>
      </c>
      <c r="Q290" s="64" t="s">
        <v>1</v>
      </c>
      <c r="R290" s="65">
        <v>1</v>
      </c>
      <c r="S290" s="99"/>
      <c r="T290" s="68"/>
      <c r="U290" s="76"/>
      <c r="V290" s="70"/>
      <c r="W290" s="66"/>
      <c r="X290" s="57"/>
      <c r="Y290" s="58"/>
      <c r="Z290" s="77"/>
      <c r="AA290" s="1" t="s">
        <v>18060</v>
      </c>
      <c r="AB290" s="68"/>
      <c r="AC290" s="76"/>
      <c r="AD290" s="70"/>
      <c r="AE290" s="228">
        <f>ROUND((ROUND((ROUND((_15_同援日１．５*_15・基礎２),0)*_15・２人),0)*(1+_15・区４)),0)+ROUND((ROUND((ROUND((ROUND((_15_同援日１．５＿１．５*_15・基礎２),0)*_15・２人),0)*(1+_15・B夜間)),0)*(1+_15・区４)),0)</f>
        <v>831</v>
      </c>
      <c r="AF290" s="69"/>
    </row>
    <row r="291" spans="1:32" ht="16.5" customHeight="1" x14ac:dyDescent="0.3">
      <c r="A291" s="2">
        <v>15</v>
      </c>
      <c r="B291" s="2">
        <v>9843</v>
      </c>
      <c r="C291" s="60" t="s">
        <v>10074</v>
      </c>
      <c r="D291" s="1"/>
      <c r="E291" s="68"/>
      <c r="F291" s="70"/>
      <c r="G291" s="1"/>
      <c r="H291" s="68"/>
      <c r="I291" s="70"/>
      <c r="J291" s="74"/>
      <c r="K291" s="62"/>
      <c r="L291" s="62"/>
      <c r="M291" s="62"/>
      <c r="N291" s="62"/>
      <c r="O291" s="92"/>
      <c r="P291" s="85"/>
      <c r="Q291" s="64"/>
      <c r="R291" s="65"/>
      <c r="S291" s="99"/>
      <c r="T291" s="68"/>
      <c r="U291" s="76"/>
      <c r="V291" s="70"/>
      <c r="W291" s="78" t="s">
        <v>18059</v>
      </c>
      <c r="X291" s="62"/>
      <c r="Y291" s="63"/>
      <c r="Z291" s="75"/>
      <c r="AA291" s="67"/>
      <c r="AB291" s="68" t="s">
        <v>1</v>
      </c>
      <c r="AC291" s="76">
        <v>0.4</v>
      </c>
      <c r="AD291" s="70" t="s">
        <v>422</v>
      </c>
      <c r="AE291" s="228">
        <f>ROUND((ROUND((_15_同援日１．５*(1+_15・盲ろう)),0)*(1+_15・区４)),0)+ROUND((ROUND((ROUND((_15_同援日１．５＿１．５*(1+_15・B夜間)),0)*(1+_15・盲ろう)),0)*(1+_15・区４)),0)</f>
        <v>1153</v>
      </c>
      <c r="AF291" s="69"/>
    </row>
    <row r="292" spans="1:32" ht="16.5" customHeight="1" x14ac:dyDescent="0.3">
      <c r="A292" s="2">
        <v>15</v>
      </c>
      <c r="B292" s="2">
        <v>9844</v>
      </c>
      <c r="C292" s="60" t="s">
        <v>10073</v>
      </c>
      <c r="D292" s="1"/>
      <c r="E292" s="68"/>
      <c r="F292" s="70"/>
      <c r="G292" s="1"/>
      <c r="H292" s="68"/>
      <c r="I292" s="70"/>
      <c r="J292" s="81"/>
      <c r="K292" s="57"/>
      <c r="L292" s="57"/>
      <c r="M292" s="57"/>
      <c r="N292" s="57"/>
      <c r="O292" s="89"/>
      <c r="P292" s="105" t="s">
        <v>5895</v>
      </c>
      <c r="Q292" s="64" t="s">
        <v>1</v>
      </c>
      <c r="R292" s="65">
        <v>1</v>
      </c>
      <c r="S292" s="99"/>
      <c r="T292" s="68"/>
      <c r="U292" s="76"/>
      <c r="V292" s="70"/>
      <c r="W292" s="94" t="s">
        <v>18058</v>
      </c>
      <c r="X292" s="68"/>
      <c r="Y292" s="76"/>
      <c r="Z292" s="70"/>
      <c r="AA292" s="67"/>
      <c r="AB292" s="68"/>
      <c r="AC292" s="76"/>
      <c r="AD292" s="70"/>
      <c r="AE292" s="228">
        <f>ROUND((ROUND((ROUND((_15_同援日１．５*_15・２人),0)*(1+_15・盲ろう)),0)*(1+_15・区４)),0)+ROUND((ROUND((ROUND((ROUND((_15_同援日１．５＿１．５*_15・２人),0)*(1+_15・B夜間)),0)*(1+_15・盲ろう)),0)*(1+_15・区４)),0)</f>
        <v>1153</v>
      </c>
      <c r="AF292" s="69"/>
    </row>
    <row r="293" spans="1:32" ht="16.5" customHeight="1" x14ac:dyDescent="0.3">
      <c r="A293" s="2">
        <v>15</v>
      </c>
      <c r="B293" s="2">
        <v>9845</v>
      </c>
      <c r="C293" s="60" t="s">
        <v>10072</v>
      </c>
      <c r="D293" s="1"/>
      <c r="E293" s="68"/>
      <c r="F293" s="70"/>
      <c r="G293" s="1"/>
      <c r="H293" s="68"/>
      <c r="I293" s="70"/>
      <c r="J293" s="74" t="s">
        <v>18069</v>
      </c>
      <c r="K293" s="62"/>
      <c r="L293" s="62"/>
      <c r="M293" s="62"/>
      <c r="N293" s="62"/>
      <c r="O293" s="92"/>
      <c r="P293" s="85"/>
      <c r="Q293" s="64"/>
      <c r="R293" s="65"/>
      <c r="S293" s="99"/>
      <c r="T293" s="68"/>
      <c r="U293" s="76"/>
      <c r="V293" s="70"/>
      <c r="W293" s="67"/>
      <c r="X293" s="68" t="s">
        <v>1</v>
      </c>
      <c r="Y293" s="76">
        <v>0.25</v>
      </c>
      <c r="Z293" s="70" t="s">
        <v>422</v>
      </c>
      <c r="AA293" s="67"/>
      <c r="AB293" s="68"/>
      <c r="AC293" s="76"/>
      <c r="AD293" s="70"/>
      <c r="AE293" s="228">
        <f>ROUND((ROUND((ROUND((_15_同援日１．５*_15・基礎２),0)*(1+_15・盲ろう)),0)*(1+_15・区４)),0)+ROUND((ROUND((ROUND((ROUND((_15_同援日１．５＿１．５*_15・基礎２),0)*(1+_15・B夜間)),0)*(1+_15・盲ろう)),0)*(1+_15・区４)),0)</f>
        <v>1039</v>
      </c>
      <c r="AF293" s="69"/>
    </row>
    <row r="294" spans="1:32" ht="16.5" customHeight="1" x14ac:dyDescent="0.3">
      <c r="A294" s="2">
        <v>15</v>
      </c>
      <c r="B294" s="2">
        <v>9846</v>
      </c>
      <c r="C294" s="60" t="s">
        <v>10071</v>
      </c>
      <c r="D294" s="81"/>
      <c r="E294" s="57"/>
      <c r="F294" s="77"/>
      <c r="G294" s="81"/>
      <c r="H294" s="57"/>
      <c r="I294" s="77"/>
      <c r="J294" s="81"/>
      <c r="K294" s="57"/>
      <c r="L294" s="57"/>
      <c r="M294" s="57"/>
      <c r="N294" s="57" t="s">
        <v>1</v>
      </c>
      <c r="O294" s="89">
        <v>0.9</v>
      </c>
      <c r="P294" s="105" t="s">
        <v>5895</v>
      </c>
      <c r="Q294" s="64" t="s">
        <v>1</v>
      </c>
      <c r="R294" s="65">
        <v>1</v>
      </c>
      <c r="S294" s="99"/>
      <c r="T294" s="68"/>
      <c r="U294" s="76"/>
      <c r="V294" s="70"/>
      <c r="W294" s="66"/>
      <c r="X294" s="57"/>
      <c r="Y294" s="58"/>
      <c r="Z294" s="77"/>
      <c r="AA294" s="66"/>
      <c r="AB294" s="57"/>
      <c r="AC294" s="58"/>
      <c r="AD294" s="77"/>
      <c r="AE294" s="228">
        <f>ROUND((ROUND((ROUND((ROUND((_15_同援日１．５*_15・基礎２),0)*_15・２人),0)*(1+_15・盲ろう)),0)*(1+_15・区４)),0)+ROUND((ROUND((ROUND((ROUND((ROUND((_15_同援日１．５＿１．５*_15・基礎２),0)*_15・２人),0)*(1+_15・B夜間)),0)*(1+_15・盲ろう)),0)*(1+_15・区４)),0)</f>
        <v>1039</v>
      </c>
      <c r="AF294" s="69"/>
    </row>
    <row r="295" spans="1:32" ht="16.5" customHeight="1" x14ac:dyDescent="0.3">
      <c r="A295" s="2">
        <v>15</v>
      </c>
      <c r="B295" s="2">
        <v>9847</v>
      </c>
      <c r="C295" s="60" t="s">
        <v>10070</v>
      </c>
      <c r="D295" s="233" t="s">
        <v>18074</v>
      </c>
      <c r="E295" s="235"/>
      <c r="F295" s="75"/>
      <c r="G295" s="233" t="s">
        <v>6043</v>
      </c>
      <c r="H295" s="62"/>
      <c r="I295" s="75"/>
      <c r="J295" s="74"/>
      <c r="K295" s="62"/>
      <c r="L295" s="62"/>
      <c r="M295" s="62"/>
      <c r="N295" s="62"/>
      <c r="O295" s="92"/>
      <c r="P295" s="85"/>
      <c r="Q295" s="64"/>
      <c r="R295" s="65"/>
      <c r="S295" s="99"/>
      <c r="T295" s="68"/>
      <c r="U295" s="76"/>
      <c r="V295" s="70"/>
      <c r="W295" s="61"/>
      <c r="X295" s="62"/>
      <c r="Y295" s="63"/>
      <c r="Z295" s="75"/>
      <c r="AA295" s="61"/>
      <c r="AB295" s="62"/>
      <c r="AC295" s="63"/>
      <c r="AD295" s="75"/>
      <c r="AE295" s="228">
        <f>_15_同援日２．０+ROUND((_15_同援日２．０＿０．５*(1+_15・B夜間)),0)</f>
        <v>564</v>
      </c>
      <c r="AF295" s="69"/>
    </row>
    <row r="296" spans="1:32" ht="16.5" customHeight="1" x14ac:dyDescent="0.3">
      <c r="A296" s="2">
        <v>15</v>
      </c>
      <c r="B296" s="2">
        <v>9848</v>
      </c>
      <c r="C296" s="60" t="s">
        <v>10069</v>
      </c>
      <c r="D296" s="1" t="s">
        <v>18063</v>
      </c>
      <c r="E296" s="68"/>
      <c r="F296" s="70"/>
      <c r="G296" s="1" t="s">
        <v>7928</v>
      </c>
      <c r="H296" s="68"/>
      <c r="I296" s="70"/>
      <c r="J296" s="81"/>
      <c r="K296" s="57"/>
      <c r="L296" s="57"/>
      <c r="M296" s="57"/>
      <c r="N296" s="57"/>
      <c r="O296" s="89"/>
      <c r="P296" s="105" t="s">
        <v>5895</v>
      </c>
      <c r="Q296" s="64" t="s">
        <v>1</v>
      </c>
      <c r="R296" s="65">
        <v>1</v>
      </c>
      <c r="S296" s="99"/>
      <c r="T296" s="68"/>
      <c r="U296" s="76"/>
      <c r="V296" s="70"/>
      <c r="W296" s="67"/>
      <c r="X296" s="68"/>
      <c r="Y296" s="76"/>
      <c r="Z296" s="70"/>
      <c r="AA296" s="67"/>
      <c r="AB296" s="68"/>
      <c r="AC296" s="76"/>
      <c r="AD296" s="70"/>
      <c r="AE296" s="228">
        <f>ROUND((_15_同援日２．０*_15・２人),0)+ROUND((ROUND((_15_同援日２．０＿０．５*_15・２人),0)*(1+_15・B夜間)),0)</f>
        <v>564</v>
      </c>
      <c r="AF296" s="69"/>
    </row>
    <row r="297" spans="1:32" ht="16.5" customHeight="1" x14ac:dyDescent="0.3">
      <c r="A297" s="2">
        <v>15</v>
      </c>
      <c r="B297" s="2">
        <v>9849</v>
      </c>
      <c r="C297" s="60" t="s">
        <v>10068</v>
      </c>
      <c r="D297" s="1" t="s">
        <v>6448</v>
      </c>
      <c r="E297" s="68"/>
      <c r="F297" s="70"/>
      <c r="G297" s="1"/>
      <c r="H297" s="68"/>
      <c r="I297" s="70"/>
      <c r="J297" s="74" t="s">
        <v>18069</v>
      </c>
      <c r="K297" s="62"/>
      <c r="L297" s="62"/>
      <c r="M297" s="62"/>
      <c r="N297" s="62"/>
      <c r="O297" s="92"/>
      <c r="P297" s="85"/>
      <c r="Q297" s="64"/>
      <c r="R297" s="65"/>
      <c r="S297" s="99"/>
      <c r="T297" s="68"/>
      <c r="U297" s="76"/>
      <c r="V297" s="70"/>
      <c r="W297" s="67"/>
      <c r="X297" s="68"/>
      <c r="Y297" s="76"/>
      <c r="Z297" s="70"/>
      <c r="AA297" s="67"/>
      <c r="AB297" s="68"/>
      <c r="AC297" s="76"/>
      <c r="AD297" s="70"/>
      <c r="AE297" s="228">
        <f>ROUND((_15_同援日２．０*_15・基礎２),0)+ROUND((ROUND((_15_同援日２．０＿０．５*_15・基礎２),0)*(1+_15・B夜間)),0)</f>
        <v>508</v>
      </c>
      <c r="AF297" s="69"/>
    </row>
    <row r="298" spans="1:32" ht="16.5" customHeight="1" x14ac:dyDescent="0.3">
      <c r="A298" s="2">
        <v>15</v>
      </c>
      <c r="B298" s="2">
        <v>9850</v>
      </c>
      <c r="C298" s="60" t="s">
        <v>10067</v>
      </c>
      <c r="D298" s="1"/>
      <c r="E298" s="227">
        <v>485</v>
      </c>
      <c r="F298" s="70" t="s">
        <v>0</v>
      </c>
      <c r="G298" s="1"/>
      <c r="H298" s="119">
        <v>63</v>
      </c>
      <c r="I298" s="70" t="s">
        <v>0</v>
      </c>
      <c r="J298" s="81"/>
      <c r="K298" s="57"/>
      <c r="L298" s="57"/>
      <c r="M298" s="57"/>
      <c r="N298" s="57" t="s">
        <v>1</v>
      </c>
      <c r="O298" s="89">
        <v>0.9</v>
      </c>
      <c r="P298" s="105" t="s">
        <v>5895</v>
      </c>
      <c r="Q298" s="64" t="s">
        <v>1</v>
      </c>
      <c r="R298" s="65">
        <v>1</v>
      </c>
      <c r="S298" s="99"/>
      <c r="T298" s="68"/>
      <c r="U298" s="76"/>
      <c r="V298" s="70"/>
      <c r="W298" s="66"/>
      <c r="X298" s="57"/>
      <c r="Y298" s="58"/>
      <c r="Z298" s="77"/>
      <c r="AA298" s="67"/>
      <c r="AB298" s="68"/>
      <c r="AC298" s="76"/>
      <c r="AD298" s="70"/>
      <c r="AE298" s="228">
        <f>ROUND((ROUND((_15_同援日２．０*_15・基礎２),0)*_15・２人),0)+ROUND((ROUND((ROUND((_15_同援日２．０＿０．５*_15・基礎２),0)*_15・２人),0)*(1+_15・B夜間)),0)</f>
        <v>508</v>
      </c>
      <c r="AF298" s="69"/>
    </row>
    <row r="299" spans="1:32" ht="16.5" customHeight="1" x14ac:dyDescent="0.3">
      <c r="A299" s="2">
        <v>15</v>
      </c>
      <c r="B299" s="2">
        <v>9851</v>
      </c>
      <c r="C299" s="60" t="s">
        <v>10066</v>
      </c>
      <c r="D299" s="1"/>
      <c r="E299" s="68"/>
      <c r="F299" s="70"/>
      <c r="G299" s="1"/>
      <c r="H299" s="68"/>
      <c r="I299" s="70"/>
      <c r="J299" s="74"/>
      <c r="K299" s="62"/>
      <c r="L299" s="62"/>
      <c r="M299" s="62"/>
      <c r="N299" s="62"/>
      <c r="O299" s="92"/>
      <c r="P299" s="85"/>
      <c r="Q299" s="64"/>
      <c r="R299" s="65"/>
      <c r="S299" s="99"/>
      <c r="T299" s="68"/>
      <c r="U299" s="76"/>
      <c r="V299" s="70"/>
      <c r="W299" s="78" t="s">
        <v>18059</v>
      </c>
      <c r="X299" s="62"/>
      <c r="Y299" s="63"/>
      <c r="Z299" s="75"/>
      <c r="AA299" s="67"/>
      <c r="AB299" s="68"/>
      <c r="AC299" s="76"/>
      <c r="AD299" s="70"/>
      <c r="AE299" s="228">
        <f>ROUND((_15_同援日２．０*(1+_15・盲ろう)),0)+ROUND((ROUND((_15_同援日２．０＿０．５*(1+_15・B夜間)),0)*(1+_15・盲ろう)),0)</f>
        <v>705</v>
      </c>
      <c r="AF299" s="69"/>
    </row>
    <row r="300" spans="1:32" ht="16.5" customHeight="1" x14ac:dyDescent="0.3">
      <c r="A300" s="2">
        <v>15</v>
      </c>
      <c r="B300" s="2">
        <v>9852</v>
      </c>
      <c r="C300" s="60" t="s">
        <v>10065</v>
      </c>
      <c r="D300" s="1"/>
      <c r="E300" s="68"/>
      <c r="F300" s="70"/>
      <c r="G300" s="1"/>
      <c r="H300" s="68"/>
      <c r="I300" s="70"/>
      <c r="J300" s="81"/>
      <c r="K300" s="57"/>
      <c r="L300" s="57"/>
      <c r="M300" s="57"/>
      <c r="N300" s="57"/>
      <c r="O300" s="89"/>
      <c r="P300" s="105" t="s">
        <v>5895</v>
      </c>
      <c r="Q300" s="64" t="s">
        <v>1</v>
      </c>
      <c r="R300" s="65">
        <v>1</v>
      </c>
      <c r="S300" s="99"/>
      <c r="T300" s="68"/>
      <c r="U300" s="76"/>
      <c r="V300" s="70"/>
      <c r="W300" s="94" t="s">
        <v>18058</v>
      </c>
      <c r="X300" s="68"/>
      <c r="Y300" s="76"/>
      <c r="Z300" s="70"/>
      <c r="AA300" s="67"/>
      <c r="AB300" s="68"/>
      <c r="AC300" s="76"/>
      <c r="AD300" s="70"/>
      <c r="AE300" s="228">
        <f>ROUND((ROUND((_15_同援日２．０*_15・２人),0)*(1+_15・盲ろう)),0)+ROUND((ROUND((ROUND((_15_同援日２．０＿０．５*_15・２人),0)*(1+_15・B夜間)),0)*(1+_15・盲ろう)),0)</f>
        <v>705</v>
      </c>
      <c r="AF300" s="69"/>
    </row>
    <row r="301" spans="1:32" ht="16.5" customHeight="1" x14ac:dyDescent="0.3">
      <c r="A301" s="2">
        <v>15</v>
      </c>
      <c r="B301" s="2">
        <v>9853</v>
      </c>
      <c r="C301" s="60" t="s">
        <v>10064</v>
      </c>
      <c r="D301" s="1"/>
      <c r="E301" s="68"/>
      <c r="F301" s="70"/>
      <c r="G301" s="1"/>
      <c r="H301" s="68"/>
      <c r="I301" s="70"/>
      <c r="J301" s="74" t="s">
        <v>18069</v>
      </c>
      <c r="K301" s="62"/>
      <c r="L301" s="62"/>
      <c r="M301" s="62"/>
      <c r="N301" s="62"/>
      <c r="O301" s="92"/>
      <c r="P301" s="85"/>
      <c r="Q301" s="64"/>
      <c r="R301" s="65"/>
      <c r="S301" s="99"/>
      <c r="T301" s="68"/>
      <c r="U301" s="76"/>
      <c r="V301" s="70"/>
      <c r="W301" s="67"/>
      <c r="X301" s="68" t="s">
        <v>1</v>
      </c>
      <c r="Y301" s="76">
        <v>0.25</v>
      </c>
      <c r="Z301" s="70" t="s">
        <v>422</v>
      </c>
      <c r="AA301" s="67"/>
      <c r="AB301" s="68"/>
      <c r="AC301" s="76"/>
      <c r="AD301" s="70"/>
      <c r="AE301" s="228">
        <f>ROUND((ROUND((_15_同援日２．０*_15・基礎２),0)*(1+_15・盲ろう)),0)+ROUND((ROUND((ROUND((_15_同援日２．０＿０．５*_15・基礎２),0)*(1+_15・B夜間)),0)*(1+_15・盲ろう)),0)</f>
        <v>635</v>
      </c>
      <c r="AF301" s="69"/>
    </row>
    <row r="302" spans="1:32" ht="16.5" customHeight="1" x14ac:dyDescent="0.3">
      <c r="A302" s="2">
        <v>15</v>
      </c>
      <c r="B302" s="2">
        <v>9854</v>
      </c>
      <c r="C302" s="60" t="s">
        <v>10063</v>
      </c>
      <c r="D302" s="1"/>
      <c r="E302" s="68"/>
      <c r="F302" s="70"/>
      <c r="G302" s="1"/>
      <c r="H302" s="68"/>
      <c r="I302" s="70"/>
      <c r="J302" s="81"/>
      <c r="K302" s="57"/>
      <c r="L302" s="57"/>
      <c r="M302" s="57"/>
      <c r="N302" s="57" t="s">
        <v>1</v>
      </c>
      <c r="O302" s="89">
        <v>0.9</v>
      </c>
      <c r="P302" s="105" t="s">
        <v>5895</v>
      </c>
      <c r="Q302" s="64" t="s">
        <v>1</v>
      </c>
      <c r="R302" s="65">
        <v>1</v>
      </c>
      <c r="S302" s="99"/>
      <c r="T302" s="68"/>
      <c r="U302" s="76"/>
      <c r="V302" s="70"/>
      <c r="W302" s="66"/>
      <c r="X302" s="57"/>
      <c r="Y302" s="58"/>
      <c r="Z302" s="77"/>
      <c r="AA302" s="66"/>
      <c r="AB302" s="57"/>
      <c r="AC302" s="58"/>
      <c r="AD302" s="77"/>
      <c r="AE302" s="228">
        <f>ROUND((ROUND((ROUND((_15_同援日２．０*_15・基礎２),0)*_15・２人),0)*(1+_15・盲ろう)),0)+ROUND((ROUND((ROUND((ROUND((_15_同援日２．０＿０．５*_15・基礎２),0)*_15・２人),0)*(1+_15・B夜間)),0)*(1+_15・盲ろう)),0)</f>
        <v>635</v>
      </c>
      <c r="AF302" s="69"/>
    </row>
    <row r="303" spans="1:32" ht="16.5" customHeight="1" x14ac:dyDescent="0.3">
      <c r="A303" s="2">
        <v>15</v>
      </c>
      <c r="B303" s="2">
        <v>9855</v>
      </c>
      <c r="C303" s="60" t="s">
        <v>10062</v>
      </c>
      <c r="D303" s="1"/>
      <c r="E303" s="68"/>
      <c r="F303" s="70"/>
      <c r="G303" s="1"/>
      <c r="H303" s="68"/>
      <c r="I303" s="70"/>
      <c r="J303" s="74"/>
      <c r="K303" s="62"/>
      <c r="L303" s="62"/>
      <c r="M303" s="62"/>
      <c r="N303" s="62"/>
      <c r="O303" s="92"/>
      <c r="P303" s="85"/>
      <c r="Q303" s="64"/>
      <c r="R303" s="65"/>
      <c r="S303" s="99"/>
      <c r="T303" s="68"/>
      <c r="U303" s="76"/>
      <c r="V303" s="70"/>
      <c r="W303" s="61"/>
      <c r="X303" s="62"/>
      <c r="Y303" s="63"/>
      <c r="Z303" s="75"/>
      <c r="AA303" s="61"/>
      <c r="AB303" s="62"/>
      <c r="AC303" s="63"/>
      <c r="AD303" s="75"/>
      <c r="AE303" s="228">
        <f>ROUND((_15_同援日２．０*(1+_15・区３)),0)+ROUND((ROUND((_15_同援日２．０＿０．５*(1+_15・B夜間)),0)*(1+_15・区３)),0)</f>
        <v>677</v>
      </c>
      <c r="AF303" s="69"/>
    </row>
    <row r="304" spans="1:32" ht="16.5" customHeight="1" x14ac:dyDescent="0.3">
      <c r="A304" s="2">
        <v>15</v>
      </c>
      <c r="B304" s="2">
        <v>9856</v>
      </c>
      <c r="C304" s="60" t="s">
        <v>10061</v>
      </c>
      <c r="D304" s="1"/>
      <c r="E304" s="68"/>
      <c r="F304" s="70"/>
      <c r="G304" s="1"/>
      <c r="H304" s="68"/>
      <c r="I304" s="70"/>
      <c r="J304" s="81"/>
      <c r="K304" s="57"/>
      <c r="L304" s="57"/>
      <c r="M304" s="57"/>
      <c r="N304" s="57"/>
      <c r="O304" s="89"/>
      <c r="P304" s="105" t="s">
        <v>5895</v>
      </c>
      <c r="Q304" s="64" t="s">
        <v>1</v>
      </c>
      <c r="R304" s="65">
        <v>1</v>
      </c>
      <c r="S304" s="99"/>
      <c r="T304" s="68"/>
      <c r="U304" s="76"/>
      <c r="V304" s="70"/>
      <c r="W304" s="67"/>
      <c r="X304" s="68"/>
      <c r="Y304" s="76"/>
      <c r="Z304" s="70"/>
      <c r="AA304" s="67"/>
      <c r="AB304" s="68"/>
      <c r="AC304" s="76"/>
      <c r="AD304" s="70"/>
      <c r="AE304" s="228">
        <f>ROUND((ROUND((_15_同援日２．０*_15・２人),0)*(1+_15・区３)),0)+ROUND((ROUND((ROUND((_15_同援日２．０＿０．５*_15・２人),0)*(1+_15・B夜間)),0)*(1+_15・区３)),0)</f>
        <v>677</v>
      </c>
      <c r="AF304" s="69"/>
    </row>
    <row r="305" spans="1:32" ht="16.5" customHeight="1" x14ac:dyDescent="0.3">
      <c r="A305" s="2">
        <v>15</v>
      </c>
      <c r="B305" s="2">
        <v>9857</v>
      </c>
      <c r="C305" s="60" t="s">
        <v>10060</v>
      </c>
      <c r="D305" s="1"/>
      <c r="E305" s="68"/>
      <c r="F305" s="70"/>
      <c r="G305" s="1"/>
      <c r="H305" s="68"/>
      <c r="I305" s="70"/>
      <c r="J305" s="74" t="s">
        <v>18069</v>
      </c>
      <c r="K305" s="62"/>
      <c r="L305" s="62"/>
      <c r="M305" s="62"/>
      <c r="N305" s="62"/>
      <c r="O305" s="92"/>
      <c r="P305" s="85"/>
      <c r="Q305" s="64"/>
      <c r="R305" s="65"/>
      <c r="S305" s="99"/>
      <c r="T305" s="68"/>
      <c r="U305" s="76"/>
      <c r="V305" s="70"/>
      <c r="W305" s="67"/>
      <c r="X305" s="68"/>
      <c r="Y305" s="76"/>
      <c r="Z305" s="70"/>
      <c r="AA305" s="1" t="s">
        <v>18062</v>
      </c>
      <c r="AB305" s="68"/>
      <c r="AC305" s="76"/>
      <c r="AD305" s="70"/>
      <c r="AE305" s="228">
        <f>ROUND((ROUND((_15_同援日２．０*_15・基礎２),0)*(1+_15・区３)),0)+ROUND((ROUND((ROUND((_15_同援日２．０＿０．５*_15・基礎２),0)*(1+_15・B夜間)),0)*(1+_15・区３)),0)</f>
        <v>609</v>
      </c>
      <c r="AF305" s="69"/>
    </row>
    <row r="306" spans="1:32" ht="16.5" customHeight="1" x14ac:dyDescent="0.3">
      <c r="A306" s="2">
        <v>15</v>
      </c>
      <c r="B306" s="2">
        <v>9858</v>
      </c>
      <c r="C306" s="60" t="s">
        <v>10059</v>
      </c>
      <c r="D306" s="1"/>
      <c r="E306" s="68"/>
      <c r="F306" s="70"/>
      <c r="G306" s="1"/>
      <c r="H306" s="68"/>
      <c r="I306" s="70"/>
      <c r="J306" s="81"/>
      <c r="K306" s="57"/>
      <c r="L306" s="57"/>
      <c r="M306" s="57"/>
      <c r="N306" s="57" t="s">
        <v>1</v>
      </c>
      <c r="O306" s="89">
        <v>0.9</v>
      </c>
      <c r="P306" s="105" t="s">
        <v>5895</v>
      </c>
      <c r="Q306" s="64" t="s">
        <v>1</v>
      </c>
      <c r="R306" s="65">
        <v>1</v>
      </c>
      <c r="S306" s="99"/>
      <c r="T306" s="68"/>
      <c r="U306" s="76"/>
      <c r="V306" s="70"/>
      <c r="W306" s="66"/>
      <c r="X306" s="57"/>
      <c r="Y306" s="58"/>
      <c r="Z306" s="77"/>
      <c r="AA306" s="1" t="s">
        <v>18060</v>
      </c>
      <c r="AB306" s="68"/>
      <c r="AC306" s="76"/>
      <c r="AD306" s="70"/>
      <c r="AE306" s="228">
        <f>ROUND((ROUND((ROUND((_15_同援日２．０*_15・基礎２),0)*_15・２人),0)*(1+_15・区３)),0)+ROUND((ROUND((ROUND((ROUND((_15_同援日２．０＿０．５*_15・基礎２),0)*_15・２人),0)*(1+_15・B夜間)),0)*(1+_15・区３)),0)</f>
        <v>609</v>
      </c>
      <c r="AF306" s="69"/>
    </row>
    <row r="307" spans="1:32" ht="16.5" customHeight="1" x14ac:dyDescent="0.3">
      <c r="A307" s="2">
        <v>15</v>
      </c>
      <c r="B307" s="2">
        <v>9859</v>
      </c>
      <c r="C307" s="60" t="s">
        <v>10058</v>
      </c>
      <c r="D307" s="1"/>
      <c r="E307" s="68"/>
      <c r="F307" s="70"/>
      <c r="G307" s="1"/>
      <c r="H307" s="68"/>
      <c r="I307" s="70"/>
      <c r="J307" s="74"/>
      <c r="K307" s="62"/>
      <c r="L307" s="62"/>
      <c r="M307" s="62"/>
      <c r="N307" s="62"/>
      <c r="O307" s="92"/>
      <c r="P307" s="85"/>
      <c r="Q307" s="64"/>
      <c r="R307" s="65"/>
      <c r="S307" s="99"/>
      <c r="T307" s="68"/>
      <c r="U307" s="76"/>
      <c r="V307" s="70"/>
      <c r="W307" s="78" t="s">
        <v>8085</v>
      </c>
      <c r="X307" s="62"/>
      <c r="Y307" s="63"/>
      <c r="Z307" s="75"/>
      <c r="AA307" s="67"/>
      <c r="AB307" s="68" t="s">
        <v>1</v>
      </c>
      <c r="AC307" s="76">
        <v>0.2</v>
      </c>
      <c r="AD307" s="70" t="s">
        <v>422</v>
      </c>
      <c r="AE307" s="228">
        <f>ROUND((ROUND((_15_同援日２．０*(1+_15・盲ろう)),0)*(1+_15・区３)),0)+ROUND((ROUND((ROUND((_15_同援日２．０＿０．５*(1+_15・B夜間)),0)*(1+_15・盲ろう)),0)*(1+_15・区３)),0)</f>
        <v>846</v>
      </c>
      <c r="AF307" s="69"/>
    </row>
    <row r="308" spans="1:32" ht="16.5" customHeight="1" x14ac:dyDescent="0.3">
      <c r="A308" s="2">
        <v>15</v>
      </c>
      <c r="B308" s="2">
        <v>9860</v>
      </c>
      <c r="C308" s="60" t="s">
        <v>10057</v>
      </c>
      <c r="D308" s="1"/>
      <c r="E308" s="68"/>
      <c r="F308" s="70"/>
      <c r="G308" s="1"/>
      <c r="H308" s="68"/>
      <c r="I308" s="70"/>
      <c r="J308" s="81"/>
      <c r="K308" s="57"/>
      <c r="L308" s="57"/>
      <c r="M308" s="57"/>
      <c r="N308" s="57"/>
      <c r="O308" s="89"/>
      <c r="P308" s="105" t="s">
        <v>5895</v>
      </c>
      <c r="Q308" s="64" t="s">
        <v>1</v>
      </c>
      <c r="R308" s="65">
        <v>1</v>
      </c>
      <c r="S308" s="99"/>
      <c r="T308" s="68"/>
      <c r="U308" s="76"/>
      <c r="V308" s="70"/>
      <c r="W308" s="94" t="s">
        <v>18058</v>
      </c>
      <c r="X308" s="68"/>
      <c r="Y308" s="76"/>
      <c r="Z308" s="70"/>
      <c r="AA308" s="67"/>
      <c r="AB308" s="68"/>
      <c r="AC308" s="76"/>
      <c r="AD308" s="70"/>
      <c r="AE308" s="228">
        <f>ROUND((ROUND((ROUND((_15_同援日２．０*_15・２人),0)*(1+_15・盲ろう)),0)*(1+_15・区３)),0)+ROUND((ROUND((ROUND((ROUND((_15_同援日２．０＿０．５*_15・２人),0)*(1+_15・B夜間)),0)*(1+_15・盲ろう)),0)*(1+_15・区３)),0)</f>
        <v>846</v>
      </c>
      <c r="AF308" s="69"/>
    </row>
    <row r="309" spans="1:32" ht="16.5" customHeight="1" x14ac:dyDescent="0.3">
      <c r="A309" s="2">
        <v>15</v>
      </c>
      <c r="B309" s="2">
        <v>9861</v>
      </c>
      <c r="C309" s="60" t="s">
        <v>10056</v>
      </c>
      <c r="D309" s="1"/>
      <c r="E309" s="68"/>
      <c r="F309" s="70"/>
      <c r="G309" s="1"/>
      <c r="H309" s="68"/>
      <c r="I309" s="70"/>
      <c r="J309" s="74" t="s">
        <v>18069</v>
      </c>
      <c r="K309" s="62"/>
      <c r="L309" s="62"/>
      <c r="M309" s="62"/>
      <c r="N309" s="62"/>
      <c r="O309" s="92"/>
      <c r="P309" s="85"/>
      <c r="Q309" s="64"/>
      <c r="R309" s="65"/>
      <c r="S309" s="99"/>
      <c r="T309" s="68"/>
      <c r="U309" s="76"/>
      <c r="V309" s="70"/>
      <c r="W309" s="67"/>
      <c r="X309" s="68" t="s">
        <v>1</v>
      </c>
      <c r="Y309" s="76">
        <v>0.25</v>
      </c>
      <c r="Z309" s="70" t="s">
        <v>422</v>
      </c>
      <c r="AA309" s="67"/>
      <c r="AB309" s="68"/>
      <c r="AC309" s="76"/>
      <c r="AD309" s="70"/>
      <c r="AE309" s="228">
        <f>ROUND((ROUND((ROUND((_15_同援日２．０*_15・基礎２),0)*(1+_15・盲ろう)),0)*(1+_15・区３)),0)+ROUND((ROUND((ROUND((ROUND((_15_同援日２．０＿０．５*_15・基礎２),0)*(1+_15・B夜間)),0)*(1+_15・盲ろう)),0)*(1+_15・区３)),0)</f>
        <v>762</v>
      </c>
      <c r="AF309" s="69"/>
    </row>
    <row r="310" spans="1:32" ht="16.5" customHeight="1" x14ac:dyDescent="0.3">
      <c r="A310" s="2">
        <v>15</v>
      </c>
      <c r="B310" s="2">
        <v>9862</v>
      </c>
      <c r="C310" s="60" t="s">
        <v>10055</v>
      </c>
      <c r="D310" s="1"/>
      <c r="E310" s="68"/>
      <c r="F310" s="70"/>
      <c r="G310" s="1"/>
      <c r="H310" s="68"/>
      <c r="I310" s="70"/>
      <c r="J310" s="81"/>
      <c r="K310" s="57"/>
      <c r="L310" s="57"/>
      <c r="M310" s="57"/>
      <c r="N310" s="57" t="s">
        <v>1</v>
      </c>
      <c r="O310" s="89">
        <v>0.9</v>
      </c>
      <c r="P310" s="105" t="s">
        <v>5895</v>
      </c>
      <c r="Q310" s="64" t="s">
        <v>1</v>
      </c>
      <c r="R310" s="65">
        <v>1</v>
      </c>
      <c r="S310" s="99"/>
      <c r="T310" s="68"/>
      <c r="U310" s="76"/>
      <c r="V310" s="70"/>
      <c r="W310" s="66"/>
      <c r="X310" s="57"/>
      <c r="Y310" s="58"/>
      <c r="Z310" s="77"/>
      <c r="AA310" s="66"/>
      <c r="AB310" s="57"/>
      <c r="AC310" s="58"/>
      <c r="AD310" s="77"/>
      <c r="AE310" s="228">
        <f>ROUND((ROUND((ROUND((ROUND((_15_同援日２．０*_15・基礎２),0)*_15・２人),0)*(1+_15・盲ろう)),0)*(1+_15・区３)),0)+ROUND((ROUND((ROUND((ROUND((ROUND((_15_同援日２．０＿０．５*_15・基礎２),0)*_15・２人),0)*(1+_15・B夜間)),0)*(1+_15・盲ろう)),0)*(1+_15・区３)),0)</f>
        <v>762</v>
      </c>
      <c r="AF310" s="69"/>
    </row>
    <row r="311" spans="1:32" ht="16.5" customHeight="1" x14ac:dyDescent="0.3">
      <c r="A311" s="2">
        <v>15</v>
      </c>
      <c r="B311" s="2">
        <v>9863</v>
      </c>
      <c r="C311" s="60" t="s">
        <v>10054</v>
      </c>
      <c r="D311" s="1"/>
      <c r="E311" s="68"/>
      <c r="F311" s="70"/>
      <c r="G311" s="1"/>
      <c r="H311" s="68"/>
      <c r="I311" s="70"/>
      <c r="J311" s="74"/>
      <c r="K311" s="62"/>
      <c r="L311" s="62"/>
      <c r="M311" s="62"/>
      <c r="N311" s="62"/>
      <c r="O311" s="92"/>
      <c r="P311" s="85"/>
      <c r="Q311" s="64"/>
      <c r="R311" s="65"/>
      <c r="S311" s="99"/>
      <c r="T311" s="68"/>
      <c r="U311" s="76"/>
      <c r="V311" s="70"/>
      <c r="W311" s="61"/>
      <c r="X311" s="62"/>
      <c r="Y311" s="63"/>
      <c r="Z311" s="75"/>
      <c r="AA311" s="61"/>
      <c r="AB311" s="62"/>
      <c r="AC311" s="63"/>
      <c r="AD311" s="75"/>
      <c r="AE311" s="228">
        <f>ROUND((_15_同援日２．０*(1+_15・区４)),0)+ROUND((ROUND((_15_同援日２．０＿０．５*(1+_15・B夜間)),0)*(1+_15・区４)),0)</f>
        <v>790</v>
      </c>
      <c r="AF311" s="69"/>
    </row>
    <row r="312" spans="1:32" ht="16.5" customHeight="1" x14ac:dyDescent="0.3">
      <c r="A312" s="2">
        <v>15</v>
      </c>
      <c r="B312" s="2">
        <v>9864</v>
      </c>
      <c r="C312" s="60" t="s">
        <v>10053</v>
      </c>
      <c r="D312" s="1"/>
      <c r="E312" s="68"/>
      <c r="F312" s="70"/>
      <c r="G312" s="1"/>
      <c r="H312" s="68"/>
      <c r="I312" s="70"/>
      <c r="J312" s="81"/>
      <c r="K312" s="57"/>
      <c r="L312" s="57"/>
      <c r="M312" s="57"/>
      <c r="N312" s="57"/>
      <c r="O312" s="89"/>
      <c r="P312" s="105" t="s">
        <v>5895</v>
      </c>
      <c r="Q312" s="64" t="s">
        <v>1</v>
      </c>
      <c r="R312" s="65">
        <v>1</v>
      </c>
      <c r="S312" s="99"/>
      <c r="T312" s="68"/>
      <c r="U312" s="76"/>
      <c r="V312" s="70"/>
      <c r="W312" s="67"/>
      <c r="X312" s="68"/>
      <c r="Y312" s="76"/>
      <c r="Z312" s="70"/>
      <c r="AA312" s="67"/>
      <c r="AB312" s="68"/>
      <c r="AC312" s="76"/>
      <c r="AD312" s="70"/>
      <c r="AE312" s="228">
        <f>ROUND((ROUND((_15_同援日２．０*_15・２人),0)*(1+_15・区４)),0)+ROUND((ROUND((ROUND((_15_同援日２．０＿０．５*_15・２人),0)*(1+_15・B夜間)),0)*(1+_15・区４)),0)</f>
        <v>790</v>
      </c>
      <c r="AF312" s="69"/>
    </row>
    <row r="313" spans="1:32" ht="16.5" customHeight="1" x14ac:dyDescent="0.3">
      <c r="A313" s="2">
        <v>15</v>
      </c>
      <c r="B313" s="2">
        <v>9865</v>
      </c>
      <c r="C313" s="60" t="s">
        <v>10052</v>
      </c>
      <c r="D313" s="1"/>
      <c r="E313" s="68"/>
      <c r="F313" s="70"/>
      <c r="G313" s="1"/>
      <c r="H313" s="68"/>
      <c r="I313" s="70"/>
      <c r="J313" s="74" t="s">
        <v>18069</v>
      </c>
      <c r="K313" s="62"/>
      <c r="L313" s="62"/>
      <c r="M313" s="62"/>
      <c r="N313" s="62"/>
      <c r="O313" s="92"/>
      <c r="P313" s="85"/>
      <c r="Q313" s="64"/>
      <c r="R313" s="65"/>
      <c r="S313" s="99"/>
      <c r="T313" s="68"/>
      <c r="U313" s="76"/>
      <c r="V313" s="70"/>
      <c r="W313" s="67"/>
      <c r="X313" s="68"/>
      <c r="Y313" s="76"/>
      <c r="Z313" s="70"/>
      <c r="AA313" s="1" t="s">
        <v>18061</v>
      </c>
      <c r="AB313" s="68"/>
      <c r="AC313" s="76"/>
      <c r="AD313" s="70"/>
      <c r="AE313" s="228">
        <f>ROUND((ROUND((_15_同援日２．０*_15・基礎２),0)*(1+_15・区４)),0)+ROUND((ROUND((ROUND((_15_同援日２．０＿０．５*_15・基礎２),0)*(1+_15・B夜間)),0)*(1+_15・区４)),0)</f>
        <v>711</v>
      </c>
      <c r="AF313" s="69"/>
    </row>
    <row r="314" spans="1:32" ht="16.5" customHeight="1" x14ac:dyDescent="0.3">
      <c r="A314" s="2">
        <v>15</v>
      </c>
      <c r="B314" s="2">
        <v>9866</v>
      </c>
      <c r="C314" s="60" t="s">
        <v>10051</v>
      </c>
      <c r="D314" s="1"/>
      <c r="E314" s="68"/>
      <c r="F314" s="70"/>
      <c r="G314" s="1"/>
      <c r="H314" s="68"/>
      <c r="I314" s="70"/>
      <c r="J314" s="81"/>
      <c r="K314" s="57"/>
      <c r="L314" s="57"/>
      <c r="M314" s="57"/>
      <c r="N314" s="57" t="s">
        <v>1</v>
      </c>
      <c r="O314" s="89">
        <v>0.9</v>
      </c>
      <c r="P314" s="105" t="s">
        <v>5895</v>
      </c>
      <c r="Q314" s="64" t="s">
        <v>1</v>
      </c>
      <c r="R314" s="65">
        <v>1</v>
      </c>
      <c r="S314" s="99"/>
      <c r="T314" s="68"/>
      <c r="U314" s="76"/>
      <c r="V314" s="70"/>
      <c r="W314" s="66"/>
      <c r="X314" s="57"/>
      <c r="Y314" s="58"/>
      <c r="Z314" s="77"/>
      <c r="AA314" s="1" t="s">
        <v>8087</v>
      </c>
      <c r="AB314" s="68"/>
      <c r="AC314" s="76"/>
      <c r="AD314" s="70"/>
      <c r="AE314" s="228">
        <f>ROUND((ROUND((ROUND((_15_同援日２．０*_15・基礎２),0)*_15・２人),0)*(1+_15・区４)),0)+ROUND((ROUND((ROUND((ROUND((_15_同援日２．０＿０．５*_15・基礎２),0)*_15・２人),0)*(1+_15・B夜間)),0)*(1+_15・区４)),0)</f>
        <v>711</v>
      </c>
      <c r="AF314" s="69"/>
    </row>
    <row r="315" spans="1:32" ht="16.5" customHeight="1" x14ac:dyDescent="0.3">
      <c r="A315" s="2">
        <v>15</v>
      </c>
      <c r="B315" s="2">
        <v>9867</v>
      </c>
      <c r="C315" s="60" t="s">
        <v>10050</v>
      </c>
      <c r="D315" s="1"/>
      <c r="E315" s="68"/>
      <c r="F315" s="70"/>
      <c r="G315" s="1"/>
      <c r="H315" s="68"/>
      <c r="I315" s="70"/>
      <c r="J315" s="74"/>
      <c r="K315" s="62"/>
      <c r="L315" s="62"/>
      <c r="M315" s="62"/>
      <c r="N315" s="62"/>
      <c r="O315" s="92"/>
      <c r="P315" s="85"/>
      <c r="Q315" s="64"/>
      <c r="R315" s="65"/>
      <c r="S315" s="99"/>
      <c r="T315" s="68"/>
      <c r="U315" s="76"/>
      <c r="V315" s="70"/>
      <c r="W315" s="78" t="s">
        <v>8085</v>
      </c>
      <c r="X315" s="62"/>
      <c r="Y315" s="63"/>
      <c r="Z315" s="75"/>
      <c r="AA315" s="67"/>
      <c r="AB315" s="68" t="s">
        <v>1</v>
      </c>
      <c r="AC315" s="76">
        <v>0.4</v>
      </c>
      <c r="AD315" s="70" t="s">
        <v>422</v>
      </c>
      <c r="AE315" s="228">
        <f>ROUND((ROUND((_15_同援日２．０*(1+_15・盲ろう)),0)*(1+_15・区４)),0)+ROUND((ROUND((ROUND((_15_同援日２．０＿０．５*(1+_15・B夜間)),0)*(1+_15・盲ろう)),0)*(1+_15・区４)),0)</f>
        <v>987</v>
      </c>
      <c r="AF315" s="69"/>
    </row>
    <row r="316" spans="1:32" ht="16.5" customHeight="1" x14ac:dyDescent="0.3">
      <c r="A316" s="2">
        <v>15</v>
      </c>
      <c r="B316" s="2">
        <v>9868</v>
      </c>
      <c r="C316" s="60" t="s">
        <v>10049</v>
      </c>
      <c r="D316" s="1"/>
      <c r="E316" s="68"/>
      <c r="F316" s="70"/>
      <c r="G316" s="1"/>
      <c r="H316" s="68"/>
      <c r="I316" s="70"/>
      <c r="J316" s="81"/>
      <c r="K316" s="57"/>
      <c r="L316" s="57"/>
      <c r="M316" s="57"/>
      <c r="N316" s="57"/>
      <c r="O316" s="89"/>
      <c r="P316" s="105" t="s">
        <v>5895</v>
      </c>
      <c r="Q316" s="64" t="s">
        <v>1</v>
      </c>
      <c r="R316" s="65">
        <v>1</v>
      </c>
      <c r="S316" s="99"/>
      <c r="T316" s="68"/>
      <c r="U316" s="76"/>
      <c r="V316" s="70"/>
      <c r="W316" s="94" t="s">
        <v>8083</v>
      </c>
      <c r="X316" s="68"/>
      <c r="Y316" s="76"/>
      <c r="Z316" s="70"/>
      <c r="AA316" s="67"/>
      <c r="AB316" s="68"/>
      <c r="AC316" s="76"/>
      <c r="AD316" s="70"/>
      <c r="AE316" s="228">
        <f>ROUND((ROUND((ROUND((_15_同援日２．０*_15・２人),0)*(1+_15・盲ろう)),0)*(1+_15・区４)),0)+ROUND((ROUND((ROUND((ROUND((_15_同援日２．０＿０．５*_15・２人),0)*(1+_15・B夜間)),0)*(1+_15・盲ろう)),0)*(1+_15・区４)),0)</f>
        <v>987</v>
      </c>
      <c r="AF316" s="69"/>
    </row>
    <row r="317" spans="1:32" ht="16.5" customHeight="1" x14ac:dyDescent="0.3">
      <c r="A317" s="2">
        <v>15</v>
      </c>
      <c r="B317" s="2">
        <v>9869</v>
      </c>
      <c r="C317" s="60" t="s">
        <v>10048</v>
      </c>
      <c r="D317" s="1"/>
      <c r="E317" s="68"/>
      <c r="F317" s="70"/>
      <c r="G317" s="1"/>
      <c r="H317" s="68"/>
      <c r="I317" s="70"/>
      <c r="J317" s="74" t="s">
        <v>18069</v>
      </c>
      <c r="K317" s="62"/>
      <c r="L317" s="62"/>
      <c r="M317" s="62"/>
      <c r="N317" s="62"/>
      <c r="O317" s="92"/>
      <c r="P317" s="85"/>
      <c r="Q317" s="64"/>
      <c r="R317" s="65"/>
      <c r="S317" s="99"/>
      <c r="T317" s="68"/>
      <c r="U317" s="76"/>
      <c r="V317" s="70"/>
      <c r="W317" s="67"/>
      <c r="X317" s="68" t="s">
        <v>1</v>
      </c>
      <c r="Y317" s="76">
        <v>0.25</v>
      </c>
      <c r="Z317" s="70" t="s">
        <v>422</v>
      </c>
      <c r="AA317" s="67"/>
      <c r="AB317" s="68"/>
      <c r="AC317" s="76"/>
      <c r="AD317" s="70"/>
      <c r="AE317" s="228">
        <f>ROUND((ROUND((ROUND((_15_同援日２．０*_15・基礎２),0)*(1+_15・盲ろう)),0)*(1+_15・区４)),0)+ROUND((ROUND((ROUND((ROUND((_15_同援日２．０＿０．５*_15・基礎２),0)*(1+_15・B夜間)),0)*(1+_15・盲ろう)),0)*(1+_15・区４)),0)</f>
        <v>889</v>
      </c>
      <c r="AF317" s="69"/>
    </row>
    <row r="318" spans="1:32" ht="16.5" customHeight="1" x14ac:dyDescent="0.3">
      <c r="A318" s="2">
        <v>15</v>
      </c>
      <c r="B318" s="2">
        <v>9870</v>
      </c>
      <c r="C318" s="60" t="s">
        <v>10047</v>
      </c>
      <c r="D318" s="1"/>
      <c r="E318" s="68"/>
      <c r="F318" s="70"/>
      <c r="G318" s="81"/>
      <c r="H318" s="57"/>
      <c r="I318" s="77"/>
      <c r="J318" s="81"/>
      <c r="K318" s="57"/>
      <c r="L318" s="57"/>
      <c r="M318" s="57"/>
      <c r="N318" s="57" t="s">
        <v>1</v>
      </c>
      <c r="O318" s="89">
        <v>0.9</v>
      </c>
      <c r="P318" s="105" t="s">
        <v>5895</v>
      </c>
      <c r="Q318" s="64" t="s">
        <v>1</v>
      </c>
      <c r="R318" s="65">
        <v>1</v>
      </c>
      <c r="S318" s="99"/>
      <c r="T318" s="68"/>
      <c r="U318" s="76"/>
      <c r="V318" s="70"/>
      <c r="W318" s="66"/>
      <c r="X318" s="57"/>
      <c r="Y318" s="58"/>
      <c r="Z318" s="77"/>
      <c r="AA318" s="66"/>
      <c r="AB318" s="57"/>
      <c r="AC318" s="58"/>
      <c r="AD318" s="77"/>
      <c r="AE318" s="228">
        <f>ROUND((ROUND((ROUND((ROUND((_15_同援日２．０*_15・基礎２),0)*_15・２人),0)*(1+_15・盲ろう)),0)*(1+_15・区４)),0)+ROUND((ROUND((ROUND((ROUND((ROUND((_15_同援日２．０＿０．５*_15・基礎２),0)*_15・２人),0)*(1+_15・B夜間)),0)*(1+_15・盲ろう)),0)*(1+_15・区４)),0)</f>
        <v>889</v>
      </c>
      <c r="AF318" s="69"/>
    </row>
    <row r="319" spans="1:32" ht="16.5" customHeight="1" x14ac:dyDescent="0.3">
      <c r="A319" s="2">
        <v>15</v>
      </c>
      <c r="B319" s="2">
        <v>9871</v>
      </c>
      <c r="C319" s="60" t="s">
        <v>10046</v>
      </c>
      <c r="D319" s="1"/>
      <c r="E319" s="68"/>
      <c r="F319" s="70"/>
      <c r="G319" s="233" t="s">
        <v>18073</v>
      </c>
      <c r="H319" s="62"/>
      <c r="I319" s="75"/>
      <c r="J319" s="74"/>
      <c r="K319" s="62"/>
      <c r="L319" s="62"/>
      <c r="M319" s="62"/>
      <c r="N319" s="62"/>
      <c r="O319" s="92"/>
      <c r="P319" s="85"/>
      <c r="Q319" s="64"/>
      <c r="R319" s="65"/>
      <c r="S319" s="99"/>
      <c r="T319" s="68"/>
      <c r="U319" s="76"/>
      <c r="V319" s="70"/>
      <c r="W319" s="61"/>
      <c r="X319" s="62"/>
      <c r="Y319" s="63"/>
      <c r="Z319" s="75"/>
      <c r="AA319" s="61"/>
      <c r="AB319" s="62"/>
      <c r="AC319" s="63"/>
      <c r="AD319" s="75"/>
      <c r="AE319" s="228">
        <f>_15_同援日２．０+ROUND((_15_同援日２．０＿１．０*(1+_15・B夜間)),0)</f>
        <v>643</v>
      </c>
      <c r="AF319" s="69"/>
    </row>
    <row r="320" spans="1:32" ht="16.5" customHeight="1" x14ac:dyDescent="0.3">
      <c r="A320" s="2">
        <v>15</v>
      </c>
      <c r="B320" s="2">
        <v>9872</v>
      </c>
      <c r="C320" s="60" t="s">
        <v>10045</v>
      </c>
      <c r="D320" s="1"/>
      <c r="E320" s="68"/>
      <c r="F320" s="70"/>
      <c r="G320" s="1" t="s">
        <v>5993</v>
      </c>
      <c r="H320" s="68"/>
      <c r="I320" s="70"/>
      <c r="J320" s="81"/>
      <c r="K320" s="57"/>
      <c r="L320" s="57"/>
      <c r="M320" s="57"/>
      <c r="N320" s="57"/>
      <c r="O320" s="89"/>
      <c r="P320" s="105" t="s">
        <v>5895</v>
      </c>
      <c r="Q320" s="64" t="s">
        <v>1</v>
      </c>
      <c r="R320" s="65">
        <v>1</v>
      </c>
      <c r="S320" s="99"/>
      <c r="T320" s="68"/>
      <c r="U320" s="76"/>
      <c r="V320" s="70"/>
      <c r="W320" s="67"/>
      <c r="X320" s="68"/>
      <c r="Y320" s="76"/>
      <c r="Z320" s="70"/>
      <c r="AA320" s="67"/>
      <c r="AB320" s="68"/>
      <c r="AC320" s="76"/>
      <c r="AD320" s="70"/>
      <c r="AE320" s="228">
        <f>ROUND((_15_同援日２．０*_15・２人),0)+ROUND((ROUND((_15_同援日２．０＿１．０*_15・２人),0)*(1+_15・B夜間)),0)</f>
        <v>643</v>
      </c>
      <c r="AF320" s="69"/>
    </row>
    <row r="321" spans="1:32" ht="16.5" customHeight="1" x14ac:dyDescent="0.3">
      <c r="A321" s="2">
        <v>15</v>
      </c>
      <c r="B321" s="2">
        <v>9873</v>
      </c>
      <c r="C321" s="60" t="s">
        <v>10044</v>
      </c>
      <c r="D321" s="1"/>
      <c r="E321" s="68"/>
      <c r="F321" s="70"/>
      <c r="G321" s="1" t="s">
        <v>8572</v>
      </c>
      <c r="H321" s="68"/>
      <c r="I321" s="70"/>
      <c r="J321" s="74" t="s">
        <v>6260</v>
      </c>
      <c r="K321" s="62"/>
      <c r="L321" s="62"/>
      <c r="M321" s="62"/>
      <c r="N321" s="62"/>
      <c r="O321" s="92"/>
      <c r="P321" s="85"/>
      <c r="Q321" s="64"/>
      <c r="R321" s="65"/>
      <c r="S321" s="99"/>
      <c r="T321" s="68"/>
      <c r="U321" s="76"/>
      <c r="V321" s="70"/>
      <c r="W321" s="67"/>
      <c r="X321" s="68"/>
      <c r="Y321" s="76"/>
      <c r="Z321" s="70"/>
      <c r="AA321" s="67"/>
      <c r="AB321" s="68"/>
      <c r="AC321" s="76"/>
      <c r="AD321" s="70"/>
      <c r="AE321" s="228">
        <f>ROUND((_15_同援日２．０*_15・基礎２),0)+ROUND((ROUND((_15_同援日２．０＿１．０*_15・基礎２),0)*(1+_15・B夜間)),0)</f>
        <v>578</v>
      </c>
      <c r="AF321" s="69"/>
    </row>
    <row r="322" spans="1:32" ht="16.5" customHeight="1" x14ac:dyDescent="0.3">
      <c r="A322" s="2">
        <v>15</v>
      </c>
      <c r="B322" s="2">
        <v>9874</v>
      </c>
      <c r="C322" s="60" t="s">
        <v>10043</v>
      </c>
      <c r="D322" s="1"/>
      <c r="E322" s="68"/>
      <c r="F322" s="70"/>
      <c r="G322" s="1"/>
      <c r="H322" s="119">
        <v>126</v>
      </c>
      <c r="I322" s="70" t="s">
        <v>0</v>
      </c>
      <c r="J322" s="81"/>
      <c r="K322" s="57"/>
      <c r="L322" s="57"/>
      <c r="M322" s="57"/>
      <c r="N322" s="57" t="s">
        <v>1</v>
      </c>
      <c r="O322" s="89">
        <v>0.9</v>
      </c>
      <c r="P322" s="105" t="s">
        <v>5895</v>
      </c>
      <c r="Q322" s="64" t="s">
        <v>1</v>
      </c>
      <c r="R322" s="65">
        <v>1</v>
      </c>
      <c r="S322" s="99"/>
      <c r="T322" s="68"/>
      <c r="U322" s="76"/>
      <c r="V322" s="70"/>
      <c r="W322" s="66"/>
      <c r="X322" s="57"/>
      <c r="Y322" s="58"/>
      <c r="Z322" s="77"/>
      <c r="AA322" s="67"/>
      <c r="AB322" s="68"/>
      <c r="AC322" s="76"/>
      <c r="AD322" s="70"/>
      <c r="AE322" s="228">
        <f>ROUND((ROUND((_15_同援日２．０*_15・基礎２),0)*_15・２人),0)+ROUND((ROUND((ROUND((_15_同援日２．０＿１．０*_15・基礎２),0)*_15・２人),0)*(1+_15・B夜間)),0)</f>
        <v>578</v>
      </c>
      <c r="AF322" s="69"/>
    </row>
    <row r="323" spans="1:32" ht="16.5" customHeight="1" x14ac:dyDescent="0.3">
      <c r="A323" s="2">
        <v>15</v>
      </c>
      <c r="B323" s="2">
        <v>9875</v>
      </c>
      <c r="C323" s="60" t="s">
        <v>10042</v>
      </c>
      <c r="D323" s="1"/>
      <c r="E323" s="68"/>
      <c r="F323" s="70"/>
      <c r="G323" s="1"/>
      <c r="H323" s="68"/>
      <c r="I323" s="70"/>
      <c r="J323" s="74"/>
      <c r="K323" s="62"/>
      <c r="L323" s="62"/>
      <c r="M323" s="62"/>
      <c r="N323" s="62"/>
      <c r="O323" s="92"/>
      <c r="P323" s="85"/>
      <c r="Q323" s="64"/>
      <c r="R323" s="65"/>
      <c r="S323" s="99"/>
      <c r="T323" s="68"/>
      <c r="U323" s="76"/>
      <c r="V323" s="70"/>
      <c r="W323" s="78" t="s">
        <v>18059</v>
      </c>
      <c r="X323" s="62"/>
      <c r="Y323" s="63"/>
      <c r="Z323" s="75"/>
      <c r="AA323" s="67"/>
      <c r="AB323" s="68"/>
      <c r="AC323" s="76"/>
      <c r="AD323" s="70"/>
      <c r="AE323" s="228">
        <f>ROUND((_15_同援日２．０*(1+_15・盲ろう)),0)+ROUND((ROUND((_15_同援日２．０＿１．０*(1+_15・B夜間)),0)*(1+_15・盲ろう)),0)</f>
        <v>804</v>
      </c>
      <c r="AF323" s="69"/>
    </row>
    <row r="324" spans="1:32" ht="16.5" customHeight="1" x14ac:dyDescent="0.3">
      <c r="A324" s="2">
        <v>15</v>
      </c>
      <c r="B324" s="2">
        <v>9876</v>
      </c>
      <c r="C324" s="60" t="s">
        <v>10041</v>
      </c>
      <c r="D324" s="1"/>
      <c r="E324" s="68"/>
      <c r="F324" s="70"/>
      <c r="G324" s="1"/>
      <c r="H324" s="68"/>
      <c r="I324" s="70"/>
      <c r="J324" s="81"/>
      <c r="K324" s="57"/>
      <c r="L324" s="57"/>
      <c r="M324" s="57"/>
      <c r="N324" s="57"/>
      <c r="O324" s="89"/>
      <c r="P324" s="105" t="s">
        <v>5895</v>
      </c>
      <c r="Q324" s="64" t="s">
        <v>1</v>
      </c>
      <c r="R324" s="65">
        <v>1</v>
      </c>
      <c r="S324" s="99"/>
      <c r="T324" s="68"/>
      <c r="U324" s="76"/>
      <c r="V324" s="70"/>
      <c r="W324" s="94" t="s">
        <v>18058</v>
      </c>
      <c r="X324" s="68"/>
      <c r="Y324" s="76"/>
      <c r="Z324" s="70"/>
      <c r="AA324" s="67"/>
      <c r="AB324" s="68"/>
      <c r="AC324" s="76"/>
      <c r="AD324" s="70"/>
      <c r="AE324" s="228">
        <f>ROUND((ROUND((_15_同援日２．０*_15・２人),0)*(1+_15・盲ろう)),0)+ROUND((ROUND((ROUND((_15_同援日２．０＿１．０*_15・２人),0)*(1+_15・B夜間)),0)*(1+_15・盲ろう)),0)</f>
        <v>804</v>
      </c>
      <c r="AF324" s="69"/>
    </row>
    <row r="325" spans="1:32" ht="16.5" customHeight="1" x14ac:dyDescent="0.3">
      <c r="A325" s="2">
        <v>15</v>
      </c>
      <c r="B325" s="2">
        <v>9877</v>
      </c>
      <c r="C325" s="60" t="s">
        <v>10040</v>
      </c>
      <c r="D325" s="1"/>
      <c r="E325" s="68"/>
      <c r="F325" s="70"/>
      <c r="G325" s="1"/>
      <c r="H325" s="68"/>
      <c r="I325" s="70"/>
      <c r="J325" s="74" t="s">
        <v>18069</v>
      </c>
      <c r="K325" s="62"/>
      <c r="L325" s="62"/>
      <c r="M325" s="62"/>
      <c r="N325" s="62"/>
      <c r="O325" s="92"/>
      <c r="P325" s="85"/>
      <c r="Q325" s="64"/>
      <c r="R325" s="65"/>
      <c r="S325" s="99"/>
      <c r="T325" s="68"/>
      <c r="U325" s="76"/>
      <c r="V325" s="70"/>
      <c r="W325" s="67"/>
      <c r="X325" s="68" t="s">
        <v>1</v>
      </c>
      <c r="Y325" s="76">
        <v>0.25</v>
      </c>
      <c r="Z325" s="70" t="s">
        <v>422</v>
      </c>
      <c r="AA325" s="67"/>
      <c r="AB325" s="68"/>
      <c r="AC325" s="76"/>
      <c r="AD325" s="70"/>
      <c r="AE325" s="228">
        <f>ROUND((ROUND((_15_同援日２．０*_15・基礎２),0)*(1+_15・盲ろう)),0)+ROUND((ROUND((ROUND((_15_同援日２．０＿１．０*_15・基礎２),0)*(1+_15・B夜間)),0)*(1+_15・盲ろう)),0)</f>
        <v>722</v>
      </c>
      <c r="AF325" s="69"/>
    </row>
    <row r="326" spans="1:32" ht="16.5" customHeight="1" x14ac:dyDescent="0.3">
      <c r="A326" s="2">
        <v>15</v>
      </c>
      <c r="B326" s="2">
        <v>9878</v>
      </c>
      <c r="C326" s="60" t="s">
        <v>10039</v>
      </c>
      <c r="D326" s="1"/>
      <c r="E326" s="68"/>
      <c r="F326" s="70"/>
      <c r="G326" s="1"/>
      <c r="H326" s="68"/>
      <c r="I326" s="70"/>
      <c r="J326" s="81"/>
      <c r="K326" s="57"/>
      <c r="L326" s="57"/>
      <c r="M326" s="57"/>
      <c r="N326" s="57" t="s">
        <v>1</v>
      </c>
      <c r="O326" s="89">
        <v>0.9</v>
      </c>
      <c r="P326" s="105" t="s">
        <v>5895</v>
      </c>
      <c r="Q326" s="64" t="s">
        <v>1</v>
      </c>
      <c r="R326" s="65">
        <v>1</v>
      </c>
      <c r="S326" s="99"/>
      <c r="T326" s="68"/>
      <c r="U326" s="76"/>
      <c r="V326" s="70"/>
      <c r="W326" s="66"/>
      <c r="X326" s="57"/>
      <c r="Y326" s="58"/>
      <c r="Z326" s="77"/>
      <c r="AA326" s="66"/>
      <c r="AB326" s="57"/>
      <c r="AC326" s="58"/>
      <c r="AD326" s="77"/>
      <c r="AE326" s="228">
        <f>ROUND((ROUND((ROUND((_15_同援日２．０*_15・基礎２),0)*_15・２人),0)*(1+_15・盲ろう)),0)+ROUND((ROUND((ROUND((ROUND((_15_同援日２．０＿１．０*_15・基礎２),0)*_15・２人),0)*(1+_15・B夜間)),0)*(1+_15・盲ろう)),0)</f>
        <v>722</v>
      </c>
      <c r="AF326" s="69"/>
    </row>
    <row r="327" spans="1:32" ht="16.5" customHeight="1" x14ac:dyDescent="0.3">
      <c r="A327" s="2">
        <v>15</v>
      </c>
      <c r="B327" s="2">
        <v>9879</v>
      </c>
      <c r="C327" s="60" t="s">
        <v>10038</v>
      </c>
      <c r="D327" s="1"/>
      <c r="E327" s="68"/>
      <c r="F327" s="70"/>
      <c r="G327" s="1"/>
      <c r="H327" s="68"/>
      <c r="I327" s="70"/>
      <c r="J327" s="74"/>
      <c r="K327" s="62"/>
      <c r="L327" s="62"/>
      <c r="M327" s="62"/>
      <c r="N327" s="62"/>
      <c r="O327" s="92"/>
      <c r="P327" s="85"/>
      <c r="Q327" s="64"/>
      <c r="R327" s="65"/>
      <c r="S327" s="99"/>
      <c r="T327" s="68"/>
      <c r="U327" s="76"/>
      <c r="V327" s="70"/>
      <c r="W327" s="61"/>
      <c r="X327" s="62"/>
      <c r="Y327" s="63"/>
      <c r="Z327" s="75"/>
      <c r="AA327" s="61"/>
      <c r="AB327" s="62"/>
      <c r="AC327" s="63"/>
      <c r="AD327" s="75"/>
      <c r="AE327" s="228">
        <f>ROUND((_15_同援日２．０*(1+_15・区３)),0)+ROUND((ROUND((_15_同援日２．０＿１．０*(1+_15・B夜間)),0)*(1+_15・区３)),0)</f>
        <v>772</v>
      </c>
      <c r="AF327" s="69"/>
    </row>
    <row r="328" spans="1:32" ht="16.5" customHeight="1" x14ac:dyDescent="0.3">
      <c r="A328" s="2">
        <v>15</v>
      </c>
      <c r="B328" s="2">
        <v>9880</v>
      </c>
      <c r="C328" s="60" t="s">
        <v>10037</v>
      </c>
      <c r="D328" s="1"/>
      <c r="E328" s="68"/>
      <c r="F328" s="70"/>
      <c r="G328" s="1"/>
      <c r="H328" s="68"/>
      <c r="I328" s="70"/>
      <c r="J328" s="81"/>
      <c r="K328" s="57"/>
      <c r="L328" s="57"/>
      <c r="M328" s="57"/>
      <c r="N328" s="57"/>
      <c r="O328" s="89"/>
      <c r="P328" s="105" t="s">
        <v>5895</v>
      </c>
      <c r="Q328" s="64" t="s">
        <v>1</v>
      </c>
      <c r="R328" s="65">
        <v>1</v>
      </c>
      <c r="S328" s="99"/>
      <c r="T328" s="68"/>
      <c r="U328" s="76"/>
      <c r="V328" s="70"/>
      <c r="W328" s="67"/>
      <c r="X328" s="68"/>
      <c r="Y328" s="76"/>
      <c r="Z328" s="70"/>
      <c r="AA328" s="67"/>
      <c r="AB328" s="68"/>
      <c r="AC328" s="76"/>
      <c r="AD328" s="70"/>
      <c r="AE328" s="228">
        <f>ROUND((ROUND((_15_同援日２．０*_15・２人),0)*(1+_15・区３)),0)+ROUND((ROUND((ROUND((_15_同援日２．０＿１．０*_15・２人),0)*(1+_15・B夜間)),0)*(1+_15・区３)),0)</f>
        <v>772</v>
      </c>
      <c r="AF328" s="69"/>
    </row>
    <row r="329" spans="1:32" ht="16.5" customHeight="1" x14ac:dyDescent="0.3">
      <c r="A329" s="2">
        <v>15</v>
      </c>
      <c r="B329" s="2">
        <v>9881</v>
      </c>
      <c r="C329" s="60" t="s">
        <v>10036</v>
      </c>
      <c r="D329" s="1"/>
      <c r="E329" s="68"/>
      <c r="F329" s="70"/>
      <c r="G329" s="1"/>
      <c r="H329" s="68"/>
      <c r="I329" s="70"/>
      <c r="J329" s="74" t="s">
        <v>18069</v>
      </c>
      <c r="K329" s="62"/>
      <c r="L329" s="62"/>
      <c r="M329" s="62"/>
      <c r="N329" s="62"/>
      <c r="O329" s="92"/>
      <c r="P329" s="85"/>
      <c r="Q329" s="64"/>
      <c r="R329" s="65"/>
      <c r="S329" s="99"/>
      <c r="T329" s="68"/>
      <c r="U329" s="76"/>
      <c r="V329" s="70"/>
      <c r="W329" s="67"/>
      <c r="X329" s="68"/>
      <c r="Y329" s="76"/>
      <c r="Z329" s="70"/>
      <c r="AA329" s="1" t="s">
        <v>18062</v>
      </c>
      <c r="AB329" s="68"/>
      <c r="AC329" s="76"/>
      <c r="AD329" s="70"/>
      <c r="AE329" s="228">
        <f>ROUND((ROUND((_15_同援日２．０*_15・基礎２),0)*(1+_15・区３)),0)+ROUND((ROUND((ROUND((_15_同援日２．０＿１．０*_15・基礎２),0)*(1+_15・B夜間)),0)*(1+_15・区３)),0)</f>
        <v>693</v>
      </c>
      <c r="AF329" s="69"/>
    </row>
    <row r="330" spans="1:32" ht="16.5" customHeight="1" x14ac:dyDescent="0.3">
      <c r="A330" s="2">
        <v>15</v>
      </c>
      <c r="B330" s="2">
        <v>9882</v>
      </c>
      <c r="C330" s="60" t="s">
        <v>10035</v>
      </c>
      <c r="D330" s="1"/>
      <c r="E330" s="68"/>
      <c r="F330" s="70"/>
      <c r="G330" s="1"/>
      <c r="H330" s="68"/>
      <c r="I330" s="70"/>
      <c r="J330" s="81"/>
      <c r="K330" s="57"/>
      <c r="L330" s="57"/>
      <c r="M330" s="57"/>
      <c r="N330" s="57" t="s">
        <v>1</v>
      </c>
      <c r="O330" s="89">
        <v>0.9</v>
      </c>
      <c r="P330" s="105" t="s">
        <v>5895</v>
      </c>
      <c r="Q330" s="64" t="s">
        <v>1</v>
      </c>
      <c r="R330" s="65">
        <v>1</v>
      </c>
      <c r="S330" s="99"/>
      <c r="T330" s="68"/>
      <c r="U330" s="76"/>
      <c r="V330" s="70"/>
      <c r="W330" s="66"/>
      <c r="X330" s="57"/>
      <c r="Y330" s="58"/>
      <c r="Z330" s="77"/>
      <c r="AA330" s="1" t="s">
        <v>18060</v>
      </c>
      <c r="AB330" s="68"/>
      <c r="AC330" s="76"/>
      <c r="AD330" s="70"/>
      <c r="AE330" s="228">
        <f>ROUND((ROUND((ROUND((_15_同援日２．０*_15・基礎２),0)*_15・２人),0)*(1+_15・区３)),0)+ROUND((ROUND((ROUND((ROUND((_15_同援日２．０＿１．０*_15・基礎２),0)*_15・２人),0)*(1+_15・B夜間)),0)*(1+_15・区３)),0)</f>
        <v>693</v>
      </c>
      <c r="AF330" s="69"/>
    </row>
    <row r="331" spans="1:32" ht="16.5" customHeight="1" x14ac:dyDescent="0.3">
      <c r="A331" s="2">
        <v>15</v>
      </c>
      <c r="B331" s="2">
        <v>9883</v>
      </c>
      <c r="C331" s="60" t="s">
        <v>10034</v>
      </c>
      <c r="D331" s="1"/>
      <c r="E331" s="68"/>
      <c r="F331" s="70"/>
      <c r="G331" s="1"/>
      <c r="H331" s="68"/>
      <c r="I331" s="70"/>
      <c r="J331" s="74"/>
      <c r="K331" s="62"/>
      <c r="L331" s="62"/>
      <c r="M331" s="62"/>
      <c r="N331" s="62"/>
      <c r="O331" s="92"/>
      <c r="P331" s="85"/>
      <c r="Q331" s="64"/>
      <c r="R331" s="65"/>
      <c r="S331" s="99"/>
      <c r="T331" s="68"/>
      <c r="U331" s="76"/>
      <c r="V331" s="70"/>
      <c r="W331" s="78" t="s">
        <v>18059</v>
      </c>
      <c r="X331" s="62"/>
      <c r="Y331" s="63"/>
      <c r="Z331" s="75"/>
      <c r="AA331" s="67"/>
      <c r="AB331" s="68" t="s">
        <v>1</v>
      </c>
      <c r="AC331" s="76">
        <v>0.2</v>
      </c>
      <c r="AD331" s="70" t="s">
        <v>422</v>
      </c>
      <c r="AE331" s="228">
        <f>ROUND((ROUND((_15_同援日２．０*(1+_15・盲ろう)),0)*(1+_15・区３)),0)+ROUND((ROUND((ROUND((_15_同援日２．０＿１．０*(1+_15・B夜間)),0)*(1+_15・盲ろう)),0)*(1+_15・区３)),0)</f>
        <v>965</v>
      </c>
      <c r="AF331" s="69"/>
    </row>
    <row r="332" spans="1:32" ht="16.5" customHeight="1" x14ac:dyDescent="0.3">
      <c r="A332" s="2">
        <v>15</v>
      </c>
      <c r="B332" s="2">
        <v>9884</v>
      </c>
      <c r="C332" s="60" t="s">
        <v>10033</v>
      </c>
      <c r="D332" s="1"/>
      <c r="E332" s="68"/>
      <c r="F332" s="70"/>
      <c r="G332" s="1"/>
      <c r="H332" s="68"/>
      <c r="I332" s="70"/>
      <c r="J332" s="81"/>
      <c r="K332" s="57"/>
      <c r="L332" s="57"/>
      <c r="M332" s="57"/>
      <c r="N332" s="57"/>
      <c r="O332" s="89"/>
      <c r="P332" s="105" t="s">
        <v>5895</v>
      </c>
      <c r="Q332" s="64" t="s">
        <v>1</v>
      </c>
      <c r="R332" s="65">
        <v>1</v>
      </c>
      <c r="S332" s="99"/>
      <c r="T332" s="68"/>
      <c r="U332" s="76"/>
      <c r="V332" s="70"/>
      <c r="W332" s="94" t="s">
        <v>8083</v>
      </c>
      <c r="X332" s="68"/>
      <c r="Y332" s="76"/>
      <c r="Z332" s="70"/>
      <c r="AA332" s="67"/>
      <c r="AB332" s="68"/>
      <c r="AC332" s="76"/>
      <c r="AD332" s="70"/>
      <c r="AE332" s="228">
        <f>ROUND((ROUND((ROUND((_15_同援日２．０*_15・２人),0)*(1+_15・盲ろう)),0)*(1+_15・区３)),0)+ROUND((ROUND((ROUND((ROUND((_15_同援日２．０＿１．０*_15・２人),0)*(1+_15・B夜間)),0)*(1+_15・盲ろう)),0)*(1+_15・区３)),0)</f>
        <v>965</v>
      </c>
      <c r="AF332" s="69"/>
    </row>
    <row r="333" spans="1:32" ht="16.5" customHeight="1" x14ac:dyDescent="0.3">
      <c r="A333" s="2">
        <v>15</v>
      </c>
      <c r="B333" s="2">
        <v>9885</v>
      </c>
      <c r="C333" s="60" t="s">
        <v>10032</v>
      </c>
      <c r="D333" s="1"/>
      <c r="E333" s="68"/>
      <c r="F333" s="70"/>
      <c r="G333" s="1"/>
      <c r="H333" s="68"/>
      <c r="I333" s="70"/>
      <c r="J333" s="74" t="s">
        <v>18069</v>
      </c>
      <c r="K333" s="62"/>
      <c r="L333" s="62"/>
      <c r="M333" s="62"/>
      <c r="N333" s="62"/>
      <c r="O333" s="92"/>
      <c r="P333" s="85"/>
      <c r="Q333" s="64"/>
      <c r="R333" s="65"/>
      <c r="S333" s="99"/>
      <c r="T333" s="68"/>
      <c r="U333" s="76"/>
      <c r="V333" s="70"/>
      <c r="W333" s="67"/>
      <c r="X333" s="68" t="s">
        <v>1</v>
      </c>
      <c r="Y333" s="76">
        <v>0.25</v>
      </c>
      <c r="Z333" s="70" t="s">
        <v>422</v>
      </c>
      <c r="AA333" s="67"/>
      <c r="AB333" s="68"/>
      <c r="AC333" s="76"/>
      <c r="AD333" s="70"/>
      <c r="AE333" s="228">
        <f>ROUND((ROUND((ROUND((_15_同援日２．０*_15・基礎２),0)*(1+_15・盲ろう)),0)*(1+_15・区３)),0)+ROUND((ROUND((ROUND((ROUND((_15_同援日２．０＿１．０*_15・基礎２),0)*(1+_15・B夜間)),0)*(1+_15・盲ろう)),0)*(1+_15・区３)),0)</f>
        <v>866</v>
      </c>
      <c r="AF333" s="69"/>
    </row>
    <row r="334" spans="1:32" ht="16.5" customHeight="1" x14ac:dyDescent="0.3">
      <c r="A334" s="2">
        <v>15</v>
      </c>
      <c r="B334" s="2">
        <v>9886</v>
      </c>
      <c r="C334" s="60" t="s">
        <v>10031</v>
      </c>
      <c r="D334" s="1"/>
      <c r="E334" s="68"/>
      <c r="F334" s="70"/>
      <c r="G334" s="1"/>
      <c r="H334" s="68"/>
      <c r="I334" s="70"/>
      <c r="J334" s="81"/>
      <c r="K334" s="57"/>
      <c r="L334" s="57"/>
      <c r="M334" s="57"/>
      <c r="N334" s="57" t="s">
        <v>1</v>
      </c>
      <c r="O334" s="89">
        <v>0.9</v>
      </c>
      <c r="P334" s="105" t="s">
        <v>5895</v>
      </c>
      <c r="Q334" s="64" t="s">
        <v>1</v>
      </c>
      <c r="R334" s="65">
        <v>1</v>
      </c>
      <c r="S334" s="99"/>
      <c r="T334" s="68"/>
      <c r="U334" s="76"/>
      <c r="V334" s="70"/>
      <c r="W334" s="66"/>
      <c r="X334" s="57"/>
      <c r="Y334" s="58"/>
      <c r="Z334" s="77"/>
      <c r="AA334" s="66"/>
      <c r="AB334" s="57"/>
      <c r="AC334" s="58"/>
      <c r="AD334" s="77"/>
      <c r="AE334" s="228">
        <f>ROUND((ROUND((ROUND((ROUND((_15_同援日２．０*_15・基礎２),0)*_15・２人),0)*(1+_15・盲ろう)),0)*(1+_15・区３)),0)+ROUND((ROUND((ROUND((ROUND((ROUND((_15_同援日２．０＿１．０*_15・基礎２),0)*_15・２人),0)*(1+_15・B夜間)),0)*(1+_15・盲ろう)),0)*(1+_15・区３)),0)</f>
        <v>866</v>
      </c>
      <c r="AF334" s="69"/>
    </row>
    <row r="335" spans="1:32" ht="16.5" customHeight="1" x14ac:dyDescent="0.3">
      <c r="A335" s="2">
        <v>15</v>
      </c>
      <c r="B335" s="2">
        <v>9887</v>
      </c>
      <c r="C335" s="60" t="s">
        <v>10030</v>
      </c>
      <c r="D335" s="1"/>
      <c r="E335" s="68"/>
      <c r="F335" s="70"/>
      <c r="G335" s="1"/>
      <c r="H335" s="68"/>
      <c r="I335" s="70"/>
      <c r="J335" s="74"/>
      <c r="K335" s="62"/>
      <c r="L335" s="62"/>
      <c r="M335" s="62"/>
      <c r="N335" s="62"/>
      <c r="O335" s="92"/>
      <c r="P335" s="85"/>
      <c r="Q335" s="64"/>
      <c r="R335" s="65"/>
      <c r="S335" s="99"/>
      <c r="T335" s="68"/>
      <c r="U335" s="76"/>
      <c r="V335" s="70"/>
      <c r="W335" s="61"/>
      <c r="X335" s="62"/>
      <c r="Y335" s="63"/>
      <c r="Z335" s="75"/>
      <c r="AA335" s="61"/>
      <c r="AB335" s="62"/>
      <c r="AC335" s="63"/>
      <c r="AD335" s="75"/>
      <c r="AE335" s="228">
        <f>ROUND((_15_同援日２．０*(1+_15・区４)),0)+ROUND((ROUND((_15_同援日２．０＿１．０*(1+_15・B夜間)),0)*(1+_15・区４)),0)</f>
        <v>900</v>
      </c>
      <c r="AF335" s="69"/>
    </row>
    <row r="336" spans="1:32" ht="16.5" customHeight="1" x14ac:dyDescent="0.3">
      <c r="A336" s="2">
        <v>15</v>
      </c>
      <c r="B336" s="2">
        <v>9888</v>
      </c>
      <c r="C336" s="60" t="s">
        <v>10029</v>
      </c>
      <c r="D336" s="1"/>
      <c r="E336" s="68"/>
      <c r="F336" s="70"/>
      <c r="G336" s="1"/>
      <c r="H336" s="68"/>
      <c r="I336" s="70"/>
      <c r="J336" s="81"/>
      <c r="K336" s="57"/>
      <c r="L336" s="57"/>
      <c r="M336" s="57"/>
      <c r="N336" s="57"/>
      <c r="O336" s="89"/>
      <c r="P336" s="105" t="s">
        <v>5895</v>
      </c>
      <c r="Q336" s="64" t="s">
        <v>1</v>
      </c>
      <c r="R336" s="65">
        <v>1</v>
      </c>
      <c r="S336" s="99"/>
      <c r="T336" s="68"/>
      <c r="U336" s="76"/>
      <c r="V336" s="70"/>
      <c r="W336" s="67"/>
      <c r="X336" s="68"/>
      <c r="Y336" s="76"/>
      <c r="Z336" s="70"/>
      <c r="AA336" s="67"/>
      <c r="AB336" s="68"/>
      <c r="AC336" s="76"/>
      <c r="AD336" s="70"/>
      <c r="AE336" s="228">
        <f>ROUND((ROUND((_15_同援日２．０*_15・２人),0)*(1+_15・区４)),0)+ROUND((ROUND((ROUND((_15_同援日２．０＿１．０*_15・２人),0)*(1+_15・B夜間)),0)*(1+_15・区４)),0)</f>
        <v>900</v>
      </c>
      <c r="AF336" s="69"/>
    </row>
    <row r="337" spans="1:32" ht="16.5" customHeight="1" x14ac:dyDescent="0.3">
      <c r="A337" s="2">
        <v>15</v>
      </c>
      <c r="B337" s="2">
        <v>9889</v>
      </c>
      <c r="C337" s="60" t="s">
        <v>10028</v>
      </c>
      <c r="D337" s="1"/>
      <c r="E337" s="68"/>
      <c r="F337" s="70"/>
      <c r="G337" s="1"/>
      <c r="H337" s="68"/>
      <c r="I337" s="70"/>
      <c r="J337" s="74" t="s">
        <v>18069</v>
      </c>
      <c r="K337" s="62"/>
      <c r="L337" s="62"/>
      <c r="M337" s="62"/>
      <c r="N337" s="62"/>
      <c r="O337" s="92"/>
      <c r="P337" s="85"/>
      <c r="Q337" s="64"/>
      <c r="R337" s="65"/>
      <c r="S337" s="99"/>
      <c r="T337" s="68"/>
      <c r="U337" s="76"/>
      <c r="V337" s="70"/>
      <c r="W337" s="67"/>
      <c r="X337" s="68"/>
      <c r="Y337" s="76"/>
      <c r="Z337" s="70"/>
      <c r="AA337" s="1" t="s">
        <v>18061</v>
      </c>
      <c r="AB337" s="68"/>
      <c r="AC337" s="76"/>
      <c r="AD337" s="70"/>
      <c r="AE337" s="228">
        <f>ROUND((ROUND((_15_同援日２．０*_15・基礎２),0)*(1+_15・区４)),0)+ROUND((ROUND((ROUND((_15_同援日２．０＿１．０*_15・基礎２),0)*(1+_15・B夜間)),0)*(1+_15・区４)),0)</f>
        <v>809</v>
      </c>
      <c r="AF337" s="69"/>
    </row>
    <row r="338" spans="1:32" ht="16.5" customHeight="1" x14ac:dyDescent="0.3">
      <c r="A338" s="2">
        <v>15</v>
      </c>
      <c r="B338" s="2">
        <v>9890</v>
      </c>
      <c r="C338" s="60" t="s">
        <v>10027</v>
      </c>
      <c r="D338" s="1"/>
      <c r="E338" s="68"/>
      <c r="F338" s="70"/>
      <c r="G338" s="1"/>
      <c r="H338" s="68"/>
      <c r="I338" s="70"/>
      <c r="J338" s="81"/>
      <c r="K338" s="57"/>
      <c r="L338" s="57"/>
      <c r="M338" s="57"/>
      <c r="N338" s="57" t="s">
        <v>1</v>
      </c>
      <c r="O338" s="89">
        <v>0.9</v>
      </c>
      <c r="P338" s="105" t="s">
        <v>5895</v>
      </c>
      <c r="Q338" s="64" t="s">
        <v>1</v>
      </c>
      <c r="R338" s="65">
        <v>1</v>
      </c>
      <c r="S338" s="99"/>
      <c r="T338" s="68"/>
      <c r="U338" s="76"/>
      <c r="V338" s="70"/>
      <c r="W338" s="66"/>
      <c r="X338" s="57"/>
      <c r="Y338" s="58"/>
      <c r="Z338" s="77"/>
      <c r="AA338" s="1" t="s">
        <v>18060</v>
      </c>
      <c r="AB338" s="68"/>
      <c r="AC338" s="76"/>
      <c r="AD338" s="70"/>
      <c r="AE338" s="228">
        <f>ROUND((ROUND((ROUND((_15_同援日２．０*_15・基礎２),0)*_15・２人),0)*(1+_15・区４)),0)+ROUND((ROUND((ROUND((ROUND((_15_同援日２．０＿１．０*_15・基礎２),0)*_15・２人),0)*(1+_15・B夜間)),0)*(1+_15・区４)),0)</f>
        <v>809</v>
      </c>
      <c r="AF338" s="69"/>
    </row>
    <row r="339" spans="1:32" ht="16.5" customHeight="1" x14ac:dyDescent="0.3">
      <c r="A339" s="2">
        <v>15</v>
      </c>
      <c r="B339" s="2">
        <v>9891</v>
      </c>
      <c r="C339" s="60" t="s">
        <v>10026</v>
      </c>
      <c r="D339" s="1"/>
      <c r="E339" s="68"/>
      <c r="F339" s="70"/>
      <c r="G339" s="1"/>
      <c r="H339" s="68"/>
      <c r="I339" s="70"/>
      <c r="J339" s="74"/>
      <c r="K339" s="62"/>
      <c r="L339" s="62"/>
      <c r="M339" s="62"/>
      <c r="N339" s="62"/>
      <c r="O339" s="92"/>
      <c r="P339" s="85"/>
      <c r="Q339" s="64"/>
      <c r="R339" s="65"/>
      <c r="S339" s="99"/>
      <c r="T339" s="68"/>
      <c r="U339" s="76"/>
      <c r="V339" s="70"/>
      <c r="W339" s="78" t="s">
        <v>8085</v>
      </c>
      <c r="X339" s="62"/>
      <c r="Y339" s="63"/>
      <c r="Z339" s="75"/>
      <c r="AA339" s="67"/>
      <c r="AB339" s="68" t="s">
        <v>1</v>
      </c>
      <c r="AC339" s="76">
        <v>0.4</v>
      </c>
      <c r="AD339" s="70" t="s">
        <v>422</v>
      </c>
      <c r="AE339" s="228">
        <f>ROUND((ROUND((_15_同援日２．０*(1+_15・盲ろう)),0)*(1+_15・区４)),0)+ROUND((ROUND((ROUND((_15_同援日２．０＿１．０*(1+_15・B夜間)),0)*(1+_15・盲ろう)),0)*(1+_15・区４)),0)</f>
        <v>1125</v>
      </c>
      <c r="AF339" s="69"/>
    </row>
    <row r="340" spans="1:32" ht="16.5" customHeight="1" x14ac:dyDescent="0.3">
      <c r="A340" s="2">
        <v>15</v>
      </c>
      <c r="B340" s="2">
        <v>9892</v>
      </c>
      <c r="C340" s="60" t="s">
        <v>10025</v>
      </c>
      <c r="D340" s="1"/>
      <c r="E340" s="68"/>
      <c r="F340" s="70"/>
      <c r="G340" s="1"/>
      <c r="H340" s="68"/>
      <c r="I340" s="70"/>
      <c r="J340" s="81"/>
      <c r="K340" s="57"/>
      <c r="L340" s="57"/>
      <c r="M340" s="57"/>
      <c r="N340" s="57"/>
      <c r="O340" s="89"/>
      <c r="P340" s="105" t="s">
        <v>5895</v>
      </c>
      <c r="Q340" s="64" t="s">
        <v>1</v>
      </c>
      <c r="R340" s="65">
        <v>1</v>
      </c>
      <c r="S340" s="99"/>
      <c r="T340" s="68"/>
      <c r="U340" s="76"/>
      <c r="V340" s="70"/>
      <c r="W340" s="94" t="s">
        <v>18058</v>
      </c>
      <c r="X340" s="68"/>
      <c r="Y340" s="76"/>
      <c r="Z340" s="70"/>
      <c r="AA340" s="67"/>
      <c r="AB340" s="68"/>
      <c r="AC340" s="76"/>
      <c r="AD340" s="70"/>
      <c r="AE340" s="228">
        <f>ROUND((ROUND((ROUND((_15_同援日２．０*_15・２人),0)*(1+_15・盲ろう)),0)*(1+_15・区４)),0)+ROUND((ROUND((ROUND((ROUND((_15_同援日２．０＿１．０*_15・２人),0)*(1+_15・B夜間)),0)*(1+_15・盲ろう)),0)*(1+_15・区４)),0)</f>
        <v>1125</v>
      </c>
      <c r="AF340" s="69"/>
    </row>
    <row r="341" spans="1:32" ht="16.5" customHeight="1" x14ac:dyDescent="0.3">
      <c r="A341" s="2">
        <v>15</v>
      </c>
      <c r="B341" s="2">
        <v>9893</v>
      </c>
      <c r="C341" s="60" t="s">
        <v>10024</v>
      </c>
      <c r="D341" s="1"/>
      <c r="E341" s="68"/>
      <c r="F341" s="70"/>
      <c r="G341" s="1"/>
      <c r="H341" s="68"/>
      <c r="I341" s="70"/>
      <c r="J341" s="74" t="s">
        <v>6260</v>
      </c>
      <c r="K341" s="62"/>
      <c r="L341" s="62"/>
      <c r="M341" s="62"/>
      <c r="N341" s="62"/>
      <c r="O341" s="92"/>
      <c r="P341" s="85"/>
      <c r="Q341" s="64"/>
      <c r="R341" s="65"/>
      <c r="S341" s="99"/>
      <c r="T341" s="68"/>
      <c r="U341" s="76"/>
      <c r="V341" s="70"/>
      <c r="W341" s="67"/>
      <c r="X341" s="68" t="s">
        <v>1</v>
      </c>
      <c r="Y341" s="76">
        <v>0.25</v>
      </c>
      <c r="Z341" s="70" t="s">
        <v>422</v>
      </c>
      <c r="AA341" s="67"/>
      <c r="AB341" s="68"/>
      <c r="AC341" s="76"/>
      <c r="AD341" s="70"/>
      <c r="AE341" s="228">
        <f>ROUND((ROUND((ROUND((_15_同援日２．０*_15・基礎２),0)*(1+_15・盲ろう)),0)*(1+_15・区４)),0)+ROUND((ROUND((ROUND((ROUND((_15_同援日２．０＿１．０*_15・基礎２),0)*(1+_15・B夜間)),0)*(1+_15・盲ろう)),0)*(1+_15・区４)),0)</f>
        <v>1010</v>
      </c>
      <c r="AF341" s="69"/>
    </row>
    <row r="342" spans="1:32" ht="16.5" customHeight="1" x14ac:dyDescent="0.3">
      <c r="A342" s="2">
        <v>15</v>
      </c>
      <c r="B342" s="2">
        <v>9894</v>
      </c>
      <c r="C342" s="60" t="s">
        <v>10023</v>
      </c>
      <c r="D342" s="81"/>
      <c r="E342" s="57"/>
      <c r="F342" s="77"/>
      <c r="G342" s="81"/>
      <c r="H342" s="57"/>
      <c r="I342" s="77"/>
      <c r="J342" s="81"/>
      <c r="K342" s="57"/>
      <c r="L342" s="57"/>
      <c r="M342" s="57"/>
      <c r="N342" s="57" t="s">
        <v>1</v>
      </c>
      <c r="O342" s="89">
        <v>0.9</v>
      </c>
      <c r="P342" s="105" t="s">
        <v>5895</v>
      </c>
      <c r="Q342" s="64" t="s">
        <v>1</v>
      </c>
      <c r="R342" s="65">
        <v>1</v>
      </c>
      <c r="S342" s="99"/>
      <c r="T342" s="68"/>
      <c r="U342" s="76"/>
      <c r="V342" s="70"/>
      <c r="W342" s="66"/>
      <c r="X342" s="57"/>
      <c r="Y342" s="58"/>
      <c r="Z342" s="77"/>
      <c r="AA342" s="66"/>
      <c r="AB342" s="57"/>
      <c r="AC342" s="58"/>
      <c r="AD342" s="77"/>
      <c r="AE342" s="228">
        <f>ROUND((ROUND((ROUND((ROUND((_15_同援日２．０*_15・基礎２),0)*_15・２人),0)*(1+_15・盲ろう)),0)*(1+_15・区４)),0)+ROUND((ROUND((ROUND((ROUND((ROUND((_15_同援日２．０＿１．０*_15・基礎２),0)*_15・２人),0)*(1+_15・B夜間)),0)*(1+_15・盲ろう)),0)*(1+_15・区４)),0)</f>
        <v>1010</v>
      </c>
      <c r="AF342" s="69"/>
    </row>
    <row r="343" spans="1:32" ht="16.5" customHeight="1" x14ac:dyDescent="0.3">
      <c r="A343" s="2">
        <v>15</v>
      </c>
      <c r="B343" s="2">
        <v>9895</v>
      </c>
      <c r="C343" s="60" t="s">
        <v>10022</v>
      </c>
      <c r="D343" s="233" t="s">
        <v>18072</v>
      </c>
      <c r="E343" s="235"/>
      <c r="F343" s="75"/>
      <c r="G343" s="233" t="s">
        <v>18071</v>
      </c>
      <c r="H343" s="62"/>
      <c r="I343" s="75"/>
      <c r="J343" s="74"/>
      <c r="K343" s="62"/>
      <c r="L343" s="62"/>
      <c r="M343" s="62"/>
      <c r="N343" s="62"/>
      <c r="O343" s="92"/>
      <c r="P343" s="85"/>
      <c r="Q343" s="64"/>
      <c r="R343" s="65"/>
      <c r="S343" s="99"/>
      <c r="T343" s="68"/>
      <c r="U343" s="76"/>
      <c r="V343" s="70"/>
      <c r="W343" s="61"/>
      <c r="X343" s="62"/>
      <c r="Y343" s="63"/>
      <c r="Z343" s="75"/>
      <c r="AA343" s="61"/>
      <c r="AB343" s="62"/>
      <c r="AC343" s="63"/>
      <c r="AD343" s="75"/>
      <c r="AE343" s="228">
        <f>_15_同援日２．５+ROUND((_15_同援日２．５＿０．５*(1+_15・B夜間)),0)</f>
        <v>627</v>
      </c>
      <c r="AF343" s="69"/>
    </row>
    <row r="344" spans="1:32" ht="16.5" customHeight="1" x14ac:dyDescent="0.3">
      <c r="A344" s="2">
        <v>15</v>
      </c>
      <c r="B344" s="2">
        <v>9896</v>
      </c>
      <c r="C344" s="60" t="s">
        <v>10021</v>
      </c>
      <c r="D344" s="1" t="s">
        <v>18070</v>
      </c>
      <c r="E344" s="68"/>
      <c r="F344" s="70"/>
      <c r="G344" s="1" t="s">
        <v>7928</v>
      </c>
      <c r="H344" s="68"/>
      <c r="I344" s="70"/>
      <c r="J344" s="81"/>
      <c r="K344" s="57"/>
      <c r="L344" s="57"/>
      <c r="M344" s="57"/>
      <c r="N344" s="57"/>
      <c r="O344" s="89"/>
      <c r="P344" s="105" t="s">
        <v>5895</v>
      </c>
      <c r="Q344" s="64" t="s">
        <v>1</v>
      </c>
      <c r="R344" s="65">
        <v>1</v>
      </c>
      <c r="S344" s="99"/>
      <c r="T344" s="68"/>
      <c r="U344" s="76"/>
      <c r="V344" s="70"/>
      <c r="W344" s="67"/>
      <c r="X344" s="68"/>
      <c r="Y344" s="76"/>
      <c r="Z344" s="70"/>
      <c r="AA344" s="67"/>
      <c r="AB344" s="68"/>
      <c r="AC344" s="76"/>
      <c r="AD344" s="70"/>
      <c r="AE344" s="228">
        <f>ROUND((_15_同援日２．５*_15・２人),0)+ROUND((ROUND((_15_同援日２．５＿０．５*_15・２人),0)*(1+_15・B夜間)),0)</f>
        <v>627</v>
      </c>
      <c r="AF344" s="69"/>
    </row>
    <row r="345" spans="1:32" ht="16.5" customHeight="1" x14ac:dyDescent="0.3">
      <c r="A345" s="2">
        <v>15</v>
      </c>
      <c r="B345" s="2">
        <v>9897</v>
      </c>
      <c r="C345" s="60" t="s">
        <v>10020</v>
      </c>
      <c r="D345" s="1" t="s">
        <v>8499</v>
      </c>
      <c r="E345" s="68"/>
      <c r="F345" s="70"/>
      <c r="G345" s="1"/>
      <c r="H345" s="68"/>
      <c r="I345" s="70"/>
      <c r="J345" s="74" t="s">
        <v>6260</v>
      </c>
      <c r="K345" s="62"/>
      <c r="L345" s="62"/>
      <c r="M345" s="62"/>
      <c r="N345" s="62"/>
      <c r="O345" s="92"/>
      <c r="P345" s="85"/>
      <c r="Q345" s="64"/>
      <c r="R345" s="65"/>
      <c r="S345" s="99"/>
      <c r="T345" s="68"/>
      <c r="U345" s="76"/>
      <c r="V345" s="70"/>
      <c r="W345" s="67"/>
      <c r="X345" s="68"/>
      <c r="Y345" s="76"/>
      <c r="Z345" s="70"/>
      <c r="AA345" s="67"/>
      <c r="AB345" s="68"/>
      <c r="AC345" s="76"/>
      <c r="AD345" s="70"/>
      <c r="AE345" s="228">
        <f>ROUND((_15_同援日２．５*_15・基礎２),0)+ROUND((ROUND((_15_同援日２．５＿０．５*_15・基礎２),0)*(1+_15・B夜間)),0)</f>
        <v>564</v>
      </c>
      <c r="AF345" s="69"/>
    </row>
    <row r="346" spans="1:32" ht="16.5" customHeight="1" x14ac:dyDescent="0.3">
      <c r="A346" s="2">
        <v>15</v>
      </c>
      <c r="B346" s="2">
        <v>9898</v>
      </c>
      <c r="C346" s="60" t="s">
        <v>10019</v>
      </c>
      <c r="D346" s="1"/>
      <c r="E346" s="227">
        <v>548</v>
      </c>
      <c r="F346" s="70" t="s">
        <v>0</v>
      </c>
      <c r="G346" s="1"/>
      <c r="H346" s="119">
        <v>63</v>
      </c>
      <c r="I346" s="70" t="s">
        <v>0</v>
      </c>
      <c r="J346" s="81"/>
      <c r="K346" s="57"/>
      <c r="L346" s="57"/>
      <c r="M346" s="57"/>
      <c r="N346" s="57" t="s">
        <v>1</v>
      </c>
      <c r="O346" s="89">
        <v>0.9</v>
      </c>
      <c r="P346" s="105" t="s">
        <v>5895</v>
      </c>
      <c r="Q346" s="64" t="s">
        <v>1</v>
      </c>
      <c r="R346" s="65">
        <v>1</v>
      </c>
      <c r="S346" s="99"/>
      <c r="T346" s="68"/>
      <c r="U346" s="76"/>
      <c r="V346" s="70"/>
      <c r="W346" s="66"/>
      <c r="X346" s="57"/>
      <c r="Y346" s="58"/>
      <c r="Z346" s="77"/>
      <c r="AA346" s="67"/>
      <c r="AB346" s="68"/>
      <c r="AC346" s="76"/>
      <c r="AD346" s="70"/>
      <c r="AE346" s="228">
        <f>ROUND((ROUND((_15_同援日２．５*_15・基礎２),0)*_15・２人),0)+ROUND((ROUND((ROUND((_15_同援日２．５＿０．５*_15・基礎２),0)*_15・２人),0)*(1+_15・B夜間)),0)</f>
        <v>564</v>
      </c>
      <c r="AF346" s="69"/>
    </row>
    <row r="347" spans="1:32" ht="16.5" customHeight="1" x14ac:dyDescent="0.3">
      <c r="A347" s="2">
        <v>15</v>
      </c>
      <c r="B347" s="2">
        <v>9899</v>
      </c>
      <c r="C347" s="60" t="s">
        <v>10018</v>
      </c>
      <c r="D347" s="1"/>
      <c r="E347" s="68"/>
      <c r="F347" s="70"/>
      <c r="G347" s="1"/>
      <c r="H347" s="68"/>
      <c r="I347" s="70"/>
      <c r="J347" s="74"/>
      <c r="K347" s="62"/>
      <c r="L347" s="62"/>
      <c r="M347" s="62"/>
      <c r="N347" s="62"/>
      <c r="O347" s="92"/>
      <c r="P347" s="85"/>
      <c r="Q347" s="64"/>
      <c r="R347" s="65"/>
      <c r="S347" s="99"/>
      <c r="T347" s="68"/>
      <c r="U347" s="76"/>
      <c r="V347" s="70"/>
      <c r="W347" s="78" t="s">
        <v>18059</v>
      </c>
      <c r="X347" s="62"/>
      <c r="Y347" s="63"/>
      <c r="Z347" s="75"/>
      <c r="AA347" s="67"/>
      <c r="AB347" s="68"/>
      <c r="AC347" s="76"/>
      <c r="AD347" s="70"/>
      <c r="AE347" s="228">
        <f>ROUND((_15_同援日２．５*(1+_15・盲ろう)),0)+ROUND((ROUND((_15_同援日２．５＿０．５*(1+_15・B夜間)),0)*(1+_15・盲ろう)),0)</f>
        <v>784</v>
      </c>
      <c r="AF347" s="69"/>
    </row>
    <row r="348" spans="1:32" ht="16.5" customHeight="1" x14ac:dyDescent="0.3">
      <c r="A348" s="2">
        <v>15</v>
      </c>
      <c r="B348" s="2">
        <v>9900</v>
      </c>
      <c r="C348" s="60" t="s">
        <v>10017</v>
      </c>
      <c r="D348" s="1"/>
      <c r="E348" s="68"/>
      <c r="F348" s="70"/>
      <c r="G348" s="1"/>
      <c r="H348" s="68"/>
      <c r="I348" s="70"/>
      <c r="J348" s="81"/>
      <c r="K348" s="57"/>
      <c r="L348" s="57"/>
      <c r="M348" s="57"/>
      <c r="N348" s="57"/>
      <c r="O348" s="89"/>
      <c r="P348" s="105" t="s">
        <v>5895</v>
      </c>
      <c r="Q348" s="64" t="s">
        <v>1</v>
      </c>
      <c r="R348" s="65">
        <v>1</v>
      </c>
      <c r="S348" s="99"/>
      <c r="T348" s="68"/>
      <c r="U348" s="76"/>
      <c r="V348" s="70"/>
      <c r="W348" s="94" t="s">
        <v>18058</v>
      </c>
      <c r="X348" s="68"/>
      <c r="Y348" s="76"/>
      <c r="Z348" s="70"/>
      <c r="AA348" s="67"/>
      <c r="AB348" s="68"/>
      <c r="AC348" s="76"/>
      <c r="AD348" s="70"/>
      <c r="AE348" s="228">
        <f>ROUND((ROUND((_15_同援日２．５*_15・２人),0)*(1+_15・盲ろう)),0)+ROUND((ROUND((ROUND((_15_同援日２．５＿０．５*_15・２人),0)*(1+_15・B夜間)),0)*(1+_15・盲ろう)),0)</f>
        <v>784</v>
      </c>
      <c r="AF348" s="69"/>
    </row>
    <row r="349" spans="1:32" ht="16.5" customHeight="1" x14ac:dyDescent="0.3">
      <c r="A349" s="2">
        <v>15</v>
      </c>
      <c r="B349" s="2">
        <v>9901</v>
      </c>
      <c r="C349" s="60" t="s">
        <v>10016</v>
      </c>
      <c r="D349" s="1"/>
      <c r="E349" s="68"/>
      <c r="F349" s="70"/>
      <c r="G349" s="1"/>
      <c r="H349" s="68"/>
      <c r="I349" s="70"/>
      <c r="J349" s="74" t="s">
        <v>18069</v>
      </c>
      <c r="K349" s="62"/>
      <c r="L349" s="62"/>
      <c r="M349" s="62"/>
      <c r="N349" s="62"/>
      <c r="O349" s="92"/>
      <c r="P349" s="85"/>
      <c r="Q349" s="64"/>
      <c r="R349" s="65"/>
      <c r="S349" s="99"/>
      <c r="T349" s="68"/>
      <c r="U349" s="76"/>
      <c r="V349" s="70"/>
      <c r="W349" s="67"/>
      <c r="X349" s="68" t="s">
        <v>1</v>
      </c>
      <c r="Y349" s="76">
        <v>0.25</v>
      </c>
      <c r="Z349" s="70" t="s">
        <v>422</v>
      </c>
      <c r="AA349" s="67"/>
      <c r="AB349" s="68"/>
      <c r="AC349" s="76"/>
      <c r="AD349" s="70"/>
      <c r="AE349" s="228">
        <f>ROUND((ROUND((_15_同援日２．５*_15・基礎２),0)*(1+_15・盲ろう)),0)+ROUND((ROUND((ROUND((_15_同援日２．５＿０．５*_15・基礎２),0)*(1+_15・B夜間)),0)*(1+_15・盲ろう)),0)</f>
        <v>705</v>
      </c>
      <c r="AF349" s="69"/>
    </row>
    <row r="350" spans="1:32" ht="16.5" customHeight="1" x14ac:dyDescent="0.3">
      <c r="A350" s="2">
        <v>15</v>
      </c>
      <c r="B350" s="2">
        <v>9902</v>
      </c>
      <c r="C350" s="60" t="s">
        <v>10015</v>
      </c>
      <c r="D350" s="1"/>
      <c r="E350" s="68"/>
      <c r="F350" s="70"/>
      <c r="G350" s="1"/>
      <c r="H350" s="68"/>
      <c r="I350" s="70"/>
      <c r="J350" s="81"/>
      <c r="K350" s="57"/>
      <c r="L350" s="57"/>
      <c r="M350" s="57"/>
      <c r="N350" s="57" t="s">
        <v>1</v>
      </c>
      <c r="O350" s="89">
        <v>0.9</v>
      </c>
      <c r="P350" s="105" t="s">
        <v>5895</v>
      </c>
      <c r="Q350" s="64" t="s">
        <v>1</v>
      </c>
      <c r="R350" s="65">
        <v>1</v>
      </c>
      <c r="S350" s="99"/>
      <c r="T350" s="68"/>
      <c r="U350" s="76"/>
      <c r="V350" s="70"/>
      <c r="W350" s="66"/>
      <c r="X350" s="57"/>
      <c r="Y350" s="58"/>
      <c r="Z350" s="77"/>
      <c r="AA350" s="66"/>
      <c r="AB350" s="57"/>
      <c r="AC350" s="58"/>
      <c r="AD350" s="77"/>
      <c r="AE350" s="228">
        <f>ROUND((ROUND((ROUND((_15_同援日２．５*_15・基礎２),0)*_15・２人),0)*(1+_15・盲ろう)),0)+ROUND((ROUND((ROUND((ROUND((_15_同援日２．５＿０．５*_15・基礎２),0)*_15・２人),0)*(1+_15・B夜間)),0)*(1+_15・盲ろう)),0)</f>
        <v>705</v>
      </c>
      <c r="AF350" s="69"/>
    </row>
    <row r="351" spans="1:32" ht="16.5" customHeight="1" x14ac:dyDescent="0.3">
      <c r="A351" s="2">
        <v>15</v>
      </c>
      <c r="B351" s="2">
        <v>9903</v>
      </c>
      <c r="C351" s="60" t="s">
        <v>10014</v>
      </c>
      <c r="D351" s="1"/>
      <c r="E351" s="68"/>
      <c r="F351" s="70"/>
      <c r="G351" s="1"/>
      <c r="H351" s="68"/>
      <c r="I351" s="70"/>
      <c r="J351" s="74"/>
      <c r="K351" s="62"/>
      <c r="L351" s="62"/>
      <c r="M351" s="62"/>
      <c r="N351" s="62"/>
      <c r="O351" s="92"/>
      <c r="P351" s="85"/>
      <c r="Q351" s="64"/>
      <c r="R351" s="65"/>
      <c r="S351" s="99"/>
      <c r="T351" s="68"/>
      <c r="U351" s="76"/>
      <c r="V351" s="70"/>
      <c r="W351" s="61"/>
      <c r="X351" s="62"/>
      <c r="Y351" s="63"/>
      <c r="Z351" s="75"/>
      <c r="AA351" s="61"/>
      <c r="AB351" s="62"/>
      <c r="AC351" s="63"/>
      <c r="AD351" s="75"/>
      <c r="AE351" s="228">
        <f>ROUND((_15_同援日２．５*(1+_15・区３)),0)+ROUND((ROUND((_15_同援日２．５＿０．５*(1+_15・B夜間)),0)*(1+_15・区３)),0)</f>
        <v>753</v>
      </c>
      <c r="AF351" s="69"/>
    </row>
    <row r="352" spans="1:32" ht="16.5" customHeight="1" x14ac:dyDescent="0.3">
      <c r="A352" s="2">
        <v>15</v>
      </c>
      <c r="B352" s="2">
        <v>9904</v>
      </c>
      <c r="C352" s="60" t="s">
        <v>10013</v>
      </c>
      <c r="D352" s="1"/>
      <c r="E352" s="68"/>
      <c r="F352" s="70"/>
      <c r="G352" s="1"/>
      <c r="H352" s="68"/>
      <c r="I352" s="70"/>
      <c r="J352" s="81"/>
      <c r="K352" s="57"/>
      <c r="L352" s="57"/>
      <c r="M352" s="57"/>
      <c r="N352" s="57"/>
      <c r="O352" s="89"/>
      <c r="P352" s="105" t="s">
        <v>5895</v>
      </c>
      <c r="Q352" s="64" t="s">
        <v>1</v>
      </c>
      <c r="R352" s="65">
        <v>1</v>
      </c>
      <c r="S352" s="99"/>
      <c r="T352" s="68"/>
      <c r="U352" s="76"/>
      <c r="V352" s="70"/>
      <c r="W352" s="67"/>
      <c r="X352" s="68"/>
      <c r="Y352" s="76"/>
      <c r="Z352" s="70"/>
      <c r="AA352" s="67"/>
      <c r="AB352" s="68"/>
      <c r="AC352" s="76"/>
      <c r="AD352" s="70"/>
      <c r="AE352" s="228">
        <f>ROUND((ROUND((_15_同援日２．５*_15・２人),0)*(1+_15・区３)),0)+ROUND((ROUND((ROUND((_15_同援日２．５＿０．５*_15・２人),0)*(1+_15・B夜間)),0)*(1+_15・区３)),0)</f>
        <v>753</v>
      </c>
      <c r="AF352" s="69"/>
    </row>
    <row r="353" spans="1:32" ht="16.5" customHeight="1" x14ac:dyDescent="0.3">
      <c r="A353" s="2">
        <v>15</v>
      </c>
      <c r="B353" s="2">
        <v>9905</v>
      </c>
      <c r="C353" s="60" t="s">
        <v>10012</v>
      </c>
      <c r="D353" s="1"/>
      <c r="E353" s="68"/>
      <c r="F353" s="70"/>
      <c r="G353" s="1"/>
      <c r="H353" s="68"/>
      <c r="I353" s="70"/>
      <c r="J353" s="74" t="s">
        <v>18069</v>
      </c>
      <c r="K353" s="62"/>
      <c r="L353" s="62"/>
      <c r="M353" s="62"/>
      <c r="N353" s="62"/>
      <c r="O353" s="92"/>
      <c r="P353" s="85"/>
      <c r="Q353" s="64"/>
      <c r="R353" s="65"/>
      <c r="S353" s="99"/>
      <c r="T353" s="68"/>
      <c r="U353" s="76"/>
      <c r="V353" s="70"/>
      <c r="W353" s="67"/>
      <c r="X353" s="68"/>
      <c r="Y353" s="76"/>
      <c r="Z353" s="70"/>
      <c r="AA353" s="1" t="s">
        <v>18062</v>
      </c>
      <c r="AB353" s="68"/>
      <c r="AC353" s="76"/>
      <c r="AD353" s="70"/>
      <c r="AE353" s="228">
        <f>ROUND((ROUND((_15_同援日２．５*_15・基礎２),0)*(1+_15・区３)),0)+ROUND((ROUND((ROUND((_15_同援日２．５＿０．５*_15・基礎２),0)*(1+_15・B夜間)),0)*(1+_15・区３)),0)</f>
        <v>677</v>
      </c>
      <c r="AF353" s="69"/>
    </row>
    <row r="354" spans="1:32" ht="16.5" customHeight="1" x14ac:dyDescent="0.3">
      <c r="A354" s="2">
        <v>15</v>
      </c>
      <c r="B354" s="2">
        <v>9906</v>
      </c>
      <c r="C354" s="60" t="s">
        <v>10011</v>
      </c>
      <c r="D354" s="1"/>
      <c r="E354" s="68"/>
      <c r="F354" s="70"/>
      <c r="G354" s="1"/>
      <c r="H354" s="68"/>
      <c r="I354" s="70"/>
      <c r="J354" s="81"/>
      <c r="K354" s="57"/>
      <c r="L354" s="57"/>
      <c r="M354" s="57"/>
      <c r="N354" s="57" t="s">
        <v>1</v>
      </c>
      <c r="O354" s="89">
        <v>0.9</v>
      </c>
      <c r="P354" s="105" t="s">
        <v>5895</v>
      </c>
      <c r="Q354" s="64" t="s">
        <v>1</v>
      </c>
      <c r="R354" s="65">
        <v>1</v>
      </c>
      <c r="S354" s="99"/>
      <c r="T354" s="68"/>
      <c r="U354" s="76"/>
      <c r="V354" s="70"/>
      <c r="W354" s="66"/>
      <c r="X354" s="57"/>
      <c r="Y354" s="58"/>
      <c r="Z354" s="77"/>
      <c r="AA354" s="1" t="s">
        <v>18060</v>
      </c>
      <c r="AB354" s="68"/>
      <c r="AC354" s="76"/>
      <c r="AD354" s="70"/>
      <c r="AE354" s="228">
        <f>ROUND((ROUND((ROUND((_15_同援日２．５*_15・基礎２),0)*_15・２人),0)*(1+_15・区３)),0)+ROUND((ROUND((ROUND((ROUND((_15_同援日２．５＿０．５*_15・基礎２),0)*_15・２人),0)*(1+_15・B夜間)),0)*(1+_15・区３)),0)</f>
        <v>677</v>
      </c>
      <c r="AF354" s="69"/>
    </row>
    <row r="355" spans="1:32" ht="16.5" customHeight="1" x14ac:dyDescent="0.3">
      <c r="A355" s="2">
        <v>15</v>
      </c>
      <c r="B355" s="2">
        <v>9907</v>
      </c>
      <c r="C355" s="60" t="s">
        <v>10010</v>
      </c>
      <c r="D355" s="1"/>
      <c r="E355" s="68"/>
      <c r="F355" s="70"/>
      <c r="G355" s="1"/>
      <c r="H355" s="68"/>
      <c r="I355" s="70"/>
      <c r="J355" s="74"/>
      <c r="K355" s="62"/>
      <c r="L355" s="62"/>
      <c r="M355" s="62"/>
      <c r="N355" s="62"/>
      <c r="O355" s="92"/>
      <c r="P355" s="85"/>
      <c r="Q355" s="64"/>
      <c r="R355" s="65"/>
      <c r="S355" s="99"/>
      <c r="T355" s="68"/>
      <c r="U355" s="76"/>
      <c r="V355" s="70"/>
      <c r="W355" s="78" t="s">
        <v>18059</v>
      </c>
      <c r="X355" s="62"/>
      <c r="Y355" s="63"/>
      <c r="Z355" s="75"/>
      <c r="AA355" s="67"/>
      <c r="AB355" s="68" t="s">
        <v>1</v>
      </c>
      <c r="AC355" s="76">
        <v>0.2</v>
      </c>
      <c r="AD355" s="70" t="s">
        <v>422</v>
      </c>
      <c r="AE355" s="228">
        <f>ROUND((ROUND((_15_同援日２．５*(1+_15・盲ろう)),0)*(1+_15・区３)),0)+ROUND((ROUND((ROUND((_15_同援日２．５＿０．５*(1+_15・B夜間)),0)*(1+_15・盲ろう)),0)*(1+_15・区３)),0)</f>
        <v>941</v>
      </c>
      <c r="AF355" s="69"/>
    </row>
    <row r="356" spans="1:32" ht="16.5" customHeight="1" x14ac:dyDescent="0.3">
      <c r="A356" s="2">
        <v>15</v>
      </c>
      <c r="B356" s="2">
        <v>9908</v>
      </c>
      <c r="C356" s="60" t="s">
        <v>10009</v>
      </c>
      <c r="D356" s="1"/>
      <c r="E356" s="68"/>
      <c r="F356" s="70"/>
      <c r="G356" s="1"/>
      <c r="H356" s="68"/>
      <c r="I356" s="70"/>
      <c r="J356" s="81"/>
      <c r="K356" s="57"/>
      <c r="L356" s="57"/>
      <c r="M356" s="57"/>
      <c r="N356" s="57"/>
      <c r="O356" s="89"/>
      <c r="P356" s="105" t="s">
        <v>5895</v>
      </c>
      <c r="Q356" s="64" t="s">
        <v>1</v>
      </c>
      <c r="R356" s="65">
        <v>1</v>
      </c>
      <c r="S356" s="99"/>
      <c r="T356" s="68"/>
      <c r="U356" s="76"/>
      <c r="V356" s="70"/>
      <c r="W356" s="94" t="s">
        <v>18058</v>
      </c>
      <c r="X356" s="68"/>
      <c r="Y356" s="76"/>
      <c r="Z356" s="70"/>
      <c r="AA356" s="67"/>
      <c r="AB356" s="68"/>
      <c r="AC356" s="76"/>
      <c r="AD356" s="70"/>
      <c r="AE356" s="228">
        <f>ROUND((ROUND((ROUND((_15_同援日２．５*_15・２人),0)*(1+_15・盲ろう)),0)*(1+_15・区３)),0)+ROUND((ROUND((ROUND((ROUND((_15_同援日２．５＿０．５*_15・２人),0)*(1+_15・B夜間)),0)*(1+_15・盲ろう)),0)*(1+_15・区３)),0)</f>
        <v>941</v>
      </c>
      <c r="AF356" s="69"/>
    </row>
    <row r="357" spans="1:32" ht="16.5" customHeight="1" x14ac:dyDescent="0.3">
      <c r="A357" s="2">
        <v>15</v>
      </c>
      <c r="B357" s="2">
        <v>9909</v>
      </c>
      <c r="C357" s="60" t="s">
        <v>10008</v>
      </c>
      <c r="D357" s="1"/>
      <c r="E357" s="68"/>
      <c r="F357" s="70"/>
      <c r="G357" s="1"/>
      <c r="H357" s="68"/>
      <c r="I357" s="70"/>
      <c r="J357" s="74" t="s">
        <v>18069</v>
      </c>
      <c r="K357" s="62"/>
      <c r="L357" s="62"/>
      <c r="M357" s="62"/>
      <c r="N357" s="62"/>
      <c r="O357" s="92"/>
      <c r="P357" s="85"/>
      <c r="Q357" s="64"/>
      <c r="R357" s="65"/>
      <c r="S357" s="99"/>
      <c r="T357" s="68"/>
      <c r="U357" s="76"/>
      <c r="V357" s="70"/>
      <c r="W357" s="67"/>
      <c r="X357" s="68" t="s">
        <v>1</v>
      </c>
      <c r="Y357" s="76">
        <v>0.25</v>
      </c>
      <c r="Z357" s="70" t="s">
        <v>422</v>
      </c>
      <c r="AA357" s="67"/>
      <c r="AB357" s="68"/>
      <c r="AC357" s="76"/>
      <c r="AD357" s="70"/>
      <c r="AE357" s="228">
        <f>ROUND((ROUND((ROUND((_15_同援日２．５*_15・基礎２),0)*(1+_15・盲ろう)),0)*(1+_15・区３)),0)+ROUND((ROUND((ROUND((ROUND((_15_同援日２．５＿０．５*_15・基礎２),0)*(1+_15・B夜間)),0)*(1+_15・盲ろう)),0)*(1+_15・区３)),0)</f>
        <v>846</v>
      </c>
      <c r="AF357" s="69"/>
    </row>
    <row r="358" spans="1:32" ht="16.5" customHeight="1" x14ac:dyDescent="0.3">
      <c r="A358" s="2">
        <v>15</v>
      </c>
      <c r="B358" s="2">
        <v>9910</v>
      </c>
      <c r="C358" s="60" t="s">
        <v>10007</v>
      </c>
      <c r="D358" s="1"/>
      <c r="E358" s="68"/>
      <c r="F358" s="70"/>
      <c r="G358" s="1"/>
      <c r="H358" s="68"/>
      <c r="I358" s="70"/>
      <c r="J358" s="81"/>
      <c r="K358" s="57"/>
      <c r="L358" s="57"/>
      <c r="M358" s="57"/>
      <c r="N358" s="57" t="s">
        <v>1</v>
      </c>
      <c r="O358" s="89">
        <v>0.9</v>
      </c>
      <c r="P358" s="105" t="s">
        <v>5895</v>
      </c>
      <c r="Q358" s="64" t="s">
        <v>1</v>
      </c>
      <c r="R358" s="65">
        <v>1</v>
      </c>
      <c r="S358" s="99"/>
      <c r="T358" s="68"/>
      <c r="U358" s="76"/>
      <c r="V358" s="70"/>
      <c r="W358" s="66"/>
      <c r="X358" s="57"/>
      <c r="Y358" s="58"/>
      <c r="Z358" s="77"/>
      <c r="AA358" s="66"/>
      <c r="AB358" s="57"/>
      <c r="AC358" s="58"/>
      <c r="AD358" s="77"/>
      <c r="AE358" s="228">
        <f>ROUND((ROUND((ROUND((ROUND((_15_同援日２．５*_15・基礎２),0)*_15・２人),0)*(1+_15・盲ろう)),0)*(1+_15・区３)),0)+ROUND((ROUND((ROUND((ROUND((ROUND((_15_同援日２．５＿０．５*_15・基礎２),0)*_15・２人),0)*(1+_15・B夜間)),0)*(1+_15・盲ろう)),0)*(1+_15・区３)),0)</f>
        <v>846</v>
      </c>
      <c r="AF358" s="69"/>
    </row>
    <row r="359" spans="1:32" ht="16.5" customHeight="1" x14ac:dyDescent="0.3">
      <c r="A359" s="2">
        <v>15</v>
      </c>
      <c r="B359" s="2">
        <v>9911</v>
      </c>
      <c r="C359" s="60" t="s">
        <v>10006</v>
      </c>
      <c r="D359" s="1"/>
      <c r="E359" s="68"/>
      <c r="F359" s="70"/>
      <c r="G359" s="1"/>
      <c r="H359" s="68"/>
      <c r="I359" s="70"/>
      <c r="J359" s="74"/>
      <c r="K359" s="62"/>
      <c r="L359" s="62"/>
      <c r="M359" s="62"/>
      <c r="N359" s="62"/>
      <c r="O359" s="92"/>
      <c r="P359" s="85"/>
      <c r="Q359" s="64"/>
      <c r="R359" s="65"/>
      <c r="S359" s="99"/>
      <c r="T359" s="68"/>
      <c r="U359" s="76"/>
      <c r="V359" s="70"/>
      <c r="W359" s="61"/>
      <c r="X359" s="62"/>
      <c r="Y359" s="63"/>
      <c r="Z359" s="75"/>
      <c r="AA359" s="61"/>
      <c r="AB359" s="62"/>
      <c r="AC359" s="63"/>
      <c r="AD359" s="75"/>
      <c r="AE359" s="228">
        <f>ROUND((_15_同援日２．５*(1+_15・区４)),0)+ROUND((ROUND((_15_同援日２．５＿０．５*(1+_15・B夜間)),0)*(1+_15・区４)),0)</f>
        <v>878</v>
      </c>
      <c r="AF359" s="69"/>
    </row>
    <row r="360" spans="1:32" ht="16.5" customHeight="1" x14ac:dyDescent="0.3">
      <c r="A360" s="2">
        <v>15</v>
      </c>
      <c r="B360" s="2">
        <v>9912</v>
      </c>
      <c r="C360" s="60" t="s">
        <v>10005</v>
      </c>
      <c r="D360" s="1"/>
      <c r="E360" s="68"/>
      <c r="F360" s="70"/>
      <c r="G360" s="1"/>
      <c r="H360" s="68"/>
      <c r="I360" s="70"/>
      <c r="J360" s="81"/>
      <c r="K360" s="57"/>
      <c r="L360" s="57"/>
      <c r="M360" s="57"/>
      <c r="N360" s="57"/>
      <c r="O360" s="89"/>
      <c r="P360" s="105" t="s">
        <v>5895</v>
      </c>
      <c r="Q360" s="64" t="s">
        <v>1</v>
      </c>
      <c r="R360" s="65">
        <v>1</v>
      </c>
      <c r="S360" s="99"/>
      <c r="T360" s="68"/>
      <c r="U360" s="76"/>
      <c r="V360" s="70"/>
      <c r="W360" s="67"/>
      <c r="X360" s="68"/>
      <c r="Y360" s="76"/>
      <c r="Z360" s="70"/>
      <c r="AA360" s="67"/>
      <c r="AB360" s="68"/>
      <c r="AC360" s="76"/>
      <c r="AD360" s="70"/>
      <c r="AE360" s="228">
        <f>ROUND((ROUND((_15_同援日２．５*_15・２人),0)*(1+_15・区４)),0)+ROUND((ROUND((ROUND((_15_同援日２．５＿０．５*_15・２人),0)*(1+_15・B夜間)),0)*(1+_15・区４)),0)</f>
        <v>878</v>
      </c>
      <c r="AF360" s="69"/>
    </row>
    <row r="361" spans="1:32" ht="16.5" customHeight="1" x14ac:dyDescent="0.3">
      <c r="A361" s="2">
        <v>15</v>
      </c>
      <c r="B361" s="2">
        <v>9913</v>
      </c>
      <c r="C361" s="60" t="s">
        <v>10004</v>
      </c>
      <c r="D361" s="1"/>
      <c r="E361" s="68"/>
      <c r="F361" s="70"/>
      <c r="G361" s="1"/>
      <c r="H361" s="68"/>
      <c r="I361" s="70"/>
      <c r="J361" s="74" t="s">
        <v>18069</v>
      </c>
      <c r="K361" s="62"/>
      <c r="L361" s="62"/>
      <c r="M361" s="62"/>
      <c r="N361" s="62"/>
      <c r="O361" s="92"/>
      <c r="P361" s="85"/>
      <c r="Q361" s="64"/>
      <c r="R361" s="65"/>
      <c r="S361" s="99"/>
      <c r="T361" s="68"/>
      <c r="U361" s="76"/>
      <c r="V361" s="70"/>
      <c r="W361" s="67"/>
      <c r="X361" s="68"/>
      <c r="Y361" s="76"/>
      <c r="Z361" s="70"/>
      <c r="AA361" s="1" t="s">
        <v>18061</v>
      </c>
      <c r="AB361" s="68"/>
      <c r="AC361" s="76"/>
      <c r="AD361" s="70"/>
      <c r="AE361" s="228">
        <f>ROUND((ROUND((_15_同援日２．５*_15・基礎２),0)*(1+_15・区４)),0)+ROUND((ROUND((ROUND((_15_同援日２．５＿０．５*_15・基礎２),0)*(1+_15・B夜間)),0)*(1+_15・区４)),0)</f>
        <v>789</v>
      </c>
      <c r="AF361" s="69"/>
    </row>
    <row r="362" spans="1:32" ht="16.5" customHeight="1" x14ac:dyDescent="0.3">
      <c r="A362" s="2">
        <v>15</v>
      </c>
      <c r="B362" s="2">
        <v>9914</v>
      </c>
      <c r="C362" s="60" t="s">
        <v>10003</v>
      </c>
      <c r="D362" s="1"/>
      <c r="E362" s="68"/>
      <c r="F362" s="70"/>
      <c r="G362" s="1"/>
      <c r="H362" s="68"/>
      <c r="I362" s="70"/>
      <c r="J362" s="81"/>
      <c r="K362" s="57"/>
      <c r="L362" s="57"/>
      <c r="M362" s="57"/>
      <c r="N362" s="57" t="s">
        <v>1</v>
      </c>
      <c r="O362" s="89">
        <v>0.9</v>
      </c>
      <c r="P362" s="105" t="s">
        <v>5895</v>
      </c>
      <c r="Q362" s="64" t="s">
        <v>1</v>
      </c>
      <c r="R362" s="65">
        <v>1</v>
      </c>
      <c r="S362" s="99"/>
      <c r="T362" s="68"/>
      <c r="U362" s="76"/>
      <c r="V362" s="70"/>
      <c r="W362" s="66"/>
      <c r="X362" s="57"/>
      <c r="Y362" s="58"/>
      <c r="Z362" s="77"/>
      <c r="AA362" s="1" t="s">
        <v>18060</v>
      </c>
      <c r="AB362" s="68"/>
      <c r="AC362" s="76"/>
      <c r="AD362" s="70"/>
      <c r="AE362" s="228">
        <f>ROUND((ROUND((ROUND((_15_同援日２．５*_15・基礎２),0)*_15・２人),0)*(1+_15・区４)),0)+ROUND((ROUND((ROUND((ROUND((_15_同援日２．５＿０．５*_15・基礎２),0)*_15・２人),0)*(1+_15・B夜間)),0)*(1+_15・区４)),0)</f>
        <v>789</v>
      </c>
      <c r="AF362" s="69"/>
    </row>
    <row r="363" spans="1:32" ht="16.5" customHeight="1" x14ac:dyDescent="0.3">
      <c r="A363" s="2">
        <v>15</v>
      </c>
      <c r="B363" s="2">
        <v>9915</v>
      </c>
      <c r="C363" s="60" t="s">
        <v>10002</v>
      </c>
      <c r="D363" s="1"/>
      <c r="E363" s="68"/>
      <c r="F363" s="70"/>
      <c r="G363" s="1"/>
      <c r="H363" s="68"/>
      <c r="I363" s="70"/>
      <c r="J363" s="74"/>
      <c r="K363" s="62"/>
      <c r="L363" s="62"/>
      <c r="M363" s="62"/>
      <c r="N363" s="62"/>
      <c r="O363" s="92"/>
      <c r="P363" s="85"/>
      <c r="Q363" s="64"/>
      <c r="R363" s="65"/>
      <c r="S363" s="99"/>
      <c r="T363" s="68"/>
      <c r="U363" s="76"/>
      <c r="V363" s="70"/>
      <c r="W363" s="78" t="s">
        <v>18059</v>
      </c>
      <c r="X363" s="62"/>
      <c r="Y363" s="63"/>
      <c r="Z363" s="75"/>
      <c r="AA363" s="67"/>
      <c r="AB363" s="68" t="s">
        <v>1</v>
      </c>
      <c r="AC363" s="76">
        <v>0.4</v>
      </c>
      <c r="AD363" s="70" t="s">
        <v>422</v>
      </c>
      <c r="AE363" s="228">
        <f>ROUND((ROUND((_15_同援日２．５*(1+_15・盲ろう)),0)*(1+_15・区４)),0)+ROUND((ROUND((ROUND((_15_同援日２．５＿０．５*(1+_15・B夜間)),0)*(1+_15・盲ろう)),0)*(1+_15・区４)),0)</f>
        <v>1098</v>
      </c>
      <c r="AF363" s="69"/>
    </row>
    <row r="364" spans="1:32" ht="16.5" customHeight="1" x14ac:dyDescent="0.3">
      <c r="A364" s="2">
        <v>15</v>
      </c>
      <c r="B364" s="2">
        <v>9916</v>
      </c>
      <c r="C364" s="60" t="s">
        <v>10001</v>
      </c>
      <c r="D364" s="1"/>
      <c r="E364" s="68"/>
      <c r="F364" s="70"/>
      <c r="G364" s="1"/>
      <c r="H364" s="68"/>
      <c r="I364" s="70"/>
      <c r="J364" s="81"/>
      <c r="K364" s="57"/>
      <c r="L364" s="57"/>
      <c r="M364" s="57"/>
      <c r="N364" s="57"/>
      <c r="O364" s="89"/>
      <c r="P364" s="105" t="s">
        <v>5895</v>
      </c>
      <c r="Q364" s="64" t="s">
        <v>1</v>
      </c>
      <c r="R364" s="65">
        <v>1</v>
      </c>
      <c r="S364" s="99"/>
      <c r="T364" s="68"/>
      <c r="U364" s="76"/>
      <c r="V364" s="70"/>
      <c r="W364" s="94" t="s">
        <v>18058</v>
      </c>
      <c r="X364" s="68"/>
      <c r="Y364" s="76"/>
      <c r="Z364" s="70"/>
      <c r="AA364" s="67"/>
      <c r="AB364" s="68"/>
      <c r="AC364" s="76"/>
      <c r="AD364" s="70"/>
      <c r="AE364" s="228">
        <f>ROUND((ROUND((ROUND((_15_同援日２．５*_15・２人),0)*(1+_15・盲ろう)),0)*(1+_15・区４)),0)+ROUND((ROUND((ROUND((ROUND((_15_同援日２．５＿０．５*_15・２人),0)*(1+_15・B夜間)),0)*(1+_15・盲ろう)),0)*(1+_15・区４)),0)</f>
        <v>1098</v>
      </c>
      <c r="AF364" s="69"/>
    </row>
    <row r="365" spans="1:32" ht="16.5" customHeight="1" x14ac:dyDescent="0.3">
      <c r="A365" s="2">
        <v>15</v>
      </c>
      <c r="B365" s="2">
        <v>9917</v>
      </c>
      <c r="C365" s="60" t="s">
        <v>10000</v>
      </c>
      <c r="D365" s="1"/>
      <c r="E365" s="68"/>
      <c r="F365" s="70"/>
      <c r="G365" s="1"/>
      <c r="H365" s="68"/>
      <c r="I365" s="70"/>
      <c r="J365" s="74" t="s">
        <v>6260</v>
      </c>
      <c r="K365" s="62"/>
      <c r="L365" s="62"/>
      <c r="M365" s="62"/>
      <c r="N365" s="62"/>
      <c r="O365" s="92"/>
      <c r="P365" s="85"/>
      <c r="Q365" s="64"/>
      <c r="R365" s="65"/>
      <c r="S365" s="99"/>
      <c r="T365" s="68"/>
      <c r="U365" s="76"/>
      <c r="V365" s="70"/>
      <c r="W365" s="67"/>
      <c r="X365" s="68" t="s">
        <v>1</v>
      </c>
      <c r="Y365" s="76">
        <v>0.25</v>
      </c>
      <c r="Z365" s="70" t="s">
        <v>422</v>
      </c>
      <c r="AA365" s="67"/>
      <c r="AB365" s="68"/>
      <c r="AC365" s="76"/>
      <c r="AD365" s="70"/>
      <c r="AE365" s="228">
        <f>ROUND((ROUND((ROUND((_15_同援日２．５*_15・基礎２),0)*(1+_15・盲ろう)),0)*(1+_15・区４)),0)+ROUND((ROUND((ROUND((ROUND((_15_同援日２．５＿０．５*_15・基礎２),0)*(1+_15・B夜間)),0)*(1+_15・盲ろう)),0)*(1+_15・区４)),0)</f>
        <v>987</v>
      </c>
      <c r="AF365" s="69"/>
    </row>
    <row r="366" spans="1:32" ht="16.5" customHeight="1" x14ac:dyDescent="0.3">
      <c r="A366" s="2">
        <v>15</v>
      </c>
      <c r="B366" s="2">
        <v>9918</v>
      </c>
      <c r="C366" s="60" t="s">
        <v>9999</v>
      </c>
      <c r="D366" s="81"/>
      <c r="E366" s="57"/>
      <c r="F366" s="77"/>
      <c r="G366" s="81"/>
      <c r="H366" s="57"/>
      <c r="I366" s="77"/>
      <c r="J366" s="81"/>
      <c r="K366" s="57"/>
      <c r="L366" s="57"/>
      <c r="M366" s="57"/>
      <c r="N366" s="57" t="s">
        <v>1</v>
      </c>
      <c r="O366" s="89">
        <v>0.9</v>
      </c>
      <c r="P366" s="105" t="s">
        <v>5895</v>
      </c>
      <c r="Q366" s="64" t="s">
        <v>1</v>
      </c>
      <c r="R366" s="65">
        <v>1</v>
      </c>
      <c r="S366" s="101"/>
      <c r="T366" s="57"/>
      <c r="U366" s="58"/>
      <c r="V366" s="77"/>
      <c r="W366" s="66"/>
      <c r="X366" s="57"/>
      <c r="Y366" s="58"/>
      <c r="Z366" s="77"/>
      <c r="AA366" s="66"/>
      <c r="AB366" s="57"/>
      <c r="AC366" s="58"/>
      <c r="AD366" s="77"/>
      <c r="AE366" s="228">
        <f>ROUND((ROUND((ROUND((ROUND((_15_同援日２．５*_15・基礎２),0)*_15・２人),0)*(1+_15・盲ろう)),0)*(1+_15・区４)),0)+ROUND((ROUND((ROUND((ROUND((ROUND((_15_同援日２．５＿０．５*_15・基礎２),0)*_15・２人),0)*(1+_15・B夜間)),0)*(1+_15・盲ろう)),0)*(1+_15・区４)),0)</f>
        <v>987</v>
      </c>
      <c r="AF366" s="71"/>
    </row>
    <row r="367" spans="1:32" ht="16.5" customHeight="1" x14ac:dyDescent="0.3"/>
    <row r="368" spans="1:32" ht="16.5" customHeight="1" x14ac:dyDescent="0.3"/>
    <row r="369" spans="1:32" ht="16.5" customHeight="1" x14ac:dyDescent="0.3">
      <c r="B369" s="229" t="s">
        <v>18068</v>
      </c>
      <c r="C369" s="131"/>
      <c r="D369" s="72"/>
    </row>
    <row r="370" spans="1:32" ht="16.5" customHeight="1" x14ac:dyDescent="0.3">
      <c r="A370" s="50" t="s">
        <v>5864</v>
      </c>
      <c r="B370" s="51"/>
      <c r="C370" s="52" t="s">
        <v>5867</v>
      </c>
      <c r="D370" s="79" t="s">
        <v>5868</v>
      </c>
      <c r="E370" s="53"/>
      <c r="F370" s="53"/>
      <c r="G370" s="79"/>
      <c r="H370" s="53"/>
      <c r="I370" s="53"/>
      <c r="J370" s="79"/>
      <c r="K370" s="53"/>
      <c r="L370" s="53"/>
      <c r="M370" s="53"/>
      <c r="N370" s="53"/>
      <c r="O370" s="54"/>
      <c r="P370" s="53"/>
      <c r="Q370" s="53"/>
      <c r="R370" s="54"/>
      <c r="S370" s="54"/>
      <c r="T370" s="53"/>
      <c r="U370" s="54"/>
      <c r="V370" s="53"/>
      <c r="W370" s="53"/>
      <c r="X370" s="53"/>
      <c r="Y370" s="54"/>
      <c r="Z370" s="53"/>
      <c r="AA370" s="53"/>
      <c r="AB370" s="53"/>
      <c r="AC370" s="54"/>
      <c r="AD370" s="53"/>
      <c r="AE370" s="55" t="s">
        <v>5869</v>
      </c>
      <c r="AF370" s="55" t="s">
        <v>5871</v>
      </c>
    </row>
    <row r="371" spans="1:32" ht="16.5" customHeight="1" x14ac:dyDescent="0.3">
      <c r="A371" s="2" t="s">
        <v>5865</v>
      </c>
      <c r="B371" s="2" t="s">
        <v>5866</v>
      </c>
      <c r="C371" s="56"/>
      <c r="D371" s="80" t="s">
        <v>5872</v>
      </c>
      <c r="E371" s="86"/>
      <c r="F371" s="87"/>
      <c r="G371" s="80" t="s">
        <v>18067</v>
      </c>
      <c r="H371" s="86"/>
      <c r="I371" s="87"/>
      <c r="J371" s="73"/>
      <c r="K371" s="57"/>
      <c r="L371" s="57"/>
      <c r="M371" s="57"/>
      <c r="N371" s="57"/>
      <c r="O371" s="58"/>
      <c r="P371" s="57"/>
      <c r="Q371" s="57"/>
      <c r="R371" s="58"/>
      <c r="S371" s="58"/>
      <c r="T371" s="57"/>
      <c r="U371" s="58"/>
      <c r="V371" s="57"/>
      <c r="W371" s="57"/>
      <c r="X371" s="57"/>
      <c r="Y371" s="58"/>
      <c r="Z371" s="57"/>
      <c r="AA371" s="57"/>
      <c r="AB371" s="57"/>
      <c r="AC371" s="58"/>
      <c r="AD371" s="57"/>
      <c r="AE371" s="59" t="s">
        <v>5870</v>
      </c>
      <c r="AF371" s="59" t="s">
        <v>0</v>
      </c>
    </row>
    <row r="372" spans="1:32" ht="16.5" customHeight="1" x14ac:dyDescent="0.3">
      <c r="A372" s="2">
        <v>15</v>
      </c>
      <c r="B372" s="2">
        <v>9919</v>
      </c>
      <c r="C372" s="60" t="s">
        <v>9998</v>
      </c>
      <c r="D372" s="233" t="s">
        <v>18066</v>
      </c>
      <c r="E372" s="235"/>
      <c r="F372" s="75"/>
      <c r="G372" s="233" t="s">
        <v>18065</v>
      </c>
      <c r="H372" s="62"/>
      <c r="I372" s="75"/>
      <c r="J372" s="74" t="s">
        <v>18064</v>
      </c>
      <c r="K372" s="62"/>
      <c r="L372" s="75"/>
      <c r="M372" s="61"/>
      <c r="N372" s="62"/>
      <c r="O372" s="63"/>
      <c r="P372" s="85"/>
      <c r="Q372" s="64"/>
      <c r="R372" s="65"/>
      <c r="S372" s="98"/>
      <c r="T372" s="75"/>
      <c r="U372" s="98"/>
      <c r="V372" s="75"/>
      <c r="W372" s="61"/>
      <c r="X372" s="62"/>
      <c r="Y372" s="63"/>
      <c r="Z372" s="75"/>
      <c r="AA372" s="61"/>
      <c r="AB372" s="62"/>
      <c r="AC372" s="63"/>
      <c r="AD372" s="75"/>
      <c r="AE372" s="228">
        <f>ROUND((_15_同援日０．５*(1+_15・A深夜)),0)+ROUND((_15_同援日０．５＿２．０*(1+_15・B早朝)),0)+_15_同援日０．５＿２．０＿０．５</f>
        <v>794</v>
      </c>
      <c r="AF372" s="52" t="s">
        <v>5863</v>
      </c>
    </row>
    <row r="373" spans="1:32" ht="16.5" customHeight="1" x14ac:dyDescent="0.3">
      <c r="A373" s="2">
        <v>15</v>
      </c>
      <c r="B373" s="2">
        <v>9920</v>
      </c>
      <c r="C373" s="60" t="s">
        <v>9997</v>
      </c>
      <c r="D373" s="1" t="s">
        <v>7928</v>
      </c>
      <c r="E373" s="68"/>
      <c r="F373" s="70"/>
      <c r="G373" s="1" t="s">
        <v>18063</v>
      </c>
      <c r="H373" s="68"/>
      <c r="I373" s="70"/>
      <c r="J373" s="1" t="s">
        <v>7928</v>
      </c>
      <c r="K373" s="68"/>
      <c r="L373" s="70"/>
      <c r="M373" s="66"/>
      <c r="N373" s="57"/>
      <c r="O373" s="58"/>
      <c r="P373" s="105" t="s">
        <v>5895</v>
      </c>
      <c r="Q373" s="64" t="s">
        <v>1</v>
      </c>
      <c r="R373" s="65">
        <v>1</v>
      </c>
      <c r="S373" s="99"/>
      <c r="T373" s="70"/>
      <c r="U373" s="99"/>
      <c r="V373" s="70"/>
      <c r="W373" s="67"/>
      <c r="X373" s="68"/>
      <c r="Y373" s="76"/>
      <c r="Z373" s="70"/>
      <c r="AA373" s="67"/>
      <c r="AB373" s="68"/>
      <c r="AC373" s="76"/>
      <c r="AD373" s="70"/>
      <c r="AE373" s="228">
        <f>ROUND((ROUND((_15_同援日０．５*_15・２人),0)*(1+_15・A深夜)),0)+ROUND((ROUND((_15_同援日０．５＿２．０*_15・２人),0)*(1+_15・B早朝)),0)+ROUND((_15_同援日０．５＿２．０＿０．５*_15・２人),0)</f>
        <v>794</v>
      </c>
      <c r="AF373" s="69"/>
    </row>
    <row r="374" spans="1:32" ht="16.5" customHeight="1" x14ac:dyDescent="0.3">
      <c r="A374" s="2">
        <v>15</v>
      </c>
      <c r="B374" s="2">
        <v>9921</v>
      </c>
      <c r="C374" s="60" t="s">
        <v>9996</v>
      </c>
      <c r="D374" s="1"/>
      <c r="E374" s="68"/>
      <c r="F374" s="70"/>
      <c r="G374" s="1" t="s">
        <v>6448</v>
      </c>
      <c r="H374" s="68"/>
      <c r="I374" s="70"/>
      <c r="J374" s="1"/>
      <c r="K374" s="68"/>
      <c r="L374" s="70"/>
      <c r="M374" s="74" t="s">
        <v>18057</v>
      </c>
      <c r="N374" s="62"/>
      <c r="O374" s="63"/>
      <c r="P374" s="85"/>
      <c r="Q374" s="64"/>
      <c r="R374" s="65"/>
      <c r="S374" s="99"/>
      <c r="T374" s="70"/>
      <c r="U374" s="99"/>
      <c r="V374" s="70"/>
      <c r="W374" s="67"/>
      <c r="X374" s="68"/>
      <c r="Y374" s="76"/>
      <c r="Z374" s="70"/>
      <c r="AA374" s="67"/>
      <c r="AB374" s="68"/>
      <c r="AC374" s="76"/>
      <c r="AD374" s="70"/>
      <c r="AE374" s="228">
        <f>ROUND((ROUND((_15_同援日０．５*_15・基礎２),0)*(1+_15・A深夜)),0)+ROUND((ROUND((_15_同援日０．５＿２．０*_15・基礎２),0)*(1+_15・B早朝)),0)+ROUND((_15_同援日０．５＿２．０＿０．５*_15・基礎２),0)</f>
        <v>716</v>
      </c>
      <c r="AF374" s="69"/>
    </row>
    <row r="375" spans="1:32" ht="16.5" customHeight="1" x14ac:dyDescent="0.3">
      <c r="A375" s="2">
        <v>15</v>
      </c>
      <c r="B375" s="2">
        <v>9922</v>
      </c>
      <c r="C375" s="60" t="s">
        <v>9995</v>
      </c>
      <c r="D375" s="1"/>
      <c r="E375" s="119">
        <v>184</v>
      </c>
      <c r="F375" s="70" t="s">
        <v>0</v>
      </c>
      <c r="G375" s="1"/>
      <c r="H375" s="227">
        <v>364</v>
      </c>
      <c r="I375" s="70" t="s">
        <v>0</v>
      </c>
      <c r="J375" s="1"/>
      <c r="K375" s="119">
        <v>63</v>
      </c>
      <c r="L375" s="70" t="s">
        <v>0</v>
      </c>
      <c r="M375" s="106" t="s">
        <v>18056</v>
      </c>
      <c r="N375" s="57" t="s">
        <v>1</v>
      </c>
      <c r="O375" s="58">
        <v>0.9</v>
      </c>
      <c r="P375" s="105" t="s">
        <v>5895</v>
      </c>
      <c r="Q375" s="64" t="s">
        <v>1</v>
      </c>
      <c r="R375" s="65">
        <v>1</v>
      </c>
      <c r="S375" s="99"/>
      <c r="T375" s="70"/>
      <c r="U375" s="99"/>
      <c r="V375" s="70"/>
      <c r="W375" s="66"/>
      <c r="X375" s="57"/>
      <c r="Y375" s="58"/>
      <c r="Z375" s="77"/>
      <c r="AA375" s="67"/>
      <c r="AB375" s="68"/>
      <c r="AC375" s="76"/>
      <c r="AD375" s="70"/>
      <c r="AE375" s="228">
        <f>ROUND((ROUND((ROUND((_15_同援日０．５*_15・基礎２),0)*_15・２人),0)*(1+_15・A深夜)),0)+ROUND((ROUND((ROUND((_15_同援日０．５＿２．０*_15・基礎２),0)*_15・２人),0)*(1+_15・B早朝)),0)+ROUND((ROUND((_15_同援日０．５＿２．０＿０．５*_15・基礎２),0)*_15・２人),0)</f>
        <v>716</v>
      </c>
      <c r="AF375" s="69"/>
    </row>
    <row r="376" spans="1:32" ht="16.5" customHeight="1" x14ac:dyDescent="0.3">
      <c r="A376" s="2">
        <v>15</v>
      </c>
      <c r="B376" s="2">
        <v>9923</v>
      </c>
      <c r="C376" s="60" t="s">
        <v>9994</v>
      </c>
      <c r="D376" s="1"/>
      <c r="E376" s="68"/>
      <c r="F376" s="70"/>
      <c r="G376" s="1"/>
      <c r="H376" s="68"/>
      <c r="I376" s="70"/>
      <c r="J376" s="1"/>
      <c r="K376" s="68"/>
      <c r="L376" s="70"/>
      <c r="M376" s="61"/>
      <c r="N376" s="62"/>
      <c r="O376" s="63"/>
      <c r="P376" s="85"/>
      <c r="Q376" s="64"/>
      <c r="R376" s="65"/>
      <c r="S376" s="99"/>
      <c r="T376" s="70"/>
      <c r="U376" s="99"/>
      <c r="V376" s="70"/>
      <c r="W376" s="78" t="s">
        <v>18059</v>
      </c>
      <c r="X376" s="62"/>
      <c r="Y376" s="63"/>
      <c r="Z376" s="75"/>
      <c r="AA376" s="67"/>
      <c r="AB376" s="68"/>
      <c r="AC376" s="76"/>
      <c r="AD376" s="70"/>
      <c r="AE376" s="228">
        <f>ROUND((ROUND((_15_同援日０．５*(1+_15・A深夜)),0)*(1+_15・盲ろう)),0)+ROUND((ROUND((_15_同援日０．５＿２．０*(1+_15・B早朝)),0)*(1+_15・盲ろう)),0)+ROUND((_15_同援日０．５＿２．０＿０．５*(1+_15・盲ろう)),0)</f>
        <v>993</v>
      </c>
      <c r="AF376" s="69"/>
    </row>
    <row r="377" spans="1:32" ht="16.5" customHeight="1" x14ac:dyDescent="0.3">
      <c r="A377" s="2">
        <v>15</v>
      </c>
      <c r="B377" s="2">
        <v>9924</v>
      </c>
      <c r="C377" s="60" t="s">
        <v>9993</v>
      </c>
      <c r="D377" s="1"/>
      <c r="E377" s="68"/>
      <c r="F377" s="70"/>
      <c r="G377" s="1"/>
      <c r="H377" s="68"/>
      <c r="I377" s="70"/>
      <c r="J377" s="1"/>
      <c r="K377" s="68"/>
      <c r="L377" s="70"/>
      <c r="M377" s="66"/>
      <c r="N377" s="57"/>
      <c r="O377" s="58"/>
      <c r="P377" s="105" t="s">
        <v>5895</v>
      </c>
      <c r="Q377" s="64" t="s">
        <v>1</v>
      </c>
      <c r="R377" s="65">
        <v>1</v>
      </c>
      <c r="S377" s="108" t="s">
        <v>7920</v>
      </c>
      <c r="T377" s="70"/>
      <c r="U377" s="108" t="s">
        <v>7895</v>
      </c>
      <c r="V377" s="70"/>
      <c r="W377" s="94" t="s">
        <v>18058</v>
      </c>
      <c r="X377" s="68"/>
      <c r="Y377" s="76"/>
      <c r="Z377" s="70"/>
      <c r="AA377" s="67"/>
      <c r="AB377" s="68"/>
      <c r="AC377" s="76"/>
      <c r="AD377" s="70"/>
      <c r="AE377" s="228">
        <f>ROUND((ROUND((ROUND((_15_同援日０．５*_15・２人),0)*(1+_15・A深夜)),0)*(1+_15・盲ろう)),0)+ROUND((ROUND((ROUND((_15_同援日０．５＿２．０*_15・２人),0)*(1+_15・B早朝)),0)*(1+_15・盲ろう)),0)+ROUND((ROUND((_15_同援日０．５＿２．０＿０．５*_15・２人),0)*(1+_15・盲ろう)),0)</f>
        <v>993</v>
      </c>
      <c r="AF377" s="69"/>
    </row>
    <row r="378" spans="1:32" ht="16.5" customHeight="1" x14ac:dyDescent="0.3">
      <c r="A378" s="2">
        <v>15</v>
      </c>
      <c r="B378" s="2">
        <v>9925</v>
      </c>
      <c r="C378" s="60" t="s">
        <v>9992</v>
      </c>
      <c r="D378" s="1"/>
      <c r="E378" s="68"/>
      <c r="F378" s="70"/>
      <c r="G378" s="1"/>
      <c r="H378" s="68"/>
      <c r="I378" s="70"/>
      <c r="J378" s="1"/>
      <c r="K378" s="68"/>
      <c r="L378" s="70"/>
      <c r="M378" s="78" t="s">
        <v>18057</v>
      </c>
      <c r="N378" s="62"/>
      <c r="O378" s="63"/>
      <c r="P378" s="85"/>
      <c r="Q378" s="64"/>
      <c r="R378" s="65"/>
      <c r="S378" s="99"/>
      <c r="T378" s="109" t="s">
        <v>7948</v>
      </c>
      <c r="U378" s="99"/>
      <c r="V378" s="109" t="s">
        <v>7947</v>
      </c>
      <c r="W378" s="67"/>
      <c r="X378" s="68" t="s">
        <v>1</v>
      </c>
      <c r="Y378" s="76">
        <v>0.25</v>
      </c>
      <c r="Z378" s="70" t="s">
        <v>422</v>
      </c>
      <c r="AA378" s="67"/>
      <c r="AB378" s="68"/>
      <c r="AC378" s="76"/>
      <c r="AD378" s="70"/>
      <c r="AE378" s="228">
        <f>ROUND((ROUND((ROUND((_15_同援日０．５*_15・基礎２),0)*(1+_15・A深夜)),0)*(1+_15・盲ろう)),0)+ROUND((ROUND((ROUND((_15_同援日０．５＿２．０*_15・基礎２),0)*(1+_15・B早朝)),0)*(1+_15・盲ろう)),0)+ROUND((ROUND((_15_同援日０．５＿２．０＿０．５*_15・基礎２),0)*(1+_15・盲ろう)),0)</f>
        <v>895</v>
      </c>
      <c r="AF378" s="69"/>
    </row>
    <row r="379" spans="1:32" ht="16.5" customHeight="1" x14ac:dyDescent="0.3">
      <c r="A379" s="2">
        <v>15</v>
      </c>
      <c r="B379" s="2">
        <v>9926</v>
      </c>
      <c r="C379" s="60" t="s">
        <v>9991</v>
      </c>
      <c r="D379" s="1"/>
      <c r="E379" s="68"/>
      <c r="F379" s="70"/>
      <c r="G379" s="1"/>
      <c r="H379" s="68"/>
      <c r="I379" s="70"/>
      <c r="J379" s="1"/>
      <c r="K379" s="68"/>
      <c r="L379" s="70"/>
      <c r="M379" s="106" t="s">
        <v>18056</v>
      </c>
      <c r="N379" s="57" t="s">
        <v>1</v>
      </c>
      <c r="O379" s="58">
        <v>0.9</v>
      </c>
      <c r="P379" s="105" t="s">
        <v>5895</v>
      </c>
      <c r="Q379" s="64" t="s">
        <v>1</v>
      </c>
      <c r="R379" s="65">
        <v>1</v>
      </c>
      <c r="S379" s="99"/>
      <c r="T379" s="70"/>
      <c r="U379" s="99"/>
      <c r="V379" s="70"/>
      <c r="W379" s="66"/>
      <c r="X379" s="57"/>
      <c r="Y379" s="58"/>
      <c r="Z379" s="77"/>
      <c r="AA379" s="66"/>
      <c r="AB379" s="57"/>
      <c r="AC379" s="58"/>
      <c r="AD379" s="77"/>
      <c r="AE379" s="228">
        <f>ROUND((ROUND((ROUND((ROUND((_15_同援日０．５*_15・基礎２),0)*_15・２人),0)*(1+_15・A深夜)),0)*(1+_15・盲ろう)),0)+ROUND((ROUND((ROUND((ROUND((_15_同援日０．５＿２．０*_15・基礎２),0)*_15・２人),0)*(1+_15・B早朝)),0)*(1+_15・盲ろう)),0)+ROUND((ROUND((ROUND((_15_同援日０．５＿２．０＿０．５*_15・基礎２),0)*_15・２人),0)*(1+_15・盲ろう)),0)</f>
        <v>895</v>
      </c>
      <c r="AF379" s="69"/>
    </row>
    <row r="380" spans="1:32" ht="16.5" customHeight="1" x14ac:dyDescent="0.3">
      <c r="A380" s="2">
        <v>15</v>
      </c>
      <c r="B380" s="2">
        <v>9927</v>
      </c>
      <c r="C380" s="60" t="s">
        <v>9990</v>
      </c>
      <c r="D380" s="1"/>
      <c r="E380" s="68"/>
      <c r="F380" s="70"/>
      <c r="G380" s="1"/>
      <c r="H380" s="68"/>
      <c r="I380" s="70"/>
      <c r="J380" s="1"/>
      <c r="K380" s="68"/>
      <c r="L380" s="70"/>
      <c r="M380" s="61"/>
      <c r="N380" s="62"/>
      <c r="O380" s="63"/>
      <c r="P380" s="85"/>
      <c r="Q380" s="64"/>
      <c r="R380" s="65"/>
      <c r="S380" s="67" t="s">
        <v>1</v>
      </c>
      <c r="T380" s="93">
        <v>0.5</v>
      </c>
      <c r="U380" s="67" t="s">
        <v>1</v>
      </c>
      <c r="V380" s="93">
        <v>0.25</v>
      </c>
      <c r="W380" s="61"/>
      <c r="X380" s="62"/>
      <c r="Y380" s="63"/>
      <c r="Z380" s="75"/>
      <c r="AA380" s="61"/>
      <c r="AB380" s="62"/>
      <c r="AC380" s="63"/>
      <c r="AD380" s="75"/>
      <c r="AE380" s="228">
        <f>ROUND((ROUND((_15_同援日０．５*(1+_15・A深夜)),0)*(1+_15・区３)),0)+ROUND((ROUND((_15_同援日０．５＿２．０*(1+_15・B早朝)),0)*(1+_15・区３)),0)+ROUND((_15_同援日０．５＿２．０＿０．５*(1+_15・区３)),0)</f>
        <v>953</v>
      </c>
      <c r="AF380" s="69"/>
    </row>
    <row r="381" spans="1:32" ht="16.5" customHeight="1" x14ac:dyDescent="0.3">
      <c r="A381" s="2">
        <v>15</v>
      </c>
      <c r="B381" s="2">
        <v>9928</v>
      </c>
      <c r="C381" s="60" t="s">
        <v>9989</v>
      </c>
      <c r="D381" s="1"/>
      <c r="E381" s="68"/>
      <c r="F381" s="70"/>
      <c r="G381" s="1"/>
      <c r="H381" s="68"/>
      <c r="I381" s="70"/>
      <c r="J381" s="1"/>
      <c r="K381" s="68"/>
      <c r="L381" s="70"/>
      <c r="M381" s="66"/>
      <c r="N381" s="57"/>
      <c r="O381" s="58"/>
      <c r="P381" s="105" t="s">
        <v>5895</v>
      </c>
      <c r="Q381" s="64" t="s">
        <v>1</v>
      </c>
      <c r="R381" s="65">
        <v>1</v>
      </c>
      <c r="S381" s="99"/>
      <c r="T381" s="100" t="s">
        <v>422</v>
      </c>
      <c r="U381" s="99"/>
      <c r="V381" s="100" t="s">
        <v>422</v>
      </c>
      <c r="W381" s="67"/>
      <c r="X381" s="68"/>
      <c r="Y381" s="76"/>
      <c r="Z381" s="70"/>
      <c r="AA381" s="67"/>
      <c r="AB381" s="68"/>
      <c r="AC381" s="76"/>
      <c r="AD381" s="70"/>
      <c r="AE381" s="228">
        <f>ROUND((ROUND((ROUND((_15_同援日０．５*_15・２人),0)*(1+_15・A深夜)),0)*(1+_15・区３)),0)+ROUND((ROUND((ROUND((_15_同援日０．５＿２．０*_15・２人),0)*(1+_15・B早朝)),0)*(1+_15・区３)),0)+ROUND((ROUND((_15_同援日０．５＿２．０＿０．５*_15・２人),0)*(1+_15・区３)),0)</f>
        <v>953</v>
      </c>
      <c r="AF381" s="69"/>
    </row>
    <row r="382" spans="1:32" ht="16.5" customHeight="1" x14ac:dyDescent="0.3">
      <c r="A382" s="2">
        <v>15</v>
      </c>
      <c r="B382" s="2">
        <v>9929</v>
      </c>
      <c r="C382" s="60" t="s">
        <v>9988</v>
      </c>
      <c r="D382" s="1"/>
      <c r="E382" s="68"/>
      <c r="F382" s="70"/>
      <c r="G382" s="1"/>
      <c r="H382" s="68"/>
      <c r="I382" s="70"/>
      <c r="J382" s="1"/>
      <c r="K382" s="68"/>
      <c r="L382" s="70"/>
      <c r="M382" s="78" t="s">
        <v>18057</v>
      </c>
      <c r="N382" s="62"/>
      <c r="O382" s="63"/>
      <c r="P382" s="85"/>
      <c r="Q382" s="64"/>
      <c r="R382" s="65"/>
      <c r="S382" s="99"/>
      <c r="T382" s="70"/>
      <c r="U382" s="99"/>
      <c r="V382" s="70"/>
      <c r="W382" s="67"/>
      <c r="X382" s="68"/>
      <c r="Y382" s="76"/>
      <c r="Z382" s="70"/>
      <c r="AA382" s="1" t="s">
        <v>18062</v>
      </c>
      <c r="AB382" s="68"/>
      <c r="AC382" s="76"/>
      <c r="AD382" s="70"/>
      <c r="AE382" s="228">
        <f>ROUND((ROUND((ROUND((_15_同援日０．５*_15・基礎２),0)*(1+_15・A深夜)),0)*(1+_15・区３)),0)+ROUND((ROUND((ROUND((_15_同援日０．５＿２．０*_15・基礎２),0)*(1+_15・B早朝)),0)*(1+_15・区３)),0)+ROUND((ROUND((_15_同援日０．５＿２．０＿０．５*_15・基礎２),0)*(1+_15・区３)),0)</f>
        <v>859</v>
      </c>
      <c r="AF382" s="69"/>
    </row>
    <row r="383" spans="1:32" ht="16.5" customHeight="1" x14ac:dyDescent="0.3">
      <c r="A383" s="2">
        <v>15</v>
      </c>
      <c r="B383" s="2">
        <v>9930</v>
      </c>
      <c r="C383" s="60" t="s">
        <v>9987</v>
      </c>
      <c r="D383" s="1"/>
      <c r="E383" s="68"/>
      <c r="F383" s="70"/>
      <c r="G383" s="1"/>
      <c r="H383" s="68"/>
      <c r="I383" s="70"/>
      <c r="J383" s="1"/>
      <c r="K383" s="68"/>
      <c r="L383" s="70"/>
      <c r="M383" s="106" t="s">
        <v>18056</v>
      </c>
      <c r="N383" s="57" t="s">
        <v>1</v>
      </c>
      <c r="O383" s="58">
        <v>0.9</v>
      </c>
      <c r="P383" s="105" t="s">
        <v>5895</v>
      </c>
      <c r="Q383" s="64" t="s">
        <v>1</v>
      </c>
      <c r="R383" s="65">
        <v>1</v>
      </c>
      <c r="S383" s="99"/>
      <c r="T383" s="70"/>
      <c r="U383" s="99"/>
      <c r="V383" s="70"/>
      <c r="W383" s="66"/>
      <c r="X383" s="57"/>
      <c r="Y383" s="58"/>
      <c r="Z383" s="77"/>
      <c r="AA383" s="1" t="s">
        <v>18060</v>
      </c>
      <c r="AB383" s="68"/>
      <c r="AC383" s="76"/>
      <c r="AD383" s="70"/>
      <c r="AE383" s="228">
        <f>ROUND((ROUND((ROUND((ROUND((_15_同援日０．５*_15・基礎２),0)*_15・２人),0)*(1+_15・A深夜)),0)*(1+_15・区３)),0)+ROUND((ROUND((ROUND((ROUND((_15_同援日０．５＿２．０*_15・基礎２),0)*_15・２人),0)*(1+_15・B早朝)),0)*(1+_15・区３)),0)+ROUND((ROUND((ROUND((_15_同援日０．５＿２．０＿０．５*_15・基礎２),0)*_15・２人),0)*(1+_15・区３)),0)</f>
        <v>859</v>
      </c>
      <c r="AF383" s="69"/>
    </row>
    <row r="384" spans="1:32" ht="16.5" customHeight="1" x14ac:dyDescent="0.3">
      <c r="A384" s="2">
        <v>15</v>
      </c>
      <c r="B384" s="2">
        <v>9931</v>
      </c>
      <c r="C384" s="60" t="s">
        <v>9986</v>
      </c>
      <c r="D384" s="1"/>
      <c r="E384" s="68"/>
      <c r="F384" s="70"/>
      <c r="G384" s="1"/>
      <c r="H384" s="68"/>
      <c r="I384" s="70"/>
      <c r="J384" s="1"/>
      <c r="K384" s="68"/>
      <c r="L384" s="70"/>
      <c r="M384" s="61"/>
      <c r="N384" s="62"/>
      <c r="O384" s="63"/>
      <c r="P384" s="85"/>
      <c r="Q384" s="64"/>
      <c r="R384" s="65"/>
      <c r="S384" s="99"/>
      <c r="T384" s="70"/>
      <c r="U384" s="99"/>
      <c r="V384" s="70"/>
      <c r="W384" s="78" t="s">
        <v>18059</v>
      </c>
      <c r="X384" s="62"/>
      <c r="Y384" s="63"/>
      <c r="Z384" s="75"/>
      <c r="AA384" s="67"/>
      <c r="AB384" s="68" t="s">
        <v>1</v>
      </c>
      <c r="AC384" s="76">
        <v>0.2</v>
      </c>
      <c r="AD384" s="70" t="s">
        <v>422</v>
      </c>
      <c r="AE384" s="228">
        <f>ROUND((ROUND((ROUND((_15_同援日０．５*(1+_15・A深夜)),0)*(1+_15・盲ろう)),0)*(1+_15・区３)),0)+ROUND((ROUND((ROUND((_15_同援日０．５＿２．０*(1+_15・B早朝)),0)*(1+_15・盲ろう)),0)*(1+_15・区３)),0)+ROUND((ROUND((_15_同援日０．５＿２．０＿０．５*(1+_15・盲ろう)),0)*(1+_15・区３)),0)</f>
        <v>1192</v>
      </c>
      <c r="AF384" s="69"/>
    </row>
    <row r="385" spans="1:32" ht="16.5" customHeight="1" x14ac:dyDescent="0.3">
      <c r="A385" s="2">
        <v>15</v>
      </c>
      <c r="B385" s="2">
        <v>9932</v>
      </c>
      <c r="C385" s="60" t="s">
        <v>9985</v>
      </c>
      <c r="D385" s="1"/>
      <c r="E385" s="68"/>
      <c r="F385" s="70"/>
      <c r="G385" s="1"/>
      <c r="H385" s="68"/>
      <c r="I385" s="70"/>
      <c r="J385" s="1"/>
      <c r="K385" s="68"/>
      <c r="L385" s="70"/>
      <c r="M385" s="66"/>
      <c r="N385" s="57"/>
      <c r="O385" s="58"/>
      <c r="P385" s="105" t="s">
        <v>5895</v>
      </c>
      <c r="Q385" s="64" t="s">
        <v>1</v>
      </c>
      <c r="R385" s="65">
        <v>1</v>
      </c>
      <c r="S385" s="99"/>
      <c r="T385" s="70"/>
      <c r="U385" s="99"/>
      <c r="V385" s="70"/>
      <c r="W385" s="94" t="s">
        <v>18058</v>
      </c>
      <c r="X385" s="68"/>
      <c r="Y385" s="76"/>
      <c r="Z385" s="70"/>
      <c r="AA385" s="67"/>
      <c r="AB385" s="68"/>
      <c r="AC385" s="76"/>
      <c r="AD385" s="70"/>
      <c r="AE385" s="228">
        <f>ROUND((ROUND((ROUND((ROUND((_15_同援日０．５*_15・２人),0)*(1+_15・A深夜)),0)*(1+_15・盲ろう)),0)*(1+_15・区３)),0)+ROUND((ROUND((ROUND((ROUND((_15_同援日０．５＿２．０*_15・２人),0)*(1+_15・B早朝)),0)*(1+_15・盲ろう)),0)*(1+_15・区３)),0)+ROUND((ROUND((ROUND((_15_同援日０．５＿２．０＿０．５*_15・２人),0)*(1+_15・盲ろう)),0)*(1+_15・区３)),0)</f>
        <v>1192</v>
      </c>
      <c r="AF385" s="69"/>
    </row>
    <row r="386" spans="1:32" ht="16.5" customHeight="1" x14ac:dyDescent="0.3">
      <c r="A386" s="2">
        <v>15</v>
      </c>
      <c r="B386" s="2">
        <v>9933</v>
      </c>
      <c r="C386" s="60" t="s">
        <v>9984</v>
      </c>
      <c r="D386" s="1"/>
      <c r="E386" s="68"/>
      <c r="F386" s="70"/>
      <c r="G386" s="1"/>
      <c r="H386" s="68"/>
      <c r="I386" s="70"/>
      <c r="J386" s="1"/>
      <c r="K386" s="68"/>
      <c r="L386" s="70"/>
      <c r="M386" s="78" t="s">
        <v>18057</v>
      </c>
      <c r="N386" s="62"/>
      <c r="O386" s="63"/>
      <c r="P386" s="85"/>
      <c r="Q386" s="64"/>
      <c r="R386" s="65"/>
      <c r="S386" s="99"/>
      <c r="T386" s="70"/>
      <c r="U386" s="99"/>
      <c r="V386" s="70"/>
      <c r="W386" s="67"/>
      <c r="X386" s="68" t="s">
        <v>1</v>
      </c>
      <c r="Y386" s="76">
        <v>0.25</v>
      </c>
      <c r="Z386" s="70" t="s">
        <v>422</v>
      </c>
      <c r="AA386" s="67"/>
      <c r="AB386" s="68"/>
      <c r="AC386" s="76"/>
      <c r="AD386" s="70"/>
      <c r="AE386" s="228">
        <f>ROUND((ROUND((ROUND((ROUND((_15_同援日０．５*_15・基礎２),0)*(1+_15・A深夜)),0)*(1+_15・盲ろう)),0)*(1+_15・区３)),0)+ROUND((ROUND((ROUND((ROUND((_15_同援日０．５＿２．０*_15・基礎２),0)*(1+_15・B早朝)),0)*(1+_15・盲ろう)),0)*(1+_15・区３)),0)+ROUND((ROUND((ROUND((_15_同援日０．５＿２．０＿０．５*_15・基礎２),0)*(1+_15・盲ろう)),0)*(1+_15・区３)),0)</f>
        <v>1074</v>
      </c>
      <c r="AF386" s="69"/>
    </row>
    <row r="387" spans="1:32" ht="16.5" customHeight="1" x14ac:dyDescent="0.3">
      <c r="A387" s="2">
        <v>15</v>
      </c>
      <c r="B387" s="2">
        <v>9934</v>
      </c>
      <c r="C387" s="60" t="s">
        <v>9983</v>
      </c>
      <c r="D387" s="1"/>
      <c r="E387" s="68"/>
      <c r="F387" s="70"/>
      <c r="G387" s="1"/>
      <c r="H387" s="68"/>
      <c r="I387" s="70"/>
      <c r="J387" s="1"/>
      <c r="K387" s="68"/>
      <c r="L387" s="70"/>
      <c r="M387" s="106" t="s">
        <v>18056</v>
      </c>
      <c r="N387" s="57" t="s">
        <v>1</v>
      </c>
      <c r="O387" s="58">
        <v>0.9</v>
      </c>
      <c r="P387" s="105" t="s">
        <v>5895</v>
      </c>
      <c r="Q387" s="64" t="s">
        <v>1</v>
      </c>
      <c r="R387" s="65">
        <v>1</v>
      </c>
      <c r="S387" s="99"/>
      <c r="T387" s="70"/>
      <c r="U387" s="99"/>
      <c r="V387" s="70"/>
      <c r="W387" s="66"/>
      <c r="X387" s="57"/>
      <c r="Y387" s="58"/>
      <c r="Z387" s="77"/>
      <c r="AA387" s="66"/>
      <c r="AB387" s="57"/>
      <c r="AC387" s="58"/>
      <c r="AD387" s="77"/>
      <c r="AE387" s="228">
        <f>ROUND((ROUND((ROUND((ROUND((ROUND((_15_同援日０．５*_15・基礎２),0)*_15・２人),0)*(1+_15・A深夜)),0)*(1+_15・盲ろう)),0)*(1+_15・区３)),0)+ROUND((ROUND((ROUND((ROUND((ROUND((_15_同援日０．５＿２．０*_15・基礎２),0)*_15・２人),0)*(1+_15・B早朝)),0)*(1+_15・盲ろう)),0)*(1+_15・区３)),0)+ROUND((ROUND((ROUND((ROUND((_15_同援日０．５＿２．０＿０．５*_15・基礎２),0)*_15・２人),0)*(1+_15・盲ろう)),0)*(1+_15・区３)),0)</f>
        <v>1074</v>
      </c>
      <c r="AF387" s="69"/>
    </row>
    <row r="388" spans="1:32" ht="16.5" customHeight="1" x14ac:dyDescent="0.3">
      <c r="A388" s="2">
        <v>15</v>
      </c>
      <c r="B388" s="2">
        <v>9935</v>
      </c>
      <c r="C388" s="60" t="s">
        <v>9982</v>
      </c>
      <c r="D388" s="1"/>
      <c r="E388" s="68"/>
      <c r="F388" s="70"/>
      <c r="G388" s="1"/>
      <c r="H388" s="68"/>
      <c r="I388" s="70"/>
      <c r="J388" s="1"/>
      <c r="K388" s="68"/>
      <c r="L388" s="70"/>
      <c r="M388" s="61"/>
      <c r="N388" s="62"/>
      <c r="O388" s="63"/>
      <c r="P388" s="85"/>
      <c r="Q388" s="64"/>
      <c r="R388" s="65"/>
      <c r="S388" s="99"/>
      <c r="T388" s="70"/>
      <c r="U388" s="99"/>
      <c r="V388" s="70"/>
      <c r="W388" s="61"/>
      <c r="X388" s="62"/>
      <c r="Y388" s="63"/>
      <c r="Z388" s="75"/>
      <c r="AA388" s="61"/>
      <c r="AB388" s="62"/>
      <c r="AC388" s="63"/>
      <c r="AD388" s="75"/>
      <c r="AE388" s="228">
        <f>ROUND((ROUND((_15_同援日０．５*(1+_15・A深夜)),0)*(1+_15・区４)),0)+ROUND((ROUND((_15_同援日０．５＿２．０*(1+_15・B早朝)),0)*(1+_15・区４)),0)+ROUND((_15_同援日０．５＿２．０＿０．５*(1+_15・区４)),0)</f>
        <v>1111</v>
      </c>
      <c r="AF388" s="69"/>
    </row>
    <row r="389" spans="1:32" ht="16.5" customHeight="1" x14ac:dyDescent="0.3">
      <c r="A389" s="2">
        <v>15</v>
      </c>
      <c r="B389" s="2">
        <v>9936</v>
      </c>
      <c r="C389" s="60" t="s">
        <v>9981</v>
      </c>
      <c r="D389" s="1"/>
      <c r="E389" s="68"/>
      <c r="F389" s="70"/>
      <c r="G389" s="1"/>
      <c r="H389" s="68"/>
      <c r="I389" s="70"/>
      <c r="J389" s="1"/>
      <c r="K389" s="68"/>
      <c r="L389" s="70"/>
      <c r="M389" s="66"/>
      <c r="N389" s="57"/>
      <c r="O389" s="58"/>
      <c r="P389" s="105" t="s">
        <v>5895</v>
      </c>
      <c r="Q389" s="64" t="s">
        <v>1</v>
      </c>
      <c r="R389" s="65">
        <v>1</v>
      </c>
      <c r="S389" s="99"/>
      <c r="T389" s="70"/>
      <c r="U389" s="99"/>
      <c r="V389" s="70"/>
      <c r="W389" s="67"/>
      <c r="X389" s="68"/>
      <c r="Y389" s="76"/>
      <c r="Z389" s="70"/>
      <c r="AA389" s="67"/>
      <c r="AB389" s="68"/>
      <c r="AC389" s="76"/>
      <c r="AD389" s="70"/>
      <c r="AE389" s="228">
        <f>ROUND((ROUND((ROUND((_15_同援日０．５*_15・２人),0)*(1+_15・A深夜)),0)*(1+_15・区４)),0)+ROUND((ROUND((ROUND((_15_同援日０．５＿２．０*_15・２人),0)*(1+_15・B早朝)),0)*(1+_15・区４)),0)+ROUND((ROUND((_15_同援日０．５＿２．０＿０．５*_15・２人),0)*(1+_15・区４)),0)</f>
        <v>1111</v>
      </c>
      <c r="AF389" s="69"/>
    </row>
    <row r="390" spans="1:32" ht="16.5" customHeight="1" x14ac:dyDescent="0.3">
      <c r="A390" s="2">
        <v>15</v>
      </c>
      <c r="B390" s="2">
        <v>9937</v>
      </c>
      <c r="C390" s="60" t="s">
        <v>9980</v>
      </c>
      <c r="D390" s="1"/>
      <c r="E390" s="68"/>
      <c r="F390" s="70"/>
      <c r="G390" s="1"/>
      <c r="H390" s="68"/>
      <c r="I390" s="70"/>
      <c r="J390" s="1"/>
      <c r="K390" s="68"/>
      <c r="L390" s="70"/>
      <c r="M390" s="78" t="s">
        <v>18057</v>
      </c>
      <c r="N390" s="62"/>
      <c r="O390" s="63"/>
      <c r="P390" s="85"/>
      <c r="Q390" s="64"/>
      <c r="R390" s="65"/>
      <c r="S390" s="99"/>
      <c r="T390" s="70"/>
      <c r="U390" s="99"/>
      <c r="V390" s="70"/>
      <c r="W390" s="67"/>
      <c r="X390" s="68"/>
      <c r="Y390" s="76"/>
      <c r="Z390" s="70"/>
      <c r="AA390" s="1" t="s">
        <v>18061</v>
      </c>
      <c r="AB390" s="68"/>
      <c r="AC390" s="76"/>
      <c r="AD390" s="70"/>
      <c r="AE390" s="228">
        <f>ROUND((ROUND((ROUND((_15_同援日０．５*_15・基礎２),0)*(1+_15・A深夜)),0)*(1+_15・区４)),0)+ROUND((ROUND((ROUND((_15_同援日０．５＿２．０*_15・基礎２),0)*(1+_15・B早朝)),0)*(1+_15・区４)),0)+ROUND((ROUND((_15_同援日０．５＿２．０＿０．５*_15・基礎２),0)*(1+_15・区４)),0)</f>
        <v>1003</v>
      </c>
      <c r="AF390" s="69"/>
    </row>
    <row r="391" spans="1:32" ht="16.5" customHeight="1" x14ac:dyDescent="0.3">
      <c r="A391" s="2">
        <v>15</v>
      </c>
      <c r="B391" s="2">
        <v>9938</v>
      </c>
      <c r="C391" s="60" t="s">
        <v>9979</v>
      </c>
      <c r="D391" s="1"/>
      <c r="E391" s="68"/>
      <c r="F391" s="70"/>
      <c r="G391" s="1"/>
      <c r="H391" s="68"/>
      <c r="I391" s="70"/>
      <c r="J391" s="1"/>
      <c r="K391" s="68"/>
      <c r="L391" s="70"/>
      <c r="M391" s="106" t="s">
        <v>18056</v>
      </c>
      <c r="N391" s="57" t="s">
        <v>1</v>
      </c>
      <c r="O391" s="58">
        <v>0.9</v>
      </c>
      <c r="P391" s="105" t="s">
        <v>5895</v>
      </c>
      <c r="Q391" s="64" t="s">
        <v>1</v>
      </c>
      <c r="R391" s="65">
        <v>1</v>
      </c>
      <c r="S391" s="99"/>
      <c r="T391" s="70"/>
      <c r="U391" s="99"/>
      <c r="V391" s="70"/>
      <c r="W391" s="66"/>
      <c r="X391" s="57"/>
      <c r="Y391" s="58"/>
      <c r="Z391" s="77"/>
      <c r="AA391" s="1" t="s">
        <v>18060</v>
      </c>
      <c r="AB391" s="68"/>
      <c r="AC391" s="76"/>
      <c r="AD391" s="70"/>
      <c r="AE391" s="228">
        <f>ROUND((ROUND((ROUND((ROUND((_15_同援日０．５*_15・基礎２),0)*_15・２人),0)*(1+_15・A深夜)),0)*(1+_15・区４)),0)+ROUND((ROUND((ROUND((ROUND((_15_同援日０．５＿２．０*_15・基礎２),0)*_15・２人),0)*(1+_15・B早朝)),0)*(1+_15・区４)),0)+ROUND((ROUND((ROUND((_15_同援日０．５＿２．０＿０．５*_15・基礎２),0)*_15・２人),0)*(1+_15・区４)),0)</f>
        <v>1003</v>
      </c>
      <c r="AF391" s="69"/>
    </row>
    <row r="392" spans="1:32" ht="16.5" customHeight="1" x14ac:dyDescent="0.3">
      <c r="A392" s="2">
        <v>15</v>
      </c>
      <c r="B392" s="2">
        <v>9939</v>
      </c>
      <c r="C392" s="60" t="s">
        <v>9978</v>
      </c>
      <c r="D392" s="1"/>
      <c r="E392" s="68"/>
      <c r="F392" s="70"/>
      <c r="G392" s="1"/>
      <c r="H392" s="68"/>
      <c r="I392" s="70"/>
      <c r="J392" s="1"/>
      <c r="K392" s="68"/>
      <c r="L392" s="70"/>
      <c r="M392" s="61"/>
      <c r="N392" s="62"/>
      <c r="O392" s="63"/>
      <c r="P392" s="85"/>
      <c r="Q392" s="64"/>
      <c r="R392" s="65"/>
      <c r="S392" s="99"/>
      <c r="T392" s="70"/>
      <c r="U392" s="99"/>
      <c r="V392" s="70"/>
      <c r="W392" s="78" t="s">
        <v>18059</v>
      </c>
      <c r="X392" s="62"/>
      <c r="Y392" s="63"/>
      <c r="Z392" s="75"/>
      <c r="AA392" s="67"/>
      <c r="AB392" s="68" t="s">
        <v>1</v>
      </c>
      <c r="AC392" s="76">
        <v>0.4</v>
      </c>
      <c r="AD392" s="70" t="s">
        <v>422</v>
      </c>
      <c r="AE392" s="228">
        <f>ROUND((ROUND((ROUND((_15_同援日０．５*(1+_15・A深夜)),0)*(1+_15・盲ろう)),0)*(1+_15・区４)),0)+ROUND((ROUND((ROUND((_15_同援日０．５＿２．０*(1+_15・B早朝)),0)*(1+_15・盲ろう)),0)*(1+_15・区４)),0)+ROUND((ROUND((_15_同援日０．５＿２．０＿０．５*(1+_15・盲ろう)),0)*(1+_15・区４)),0)</f>
        <v>1391</v>
      </c>
      <c r="AF392" s="69"/>
    </row>
    <row r="393" spans="1:32" ht="16.5" customHeight="1" x14ac:dyDescent="0.3">
      <c r="A393" s="2">
        <v>15</v>
      </c>
      <c r="B393" s="2">
        <v>9940</v>
      </c>
      <c r="C393" s="60" t="s">
        <v>9977</v>
      </c>
      <c r="D393" s="1"/>
      <c r="E393" s="68"/>
      <c r="F393" s="70"/>
      <c r="G393" s="1"/>
      <c r="H393" s="68"/>
      <c r="I393" s="70"/>
      <c r="J393" s="1"/>
      <c r="K393" s="68"/>
      <c r="L393" s="70"/>
      <c r="M393" s="66"/>
      <c r="N393" s="57"/>
      <c r="O393" s="58"/>
      <c r="P393" s="105" t="s">
        <v>5895</v>
      </c>
      <c r="Q393" s="64" t="s">
        <v>1</v>
      </c>
      <c r="R393" s="65">
        <v>1</v>
      </c>
      <c r="S393" s="99"/>
      <c r="T393" s="70"/>
      <c r="U393" s="99"/>
      <c r="V393" s="70"/>
      <c r="W393" s="94" t="s">
        <v>18058</v>
      </c>
      <c r="X393" s="68"/>
      <c r="Y393" s="76"/>
      <c r="Z393" s="70"/>
      <c r="AA393" s="67"/>
      <c r="AB393" s="68"/>
      <c r="AC393" s="76"/>
      <c r="AD393" s="70"/>
      <c r="AE393" s="228">
        <f>ROUND((ROUND((ROUND((ROUND((_15_同援日０．５*_15・２人),0)*(1+_15・A深夜)),0)*(1+_15・盲ろう)),0)*(1+_15・区４)),0)+ROUND((ROUND((ROUND((ROUND((_15_同援日０．５＿２．０*_15・２人),0)*(1+_15・B早朝)),0)*(1+_15・盲ろう)),0)*(1+_15・区４)),0)+ROUND((ROUND((ROUND((_15_同援日０．５＿２．０＿０．５*_15・２人),0)*(1+_15・盲ろう)),0)*(1+_15・区４)),0)</f>
        <v>1391</v>
      </c>
      <c r="AF393" s="69"/>
    </row>
    <row r="394" spans="1:32" ht="16.5" customHeight="1" x14ac:dyDescent="0.3">
      <c r="A394" s="2">
        <v>15</v>
      </c>
      <c r="B394" s="2">
        <v>9941</v>
      </c>
      <c r="C394" s="60" t="s">
        <v>9976</v>
      </c>
      <c r="D394" s="1"/>
      <c r="E394" s="68"/>
      <c r="F394" s="70"/>
      <c r="G394" s="1"/>
      <c r="H394" s="68"/>
      <c r="I394" s="70"/>
      <c r="J394" s="1"/>
      <c r="K394" s="68"/>
      <c r="L394" s="70"/>
      <c r="M394" s="78" t="s">
        <v>18057</v>
      </c>
      <c r="N394" s="62"/>
      <c r="O394" s="63"/>
      <c r="P394" s="85"/>
      <c r="Q394" s="64"/>
      <c r="R394" s="65"/>
      <c r="S394" s="99"/>
      <c r="T394" s="70"/>
      <c r="U394" s="99"/>
      <c r="V394" s="70"/>
      <c r="W394" s="67"/>
      <c r="X394" s="68" t="s">
        <v>1</v>
      </c>
      <c r="Y394" s="76">
        <v>0.25</v>
      </c>
      <c r="Z394" s="70" t="s">
        <v>422</v>
      </c>
      <c r="AA394" s="67"/>
      <c r="AB394" s="68"/>
      <c r="AC394" s="76"/>
      <c r="AD394" s="70"/>
      <c r="AE394" s="228">
        <f>ROUND((ROUND((ROUND((ROUND((_15_同援日０．５*_15・基礎２),0)*(1+_15・A深夜)),0)*(1+_15・盲ろう)),0)*(1+_15・区４)),0)+ROUND((ROUND((ROUND((ROUND((_15_同援日０．５＿２．０*_15・基礎２),0)*(1+_15・B早朝)),0)*(1+_15・盲ろう)),0)*(1+_15・区４)),0)+ROUND((ROUND((ROUND((_15_同援日０．５＿２．０＿０．５*_15・基礎２),0)*(1+_15・盲ろう)),0)*(1+_15・区４)),0)</f>
        <v>1252</v>
      </c>
      <c r="AF394" s="69"/>
    </row>
    <row r="395" spans="1:32" ht="16.5" customHeight="1" x14ac:dyDescent="0.3">
      <c r="A395" s="2">
        <v>15</v>
      </c>
      <c r="B395" s="2">
        <v>9942</v>
      </c>
      <c r="C395" s="60" t="s">
        <v>9975</v>
      </c>
      <c r="D395" s="81"/>
      <c r="E395" s="57"/>
      <c r="F395" s="77"/>
      <c r="G395" s="81"/>
      <c r="H395" s="57"/>
      <c r="I395" s="77"/>
      <c r="J395" s="81"/>
      <c r="K395" s="57"/>
      <c r="L395" s="77"/>
      <c r="M395" s="106" t="s">
        <v>18056</v>
      </c>
      <c r="N395" s="57" t="s">
        <v>1</v>
      </c>
      <c r="O395" s="58">
        <v>0.9</v>
      </c>
      <c r="P395" s="105" t="s">
        <v>5895</v>
      </c>
      <c r="Q395" s="64" t="s">
        <v>1</v>
      </c>
      <c r="R395" s="65">
        <v>1</v>
      </c>
      <c r="S395" s="101"/>
      <c r="T395" s="77"/>
      <c r="U395" s="101"/>
      <c r="V395" s="77"/>
      <c r="W395" s="66"/>
      <c r="X395" s="57"/>
      <c r="Y395" s="58"/>
      <c r="Z395" s="77"/>
      <c r="AA395" s="66"/>
      <c r="AB395" s="57"/>
      <c r="AC395" s="58"/>
      <c r="AD395" s="77"/>
      <c r="AE395" s="228">
        <f>ROUND((ROUND((ROUND((ROUND((ROUND((_15_同援日０．５*_15・基礎２),0)*_15・２人),0)*(1+_15・A深夜)),0)*(1+_15・盲ろう)),0)*(1+_15・区４)),0)+ROUND((ROUND((ROUND((ROUND((ROUND((_15_同援日０．５＿２．０*_15・基礎２),0)*_15・２人),0)*(1+_15・B早朝)),0)*(1+_15・盲ろう)),0)*(1+_15・区４)),0)+ROUND((ROUND((ROUND((ROUND((_15_同援日０．５＿２．０＿０．５*_15・基礎２),0)*_15・２人),0)*(1+_15・盲ろう)),0)*(1+_15・区４)),0)</f>
        <v>1252</v>
      </c>
      <c r="AF395" s="71"/>
    </row>
    <row r="396" spans="1:32" ht="16.5" customHeight="1" x14ac:dyDescent="0.3"/>
    <row r="397" spans="1:3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1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18" max="16383" man="1"/>
    <brk id="230" max="16383" man="1"/>
    <brk id="34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0000"/>
    <pageSetUpPr fitToPage="1"/>
  </sheetPr>
  <dimension ref="A1:AC36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5.62890625" style="45" customWidth="1"/>
    <col min="5" max="5" width="4.1015625" style="46" bestFit="1" customWidth="1"/>
    <col min="6" max="6" width="4.734375" style="46" bestFit="1" customWidth="1"/>
    <col min="7" max="7" width="5.62890625" style="45" customWidth="1"/>
    <col min="8" max="8" width="4.1015625" style="46" bestFit="1" customWidth="1"/>
    <col min="9" max="9" width="4.734375" style="46" bestFit="1" customWidth="1"/>
    <col min="10" max="10" width="14.62890625" style="46" customWidth="1"/>
    <col min="11" max="11" width="3.1015625" style="46" bestFit="1" customWidth="1"/>
    <col min="12" max="12" width="4.1015625" style="47" bestFit="1" customWidth="1"/>
    <col min="13" max="13" width="26.47265625" style="46" bestFit="1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4.1015625" style="47" bestFit="1" customWidth="1"/>
    <col min="19" max="19" width="4.734375" style="46" bestFit="1" customWidth="1"/>
    <col min="20" max="20" width="10.62890625" style="46" customWidth="1"/>
    <col min="21" max="21" width="3.1015625" style="46" bestFit="1" customWidth="1"/>
    <col min="22" max="22" width="4.1015625" style="47" bestFit="1" customWidth="1"/>
    <col min="23" max="23" width="4.734375" style="46" bestFit="1" customWidth="1"/>
    <col min="24" max="24" width="8.62890625" style="46" customWidth="1"/>
    <col min="25" max="25" width="3.1015625" style="46" bestFit="1" customWidth="1"/>
    <col min="26" max="26" width="4.1015625" style="47" bestFit="1" customWidth="1"/>
    <col min="27" max="27" width="4.734375" style="46" bestFit="1" customWidth="1"/>
    <col min="28" max="28" width="6.3671875" style="84" bestFit="1" customWidth="1"/>
    <col min="29" max="29" width="7.734375" style="48" bestFit="1" customWidth="1"/>
    <col min="30" max="16384" width="9" style="49"/>
  </cols>
  <sheetData>
    <row r="1" spans="1:29" ht="16.5" customHeight="1" x14ac:dyDescent="0.3"/>
    <row r="2" spans="1:29" ht="16.5" customHeight="1" x14ac:dyDescent="0.3"/>
    <row r="3" spans="1:29" ht="16.5" customHeight="1" x14ac:dyDescent="0.3"/>
    <row r="4" spans="1:29" ht="16.5" customHeight="1" x14ac:dyDescent="0.3">
      <c r="B4" s="229" t="s">
        <v>18096</v>
      </c>
      <c r="C4" s="131"/>
      <c r="D4" s="72"/>
    </row>
    <row r="5" spans="1:29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4"/>
      <c r="S5" s="53"/>
      <c r="T5" s="53"/>
      <c r="U5" s="53"/>
      <c r="V5" s="54"/>
      <c r="W5" s="53"/>
      <c r="X5" s="53"/>
      <c r="Y5" s="53"/>
      <c r="Z5" s="54"/>
      <c r="AA5" s="53"/>
      <c r="AB5" s="55" t="s">
        <v>5869</v>
      </c>
      <c r="AC5" s="55" t="s">
        <v>5871</v>
      </c>
    </row>
    <row r="6" spans="1:29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80" t="s">
        <v>17490</v>
      </c>
      <c r="H6" s="86"/>
      <c r="I6" s="87"/>
      <c r="J6" s="57"/>
      <c r="K6" s="57"/>
      <c r="L6" s="58"/>
      <c r="M6" s="57"/>
      <c r="N6" s="57"/>
      <c r="O6" s="58"/>
      <c r="P6" s="58"/>
      <c r="Q6" s="57"/>
      <c r="R6" s="58"/>
      <c r="S6" s="57"/>
      <c r="T6" s="57"/>
      <c r="U6" s="57"/>
      <c r="V6" s="58"/>
      <c r="W6" s="57"/>
      <c r="X6" s="57"/>
      <c r="Y6" s="57"/>
      <c r="Z6" s="58"/>
      <c r="AA6" s="57"/>
      <c r="AB6" s="59" t="s">
        <v>5870</v>
      </c>
      <c r="AC6" s="59" t="s">
        <v>0</v>
      </c>
    </row>
    <row r="7" spans="1:29" ht="16.5" customHeight="1" x14ac:dyDescent="0.3">
      <c r="A7" s="2">
        <v>15</v>
      </c>
      <c r="B7" s="2">
        <v>9943</v>
      </c>
      <c r="C7" s="60" t="s">
        <v>10719</v>
      </c>
      <c r="D7" s="233" t="s">
        <v>18095</v>
      </c>
      <c r="E7" s="62"/>
      <c r="F7" s="75"/>
      <c r="G7" s="233" t="s">
        <v>17714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98"/>
      <c r="S7" s="75"/>
      <c r="T7" s="61"/>
      <c r="U7" s="62"/>
      <c r="V7" s="63"/>
      <c r="W7" s="75"/>
      <c r="X7" s="61"/>
      <c r="Y7" s="62"/>
      <c r="Z7" s="63"/>
      <c r="AA7" s="75"/>
      <c r="AB7" s="228">
        <f>ROUND((_15_同援日０．５*(1+_15・A夜間)),0)+ROUND((_15_同援日０．５＿０．５*(1+_15・B深夜)),0)</f>
        <v>392</v>
      </c>
      <c r="AC7" s="52" t="s">
        <v>5863</v>
      </c>
    </row>
    <row r="8" spans="1:29" ht="16.5" customHeight="1" x14ac:dyDescent="0.3">
      <c r="A8" s="2">
        <v>15</v>
      </c>
      <c r="B8" s="2">
        <v>9944</v>
      </c>
      <c r="C8" s="60" t="s">
        <v>10718</v>
      </c>
      <c r="D8" s="1" t="s">
        <v>7928</v>
      </c>
      <c r="E8" s="68"/>
      <c r="F8" s="70"/>
      <c r="G8" s="1" t="s">
        <v>7928</v>
      </c>
      <c r="H8" s="68"/>
      <c r="I8" s="70"/>
      <c r="J8" s="66"/>
      <c r="K8" s="57"/>
      <c r="L8" s="58"/>
      <c r="M8" s="83" t="s">
        <v>5895</v>
      </c>
      <c r="N8" s="64" t="s">
        <v>1</v>
      </c>
      <c r="O8" s="65">
        <v>1</v>
      </c>
      <c r="P8" s="99"/>
      <c r="Q8" s="70"/>
      <c r="R8" s="99"/>
      <c r="S8" s="70"/>
      <c r="T8" s="67"/>
      <c r="U8" s="68"/>
      <c r="V8" s="76"/>
      <c r="W8" s="70"/>
      <c r="X8" s="67"/>
      <c r="Y8" s="68"/>
      <c r="Z8" s="76"/>
      <c r="AA8" s="70"/>
      <c r="AB8" s="228">
        <f>ROUND((ROUND((_15_同援日０．５*_15・２人),0)*(1+_15・A夜間)),0)+ROUND((ROUND((_15_同援日０．５＿０．５*_15・２人),0)*(1+_15・B深夜)),0)</f>
        <v>392</v>
      </c>
      <c r="AC8" s="69"/>
    </row>
    <row r="9" spans="1:29" ht="16.5" customHeight="1" x14ac:dyDescent="0.3">
      <c r="A9" s="2">
        <v>15</v>
      </c>
      <c r="B9" s="2">
        <v>9945</v>
      </c>
      <c r="C9" s="60" t="s">
        <v>10717</v>
      </c>
      <c r="D9" s="1"/>
      <c r="E9" s="68"/>
      <c r="F9" s="70"/>
      <c r="G9" s="1"/>
      <c r="H9" s="68"/>
      <c r="I9" s="70"/>
      <c r="J9" s="74" t="s">
        <v>17054</v>
      </c>
      <c r="K9" s="62"/>
      <c r="L9" s="63"/>
      <c r="M9" s="85"/>
      <c r="N9" s="64"/>
      <c r="O9" s="65"/>
      <c r="P9" s="99"/>
      <c r="Q9" s="70"/>
      <c r="R9" s="99"/>
      <c r="S9" s="70"/>
      <c r="T9" s="67"/>
      <c r="U9" s="68"/>
      <c r="V9" s="76"/>
      <c r="W9" s="70"/>
      <c r="X9" s="67"/>
      <c r="Y9" s="68"/>
      <c r="Z9" s="76"/>
      <c r="AA9" s="70"/>
      <c r="AB9" s="228">
        <f>ROUND((ROUND((_15_同援日０．５*_15・基礎２),0)*(1+_15・A夜間)),0)+ROUND((ROUND((_15_同援日０．５＿０．５*_15・基礎２),0)*(1+_15・B深夜)),0)</f>
        <v>354</v>
      </c>
      <c r="AC9" s="69"/>
    </row>
    <row r="10" spans="1:29" ht="16.5" customHeight="1" x14ac:dyDescent="0.3">
      <c r="A10" s="2">
        <v>15</v>
      </c>
      <c r="B10" s="2">
        <v>9946</v>
      </c>
      <c r="C10" s="60" t="s">
        <v>10716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06" t="s">
        <v>17053</v>
      </c>
      <c r="K10" s="57" t="s">
        <v>1</v>
      </c>
      <c r="L10" s="58">
        <v>0.9</v>
      </c>
      <c r="M10" s="83" t="s">
        <v>5895</v>
      </c>
      <c r="N10" s="64" t="s">
        <v>1</v>
      </c>
      <c r="O10" s="65">
        <v>1</v>
      </c>
      <c r="P10" s="99"/>
      <c r="Q10" s="70"/>
      <c r="R10" s="99"/>
      <c r="S10" s="70"/>
      <c r="T10" s="66"/>
      <c r="U10" s="57"/>
      <c r="V10" s="58"/>
      <c r="W10" s="77"/>
      <c r="X10" s="67"/>
      <c r="Y10" s="68"/>
      <c r="Z10" s="76"/>
      <c r="AA10" s="70"/>
      <c r="AB10" s="228">
        <f>ROUND((ROUND((ROUND((_15_同援日０．５*_15・基礎２),0)*_15・２人),0)*(1+_15・A夜間)),0)+ROUND((ROUND((ROUND((_15_同援日０．５＿０．５*_15・基礎２),0)*_15・２人),0)*(1+_15・B深夜)),0)</f>
        <v>354</v>
      </c>
      <c r="AC10" s="69"/>
    </row>
    <row r="11" spans="1:29" ht="16.5" customHeight="1" x14ac:dyDescent="0.3">
      <c r="A11" s="2">
        <v>15</v>
      </c>
      <c r="B11" s="2">
        <v>9947</v>
      </c>
      <c r="C11" s="60" t="s">
        <v>10715</v>
      </c>
      <c r="D11" s="1"/>
      <c r="E11" s="68"/>
      <c r="F11" s="70"/>
      <c r="G11" s="1"/>
      <c r="H11" s="68"/>
      <c r="I11" s="70"/>
      <c r="J11" s="61"/>
      <c r="K11" s="62"/>
      <c r="L11" s="63"/>
      <c r="M11" s="85"/>
      <c r="N11" s="64"/>
      <c r="O11" s="65"/>
      <c r="P11" s="99"/>
      <c r="Q11" s="70"/>
      <c r="R11" s="99"/>
      <c r="S11" s="70"/>
      <c r="T11" s="74" t="s">
        <v>18025</v>
      </c>
      <c r="U11" s="62"/>
      <c r="V11" s="63"/>
      <c r="W11" s="75"/>
      <c r="X11" s="67"/>
      <c r="Y11" s="68"/>
      <c r="Z11" s="76"/>
      <c r="AA11" s="70"/>
      <c r="AB11" s="228">
        <f>ROUND((ROUND((_15_同援日０．５*(1+_15・A夜間)),0)*(1+_15・盲ろう)),0)+ROUND((ROUND((_15_同援日０．５＿０．５*(1+_15・B深夜)),0)*(1+_15・盲ろう)),0)</f>
        <v>491</v>
      </c>
      <c r="AC11" s="69"/>
    </row>
    <row r="12" spans="1:29" ht="16.5" customHeight="1" x14ac:dyDescent="0.3">
      <c r="A12" s="2">
        <v>15</v>
      </c>
      <c r="B12" s="2">
        <v>9948</v>
      </c>
      <c r="C12" s="60" t="s">
        <v>10714</v>
      </c>
      <c r="D12" s="1"/>
      <c r="E12" s="68"/>
      <c r="F12" s="70"/>
      <c r="G12" s="1"/>
      <c r="H12" s="68"/>
      <c r="I12" s="70"/>
      <c r="J12" s="66"/>
      <c r="K12" s="57"/>
      <c r="L12" s="58"/>
      <c r="M12" s="83" t="s">
        <v>5895</v>
      </c>
      <c r="N12" s="64" t="s">
        <v>1</v>
      </c>
      <c r="O12" s="65">
        <v>1</v>
      </c>
      <c r="P12" s="108" t="s">
        <v>7743</v>
      </c>
      <c r="Q12" s="70"/>
      <c r="R12" s="108" t="s">
        <v>7920</v>
      </c>
      <c r="S12" s="70"/>
      <c r="T12" s="94" t="s">
        <v>18086</v>
      </c>
      <c r="U12" s="68"/>
      <c r="V12" s="76"/>
      <c r="W12" s="70"/>
      <c r="X12" s="67"/>
      <c r="Y12" s="68"/>
      <c r="Z12" s="76"/>
      <c r="AA12" s="70"/>
      <c r="AB12" s="228">
        <f>ROUND((ROUND((ROUND((_15_同援日０．５*_15・２人),0)*(1+_15・A夜間)),0)*(1+_15・盲ろう)),0)+ROUND((ROUND((ROUND((_15_同援日０．５＿０．５*_15・２人),0)*(1+_15・B深夜)),0)*(1+_15・盲ろう)),0)</f>
        <v>491</v>
      </c>
      <c r="AC12" s="69"/>
    </row>
    <row r="13" spans="1:29" ht="16.5" customHeight="1" x14ac:dyDescent="0.3">
      <c r="A13" s="2">
        <v>15</v>
      </c>
      <c r="B13" s="2">
        <v>9949</v>
      </c>
      <c r="C13" s="60" t="s">
        <v>10713</v>
      </c>
      <c r="D13" s="1"/>
      <c r="E13" s="68"/>
      <c r="F13" s="70"/>
      <c r="G13" s="1"/>
      <c r="H13" s="68"/>
      <c r="I13" s="70"/>
      <c r="J13" s="74" t="s">
        <v>16971</v>
      </c>
      <c r="K13" s="62"/>
      <c r="L13" s="63"/>
      <c r="M13" s="85"/>
      <c r="N13" s="64"/>
      <c r="O13" s="65"/>
      <c r="P13" s="99"/>
      <c r="Q13" s="100" t="s">
        <v>7948</v>
      </c>
      <c r="R13" s="99"/>
      <c r="S13" s="100" t="s">
        <v>7947</v>
      </c>
      <c r="T13" s="67"/>
      <c r="U13" s="68" t="s">
        <v>1</v>
      </c>
      <c r="V13" s="76">
        <v>0.25</v>
      </c>
      <c r="W13" s="70" t="s">
        <v>422</v>
      </c>
      <c r="X13" s="67"/>
      <c r="Y13" s="68"/>
      <c r="Z13" s="76"/>
      <c r="AA13" s="70"/>
      <c r="AB13" s="228">
        <f>ROUND((ROUND((ROUND((_15_同援日０．５*_15・基礎２),0)*(1+_15・A夜間)),0)*(1+_15・盲ろう)),0)+ROUND((ROUND((ROUND((_15_同援日０．５＿０．５*_15・基礎２),0)*(1+_15・B深夜)),0)*(1+_15・盲ろう)),0)</f>
        <v>443</v>
      </c>
      <c r="AC13" s="69"/>
    </row>
    <row r="14" spans="1:29" ht="16.5" customHeight="1" x14ac:dyDescent="0.3">
      <c r="A14" s="2">
        <v>15</v>
      </c>
      <c r="B14" s="2">
        <v>9950</v>
      </c>
      <c r="C14" s="60" t="s">
        <v>10712</v>
      </c>
      <c r="D14" s="1"/>
      <c r="E14" s="68"/>
      <c r="F14" s="70"/>
      <c r="G14" s="1"/>
      <c r="H14" s="68"/>
      <c r="I14" s="70"/>
      <c r="J14" s="106" t="s">
        <v>16970</v>
      </c>
      <c r="K14" s="57" t="s">
        <v>1</v>
      </c>
      <c r="L14" s="58">
        <v>0.9</v>
      </c>
      <c r="M14" s="83" t="s">
        <v>5895</v>
      </c>
      <c r="N14" s="64" t="s">
        <v>1</v>
      </c>
      <c r="O14" s="65">
        <v>1</v>
      </c>
      <c r="P14" s="99"/>
      <c r="Q14" s="70"/>
      <c r="R14" s="99"/>
      <c r="S14" s="70"/>
      <c r="T14" s="66"/>
      <c r="U14" s="57"/>
      <c r="V14" s="58"/>
      <c r="W14" s="77"/>
      <c r="X14" s="66"/>
      <c r="Y14" s="57"/>
      <c r="Z14" s="58"/>
      <c r="AA14" s="77"/>
      <c r="AB14" s="228">
        <f>ROUND((ROUND((ROUND((ROUND((_15_同援日０．５*_15・基礎２),0)*_15・２人),0)*(1+_15・A夜間)),0)*(1+_15・盲ろう)),0)+ROUND((ROUND((ROUND((ROUND((_15_同援日０．５＿０．５*_15・基礎２),0)*_15・２人),0)*(1+_15・B深夜)),0)*(1+_15・盲ろう)),0)</f>
        <v>443</v>
      </c>
      <c r="AC14" s="69"/>
    </row>
    <row r="15" spans="1:29" ht="16.5" customHeight="1" x14ac:dyDescent="0.3">
      <c r="A15" s="2">
        <v>15</v>
      </c>
      <c r="B15" s="2">
        <v>9951</v>
      </c>
      <c r="C15" s="60" t="s">
        <v>10711</v>
      </c>
      <c r="D15" s="1"/>
      <c r="E15" s="68"/>
      <c r="F15" s="70"/>
      <c r="G15" s="1"/>
      <c r="H15" s="68"/>
      <c r="I15" s="70"/>
      <c r="J15" s="61"/>
      <c r="K15" s="62"/>
      <c r="L15" s="63"/>
      <c r="M15" s="85"/>
      <c r="N15" s="64"/>
      <c r="O15" s="65"/>
      <c r="P15" s="67" t="s">
        <v>1</v>
      </c>
      <c r="Q15" s="93">
        <v>0.25</v>
      </c>
      <c r="R15" s="67" t="s">
        <v>1</v>
      </c>
      <c r="S15" s="93">
        <v>0.5</v>
      </c>
      <c r="T15" s="61"/>
      <c r="U15" s="62"/>
      <c r="V15" s="63"/>
      <c r="W15" s="75"/>
      <c r="X15" s="61"/>
      <c r="Y15" s="62"/>
      <c r="Z15" s="63"/>
      <c r="AA15" s="75"/>
      <c r="AB15" s="228">
        <f>ROUND((ROUND((_15_同援日０．５*(1+_15・A夜間)),0)*(1+_15・区３)),0)+ROUND((ROUND((_15_同援日０．５＿０．５*(1+_15・B深夜)),0)*(1+_15・区３)),0)</f>
        <v>470</v>
      </c>
      <c r="AC15" s="69"/>
    </row>
    <row r="16" spans="1:29" ht="16.5" customHeight="1" x14ac:dyDescent="0.3">
      <c r="A16" s="2">
        <v>15</v>
      </c>
      <c r="B16" s="2">
        <v>9952</v>
      </c>
      <c r="C16" s="60" t="s">
        <v>10710</v>
      </c>
      <c r="D16" s="1"/>
      <c r="E16" s="68"/>
      <c r="F16" s="70"/>
      <c r="G16" s="1"/>
      <c r="H16" s="68"/>
      <c r="I16" s="70"/>
      <c r="J16" s="66"/>
      <c r="K16" s="57"/>
      <c r="L16" s="58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99"/>
      <c r="S16" s="100" t="s">
        <v>422</v>
      </c>
      <c r="T16" s="67"/>
      <c r="U16" s="68"/>
      <c r="V16" s="76"/>
      <c r="W16" s="70"/>
      <c r="X16" s="67"/>
      <c r="Y16" s="68"/>
      <c r="Z16" s="76"/>
      <c r="AA16" s="70"/>
      <c r="AB16" s="228">
        <f>ROUND((ROUND((ROUND((_15_同援日０．５*_15・２人),0)*(1+_15・A夜間)),0)*(1+_15・区３)),0)+ROUND((ROUND((ROUND((_15_同援日０．５＿０．５*_15・２人),0)*(1+_15・B深夜)),0)*(1+_15・区３)),0)</f>
        <v>470</v>
      </c>
      <c r="AC16" s="69"/>
    </row>
    <row r="17" spans="1:29" ht="16.5" customHeight="1" x14ac:dyDescent="0.3">
      <c r="A17" s="2">
        <v>15</v>
      </c>
      <c r="B17" s="2">
        <v>9953</v>
      </c>
      <c r="C17" s="60" t="s">
        <v>10709</v>
      </c>
      <c r="D17" s="1"/>
      <c r="E17" s="68"/>
      <c r="F17" s="70"/>
      <c r="G17" s="1"/>
      <c r="H17" s="68"/>
      <c r="I17" s="70"/>
      <c r="J17" s="74" t="s">
        <v>16971</v>
      </c>
      <c r="K17" s="62"/>
      <c r="L17" s="63"/>
      <c r="M17" s="85"/>
      <c r="N17" s="64"/>
      <c r="O17" s="65"/>
      <c r="P17" s="99"/>
      <c r="Q17" s="70"/>
      <c r="R17" s="99"/>
      <c r="S17" s="70"/>
      <c r="T17" s="67"/>
      <c r="U17" s="68"/>
      <c r="V17" s="76"/>
      <c r="W17" s="70"/>
      <c r="X17" s="1" t="s">
        <v>18089</v>
      </c>
      <c r="Y17" s="68"/>
      <c r="Z17" s="76"/>
      <c r="AA17" s="70"/>
      <c r="AB17" s="228">
        <f>ROUND((ROUND((ROUND((_15_同援日０．５*_15・基礎２),0)*(1+_15・A夜間)),0)*(1+_15・区３)),0)+ROUND((ROUND((ROUND((_15_同援日０．５＿０．５*_15・基礎２),0)*(1+_15・B深夜)),0)*(1+_15・区３)),0)</f>
        <v>425</v>
      </c>
      <c r="AC17" s="69"/>
    </row>
    <row r="18" spans="1:29" ht="16.5" customHeight="1" x14ac:dyDescent="0.3">
      <c r="A18" s="2">
        <v>15</v>
      </c>
      <c r="B18" s="2">
        <v>9954</v>
      </c>
      <c r="C18" s="60" t="s">
        <v>10708</v>
      </c>
      <c r="D18" s="1"/>
      <c r="E18" s="68"/>
      <c r="F18" s="70"/>
      <c r="G18" s="1"/>
      <c r="H18" s="68"/>
      <c r="I18" s="70"/>
      <c r="J18" s="106" t="s">
        <v>17053</v>
      </c>
      <c r="K18" s="57" t="s">
        <v>1</v>
      </c>
      <c r="L18" s="58">
        <v>0.9</v>
      </c>
      <c r="M18" s="83" t="s">
        <v>5895</v>
      </c>
      <c r="N18" s="64" t="s">
        <v>1</v>
      </c>
      <c r="O18" s="65">
        <v>1</v>
      </c>
      <c r="P18" s="99"/>
      <c r="Q18" s="70"/>
      <c r="R18" s="99"/>
      <c r="S18" s="70"/>
      <c r="T18" s="66"/>
      <c r="U18" s="57"/>
      <c r="V18" s="58"/>
      <c r="W18" s="77"/>
      <c r="X18" s="1" t="s">
        <v>18084</v>
      </c>
      <c r="Y18" s="68"/>
      <c r="Z18" s="76"/>
      <c r="AA18" s="70"/>
      <c r="AB18" s="228">
        <f>ROUND((ROUND((ROUND((ROUND((_15_同援日０．５*_15・基礎２),0)*_15・２人),0)*(1+_15・A夜間)),0)*(1+_15・区３)),0)+ROUND((ROUND((ROUND((ROUND((_15_同援日０．５＿０．５*_15・基礎２),0)*_15・２人),0)*(1+_15・B深夜)),0)*(1+_15・区３)),0)</f>
        <v>425</v>
      </c>
      <c r="AC18" s="69"/>
    </row>
    <row r="19" spans="1:29" ht="16.5" customHeight="1" x14ac:dyDescent="0.3">
      <c r="A19" s="2">
        <v>15</v>
      </c>
      <c r="B19" s="2">
        <v>9955</v>
      </c>
      <c r="C19" s="60" t="s">
        <v>10707</v>
      </c>
      <c r="D19" s="1"/>
      <c r="E19" s="68"/>
      <c r="F19" s="70"/>
      <c r="G19" s="1"/>
      <c r="H19" s="68"/>
      <c r="I19" s="70"/>
      <c r="J19" s="61"/>
      <c r="K19" s="62"/>
      <c r="L19" s="63"/>
      <c r="M19" s="85"/>
      <c r="N19" s="64"/>
      <c r="O19" s="65"/>
      <c r="P19" s="99"/>
      <c r="Q19" s="70"/>
      <c r="R19" s="99"/>
      <c r="S19" s="70"/>
      <c r="T19" s="74" t="s">
        <v>18025</v>
      </c>
      <c r="U19" s="62"/>
      <c r="V19" s="63"/>
      <c r="W19" s="75"/>
      <c r="X19" s="67"/>
      <c r="Y19" s="68" t="s">
        <v>1</v>
      </c>
      <c r="Z19" s="76">
        <v>0.2</v>
      </c>
      <c r="AA19" s="70" t="s">
        <v>422</v>
      </c>
      <c r="AB19" s="228">
        <f>ROUND((ROUND((ROUND((_15_同援日０．５*(1+_15・A夜間)),0)*(1+_15・盲ろう)),0)*(1+_15・区３)),0)+ROUND((ROUND((ROUND((_15_同援日０．５＿０．５*(1+_15・B深夜)),0)*(1+_15・盲ろう)),0)*(1+_15・区３)),0)</f>
        <v>590</v>
      </c>
      <c r="AC19" s="69"/>
    </row>
    <row r="20" spans="1:29" ht="16.5" customHeight="1" x14ac:dyDescent="0.3">
      <c r="A20" s="2">
        <v>15</v>
      </c>
      <c r="B20" s="2">
        <v>9956</v>
      </c>
      <c r="C20" s="60" t="s">
        <v>10706</v>
      </c>
      <c r="D20" s="1"/>
      <c r="E20" s="68"/>
      <c r="F20" s="70"/>
      <c r="G20" s="1"/>
      <c r="H20" s="68"/>
      <c r="I20" s="70"/>
      <c r="J20" s="66"/>
      <c r="K20" s="57"/>
      <c r="L20" s="58"/>
      <c r="M20" s="83" t="s">
        <v>5895</v>
      </c>
      <c r="N20" s="64" t="s">
        <v>1</v>
      </c>
      <c r="O20" s="65">
        <v>1</v>
      </c>
      <c r="P20" s="99"/>
      <c r="Q20" s="70"/>
      <c r="R20" s="99"/>
      <c r="S20" s="70"/>
      <c r="T20" s="94" t="s">
        <v>18024</v>
      </c>
      <c r="U20" s="68"/>
      <c r="V20" s="76"/>
      <c r="W20" s="70"/>
      <c r="X20" s="67"/>
      <c r="Y20" s="68"/>
      <c r="Z20" s="76"/>
      <c r="AA20" s="70"/>
      <c r="AB20" s="228">
        <f>ROUND((ROUND((ROUND((ROUND((_15_同援日０．５*_15・２人),0)*(1+_15・A夜間)),0)*(1+_15・盲ろう)),0)*(1+_15・区３)),0)+ROUND((ROUND((ROUND((ROUND((_15_同援日０．５＿０．５*_15・２人),0)*(1+_15・B深夜)),0)*(1+_15・盲ろう)),0)*(1+_15・区３)),0)</f>
        <v>590</v>
      </c>
      <c r="AC20" s="69"/>
    </row>
    <row r="21" spans="1:29" ht="16.5" customHeight="1" x14ac:dyDescent="0.3">
      <c r="A21" s="2">
        <v>15</v>
      </c>
      <c r="B21" s="2">
        <v>9957</v>
      </c>
      <c r="C21" s="60" t="s">
        <v>10705</v>
      </c>
      <c r="D21" s="1"/>
      <c r="E21" s="68"/>
      <c r="F21" s="70"/>
      <c r="G21" s="1"/>
      <c r="H21" s="68"/>
      <c r="I21" s="70"/>
      <c r="J21" s="74" t="s">
        <v>16971</v>
      </c>
      <c r="K21" s="62"/>
      <c r="L21" s="63"/>
      <c r="M21" s="85"/>
      <c r="N21" s="64"/>
      <c r="O21" s="65"/>
      <c r="P21" s="99"/>
      <c r="Q21" s="70"/>
      <c r="R21" s="99"/>
      <c r="S21" s="70"/>
      <c r="T21" s="67"/>
      <c r="U21" s="68" t="s">
        <v>1</v>
      </c>
      <c r="V21" s="76">
        <v>0.25</v>
      </c>
      <c r="W21" s="70" t="s">
        <v>422</v>
      </c>
      <c r="X21" s="67"/>
      <c r="Y21" s="68"/>
      <c r="Z21" s="76"/>
      <c r="AA21" s="70"/>
      <c r="AB21" s="228">
        <f>ROUND((ROUND((ROUND((ROUND((_15_同援日０．５*_15・基礎２),0)*(1+_15・A夜間)),0)*(1+_15・盲ろう)),0)*(1+_15・区３)),0)+ROUND((ROUND((ROUND((ROUND((_15_同援日０．５＿０．５*_15・基礎２),0)*(1+_15・B深夜)),0)*(1+_15・盲ろう)),0)*(1+_15・区３)),0)</f>
        <v>532</v>
      </c>
      <c r="AC21" s="69"/>
    </row>
    <row r="22" spans="1:29" ht="16.5" customHeight="1" x14ac:dyDescent="0.3">
      <c r="A22" s="2">
        <v>15</v>
      </c>
      <c r="B22" s="2">
        <v>9958</v>
      </c>
      <c r="C22" s="60" t="s">
        <v>10704</v>
      </c>
      <c r="D22" s="1"/>
      <c r="E22" s="68"/>
      <c r="F22" s="70"/>
      <c r="G22" s="1"/>
      <c r="H22" s="68"/>
      <c r="I22" s="70"/>
      <c r="J22" s="106" t="s">
        <v>5896</v>
      </c>
      <c r="K22" s="57" t="s">
        <v>1</v>
      </c>
      <c r="L22" s="58">
        <v>0.9</v>
      </c>
      <c r="M22" s="83" t="s">
        <v>5895</v>
      </c>
      <c r="N22" s="64" t="s">
        <v>1</v>
      </c>
      <c r="O22" s="65">
        <v>1</v>
      </c>
      <c r="P22" s="99"/>
      <c r="Q22" s="70"/>
      <c r="R22" s="99"/>
      <c r="S22" s="70"/>
      <c r="T22" s="66"/>
      <c r="U22" s="57"/>
      <c r="V22" s="58"/>
      <c r="W22" s="77"/>
      <c r="X22" s="66"/>
      <c r="Y22" s="57"/>
      <c r="Z22" s="58"/>
      <c r="AA22" s="77"/>
      <c r="AB22" s="228">
        <f>ROUND((ROUND((ROUND((ROUND((ROUND((_15_同援日０．５*_15・基礎２),0)*_15・２人),0)*(1+_15・A夜間)),0)*(1+_15・盲ろう)),0)*(1+_15・区３)),0)+ROUND((ROUND((ROUND((ROUND((ROUND((_15_同援日０．５＿０．５*_15・基礎２),0)*_15・２人),0)*(1+_15・B深夜)),0)*(1+_15・盲ろう)),0)*(1+_15・区３)),0)</f>
        <v>532</v>
      </c>
      <c r="AC22" s="69"/>
    </row>
    <row r="23" spans="1:29" ht="16.5" customHeight="1" x14ac:dyDescent="0.3">
      <c r="A23" s="2">
        <v>15</v>
      </c>
      <c r="B23" s="2">
        <v>9959</v>
      </c>
      <c r="C23" s="60" t="s">
        <v>10703</v>
      </c>
      <c r="D23" s="1"/>
      <c r="E23" s="68"/>
      <c r="F23" s="70"/>
      <c r="G23" s="1"/>
      <c r="H23" s="68"/>
      <c r="I23" s="70"/>
      <c r="J23" s="61"/>
      <c r="K23" s="62"/>
      <c r="L23" s="63"/>
      <c r="M23" s="85"/>
      <c r="N23" s="64"/>
      <c r="O23" s="65"/>
      <c r="P23" s="99"/>
      <c r="Q23" s="70"/>
      <c r="R23" s="99"/>
      <c r="S23" s="70"/>
      <c r="T23" s="61"/>
      <c r="U23" s="62"/>
      <c r="V23" s="63"/>
      <c r="W23" s="75"/>
      <c r="X23" s="61"/>
      <c r="Y23" s="62"/>
      <c r="Z23" s="63"/>
      <c r="AA23" s="75"/>
      <c r="AB23" s="228">
        <f>ROUND((ROUND((_15_同援日０．５*(1+_15・A夜間)),0)*(1+_15・区４)),0)+ROUND((ROUND((_15_同援日０．５＿０．５*(1+_15・B深夜)),0)*(1+_15・区４)),0)</f>
        <v>549</v>
      </c>
      <c r="AC23" s="69"/>
    </row>
    <row r="24" spans="1:29" ht="16.5" customHeight="1" x14ac:dyDescent="0.3">
      <c r="A24" s="2">
        <v>15</v>
      </c>
      <c r="B24" s="2">
        <v>9960</v>
      </c>
      <c r="C24" s="60" t="s">
        <v>10702</v>
      </c>
      <c r="D24" s="1"/>
      <c r="E24" s="68"/>
      <c r="F24" s="70"/>
      <c r="G24" s="1"/>
      <c r="H24" s="68"/>
      <c r="I24" s="70"/>
      <c r="J24" s="66"/>
      <c r="K24" s="57"/>
      <c r="L24" s="58"/>
      <c r="M24" s="83" t="s">
        <v>5895</v>
      </c>
      <c r="N24" s="64" t="s">
        <v>1</v>
      </c>
      <c r="O24" s="65">
        <v>1</v>
      </c>
      <c r="P24" s="99"/>
      <c r="Q24" s="70"/>
      <c r="R24" s="99"/>
      <c r="S24" s="70"/>
      <c r="T24" s="67"/>
      <c r="U24" s="68"/>
      <c r="V24" s="76"/>
      <c r="W24" s="70"/>
      <c r="X24" s="67"/>
      <c r="Y24" s="68"/>
      <c r="Z24" s="76"/>
      <c r="AA24" s="70"/>
      <c r="AB24" s="228">
        <f>ROUND((ROUND((ROUND((_15_同援日０．５*_15・２人),0)*(1+_15・A夜間)),0)*(1+_15・区４)),0)+ROUND((ROUND((ROUND((_15_同援日０．５＿０．５*_15・２人),0)*(1+_15・B深夜)),0)*(1+_15・区４)),0)</f>
        <v>549</v>
      </c>
      <c r="AC24" s="69"/>
    </row>
    <row r="25" spans="1:29" ht="16.5" customHeight="1" x14ac:dyDescent="0.3">
      <c r="A25" s="2">
        <v>15</v>
      </c>
      <c r="B25" s="2">
        <v>9961</v>
      </c>
      <c r="C25" s="60" t="s">
        <v>10701</v>
      </c>
      <c r="D25" s="1"/>
      <c r="E25" s="68"/>
      <c r="F25" s="70"/>
      <c r="G25" s="1"/>
      <c r="H25" s="68"/>
      <c r="I25" s="70"/>
      <c r="J25" s="74" t="s">
        <v>16971</v>
      </c>
      <c r="K25" s="62"/>
      <c r="L25" s="63"/>
      <c r="M25" s="85"/>
      <c r="N25" s="64"/>
      <c r="O25" s="65"/>
      <c r="P25" s="99"/>
      <c r="Q25" s="70"/>
      <c r="R25" s="99"/>
      <c r="S25" s="70"/>
      <c r="T25" s="67"/>
      <c r="U25" s="68"/>
      <c r="V25" s="76"/>
      <c r="W25" s="70"/>
      <c r="X25" s="1" t="s">
        <v>18027</v>
      </c>
      <c r="Y25" s="68"/>
      <c r="Z25" s="76"/>
      <c r="AA25" s="70"/>
      <c r="AB25" s="228">
        <f>ROUND((ROUND((ROUND((_15_同援日０．５*_15・基礎２),0)*(1+_15・A夜間)),0)*(1+_15・区４)),0)+ROUND((ROUND((ROUND((_15_同援日０．５＿０．５*_15・基礎２),0)*(1+_15・B深夜)),0)*(1+_15・区４)),0)</f>
        <v>495</v>
      </c>
      <c r="AC25" s="69"/>
    </row>
    <row r="26" spans="1:29" ht="16.5" customHeight="1" x14ac:dyDescent="0.3">
      <c r="A26" s="2">
        <v>15</v>
      </c>
      <c r="B26" s="2">
        <v>9962</v>
      </c>
      <c r="C26" s="60" t="s">
        <v>10700</v>
      </c>
      <c r="D26" s="1"/>
      <c r="E26" s="68"/>
      <c r="F26" s="70"/>
      <c r="G26" s="1"/>
      <c r="H26" s="68"/>
      <c r="I26" s="70"/>
      <c r="J26" s="106" t="s">
        <v>16970</v>
      </c>
      <c r="K26" s="57" t="s">
        <v>1</v>
      </c>
      <c r="L26" s="58">
        <v>0.9</v>
      </c>
      <c r="M26" s="83" t="s">
        <v>5895</v>
      </c>
      <c r="N26" s="64" t="s">
        <v>1</v>
      </c>
      <c r="O26" s="65">
        <v>1</v>
      </c>
      <c r="P26" s="99"/>
      <c r="Q26" s="70"/>
      <c r="R26" s="99"/>
      <c r="S26" s="70"/>
      <c r="T26" s="66"/>
      <c r="U26" s="57"/>
      <c r="V26" s="58"/>
      <c r="W26" s="77"/>
      <c r="X26" s="1" t="s">
        <v>18026</v>
      </c>
      <c r="Y26" s="68"/>
      <c r="Z26" s="76"/>
      <c r="AA26" s="70"/>
      <c r="AB26" s="228">
        <f>ROUND((ROUND((ROUND((ROUND((_15_同援日０．５*_15・基礎２),0)*_15・２人),0)*(1+_15・A夜間)),0)*(1+_15・区４)),0)+ROUND((ROUND((ROUND((ROUND((_15_同援日０．５＿０．５*_15・基礎２),0)*_15・２人),0)*(1+_15・B深夜)),0)*(1+_15・区４)),0)</f>
        <v>495</v>
      </c>
      <c r="AC26" s="69"/>
    </row>
    <row r="27" spans="1:29" ht="16.5" customHeight="1" x14ac:dyDescent="0.3">
      <c r="A27" s="2">
        <v>15</v>
      </c>
      <c r="B27" s="2">
        <v>9963</v>
      </c>
      <c r="C27" s="60" t="s">
        <v>10699</v>
      </c>
      <c r="D27" s="1"/>
      <c r="E27" s="68"/>
      <c r="F27" s="70"/>
      <c r="G27" s="1"/>
      <c r="H27" s="68"/>
      <c r="I27" s="70"/>
      <c r="J27" s="61"/>
      <c r="K27" s="62"/>
      <c r="L27" s="63"/>
      <c r="M27" s="85"/>
      <c r="N27" s="64"/>
      <c r="O27" s="65"/>
      <c r="P27" s="99"/>
      <c r="Q27" s="70"/>
      <c r="R27" s="99"/>
      <c r="S27" s="70"/>
      <c r="T27" s="74" t="s">
        <v>18025</v>
      </c>
      <c r="U27" s="62"/>
      <c r="V27" s="63"/>
      <c r="W27" s="75"/>
      <c r="X27" s="67"/>
      <c r="Y27" s="68" t="s">
        <v>1</v>
      </c>
      <c r="Z27" s="76">
        <v>0.4</v>
      </c>
      <c r="AA27" s="70" t="s">
        <v>422</v>
      </c>
      <c r="AB27" s="228">
        <f>ROUND((ROUND((ROUND((_15_同援日０．５*(1+_15・A夜間)),0)*(1+_15・盲ろう)),0)*(1+_15・区４)),0)+ROUND((ROUND((ROUND((_15_同援日０．５＿０．５*(1+_15・B深夜)),0)*(1+_15・盲ろう)),0)*(1+_15・区４)),0)</f>
        <v>687</v>
      </c>
      <c r="AC27" s="69"/>
    </row>
    <row r="28" spans="1:29" ht="16.5" customHeight="1" x14ac:dyDescent="0.3">
      <c r="A28" s="2">
        <v>15</v>
      </c>
      <c r="B28" s="2">
        <v>9964</v>
      </c>
      <c r="C28" s="60" t="s">
        <v>10698</v>
      </c>
      <c r="D28" s="1"/>
      <c r="E28" s="68"/>
      <c r="F28" s="70"/>
      <c r="G28" s="1"/>
      <c r="H28" s="68"/>
      <c r="I28" s="70"/>
      <c r="J28" s="66"/>
      <c r="K28" s="57"/>
      <c r="L28" s="58"/>
      <c r="M28" s="83" t="s">
        <v>5895</v>
      </c>
      <c r="N28" s="64" t="s">
        <v>1</v>
      </c>
      <c r="O28" s="65">
        <v>1</v>
      </c>
      <c r="P28" s="99"/>
      <c r="Q28" s="70"/>
      <c r="R28" s="99"/>
      <c r="S28" s="70"/>
      <c r="T28" s="94" t="s">
        <v>18024</v>
      </c>
      <c r="U28" s="68"/>
      <c r="V28" s="76"/>
      <c r="W28" s="70"/>
      <c r="X28" s="67"/>
      <c r="Y28" s="68"/>
      <c r="Z28" s="76"/>
      <c r="AA28" s="70"/>
      <c r="AB28" s="228">
        <f>ROUND((ROUND((ROUND((ROUND((_15_同援日０．５*_15・２人),0)*(1+_15・A夜間)),0)*(1+_15・盲ろう)),0)*(1+_15・区４)),0)+ROUND((ROUND((ROUND((ROUND((_15_同援日０．５＿０．５*_15・２人),0)*(1+_15・B深夜)),0)*(1+_15・盲ろう)),0)*(1+_15・区４)),0)</f>
        <v>687</v>
      </c>
      <c r="AC28" s="69"/>
    </row>
    <row r="29" spans="1:29" ht="16.5" customHeight="1" x14ac:dyDescent="0.3">
      <c r="A29" s="2">
        <v>15</v>
      </c>
      <c r="B29" s="2">
        <v>9965</v>
      </c>
      <c r="C29" s="60" t="s">
        <v>10697</v>
      </c>
      <c r="D29" s="1"/>
      <c r="E29" s="68"/>
      <c r="F29" s="70"/>
      <c r="G29" s="1"/>
      <c r="H29" s="68"/>
      <c r="I29" s="70"/>
      <c r="J29" s="74" t="s">
        <v>16971</v>
      </c>
      <c r="K29" s="62"/>
      <c r="L29" s="63"/>
      <c r="M29" s="85"/>
      <c r="N29" s="64"/>
      <c r="O29" s="65"/>
      <c r="P29" s="99"/>
      <c r="Q29" s="70"/>
      <c r="R29" s="99"/>
      <c r="S29" s="70"/>
      <c r="T29" s="67"/>
      <c r="U29" s="68" t="s">
        <v>1</v>
      </c>
      <c r="V29" s="76">
        <v>0.25</v>
      </c>
      <c r="W29" s="70" t="s">
        <v>422</v>
      </c>
      <c r="X29" s="67"/>
      <c r="Y29" s="68"/>
      <c r="Z29" s="76"/>
      <c r="AA29" s="70"/>
      <c r="AB29" s="228">
        <f>ROUND((ROUND((ROUND((ROUND((_15_同援日０．５*_15・基礎２),0)*(1+_15・A夜間)),0)*(1+_15・盲ろう)),0)*(1+_15・区４)),0)+ROUND((ROUND((ROUND((ROUND((_15_同援日０．５＿０．５*_15・基礎２),0)*(1+_15・B深夜)),0)*(1+_15・盲ろう)),0)*(1+_15・区４)),0)</f>
        <v>620</v>
      </c>
      <c r="AC29" s="69"/>
    </row>
    <row r="30" spans="1:29" ht="16.5" customHeight="1" x14ac:dyDescent="0.3">
      <c r="A30" s="2">
        <v>15</v>
      </c>
      <c r="B30" s="2">
        <v>9966</v>
      </c>
      <c r="C30" s="60" t="s">
        <v>10696</v>
      </c>
      <c r="D30" s="1"/>
      <c r="E30" s="68"/>
      <c r="F30" s="70"/>
      <c r="G30" s="81"/>
      <c r="H30" s="57"/>
      <c r="I30" s="77"/>
      <c r="J30" s="106" t="s">
        <v>17053</v>
      </c>
      <c r="K30" s="57" t="s">
        <v>1</v>
      </c>
      <c r="L30" s="58">
        <v>0.9</v>
      </c>
      <c r="M30" s="83" t="s">
        <v>5895</v>
      </c>
      <c r="N30" s="64" t="s">
        <v>1</v>
      </c>
      <c r="O30" s="65">
        <v>1</v>
      </c>
      <c r="P30" s="99"/>
      <c r="Q30" s="70"/>
      <c r="R30" s="99"/>
      <c r="S30" s="70"/>
      <c r="T30" s="66"/>
      <c r="U30" s="57"/>
      <c r="V30" s="58"/>
      <c r="W30" s="77"/>
      <c r="X30" s="66"/>
      <c r="Y30" s="57"/>
      <c r="Z30" s="58"/>
      <c r="AA30" s="77"/>
      <c r="AB30" s="228">
        <f>ROUND((ROUND((ROUND((ROUND((ROUND((_15_同援日０．５*_15・基礎２),0)*_15・２人),0)*(1+_15・A夜間)),0)*(1+_15・盲ろう)),0)*(1+_15・区４)),0)+ROUND((ROUND((ROUND((ROUND((ROUND((_15_同援日０．５＿０．５*_15・基礎２),0)*_15・２人),0)*(1+_15・B深夜)),0)*(1+_15・盲ろう)),0)*(1+_15・区４)),0)</f>
        <v>620</v>
      </c>
      <c r="AC30" s="69"/>
    </row>
    <row r="31" spans="1:29" ht="16.5" customHeight="1" x14ac:dyDescent="0.3">
      <c r="A31" s="2">
        <v>15</v>
      </c>
      <c r="B31" s="2">
        <v>9967</v>
      </c>
      <c r="C31" s="60" t="s">
        <v>10695</v>
      </c>
      <c r="D31" s="1"/>
      <c r="E31" s="68"/>
      <c r="F31" s="70"/>
      <c r="G31" s="233" t="s">
        <v>17072</v>
      </c>
      <c r="H31" s="62"/>
      <c r="I31" s="75"/>
      <c r="J31" s="61"/>
      <c r="K31" s="62"/>
      <c r="L31" s="63"/>
      <c r="M31" s="85"/>
      <c r="N31" s="64"/>
      <c r="O31" s="65"/>
      <c r="P31" s="99"/>
      <c r="Q31" s="70"/>
      <c r="R31" s="99"/>
      <c r="S31" s="70"/>
      <c r="T31" s="61"/>
      <c r="U31" s="62"/>
      <c r="V31" s="63"/>
      <c r="W31" s="75"/>
      <c r="X31" s="61"/>
      <c r="Y31" s="62"/>
      <c r="Z31" s="63"/>
      <c r="AA31" s="75"/>
      <c r="AB31" s="228">
        <f>ROUND((_15_同援日０．５*(1+_15・A夜間)),0)+ROUND((_15_同援日０．５＿１．０*(1+_15・B深夜)),0)</f>
        <v>586</v>
      </c>
      <c r="AC31" s="69"/>
    </row>
    <row r="32" spans="1:29" ht="16.5" customHeight="1" x14ac:dyDescent="0.3">
      <c r="A32" s="2">
        <v>15</v>
      </c>
      <c r="B32" s="2">
        <v>9968</v>
      </c>
      <c r="C32" s="60" t="s">
        <v>10694</v>
      </c>
      <c r="D32" s="1"/>
      <c r="E32" s="68"/>
      <c r="F32" s="70"/>
      <c r="G32" s="1" t="s">
        <v>17067</v>
      </c>
      <c r="H32" s="68"/>
      <c r="I32" s="70"/>
      <c r="J32" s="66"/>
      <c r="K32" s="57"/>
      <c r="L32" s="58"/>
      <c r="M32" s="83" t="s">
        <v>5895</v>
      </c>
      <c r="N32" s="64" t="s">
        <v>1</v>
      </c>
      <c r="O32" s="65">
        <v>1</v>
      </c>
      <c r="P32" s="99"/>
      <c r="Q32" s="70"/>
      <c r="R32" s="99"/>
      <c r="S32" s="70"/>
      <c r="T32" s="67"/>
      <c r="U32" s="68"/>
      <c r="V32" s="76"/>
      <c r="W32" s="70"/>
      <c r="X32" s="67"/>
      <c r="Y32" s="68"/>
      <c r="Z32" s="76"/>
      <c r="AA32" s="70"/>
      <c r="AB32" s="228">
        <f>ROUND((ROUND((_15_同援日０．５*_15・２人),0)*(1+_15・A夜間)),0)+ROUND((ROUND((_15_同援日０．５＿１．０*_15・２人),0)*(1+_15・B深夜)),0)</f>
        <v>586</v>
      </c>
      <c r="AC32" s="69"/>
    </row>
    <row r="33" spans="1:29" ht="16.5" customHeight="1" x14ac:dyDescent="0.3">
      <c r="A33" s="2">
        <v>15</v>
      </c>
      <c r="B33" s="2">
        <v>9969</v>
      </c>
      <c r="C33" s="60" t="s">
        <v>10693</v>
      </c>
      <c r="D33" s="1"/>
      <c r="E33" s="68"/>
      <c r="F33" s="70"/>
      <c r="G33" s="1" t="s">
        <v>8572</v>
      </c>
      <c r="H33" s="68"/>
      <c r="I33" s="70"/>
      <c r="J33" s="74" t="s">
        <v>16971</v>
      </c>
      <c r="K33" s="62"/>
      <c r="L33" s="63"/>
      <c r="M33" s="85"/>
      <c r="N33" s="64"/>
      <c r="O33" s="65"/>
      <c r="P33" s="99"/>
      <c r="Q33" s="70"/>
      <c r="R33" s="99"/>
      <c r="S33" s="70"/>
      <c r="T33" s="67"/>
      <c r="U33" s="68"/>
      <c r="V33" s="76"/>
      <c r="W33" s="70"/>
      <c r="X33" s="67"/>
      <c r="Y33" s="68"/>
      <c r="Z33" s="76"/>
      <c r="AA33" s="70"/>
      <c r="AB33" s="228">
        <f>ROUND((ROUND((_15_同援日０．５*_15・基礎２),0)*(1+_15・A夜間)),0)+ROUND((ROUND((_15_同援日０．５＿１．０*_15・基礎２),0)*(1+_15・B深夜)),0)</f>
        <v>528</v>
      </c>
      <c r="AC33" s="69"/>
    </row>
    <row r="34" spans="1:29" ht="16.5" customHeight="1" x14ac:dyDescent="0.3">
      <c r="A34" s="2">
        <v>15</v>
      </c>
      <c r="B34" s="2">
        <v>9970</v>
      </c>
      <c r="C34" s="60" t="s">
        <v>10692</v>
      </c>
      <c r="D34" s="1"/>
      <c r="E34" s="68"/>
      <c r="F34" s="70"/>
      <c r="G34" s="1"/>
      <c r="H34" s="227">
        <v>237</v>
      </c>
      <c r="I34" s="70" t="s">
        <v>0</v>
      </c>
      <c r="J34" s="106" t="s">
        <v>17053</v>
      </c>
      <c r="K34" s="57" t="s">
        <v>1</v>
      </c>
      <c r="L34" s="58">
        <v>0.9</v>
      </c>
      <c r="M34" s="83" t="s">
        <v>5895</v>
      </c>
      <c r="N34" s="64" t="s">
        <v>1</v>
      </c>
      <c r="O34" s="65">
        <v>1</v>
      </c>
      <c r="P34" s="99"/>
      <c r="Q34" s="70"/>
      <c r="R34" s="99"/>
      <c r="S34" s="70"/>
      <c r="T34" s="66"/>
      <c r="U34" s="57"/>
      <c r="V34" s="58"/>
      <c r="W34" s="77"/>
      <c r="X34" s="67"/>
      <c r="Y34" s="68"/>
      <c r="Z34" s="76"/>
      <c r="AA34" s="70"/>
      <c r="AB34" s="228">
        <f>ROUND((ROUND((ROUND((_15_同援日０．５*_15・基礎２),0)*_15・２人),0)*(1+_15・A夜間)),0)+ROUND((ROUND((ROUND((_15_同援日０．５＿１．０*_15・基礎２),0)*_15・２人),0)*(1+_15・B深夜)),0)</f>
        <v>528</v>
      </c>
      <c r="AC34" s="69"/>
    </row>
    <row r="35" spans="1:29" ht="16.5" customHeight="1" x14ac:dyDescent="0.3">
      <c r="A35" s="2">
        <v>15</v>
      </c>
      <c r="B35" s="2">
        <v>9971</v>
      </c>
      <c r="C35" s="60" t="s">
        <v>10691</v>
      </c>
      <c r="D35" s="1"/>
      <c r="E35" s="68"/>
      <c r="F35" s="70"/>
      <c r="G35" s="1"/>
      <c r="H35" s="68"/>
      <c r="I35" s="70"/>
      <c r="J35" s="61"/>
      <c r="K35" s="62"/>
      <c r="L35" s="63"/>
      <c r="M35" s="85"/>
      <c r="N35" s="64"/>
      <c r="O35" s="65"/>
      <c r="P35" s="99"/>
      <c r="Q35" s="70"/>
      <c r="R35" s="99"/>
      <c r="S35" s="70"/>
      <c r="T35" s="74" t="s">
        <v>18025</v>
      </c>
      <c r="U35" s="62"/>
      <c r="V35" s="63"/>
      <c r="W35" s="75"/>
      <c r="X35" s="67"/>
      <c r="Y35" s="68"/>
      <c r="Z35" s="76"/>
      <c r="AA35" s="70"/>
      <c r="AB35" s="228">
        <f>ROUND((ROUND((_15_同援日０．５*(1+_15・A夜間)),0)*(1+_15・盲ろう)),0)+ROUND((ROUND((_15_同援日０．５＿１．０*(1+_15・B深夜)),0)*(1+_15・盲ろう)),0)</f>
        <v>733</v>
      </c>
      <c r="AC35" s="69"/>
    </row>
    <row r="36" spans="1:29" ht="16.5" customHeight="1" x14ac:dyDescent="0.3">
      <c r="A36" s="2">
        <v>15</v>
      </c>
      <c r="B36" s="2">
        <v>9972</v>
      </c>
      <c r="C36" s="60" t="s">
        <v>10690</v>
      </c>
      <c r="D36" s="1"/>
      <c r="E36" s="68"/>
      <c r="F36" s="70"/>
      <c r="G36" s="1"/>
      <c r="H36" s="68"/>
      <c r="I36" s="70"/>
      <c r="J36" s="66"/>
      <c r="K36" s="57"/>
      <c r="L36" s="58"/>
      <c r="M36" s="83" t="s">
        <v>5895</v>
      </c>
      <c r="N36" s="64" t="s">
        <v>1</v>
      </c>
      <c r="O36" s="65">
        <v>1</v>
      </c>
      <c r="P36" s="99"/>
      <c r="Q36" s="70"/>
      <c r="R36" s="99"/>
      <c r="S36" s="70"/>
      <c r="T36" s="94" t="s">
        <v>18024</v>
      </c>
      <c r="U36" s="68"/>
      <c r="V36" s="76"/>
      <c r="W36" s="70"/>
      <c r="X36" s="67"/>
      <c r="Y36" s="68"/>
      <c r="Z36" s="76"/>
      <c r="AA36" s="70"/>
      <c r="AB36" s="228">
        <f>ROUND((ROUND((ROUND((_15_同援日０．５*_15・２人),0)*(1+_15・A夜間)),0)*(1+_15・盲ろう)),0)+ROUND((ROUND((ROUND((_15_同援日０．５＿１．０*_15・２人),0)*(1+_15・B深夜)),0)*(1+_15・盲ろう)),0)</f>
        <v>733</v>
      </c>
      <c r="AC36" s="69"/>
    </row>
    <row r="37" spans="1:29" ht="16.5" customHeight="1" x14ac:dyDescent="0.3">
      <c r="A37" s="2">
        <v>15</v>
      </c>
      <c r="B37" s="2">
        <v>9973</v>
      </c>
      <c r="C37" s="60" t="s">
        <v>10689</v>
      </c>
      <c r="D37" s="1"/>
      <c r="E37" s="68"/>
      <c r="F37" s="70"/>
      <c r="G37" s="1"/>
      <c r="H37" s="68"/>
      <c r="I37" s="70"/>
      <c r="J37" s="74" t="s">
        <v>16971</v>
      </c>
      <c r="K37" s="62"/>
      <c r="L37" s="63"/>
      <c r="M37" s="85"/>
      <c r="N37" s="64"/>
      <c r="O37" s="65"/>
      <c r="P37" s="99"/>
      <c r="Q37" s="70"/>
      <c r="R37" s="99"/>
      <c r="S37" s="70"/>
      <c r="T37" s="67"/>
      <c r="U37" s="68" t="s">
        <v>1</v>
      </c>
      <c r="V37" s="76">
        <v>0.25</v>
      </c>
      <c r="W37" s="70" t="s">
        <v>422</v>
      </c>
      <c r="X37" s="67"/>
      <c r="Y37" s="68"/>
      <c r="Z37" s="76"/>
      <c r="AA37" s="70"/>
      <c r="AB37" s="228">
        <f>ROUND((ROUND((ROUND((_15_同援日０．５*_15・基礎２),0)*(1+_15・A夜間)),0)*(1+_15・盲ろう)),0)+ROUND((ROUND((ROUND((_15_同援日０．５＿１．０*_15・基礎２),0)*(1+_15・B深夜)),0)*(1+_15・盲ろう)),0)</f>
        <v>660</v>
      </c>
      <c r="AC37" s="69"/>
    </row>
    <row r="38" spans="1:29" ht="16.5" customHeight="1" x14ac:dyDescent="0.3">
      <c r="A38" s="2">
        <v>15</v>
      </c>
      <c r="B38" s="2">
        <v>9974</v>
      </c>
      <c r="C38" s="60" t="s">
        <v>10688</v>
      </c>
      <c r="D38" s="1"/>
      <c r="E38" s="68"/>
      <c r="F38" s="70"/>
      <c r="G38" s="1"/>
      <c r="H38" s="68"/>
      <c r="I38" s="70"/>
      <c r="J38" s="106" t="s">
        <v>16970</v>
      </c>
      <c r="K38" s="57" t="s">
        <v>1</v>
      </c>
      <c r="L38" s="58">
        <v>0.9</v>
      </c>
      <c r="M38" s="83" t="s">
        <v>5895</v>
      </c>
      <c r="N38" s="64" t="s">
        <v>1</v>
      </c>
      <c r="O38" s="65">
        <v>1</v>
      </c>
      <c r="P38" s="99"/>
      <c r="Q38" s="70"/>
      <c r="R38" s="99"/>
      <c r="S38" s="70"/>
      <c r="T38" s="66"/>
      <c r="U38" s="57"/>
      <c r="V38" s="58"/>
      <c r="W38" s="77"/>
      <c r="X38" s="66"/>
      <c r="Y38" s="57"/>
      <c r="Z38" s="58"/>
      <c r="AA38" s="77"/>
      <c r="AB38" s="228">
        <f>ROUND((ROUND((ROUND((ROUND((_15_同援日０．５*_15・基礎２),0)*_15・２人),0)*(1+_15・A夜間)),0)*(1+_15・盲ろう)),0)+ROUND((ROUND((ROUND((ROUND((_15_同援日０．５＿１．０*_15・基礎２),0)*_15・２人),0)*(1+_15・B深夜)),0)*(1+_15・盲ろう)),0)</f>
        <v>660</v>
      </c>
      <c r="AC38" s="69"/>
    </row>
    <row r="39" spans="1:29" ht="16.5" customHeight="1" x14ac:dyDescent="0.3">
      <c r="A39" s="2">
        <v>15</v>
      </c>
      <c r="B39" s="2">
        <v>9975</v>
      </c>
      <c r="C39" s="60" t="s">
        <v>10687</v>
      </c>
      <c r="D39" s="1"/>
      <c r="E39" s="68"/>
      <c r="F39" s="70"/>
      <c r="G39" s="1"/>
      <c r="H39" s="68"/>
      <c r="I39" s="70"/>
      <c r="J39" s="61"/>
      <c r="K39" s="62"/>
      <c r="L39" s="63"/>
      <c r="M39" s="85"/>
      <c r="N39" s="64"/>
      <c r="O39" s="65"/>
      <c r="P39" s="99"/>
      <c r="Q39" s="70"/>
      <c r="R39" s="99"/>
      <c r="S39" s="70"/>
      <c r="T39" s="61"/>
      <c r="U39" s="62"/>
      <c r="V39" s="63"/>
      <c r="W39" s="75"/>
      <c r="X39" s="61"/>
      <c r="Y39" s="62"/>
      <c r="Z39" s="63"/>
      <c r="AA39" s="75"/>
      <c r="AB39" s="228">
        <f>ROUND((ROUND((_15_同援日０．５*(1+_15・A夜間)),0)*(1+_15・区３)),0)+ROUND((ROUND((_15_同援日０．５＿１．０*(1+_15・B深夜)),0)*(1+_15・区３)),0)</f>
        <v>703</v>
      </c>
      <c r="AC39" s="69"/>
    </row>
    <row r="40" spans="1:29" ht="16.5" customHeight="1" x14ac:dyDescent="0.3">
      <c r="A40" s="2">
        <v>15</v>
      </c>
      <c r="B40" s="2">
        <v>9976</v>
      </c>
      <c r="C40" s="60" t="s">
        <v>10686</v>
      </c>
      <c r="D40" s="1"/>
      <c r="E40" s="68"/>
      <c r="F40" s="70"/>
      <c r="G40" s="1"/>
      <c r="H40" s="68"/>
      <c r="I40" s="70"/>
      <c r="J40" s="66"/>
      <c r="K40" s="57"/>
      <c r="L40" s="58"/>
      <c r="M40" s="83" t="s">
        <v>5895</v>
      </c>
      <c r="N40" s="64" t="s">
        <v>1</v>
      </c>
      <c r="O40" s="65">
        <v>1</v>
      </c>
      <c r="P40" s="99"/>
      <c r="Q40" s="70"/>
      <c r="R40" s="99"/>
      <c r="S40" s="70"/>
      <c r="T40" s="67"/>
      <c r="U40" s="68"/>
      <c r="V40" s="76"/>
      <c r="W40" s="70"/>
      <c r="X40" s="67"/>
      <c r="Y40" s="68"/>
      <c r="Z40" s="76"/>
      <c r="AA40" s="70"/>
      <c r="AB40" s="228">
        <f>ROUND((ROUND((ROUND((_15_同援日０．５*_15・２人),0)*(1+_15・A夜間)),0)*(1+_15・区３)),0)+ROUND((ROUND((ROUND((_15_同援日０．５＿１．０*_15・２人),0)*(1+_15・B深夜)),0)*(1+_15・区３)),0)</f>
        <v>703</v>
      </c>
      <c r="AC40" s="69"/>
    </row>
    <row r="41" spans="1:29" ht="16.5" customHeight="1" x14ac:dyDescent="0.3">
      <c r="A41" s="2">
        <v>15</v>
      </c>
      <c r="B41" s="2">
        <v>9977</v>
      </c>
      <c r="C41" s="60" t="s">
        <v>10685</v>
      </c>
      <c r="D41" s="1"/>
      <c r="E41" s="68"/>
      <c r="F41" s="70"/>
      <c r="G41" s="1"/>
      <c r="H41" s="68"/>
      <c r="I41" s="70"/>
      <c r="J41" s="74" t="s">
        <v>16971</v>
      </c>
      <c r="K41" s="62"/>
      <c r="L41" s="63"/>
      <c r="M41" s="85"/>
      <c r="N41" s="64"/>
      <c r="O41" s="65"/>
      <c r="P41" s="99"/>
      <c r="Q41" s="70"/>
      <c r="R41" s="99"/>
      <c r="S41" s="70"/>
      <c r="T41" s="67"/>
      <c r="U41" s="68"/>
      <c r="V41" s="76"/>
      <c r="W41" s="70"/>
      <c r="X41" s="1" t="s">
        <v>18089</v>
      </c>
      <c r="Y41" s="68"/>
      <c r="Z41" s="76"/>
      <c r="AA41" s="70"/>
      <c r="AB41" s="228">
        <f>ROUND((ROUND((ROUND((_15_同援日０．５*_15・基礎２),0)*(1+_15・A夜間)),0)*(1+_15・区３)),0)+ROUND((ROUND((ROUND((_15_同援日０．５＿１．０*_15・基礎２),0)*(1+_15・B深夜)),0)*(1+_15・区３)),0)</f>
        <v>634</v>
      </c>
      <c r="AC41" s="69"/>
    </row>
    <row r="42" spans="1:29" ht="16.5" customHeight="1" x14ac:dyDescent="0.3">
      <c r="A42" s="2">
        <v>15</v>
      </c>
      <c r="B42" s="2">
        <v>9978</v>
      </c>
      <c r="C42" s="60" t="s">
        <v>10684</v>
      </c>
      <c r="D42" s="1"/>
      <c r="E42" s="68"/>
      <c r="F42" s="70"/>
      <c r="G42" s="1"/>
      <c r="H42" s="68"/>
      <c r="I42" s="70"/>
      <c r="J42" s="106" t="s">
        <v>16970</v>
      </c>
      <c r="K42" s="57" t="s">
        <v>1</v>
      </c>
      <c r="L42" s="58">
        <v>0.9</v>
      </c>
      <c r="M42" s="83" t="s">
        <v>5895</v>
      </c>
      <c r="N42" s="64" t="s">
        <v>1</v>
      </c>
      <c r="O42" s="65">
        <v>1</v>
      </c>
      <c r="P42" s="99"/>
      <c r="Q42" s="70"/>
      <c r="R42" s="99"/>
      <c r="S42" s="70"/>
      <c r="T42" s="66"/>
      <c r="U42" s="57"/>
      <c r="V42" s="58"/>
      <c r="W42" s="77"/>
      <c r="X42" s="1" t="s">
        <v>18084</v>
      </c>
      <c r="Y42" s="68"/>
      <c r="Z42" s="76"/>
      <c r="AA42" s="70"/>
      <c r="AB42" s="228">
        <f>ROUND((ROUND((ROUND((ROUND((_15_同援日０．５*_15・基礎２),0)*_15・２人),0)*(1+_15・A夜間)),0)*(1+_15・区３)),0)+ROUND((ROUND((ROUND((ROUND((_15_同援日０．５＿１．０*_15・基礎２),0)*_15・２人),0)*(1+_15・B深夜)),0)*(1+_15・区３)),0)</f>
        <v>634</v>
      </c>
      <c r="AC42" s="69"/>
    </row>
    <row r="43" spans="1:29" ht="16.5" customHeight="1" x14ac:dyDescent="0.3">
      <c r="A43" s="2">
        <v>15</v>
      </c>
      <c r="B43" s="2">
        <v>9979</v>
      </c>
      <c r="C43" s="60" t="s">
        <v>10683</v>
      </c>
      <c r="D43" s="1"/>
      <c r="E43" s="68"/>
      <c r="F43" s="70"/>
      <c r="G43" s="1"/>
      <c r="H43" s="68"/>
      <c r="I43" s="70"/>
      <c r="J43" s="61"/>
      <c r="K43" s="62"/>
      <c r="L43" s="63"/>
      <c r="M43" s="85"/>
      <c r="N43" s="64"/>
      <c r="O43" s="65"/>
      <c r="P43" s="99"/>
      <c r="Q43" s="70"/>
      <c r="R43" s="99"/>
      <c r="S43" s="70"/>
      <c r="T43" s="74" t="s">
        <v>18025</v>
      </c>
      <c r="U43" s="62"/>
      <c r="V43" s="63"/>
      <c r="W43" s="75"/>
      <c r="X43" s="67"/>
      <c r="Y43" s="68" t="s">
        <v>1</v>
      </c>
      <c r="Z43" s="76">
        <v>0.2</v>
      </c>
      <c r="AA43" s="70" t="s">
        <v>422</v>
      </c>
      <c r="AB43" s="228">
        <f>ROUND((ROUND((ROUND((_15_同援日０．５*(1+_15・A夜間)),0)*(1+_15・盲ろう)),0)*(1+_15・区３)),0)+ROUND((ROUND((ROUND((_15_同援日０．５＿１．０*(1+_15・B深夜)),0)*(1+_15・盲ろう)),0)*(1+_15・区３)),0)</f>
        <v>880</v>
      </c>
      <c r="AC43" s="69"/>
    </row>
    <row r="44" spans="1:29" ht="16.5" customHeight="1" x14ac:dyDescent="0.3">
      <c r="A44" s="2">
        <v>15</v>
      </c>
      <c r="B44" s="2">
        <v>9980</v>
      </c>
      <c r="C44" s="60" t="s">
        <v>10682</v>
      </c>
      <c r="D44" s="1"/>
      <c r="E44" s="68"/>
      <c r="F44" s="70"/>
      <c r="G44" s="1"/>
      <c r="H44" s="68"/>
      <c r="I44" s="70"/>
      <c r="J44" s="66"/>
      <c r="K44" s="57"/>
      <c r="L44" s="58"/>
      <c r="M44" s="83" t="s">
        <v>5895</v>
      </c>
      <c r="N44" s="64" t="s">
        <v>1</v>
      </c>
      <c r="O44" s="65">
        <v>1</v>
      </c>
      <c r="P44" s="99"/>
      <c r="Q44" s="70"/>
      <c r="R44" s="99"/>
      <c r="S44" s="70"/>
      <c r="T44" s="94" t="s">
        <v>18024</v>
      </c>
      <c r="U44" s="68"/>
      <c r="V44" s="76"/>
      <c r="W44" s="70"/>
      <c r="X44" s="67"/>
      <c r="Y44" s="68"/>
      <c r="Z44" s="76"/>
      <c r="AA44" s="70"/>
      <c r="AB44" s="228">
        <f>ROUND((ROUND((ROUND((ROUND((_15_同援日０．５*_15・２人),0)*(1+_15・A夜間)),0)*(1+_15・盲ろう)),0)*(1+_15・区３)),0)+ROUND((ROUND((ROUND((ROUND((_15_同援日０．５＿１．０*_15・２人),0)*(1+_15・B深夜)),0)*(1+_15・盲ろう)),0)*(1+_15・区３)),0)</f>
        <v>880</v>
      </c>
      <c r="AC44" s="69"/>
    </row>
    <row r="45" spans="1:29" ht="16.5" customHeight="1" x14ac:dyDescent="0.3">
      <c r="A45" s="2">
        <v>15</v>
      </c>
      <c r="B45" s="2">
        <v>9981</v>
      </c>
      <c r="C45" s="60" t="s">
        <v>10681</v>
      </c>
      <c r="D45" s="1"/>
      <c r="E45" s="68"/>
      <c r="F45" s="70"/>
      <c r="G45" s="1"/>
      <c r="H45" s="68"/>
      <c r="I45" s="70"/>
      <c r="J45" s="74" t="s">
        <v>16971</v>
      </c>
      <c r="K45" s="62"/>
      <c r="L45" s="63"/>
      <c r="M45" s="85"/>
      <c r="N45" s="64"/>
      <c r="O45" s="65"/>
      <c r="P45" s="99"/>
      <c r="Q45" s="70"/>
      <c r="R45" s="99"/>
      <c r="S45" s="70"/>
      <c r="T45" s="67"/>
      <c r="U45" s="68" t="s">
        <v>1</v>
      </c>
      <c r="V45" s="76">
        <v>0.25</v>
      </c>
      <c r="W45" s="70" t="s">
        <v>422</v>
      </c>
      <c r="X45" s="67"/>
      <c r="Y45" s="68"/>
      <c r="Z45" s="76"/>
      <c r="AA45" s="70"/>
      <c r="AB45" s="228">
        <f>ROUND((ROUND((ROUND((ROUND((_15_同援日０．５*_15・基礎２),0)*(1+_15・A夜間)),0)*(1+_15・盲ろう)),0)*(1+_15・区３)),0)+ROUND((ROUND((ROUND((ROUND((_15_同援日０．５＿１．０*_15・基礎２),0)*(1+_15・B深夜)),0)*(1+_15・盲ろう)),0)*(1+_15・区３)),0)</f>
        <v>792</v>
      </c>
      <c r="AC45" s="69"/>
    </row>
    <row r="46" spans="1:29" ht="16.5" customHeight="1" x14ac:dyDescent="0.3">
      <c r="A46" s="2">
        <v>15</v>
      </c>
      <c r="B46" s="2">
        <v>9982</v>
      </c>
      <c r="C46" s="60" t="s">
        <v>10680</v>
      </c>
      <c r="D46" s="1"/>
      <c r="E46" s="68"/>
      <c r="F46" s="70"/>
      <c r="G46" s="1"/>
      <c r="H46" s="68"/>
      <c r="I46" s="70"/>
      <c r="J46" s="106" t="s">
        <v>16970</v>
      </c>
      <c r="K46" s="57" t="s">
        <v>1</v>
      </c>
      <c r="L46" s="58">
        <v>0.9</v>
      </c>
      <c r="M46" s="83" t="s">
        <v>5895</v>
      </c>
      <c r="N46" s="64" t="s">
        <v>1</v>
      </c>
      <c r="O46" s="65">
        <v>1</v>
      </c>
      <c r="P46" s="99"/>
      <c r="Q46" s="70"/>
      <c r="R46" s="99"/>
      <c r="S46" s="70"/>
      <c r="T46" s="66"/>
      <c r="U46" s="57"/>
      <c r="V46" s="58"/>
      <c r="W46" s="77"/>
      <c r="X46" s="66"/>
      <c r="Y46" s="57"/>
      <c r="Z46" s="58"/>
      <c r="AA46" s="77"/>
      <c r="AB46" s="228">
        <f>ROUND((ROUND((ROUND((ROUND((ROUND((_15_同援日０．５*_15・基礎２),0)*_15・２人),0)*(1+_15・A夜間)),0)*(1+_15・盲ろう)),0)*(1+_15・区３)),0)+ROUND((ROUND((ROUND((ROUND((ROUND((_15_同援日０．５＿１．０*_15・基礎２),0)*_15・２人),0)*(1+_15・B深夜)),0)*(1+_15・盲ろう)),0)*(1+_15・区３)),0)</f>
        <v>792</v>
      </c>
      <c r="AC46" s="69"/>
    </row>
    <row r="47" spans="1:29" ht="16.5" customHeight="1" x14ac:dyDescent="0.3">
      <c r="A47" s="2">
        <v>15</v>
      </c>
      <c r="B47" s="2">
        <v>9983</v>
      </c>
      <c r="C47" s="60" t="s">
        <v>10679</v>
      </c>
      <c r="D47" s="1"/>
      <c r="E47" s="68"/>
      <c r="F47" s="70"/>
      <c r="G47" s="1"/>
      <c r="H47" s="68"/>
      <c r="I47" s="70"/>
      <c r="J47" s="61"/>
      <c r="K47" s="62"/>
      <c r="L47" s="63"/>
      <c r="M47" s="85"/>
      <c r="N47" s="64"/>
      <c r="O47" s="65"/>
      <c r="P47" s="99"/>
      <c r="Q47" s="70"/>
      <c r="R47" s="99"/>
      <c r="S47" s="70"/>
      <c r="T47" s="61"/>
      <c r="U47" s="62"/>
      <c r="V47" s="63"/>
      <c r="W47" s="75"/>
      <c r="X47" s="61"/>
      <c r="Y47" s="62"/>
      <c r="Z47" s="63"/>
      <c r="AA47" s="75"/>
      <c r="AB47" s="228">
        <f>ROUND((ROUND((_15_同援日０．５*(1+_15・A夜間)),0)*(1+_15・区４)),0)+ROUND((ROUND((_15_同援日０．５＿１．０*(1+_15・B深夜)),0)*(1+_15・区４)),0)</f>
        <v>820</v>
      </c>
      <c r="AC47" s="69"/>
    </row>
    <row r="48" spans="1:29" ht="16.5" customHeight="1" x14ac:dyDescent="0.3">
      <c r="A48" s="2">
        <v>15</v>
      </c>
      <c r="B48" s="2">
        <v>9984</v>
      </c>
      <c r="C48" s="60" t="s">
        <v>10678</v>
      </c>
      <c r="D48" s="1"/>
      <c r="E48" s="68"/>
      <c r="F48" s="70"/>
      <c r="G48" s="1"/>
      <c r="H48" s="68"/>
      <c r="I48" s="70"/>
      <c r="J48" s="66"/>
      <c r="K48" s="57"/>
      <c r="L48" s="58"/>
      <c r="M48" s="83" t="s">
        <v>5895</v>
      </c>
      <c r="N48" s="64" t="s">
        <v>1</v>
      </c>
      <c r="O48" s="65">
        <v>1</v>
      </c>
      <c r="P48" s="99"/>
      <c r="Q48" s="70"/>
      <c r="R48" s="99"/>
      <c r="S48" s="70"/>
      <c r="T48" s="67"/>
      <c r="U48" s="68"/>
      <c r="V48" s="76"/>
      <c r="W48" s="70"/>
      <c r="X48" s="67"/>
      <c r="Y48" s="68"/>
      <c r="Z48" s="76"/>
      <c r="AA48" s="70"/>
      <c r="AB48" s="228">
        <f>ROUND((ROUND((ROUND((_15_同援日０．５*_15・２人),0)*(1+_15・A夜間)),0)*(1+_15・区４)),0)+ROUND((ROUND((ROUND((_15_同援日０．５＿１．０*_15・２人),0)*(1+_15・B深夜)),0)*(1+_15・区４)),0)</f>
        <v>820</v>
      </c>
      <c r="AC48" s="69"/>
    </row>
    <row r="49" spans="1:29" ht="16.5" customHeight="1" x14ac:dyDescent="0.3">
      <c r="A49" s="2">
        <v>15</v>
      </c>
      <c r="B49" s="2">
        <v>9985</v>
      </c>
      <c r="C49" s="60" t="s">
        <v>10677</v>
      </c>
      <c r="D49" s="1"/>
      <c r="E49" s="68"/>
      <c r="F49" s="70"/>
      <c r="G49" s="1"/>
      <c r="H49" s="68"/>
      <c r="I49" s="70"/>
      <c r="J49" s="74" t="s">
        <v>16971</v>
      </c>
      <c r="K49" s="62"/>
      <c r="L49" s="63"/>
      <c r="M49" s="85"/>
      <c r="N49" s="64"/>
      <c r="O49" s="65"/>
      <c r="P49" s="99"/>
      <c r="Q49" s="70"/>
      <c r="R49" s="99"/>
      <c r="S49" s="70"/>
      <c r="T49" s="67"/>
      <c r="U49" s="68"/>
      <c r="V49" s="76"/>
      <c r="W49" s="70"/>
      <c r="X49" s="1" t="s">
        <v>18027</v>
      </c>
      <c r="Y49" s="68"/>
      <c r="Z49" s="76"/>
      <c r="AA49" s="70"/>
      <c r="AB49" s="228">
        <f>ROUND((ROUND((ROUND((_15_同援日０．５*_15・基礎２),0)*(1+_15・A夜間)),0)*(1+_15・区４)),0)+ROUND((ROUND((ROUND((_15_同援日０．５＿１．０*_15・基礎２),0)*(1+_15・B深夜)),0)*(1+_15・区４)),0)</f>
        <v>739</v>
      </c>
      <c r="AC49" s="69"/>
    </row>
    <row r="50" spans="1:29" ht="16.5" customHeight="1" x14ac:dyDescent="0.3">
      <c r="A50" s="2">
        <v>15</v>
      </c>
      <c r="B50" s="2">
        <v>9986</v>
      </c>
      <c r="C50" s="60" t="s">
        <v>10676</v>
      </c>
      <c r="D50" s="1"/>
      <c r="E50" s="68"/>
      <c r="F50" s="70"/>
      <c r="G50" s="1"/>
      <c r="H50" s="68"/>
      <c r="I50" s="70"/>
      <c r="J50" s="106" t="s">
        <v>16970</v>
      </c>
      <c r="K50" s="57" t="s">
        <v>1</v>
      </c>
      <c r="L50" s="58">
        <v>0.9</v>
      </c>
      <c r="M50" s="83" t="s">
        <v>5895</v>
      </c>
      <c r="N50" s="64" t="s">
        <v>1</v>
      </c>
      <c r="O50" s="65">
        <v>1</v>
      </c>
      <c r="P50" s="99"/>
      <c r="Q50" s="70"/>
      <c r="R50" s="99"/>
      <c r="S50" s="70"/>
      <c r="T50" s="66"/>
      <c r="U50" s="57"/>
      <c r="V50" s="58"/>
      <c r="W50" s="77"/>
      <c r="X50" s="1" t="s">
        <v>18026</v>
      </c>
      <c r="Y50" s="68"/>
      <c r="Z50" s="76"/>
      <c r="AA50" s="70"/>
      <c r="AB50" s="228">
        <f>ROUND((ROUND((ROUND((ROUND((_15_同援日０．５*_15・基礎２),0)*_15・２人),0)*(1+_15・A夜間)),0)*(1+_15・区４)),0)+ROUND((ROUND((ROUND((ROUND((_15_同援日０．５＿１．０*_15・基礎２),0)*_15・２人),0)*(1+_15・B深夜)),0)*(1+_15・区４)),0)</f>
        <v>739</v>
      </c>
      <c r="AC50" s="69"/>
    </row>
    <row r="51" spans="1:29" ht="16.5" customHeight="1" x14ac:dyDescent="0.3">
      <c r="A51" s="2">
        <v>15</v>
      </c>
      <c r="B51" s="2">
        <v>9987</v>
      </c>
      <c r="C51" s="60" t="s">
        <v>10675</v>
      </c>
      <c r="D51" s="1"/>
      <c r="E51" s="68"/>
      <c r="F51" s="70"/>
      <c r="G51" s="1"/>
      <c r="H51" s="68"/>
      <c r="I51" s="70"/>
      <c r="J51" s="61"/>
      <c r="K51" s="62"/>
      <c r="L51" s="63"/>
      <c r="M51" s="85"/>
      <c r="N51" s="64"/>
      <c r="O51" s="65"/>
      <c r="P51" s="99"/>
      <c r="Q51" s="70"/>
      <c r="R51" s="99"/>
      <c r="S51" s="70"/>
      <c r="T51" s="74" t="s">
        <v>18025</v>
      </c>
      <c r="U51" s="62"/>
      <c r="V51" s="63"/>
      <c r="W51" s="75"/>
      <c r="X51" s="67"/>
      <c r="Y51" s="68" t="s">
        <v>1</v>
      </c>
      <c r="Z51" s="76">
        <v>0.4</v>
      </c>
      <c r="AA51" s="70" t="s">
        <v>422</v>
      </c>
      <c r="AB51" s="228">
        <f>ROUND((ROUND((ROUND((_15_同援日０．５*(1+_15・A夜間)),0)*(1+_15・盲ろう)),0)*(1+_15・区４)),0)+ROUND((ROUND((ROUND((_15_同援日０．５＿１．０*(1+_15・B深夜)),0)*(1+_15・盲ろう)),0)*(1+_15・区４)),0)</f>
        <v>1026</v>
      </c>
      <c r="AC51" s="69"/>
    </row>
    <row r="52" spans="1:29" ht="16.5" customHeight="1" x14ac:dyDescent="0.3">
      <c r="A52" s="2">
        <v>15</v>
      </c>
      <c r="B52" s="2">
        <v>9988</v>
      </c>
      <c r="C52" s="60" t="s">
        <v>10674</v>
      </c>
      <c r="D52" s="1"/>
      <c r="E52" s="68"/>
      <c r="F52" s="70"/>
      <c r="G52" s="1"/>
      <c r="H52" s="68"/>
      <c r="I52" s="70"/>
      <c r="J52" s="66"/>
      <c r="K52" s="57"/>
      <c r="L52" s="58"/>
      <c r="M52" s="83" t="s">
        <v>5895</v>
      </c>
      <c r="N52" s="64" t="s">
        <v>1</v>
      </c>
      <c r="O52" s="65">
        <v>1</v>
      </c>
      <c r="P52" s="99"/>
      <c r="Q52" s="70"/>
      <c r="R52" s="99"/>
      <c r="S52" s="70"/>
      <c r="T52" s="94" t="s">
        <v>18086</v>
      </c>
      <c r="U52" s="68"/>
      <c r="V52" s="76"/>
      <c r="W52" s="70"/>
      <c r="X52" s="67"/>
      <c r="Y52" s="68"/>
      <c r="Z52" s="76"/>
      <c r="AA52" s="70"/>
      <c r="AB52" s="228">
        <f>ROUND((ROUND((ROUND((ROUND((_15_同援日０．５*_15・２人),0)*(1+_15・A夜間)),0)*(1+_15・盲ろう)),0)*(1+_15・区４)),0)+ROUND((ROUND((ROUND((ROUND((_15_同援日０．５＿１．０*_15・２人),0)*(1+_15・B深夜)),0)*(1+_15・盲ろう)),0)*(1+_15・区４)),0)</f>
        <v>1026</v>
      </c>
      <c r="AC52" s="69"/>
    </row>
    <row r="53" spans="1:29" ht="16.5" customHeight="1" x14ac:dyDescent="0.3">
      <c r="A53" s="2">
        <v>15</v>
      </c>
      <c r="B53" s="2">
        <v>9989</v>
      </c>
      <c r="C53" s="60" t="s">
        <v>10673</v>
      </c>
      <c r="D53" s="1"/>
      <c r="E53" s="68"/>
      <c r="F53" s="70"/>
      <c r="G53" s="1"/>
      <c r="H53" s="68"/>
      <c r="I53" s="70"/>
      <c r="J53" s="74" t="s">
        <v>17054</v>
      </c>
      <c r="K53" s="62"/>
      <c r="L53" s="63"/>
      <c r="M53" s="85"/>
      <c r="N53" s="64"/>
      <c r="O53" s="65"/>
      <c r="P53" s="99"/>
      <c r="Q53" s="70"/>
      <c r="R53" s="99"/>
      <c r="S53" s="70"/>
      <c r="T53" s="67"/>
      <c r="U53" s="68" t="s">
        <v>1</v>
      </c>
      <c r="V53" s="76">
        <v>0.25</v>
      </c>
      <c r="W53" s="70" t="s">
        <v>422</v>
      </c>
      <c r="X53" s="67"/>
      <c r="Y53" s="68"/>
      <c r="Z53" s="76"/>
      <c r="AA53" s="70"/>
      <c r="AB53" s="228">
        <f>ROUND((ROUND((ROUND((ROUND((_15_同援日０．５*_15・基礎２),0)*(1+_15・A夜間)),0)*(1+_15・盲ろう)),0)*(1+_15・区４)),0)+ROUND((ROUND((ROUND((ROUND((_15_同援日０．５＿１．０*_15・基礎２),0)*(1+_15・B深夜)),0)*(1+_15・盲ろう)),0)*(1+_15・区４)),0)</f>
        <v>924</v>
      </c>
      <c r="AC53" s="69"/>
    </row>
    <row r="54" spans="1:29" ht="16.5" customHeight="1" x14ac:dyDescent="0.3">
      <c r="A54" s="2">
        <v>15</v>
      </c>
      <c r="B54" s="2">
        <v>9990</v>
      </c>
      <c r="C54" s="60" t="s">
        <v>10672</v>
      </c>
      <c r="D54" s="1"/>
      <c r="E54" s="68"/>
      <c r="F54" s="70"/>
      <c r="G54" s="81"/>
      <c r="H54" s="57"/>
      <c r="I54" s="77"/>
      <c r="J54" s="106" t="s">
        <v>16970</v>
      </c>
      <c r="K54" s="57" t="s">
        <v>1</v>
      </c>
      <c r="L54" s="58">
        <v>0.9</v>
      </c>
      <c r="M54" s="83" t="s">
        <v>5895</v>
      </c>
      <c r="N54" s="64" t="s">
        <v>1</v>
      </c>
      <c r="O54" s="65">
        <v>1</v>
      </c>
      <c r="P54" s="99"/>
      <c r="Q54" s="70"/>
      <c r="R54" s="99"/>
      <c r="S54" s="70"/>
      <c r="T54" s="66"/>
      <c r="U54" s="57"/>
      <c r="V54" s="58"/>
      <c r="W54" s="77"/>
      <c r="X54" s="66"/>
      <c r="Y54" s="57"/>
      <c r="Z54" s="58"/>
      <c r="AA54" s="77"/>
      <c r="AB54" s="228">
        <f>ROUND((ROUND((ROUND((ROUND((ROUND((_15_同援日０．５*_15・基礎２),0)*_15・２人),0)*(1+_15・A夜間)),0)*(1+_15・盲ろう)),0)*(1+_15・区４)),0)+ROUND((ROUND((ROUND((ROUND((ROUND((_15_同援日０．５＿１．０*_15・基礎２),0)*_15・２人),0)*(1+_15・B深夜)),0)*(1+_15・盲ろう)),0)*(1+_15・区４)),0)</f>
        <v>924</v>
      </c>
      <c r="AC54" s="69"/>
    </row>
    <row r="55" spans="1:29" ht="16.5" customHeight="1" x14ac:dyDescent="0.3">
      <c r="A55" s="2">
        <v>15</v>
      </c>
      <c r="B55" s="2">
        <v>9991</v>
      </c>
      <c r="C55" s="60" t="s">
        <v>10671</v>
      </c>
      <c r="D55" s="1"/>
      <c r="E55" s="68"/>
      <c r="F55" s="70"/>
      <c r="G55" s="233" t="s">
        <v>18090</v>
      </c>
      <c r="H55" s="62"/>
      <c r="I55" s="75"/>
      <c r="J55" s="61"/>
      <c r="K55" s="62"/>
      <c r="L55" s="63"/>
      <c r="M55" s="85"/>
      <c r="N55" s="64"/>
      <c r="O55" s="65"/>
      <c r="P55" s="99"/>
      <c r="Q55" s="70"/>
      <c r="R55" s="99"/>
      <c r="S55" s="70"/>
      <c r="T55" s="61"/>
      <c r="U55" s="62"/>
      <c r="V55" s="63"/>
      <c r="W55" s="75"/>
      <c r="X55" s="61"/>
      <c r="Y55" s="62"/>
      <c r="Z55" s="63"/>
      <c r="AA55" s="75"/>
      <c r="AB55" s="228">
        <f>ROUND((_15_同援日０．５*(1+_15・A夜間)),0)+ROUND((_15_同援日０．５＿１．５*(1+_15・B深夜)),0)</f>
        <v>682</v>
      </c>
      <c r="AC55" s="69"/>
    </row>
    <row r="56" spans="1:29" ht="16.5" customHeight="1" x14ac:dyDescent="0.3">
      <c r="A56" s="2">
        <v>15</v>
      </c>
      <c r="B56" s="2">
        <v>9992</v>
      </c>
      <c r="C56" s="60" t="s">
        <v>10670</v>
      </c>
      <c r="D56" s="1"/>
      <c r="E56" s="68"/>
      <c r="F56" s="70"/>
      <c r="G56" s="1" t="s">
        <v>16984</v>
      </c>
      <c r="H56" s="68"/>
      <c r="I56" s="70"/>
      <c r="J56" s="66"/>
      <c r="K56" s="57"/>
      <c r="L56" s="58"/>
      <c r="M56" s="83" t="s">
        <v>5895</v>
      </c>
      <c r="N56" s="64" t="s">
        <v>1</v>
      </c>
      <c r="O56" s="65">
        <v>1</v>
      </c>
      <c r="P56" s="99"/>
      <c r="Q56" s="70"/>
      <c r="R56" s="99"/>
      <c r="S56" s="70"/>
      <c r="T56" s="67"/>
      <c r="U56" s="68"/>
      <c r="V56" s="76"/>
      <c r="W56" s="70"/>
      <c r="X56" s="67"/>
      <c r="Y56" s="68"/>
      <c r="Z56" s="76"/>
      <c r="AA56" s="70"/>
      <c r="AB56" s="228">
        <f>ROUND((ROUND((_15_同援日０．５*_15・２人),0)*(1+_15・A夜間)),0)+ROUND((ROUND((_15_同援日０．５＿１．５*_15・２人),0)*(1+_15・B深夜)),0)</f>
        <v>682</v>
      </c>
      <c r="AC56" s="69"/>
    </row>
    <row r="57" spans="1:29" ht="16.5" customHeight="1" x14ac:dyDescent="0.3">
      <c r="A57" s="2">
        <v>15</v>
      </c>
      <c r="B57" s="2">
        <v>9993</v>
      </c>
      <c r="C57" s="60" t="s">
        <v>10669</v>
      </c>
      <c r="D57" s="1"/>
      <c r="E57" s="68"/>
      <c r="F57" s="70"/>
      <c r="G57" s="1" t="s">
        <v>8767</v>
      </c>
      <c r="H57" s="68"/>
      <c r="I57" s="70"/>
      <c r="J57" s="74" t="s">
        <v>17054</v>
      </c>
      <c r="K57" s="62"/>
      <c r="L57" s="63"/>
      <c r="M57" s="85"/>
      <c r="N57" s="64"/>
      <c r="O57" s="65"/>
      <c r="P57" s="99"/>
      <c r="Q57" s="70"/>
      <c r="R57" s="99"/>
      <c r="S57" s="70"/>
      <c r="T57" s="67"/>
      <c r="U57" s="68"/>
      <c r="V57" s="76"/>
      <c r="W57" s="70"/>
      <c r="X57" s="67"/>
      <c r="Y57" s="68"/>
      <c r="Z57" s="76"/>
      <c r="AA57" s="70"/>
      <c r="AB57" s="228">
        <f>ROUND((ROUND((_15_同援日０．５*_15・基礎２),0)*(1+_15・A夜間)),0)+ROUND((ROUND((_15_同援日０．５＿１．５*_15・基礎２),0)*(1+_15・B深夜)),0)</f>
        <v>615</v>
      </c>
      <c r="AC57" s="69"/>
    </row>
    <row r="58" spans="1:29" ht="16.5" customHeight="1" x14ac:dyDescent="0.3">
      <c r="A58" s="2">
        <v>15</v>
      </c>
      <c r="B58" s="2">
        <v>9994</v>
      </c>
      <c r="C58" s="60" t="s">
        <v>10668</v>
      </c>
      <c r="D58" s="1"/>
      <c r="E58" s="68"/>
      <c r="F58" s="70"/>
      <c r="G58" s="1"/>
      <c r="H58" s="227">
        <v>301</v>
      </c>
      <c r="I58" s="70" t="s">
        <v>0</v>
      </c>
      <c r="J58" s="106" t="s">
        <v>17053</v>
      </c>
      <c r="K58" s="57" t="s">
        <v>1</v>
      </c>
      <c r="L58" s="58">
        <v>0.9</v>
      </c>
      <c r="M58" s="83" t="s">
        <v>5895</v>
      </c>
      <c r="N58" s="64" t="s">
        <v>1</v>
      </c>
      <c r="O58" s="65">
        <v>1</v>
      </c>
      <c r="P58" s="99"/>
      <c r="Q58" s="70"/>
      <c r="R58" s="99"/>
      <c r="S58" s="70"/>
      <c r="T58" s="66"/>
      <c r="U58" s="57"/>
      <c r="V58" s="58"/>
      <c r="W58" s="77"/>
      <c r="X58" s="67"/>
      <c r="Y58" s="68"/>
      <c r="Z58" s="76"/>
      <c r="AA58" s="70"/>
      <c r="AB58" s="228">
        <f>ROUND((ROUND((ROUND((_15_同援日０．５*_15・基礎２),0)*_15・２人),0)*(1+_15・A夜間)),0)+ROUND((ROUND((ROUND((_15_同援日０．５＿１．５*_15・基礎２),0)*_15・２人),0)*(1+_15・B深夜)),0)</f>
        <v>615</v>
      </c>
      <c r="AC58" s="69"/>
    </row>
    <row r="59" spans="1:29" ht="16.5" customHeight="1" x14ac:dyDescent="0.3">
      <c r="A59" s="2">
        <v>15</v>
      </c>
      <c r="B59" s="2">
        <v>9995</v>
      </c>
      <c r="C59" s="60" t="s">
        <v>10667</v>
      </c>
      <c r="D59" s="1"/>
      <c r="E59" s="68"/>
      <c r="F59" s="70"/>
      <c r="G59" s="1"/>
      <c r="H59" s="68"/>
      <c r="I59" s="70"/>
      <c r="J59" s="61"/>
      <c r="K59" s="62"/>
      <c r="L59" s="63"/>
      <c r="M59" s="85"/>
      <c r="N59" s="64"/>
      <c r="O59" s="65"/>
      <c r="P59" s="99"/>
      <c r="Q59" s="70"/>
      <c r="R59" s="99"/>
      <c r="S59" s="70"/>
      <c r="T59" s="74" t="s">
        <v>18087</v>
      </c>
      <c r="U59" s="62"/>
      <c r="V59" s="63"/>
      <c r="W59" s="75"/>
      <c r="X59" s="67"/>
      <c r="Y59" s="68"/>
      <c r="Z59" s="76"/>
      <c r="AA59" s="70"/>
      <c r="AB59" s="228">
        <f>ROUND((ROUND((_15_同援日０．５*(1+_15・A夜間)),0)*(1+_15・盲ろう)),0)+ROUND((ROUND((_15_同援日０．５＿１．５*(1+_15・B深夜)),0)*(1+_15・盲ろう)),0)</f>
        <v>853</v>
      </c>
      <c r="AC59" s="69"/>
    </row>
    <row r="60" spans="1:29" ht="16.5" customHeight="1" x14ac:dyDescent="0.3">
      <c r="A60" s="2">
        <v>15</v>
      </c>
      <c r="B60" s="2">
        <v>9996</v>
      </c>
      <c r="C60" s="60" t="s">
        <v>10666</v>
      </c>
      <c r="D60" s="1"/>
      <c r="E60" s="68"/>
      <c r="F60" s="70"/>
      <c r="G60" s="1"/>
      <c r="H60" s="68"/>
      <c r="I60" s="70"/>
      <c r="J60" s="66"/>
      <c r="K60" s="57"/>
      <c r="L60" s="58"/>
      <c r="M60" s="83" t="s">
        <v>5895</v>
      </c>
      <c r="N60" s="64" t="s">
        <v>1</v>
      </c>
      <c r="O60" s="65">
        <v>1</v>
      </c>
      <c r="P60" s="99"/>
      <c r="Q60" s="70"/>
      <c r="R60" s="99"/>
      <c r="S60" s="70"/>
      <c r="T60" s="94" t="s">
        <v>18086</v>
      </c>
      <c r="U60" s="68"/>
      <c r="V60" s="76"/>
      <c r="W60" s="70"/>
      <c r="X60" s="67"/>
      <c r="Y60" s="68"/>
      <c r="Z60" s="76"/>
      <c r="AA60" s="70"/>
      <c r="AB60" s="228">
        <f>ROUND((ROUND((ROUND((_15_同援日０．５*_15・２人),0)*(1+_15・A夜間)),0)*(1+_15・盲ろう)),0)+ROUND((ROUND((ROUND((_15_同援日０．５＿１．５*_15・２人),0)*(1+_15・B深夜)),0)*(1+_15・盲ろう)),0)</f>
        <v>853</v>
      </c>
      <c r="AC60" s="69"/>
    </row>
    <row r="61" spans="1:29" ht="16.5" customHeight="1" x14ac:dyDescent="0.3">
      <c r="A61" s="2">
        <v>15</v>
      </c>
      <c r="B61" s="2">
        <v>9997</v>
      </c>
      <c r="C61" s="60" t="s">
        <v>10665</v>
      </c>
      <c r="D61" s="1"/>
      <c r="E61" s="68"/>
      <c r="F61" s="70"/>
      <c r="G61" s="1"/>
      <c r="H61" s="68"/>
      <c r="I61" s="70"/>
      <c r="J61" s="74" t="s">
        <v>16971</v>
      </c>
      <c r="K61" s="62"/>
      <c r="L61" s="63"/>
      <c r="M61" s="85"/>
      <c r="N61" s="64"/>
      <c r="O61" s="65"/>
      <c r="P61" s="99"/>
      <c r="Q61" s="70"/>
      <c r="R61" s="99"/>
      <c r="S61" s="70"/>
      <c r="T61" s="67"/>
      <c r="U61" s="68" t="s">
        <v>1</v>
      </c>
      <c r="V61" s="76">
        <v>0.25</v>
      </c>
      <c r="W61" s="70" t="s">
        <v>422</v>
      </c>
      <c r="X61" s="67"/>
      <c r="Y61" s="68"/>
      <c r="Z61" s="76"/>
      <c r="AA61" s="70"/>
      <c r="AB61" s="228">
        <f>ROUND((ROUND((ROUND((_15_同援日０．５*_15・基礎２),0)*(1+_15・A夜間)),0)*(1+_15・盲ろう)),0)+ROUND((ROUND((ROUND((_15_同援日０．５＿１．５*_15・基礎２),0)*(1+_15・B深夜)),0)*(1+_15・盲ろう)),0)</f>
        <v>769</v>
      </c>
      <c r="AC61" s="69"/>
    </row>
    <row r="62" spans="1:29" ht="16.5" customHeight="1" x14ac:dyDescent="0.3">
      <c r="A62" s="2">
        <v>15</v>
      </c>
      <c r="B62" s="2">
        <v>9998</v>
      </c>
      <c r="C62" s="60" t="s">
        <v>10664</v>
      </c>
      <c r="D62" s="1"/>
      <c r="E62" s="68"/>
      <c r="F62" s="70"/>
      <c r="G62" s="1"/>
      <c r="H62" s="68"/>
      <c r="I62" s="70"/>
      <c r="J62" s="106" t="s">
        <v>16970</v>
      </c>
      <c r="K62" s="57" t="s">
        <v>1</v>
      </c>
      <c r="L62" s="58">
        <v>0.9</v>
      </c>
      <c r="M62" s="83" t="s">
        <v>5895</v>
      </c>
      <c r="N62" s="64" t="s">
        <v>1</v>
      </c>
      <c r="O62" s="65">
        <v>1</v>
      </c>
      <c r="P62" s="99"/>
      <c r="Q62" s="70"/>
      <c r="R62" s="99"/>
      <c r="S62" s="70"/>
      <c r="T62" s="66"/>
      <c r="U62" s="57"/>
      <c r="V62" s="58"/>
      <c r="W62" s="77"/>
      <c r="X62" s="66"/>
      <c r="Y62" s="57"/>
      <c r="Z62" s="58"/>
      <c r="AA62" s="77"/>
      <c r="AB62" s="228">
        <f>ROUND((ROUND((ROUND((ROUND((_15_同援日０．５*_15・基礎２),0)*_15・２人),0)*(1+_15・A夜間)),0)*(1+_15・盲ろう)),0)+ROUND((ROUND((ROUND((ROUND((_15_同援日０．５＿１．５*_15・基礎２),0)*_15・２人),0)*(1+_15・B深夜)),0)*(1+_15・盲ろう)),0)</f>
        <v>769</v>
      </c>
      <c r="AC62" s="69"/>
    </row>
    <row r="63" spans="1:29" ht="16.5" customHeight="1" x14ac:dyDescent="0.3">
      <c r="A63" s="2">
        <v>15</v>
      </c>
      <c r="B63" s="2">
        <v>9999</v>
      </c>
      <c r="C63" s="60" t="s">
        <v>10663</v>
      </c>
      <c r="D63" s="1"/>
      <c r="E63" s="68"/>
      <c r="F63" s="70"/>
      <c r="G63" s="1"/>
      <c r="H63" s="68"/>
      <c r="I63" s="70"/>
      <c r="J63" s="61"/>
      <c r="K63" s="62"/>
      <c r="L63" s="63"/>
      <c r="M63" s="85"/>
      <c r="N63" s="64"/>
      <c r="O63" s="65"/>
      <c r="P63" s="99"/>
      <c r="Q63" s="70"/>
      <c r="R63" s="99"/>
      <c r="S63" s="70"/>
      <c r="T63" s="61"/>
      <c r="U63" s="62"/>
      <c r="V63" s="63"/>
      <c r="W63" s="75"/>
      <c r="X63" s="61"/>
      <c r="Y63" s="62"/>
      <c r="Z63" s="63"/>
      <c r="AA63" s="75"/>
      <c r="AB63" s="228">
        <f>ROUND((ROUND((_15_同援日０．５*(1+_15・A夜間)),0)*(1+_15・区３)),0)+ROUND((ROUND((_15_同援日０．５＿１．５*(1+_15・B深夜)),0)*(1+_15・区３)),0)</f>
        <v>818</v>
      </c>
      <c r="AC63" s="69"/>
    </row>
    <row r="64" spans="1:29" ht="16.5" customHeight="1" x14ac:dyDescent="0.3">
      <c r="A64" s="2">
        <v>15</v>
      </c>
      <c r="B64" s="2" t="s">
        <v>10662</v>
      </c>
      <c r="C64" s="60" t="s">
        <v>10661</v>
      </c>
      <c r="D64" s="1"/>
      <c r="E64" s="68"/>
      <c r="F64" s="70"/>
      <c r="G64" s="1"/>
      <c r="H64" s="68"/>
      <c r="I64" s="70"/>
      <c r="J64" s="66"/>
      <c r="K64" s="57"/>
      <c r="L64" s="58"/>
      <c r="M64" s="83" t="s">
        <v>5895</v>
      </c>
      <c r="N64" s="64" t="s">
        <v>1</v>
      </c>
      <c r="O64" s="65">
        <v>1</v>
      </c>
      <c r="P64" s="99"/>
      <c r="Q64" s="70"/>
      <c r="R64" s="99"/>
      <c r="S64" s="70"/>
      <c r="T64" s="67"/>
      <c r="U64" s="68"/>
      <c r="V64" s="76"/>
      <c r="W64" s="70"/>
      <c r="X64" s="67"/>
      <c r="Y64" s="68"/>
      <c r="Z64" s="76"/>
      <c r="AA64" s="70"/>
      <c r="AB64" s="228">
        <f>ROUND((ROUND((ROUND((_15_同援日０．５*_15・２人),0)*(1+_15・A夜間)),0)*(1+_15・区３)),0)+ROUND((ROUND((ROUND((_15_同援日０．５＿１．５*_15・２人),0)*(1+_15・B深夜)),0)*(1+_15・区３)),0)</f>
        <v>818</v>
      </c>
      <c r="AC64" s="69"/>
    </row>
    <row r="65" spans="1:29" ht="16.5" customHeight="1" x14ac:dyDescent="0.3">
      <c r="A65" s="2">
        <v>15</v>
      </c>
      <c r="B65" s="2" t="s">
        <v>2</v>
      </c>
      <c r="C65" s="60" t="s">
        <v>10660</v>
      </c>
      <c r="D65" s="1"/>
      <c r="E65" s="68"/>
      <c r="F65" s="70"/>
      <c r="G65" s="1"/>
      <c r="H65" s="68"/>
      <c r="I65" s="70"/>
      <c r="J65" s="74" t="s">
        <v>17054</v>
      </c>
      <c r="K65" s="62"/>
      <c r="L65" s="63"/>
      <c r="M65" s="85"/>
      <c r="N65" s="64"/>
      <c r="O65" s="65"/>
      <c r="P65" s="99"/>
      <c r="Q65" s="70"/>
      <c r="R65" s="99"/>
      <c r="S65" s="70"/>
      <c r="T65" s="67"/>
      <c r="U65" s="68"/>
      <c r="V65" s="76"/>
      <c r="W65" s="70"/>
      <c r="X65" s="1" t="s">
        <v>18028</v>
      </c>
      <c r="Y65" s="68"/>
      <c r="Z65" s="76"/>
      <c r="AA65" s="70"/>
      <c r="AB65" s="228">
        <f>ROUND((ROUND((ROUND((_15_同援日０．５*_15・基礎２),0)*(1+_15・A夜間)),0)*(1+_15・区３)),0)+ROUND((ROUND((ROUND((_15_同援日０．５＿１．５*_15・基礎２),0)*(1+_15・B深夜)),0)*(1+_15・区３)),0)</f>
        <v>738</v>
      </c>
      <c r="AC65" s="69"/>
    </row>
    <row r="66" spans="1:29" ht="16.5" customHeight="1" x14ac:dyDescent="0.3">
      <c r="A66" s="2">
        <v>15</v>
      </c>
      <c r="B66" s="2" t="s">
        <v>3</v>
      </c>
      <c r="C66" s="60" t="s">
        <v>10659</v>
      </c>
      <c r="D66" s="1"/>
      <c r="E66" s="68"/>
      <c r="F66" s="70"/>
      <c r="G66" s="1"/>
      <c r="H66" s="68"/>
      <c r="I66" s="70"/>
      <c r="J66" s="106" t="s">
        <v>17053</v>
      </c>
      <c r="K66" s="57" t="s">
        <v>1</v>
      </c>
      <c r="L66" s="58">
        <v>0.9</v>
      </c>
      <c r="M66" s="83" t="s">
        <v>5895</v>
      </c>
      <c r="N66" s="64" t="s">
        <v>1</v>
      </c>
      <c r="O66" s="65">
        <v>1</v>
      </c>
      <c r="P66" s="99"/>
      <c r="Q66" s="70"/>
      <c r="R66" s="99"/>
      <c r="S66" s="70"/>
      <c r="T66" s="66"/>
      <c r="U66" s="57"/>
      <c r="V66" s="58"/>
      <c r="W66" s="77"/>
      <c r="X66" s="1" t="s">
        <v>18026</v>
      </c>
      <c r="Y66" s="68"/>
      <c r="Z66" s="76"/>
      <c r="AA66" s="70"/>
      <c r="AB66" s="228">
        <f>ROUND((ROUND((ROUND((ROUND((_15_同援日０．５*_15・基礎２),0)*_15・２人),0)*(1+_15・A夜間)),0)*(1+_15・区３)),0)+ROUND((ROUND((ROUND((ROUND((_15_同援日０．５＿１．５*_15・基礎２),0)*_15・２人),0)*(1+_15・B深夜)),0)*(1+_15・区３)),0)</f>
        <v>738</v>
      </c>
      <c r="AC66" s="69"/>
    </row>
    <row r="67" spans="1:29" ht="16.5" customHeight="1" x14ac:dyDescent="0.3">
      <c r="A67" s="2">
        <v>15</v>
      </c>
      <c r="B67" s="2" t="s">
        <v>4</v>
      </c>
      <c r="C67" s="60" t="s">
        <v>10658</v>
      </c>
      <c r="D67" s="1"/>
      <c r="E67" s="68"/>
      <c r="F67" s="70"/>
      <c r="G67" s="1"/>
      <c r="H67" s="68"/>
      <c r="I67" s="70"/>
      <c r="J67" s="61"/>
      <c r="K67" s="62"/>
      <c r="L67" s="63"/>
      <c r="M67" s="85"/>
      <c r="N67" s="64"/>
      <c r="O67" s="65"/>
      <c r="P67" s="99"/>
      <c r="Q67" s="70"/>
      <c r="R67" s="99"/>
      <c r="S67" s="70"/>
      <c r="T67" s="74" t="s">
        <v>18025</v>
      </c>
      <c r="U67" s="62"/>
      <c r="V67" s="63"/>
      <c r="W67" s="75"/>
      <c r="X67" s="67"/>
      <c r="Y67" s="68" t="s">
        <v>1</v>
      </c>
      <c r="Z67" s="76">
        <v>0.2</v>
      </c>
      <c r="AA67" s="70" t="s">
        <v>422</v>
      </c>
      <c r="AB67" s="228">
        <f>ROUND((ROUND((ROUND((_15_同援日０．５*(1+_15・A夜間)),0)*(1+_15・盲ろう)),0)*(1+_15・区３)),0)+ROUND((ROUND((ROUND((_15_同援日０．５＿１．５*(1+_15・B深夜)),0)*(1+_15・盲ろう)),0)*(1+_15・区３)),0)</f>
        <v>1024</v>
      </c>
      <c r="AC67" s="69"/>
    </row>
    <row r="68" spans="1:29" ht="16.5" customHeight="1" x14ac:dyDescent="0.3">
      <c r="A68" s="2">
        <v>15</v>
      </c>
      <c r="B68" s="2" t="s">
        <v>5</v>
      </c>
      <c r="C68" s="60" t="s">
        <v>10657</v>
      </c>
      <c r="D68" s="1"/>
      <c r="E68" s="68"/>
      <c r="F68" s="70"/>
      <c r="G68" s="1"/>
      <c r="H68" s="68"/>
      <c r="I68" s="70"/>
      <c r="J68" s="66"/>
      <c r="K68" s="57"/>
      <c r="L68" s="58"/>
      <c r="M68" s="83" t="s">
        <v>5895</v>
      </c>
      <c r="N68" s="64" t="s">
        <v>1</v>
      </c>
      <c r="O68" s="65">
        <v>1</v>
      </c>
      <c r="P68" s="99"/>
      <c r="Q68" s="70"/>
      <c r="R68" s="99"/>
      <c r="S68" s="70"/>
      <c r="T68" s="94" t="s">
        <v>18086</v>
      </c>
      <c r="U68" s="68"/>
      <c r="V68" s="76"/>
      <c r="W68" s="70"/>
      <c r="X68" s="67"/>
      <c r="Y68" s="68"/>
      <c r="Z68" s="76"/>
      <c r="AA68" s="70"/>
      <c r="AB68" s="228">
        <f>ROUND((ROUND((ROUND((ROUND((_15_同援日０．５*_15・２人),0)*(1+_15・A夜間)),0)*(1+_15・盲ろう)),0)*(1+_15・区３)),0)+ROUND((ROUND((ROUND((ROUND((_15_同援日０．５＿１．５*_15・２人),0)*(1+_15・B深夜)),0)*(1+_15・盲ろう)),0)*(1+_15・区３)),0)</f>
        <v>1024</v>
      </c>
      <c r="AC68" s="69"/>
    </row>
    <row r="69" spans="1:29" ht="16.5" customHeight="1" x14ac:dyDescent="0.3">
      <c r="A69" s="2">
        <v>15</v>
      </c>
      <c r="B69" s="2" t="s">
        <v>6</v>
      </c>
      <c r="C69" s="60" t="s">
        <v>10656</v>
      </c>
      <c r="D69" s="1"/>
      <c r="E69" s="68"/>
      <c r="F69" s="70"/>
      <c r="G69" s="1"/>
      <c r="H69" s="68"/>
      <c r="I69" s="70"/>
      <c r="J69" s="74" t="s">
        <v>16971</v>
      </c>
      <c r="K69" s="62"/>
      <c r="L69" s="63"/>
      <c r="M69" s="85"/>
      <c r="N69" s="64"/>
      <c r="O69" s="65"/>
      <c r="P69" s="99"/>
      <c r="Q69" s="70"/>
      <c r="R69" s="99"/>
      <c r="S69" s="70"/>
      <c r="T69" s="67"/>
      <c r="U69" s="68" t="s">
        <v>1</v>
      </c>
      <c r="V69" s="76">
        <v>0.25</v>
      </c>
      <c r="W69" s="70" t="s">
        <v>422</v>
      </c>
      <c r="X69" s="67"/>
      <c r="Y69" s="68"/>
      <c r="Z69" s="76"/>
      <c r="AA69" s="70"/>
      <c r="AB69" s="228">
        <f>ROUND((ROUND((ROUND((ROUND((_15_同援日０．５*_15・基礎２),0)*(1+_15・A夜間)),0)*(1+_15・盲ろう)),0)*(1+_15・区３)),0)+ROUND((ROUND((ROUND((ROUND((_15_同援日０．５＿１．５*_15・基礎２),0)*(1+_15・B深夜)),0)*(1+_15・盲ろう)),0)*(1+_15・区３)),0)</f>
        <v>923</v>
      </c>
      <c r="AC69" s="69"/>
    </row>
    <row r="70" spans="1:29" ht="16.5" customHeight="1" x14ac:dyDescent="0.3">
      <c r="A70" s="2">
        <v>15</v>
      </c>
      <c r="B70" s="2" t="s">
        <v>7</v>
      </c>
      <c r="C70" s="60" t="s">
        <v>10655</v>
      </c>
      <c r="D70" s="1"/>
      <c r="E70" s="68"/>
      <c r="F70" s="70"/>
      <c r="G70" s="1"/>
      <c r="H70" s="68"/>
      <c r="I70" s="70"/>
      <c r="J70" s="106" t="s">
        <v>16970</v>
      </c>
      <c r="K70" s="57" t="s">
        <v>1</v>
      </c>
      <c r="L70" s="58">
        <v>0.9</v>
      </c>
      <c r="M70" s="83" t="s">
        <v>5895</v>
      </c>
      <c r="N70" s="64" t="s">
        <v>1</v>
      </c>
      <c r="O70" s="65">
        <v>1</v>
      </c>
      <c r="P70" s="99"/>
      <c r="Q70" s="70"/>
      <c r="R70" s="99"/>
      <c r="S70" s="70"/>
      <c r="T70" s="66"/>
      <c r="U70" s="57"/>
      <c r="V70" s="58"/>
      <c r="W70" s="77"/>
      <c r="X70" s="66"/>
      <c r="Y70" s="57"/>
      <c r="Z70" s="58"/>
      <c r="AA70" s="77"/>
      <c r="AB70" s="228">
        <f>ROUND((ROUND((ROUND((ROUND((ROUND((_15_同援日０．５*_15・基礎２),0)*_15・２人),0)*(1+_15・A夜間)),0)*(1+_15・盲ろう)),0)*(1+_15・区３)),0)+ROUND((ROUND((ROUND((ROUND((ROUND((_15_同援日０．５＿１．５*_15・基礎２),0)*_15・２人),0)*(1+_15・B深夜)),0)*(1+_15・盲ろう)),0)*(1+_15・区３)),0)</f>
        <v>923</v>
      </c>
      <c r="AC70" s="69"/>
    </row>
    <row r="71" spans="1:29" ht="16.5" customHeight="1" x14ac:dyDescent="0.3">
      <c r="A71" s="2">
        <v>15</v>
      </c>
      <c r="B71" s="2" t="s">
        <v>8</v>
      </c>
      <c r="C71" s="60" t="s">
        <v>10654</v>
      </c>
      <c r="D71" s="1"/>
      <c r="E71" s="68"/>
      <c r="F71" s="70"/>
      <c r="G71" s="1"/>
      <c r="H71" s="68"/>
      <c r="I71" s="70"/>
      <c r="J71" s="61"/>
      <c r="K71" s="62"/>
      <c r="L71" s="63"/>
      <c r="M71" s="85"/>
      <c r="N71" s="64"/>
      <c r="O71" s="65"/>
      <c r="P71" s="99"/>
      <c r="Q71" s="70"/>
      <c r="R71" s="99"/>
      <c r="S71" s="70"/>
      <c r="T71" s="61"/>
      <c r="U71" s="62"/>
      <c r="V71" s="63"/>
      <c r="W71" s="75"/>
      <c r="X71" s="61"/>
      <c r="Y71" s="62"/>
      <c r="Z71" s="63"/>
      <c r="AA71" s="75"/>
      <c r="AB71" s="228">
        <f>ROUND((ROUND((_15_同援日０．５*(1+_15・A夜間)),0)*(1+_15・区４)),0)+ROUND((ROUND((_15_同援日０．５＿１．５*(1+_15・B深夜)),0)*(1+_15・区４)),0)</f>
        <v>955</v>
      </c>
      <c r="AC71" s="69"/>
    </row>
    <row r="72" spans="1:29" ht="16.5" customHeight="1" x14ac:dyDescent="0.3">
      <c r="A72" s="2">
        <v>15</v>
      </c>
      <c r="B72" s="2" t="s">
        <v>9</v>
      </c>
      <c r="C72" s="60" t="s">
        <v>10653</v>
      </c>
      <c r="D72" s="1"/>
      <c r="E72" s="68"/>
      <c r="F72" s="70"/>
      <c r="G72" s="1"/>
      <c r="H72" s="68"/>
      <c r="I72" s="70"/>
      <c r="J72" s="66"/>
      <c r="K72" s="57"/>
      <c r="L72" s="58"/>
      <c r="M72" s="83" t="s">
        <v>5895</v>
      </c>
      <c r="N72" s="64" t="s">
        <v>1</v>
      </c>
      <c r="O72" s="65">
        <v>1</v>
      </c>
      <c r="P72" s="99"/>
      <c r="Q72" s="70"/>
      <c r="R72" s="99"/>
      <c r="S72" s="70"/>
      <c r="T72" s="67"/>
      <c r="U72" s="68"/>
      <c r="V72" s="76"/>
      <c r="W72" s="70"/>
      <c r="X72" s="67"/>
      <c r="Y72" s="68"/>
      <c r="Z72" s="76"/>
      <c r="AA72" s="70"/>
      <c r="AB72" s="228">
        <f>ROUND((ROUND((ROUND((_15_同援日０．５*_15・２人),0)*(1+_15・A夜間)),0)*(1+_15・区４)),0)+ROUND((ROUND((ROUND((_15_同援日０．５＿１．５*_15・２人),0)*(1+_15・B深夜)),0)*(1+_15・区４)),0)</f>
        <v>955</v>
      </c>
      <c r="AC72" s="69"/>
    </row>
    <row r="73" spans="1:29" ht="16.5" customHeight="1" x14ac:dyDescent="0.3">
      <c r="A73" s="2">
        <v>15</v>
      </c>
      <c r="B73" s="2" t="s">
        <v>10</v>
      </c>
      <c r="C73" s="60" t="s">
        <v>10652</v>
      </c>
      <c r="D73" s="1"/>
      <c r="E73" s="68"/>
      <c r="F73" s="70"/>
      <c r="G73" s="1"/>
      <c r="H73" s="68"/>
      <c r="I73" s="70"/>
      <c r="J73" s="74" t="s">
        <v>17054</v>
      </c>
      <c r="K73" s="62"/>
      <c r="L73" s="63"/>
      <c r="M73" s="85"/>
      <c r="N73" s="64"/>
      <c r="O73" s="65"/>
      <c r="P73" s="99"/>
      <c r="Q73" s="70"/>
      <c r="R73" s="99"/>
      <c r="S73" s="70"/>
      <c r="T73" s="67"/>
      <c r="U73" s="68"/>
      <c r="V73" s="76"/>
      <c r="W73" s="70"/>
      <c r="X73" s="1" t="s">
        <v>18027</v>
      </c>
      <c r="Y73" s="68"/>
      <c r="Z73" s="76"/>
      <c r="AA73" s="70"/>
      <c r="AB73" s="228">
        <f>ROUND((ROUND((ROUND((_15_同援日０．５*_15・基礎２),0)*(1+_15・A夜間)),0)*(1+_15・区４)),0)+ROUND((ROUND((ROUND((_15_同援日０．５＿１．５*_15・基礎２),0)*(1+_15・B深夜)),0)*(1+_15・区４)),0)</f>
        <v>861</v>
      </c>
      <c r="AC73" s="69"/>
    </row>
    <row r="74" spans="1:29" ht="16.5" customHeight="1" x14ac:dyDescent="0.3">
      <c r="A74" s="2">
        <v>15</v>
      </c>
      <c r="B74" s="2" t="s">
        <v>11</v>
      </c>
      <c r="C74" s="60" t="s">
        <v>10651</v>
      </c>
      <c r="D74" s="1"/>
      <c r="E74" s="68"/>
      <c r="F74" s="70"/>
      <c r="G74" s="1"/>
      <c r="H74" s="68"/>
      <c r="I74" s="70"/>
      <c r="J74" s="106" t="s">
        <v>17053</v>
      </c>
      <c r="K74" s="57" t="s">
        <v>1</v>
      </c>
      <c r="L74" s="58">
        <v>0.9</v>
      </c>
      <c r="M74" s="83" t="s">
        <v>5895</v>
      </c>
      <c r="N74" s="64" t="s">
        <v>1</v>
      </c>
      <c r="O74" s="65">
        <v>1</v>
      </c>
      <c r="P74" s="99"/>
      <c r="Q74" s="70"/>
      <c r="R74" s="99"/>
      <c r="S74" s="70"/>
      <c r="T74" s="66"/>
      <c r="U74" s="57"/>
      <c r="V74" s="58"/>
      <c r="W74" s="77"/>
      <c r="X74" s="1" t="s">
        <v>18026</v>
      </c>
      <c r="Y74" s="68"/>
      <c r="Z74" s="76"/>
      <c r="AA74" s="70"/>
      <c r="AB74" s="228">
        <f>ROUND((ROUND((ROUND((ROUND((_15_同援日０．５*_15・基礎２),0)*_15・２人),0)*(1+_15・A夜間)),0)*(1+_15・区４)),0)+ROUND((ROUND((ROUND((ROUND((_15_同援日０．５＿１．５*_15・基礎２),0)*_15・２人),0)*(1+_15・B深夜)),0)*(1+_15・区４)),0)</f>
        <v>861</v>
      </c>
      <c r="AC74" s="69"/>
    </row>
    <row r="75" spans="1:29" ht="16.5" customHeight="1" x14ac:dyDescent="0.3">
      <c r="A75" s="2">
        <v>15</v>
      </c>
      <c r="B75" s="2" t="s">
        <v>12</v>
      </c>
      <c r="C75" s="60" t="s">
        <v>10650</v>
      </c>
      <c r="D75" s="1"/>
      <c r="E75" s="68"/>
      <c r="F75" s="70"/>
      <c r="G75" s="1"/>
      <c r="H75" s="68"/>
      <c r="I75" s="70"/>
      <c r="J75" s="61"/>
      <c r="K75" s="62"/>
      <c r="L75" s="63"/>
      <c r="M75" s="85"/>
      <c r="N75" s="64"/>
      <c r="O75" s="65"/>
      <c r="P75" s="99"/>
      <c r="Q75" s="70"/>
      <c r="R75" s="99"/>
      <c r="S75" s="70"/>
      <c r="T75" s="74" t="s">
        <v>18087</v>
      </c>
      <c r="U75" s="62"/>
      <c r="V75" s="63"/>
      <c r="W75" s="75"/>
      <c r="X75" s="67"/>
      <c r="Y75" s="68" t="s">
        <v>1</v>
      </c>
      <c r="Z75" s="76">
        <v>0.4</v>
      </c>
      <c r="AA75" s="70" t="s">
        <v>422</v>
      </c>
      <c r="AB75" s="228">
        <f>ROUND((ROUND((ROUND((_15_同援日０．５*(1+_15・A夜間)),0)*(1+_15・盲ろう)),0)*(1+_15・区４)),0)+ROUND((ROUND((ROUND((_15_同援日０．５＿１．５*(1+_15・B深夜)),0)*(1+_15・盲ろう)),0)*(1+_15・区４)),0)</f>
        <v>1194</v>
      </c>
      <c r="AC75" s="69"/>
    </row>
    <row r="76" spans="1:29" ht="16.5" customHeight="1" x14ac:dyDescent="0.3">
      <c r="A76" s="2">
        <v>15</v>
      </c>
      <c r="B76" s="2" t="s">
        <v>13</v>
      </c>
      <c r="C76" s="60" t="s">
        <v>10649</v>
      </c>
      <c r="D76" s="1"/>
      <c r="E76" s="68"/>
      <c r="F76" s="70"/>
      <c r="G76" s="1"/>
      <c r="H76" s="68"/>
      <c r="I76" s="70"/>
      <c r="J76" s="66"/>
      <c r="K76" s="57"/>
      <c r="L76" s="58"/>
      <c r="M76" s="83" t="s">
        <v>5895</v>
      </c>
      <c r="N76" s="64" t="s">
        <v>1</v>
      </c>
      <c r="O76" s="65">
        <v>1</v>
      </c>
      <c r="P76" s="99"/>
      <c r="Q76" s="70"/>
      <c r="R76" s="99"/>
      <c r="S76" s="70"/>
      <c r="T76" s="94" t="s">
        <v>18024</v>
      </c>
      <c r="U76" s="68"/>
      <c r="V76" s="76"/>
      <c r="W76" s="70"/>
      <c r="X76" s="67"/>
      <c r="Y76" s="68"/>
      <c r="Z76" s="76"/>
      <c r="AA76" s="70"/>
      <c r="AB76" s="228">
        <f>ROUND((ROUND((ROUND((ROUND((_15_同援日０．５*_15・２人),0)*(1+_15・A夜間)),0)*(1+_15・盲ろう)),0)*(1+_15・区４)),0)+ROUND((ROUND((ROUND((ROUND((_15_同援日０．５＿１．５*_15・２人),0)*(1+_15・B深夜)),0)*(1+_15・盲ろう)),0)*(1+_15・区４)),0)</f>
        <v>1194</v>
      </c>
      <c r="AC76" s="69"/>
    </row>
    <row r="77" spans="1:29" ht="16.5" customHeight="1" x14ac:dyDescent="0.3">
      <c r="A77" s="2">
        <v>15</v>
      </c>
      <c r="B77" s="2" t="s">
        <v>14</v>
      </c>
      <c r="C77" s="60" t="s">
        <v>10648</v>
      </c>
      <c r="D77" s="1"/>
      <c r="E77" s="68"/>
      <c r="F77" s="70"/>
      <c r="G77" s="1"/>
      <c r="H77" s="68"/>
      <c r="I77" s="70"/>
      <c r="J77" s="74" t="s">
        <v>17054</v>
      </c>
      <c r="K77" s="62"/>
      <c r="L77" s="63"/>
      <c r="M77" s="85"/>
      <c r="N77" s="64"/>
      <c r="O77" s="65"/>
      <c r="P77" s="99"/>
      <c r="Q77" s="70"/>
      <c r="R77" s="99"/>
      <c r="S77" s="70"/>
      <c r="T77" s="67"/>
      <c r="U77" s="68" t="s">
        <v>1</v>
      </c>
      <c r="V77" s="76">
        <v>0.25</v>
      </c>
      <c r="W77" s="70" t="s">
        <v>422</v>
      </c>
      <c r="X77" s="67"/>
      <c r="Y77" s="68"/>
      <c r="Z77" s="76"/>
      <c r="AA77" s="70"/>
      <c r="AB77" s="228">
        <f>ROUND((ROUND((ROUND((ROUND((_15_同援日０．５*_15・基礎２),0)*(1+_15・A夜間)),0)*(1+_15・盲ろう)),0)*(1+_15・区４)),0)+ROUND((ROUND((ROUND((ROUND((_15_同援日０．５＿１．５*_15・基礎２),0)*(1+_15・B深夜)),0)*(1+_15・盲ろう)),0)*(1+_15・区４)),0)</f>
        <v>1077</v>
      </c>
      <c r="AC77" s="69"/>
    </row>
    <row r="78" spans="1:29" ht="16.5" customHeight="1" x14ac:dyDescent="0.3">
      <c r="A78" s="2">
        <v>15</v>
      </c>
      <c r="B78" s="2" t="s">
        <v>15</v>
      </c>
      <c r="C78" s="60" t="s">
        <v>10647</v>
      </c>
      <c r="D78" s="1"/>
      <c r="E78" s="68"/>
      <c r="F78" s="70"/>
      <c r="G78" s="81"/>
      <c r="H78" s="57"/>
      <c r="I78" s="77"/>
      <c r="J78" s="106" t="s">
        <v>16970</v>
      </c>
      <c r="K78" s="57" t="s">
        <v>1</v>
      </c>
      <c r="L78" s="58">
        <v>0.9</v>
      </c>
      <c r="M78" s="83" t="s">
        <v>5895</v>
      </c>
      <c r="N78" s="64" t="s">
        <v>1</v>
      </c>
      <c r="O78" s="65">
        <v>1</v>
      </c>
      <c r="P78" s="99"/>
      <c r="Q78" s="70"/>
      <c r="R78" s="99"/>
      <c r="S78" s="70"/>
      <c r="T78" s="66"/>
      <c r="U78" s="57"/>
      <c r="V78" s="58"/>
      <c r="W78" s="77"/>
      <c r="X78" s="66"/>
      <c r="Y78" s="57"/>
      <c r="Z78" s="58"/>
      <c r="AA78" s="77"/>
      <c r="AB78" s="228">
        <f>ROUND((ROUND((ROUND((ROUND((ROUND((_15_同援日０．５*_15・基礎２),0)*_15・２人),0)*(1+_15・A夜間)),0)*(1+_15・盲ろう)),0)*(1+_15・区４)),0)+ROUND((ROUND((ROUND((ROUND((ROUND((_15_同援日０．５＿１．５*_15・基礎２),0)*_15・２人),0)*(1+_15・B深夜)),0)*(1+_15・盲ろう)),0)*(1+_15・区４)),0)</f>
        <v>1077</v>
      </c>
      <c r="AC78" s="69"/>
    </row>
    <row r="79" spans="1:29" ht="16.5" customHeight="1" x14ac:dyDescent="0.3">
      <c r="A79" s="2">
        <v>15</v>
      </c>
      <c r="B79" s="2" t="s">
        <v>16</v>
      </c>
      <c r="C79" s="60" t="s">
        <v>10646</v>
      </c>
      <c r="D79" s="1"/>
      <c r="E79" s="68"/>
      <c r="F79" s="70"/>
      <c r="G79" s="233" t="s">
        <v>18092</v>
      </c>
      <c r="H79" s="62"/>
      <c r="I79" s="75"/>
      <c r="J79" s="61"/>
      <c r="K79" s="62"/>
      <c r="L79" s="63"/>
      <c r="M79" s="85"/>
      <c r="N79" s="64"/>
      <c r="O79" s="65"/>
      <c r="P79" s="99"/>
      <c r="Q79" s="70"/>
      <c r="R79" s="99"/>
      <c r="S79" s="70"/>
      <c r="T79" s="61"/>
      <c r="U79" s="62"/>
      <c r="V79" s="63"/>
      <c r="W79" s="75"/>
      <c r="X79" s="61"/>
      <c r="Y79" s="62"/>
      <c r="Z79" s="63"/>
      <c r="AA79" s="75"/>
      <c r="AB79" s="228">
        <f>ROUND((_15_同援日０．５*(1+_15・A夜間)),0)+ROUND((_15_同援日０．５＿２．０*(1+_15・B深夜)),0)</f>
        <v>776</v>
      </c>
      <c r="AC79" s="69"/>
    </row>
    <row r="80" spans="1:29" ht="16.5" customHeight="1" x14ac:dyDescent="0.3">
      <c r="A80" s="2">
        <v>15</v>
      </c>
      <c r="B80" s="2" t="s">
        <v>17</v>
      </c>
      <c r="C80" s="60" t="s">
        <v>10645</v>
      </c>
      <c r="D80" s="1"/>
      <c r="E80" s="68"/>
      <c r="F80" s="70"/>
      <c r="G80" s="1" t="s">
        <v>17063</v>
      </c>
      <c r="H80" s="68"/>
      <c r="I80" s="70"/>
      <c r="J80" s="66"/>
      <c r="K80" s="57"/>
      <c r="L80" s="58"/>
      <c r="M80" s="83" t="s">
        <v>5895</v>
      </c>
      <c r="N80" s="64" t="s">
        <v>1</v>
      </c>
      <c r="O80" s="65">
        <v>1</v>
      </c>
      <c r="P80" s="99"/>
      <c r="Q80" s="70"/>
      <c r="R80" s="99"/>
      <c r="S80" s="70"/>
      <c r="T80" s="67"/>
      <c r="U80" s="68"/>
      <c r="V80" s="76"/>
      <c r="W80" s="70"/>
      <c r="X80" s="67"/>
      <c r="Y80" s="68"/>
      <c r="Z80" s="76"/>
      <c r="AA80" s="70"/>
      <c r="AB80" s="228">
        <f>ROUND((ROUND((_15_同援日０．５*_15・２人),0)*(1+_15・A夜間)),0)+ROUND((ROUND((_15_同援日０．５＿２．０*_15・２人),0)*(1+_15・B深夜)),0)</f>
        <v>776</v>
      </c>
      <c r="AC80" s="69"/>
    </row>
    <row r="81" spans="1:29" ht="16.5" customHeight="1" x14ac:dyDescent="0.3">
      <c r="A81" s="2">
        <v>15</v>
      </c>
      <c r="B81" s="2" t="s">
        <v>18</v>
      </c>
      <c r="C81" s="60" t="s">
        <v>10644</v>
      </c>
      <c r="D81" s="1"/>
      <c r="E81" s="68"/>
      <c r="F81" s="70"/>
      <c r="G81" s="1" t="s">
        <v>6448</v>
      </c>
      <c r="H81" s="68"/>
      <c r="I81" s="70"/>
      <c r="J81" s="74" t="s">
        <v>16971</v>
      </c>
      <c r="K81" s="62"/>
      <c r="L81" s="63"/>
      <c r="M81" s="85"/>
      <c r="N81" s="64"/>
      <c r="O81" s="65"/>
      <c r="P81" s="99"/>
      <c r="Q81" s="70"/>
      <c r="R81" s="99"/>
      <c r="S81" s="70"/>
      <c r="T81" s="67"/>
      <c r="U81" s="68"/>
      <c r="V81" s="76"/>
      <c r="W81" s="70"/>
      <c r="X81" s="67"/>
      <c r="Y81" s="68"/>
      <c r="Z81" s="76"/>
      <c r="AA81" s="70"/>
      <c r="AB81" s="228">
        <f>ROUND((ROUND((_15_同援日０．５*_15・基礎２),0)*(1+_15・A夜間)),0)+ROUND((ROUND((_15_同援日０．５＿２．０*_15・基礎２),0)*(1+_15・B深夜)),0)</f>
        <v>700</v>
      </c>
      <c r="AC81" s="69"/>
    </row>
    <row r="82" spans="1:29" ht="16.5" customHeight="1" x14ac:dyDescent="0.3">
      <c r="A82" s="2">
        <v>15</v>
      </c>
      <c r="B82" s="2" t="s">
        <v>19</v>
      </c>
      <c r="C82" s="60" t="s">
        <v>10643</v>
      </c>
      <c r="D82" s="1"/>
      <c r="E82" s="68"/>
      <c r="F82" s="70"/>
      <c r="G82" s="1"/>
      <c r="H82" s="227">
        <v>364</v>
      </c>
      <c r="I82" s="70" t="s">
        <v>0</v>
      </c>
      <c r="J82" s="106" t="s">
        <v>17053</v>
      </c>
      <c r="K82" s="57" t="s">
        <v>1</v>
      </c>
      <c r="L82" s="58">
        <v>0.9</v>
      </c>
      <c r="M82" s="83" t="s">
        <v>5895</v>
      </c>
      <c r="N82" s="64" t="s">
        <v>1</v>
      </c>
      <c r="O82" s="65">
        <v>1</v>
      </c>
      <c r="P82" s="99"/>
      <c r="Q82" s="70"/>
      <c r="R82" s="99"/>
      <c r="S82" s="70"/>
      <c r="T82" s="66"/>
      <c r="U82" s="57"/>
      <c r="V82" s="58"/>
      <c r="W82" s="77"/>
      <c r="X82" s="67"/>
      <c r="Y82" s="68"/>
      <c r="Z82" s="76"/>
      <c r="AA82" s="70"/>
      <c r="AB82" s="228">
        <f>ROUND((ROUND((ROUND((_15_同援日０．５*_15・基礎２),0)*_15・２人),0)*(1+_15・A夜間)),0)+ROUND((ROUND((ROUND((_15_同援日０．５＿２．０*_15・基礎２),0)*_15・２人),0)*(1+_15・B深夜)),0)</f>
        <v>700</v>
      </c>
      <c r="AC82" s="69"/>
    </row>
    <row r="83" spans="1:29" ht="16.5" customHeight="1" x14ac:dyDescent="0.3">
      <c r="A83" s="2">
        <v>15</v>
      </c>
      <c r="B83" s="2" t="s">
        <v>20</v>
      </c>
      <c r="C83" s="60" t="s">
        <v>10642</v>
      </c>
      <c r="D83" s="1"/>
      <c r="E83" s="68"/>
      <c r="F83" s="70"/>
      <c r="G83" s="1"/>
      <c r="H83" s="68"/>
      <c r="I83" s="70"/>
      <c r="J83" s="61"/>
      <c r="K83" s="62"/>
      <c r="L83" s="63"/>
      <c r="M83" s="85"/>
      <c r="N83" s="64"/>
      <c r="O83" s="65"/>
      <c r="P83" s="99"/>
      <c r="Q83" s="70"/>
      <c r="R83" s="99"/>
      <c r="S83" s="70"/>
      <c r="T83" s="74" t="s">
        <v>18025</v>
      </c>
      <c r="U83" s="62"/>
      <c r="V83" s="63"/>
      <c r="W83" s="75"/>
      <c r="X83" s="67"/>
      <c r="Y83" s="68"/>
      <c r="Z83" s="76"/>
      <c r="AA83" s="70"/>
      <c r="AB83" s="228">
        <f>ROUND((ROUND((_15_同援日０．５*(1+_15・A夜間)),0)*(1+_15・盲ろう)),0)+ROUND((ROUND((_15_同援日０．５＿２．０*(1+_15・B深夜)),0)*(1+_15・盲ろう)),0)</f>
        <v>971</v>
      </c>
      <c r="AC83" s="69"/>
    </row>
    <row r="84" spans="1:29" ht="16.5" customHeight="1" x14ac:dyDescent="0.3">
      <c r="A84" s="2">
        <v>15</v>
      </c>
      <c r="B84" s="2" t="s">
        <v>21</v>
      </c>
      <c r="C84" s="60" t="s">
        <v>10641</v>
      </c>
      <c r="D84" s="1"/>
      <c r="E84" s="68"/>
      <c r="F84" s="70"/>
      <c r="G84" s="1"/>
      <c r="H84" s="68"/>
      <c r="I84" s="70"/>
      <c r="J84" s="66"/>
      <c r="K84" s="57"/>
      <c r="L84" s="58"/>
      <c r="M84" s="83" t="s">
        <v>5895</v>
      </c>
      <c r="N84" s="64" t="s">
        <v>1</v>
      </c>
      <c r="O84" s="65">
        <v>1</v>
      </c>
      <c r="P84" s="99"/>
      <c r="Q84" s="70"/>
      <c r="R84" s="99"/>
      <c r="S84" s="70"/>
      <c r="T84" s="94" t="s">
        <v>18024</v>
      </c>
      <c r="U84" s="68"/>
      <c r="V84" s="76"/>
      <c r="W84" s="70"/>
      <c r="X84" s="67"/>
      <c r="Y84" s="68"/>
      <c r="Z84" s="76"/>
      <c r="AA84" s="70"/>
      <c r="AB84" s="228">
        <f>ROUND((ROUND((ROUND((_15_同援日０．５*_15・２人),0)*(1+_15・A夜間)),0)*(1+_15・盲ろう)),0)+ROUND((ROUND((ROUND((_15_同援日０．５＿２．０*_15・２人),0)*(1+_15・B深夜)),0)*(1+_15・盲ろう)),0)</f>
        <v>971</v>
      </c>
      <c r="AC84" s="69"/>
    </row>
    <row r="85" spans="1:29" ht="16.5" customHeight="1" x14ac:dyDescent="0.3">
      <c r="A85" s="2">
        <v>15</v>
      </c>
      <c r="B85" s="2" t="s">
        <v>22</v>
      </c>
      <c r="C85" s="60" t="s">
        <v>10640</v>
      </c>
      <c r="D85" s="1"/>
      <c r="E85" s="68"/>
      <c r="F85" s="70"/>
      <c r="G85" s="1"/>
      <c r="H85" s="68"/>
      <c r="I85" s="70"/>
      <c r="J85" s="74" t="s">
        <v>17054</v>
      </c>
      <c r="K85" s="62"/>
      <c r="L85" s="63"/>
      <c r="M85" s="85"/>
      <c r="N85" s="64"/>
      <c r="O85" s="65"/>
      <c r="P85" s="99"/>
      <c r="Q85" s="70"/>
      <c r="R85" s="99"/>
      <c r="S85" s="70"/>
      <c r="T85" s="67"/>
      <c r="U85" s="68" t="s">
        <v>1</v>
      </c>
      <c r="V85" s="76">
        <v>0.25</v>
      </c>
      <c r="W85" s="70" t="s">
        <v>422</v>
      </c>
      <c r="X85" s="67"/>
      <c r="Y85" s="68"/>
      <c r="Z85" s="76"/>
      <c r="AA85" s="70"/>
      <c r="AB85" s="228">
        <f>ROUND((ROUND((ROUND((_15_同援日０．５*_15・基礎２),0)*(1+_15・A夜間)),0)*(1+_15・盲ろう)),0)+ROUND((ROUND((ROUND((_15_同援日０．５＿２．０*_15・基礎２),0)*(1+_15・B深夜)),0)*(1+_15・盲ろう)),0)</f>
        <v>875</v>
      </c>
      <c r="AC85" s="69"/>
    </row>
    <row r="86" spans="1:29" ht="16.5" customHeight="1" x14ac:dyDescent="0.3">
      <c r="A86" s="2">
        <v>15</v>
      </c>
      <c r="B86" s="2" t="s">
        <v>23</v>
      </c>
      <c r="C86" s="60" t="s">
        <v>10639</v>
      </c>
      <c r="D86" s="1"/>
      <c r="E86" s="68"/>
      <c r="F86" s="70"/>
      <c r="G86" s="1"/>
      <c r="H86" s="68"/>
      <c r="I86" s="70"/>
      <c r="J86" s="106" t="s">
        <v>16970</v>
      </c>
      <c r="K86" s="57" t="s">
        <v>1</v>
      </c>
      <c r="L86" s="58">
        <v>0.9</v>
      </c>
      <c r="M86" s="83" t="s">
        <v>5895</v>
      </c>
      <c r="N86" s="64" t="s">
        <v>1</v>
      </c>
      <c r="O86" s="65">
        <v>1</v>
      </c>
      <c r="P86" s="99"/>
      <c r="Q86" s="70"/>
      <c r="R86" s="99"/>
      <c r="S86" s="70"/>
      <c r="T86" s="66"/>
      <c r="U86" s="57"/>
      <c r="V86" s="58"/>
      <c r="W86" s="77"/>
      <c r="X86" s="66"/>
      <c r="Y86" s="57"/>
      <c r="Z86" s="58"/>
      <c r="AA86" s="77"/>
      <c r="AB86" s="228">
        <f>ROUND((ROUND((ROUND((ROUND((_15_同援日０．５*_15・基礎２),0)*_15・２人),0)*(1+_15・A夜間)),0)*(1+_15・盲ろう)),0)+ROUND((ROUND((ROUND((ROUND((_15_同援日０．５＿２．０*_15・基礎２),0)*_15・２人),0)*(1+_15・B深夜)),0)*(1+_15・盲ろう)),0)</f>
        <v>875</v>
      </c>
      <c r="AC86" s="69"/>
    </row>
    <row r="87" spans="1:29" ht="16.5" customHeight="1" x14ac:dyDescent="0.3">
      <c r="A87" s="2">
        <v>15</v>
      </c>
      <c r="B87" s="2" t="s">
        <v>24</v>
      </c>
      <c r="C87" s="60" t="s">
        <v>10638</v>
      </c>
      <c r="D87" s="1"/>
      <c r="E87" s="68"/>
      <c r="F87" s="70"/>
      <c r="G87" s="1"/>
      <c r="H87" s="68"/>
      <c r="I87" s="70"/>
      <c r="J87" s="61"/>
      <c r="K87" s="62"/>
      <c r="L87" s="63"/>
      <c r="M87" s="85"/>
      <c r="N87" s="64"/>
      <c r="O87" s="65"/>
      <c r="P87" s="99"/>
      <c r="Q87" s="70"/>
      <c r="R87" s="99"/>
      <c r="S87" s="70"/>
      <c r="T87" s="61"/>
      <c r="U87" s="62"/>
      <c r="V87" s="63"/>
      <c r="W87" s="75"/>
      <c r="X87" s="61"/>
      <c r="Y87" s="62"/>
      <c r="Z87" s="63"/>
      <c r="AA87" s="75"/>
      <c r="AB87" s="228">
        <f>ROUND((ROUND((_15_同援日０．５*(1+_15・A夜間)),0)*(1+_15・区３)),0)+ROUND((ROUND((_15_同援日０．５＿２．０*(1+_15・B深夜)),0)*(1+_15・区３)),0)</f>
        <v>931</v>
      </c>
      <c r="AC87" s="69"/>
    </row>
    <row r="88" spans="1:29" ht="16.5" customHeight="1" x14ac:dyDescent="0.3">
      <c r="A88" s="2">
        <v>15</v>
      </c>
      <c r="B88" s="2" t="s">
        <v>25</v>
      </c>
      <c r="C88" s="60" t="s">
        <v>10637</v>
      </c>
      <c r="D88" s="1"/>
      <c r="E88" s="68"/>
      <c r="F88" s="70"/>
      <c r="G88" s="1"/>
      <c r="H88" s="68"/>
      <c r="I88" s="70"/>
      <c r="J88" s="66"/>
      <c r="K88" s="57"/>
      <c r="L88" s="58"/>
      <c r="M88" s="83" t="s">
        <v>5895</v>
      </c>
      <c r="N88" s="64" t="s">
        <v>1</v>
      </c>
      <c r="O88" s="65">
        <v>1</v>
      </c>
      <c r="P88" s="99"/>
      <c r="Q88" s="70"/>
      <c r="R88" s="99"/>
      <c r="S88" s="70"/>
      <c r="T88" s="67"/>
      <c r="U88" s="68"/>
      <c r="V88" s="76"/>
      <c r="W88" s="70"/>
      <c r="X88" s="67"/>
      <c r="Y88" s="68"/>
      <c r="Z88" s="76"/>
      <c r="AA88" s="70"/>
      <c r="AB88" s="228">
        <f>ROUND((ROUND((ROUND((_15_同援日０．５*_15・２人),0)*(1+_15・A夜間)),0)*(1+_15・区３)),0)+ROUND((ROUND((ROUND((_15_同援日０．５＿２．０*_15・２人),0)*(1+_15・B深夜)),0)*(1+_15・区３)),0)</f>
        <v>931</v>
      </c>
      <c r="AC88" s="69"/>
    </row>
    <row r="89" spans="1:29" ht="16.5" customHeight="1" x14ac:dyDescent="0.3">
      <c r="A89" s="2">
        <v>15</v>
      </c>
      <c r="B89" s="2" t="s">
        <v>26</v>
      </c>
      <c r="C89" s="60" t="s">
        <v>10636</v>
      </c>
      <c r="D89" s="1"/>
      <c r="E89" s="68"/>
      <c r="F89" s="70"/>
      <c r="G89" s="1"/>
      <c r="H89" s="68"/>
      <c r="I89" s="70"/>
      <c r="J89" s="74" t="s">
        <v>16971</v>
      </c>
      <c r="K89" s="62"/>
      <c r="L89" s="63"/>
      <c r="M89" s="85"/>
      <c r="N89" s="64"/>
      <c r="O89" s="65"/>
      <c r="P89" s="99"/>
      <c r="Q89" s="70"/>
      <c r="R89" s="99"/>
      <c r="S89" s="70"/>
      <c r="T89" s="67"/>
      <c r="U89" s="68"/>
      <c r="V89" s="76"/>
      <c r="W89" s="70"/>
      <c r="X89" s="1" t="s">
        <v>18089</v>
      </c>
      <c r="Y89" s="68"/>
      <c r="Z89" s="76"/>
      <c r="AA89" s="70"/>
      <c r="AB89" s="228">
        <f>ROUND((ROUND((ROUND((_15_同援日０．５*_15・基礎２),0)*(1+_15・A夜間)),0)*(1+_15・区３)),0)+ROUND((ROUND((ROUND((_15_同援日０．５＿２．０*_15・基礎２),0)*(1+_15・B深夜)),0)*(1+_15・区３)),0)</f>
        <v>840</v>
      </c>
      <c r="AC89" s="69"/>
    </row>
    <row r="90" spans="1:29" ht="16.5" customHeight="1" x14ac:dyDescent="0.3">
      <c r="A90" s="2">
        <v>15</v>
      </c>
      <c r="B90" s="2" t="s">
        <v>27</v>
      </c>
      <c r="C90" s="60" t="s">
        <v>10635</v>
      </c>
      <c r="D90" s="1"/>
      <c r="E90" s="68"/>
      <c r="F90" s="70"/>
      <c r="G90" s="1"/>
      <c r="H90" s="68"/>
      <c r="I90" s="70"/>
      <c r="J90" s="106" t="s">
        <v>16970</v>
      </c>
      <c r="K90" s="57" t="s">
        <v>1</v>
      </c>
      <c r="L90" s="58">
        <v>0.9</v>
      </c>
      <c r="M90" s="83" t="s">
        <v>5895</v>
      </c>
      <c r="N90" s="64" t="s">
        <v>1</v>
      </c>
      <c r="O90" s="65">
        <v>1</v>
      </c>
      <c r="P90" s="99"/>
      <c r="Q90" s="70"/>
      <c r="R90" s="99"/>
      <c r="S90" s="70"/>
      <c r="T90" s="66"/>
      <c r="U90" s="57"/>
      <c r="V90" s="58"/>
      <c r="W90" s="77"/>
      <c r="X90" s="1" t="s">
        <v>18084</v>
      </c>
      <c r="Y90" s="68"/>
      <c r="Z90" s="76"/>
      <c r="AA90" s="70"/>
      <c r="AB90" s="228">
        <f>ROUND((ROUND((ROUND((ROUND((_15_同援日０．５*_15・基礎２),0)*_15・２人),0)*(1+_15・A夜間)),0)*(1+_15・区３)),0)+ROUND((ROUND((ROUND((ROUND((_15_同援日０．５＿２．０*_15・基礎２),0)*_15・２人),0)*(1+_15・B深夜)),0)*(1+_15・区３)),0)</f>
        <v>840</v>
      </c>
      <c r="AC90" s="69"/>
    </row>
    <row r="91" spans="1:29" ht="16.5" customHeight="1" x14ac:dyDescent="0.3">
      <c r="A91" s="2">
        <v>15</v>
      </c>
      <c r="B91" s="2" t="s">
        <v>28</v>
      </c>
      <c r="C91" s="60" t="s">
        <v>10634</v>
      </c>
      <c r="D91" s="1"/>
      <c r="E91" s="68"/>
      <c r="F91" s="70"/>
      <c r="G91" s="1"/>
      <c r="H91" s="68"/>
      <c r="I91" s="70"/>
      <c r="J91" s="61"/>
      <c r="K91" s="62"/>
      <c r="L91" s="63"/>
      <c r="M91" s="85"/>
      <c r="N91" s="64"/>
      <c r="O91" s="65"/>
      <c r="P91" s="99"/>
      <c r="Q91" s="70"/>
      <c r="R91" s="99"/>
      <c r="S91" s="70"/>
      <c r="T91" s="74" t="s">
        <v>18025</v>
      </c>
      <c r="U91" s="62"/>
      <c r="V91" s="63"/>
      <c r="W91" s="75"/>
      <c r="X91" s="67"/>
      <c r="Y91" s="68" t="s">
        <v>1</v>
      </c>
      <c r="Z91" s="76">
        <v>0.2</v>
      </c>
      <c r="AA91" s="70" t="s">
        <v>422</v>
      </c>
      <c r="AB91" s="228">
        <f>ROUND((ROUND((ROUND((_15_同援日０．５*(1+_15・A夜間)),0)*(1+_15・盲ろう)),0)*(1+_15・区３)),0)+ROUND((ROUND((ROUND((_15_同援日０．５＿２．０*(1+_15・B深夜)),0)*(1+_15・盲ろう)),0)*(1+_15・区３)),0)</f>
        <v>1166</v>
      </c>
      <c r="AC91" s="69"/>
    </row>
    <row r="92" spans="1:29" ht="16.5" customHeight="1" x14ac:dyDescent="0.3">
      <c r="A92" s="2">
        <v>15</v>
      </c>
      <c r="B92" s="2" t="s">
        <v>29</v>
      </c>
      <c r="C92" s="60" t="s">
        <v>10633</v>
      </c>
      <c r="D92" s="1"/>
      <c r="E92" s="68"/>
      <c r="F92" s="70"/>
      <c r="G92" s="1"/>
      <c r="H92" s="68"/>
      <c r="I92" s="70"/>
      <c r="J92" s="66"/>
      <c r="K92" s="57"/>
      <c r="L92" s="58"/>
      <c r="M92" s="83" t="s">
        <v>5895</v>
      </c>
      <c r="N92" s="64" t="s">
        <v>1</v>
      </c>
      <c r="O92" s="65">
        <v>1</v>
      </c>
      <c r="P92" s="99"/>
      <c r="Q92" s="70"/>
      <c r="R92" s="99"/>
      <c r="S92" s="70"/>
      <c r="T92" s="94" t="s">
        <v>18024</v>
      </c>
      <c r="U92" s="68"/>
      <c r="V92" s="76"/>
      <c r="W92" s="70"/>
      <c r="X92" s="67"/>
      <c r="Y92" s="68"/>
      <c r="Z92" s="76"/>
      <c r="AA92" s="70"/>
      <c r="AB92" s="228">
        <f>ROUND((ROUND((ROUND((ROUND((_15_同援日０．５*_15・２人),0)*(1+_15・A夜間)),0)*(1+_15・盲ろう)),0)*(1+_15・区３)),0)+ROUND((ROUND((ROUND((ROUND((_15_同援日０．５＿２．０*_15・２人),0)*(1+_15・B深夜)),0)*(1+_15・盲ろう)),0)*(1+_15・区３)),0)</f>
        <v>1166</v>
      </c>
      <c r="AC92" s="69"/>
    </row>
    <row r="93" spans="1:29" ht="16.5" customHeight="1" x14ac:dyDescent="0.3">
      <c r="A93" s="2">
        <v>15</v>
      </c>
      <c r="B93" s="2" t="s">
        <v>30</v>
      </c>
      <c r="C93" s="60" t="s">
        <v>10632</v>
      </c>
      <c r="D93" s="1"/>
      <c r="E93" s="68"/>
      <c r="F93" s="70"/>
      <c r="G93" s="1"/>
      <c r="H93" s="68"/>
      <c r="I93" s="70"/>
      <c r="J93" s="74" t="s">
        <v>16971</v>
      </c>
      <c r="K93" s="62"/>
      <c r="L93" s="63"/>
      <c r="M93" s="85"/>
      <c r="N93" s="64"/>
      <c r="O93" s="65"/>
      <c r="P93" s="99"/>
      <c r="Q93" s="70"/>
      <c r="R93" s="99"/>
      <c r="S93" s="70"/>
      <c r="T93" s="67"/>
      <c r="U93" s="68" t="s">
        <v>1</v>
      </c>
      <c r="V93" s="76">
        <v>0.25</v>
      </c>
      <c r="W93" s="70" t="s">
        <v>422</v>
      </c>
      <c r="X93" s="67"/>
      <c r="Y93" s="68"/>
      <c r="Z93" s="76"/>
      <c r="AA93" s="70"/>
      <c r="AB93" s="228">
        <f>ROUND((ROUND((ROUND((ROUND((_15_同援日０．５*_15・基礎２),0)*(1+_15・A夜間)),0)*(1+_15・盲ろう)),0)*(1+_15・区３)),0)+ROUND((ROUND((ROUND((ROUND((_15_同援日０．５＿２．０*_15・基礎２),0)*(1+_15・B深夜)),0)*(1+_15・盲ろう)),0)*(1+_15・区３)),0)</f>
        <v>1050</v>
      </c>
      <c r="AC93" s="69"/>
    </row>
    <row r="94" spans="1:29" ht="16.5" customHeight="1" x14ac:dyDescent="0.3">
      <c r="A94" s="2">
        <v>15</v>
      </c>
      <c r="B94" s="2" t="s">
        <v>31</v>
      </c>
      <c r="C94" s="60" t="s">
        <v>10631</v>
      </c>
      <c r="D94" s="1"/>
      <c r="E94" s="68"/>
      <c r="F94" s="70"/>
      <c r="G94" s="1"/>
      <c r="H94" s="68"/>
      <c r="I94" s="70"/>
      <c r="J94" s="106" t="s">
        <v>5896</v>
      </c>
      <c r="K94" s="57" t="s">
        <v>1</v>
      </c>
      <c r="L94" s="58">
        <v>0.9</v>
      </c>
      <c r="M94" s="83" t="s">
        <v>5895</v>
      </c>
      <c r="N94" s="64" t="s">
        <v>1</v>
      </c>
      <c r="O94" s="65">
        <v>1</v>
      </c>
      <c r="P94" s="99"/>
      <c r="Q94" s="70"/>
      <c r="R94" s="99"/>
      <c r="S94" s="70"/>
      <c r="T94" s="66"/>
      <c r="U94" s="57"/>
      <c r="V94" s="58"/>
      <c r="W94" s="77"/>
      <c r="X94" s="66"/>
      <c r="Y94" s="57"/>
      <c r="Z94" s="58"/>
      <c r="AA94" s="77"/>
      <c r="AB94" s="228">
        <f>ROUND((ROUND((ROUND((ROUND((ROUND((_15_同援日０．５*_15・基礎２),0)*_15・２人),0)*(1+_15・A夜間)),0)*(1+_15・盲ろう)),0)*(1+_15・区３)),0)+ROUND((ROUND((ROUND((ROUND((ROUND((_15_同援日０．５＿２．０*_15・基礎２),0)*_15・２人),0)*(1+_15・B深夜)),0)*(1+_15・盲ろう)),0)*(1+_15・区３)),0)</f>
        <v>1050</v>
      </c>
      <c r="AC94" s="69"/>
    </row>
    <row r="95" spans="1:29" ht="16.5" customHeight="1" x14ac:dyDescent="0.3">
      <c r="A95" s="2">
        <v>15</v>
      </c>
      <c r="B95" s="2" t="s">
        <v>32</v>
      </c>
      <c r="C95" s="60" t="s">
        <v>10630</v>
      </c>
      <c r="D95" s="1"/>
      <c r="E95" s="68"/>
      <c r="F95" s="70"/>
      <c r="G95" s="1"/>
      <c r="H95" s="68"/>
      <c r="I95" s="70"/>
      <c r="J95" s="61"/>
      <c r="K95" s="62"/>
      <c r="L95" s="63"/>
      <c r="M95" s="85"/>
      <c r="N95" s="64"/>
      <c r="O95" s="65"/>
      <c r="P95" s="99"/>
      <c r="Q95" s="70"/>
      <c r="R95" s="99"/>
      <c r="S95" s="70"/>
      <c r="T95" s="61"/>
      <c r="U95" s="62"/>
      <c r="V95" s="63"/>
      <c r="W95" s="75"/>
      <c r="X95" s="61"/>
      <c r="Y95" s="62"/>
      <c r="Z95" s="63"/>
      <c r="AA95" s="75"/>
      <c r="AB95" s="228">
        <f>ROUND((ROUND((_15_同援日０．５*(1+_15・A夜間)),0)*(1+_15・区４)),0)+ROUND((ROUND((_15_同援日０．５＿２．０*(1+_15・B深夜)),0)*(1+_15・区４)),0)</f>
        <v>1086</v>
      </c>
      <c r="AC95" s="69"/>
    </row>
    <row r="96" spans="1:29" ht="16.5" customHeight="1" x14ac:dyDescent="0.3">
      <c r="A96" s="2">
        <v>15</v>
      </c>
      <c r="B96" s="2" t="s">
        <v>33</v>
      </c>
      <c r="C96" s="60" t="s">
        <v>10629</v>
      </c>
      <c r="D96" s="1"/>
      <c r="E96" s="68"/>
      <c r="F96" s="70"/>
      <c r="G96" s="1"/>
      <c r="H96" s="68"/>
      <c r="I96" s="70"/>
      <c r="J96" s="66"/>
      <c r="K96" s="57"/>
      <c r="L96" s="58"/>
      <c r="M96" s="83" t="s">
        <v>5895</v>
      </c>
      <c r="N96" s="64" t="s">
        <v>1</v>
      </c>
      <c r="O96" s="65">
        <v>1</v>
      </c>
      <c r="P96" s="99"/>
      <c r="Q96" s="70"/>
      <c r="R96" s="99"/>
      <c r="S96" s="70"/>
      <c r="T96" s="67"/>
      <c r="U96" s="68"/>
      <c r="V96" s="76"/>
      <c r="W96" s="70"/>
      <c r="X96" s="67"/>
      <c r="Y96" s="68"/>
      <c r="Z96" s="76"/>
      <c r="AA96" s="70"/>
      <c r="AB96" s="228">
        <f>ROUND((ROUND((ROUND((_15_同援日０．５*_15・２人),0)*(1+_15・A夜間)),0)*(1+_15・区４)),0)+ROUND((ROUND((ROUND((_15_同援日０．５＿２．０*_15・２人),0)*(1+_15・B深夜)),0)*(1+_15・区４)),0)</f>
        <v>1086</v>
      </c>
      <c r="AC96" s="69"/>
    </row>
    <row r="97" spans="1:29" ht="16.5" customHeight="1" x14ac:dyDescent="0.3">
      <c r="A97" s="2">
        <v>15</v>
      </c>
      <c r="B97" s="2" t="s">
        <v>34</v>
      </c>
      <c r="C97" s="60" t="s">
        <v>10628</v>
      </c>
      <c r="D97" s="1"/>
      <c r="E97" s="68"/>
      <c r="F97" s="70"/>
      <c r="G97" s="1"/>
      <c r="H97" s="68"/>
      <c r="I97" s="70"/>
      <c r="J97" s="74" t="s">
        <v>16971</v>
      </c>
      <c r="K97" s="62"/>
      <c r="L97" s="63"/>
      <c r="M97" s="85"/>
      <c r="N97" s="64"/>
      <c r="O97" s="65"/>
      <c r="P97" s="99"/>
      <c r="Q97" s="70"/>
      <c r="R97" s="99"/>
      <c r="S97" s="70"/>
      <c r="T97" s="67"/>
      <c r="U97" s="68"/>
      <c r="V97" s="76"/>
      <c r="W97" s="70"/>
      <c r="X97" s="1" t="s">
        <v>18027</v>
      </c>
      <c r="Y97" s="68"/>
      <c r="Z97" s="76"/>
      <c r="AA97" s="70"/>
      <c r="AB97" s="228">
        <f>ROUND((ROUND((ROUND((_15_同援日０．５*_15・基礎２),0)*(1+_15・A夜間)),0)*(1+_15・区４)),0)+ROUND((ROUND((ROUND((_15_同援日０．５＿２．０*_15・基礎２),0)*(1+_15・B深夜)),0)*(1+_15・区４)),0)</f>
        <v>980</v>
      </c>
      <c r="AC97" s="69"/>
    </row>
    <row r="98" spans="1:29" ht="16.5" customHeight="1" x14ac:dyDescent="0.3">
      <c r="A98" s="2">
        <v>15</v>
      </c>
      <c r="B98" s="2" t="s">
        <v>35</v>
      </c>
      <c r="C98" s="60" t="s">
        <v>10627</v>
      </c>
      <c r="D98" s="1"/>
      <c r="E98" s="68"/>
      <c r="F98" s="70"/>
      <c r="G98" s="1"/>
      <c r="H98" s="68"/>
      <c r="I98" s="70"/>
      <c r="J98" s="106" t="s">
        <v>17053</v>
      </c>
      <c r="K98" s="57" t="s">
        <v>1</v>
      </c>
      <c r="L98" s="58">
        <v>0.9</v>
      </c>
      <c r="M98" s="83" t="s">
        <v>5895</v>
      </c>
      <c r="N98" s="64" t="s">
        <v>1</v>
      </c>
      <c r="O98" s="65">
        <v>1</v>
      </c>
      <c r="P98" s="99"/>
      <c r="Q98" s="70"/>
      <c r="R98" s="99"/>
      <c r="S98" s="70"/>
      <c r="T98" s="66"/>
      <c r="U98" s="57"/>
      <c r="V98" s="58"/>
      <c r="W98" s="77"/>
      <c r="X98" s="1" t="s">
        <v>18026</v>
      </c>
      <c r="Y98" s="68"/>
      <c r="Z98" s="76"/>
      <c r="AA98" s="70"/>
      <c r="AB98" s="228">
        <f>ROUND((ROUND((ROUND((ROUND((_15_同援日０．５*_15・基礎２),0)*_15・２人),0)*(1+_15・A夜間)),0)*(1+_15・区４)),0)+ROUND((ROUND((ROUND((ROUND((_15_同援日０．５＿２．０*_15・基礎２),0)*_15・２人),0)*(1+_15・B深夜)),0)*(1+_15・区４)),0)</f>
        <v>980</v>
      </c>
      <c r="AC98" s="69"/>
    </row>
    <row r="99" spans="1:29" ht="16.5" customHeight="1" x14ac:dyDescent="0.3">
      <c r="A99" s="2">
        <v>15</v>
      </c>
      <c r="B99" s="2" t="s">
        <v>36</v>
      </c>
      <c r="C99" s="60" t="s">
        <v>10626</v>
      </c>
      <c r="D99" s="1"/>
      <c r="E99" s="68"/>
      <c r="F99" s="70"/>
      <c r="G99" s="1"/>
      <c r="H99" s="68"/>
      <c r="I99" s="70"/>
      <c r="J99" s="61"/>
      <c r="K99" s="62"/>
      <c r="L99" s="63"/>
      <c r="M99" s="85"/>
      <c r="N99" s="64"/>
      <c r="O99" s="65"/>
      <c r="P99" s="99"/>
      <c r="Q99" s="70"/>
      <c r="R99" s="99"/>
      <c r="S99" s="70"/>
      <c r="T99" s="74" t="s">
        <v>17969</v>
      </c>
      <c r="U99" s="62"/>
      <c r="V99" s="63"/>
      <c r="W99" s="75"/>
      <c r="X99" s="67"/>
      <c r="Y99" s="68" t="s">
        <v>1</v>
      </c>
      <c r="Z99" s="76">
        <v>0.4</v>
      </c>
      <c r="AA99" s="70" t="s">
        <v>422</v>
      </c>
      <c r="AB99" s="228">
        <f>ROUND((ROUND((ROUND((_15_同援日０．５*(1+_15・A夜間)),0)*(1+_15・盲ろう)),0)*(1+_15・区４)),0)+ROUND((ROUND((ROUND((_15_同援日０．５＿２．０*(1+_15・B深夜)),0)*(1+_15・盲ろう)),0)*(1+_15・区４)),0)</f>
        <v>1359</v>
      </c>
      <c r="AC99" s="69"/>
    </row>
    <row r="100" spans="1:29" ht="16.5" customHeight="1" x14ac:dyDescent="0.3">
      <c r="A100" s="2">
        <v>15</v>
      </c>
      <c r="B100" s="2" t="s">
        <v>37</v>
      </c>
      <c r="C100" s="60" t="s">
        <v>10625</v>
      </c>
      <c r="D100" s="1"/>
      <c r="E100" s="68"/>
      <c r="F100" s="70"/>
      <c r="G100" s="1"/>
      <c r="H100" s="68"/>
      <c r="I100" s="70"/>
      <c r="J100" s="66"/>
      <c r="K100" s="57"/>
      <c r="L100" s="58"/>
      <c r="M100" s="83" t="s">
        <v>5895</v>
      </c>
      <c r="N100" s="64" t="s">
        <v>1</v>
      </c>
      <c r="O100" s="65">
        <v>1</v>
      </c>
      <c r="P100" s="99"/>
      <c r="Q100" s="70"/>
      <c r="R100" s="99"/>
      <c r="S100" s="70"/>
      <c r="T100" s="94" t="s">
        <v>18024</v>
      </c>
      <c r="U100" s="68"/>
      <c r="V100" s="76"/>
      <c r="W100" s="70"/>
      <c r="X100" s="67"/>
      <c r="Y100" s="68"/>
      <c r="Z100" s="76"/>
      <c r="AA100" s="70"/>
      <c r="AB100" s="228">
        <f>ROUND((ROUND((ROUND((ROUND((_15_同援日０．５*_15・２人),0)*(1+_15・A夜間)),0)*(1+_15・盲ろう)),0)*(1+_15・区４)),0)+ROUND((ROUND((ROUND((ROUND((_15_同援日０．５＿２．０*_15・２人),0)*(1+_15・B深夜)),0)*(1+_15・盲ろう)),0)*(1+_15・区４)),0)</f>
        <v>1359</v>
      </c>
      <c r="AC100" s="69"/>
    </row>
    <row r="101" spans="1:29" ht="16.5" customHeight="1" x14ac:dyDescent="0.3">
      <c r="A101" s="2">
        <v>15</v>
      </c>
      <c r="B101" s="2" t="s">
        <v>38</v>
      </c>
      <c r="C101" s="60" t="s">
        <v>10624</v>
      </c>
      <c r="D101" s="1"/>
      <c r="E101" s="68"/>
      <c r="F101" s="70"/>
      <c r="G101" s="1"/>
      <c r="H101" s="68"/>
      <c r="I101" s="70"/>
      <c r="J101" s="74" t="s">
        <v>17054</v>
      </c>
      <c r="K101" s="62"/>
      <c r="L101" s="63"/>
      <c r="M101" s="85"/>
      <c r="N101" s="64"/>
      <c r="O101" s="65"/>
      <c r="P101" s="99"/>
      <c r="Q101" s="70"/>
      <c r="R101" s="99"/>
      <c r="S101" s="70"/>
      <c r="T101" s="67"/>
      <c r="U101" s="68" t="s">
        <v>1</v>
      </c>
      <c r="V101" s="76">
        <v>0.25</v>
      </c>
      <c r="W101" s="70" t="s">
        <v>422</v>
      </c>
      <c r="X101" s="67"/>
      <c r="Y101" s="68"/>
      <c r="Z101" s="76"/>
      <c r="AA101" s="70"/>
      <c r="AB101" s="228">
        <f>ROUND((ROUND((ROUND((ROUND((_15_同援日０．５*_15・基礎２),0)*(1+_15・A夜間)),0)*(1+_15・盲ろう)),0)*(1+_15・区４)),0)+ROUND((ROUND((ROUND((ROUND((_15_同援日０．５＿２．０*_15・基礎２),0)*(1+_15・B深夜)),0)*(1+_15・盲ろう)),0)*(1+_15・区４)),0)</f>
        <v>1225</v>
      </c>
      <c r="AC101" s="69"/>
    </row>
    <row r="102" spans="1:29" ht="16.5" customHeight="1" x14ac:dyDescent="0.3">
      <c r="A102" s="2">
        <v>15</v>
      </c>
      <c r="B102" s="2" t="s">
        <v>39</v>
      </c>
      <c r="C102" s="60" t="s">
        <v>10623</v>
      </c>
      <c r="D102" s="1"/>
      <c r="E102" s="68"/>
      <c r="F102" s="70"/>
      <c r="G102" s="81"/>
      <c r="H102" s="57"/>
      <c r="I102" s="77"/>
      <c r="J102" s="106" t="s">
        <v>17053</v>
      </c>
      <c r="K102" s="57" t="s">
        <v>1</v>
      </c>
      <c r="L102" s="58">
        <v>0.9</v>
      </c>
      <c r="M102" s="83" t="s">
        <v>5895</v>
      </c>
      <c r="N102" s="64" t="s">
        <v>1</v>
      </c>
      <c r="O102" s="65">
        <v>1</v>
      </c>
      <c r="P102" s="99"/>
      <c r="Q102" s="70"/>
      <c r="R102" s="99"/>
      <c r="S102" s="70"/>
      <c r="T102" s="66"/>
      <c r="U102" s="57"/>
      <c r="V102" s="58"/>
      <c r="W102" s="77"/>
      <c r="X102" s="66"/>
      <c r="Y102" s="57"/>
      <c r="Z102" s="58"/>
      <c r="AA102" s="77"/>
      <c r="AB102" s="228">
        <f>ROUND((ROUND((ROUND((ROUND((ROUND((_15_同援日０．５*_15・基礎２),0)*_15・２人),0)*(1+_15・A夜間)),0)*(1+_15・盲ろう)),0)*(1+_15・区４)),0)+ROUND((ROUND((ROUND((ROUND((ROUND((_15_同援日０．５＿２．０*_15・基礎２),0)*_15・２人),0)*(1+_15・B深夜)),0)*(1+_15・盲ろう)),0)*(1+_15・区４)),0)</f>
        <v>1225</v>
      </c>
      <c r="AC102" s="69"/>
    </row>
    <row r="103" spans="1:29" ht="16.5" customHeight="1" x14ac:dyDescent="0.3">
      <c r="A103" s="2">
        <v>15</v>
      </c>
      <c r="B103" s="2" t="s">
        <v>40</v>
      </c>
      <c r="C103" s="60" t="s">
        <v>10622</v>
      </c>
      <c r="D103" s="1"/>
      <c r="E103" s="68"/>
      <c r="F103" s="70"/>
      <c r="G103" s="233" t="s">
        <v>17059</v>
      </c>
      <c r="H103" s="62"/>
      <c r="I103" s="75"/>
      <c r="J103" s="61"/>
      <c r="K103" s="62"/>
      <c r="L103" s="63"/>
      <c r="M103" s="85"/>
      <c r="N103" s="64"/>
      <c r="O103" s="65"/>
      <c r="P103" s="99"/>
      <c r="Q103" s="70"/>
      <c r="R103" s="99"/>
      <c r="S103" s="70"/>
      <c r="T103" s="61"/>
      <c r="U103" s="62"/>
      <c r="V103" s="63"/>
      <c r="W103" s="75"/>
      <c r="X103" s="61"/>
      <c r="Y103" s="62"/>
      <c r="Z103" s="63"/>
      <c r="AA103" s="75"/>
      <c r="AB103" s="228">
        <f>ROUND((_15_同援日０．５*(1+_15・A夜間)),0)+ROUND((_15_同援日０．５＿２．５*(1+_15・B深夜)),0)</f>
        <v>871</v>
      </c>
      <c r="AC103" s="69"/>
    </row>
    <row r="104" spans="1:29" ht="16.5" customHeight="1" x14ac:dyDescent="0.3">
      <c r="A104" s="2">
        <v>15</v>
      </c>
      <c r="B104" s="2" t="s">
        <v>41</v>
      </c>
      <c r="C104" s="60" t="s">
        <v>10621</v>
      </c>
      <c r="D104" s="1"/>
      <c r="E104" s="68"/>
      <c r="F104" s="70"/>
      <c r="G104" s="1" t="s">
        <v>16974</v>
      </c>
      <c r="H104" s="68"/>
      <c r="I104" s="70"/>
      <c r="J104" s="66"/>
      <c r="K104" s="57"/>
      <c r="L104" s="58"/>
      <c r="M104" s="83" t="s">
        <v>5895</v>
      </c>
      <c r="N104" s="64" t="s">
        <v>1</v>
      </c>
      <c r="O104" s="65">
        <v>1</v>
      </c>
      <c r="P104" s="99"/>
      <c r="Q104" s="70"/>
      <c r="R104" s="99"/>
      <c r="S104" s="70"/>
      <c r="T104" s="67"/>
      <c r="U104" s="68"/>
      <c r="V104" s="76"/>
      <c r="W104" s="70"/>
      <c r="X104" s="67"/>
      <c r="Y104" s="68"/>
      <c r="Z104" s="76"/>
      <c r="AA104" s="70"/>
      <c r="AB104" s="228">
        <f>ROUND((ROUND((_15_同援日０．５*_15・２人),0)*(1+_15・A夜間)),0)+ROUND((ROUND((_15_同援日０．５＿２．５*_15・２人),0)*(1+_15・B深夜)),0)</f>
        <v>871</v>
      </c>
      <c r="AC104" s="69"/>
    </row>
    <row r="105" spans="1:29" ht="16.5" customHeight="1" x14ac:dyDescent="0.3">
      <c r="A105" s="2">
        <v>15</v>
      </c>
      <c r="B105" s="2" t="s">
        <v>42</v>
      </c>
      <c r="C105" s="60" t="s">
        <v>10620</v>
      </c>
      <c r="D105" s="1"/>
      <c r="E105" s="68"/>
      <c r="F105" s="70"/>
      <c r="G105" s="1" t="s">
        <v>8499</v>
      </c>
      <c r="H105" s="68"/>
      <c r="I105" s="70"/>
      <c r="J105" s="74" t="s">
        <v>17054</v>
      </c>
      <c r="K105" s="62"/>
      <c r="L105" s="63"/>
      <c r="M105" s="85"/>
      <c r="N105" s="64"/>
      <c r="O105" s="65"/>
      <c r="P105" s="99"/>
      <c r="Q105" s="70"/>
      <c r="R105" s="99"/>
      <c r="S105" s="70"/>
      <c r="T105" s="67"/>
      <c r="U105" s="68"/>
      <c r="V105" s="76"/>
      <c r="W105" s="70"/>
      <c r="X105" s="67"/>
      <c r="Y105" s="68"/>
      <c r="Z105" s="76"/>
      <c r="AA105" s="70"/>
      <c r="AB105" s="228">
        <f>ROUND((ROUND((_15_同援日０．５*_15・基礎２),0)*(1+_15・A夜間)),0)+ROUND((ROUND((_15_同援日０．５＿２．５*_15・基礎２),0)*(1+_15・B深夜)),0)</f>
        <v>784</v>
      </c>
      <c r="AC105" s="69"/>
    </row>
    <row r="106" spans="1:29" ht="16.5" customHeight="1" x14ac:dyDescent="0.3">
      <c r="A106" s="2">
        <v>15</v>
      </c>
      <c r="B106" s="2" t="s">
        <v>43</v>
      </c>
      <c r="C106" s="60" t="s">
        <v>10619</v>
      </c>
      <c r="D106" s="1"/>
      <c r="E106" s="68"/>
      <c r="F106" s="70"/>
      <c r="G106" s="1"/>
      <c r="H106" s="227">
        <v>427</v>
      </c>
      <c r="I106" s="70" t="s">
        <v>0</v>
      </c>
      <c r="J106" s="106" t="s">
        <v>5896</v>
      </c>
      <c r="K106" s="57" t="s">
        <v>1</v>
      </c>
      <c r="L106" s="58">
        <v>0.9</v>
      </c>
      <c r="M106" s="83" t="s">
        <v>5895</v>
      </c>
      <c r="N106" s="64" t="s">
        <v>1</v>
      </c>
      <c r="O106" s="65">
        <v>1</v>
      </c>
      <c r="P106" s="99"/>
      <c r="Q106" s="70"/>
      <c r="R106" s="99"/>
      <c r="S106" s="70"/>
      <c r="T106" s="66"/>
      <c r="U106" s="57"/>
      <c r="V106" s="58"/>
      <c r="W106" s="77"/>
      <c r="X106" s="67"/>
      <c r="Y106" s="68"/>
      <c r="Z106" s="76"/>
      <c r="AA106" s="70"/>
      <c r="AB106" s="228">
        <f>ROUND((ROUND((ROUND((_15_同援日０．５*_15・基礎２),0)*_15・２人),0)*(1+_15・A夜間)),0)+ROUND((ROUND((ROUND((_15_同援日０．５＿２．５*_15・基礎２),0)*_15・２人),0)*(1+_15・B深夜)),0)</f>
        <v>784</v>
      </c>
      <c r="AC106" s="69"/>
    </row>
    <row r="107" spans="1:29" ht="16.5" customHeight="1" x14ac:dyDescent="0.3">
      <c r="A107" s="2">
        <v>15</v>
      </c>
      <c r="B107" s="2" t="s">
        <v>44</v>
      </c>
      <c r="C107" s="60" t="s">
        <v>10618</v>
      </c>
      <c r="D107" s="1"/>
      <c r="E107" s="68"/>
      <c r="F107" s="70"/>
      <c r="G107" s="1"/>
      <c r="H107" s="68"/>
      <c r="I107" s="70"/>
      <c r="J107" s="61"/>
      <c r="K107" s="62"/>
      <c r="L107" s="63"/>
      <c r="M107" s="85"/>
      <c r="N107" s="64"/>
      <c r="O107" s="65"/>
      <c r="P107" s="99"/>
      <c r="Q107" s="70"/>
      <c r="R107" s="99"/>
      <c r="S107" s="70"/>
      <c r="T107" s="74" t="s">
        <v>18025</v>
      </c>
      <c r="U107" s="62"/>
      <c r="V107" s="63"/>
      <c r="W107" s="75"/>
      <c r="X107" s="67"/>
      <c r="Y107" s="68"/>
      <c r="Z107" s="76"/>
      <c r="AA107" s="70"/>
      <c r="AB107" s="228">
        <f>ROUND((ROUND((_15_同援日０．５*(1+_15・A夜間)),0)*(1+_15・盲ろう)),0)+ROUND((ROUND((_15_同援日０．５＿２．５*(1+_15・B深夜)),0)*(1+_15・盲ろう)),0)</f>
        <v>1089</v>
      </c>
      <c r="AC107" s="69"/>
    </row>
    <row r="108" spans="1:29" ht="16.5" customHeight="1" x14ac:dyDescent="0.3">
      <c r="A108" s="2">
        <v>15</v>
      </c>
      <c r="B108" s="2" t="s">
        <v>45</v>
      </c>
      <c r="C108" s="60" t="s">
        <v>10617</v>
      </c>
      <c r="D108" s="1"/>
      <c r="E108" s="68"/>
      <c r="F108" s="70"/>
      <c r="G108" s="1"/>
      <c r="H108" s="68"/>
      <c r="I108" s="70"/>
      <c r="J108" s="66"/>
      <c r="K108" s="57"/>
      <c r="L108" s="58"/>
      <c r="M108" s="83" t="s">
        <v>5895</v>
      </c>
      <c r="N108" s="64" t="s">
        <v>1</v>
      </c>
      <c r="O108" s="65">
        <v>1</v>
      </c>
      <c r="P108" s="99"/>
      <c r="Q108" s="70"/>
      <c r="R108" s="99"/>
      <c r="S108" s="70"/>
      <c r="T108" s="94" t="s">
        <v>18024</v>
      </c>
      <c r="U108" s="68"/>
      <c r="V108" s="76"/>
      <c r="W108" s="70"/>
      <c r="X108" s="67"/>
      <c r="Y108" s="68"/>
      <c r="Z108" s="76"/>
      <c r="AA108" s="70"/>
      <c r="AB108" s="228">
        <f>ROUND((ROUND((ROUND((_15_同援日０．５*_15・２人),0)*(1+_15・A夜間)),0)*(1+_15・盲ろう)),0)+ROUND((ROUND((ROUND((_15_同援日０．５＿２．５*_15・２人),0)*(1+_15・B深夜)),0)*(1+_15・盲ろう)),0)</f>
        <v>1089</v>
      </c>
      <c r="AC108" s="69"/>
    </row>
    <row r="109" spans="1:29" ht="16.5" customHeight="1" x14ac:dyDescent="0.3">
      <c r="A109" s="2">
        <v>15</v>
      </c>
      <c r="B109" s="2" t="s">
        <v>46</v>
      </c>
      <c r="C109" s="60" t="s">
        <v>10616</v>
      </c>
      <c r="D109" s="1"/>
      <c r="E109" s="68"/>
      <c r="F109" s="70"/>
      <c r="G109" s="1"/>
      <c r="H109" s="68"/>
      <c r="I109" s="70"/>
      <c r="J109" s="74" t="s">
        <v>16971</v>
      </c>
      <c r="K109" s="62"/>
      <c r="L109" s="63"/>
      <c r="M109" s="85"/>
      <c r="N109" s="64"/>
      <c r="O109" s="65"/>
      <c r="P109" s="99"/>
      <c r="Q109" s="70"/>
      <c r="R109" s="99"/>
      <c r="S109" s="70"/>
      <c r="T109" s="67"/>
      <c r="U109" s="68" t="s">
        <v>1</v>
      </c>
      <c r="V109" s="76">
        <v>0.25</v>
      </c>
      <c r="W109" s="70" t="s">
        <v>422</v>
      </c>
      <c r="X109" s="67"/>
      <c r="Y109" s="68"/>
      <c r="Z109" s="76"/>
      <c r="AA109" s="70"/>
      <c r="AB109" s="228">
        <f>ROUND((ROUND((ROUND((_15_同援日０．５*_15・基礎２),0)*(1+_15・A夜間)),0)*(1+_15・盲ろう)),0)+ROUND((ROUND((ROUND((_15_同援日０．５＿２．５*_15・基礎２),0)*(1+_15・B深夜)),0)*(1+_15・盲ろう)),0)</f>
        <v>980</v>
      </c>
      <c r="AC109" s="69"/>
    </row>
    <row r="110" spans="1:29" ht="16.5" customHeight="1" x14ac:dyDescent="0.3">
      <c r="A110" s="2">
        <v>15</v>
      </c>
      <c r="B110" s="2" t="s">
        <v>47</v>
      </c>
      <c r="C110" s="60" t="s">
        <v>10615</v>
      </c>
      <c r="D110" s="1"/>
      <c r="E110" s="68"/>
      <c r="F110" s="70"/>
      <c r="G110" s="1"/>
      <c r="H110" s="68"/>
      <c r="I110" s="70"/>
      <c r="J110" s="106" t="s">
        <v>16970</v>
      </c>
      <c r="K110" s="57" t="s">
        <v>1</v>
      </c>
      <c r="L110" s="58">
        <v>0.9</v>
      </c>
      <c r="M110" s="83" t="s">
        <v>5895</v>
      </c>
      <c r="N110" s="64" t="s">
        <v>1</v>
      </c>
      <c r="O110" s="65">
        <v>1</v>
      </c>
      <c r="P110" s="99"/>
      <c r="Q110" s="70"/>
      <c r="R110" s="99"/>
      <c r="S110" s="70"/>
      <c r="T110" s="66"/>
      <c r="U110" s="57"/>
      <c r="V110" s="58"/>
      <c r="W110" s="77"/>
      <c r="X110" s="66"/>
      <c r="Y110" s="57"/>
      <c r="Z110" s="58"/>
      <c r="AA110" s="77"/>
      <c r="AB110" s="228">
        <f>ROUND((ROUND((ROUND((ROUND((_15_同援日０．５*_15・基礎２),0)*_15・２人),0)*(1+_15・A夜間)),0)*(1+_15・盲ろう)),0)+ROUND((ROUND((ROUND((ROUND((_15_同援日０．５＿２．５*_15・基礎２),0)*_15・２人),0)*(1+_15・B深夜)),0)*(1+_15・盲ろう)),0)</f>
        <v>980</v>
      </c>
      <c r="AC110" s="69"/>
    </row>
    <row r="111" spans="1:29" ht="16.5" customHeight="1" x14ac:dyDescent="0.3">
      <c r="A111" s="2">
        <v>15</v>
      </c>
      <c r="B111" s="2" t="s">
        <v>48</v>
      </c>
      <c r="C111" s="60" t="s">
        <v>10614</v>
      </c>
      <c r="D111" s="1"/>
      <c r="E111" s="68"/>
      <c r="F111" s="70"/>
      <c r="G111" s="1"/>
      <c r="H111" s="68"/>
      <c r="I111" s="70"/>
      <c r="J111" s="61"/>
      <c r="K111" s="62"/>
      <c r="L111" s="63"/>
      <c r="M111" s="85"/>
      <c r="N111" s="64"/>
      <c r="O111" s="65"/>
      <c r="P111" s="99"/>
      <c r="Q111" s="70"/>
      <c r="R111" s="99"/>
      <c r="S111" s="70"/>
      <c r="T111" s="61"/>
      <c r="U111" s="62"/>
      <c r="V111" s="63"/>
      <c r="W111" s="75"/>
      <c r="X111" s="61"/>
      <c r="Y111" s="62"/>
      <c r="Z111" s="63"/>
      <c r="AA111" s="75"/>
      <c r="AB111" s="228">
        <f>ROUND((ROUND((_15_同援日０．５*(1+_15・A夜間)),0)*(1+_15・区３)),0)+ROUND((ROUND((_15_同援日０．５＿２．５*(1+_15・B深夜)),0)*(1+_15・区３)),0)</f>
        <v>1045</v>
      </c>
      <c r="AC111" s="69"/>
    </row>
    <row r="112" spans="1:29" ht="16.5" customHeight="1" x14ac:dyDescent="0.3">
      <c r="A112" s="2">
        <v>15</v>
      </c>
      <c r="B112" s="2" t="s">
        <v>49</v>
      </c>
      <c r="C112" s="60" t="s">
        <v>10613</v>
      </c>
      <c r="D112" s="1"/>
      <c r="E112" s="68"/>
      <c r="F112" s="70"/>
      <c r="G112" s="1"/>
      <c r="H112" s="68"/>
      <c r="I112" s="70"/>
      <c r="J112" s="66"/>
      <c r="K112" s="57"/>
      <c r="L112" s="58"/>
      <c r="M112" s="83" t="s">
        <v>5895</v>
      </c>
      <c r="N112" s="64" t="s">
        <v>1</v>
      </c>
      <c r="O112" s="65">
        <v>1</v>
      </c>
      <c r="P112" s="99"/>
      <c r="Q112" s="70"/>
      <c r="R112" s="99"/>
      <c r="S112" s="70"/>
      <c r="T112" s="67"/>
      <c r="U112" s="68"/>
      <c r="V112" s="76"/>
      <c r="W112" s="70"/>
      <c r="X112" s="67"/>
      <c r="Y112" s="68"/>
      <c r="Z112" s="76"/>
      <c r="AA112" s="70"/>
      <c r="AB112" s="228">
        <f>ROUND((ROUND((ROUND((_15_同援日０．５*_15・２人),0)*(1+_15・A夜間)),0)*(1+_15・区３)),0)+ROUND((ROUND((ROUND((_15_同援日０．５＿２．５*_15・２人),0)*(1+_15・B深夜)),0)*(1+_15・区３)),0)</f>
        <v>1045</v>
      </c>
      <c r="AC112" s="69"/>
    </row>
    <row r="113" spans="1:29" ht="16.5" customHeight="1" x14ac:dyDescent="0.3">
      <c r="A113" s="2">
        <v>15</v>
      </c>
      <c r="B113" s="2" t="s">
        <v>50</v>
      </c>
      <c r="C113" s="60" t="s">
        <v>10612</v>
      </c>
      <c r="D113" s="1"/>
      <c r="E113" s="68"/>
      <c r="F113" s="70"/>
      <c r="G113" s="1"/>
      <c r="H113" s="68"/>
      <c r="I113" s="70"/>
      <c r="J113" s="74" t="s">
        <v>16971</v>
      </c>
      <c r="K113" s="62"/>
      <c r="L113" s="63"/>
      <c r="M113" s="85"/>
      <c r="N113" s="64"/>
      <c r="O113" s="65"/>
      <c r="P113" s="99"/>
      <c r="Q113" s="70"/>
      <c r="R113" s="99"/>
      <c r="S113" s="70"/>
      <c r="T113" s="67"/>
      <c r="U113" s="68"/>
      <c r="V113" s="76"/>
      <c r="W113" s="70"/>
      <c r="X113" s="1" t="s">
        <v>18028</v>
      </c>
      <c r="Y113" s="68"/>
      <c r="Z113" s="76"/>
      <c r="AA113" s="70"/>
      <c r="AB113" s="228">
        <f>ROUND((ROUND((ROUND((_15_同援日０．５*_15・基礎２),0)*(1+_15・A夜間)),0)*(1+_15・区３)),0)+ROUND((ROUND((ROUND((_15_同援日０．５＿２．５*_15・基礎２),0)*(1+_15・B深夜)),0)*(1+_15・区３)),0)</f>
        <v>941</v>
      </c>
      <c r="AC113" s="69"/>
    </row>
    <row r="114" spans="1:29" ht="16.5" customHeight="1" x14ac:dyDescent="0.3">
      <c r="A114" s="2">
        <v>15</v>
      </c>
      <c r="B114" s="2" t="s">
        <v>51</v>
      </c>
      <c r="C114" s="60" t="s">
        <v>10611</v>
      </c>
      <c r="D114" s="1"/>
      <c r="E114" s="68"/>
      <c r="F114" s="70"/>
      <c r="G114" s="1"/>
      <c r="H114" s="68"/>
      <c r="I114" s="70"/>
      <c r="J114" s="106" t="s">
        <v>16970</v>
      </c>
      <c r="K114" s="57" t="s">
        <v>1</v>
      </c>
      <c r="L114" s="58">
        <v>0.9</v>
      </c>
      <c r="M114" s="83" t="s">
        <v>5895</v>
      </c>
      <c r="N114" s="64" t="s">
        <v>1</v>
      </c>
      <c r="O114" s="65">
        <v>1</v>
      </c>
      <c r="P114" s="99"/>
      <c r="Q114" s="70"/>
      <c r="R114" s="99"/>
      <c r="S114" s="70"/>
      <c r="T114" s="66"/>
      <c r="U114" s="57"/>
      <c r="V114" s="58"/>
      <c r="W114" s="77"/>
      <c r="X114" s="1" t="s">
        <v>17970</v>
      </c>
      <c r="Y114" s="68"/>
      <c r="Z114" s="76"/>
      <c r="AA114" s="70"/>
      <c r="AB114" s="228">
        <f>ROUND((ROUND((ROUND((ROUND((_15_同援日０．５*_15・基礎２),0)*_15・２人),0)*(1+_15・A夜間)),0)*(1+_15・区３)),0)+ROUND((ROUND((ROUND((ROUND((_15_同援日０．５＿２．５*_15・基礎２),0)*_15・２人),0)*(1+_15・B深夜)),0)*(1+_15・区３)),0)</f>
        <v>941</v>
      </c>
      <c r="AC114" s="69"/>
    </row>
    <row r="115" spans="1:29" ht="16.5" customHeight="1" x14ac:dyDescent="0.3">
      <c r="A115" s="2">
        <v>15</v>
      </c>
      <c r="B115" s="2" t="s">
        <v>52</v>
      </c>
      <c r="C115" s="60" t="s">
        <v>10610</v>
      </c>
      <c r="D115" s="1"/>
      <c r="E115" s="68"/>
      <c r="F115" s="70"/>
      <c r="G115" s="1"/>
      <c r="H115" s="68"/>
      <c r="I115" s="70"/>
      <c r="J115" s="61"/>
      <c r="K115" s="62"/>
      <c r="L115" s="63"/>
      <c r="M115" s="85"/>
      <c r="N115" s="64"/>
      <c r="O115" s="65"/>
      <c r="P115" s="99"/>
      <c r="Q115" s="70"/>
      <c r="R115" s="99"/>
      <c r="S115" s="70"/>
      <c r="T115" s="74" t="s">
        <v>8085</v>
      </c>
      <c r="U115" s="62"/>
      <c r="V115" s="63"/>
      <c r="W115" s="75"/>
      <c r="X115" s="67"/>
      <c r="Y115" s="68" t="s">
        <v>1</v>
      </c>
      <c r="Z115" s="76">
        <v>0.2</v>
      </c>
      <c r="AA115" s="70" t="s">
        <v>422</v>
      </c>
      <c r="AB115" s="228">
        <f>ROUND((ROUND((ROUND((_15_同援日０．５*(1+_15・A夜間)),0)*(1+_15・盲ろう)),0)*(1+_15・区３)),0)+ROUND((ROUND((ROUND((_15_同援日０．５＿２．５*(1+_15・B深夜)),0)*(1+_15・盲ろう)),0)*(1+_15・区３)),0)</f>
        <v>1307</v>
      </c>
      <c r="AC115" s="69"/>
    </row>
    <row r="116" spans="1:29" ht="16.5" customHeight="1" x14ac:dyDescent="0.3">
      <c r="A116" s="2">
        <v>15</v>
      </c>
      <c r="B116" s="2" t="s">
        <v>53</v>
      </c>
      <c r="C116" s="60" t="s">
        <v>10609</v>
      </c>
      <c r="D116" s="1"/>
      <c r="E116" s="68"/>
      <c r="F116" s="70"/>
      <c r="G116" s="1"/>
      <c r="H116" s="68"/>
      <c r="I116" s="70"/>
      <c r="J116" s="66"/>
      <c r="K116" s="57"/>
      <c r="L116" s="58"/>
      <c r="M116" s="83" t="s">
        <v>5895</v>
      </c>
      <c r="N116" s="64" t="s">
        <v>1</v>
      </c>
      <c r="O116" s="65">
        <v>1</v>
      </c>
      <c r="P116" s="99"/>
      <c r="Q116" s="70"/>
      <c r="R116" s="99"/>
      <c r="S116" s="70"/>
      <c r="T116" s="94" t="s">
        <v>18024</v>
      </c>
      <c r="U116" s="68"/>
      <c r="V116" s="76"/>
      <c r="W116" s="70"/>
      <c r="X116" s="67"/>
      <c r="Y116" s="68"/>
      <c r="Z116" s="76"/>
      <c r="AA116" s="70"/>
      <c r="AB116" s="228">
        <f>ROUND((ROUND((ROUND((ROUND((_15_同援日０．５*_15・２人),0)*(1+_15・A夜間)),0)*(1+_15・盲ろう)),0)*(1+_15・区３)),0)+ROUND((ROUND((ROUND((ROUND((_15_同援日０．５＿２．５*_15・２人),0)*(1+_15・B深夜)),0)*(1+_15・盲ろう)),0)*(1+_15・区３)),0)</f>
        <v>1307</v>
      </c>
      <c r="AC116" s="69"/>
    </row>
    <row r="117" spans="1:29" ht="16.5" customHeight="1" x14ac:dyDescent="0.3">
      <c r="A117" s="2">
        <v>15</v>
      </c>
      <c r="B117" s="2" t="s">
        <v>54</v>
      </c>
      <c r="C117" s="60" t="s">
        <v>10608</v>
      </c>
      <c r="D117" s="1"/>
      <c r="E117" s="68"/>
      <c r="F117" s="70"/>
      <c r="G117" s="1"/>
      <c r="H117" s="68"/>
      <c r="I117" s="70"/>
      <c r="J117" s="74" t="s">
        <v>17054</v>
      </c>
      <c r="K117" s="62"/>
      <c r="L117" s="63"/>
      <c r="M117" s="85"/>
      <c r="N117" s="64"/>
      <c r="O117" s="65"/>
      <c r="P117" s="99"/>
      <c r="Q117" s="70"/>
      <c r="R117" s="99"/>
      <c r="S117" s="70"/>
      <c r="T117" s="67"/>
      <c r="U117" s="68" t="s">
        <v>1</v>
      </c>
      <c r="V117" s="76">
        <v>0.25</v>
      </c>
      <c r="W117" s="70" t="s">
        <v>422</v>
      </c>
      <c r="X117" s="67"/>
      <c r="Y117" s="68"/>
      <c r="Z117" s="76"/>
      <c r="AA117" s="70"/>
      <c r="AB117" s="228">
        <f>ROUND((ROUND((ROUND((ROUND((_15_同援日０．５*_15・基礎２),0)*(1+_15・A夜間)),0)*(1+_15・盲ろう)),0)*(1+_15・区３)),0)+ROUND((ROUND((ROUND((ROUND((_15_同援日０．５＿２．５*_15・基礎２),0)*(1+_15・B深夜)),0)*(1+_15・盲ろう)),0)*(1+_15・区３)),0)</f>
        <v>1176</v>
      </c>
      <c r="AC117" s="69"/>
    </row>
    <row r="118" spans="1:29" ht="16.5" customHeight="1" x14ac:dyDescent="0.3">
      <c r="A118" s="2">
        <v>15</v>
      </c>
      <c r="B118" s="2" t="s">
        <v>55</v>
      </c>
      <c r="C118" s="60" t="s">
        <v>10607</v>
      </c>
      <c r="D118" s="1"/>
      <c r="E118" s="68"/>
      <c r="F118" s="70"/>
      <c r="G118" s="1"/>
      <c r="H118" s="68"/>
      <c r="I118" s="70"/>
      <c r="J118" s="106" t="s">
        <v>17053</v>
      </c>
      <c r="K118" s="57" t="s">
        <v>1</v>
      </c>
      <c r="L118" s="58">
        <v>0.9</v>
      </c>
      <c r="M118" s="83" t="s">
        <v>5895</v>
      </c>
      <c r="N118" s="64" t="s">
        <v>1</v>
      </c>
      <c r="O118" s="65">
        <v>1</v>
      </c>
      <c r="P118" s="99"/>
      <c r="Q118" s="70"/>
      <c r="R118" s="99"/>
      <c r="S118" s="70"/>
      <c r="T118" s="66"/>
      <c r="U118" s="57"/>
      <c r="V118" s="58"/>
      <c r="W118" s="77"/>
      <c r="X118" s="66"/>
      <c r="Y118" s="57"/>
      <c r="Z118" s="58"/>
      <c r="AA118" s="77"/>
      <c r="AB118" s="228">
        <f>ROUND((ROUND((ROUND((ROUND((ROUND((_15_同援日０．５*_15・基礎２),0)*_15・２人),0)*(1+_15・A夜間)),0)*(1+_15・盲ろう)),0)*(1+_15・区３)),0)+ROUND((ROUND((ROUND((ROUND((ROUND((_15_同援日０．５＿２．５*_15・基礎２),0)*_15・２人),0)*(1+_15・B深夜)),0)*(1+_15・盲ろう)),0)*(1+_15・区３)),0)</f>
        <v>1176</v>
      </c>
      <c r="AC118" s="69"/>
    </row>
    <row r="119" spans="1:29" ht="16.5" customHeight="1" x14ac:dyDescent="0.3">
      <c r="A119" s="2">
        <v>15</v>
      </c>
      <c r="B119" s="2" t="s">
        <v>56</v>
      </c>
      <c r="C119" s="60" t="s">
        <v>10606</v>
      </c>
      <c r="D119" s="1"/>
      <c r="E119" s="68"/>
      <c r="F119" s="70"/>
      <c r="G119" s="1"/>
      <c r="H119" s="68"/>
      <c r="I119" s="70"/>
      <c r="J119" s="61"/>
      <c r="K119" s="62"/>
      <c r="L119" s="63"/>
      <c r="M119" s="85"/>
      <c r="N119" s="64"/>
      <c r="O119" s="65"/>
      <c r="P119" s="99"/>
      <c r="Q119" s="70"/>
      <c r="R119" s="99"/>
      <c r="S119" s="70"/>
      <c r="T119" s="61"/>
      <c r="U119" s="62"/>
      <c r="V119" s="63"/>
      <c r="W119" s="75"/>
      <c r="X119" s="61"/>
      <c r="Y119" s="62"/>
      <c r="Z119" s="63"/>
      <c r="AA119" s="75"/>
      <c r="AB119" s="228">
        <f>ROUND((ROUND((_15_同援日０．５*(1+_15・A夜間)),0)*(1+_15・区４)),0)+ROUND((ROUND((_15_同援日０．５＿２．５*(1+_15・B深夜)),0)*(1+_15・区４)),0)</f>
        <v>1219</v>
      </c>
      <c r="AC119" s="69"/>
    </row>
    <row r="120" spans="1:29" ht="16.5" customHeight="1" x14ac:dyDescent="0.3">
      <c r="A120" s="2">
        <v>15</v>
      </c>
      <c r="B120" s="2" t="s">
        <v>57</v>
      </c>
      <c r="C120" s="60" t="s">
        <v>10605</v>
      </c>
      <c r="D120" s="1"/>
      <c r="E120" s="68"/>
      <c r="F120" s="70"/>
      <c r="G120" s="1"/>
      <c r="H120" s="68"/>
      <c r="I120" s="70"/>
      <c r="J120" s="66"/>
      <c r="K120" s="57"/>
      <c r="L120" s="58"/>
      <c r="M120" s="83" t="s">
        <v>5895</v>
      </c>
      <c r="N120" s="64" t="s">
        <v>1</v>
      </c>
      <c r="O120" s="65">
        <v>1</v>
      </c>
      <c r="P120" s="99"/>
      <c r="Q120" s="70"/>
      <c r="R120" s="99"/>
      <c r="S120" s="70"/>
      <c r="T120" s="67"/>
      <c r="U120" s="68"/>
      <c r="V120" s="76"/>
      <c r="W120" s="70"/>
      <c r="X120" s="67"/>
      <c r="Y120" s="68"/>
      <c r="Z120" s="76"/>
      <c r="AA120" s="70"/>
      <c r="AB120" s="228">
        <f>ROUND((ROUND((ROUND((_15_同援日０．５*_15・２人),0)*(1+_15・A夜間)),0)*(1+_15・区４)),0)+ROUND((ROUND((ROUND((_15_同援日０．５＿２．５*_15・２人),0)*(1+_15・B深夜)),0)*(1+_15・区４)),0)</f>
        <v>1219</v>
      </c>
      <c r="AC120" s="69"/>
    </row>
    <row r="121" spans="1:29" ht="16.5" customHeight="1" x14ac:dyDescent="0.3">
      <c r="A121" s="2">
        <v>15</v>
      </c>
      <c r="B121" s="2" t="s">
        <v>58</v>
      </c>
      <c r="C121" s="60" t="s">
        <v>10604</v>
      </c>
      <c r="D121" s="1"/>
      <c r="E121" s="68"/>
      <c r="F121" s="70"/>
      <c r="G121" s="1"/>
      <c r="H121" s="68"/>
      <c r="I121" s="70"/>
      <c r="J121" s="74" t="s">
        <v>16971</v>
      </c>
      <c r="K121" s="62"/>
      <c r="L121" s="63"/>
      <c r="M121" s="85"/>
      <c r="N121" s="64"/>
      <c r="O121" s="65"/>
      <c r="P121" s="99"/>
      <c r="Q121" s="70"/>
      <c r="R121" s="99"/>
      <c r="S121" s="70"/>
      <c r="T121" s="67"/>
      <c r="U121" s="68"/>
      <c r="V121" s="76"/>
      <c r="W121" s="70"/>
      <c r="X121" s="1" t="s">
        <v>18094</v>
      </c>
      <c r="Y121" s="68"/>
      <c r="Z121" s="76"/>
      <c r="AA121" s="70"/>
      <c r="AB121" s="228">
        <f>ROUND((ROUND((ROUND((_15_同援日０．５*_15・基礎２),0)*(1+_15・A夜間)),0)*(1+_15・区４)),0)+ROUND((ROUND((ROUND((_15_同援日０．５＿２．５*_15・基礎２),0)*(1+_15・B深夜)),0)*(1+_15・区４)),0)</f>
        <v>1097</v>
      </c>
      <c r="AC121" s="69"/>
    </row>
    <row r="122" spans="1:29" ht="16.5" customHeight="1" x14ac:dyDescent="0.3">
      <c r="A122" s="2">
        <v>15</v>
      </c>
      <c r="B122" s="2" t="s">
        <v>59</v>
      </c>
      <c r="C122" s="60" t="s">
        <v>10603</v>
      </c>
      <c r="D122" s="1"/>
      <c r="E122" s="68"/>
      <c r="F122" s="70"/>
      <c r="G122" s="1"/>
      <c r="H122" s="68"/>
      <c r="I122" s="70"/>
      <c r="J122" s="106" t="s">
        <v>16970</v>
      </c>
      <c r="K122" s="57" t="s">
        <v>1</v>
      </c>
      <c r="L122" s="58">
        <v>0.9</v>
      </c>
      <c r="M122" s="83" t="s">
        <v>5895</v>
      </c>
      <c r="N122" s="64" t="s">
        <v>1</v>
      </c>
      <c r="O122" s="65">
        <v>1</v>
      </c>
      <c r="P122" s="99"/>
      <c r="Q122" s="70"/>
      <c r="R122" s="99"/>
      <c r="S122" s="70"/>
      <c r="T122" s="66"/>
      <c r="U122" s="57"/>
      <c r="V122" s="58"/>
      <c r="W122" s="77"/>
      <c r="X122" s="1" t="s">
        <v>17970</v>
      </c>
      <c r="Y122" s="68"/>
      <c r="Z122" s="76"/>
      <c r="AA122" s="70"/>
      <c r="AB122" s="228">
        <f>ROUND((ROUND((ROUND((ROUND((_15_同援日０．５*_15・基礎２),0)*_15・２人),0)*(1+_15・A夜間)),0)*(1+_15・区４)),0)+ROUND((ROUND((ROUND((ROUND((_15_同援日０．５＿２．５*_15・基礎２),0)*_15・２人),0)*(1+_15・B深夜)),0)*(1+_15・区４)),0)</f>
        <v>1097</v>
      </c>
      <c r="AC122" s="69"/>
    </row>
    <row r="123" spans="1:29" ht="16.5" customHeight="1" x14ac:dyDescent="0.3">
      <c r="A123" s="2">
        <v>15</v>
      </c>
      <c r="B123" s="2" t="s">
        <v>60</v>
      </c>
      <c r="C123" s="60" t="s">
        <v>10602</v>
      </c>
      <c r="D123" s="1"/>
      <c r="E123" s="68"/>
      <c r="F123" s="70"/>
      <c r="G123" s="1"/>
      <c r="H123" s="68"/>
      <c r="I123" s="70"/>
      <c r="J123" s="61"/>
      <c r="K123" s="62"/>
      <c r="L123" s="63"/>
      <c r="M123" s="85"/>
      <c r="N123" s="64"/>
      <c r="O123" s="65"/>
      <c r="P123" s="99"/>
      <c r="Q123" s="70"/>
      <c r="R123" s="99"/>
      <c r="S123" s="70"/>
      <c r="T123" s="74" t="s">
        <v>18025</v>
      </c>
      <c r="U123" s="62"/>
      <c r="V123" s="63"/>
      <c r="W123" s="75"/>
      <c r="X123" s="67"/>
      <c r="Y123" s="68" t="s">
        <v>1</v>
      </c>
      <c r="Z123" s="76">
        <v>0.4</v>
      </c>
      <c r="AA123" s="70" t="s">
        <v>422</v>
      </c>
      <c r="AB123" s="228">
        <f>ROUND((ROUND((ROUND((_15_同援日０．５*(1+_15・A夜間)),0)*(1+_15・盲ろう)),0)*(1+_15・区４)),0)+ROUND((ROUND((ROUND((_15_同援日０．５＿２．５*(1+_15・B深夜)),0)*(1+_15・盲ろう)),0)*(1+_15・区４)),0)</f>
        <v>1524</v>
      </c>
      <c r="AC123" s="69"/>
    </row>
    <row r="124" spans="1:29" ht="16.5" customHeight="1" x14ac:dyDescent="0.3">
      <c r="A124" s="2">
        <v>15</v>
      </c>
      <c r="B124" s="2" t="s">
        <v>61</v>
      </c>
      <c r="C124" s="60" t="s">
        <v>10601</v>
      </c>
      <c r="D124" s="1"/>
      <c r="E124" s="68"/>
      <c r="F124" s="70"/>
      <c r="G124" s="1"/>
      <c r="H124" s="68"/>
      <c r="I124" s="70"/>
      <c r="J124" s="66"/>
      <c r="K124" s="57"/>
      <c r="L124" s="58"/>
      <c r="M124" s="83" t="s">
        <v>5895</v>
      </c>
      <c r="N124" s="64" t="s">
        <v>1</v>
      </c>
      <c r="O124" s="65">
        <v>1</v>
      </c>
      <c r="P124" s="99"/>
      <c r="Q124" s="70"/>
      <c r="R124" s="99"/>
      <c r="S124" s="70"/>
      <c r="T124" s="94" t="s">
        <v>18024</v>
      </c>
      <c r="U124" s="68"/>
      <c r="V124" s="76"/>
      <c r="W124" s="70"/>
      <c r="X124" s="67"/>
      <c r="Y124" s="68"/>
      <c r="Z124" s="76"/>
      <c r="AA124" s="70"/>
      <c r="AB124" s="228">
        <f>ROUND((ROUND((ROUND((ROUND((_15_同援日０．５*_15・２人),0)*(1+_15・A夜間)),0)*(1+_15・盲ろう)),0)*(1+_15・区４)),0)+ROUND((ROUND((ROUND((ROUND((_15_同援日０．５＿２．５*_15・２人),0)*(1+_15・B深夜)),0)*(1+_15・盲ろう)),0)*(1+_15・区４)),0)</f>
        <v>1524</v>
      </c>
      <c r="AC124" s="69"/>
    </row>
    <row r="125" spans="1:29" ht="16.5" customHeight="1" x14ac:dyDescent="0.3">
      <c r="A125" s="2">
        <v>15</v>
      </c>
      <c r="B125" s="2" t="s">
        <v>62</v>
      </c>
      <c r="C125" s="60" t="s">
        <v>10600</v>
      </c>
      <c r="D125" s="1"/>
      <c r="E125" s="68"/>
      <c r="F125" s="70"/>
      <c r="G125" s="1"/>
      <c r="H125" s="68"/>
      <c r="I125" s="70"/>
      <c r="J125" s="74" t="s">
        <v>17054</v>
      </c>
      <c r="K125" s="62"/>
      <c r="L125" s="63"/>
      <c r="M125" s="85"/>
      <c r="N125" s="64"/>
      <c r="O125" s="65"/>
      <c r="P125" s="99"/>
      <c r="Q125" s="70"/>
      <c r="R125" s="99"/>
      <c r="S125" s="70"/>
      <c r="T125" s="67"/>
      <c r="U125" s="68" t="s">
        <v>1</v>
      </c>
      <c r="V125" s="76">
        <v>0.25</v>
      </c>
      <c r="W125" s="70" t="s">
        <v>422</v>
      </c>
      <c r="X125" s="67"/>
      <c r="Y125" s="68"/>
      <c r="Z125" s="76"/>
      <c r="AA125" s="70"/>
      <c r="AB125" s="228">
        <f>ROUND((ROUND((ROUND((ROUND((_15_同援日０．５*_15・基礎２),0)*(1+_15・A夜間)),0)*(1+_15・盲ろう)),0)*(1+_15・区４)),0)+ROUND((ROUND((ROUND((ROUND((_15_同援日０．５＿２．５*_15・基礎２),0)*(1+_15・B深夜)),0)*(1+_15・盲ろう)),0)*(1+_15・区４)),0)</f>
        <v>1372</v>
      </c>
      <c r="AC125" s="69"/>
    </row>
    <row r="126" spans="1:29" ht="16.5" customHeight="1" x14ac:dyDescent="0.3">
      <c r="A126" s="2">
        <v>15</v>
      </c>
      <c r="B126" s="2" t="s">
        <v>63</v>
      </c>
      <c r="C126" s="60" t="s">
        <v>10599</v>
      </c>
      <c r="D126" s="81"/>
      <c r="E126" s="57"/>
      <c r="F126" s="77"/>
      <c r="G126" s="81"/>
      <c r="H126" s="57"/>
      <c r="I126" s="77"/>
      <c r="J126" s="106" t="s">
        <v>16970</v>
      </c>
      <c r="K126" s="57" t="s">
        <v>1</v>
      </c>
      <c r="L126" s="58">
        <v>0.9</v>
      </c>
      <c r="M126" s="83" t="s">
        <v>5895</v>
      </c>
      <c r="N126" s="64" t="s">
        <v>1</v>
      </c>
      <c r="O126" s="65">
        <v>1</v>
      </c>
      <c r="P126" s="99"/>
      <c r="Q126" s="70"/>
      <c r="R126" s="99"/>
      <c r="S126" s="70"/>
      <c r="T126" s="66"/>
      <c r="U126" s="57"/>
      <c r="V126" s="58"/>
      <c r="W126" s="77"/>
      <c r="X126" s="66"/>
      <c r="Y126" s="57"/>
      <c r="Z126" s="58"/>
      <c r="AA126" s="77"/>
      <c r="AB126" s="228">
        <f>ROUND((ROUND((ROUND((ROUND((ROUND((_15_同援日０．５*_15・基礎２),0)*_15・２人),0)*(1+_15・A夜間)),0)*(1+_15・盲ろう)),0)*(1+_15・区４)),0)+ROUND((ROUND((ROUND((ROUND((ROUND((_15_同援日０．５＿２．５*_15・基礎２),0)*_15・２人),0)*(1+_15・B深夜)),0)*(1+_15・盲ろう)),0)*(1+_15・区４)),0)</f>
        <v>1372</v>
      </c>
      <c r="AC126" s="69"/>
    </row>
    <row r="127" spans="1:29" ht="16.5" customHeight="1" x14ac:dyDescent="0.3">
      <c r="A127" s="2">
        <v>15</v>
      </c>
      <c r="B127" s="2" t="s">
        <v>64</v>
      </c>
      <c r="C127" s="60" t="s">
        <v>10598</v>
      </c>
      <c r="D127" s="233" t="s">
        <v>18093</v>
      </c>
      <c r="E127" s="62"/>
      <c r="F127" s="75"/>
      <c r="G127" s="233" t="s">
        <v>17714</v>
      </c>
      <c r="H127" s="62"/>
      <c r="I127" s="75"/>
      <c r="J127" s="61"/>
      <c r="K127" s="62"/>
      <c r="L127" s="63"/>
      <c r="M127" s="85"/>
      <c r="N127" s="64"/>
      <c r="O127" s="65"/>
      <c r="P127" s="99"/>
      <c r="Q127" s="70"/>
      <c r="R127" s="99"/>
      <c r="S127" s="70"/>
      <c r="T127" s="61"/>
      <c r="U127" s="62"/>
      <c r="V127" s="63"/>
      <c r="W127" s="75"/>
      <c r="X127" s="61"/>
      <c r="Y127" s="62"/>
      <c r="Z127" s="63"/>
      <c r="AA127" s="75"/>
      <c r="AB127" s="228">
        <f>ROUND((_15_同援日１．０*(1+_15・A夜間)),0)+ROUND((_15_同援日１．０＿０．５*(1+_15・B深夜)),0)</f>
        <v>559</v>
      </c>
      <c r="AC127" s="69"/>
    </row>
    <row r="128" spans="1:29" ht="16.5" customHeight="1" x14ac:dyDescent="0.3">
      <c r="A128" s="2">
        <v>15</v>
      </c>
      <c r="B128" s="2" t="s">
        <v>65</v>
      </c>
      <c r="C128" s="60" t="s">
        <v>10597</v>
      </c>
      <c r="D128" s="1" t="s">
        <v>16978</v>
      </c>
      <c r="E128" s="68"/>
      <c r="F128" s="70"/>
      <c r="G128" s="1" t="s">
        <v>7928</v>
      </c>
      <c r="H128" s="68"/>
      <c r="I128" s="70"/>
      <c r="J128" s="66"/>
      <c r="K128" s="57"/>
      <c r="L128" s="58"/>
      <c r="M128" s="83" t="s">
        <v>5895</v>
      </c>
      <c r="N128" s="64" t="s">
        <v>1</v>
      </c>
      <c r="O128" s="65">
        <v>1</v>
      </c>
      <c r="P128" s="99"/>
      <c r="Q128" s="70"/>
      <c r="R128" s="99"/>
      <c r="S128" s="70"/>
      <c r="T128" s="67"/>
      <c r="U128" s="68"/>
      <c r="V128" s="76"/>
      <c r="W128" s="70"/>
      <c r="X128" s="67"/>
      <c r="Y128" s="68"/>
      <c r="Z128" s="76"/>
      <c r="AA128" s="70"/>
      <c r="AB128" s="228">
        <f>ROUND((ROUND((_15_同援日１．０*_15・２人),0)*(1+_15・A夜間)),0)+ROUND((ROUND((_15_同援日１．０＿０．５*_15・２人),0)*(1+_15・B深夜)),0)</f>
        <v>559</v>
      </c>
      <c r="AC128" s="69"/>
    </row>
    <row r="129" spans="1:29" ht="16.5" customHeight="1" x14ac:dyDescent="0.3">
      <c r="A129" s="2">
        <v>15</v>
      </c>
      <c r="B129" s="2" t="s">
        <v>66</v>
      </c>
      <c r="C129" s="60" t="s">
        <v>10596</v>
      </c>
      <c r="D129" s="1" t="s">
        <v>8572</v>
      </c>
      <c r="E129" s="68"/>
      <c r="F129" s="70"/>
      <c r="G129" s="1"/>
      <c r="H129" s="68"/>
      <c r="I129" s="70"/>
      <c r="J129" s="74" t="s">
        <v>16971</v>
      </c>
      <c r="K129" s="62"/>
      <c r="L129" s="63"/>
      <c r="M129" s="85"/>
      <c r="N129" s="64"/>
      <c r="O129" s="65"/>
      <c r="P129" s="99"/>
      <c r="Q129" s="70"/>
      <c r="R129" s="99"/>
      <c r="S129" s="70"/>
      <c r="T129" s="67"/>
      <c r="U129" s="68"/>
      <c r="V129" s="76"/>
      <c r="W129" s="70"/>
      <c r="X129" s="67"/>
      <c r="Y129" s="68"/>
      <c r="Z129" s="76"/>
      <c r="AA129" s="70"/>
      <c r="AB129" s="228">
        <f>ROUND((ROUND((_15_同援日１．０*_15・基礎２),0)*(1+_15・A夜間)),0)+ROUND((ROUND((_15_同援日１．０＿０．５*_15・基礎２),0)*(1+_15・B深夜)),0)</f>
        <v>503</v>
      </c>
      <c r="AC129" s="69"/>
    </row>
    <row r="130" spans="1:29" ht="16.5" customHeight="1" x14ac:dyDescent="0.3">
      <c r="A130" s="2">
        <v>15</v>
      </c>
      <c r="B130" s="2" t="s">
        <v>67</v>
      </c>
      <c r="C130" s="60" t="s">
        <v>10595</v>
      </c>
      <c r="D130" s="1"/>
      <c r="E130" s="227">
        <v>292</v>
      </c>
      <c r="F130" s="70" t="s">
        <v>0</v>
      </c>
      <c r="G130" s="1"/>
      <c r="H130" s="119">
        <v>129</v>
      </c>
      <c r="I130" s="70" t="s">
        <v>0</v>
      </c>
      <c r="J130" s="106" t="s">
        <v>16970</v>
      </c>
      <c r="K130" s="57" t="s">
        <v>1</v>
      </c>
      <c r="L130" s="58">
        <v>0.9</v>
      </c>
      <c r="M130" s="83" t="s">
        <v>5895</v>
      </c>
      <c r="N130" s="64" t="s">
        <v>1</v>
      </c>
      <c r="O130" s="65">
        <v>1</v>
      </c>
      <c r="P130" s="99"/>
      <c r="Q130" s="70"/>
      <c r="R130" s="99"/>
      <c r="S130" s="70"/>
      <c r="T130" s="66"/>
      <c r="U130" s="57"/>
      <c r="V130" s="58"/>
      <c r="W130" s="77"/>
      <c r="X130" s="67"/>
      <c r="Y130" s="68"/>
      <c r="Z130" s="76"/>
      <c r="AA130" s="70"/>
      <c r="AB130" s="228">
        <f>ROUND((ROUND((ROUND((_15_同援日１．０*_15・基礎２),0)*_15・２人),0)*(1+_15・A夜間)),0)+ROUND((ROUND((ROUND((_15_同援日１．０＿０．５*_15・基礎２),0)*_15・２人),0)*(1+_15・B深夜)),0)</f>
        <v>503</v>
      </c>
      <c r="AC130" s="69"/>
    </row>
    <row r="131" spans="1:29" ht="16.5" customHeight="1" x14ac:dyDescent="0.3">
      <c r="A131" s="2">
        <v>15</v>
      </c>
      <c r="B131" s="2" t="s">
        <v>68</v>
      </c>
      <c r="C131" s="60" t="s">
        <v>10594</v>
      </c>
      <c r="D131" s="1"/>
      <c r="E131" s="68"/>
      <c r="F131" s="70"/>
      <c r="G131" s="1"/>
      <c r="H131" s="68"/>
      <c r="I131" s="70"/>
      <c r="J131" s="61"/>
      <c r="K131" s="62"/>
      <c r="L131" s="63"/>
      <c r="M131" s="85"/>
      <c r="N131" s="64"/>
      <c r="O131" s="65"/>
      <c r="P131" s="99"/>
      <c r="Q131" s="70"/>
      <c r="R131" s="99"/>
      <c r="S131" s="70"/>
      <c r="T131" s="74" t="s">
        <v>18025</v>
      </c>
      <c r="U131" s="62"/>
      <c r="V131" s="63"/>
      <c r="W131" s="75"/>
      <c r="X131" s="67"/>
      <c r="Y131" s="68"/>
      <c r="Z131" s="76"/>
      <c r="AA131" s="70"/>
      <c r="AB131" s="228">
        <f>ROUND((ROUND((_15_同援日１．０*(1+_15・A夜間)),0)*(1+_15・盲ろう)),0)+ROUND((ROUND((_15_同援日１．０＿０．５*(1+_15・B深夜)),0)*(1+_15・盲ろう)),0)</f>
        <v>699</v>
      </c>
      <c r="AC131" s="69"/>
    </row>
    <row r="132" spans="1:29" ht="16.5" customHeight="1" x14ac:dyDescent="0.3">
      <c r="A132" s="2">
        <v>15</v>
      </c>
      <c r="B132" s="2" t="s">
        <v>69</v>
      </c>
      <c r="C132" s="60" t="s">
        <v>10593</v>
      </c>
      <c r="D132" s="1"/>
      <c r="E132" s="68"/>
      <c r="F132" s="70"/>
      <c r="G132" s="1"/>
      <c r="H132" s="68"/>
      <c r="I132" s="70"/>
      <c r="J132" s="66"/>
      <c r="K132" s="57"/>
      <c r="L132" s="58"/>
      <c r="M132" s="83" t="s">
        <v>5895</v>
      </c>
      <c r="N132" s="64" t="s">
        <v>1</v>
      </c>
      <c r="O132" s="65">
        <v>1</v>
      </c>
      <c r="P132" s="99"/>
      <c r="Q132" s="70"/>
      <c r="R132" s="99"/>
      <c r="S132" s="70"/>
      <c r="T132" s="94" t="s">
        <v>18024</v>
      </c>
      <c r="U132" s="68"/>
      <c r="V132" s="76"/>
      <c r="W132" s="70"/>
      <c r="X132" s="67"/>
      <c r="Y132" s="68"/>
      <c r="Z132" s="76"/>
      <c r="AA132" s="70"/>
      <c r="AB132" s="228">
        <f>ROUND((ROUND((ROUND((_15_同援日１．０*_15・２人),0)*(1+_15・A夜間)),0)*(1+_15・盲ろう)),0)+ROUND((ROUND((ROUND((_15_同援日１．０＿０．５*_15・２人),0)*(1+_15・B深夜)),0)*(1+_15・盲ろう)),0)</f>
        <v>699</v>
      </c>
      <c r="AC132" s="69"/>
    </row>
    <row r="133" spans="1:29" ht="16.5" customHeight="1" x14ac:dyDescent="0.3">
      <c r="A133" s="2">
        <v>15</v>
      </c>
      <c r="B133" s="2" t="s">
        <v>70</v>
      </c>
      <c r="C133" s="60" t="s">
        <v>10592</v>
      </c>
      <c r="D133" s="1"/>
      <c r="E133" s="68"/>
      <c r="F133" s="70"/>
      <c r="G133" s="1"/>
      <c r="H133" s="68"/>
      <c r="I133" s="70"/>
      <c r="J133" s="74" t="s">
        <v>17054</v>
      </c>
      <c r="K133" s="62"/>
      <c r="L133" s="63"/>
      <c r="M133" s="85"/>
      <c r="N133" s="64"/>
      <c r="O133" s="65"/>
      <c r="P133" s="99"/>
      <c r="Q133" s="70"/>
      <c r="R133" s="99"/>
      <c r="S133" s="70"/>
      <c r="T133" s="67"/>
      <c r="U133" s="68" t="s">
        <v>1</v>
      </c>
      <c r="V133" s="76">
        <v>0.25</v>
      </c>
      <c r="W133" s="70" t="s">
        <v>422</v>
      </c>
      <c r="X133" s="67"/>
      <c r="Y133" s="68"/>
      <c r="Z133" s="76"/>
      <c r="AA133" s="70"/>
      <c r="AB133" s="228">
        <f>ROUND((ROUND((ROUND((_15_同援日１．０*_15・基礎２),0)*(1+_15・A夜間)),0)*(1+_15・盲ろう)),0)+ROUND((ROUND((ROUND((_15_同援日１．０＿０．５*_15・基礎２),0)*(1+_15・B深夜)),0)*(1+_15・盲ろう)),0)</f>
        <v>629</v>
      </c>
      <c r="AC133" s="69"/>
    </row>
    <row r="134" spans="1:29" ht="16.5" customHeight="1" x14ac:dyDescent="0.3">
      <c r="A134" s="2">
        <v>15</v>
      </c>
      <c r="B134" s="2" t="s">
        <v>71</v>
      </c>
      <c r="C134" s="60" t="s">
        <v>10591</v>
      </c>
      <c r="D134" s="1"/>
      <c r="E134" s="68"/>
      <c r="F134" s="70"/>
      <c r="G134" s="1"/>
      <c r="H134" s="68"/>
      <c r="I134" s="70"/>
      <c r="J134" s="106" t="s">
        <v>16970</v>
      </c>
      <c r="K134" s="57" t="s">
        <v>1</v>
      </c>
      <c r="L134" s="58">
        <v>0.9</v>
      </c>
      <c r="M134" s="83" t="s">
        <v>5895</v>
      </c>
      <c r="N134" s="64" t="s">
        <v>1</v>
      </c>
      <c r="O134" s="65">
        <v>1</v>
      </c>
      <c r="P134" s="99"/>
      <c r="Q134" s="70"/>
      <c r="R134" s="99"/>
      <c r="S134" s="70"/>
      <c r="T134" s="66"/>
      <c r="U134" s="57"/>
      <c r="V134" s="58"/>
      <c r="W134" s="77"/>
      <c r="X134" s="66"/>
      <c r="Y134" s="57"/>
      <c r="Z134" s="58"/>
      <c r="AA134" s="77"/>
      <c r="AB134" s="228">
        <f>ROUND((ROUND((ROUND((ROUND((_15_同援日１．０*_15・基礎２),0)*_15・２人),0)*(1+_15・A夜間)),0)*(1+_15・盲ろう)),0)+ROUND((ROUND((ROUND((ROUND((_15_同援日１．０＿０．５*_15・基礎２),0)*_15・２人),0)*(1+_15・B深夜)),0)*(1+_15・盲ろう)),0)</f>
        <v>629</v>
      </c>
      <c r="AC134" s="69"/>
    </row>
    <row r="135" spans="1:29" ht="16.5" customHeight="1" x14ac:dyDescent="0.3">
      <c r="A135" s="2">
        <v>15</v>
      </c>
      <c r="B135" s="2" t="s">
        <v>72</v>
      </c>
      <c r="C135" s="60" t="s">
        <v>10590</v>
      </c>
      <c r="D135" s="1"/>
      <c r="E135" s="68"/>
      <c r="F135" s="70"/>
      <c r="G135" s="1"/>
      <c r="H135" s="68"/>
      <c r="I135" s="70"/>
      <c r="J135" s="61"/>
      <c r="K135" s="62"/>
      <c r="L135" s="63"/>
      <c r="M135" s="85"/>
      <c r="N135" s="64"/>
      <c r="O135" s="65"/>
      <c r="P135" s="99"/>
      <c r="Q135" s="70"/>
      <c r="R135" s="99"/>
      <c r="S135" s="70"/>
      <c r="T135" s="61"/>
      <c r="U135" s="62"/>
      <c r="V135" s="63"/>
      <c r="W135" s="75"/>
      <c r="X135" s="61"/>
      <c r="Y135" s="62"/>
      <c r="Z135" s="63"/>
      <c r="AA135" s="75"/>
      <c r="AB135" s="228">
        <f>ROUND((ROUND((_15_同援日１．０*(1+_15・A夜間)),0)*(1+_15・区３)),0)+ROUND((ROUND((_15_同援日１．０＿０．５*(1+_15・B深夜)),0)*(1+_15・区３)),0)</f>
        <v>671</v>
      </c>
      <c r="AC135" s="69"/>
    </row>
    <row r="136" spans="1:29" ht="16.5" customHeight="1" x14ac:dyDescent="0.3">
      <c r="A136" s="2">
        <v>15</v>
      </c>
      <c r="B136" s="2" t="s">
        <v>73</v>
      </c>
      <c r="C136" s="60" t="s">
        <v>10589</v>
      </c>
      <c r="D136" s="1"/>
      <c r="E136" s="68"/>
      <c r="F136" s="70"/>
      <c r="G136" s="1"/>
      <c r="H136" s="68"/>
      <c r="I136" s="70"/>
      <c r="J136" s="66"/>
      <c r="K136" s="57"/>
      <c r="L136" s="58"/>
      <c r="M136" s="83" t="s">
        <v>5895</v>
      </c>
      <c r="N136" s="64" t="s">
        <v>1</v>
      </c>
      <c r="O136" s="65">
        <v>1</v>
      </c>
      <c r="P136" s="99"/>
      <c r="Q136" s="70"/>
      <c r="R136" s="99"/>
      <c r="S136" s="70"/>
      <c r="T136" s="67"/>
      <c r="U136" s="68"/>
      <c r="V136" s="76"/>
      <c r="W136" s="70"/>
      <c r="X136" s="67"/>
      <c r="Y136" s="68"/>
      <c r="Z136" s="76"/>
      <c r="AA136" s="70"/>
      <c r="AB136" s="228">
        <f>ROUND((ROUND((ROUND((_15_同援日１．０*_15・２人),0)*(1+_15・A夜間)),0)*(1+_15・区３)),0)+ROUND((ROUND((ROUND((_15_同援日１．０＿０．５*_15・２人),0)*(1+_15・B深夜)),0)*(1+_15・区３)),0)</f>
        <v>671</v>
      </c>
      <c r="AC136" s="69"/>
    </row>
    <row r="137" spans="1:29" ht="16.5" customHeight="1" x14ac:dyDescent="0.3">
      <c r="A137" s="2">
        <v>15</v>
      </c>
      <c r="B137" s="2" t="s">
        <v>74</v>
      </c>
      <c r="C137" s="60" t="s">
        <v>10588</v>
      </c>
      <c r="D137" s="1"/>
      <c r="E137" s="68"/>
      <c r="F137" s="70"/>
      <c r="G137" s="1"/>
      <c r="H137" s="68"/>
      <c r="I137" s="70"/>
      <c r="J137" s="74" t="s">
        <v>16971</v>
      </c>
      <c r="K137" s="62"/>
      <c r="L137" s="63"/>
      <c r="M137" s="85"/>
      <c r="N137" s="64"/>
      <c r="O137" s="65"/>
      <c r="P137" s="99"/>
      <c r="Q137" s="70"/>
      <c r="R137" s="99"/>
      <c r="S137" s="70"/>
      <c r="T137" s="67"/>
      <c r="U137" s="68"/>
      <c r="V137" s="76"/>
      <c r="W137" s="70"/>
      <c r="X137" s="1" t="s">
        <v>18089</v>
      </c>
      <c r="Y137" s="68"/>
      <c r="Z137" s="76"/>
      <c r="AA137" s="70"/>
      <c r="AB137" s="228">
        <f>ROUND((ROUND((ROUND((_15_同援日１．０*_15・基礎２),0)*(1+_15・A夜間)),0)*(1+_15・区３)),0)+ROUND((ROUND((ROUND((_15_同援日１．０＿０．５*_15・基礎２),0)*(1+_15・B深夜)),0)*(1+_15・区３)),0)</f>
        <v>604</v>
      </c>
      <c r="AC137" s="69"/>
    </row>
    <row r="138" spans="1:29" ht="16.5" customHeight="1" x14ac:dyDescent="0.3">
      <c r="A138" s="2">
        <v>15</v>
      </c>
      <c r="B138" s="2" t="s">
        <v>75</v>
      </c>
      <c r="C138" s="60" t="s">
        <v>10587</v>
      </c>
      <c r="D138" s="1"/>
      <c r="E138" s="68"/>
      <c r="F138" s="70"/>
      <c r="G138" s="1"/>
      <c r="H138" s="68"/>
      <c r="I138" s="70"/>
      <c r="J138" s="106" t="s">
        <v>16970</v>
      </c>
      <c r="K138" s="57" t="s">
        <v>1</v>
      </c>
      <c r="L138" s="58">
        <v>0.9</v>
      </c>
      <c r="M138" s="83" t="s">
        <v>5895</v>
      </c>
      <c r="N138" s="64" t="s">
        <v>1</v>
      </c>
      <c r="O138" s="65">
        <v>1</v>
      </c>
      <c r="P138" s="99"/>
      <c r="Q138" s="70"/>
      <c r="R138" s="99"/>
      <c r="S138" s="70"/>
      <c r="T138" s="66"/>
      <c r="U138" s="57"/>
      <c r="V138" s="58"/>
      <c r="W138" s="77"/>
      <c r="X138" s="1" t="s">
        <v>18026</v>
      </c>
      <c r="Y138" s="68"/>
      <c r="Z138" s="76"/>
      <c r="AA138" s="70"/>
      <c r="AB138" s="228">
        <f>ROUND((ROUND((ROUND((ROUND((_15_同援日１．０*_15・基礎２),0)*_15・２人),0)*(1+_15・A夜間)),0)*(1+_15・区３)),0)+ROUND((ROUND((ROUND((ROUND((_15_同援日１．０＿０．５*_15・基礎２),0)*_15・２人),0)*(1+_15・B深夜)),0)*(1+_15・区３)),0)</f>
        <v>604</v>
      </c>
      <c r="AC138" s="69"/>
    </row>
    <row r="139" spans="1:29" ht="16.5" customHeight="1" x14ac:dyDescent="0.3">
      <c r="A139" s="2">
        <v>15</v>
      </c>
      <c r="B139" s="2" t="s">
        <v>76</v>
      </c>
      <c r="C139" s="60" t="s">
        <v>10586</v>
      </c>
      <c r="D139" s="1"/>
      <c r="E139" s="68"/>
      <c r="F139" s="70"/>
      <c r="G139" s="1"/>
      <c r="H139" s="68"/>
      <c r="I139" s="70"/>
      <c r="J139" s="61"/>
      <c r="K139" s="62"/>
      <c r="L139" s="63"/>
      <c r="M139" s="85"/>
      <c r="N139" s="64"/>
      <c r="O139" s="65"/>
      <c r="P139" s="99"/>
      <c r="Q139" s="70"/>
      <c r="R139" s="99"/>
      <c r="S139" s="70"/>
      <c r="T139" s="74" t="s">
        <v>18087</v>
      </c>
      <c r="U139" s="62"/>
      <c r="V139" s="63"/>
      <c r="W139" s="75"/>
      <c r="X139" s="67"/>
      <c r="Y139" s="68" t="s">
        <v>1</v>
      </c>
      <c r="Z139" s="76">
        <v>0.2</v>
      </c>
      <c r="AA139" s="70" t="s">
        <v>422</v>
      </c>
      <c r="AB139" s="228">
        <f>ROUND((ROUND((ROUND((_15_同援日１．０*(1+_15・A夜間)),0)*(1+_15・盲ろう)),0)*(1+_15・区３)),0)+ROUND((ROUND((ROUND((_15_同援日１．０＿０．５*(1+_15・B深夜)),0)*(1+_15・盲ろう)),0)*(1+_15・区３)),0)</f>
        <v>839</v>
      </c>
      <c r="AC139" s="69"/>
    </row>
    <row r="140" spans="1:29" ht="16.5" customHeight="1" x14ac:dyDescent="0.3">
      <c r="A140" s="2">
        <v>15</v>
      </c>
      <c r="B140" s="2" t="s">
        <v>77</v>
      </c>
      <c r="C140" s="60" t="s">
        <v>10585</v>
      </c>
      <c r="D140" s="1"/>
      <c r="E140" s="68"/>
      <c r="F140" s="70"/>
      <c r="G140" s="1"/>
      <c r="H140" s="68"/>
      <c r="I140" s="70"/>
      <c r="J140" s="66"/>
      <c r="K140" s="57"/>
      <c r="L140" s="58"/>
      <c r="M140" s="83" t="s">
        <v>5895</v>
      </c>
      <c r="N140" s="64" t="s">
        <v>1</v>
      </c>
      <c r="O140" s="65">
        <v>1</v>
      </c>
      <c r="P140" s="99"/>
      <c r="Q140" s="70"/>
      <c r="R140" s="99"/>
      <c r="S140" s="70"/>
      <c r="T140" s="94" t="s">
        <v>18086</v>
      </c>
      <c r="U140" s="68"/>
      <c r="V140" s="76"/>
      <c r="W140" s="70"/>
      <c r="X140" s="67"/>
      <c r="Y140" s="68"/>
      <c r="Z140" s="76"/>
      <c r="AA140" s="70"/>
      <c r="AB140" s="228">
        <f>ROUND((ROUND((ROUND((ROUND((_15_同援日１．０*_15・２人),0)*(1+_15・A夜間)),0)*(1+_15・盲ろう)),0)*(1+_15・区３)),0)+ROUND((ROUND((ROUND((ROUND((_15_同援日１．０＿０．５*_15・２人),0)*(1+_15・B深夜)),0)*(1+_15・盲ろう)),0)*(1+_15・区３)),0)</f>
        <v>839</v>
      </c>
      <c r="AC140" s="69"/>
    </row>
    <row r="141" spans="1:29" ht="16.5" customHeight="1" x14ac:dyDescent="0.3">
      <c r="A141" s="2">
        <v>15</v>
      </c>
      <c r="B141" s="2" t="s">
        <v>78</v>
      </c>
      <c r="C141" s="60" t="s">
        <v>10584</v>
      </c>
      <c r="D141" s="1"/>
      <c r="E141" s="68"/>
      <c r="F141" s="70"/>
      <c r="G141" s="1"/>
      <c r="H141" s="68"/>
      <c r="I141" s="70"/>
      <c r="J141" s="74" t="s">
        <v>17054</v>
      </c>
      <c r="K141" s="62"/>
      <c r="L141" s="63"/>
      <c r="M141" s="85"/>
      <c r="N141" s="64"/>
      <c r="O141" s="65"/>
      <c r="P141" s="99"/>
      <c r="Q141" s="70"/>
      <c r="R141" s="99"/>
      <c r="S141" s="70"/>
      <c r="T141" s="67"/>
      <c r="U141" s="68" t="s">
        <v>1</v>
      </c>
      <c r="V141" s="76">
        <v>0.25</v>
      </c>
      <c r="W141" s="70" t="s">
        <v>422</v>
      </c>
      <c r="X141" s="67"/>
      <c r="Y141" s="68"/>
      <c r="Z141" s="76"/>
      <c r="AA141" s="70"/>
      <c r="AB141" s="228">
        <f>ROUND((ROUND((ROUND((ROUND((_15_同援日１．０*_15・基礎２),0)*(1+_15・A夜間)),0)*(1+_15・盲ろう)),0)*(1+_15・区３)),0)+ROUND((ROUND((ROUND((ROUND((_15_同援日１．０＿０．５*_15・基礎２),0)*(1+_15・B深夜)),0)*(1+_15・盲ろう)),0)*(1+_15・区３)),0)</f>
        <v>755</v>
      </c>
      <c r="AC141" s="69"/>
    </row>
    <row r="142" spans="1:29" ht="16.5" customHeight="1" x14ac:dyDescent="0.3">
      <c r="A142" s="2">
        <v>15</v>
      </c>
      <c r="B142" s="2" t="s">
        <v>79</v>
      </c>
      <c r="C142" s="60" t="s">
        <v>10583</v>
      </c>
      <c r="D142" s="1"/>
      <c r="E142" s="68"/>
      <c r="F142" s="70"/>
      <c r="G142" s="1"/>
      <c r="H142" s="68"/>
      <c r="I142" s="70"/>
      <c r="J142" s="106" t="s">
        <v>17053</v>
      </c>
      <c r="K142" s="57" t="s">
        <v>1</v>
      </c>
      <c r="L142" s="58">
        <v>0.9</v>
      </c>
      <c r="M142" s="83" t="s">
        <v>5895</v>
      </c>
      <c r="N142" s="64" t="s">
        <v>1</v>
      </c>
      <c r="O142" s="65">
        <v>1</v>
      </c>
      <c r="P142" s="99"/>
      <c r="Q142" s="70"/>
      <c r="R142" s="99"/>
      <c r="S142" s="70"/>
      <c r="T142" s="66"/>
      <c r="U142" s="57"/>
      <c r="V142" s="58"/>
      <c r="W142" s="77"/>
      <c r="X142" s="66"/>
      <c r="Y142" s="57"/>
      <c r="Z142" s="58"/>
      <c r="AA142" s="77"/>
      <c r="AB142" s="228">
        <f>ROUND((ROUND((ROUND((ROUND((ROUND((_15_同援日１．０*_15・基礎２),0)*_15・２人),0)*(1+_15・A夜間)),0)*(1+_15・盲ろう)),0)*(1+_15・区３)),0)+ROUND((ROUND((ROUND((ROUND((ROUND((_15_同援日１．０＿０．５*_15・基礎２),0)*_15・２人),0)*(1+_15・B深夜)),0)*(1+_15・盲ろう)),0)*(1+_15・区３)),0)</f>
        <v>755</v>
      </c>
      <c r="AC142" s="69"/>
    </row>
    <row r="143" spans="1:29" ht="16.5" customHeight="1" x14ac:dyDescent="0.3">
      <c r="A143" s="2">
        <v>15</v>
      </c>
      <c r="B143" s="2" t="s">
        <v>80</v>
      </c>
      <c r="C143" s="60" t="s">
        <v>10582</v>
      </c>
      <c r="D143" s="1"/>
      <c r="E143" s="68"/>
      <c r="F143" s="70"/>
      <c r="G143" s="1"/>
      <c r="H143" s="68"/>
      <c r="I143" s="70"/>
      <c r="J143" s="61"/>
      <c r="K143" s="62"/>
      <c r="L143" s="63"/>
      <c r="M143" s="85"/>
      <c r="N143" s="64"/>
      <c r="O143" s="65"/>
      <c r="P143" s="99"/>
      <c r="Q143" s="70"/>
      <c r="R143" s="99"/>
      <c r="S143" s="70"/>
      <c r="T143" s="61"/>
      <c r="U143" s="62"/>
      <c r="V143" s="63"/>
      <c r="W143" s="75"/>
      <c r="X143" s="61"/>
      <c r="Y143" s="62"/>
      <c r="Z143" s="63"/>
      <c r="AA143" s="75"/>
      <c r="AB143" s="228">
        <f>ROUND((ROUND((_15_同援日１．０*(1+_15・A夜間)),0)*(1+_15・区４)),0)+ROUND((ROUND((_15_同援日１．０＿０．５*(1+_15・B深夜)),0)*(1+_15・区４)),0)</f>
        <v>783</v>
      </c>
      <c r="AC143" s="69"/>
    </row>
    <row r="144" spans="1:29" ht="16.5" customHeight="1" x14ac:dyDescent="0.3">
      <c r="A144" s="2">
        <v>15</v>
      </c>
      <c r="B144" s="2" t="s">
        <v>81</v>
      </c>
      <c r="C144" s="60" t="s">
        <v>10581</v>
      </c>
      <c r="D144" s="1"/>
      <c r="E144" s="68"/>
      <c r="F144" s="70"/>
      <c r="G144" s="1"/>
      <c r="H144" s="68"/>
      <c r="I144" s="70"/>
      <c r="J144" s="66"/>
      <c r="K144" s="57"/>
      <c r="L144" s="58"/>
      <c r="M144" s="83" t="s">
        <v>5895</v>
      </c>
      <c r="N144" s="64" t="s">
        <v>1</v>
      </c>
      <c r="O144" s="65">
        <v>1</v>
      </c>
      <c r="P144" s="99"/>
      <c r="Q144" s="70"/>
      <c r="R144" s="99"/>
      <c r="S144" s="70"/>
      <c r="T144" s="67"/>
      <c r="U144" s="68"/>
      <c r="V144" s="76"/>
      <c r="W144" s="70"/>
      <c r="X144" s="67"/>
      <c r="Y144" s="68"/>
      <c r="Z144" s="76"/>
      <c r="AA144" s="70"/>
      <c r="AB144" s="228">
        <f>ROUND((ROUND((ROUND((_15_同援日１．０*_15・２人),0)*(1+_15・A夜間)),0)*(1+_15・区４)),0)+ROUND((ROUND((ROUND((_15_同援日１．０＿０．５*_15・２人),0)*(1+_15・B深夜)),0)*(1+_15・区４)),0)</f>
        <v>783</v>
      </c>
      <c r="AC144" s="69"/>
    </row>
    <row r="145" spans="1:29" ht="16.5" customHeight="1" x14ac:dyDescent="0.3">
      <c r="A145" s="2">
        <v>15</v>
      </c>
      <c r="B145" s="2" t="s">
        <v>82</v>
      </c>
      <c r="C145" s="60" t="s">
        <v>10580</v>
      </c>
      <c r="D145" s="1"/>
      <c r="E145" s="68"/>
      <c r="F145" s="70"/>
      <c r="G145" s="1"/>
      <c r="H145" s="68"/>
      <c r="I145" s="70"/>
      <c r="J145" s="74" t="s">
        <v>16823</v>
      </c>
      <c r="K145" s="62"/>
      <c r="L145" s="63"/>
      <c r="M145" s="85"/>
      <c r="N145" s="64"/>
      <c r="O145" s="65"/>
      <c r="P145" s="99"/>
      <c r="Q145" s="70"/>
      <c r="R145" s="99"/>
      <c r="S145" s="70"/>
      <c r="T145" s="67"/>
      <c r="U145" s="68"/>
      <c r="V145" s="76"/>
      <c r="W145" s="70"/>
      <c r="X145" s="1" t="s">
        <v>18027</v>
      </c>
      <c r="Y145" s="68"/>
      <c r="Z145" s="76"/>
      <c r="AA145" s="70"/>
      <c r="AB145" s="228">
        <f>ROUND((ROUND((ROUND((_15_同援日１．０*_15・基礎２),0)*(1+_15・A夜間)),0)*(1+_15・区４)),0)+ROUND((ROUND((ROUND((_15_同援日１．０＿０．５*_15・基礎２),0)*(1+_15・B深夜)),0)*(1+_15・区４)),0)</f>
        <v>705</v>
      </c>
      <c r="AC145" s="69"/>
    </row>
    <row r="146" spans="1:29" ht="16.5" customHeight="1" x14ac:dyDescent="0.3">
      <c r="A146" s="2">
        <v>15</v>
      </c>
      <c r="B146" s="2" t="s">
        <v>83</v>
      </c>
      <c r="C146" s="60" t="s">
        <v>10579</v>
      </c>
      <c r="D146" s="1"/>
      <c r="E146" s="68"/>
      <c r="F146" s="70"/>
      <c r="G146" s="1"/>
      <c r="H146" s="68"/>
      <c r="I146" s="70"/>
      <c r="J146" s="106" t="s">
        <v>17053</v>
      </c>
      <c r="K146" s="57" t="s">
        <v>1</v>
      </c>
      <c r="L146" s="58">
        <v>0.9</v>
      </c>
      <c r="M146" s="83" t="s">
        <v>5895</v>
      </c>
      <c r="N146" s="64" t="s">
        <v>1</v>
      </c>
      <c r="O146" s="65">
        <v>1</v>
      </c>
      <c r="P146" s="99"/>
      <c r="Q146" s="70"/>
      <c r="R146" s="99"/>
      <c r="S146" s="70"/>
      <c r="T146" s="66"/>
      <c r="U146" s="57"/>
      <c r="V146" s="58"/>
      <c r="W146" s="77"/>
      <c r="X146" s="1" t="s">
        <v>18026</v>
      </c>
      <c r="Y146" s="68"/>
      <c r="Z146" s="76"/>
      <c r="AA146" s="70"/>
      <c r="AB146" s="228">
        <f>ROUND((ROUND((ROUND((ROUND((_15_同援日１．０*_15・基礎２),0)*_15・２人),0)*(1+_15・A夜間)),0)*(1+_15・区４)),0)+ROUND((ROUND((ROUND((ROUND((_15_同援日１．０＿０．５*_15・基礎２),0)*_15・２人),0)*(1+_15・B深夜)),0)*(1+_15・区４)),0)</f>
        <v>705</v>
      </c>
      <c r="AC146" s="69"/>
    </row>
    <row r="147" spans="1:29" ht="16.5" customHeight="1" x14ac:dyDescent="0.3">
      <c r="A147" s="2">
        <v>15</v>
      </c>
      <c r="B147" s="2" t="s">
        <v>84</v>
      </c>
      <c r="C147" s="60" t="s">
        <v>10578</v>
      </c>
      <c r="D147" s="1"/>
      <c r="E147" s="68"/>
      <c r="F147" s="70"/>
      <c r="G147" s="1"/>
      <c r="H147" s="68"/>
      <c r="I147" s="70"/>
      <c r="J147" s="61"/>
      <c r="K147" s="62"/>
      <c r="L147" s="63"/>
      <c r="M147" s="85"/>
      <c r="N147" s="64"/>
      <c r="O147" s="65"/>
      <c r="P147" s="99"/>
      <c r="Q147" s="70"/>
      <c r="R147" s="99"/>
      <c r="S147" s="70"/>
      <c r="T147" s="74" t="s">
        <v>18025</v>
      </c>
      <c r="U147" s="62"/>
      <c r="V147" s="63"/>
      <c r="W147" s="75"/>
      <c r="X147" s="67"/>
      <c r="Y147" s="68" t="s">
        <v>1</v>
      </c>
      <c r="Z147" s="76">
        <v>0.4</v>
      </c>
      <c r="AA147" s="70" t="s">
        <v>422</v>
      </c>
      <c r="AB147" s="228">
        <f>ROUND((ROUND((ROUND((_15_同援日１．０*(1+_15・A夜間)),0)*(1+_15・盲ろう)),0)*(1+_15・区４)),0)+ROUND((ROUND((ROUND((_15_同援日１．０＿０．５*(1+_15・B深夜)),0)*(1+_15・盲ろう)),0)*(1+_15・区４)),0)</f>
        <v>978</v>
      </c>
      <c r="AC147" s="69"/>
    </row>
    <row r="148" spans="1:29" ht="16.5" customHeight="1" x14ac:dyDescent="0.3">
      <c r="A148" s="2">
        <v>15</v>
      </c>
      <c r="B148" s="2" t="s">
        <v>85</v>
      </c>
      <c r="C148" s="60" t="s">
        <v>10577</v>
      </c>
      <c r="D148" s="1"/>
      <c r="E148" s="68"/>
      <c r="F148" s="70"/>
      <c r="G148" s="1"/>
      <c r="H148" s="68"/>
      <c r="I148" s="70"/>
      <c r="J148" s="66"/>
      <c r="K148" s="57"/>
      <c r="L148" s="58"/>
      <c r="M148" s="83" t="s">
        <v>5895</v>
      </c>
      <c r="N148" s="64" t="s">
        <v>1</v>
      </c>
      <c r="O148" s="65">
        <v>1</v>
      </c>
      <c r="P148" s="99"/>
      <c r="Q148" s="70"/>
      <c r="R148" s="99"/>
      <c r="S148" s="70"/>
      <c r="T148" s="94" t="s">
        <v>18024</v>
      </c>
      <c r="U148" s="68"/>
      <c r="V148" s="76"/>
      <c r="W148" s="70"/>
      <c r="X148" s="67"/>
      <c r="Y148" s="68"/>
      <c r="Z148" s="76"/>
      <c r="AA148" s="70"/>
      <c r="AB148" s="228">
        <f>ROUND((ROUND((ROUND((ROUND((_15_同援日１．０*_15・２人),0)*(1+_15・A夜間)),0)*(1+_15・盲ろう)),0)*(1+_15・区４)),0)+ROUND((ROUND((ROUND((ROUND((_15_同援日１．０＿０．５*_15・２人),0)*(1+_15・B深夜)),0)*(1+_15・盲ろう)),0)*(1+_15・区４)),0)</f>
        <v>978</v>
      </c>
      <c r="AC148" s="69"/>
    </row>
    <row r="149" spans="1:29" ht="16.5" customHeight="1" x14ac:dyDescent="0.3">
      <c r="A149" s="2">
        <v>15</v>
      </c>
      <c r="B149" s="2" t="s">
        <v>86</v>
      </c>
      <c r="C149" s="60" t="s">
        <v>10576</v>
      </c>
      <c r="D149" s="1"/>
      <c r="E149" s="68"/>
      <c r="F149" s="70"/>
      <c r="G149" s="1"/>
      <c r="H149" s="68"/>
      <c r="I149" s="70"/>
      <c r="J149" s="74" t="s">
        <v>17054</v>
      </c>
      <c r="K149" s="62"/>
      <c r="L149" s="63"/>
      <c r="M149" s="85"/>
      <c r="N149" s="64"/>
      <c r="O149" s="65"/>
      <c r="P149" s="99"/>
      <c r="Q149" s="70"/>
      <c r="R149" s="99"/>
      <c r="S149" s="70"/>
      <c r="T149" s="67"/>
      <c r="U149" s="68" t="s">
        <v>1</v>
      </c>
      <c r="V149" s="76">
        <v>0.25</v>
      </c>
      <c r="W149" s="70" t="s">
        <v>422</v>
      </c>
      <c r="X149" s="67"/>
      <c r="Y149" s="68"/>
      <c r="Z149" s="76"/>
      <c r="AA149" s="70"/>
      <c r="AB149" s="228">
        <f>ROUND((ROUND((ROUND((ROUND((_15_同援日１．０*_15・基礎２),0)*(1+_15・A夜間)),0)*(1+_15・盲ろう)),0)*(1+_15・区４)),0)+ROUND((ROUND((ROUND((ROUND((_15_同援日１．０＿０．５*_15・基礎２),0)*(1+_15・B深夜)),0)*(1+_15・盲ろう)),0)*(1+_15・区４)),0)</f>
        <v>880</v>
      </c>
      <c r="AC149" s="69"/>
    </row>
    <row r="150" spans="1:29" ht="16.5" customHeight="1" x14ac:dyDescent="0.3">
      <c r="A150" s="2">
        <v>15</v>
      </c>
      <c r="B150" s="2" t="s">
        <v>87</v>
      </c>
      <c r="C150" s="60" t="s">
        <v>10575</v>
      </c>
      <c r="D150" s="1"/>
      <c r="E150" s="68"/>
      <c r="F150" s="70"/>
      <c r="G150" s="81"/>
      <c r="H150" s="57"/>
      <c r="I150" s="77"/>
      <c r="J150" s="106" t="s">
        <v>16970</v>
      </c>
      <c r="K150" s="57" t="s">
        <v>1</v>
      </c>
      <c r="L150" s="58">
        <v>0.9</v>
      </c>
      <c r="M150" s="83" t="s">
        <v>5895</v>
      </c>
      <c r="N150" s="64" t="s">
        <v>1</v>
      </c>
      <c r="O150" s="65">
        <v>1</v>
      </c>
      <c r="P150" s="99"/>
      <c r="Q150" s="70"/>
      <c r="R150" s="99"/>
      <c r="S150" s="70"/>
      <c r="T150" s="66"/>
      <c r="U150" s="57"/>
      <c r="V150" s="58"/>
      <c r="W150" s="77"/>
      <c r="X150" s="66"/>
      <c r="Y150" s="57"/>
      <c r="Z150" s="58"/>
      <c r="AA150" s="77"/>
      <c r="AB150" s="228">
        <f>ROUND((ROUND((ROUND((ROUND((ROUND((_15_同援日１．０*_15・基礎２),0)*_15・２人),0)*(1+_15・A夜間)),0)*(1+_15・盲ろう)),0)*(1+_15・区４)),0)+ROUND((ROUND((ROUND((ROUND((ROUND((_15_同援日１．０＿０．５*_15・基礎２),0)*_15・２人),0)*(1+_15・B深夜)),0)*(1+_15・盲ろう)),0)*(1+_15・区４)),0)</f>
        <v>880</v>
      </c>
      <c r="AC150" s="69"/>
    </row>
    <row r="151" spans="1:29" ht="16.5" customHeight="1" x14ac:dyDescent="0.3">
      <c r="A151" s="2">
        <v>15</v>
      </c>
      <c r="B151" s="2" t="s">
        <v>88</v>
      </c>
      <c r="C151" s="60" t="s">
        <v>10574</v>
      </c>
      <c r="D151" s="1"/>
      <c r="E151" s="68"/>
      <c r="F151" s="70"/>
      <c r="G151" s="233" t="s">
        <v>17713</v>
      </c>
      <c r="H151" s="62"/>
      <c r="I151" s="75"/>
      <c r="J151" s="61"/>
      <c r="K151" s="62"/>
      <c r="L151" s="63"/>
      <c r="M151" s="85"/>
      <c r="N151" s="64"/>
      <c r="O151" s="65"/>
      <c r="P151" s="99"/>
      <c r="Q151" s="70"/>
      <c r="R151" s="99"/>
      <c r="S151" s="70"/>
      <c r="T151" s="61"/>
      <c r="U151" s="62"/>
      <c r="V151" s="63"/>
      <c r="W151" s="75"/>
      <c r="X151" s="61"/>
      <c r="Y151" s="62"/>
      <c r="Z151" s="63"/>
      <c r="AA151" s="75"/>
      <c r="AB151" s="228">
        <f>ROUND((_15_同援日１．０*(1+_15・A夜間)),0)+ROUND((_15_同援日１．０＿１．０*(1+_15・B深夜)),0)</f>
        <v>655</v>
      </c>
      <c r="AC151" s="69"/>
    </row>
    <row r="152" spans="1:29" ht="16.5" customHeight="1" x14ac:dyDescent="0.3">
      <c r="A152" s="2">
        <v>15</v>
      </c>
      <c r="B152" s="2" t="s">
        <v>89</v>
      </c>
      <c r="C152" s="60" t="s">
        <v>10573</v>
      </c>
      <c r="D152" s="1"/>
      <c r="E152" s="68"/>
      <c r="F152" s="70"/>
      <c r="G152" s="1" t="s">
        <v>17067</v>
      </c>
      <c r="H152" s="68"/>
      <c r="I152" s="70"/>
      <c r="J152" s="66"/>
      <c r="K152" s="57"/>
      <c r="L152" s="58"/>
      <c r="M152" s="83" t="s">
        <v>5895</v>
      </c>
      <c r="N152" s="64" t="s">
        <v>1</v>
      </c>
      <c r="O152" s="65">
        <v>1</v>
      </c>
      <c r="P152" s="99"/>
      <c r="Q152" s="70"/>
      <c r="R152" s="99"/>
      <c r="S152" s="70"/>
      <c r="T152" s="67"/>
      <c r="U152" s="68"/>
      <c r="V152" s="76"/>
      <c r="W152" s="70"/>
      <c r="X152" s="67"/>
      <c r="Y152" s="68"/>
      <c r="Z152" s="76"/>
      <c r="AA152" s="70"/>
      <c r="AB152" s="228">
        <f>ROUND((ROUND((_15_同援日１．０*_15・２人),0)*(1+_15・A夜間)),0)+ROUND((ROUND((_15_同援日１．０＿１．０*_15・２人),0)*(1+_15・B深夜)),0)</f>
        <v>655</v>
      </c>
      <c r="AC152" s="69"/>
    </row>
    <row r="153" spans="1:29" ht="16.5" customHeight="1" x14ac:dyDescent="0.3">
      <c r="A153" s="2">
        <v>15</v>
      </c>
      <c r="B153" s="2" t="s">
        <v>90</v>
      </c>
      <c r="C153" s="60" t="s">
        <v>10572</v>
      </c>
      <c r="D153" s="1"/>
      <c r="E153" s="68"/>
      <c r="F153" s="70"/>
      <c r="G153" s="1" t="s">
        <v>8572</v>
      </c>
      <c r="H153" s="68"/>
      <c r="I153" s="70"/>
      <c r="J153" s="74" t="s">
        <v>16971</v>
      </c>
      <c r="K153" s="62"/>
      <c r="L153" s="63"/>
      <c r="M153" s="85"/>
      <c r="N153" s="64"/>
      <c r="O153" s="65"/>
      <c r="P153" s="99"/>
      <c r="Q153" s="70"/>
      <c r="R153" s="99"/>
      <c r="S153" s="70"/>
      <c r="T153" s="67"/>
      <c r="U153" s="68"/>
      <c r="V153" s="76"/>
      <c r="W153" s="70"/>
      <c r="X153" s="67"/>
      <c r="Y153" s="68"/>
      <c r="Z153" s="76"/>
      <c r="AA153" s="70"/>
      <c r="AB153" s="228">
        <f>ROUND((ROUND((_15_同援日１．０*_15・基礎２),0)*(1+_15・A夜間)),0)+ROUND((ROUND((_15_同援日１．０＿１．０*_15・基礎２),0)*(1+_15・B深夜)),0)</f>
        <v>590</v>
      </c>
      <c r="AC153" s="69"/>
    </row>
    <row r="154" spans="1:29" ht="16.5" customHeight="1" x14ac:dyDescent="0.3">
      <c r="A154" s="2">
        <v>15</v>
      </c>
      <c r="B154" s="2" t="s">
        <v>91</v>
      </c>
      <c r="C154" s="60" t="s">
        <v>10571</v>
      </c>
      <c r="D154" s="1"/>
      <c r="E154" s="68"/>
      <c r="F154" s="70"/>
      <c r="G154" s="1"/>
      <c r="H154" s="119">
        <v>193</v>
      </c>
      <c r="I154" s="70" t="s">
        <v>0</v>
      </c>
      <c r="J154" s="106" t="s">
        <v>16970</v>
      </c>
      <c r="K154" s="57" t="s">
        <v>1</v>
      </c>
      <c r="L154" s="58">
        <v>0.9</v>
      </c>
      <c r="M154" s="83" t="s">
        <v>5895</v>
      </c>
      <c r="N154" s="64" t="s">
        <v>1</v>
      </c>
      <c r="O154" s="65">
        <v>1</v>
      </c>
      <c r="P154" s="99"/>
      <c r="Q154" s="70"/>
      <c r="R154" s="99"/>
      <c r="S154" s="70"/>
      <c r="T154" s="66"/>
      <c r="U154" s="57"/>
      <c r="V154" s="58"/>
      <c r="W154" s="77"/>
      <c r="X154" s="67"/>
      <c r="Y154" s="68"/>
      <c r="Z154" s="76"/>
      <c r="AA154" s="70"/>
      <c r="AB154" s="228">
        <f>ROUND((ROUND((ROUND((_15_同援日１．０*_15・基礎２),0)*_15・２人),0)*(1+_15・A夜間)),0)+ROUND((ROUND((ROUND((_15_同援日１．０＿１．０*_15・基礎２),0)*_15・２人),0)*(1+_15・B深夜)),0)</f>
        <v>590</v>
      </c>
      <c r="AC154" s="69"/>
    </row>
    <row r="155" spans="1:29" ht="16.5" customHeight="1" x14ac:dyDescent="0.3">
      <c r="A155" s="2">
        <v>15</v>
      </c>
      <c r="B155" s="2" t="s">
        <v>92</v>
      </c>
      <c r="C155" s="60" t="s">
        <v>10570</v>
      </c>
      <c r="D155" s="1"/>
      <c r="E155" s="68"/>
      <c r="F155" s="70"/>
      <c r="G155" s="1"/>
      <c r="H155" s="68"/>
      <c r="I155" s="70"/>
      <c r="J155" s="61"/>
      <c r="K155" s="62"/>
      <c r="L155" s="63"/>
      <c r="M155" s="85"/>
      <c r="N155" s="64"/>
      <c r="O155" s="65"/>
      <c r="P155" s="99"/>
      <c r="Q155" s="70"/>
      <c r="R155" s="99"/>
      <c r="S155" s="70"/>
      <c r="T155" s="74" t="s">
        <v>18025</v>
      </c>
      <c r="U155" s="62"/>
      <c r="V155" s="63"/>
      <c r="W155" s="75"/>
      <c r="X155" s="67"/>
      <c r="Y155" s="68"/>
      <c r="Z155" s="76"/>
      <c r="AA155" s="70"/>
      <c r="AB155" s="228">
        <f>ROUND((ROUND((_15_同援日１．０*(1+_15・A夜間)),0)*(1+_15・盲ろう)),0)+ROUND((ROUND((_15_同援日１．０＿１．０*(1+_15・B深夜)),0)*(1+_15・盲ろう)),0)</f>
        <v>819</v>
      </c>
      <c r="AC155" s="69"/>
    </row>
    <row r="156" spans="1:29" ht="16.5" customHeight="1" x14ac:dyDescent="0.3">
      <c r="A156" s="2">
        <v>15</v>
      </c>
      <c r="B156" s="2" t="s">
        <v>93</v>
      </c>
      <c r="C156" s="60" t="s">
        <v>10569</v>
      </c>
      <c r="D156" s="1"/>
      <c r="E156" s="68"/>
      <c r="F156" s="70"/>
      <c r="G156" s="1"/>
      <c r="H156" s="68"/>
      <c r="I156" s="70"/>
      <c r="J156" s="66"/>
      <c r="K156" s="57"/>
      <c r="L156" s="58"/>
      <c r="M156" s="83" t="s">
        <v>5895</v>
      </c>
      <c r="N156" s="64" t="s">
        <v>1</v>
      </c>
      <c r="O156" s="65">
        <v>1</v>
      </c>
      <c r="P156" s="99"/>
      <c r="Q156" s="70"/>
      <c r="R156" s="99"/>
      <c r="S156" s="70"/>
      <c r="T156" s="94" t="s">
        <v>18086</v>
      </c>
      <c r="U156" s="68"/>
      <c r="V156" s="76"/>
      <c r="W156" s="70"/>
      <c r="X156" s="67"/>
      <c r="Y156" s="68"/>
      <c r="Z156" s="76"/>
      <c r="AA156" s="70"/>
      <c r="AB156" s="228">
        <f>ROUND((ROUND((ROUND((_15_同援日１．０*_15・２人),0)*(1+_15・A夜間)),0)*(1+_15・盲ろう)),0)+ROUND((ROUND((ROUND((_15_同援日１．０＿１．０*_15・２人),0)*(1+_15・B深夜)),0)*(1+_15・盲ろう)),0)</f>
        <v>819</v>
      </c>
      <c r="AC156" s="69"/>
    </row>
    <row r="157" spans="1:29" ht="16.5" customHeight="1" x14ac:dyDescent="0.3">
      <c r="A157" s="2">
        <v>15</v>
      </c>
      <c r="B157" s="2" t="s">
        <v>94</v>
      </c>
      <c r="C157" s="60" t="s">
        <v>10568</v>
      </c>
      <c r="D157" s="1"/>
      <c r="E157" s="68"/>
      <c r="F157" s="70"/>
      <c r="G157" s="1"/>
      <c r="H157" s="68"/>
      <c r="I157" s="70"/>
      <c r="J157" s="74" t="s">
        <v>16971</v>
      </c>
      <c r="K157" s="62"/>
      <c r="L157" s="63"/>
      <c r="M157" s="85"/>
      <c r="N157" s="64"/>
      <c r="O157" s="65"/>
      <c r="P157" s="99"/>
      <c r="Q157" s="70"/>
      <c r="R157" s="99"/>
      <c r="S157" s="70"/>
      <c r="T157" s="67"/>
      <c r="U157" s="68" t="s">
        <v>1</v>
      </c>
      <c r="V157" s="76">
        <v>0.25</v>
      </c>
      <c r="W157" s="70" t="s">
        <v>422</v>
      </c>
      <c r="X157" s="67"/>
      <c r="Y157" s="68"/>
      <c r="Z157" s="76"/>
      <c r="AA157" s="70"/>
      <c r="AB157" s="228">
        <f>ROUND((ROUND((ROUND((_15_同援日１．０*_15・基礎２),0)*(1+_15・A夜間)),0)*(1+_15・盲ろう)),0)+ROUND((ROUND((ROUND((_15_同援日１．０＿１．０*_15・基礎２),0)*(1+_15・B深夜)),0)*(1+_15・盲ろう)),0)</f>
        <v>737</v>
      </c>
      <c r="AC157" s="69"/>
    </row>
    <row r="158" spans="1:29" ht="16.5" customHeight="1" x14ac:dyDescent="0.3">
      <c r="A158" s="2">
        <v>15</v>
      </c>
      <c r="B158" s="2" t="s">
        <v>95</v>
      </c>
      <c r="C158" s="60" t="s">
        <v>10567</v>
      </c>
      <c r="D158" s="1"/>
      <c r="E158" s="68"/>
      <c r="F158" s="70"/>
      <c r="G158" s="1"/>
      <c r="H158" s="68"/>
      <c r="I158" s="70"/>
      <c r="J158" s="106" t="s">
        <v>5896</v>
      </c>
      <c r="K158" s="57" t="s">
        <v>1</v>
      </c>
      <c r="L158" s="58">
        <v>0.9</v>
      </c>
      <c r="M158" s="83" t="s">
        <v>5895</v>
      </c>
      <c r="N158" s="64" t="s">
        <v>1</v>
      </c>
      <c r="O158" s="65">
        <v>1</v>
      </c>
      <c r="P158" s="99"/>
      <c r="Q158" s="70"/>
      <c r="R158" s="99"/>
      <c r="S158" s="70"/>
      <c r="T158" s="66"/>
      <c r="U158" s="57"/>
      <c r="V158" s="58"/>
      <c r="W158" s="77"/>
      <c r="X158" s="66"/>
      <c r="Y158" s="57"/>
      <c r="Z158" s="58"/>
      <c r="AA158" s="77"/>
      <c r="AB158" s="228">
        <f>ROUND((ROUND((ROUND((ROUND((_15_同援日１．０*_15・基礎２),0)*_15・２人),0)*(1+_15・A夜間)),0)*(1+_15・盲ろう)),0)+ROUND((ROUND((ROUND((ROUND((_15_同援日１．０＿１．０*_15・基礎２),0)*_15・２人),0)*(1+_15・B深夜)),0)*(1+_15・盲ろう)),0)</f>
        <v>737</v>
      </c>
      <c r="AC158" s="69"/>
    </row>
    <row r="159" spans="1:29" ht="16.5" customHeight="1" x14ac:dyDescent="0.3">
      <c r="A159" s="2">
        <v>15</v>
      </c>
      <c r="B159" s="2" t="s">
        <v>96</v>
      </c>
      <c r="C159" s="60" t="s">
        <v>10566</v>
      </c>
      <c r="D159" s="1"/>
      <c r="E159" s="68"/>
      <c r="F159" s="70"/>
      <c r="G159" s="1"/>
      <c r="H159" s="68"/>
      <c r="I159" s="70"/>
      <c r="J159" s="61"/>
      <c r="K159" s="62"/>
      <c r="L159" s="63"/>
      <c r="M159" s="85"/>
      <c r="N159" s="64"/>
      <c r="O159" s="65"/>
      <c r="P159" s="99"/>
      <c r="Q159" s="70"/>
      <c r="R159" s="99"/>
      <c r="S159" s="70"/>
      <c r="T159" s="61"/>
      <c r="U159" s="62"/>
      <c r="V159" s="63"/>
      <c r="W159" s="75"/>
      <c r="X159" s="61"/>
      <c r="Y159" s="62"/>
      <c r="Z159" s="63"/>
      <c r="AA159" s="75"/>
      <c r="AB159" s="228">
        <f>ROUND((ROUND((_15_同援日１．０*(1+_15・A夜間)),0)*(1+_15・区３)),0)+ROUND((ROUND((_15_同援日１．０＿１．０*(1+_15・B深夜)),0)*(1+_15・区３)),0)</f>
        <v>786</v>
      </c>
      <c r="AC159" s="69"/>
    </row>
    <row r="160" spans="1:29" ht="16.5" customHeight="1" x14ac:dyDescent="0.3">
      <c r="A160" s="2">
        <v>15</v>
      </c>
      <c r="B160" s="2" t="s">
        <v>97</v>
      </c>
      <c r="C160" s="60" t="s">
        <v>10565</v>
      </c>
      <c r="D160" s="1"/>
      <c r="E160" s="68"/>
      <c r="F160" s="70"/>
      <c r="G160" s="1"/>
      <c r="H160" s="68"/>
      <c r="I160" s="70"/>
      <c r="J160" s="66"/>
      <c r="K160" s="57"/>
      <c r="L160" s="58"/>
      <c r="M160" s="83" t="s">
        <v>5895</v>
      </c>
      <c r="N160" s="64" t="s">
        <v>1</v>
      </c>
      <c r="O160" s="65">
        <v>1</v>
      </c>
      <c r="P160" s="99"/>
      <c r="Q160" s="70"/>
      <c r="R160" s="99"/>
      <c r="S160" s="70"/>
      <c r="T160" s="67"/>
      <c r="U160" s="68"/>
      <c r="V160" s="76"/>
      <c r="W160" s="70"/>
      <c r="X160" s="67"/>
      <c r="Y160" s="68"/>
      <c r="Z160" s="76"/>
      <c r="AA160" s="70"/>
      <c r="AB160" s="228">
        <f>ROUND((ROUND((ROUND((_15_同援日１．０*_15・２人),0)*(1+_15・A夜間)),0)*(1+_15・区３)),0)+ROUND((ROUND((ROUND((_15_同援日１．０＿１．０*_15・２人),0)*(1+_15・B深夜)),0)*(1+_15・区３)),0)</f>
        <v>786</v>
      </c>
      <c r="AC160" s="69"/>
    </row>
    <row r="161" spans="1:29" ht="16.5" customHeight="1" x14ac:dyDescent="0.3">
      <c r="A161" s="2">
        <v>15</v>
      </c>
      <c r="B161" s="2" t="s">
        <v>98</v>
      </c>
      <c r="C161" s="60" t="s">
        <v>10564</v>
      </c>
      <c r="D161" s="1"/>
      <c r="E161" s="68"/>
      <c r="F161" s="70"/>
      <c r="G161" s="1"/>
      <c r="H161" s="68"/>
      <c r="I161" s="70"/>
      <c r="J161" s="74" t="s">
        <v>16971</v>
      </c>
      <c r="K161" s="62"/>
      <c r="L161" s="63"/>
      <c r="M161" s="85"/>
      <c r="N161" s="64"/>
      <c r="O161" s="65"/>
      <c r="P161" s="99"/>
      <c r="Q161" s="70"/>
      <c r="R161" s="99"/>
      <c r="S161" s="70"/>
      <c r="T161" s="67"/>
      <c r="U161" s="68"/>
      <c r="V161" s="76"/>
      <c r="W161" s="70"/>
      <c r="X161" s="1" t="s">
        <v>18028</v>
      </c>
      <c r="Y161" s="68"/>
      <c r="Z161" s="76"/>
      <c r="AA161" s="70"/>
      <c r="AB161" s="228">
        <f>ROUND((ROUND((ROUND((_15_同援日１．０*_15・基礎２),0)*(1+_15・A夜間)),0)*(1+_15・区３)),0)+ROUND((ROUND((ROUND((_15_同援日１．０＿１．０*_15・基礎２),0)*(1+_15・B深夜)),0)*(1+_15・区３)),0)</f>
        <v>708</v>
      </c>
      <c r="AC161" s="69"/>
    </row>
    <row r="162" spans="1:29" ht="16.5" customHeight="1" x14ac:dyDescent="0.3">
      <c r="A162" s="2">
        <v>15</v>
      </c>
      <c r="B162" s="2" t="s">
        <v>99</v>
      </c>
      <c r="C162" s="60" t="s">
        <v>10563</v>
      </c>
      <c r="D162" s="1"/>
      <c r="E162" s="68"/>
      <c r="F162" s="70"/>
      <c r="G162" s="1"/>
      <c r="H162" s="68"/>
      <c r="I162" s="70"/>
      <c r="J162" s="106" t="s">
        <v>16970</v>
      </c>
      <c r="K162" s="57" t="s">
        <v>1</v>
      </c>
      <c r="L162" s="58">
        <v>0.9</v>
      </c>
      <c r="M162" s="83" t="s">
        <v>5895</v>
      </c>
      <c r="N162" s="64" t="s">
        <v>1</v>
      </c>
      <c r="O162" s="65">
        <v>1</v>
      </c>
      <c r="P162" s="99"/>
      <c r="Q162" s="70"/>
      <c r="R162" s="99"/>
      <c r="S162" s="70"/>
      <c r="T162" s="66"/>
      <c r="U162" s="57"/>
      <c r="V162" s="58"/>
      <c r="W162" s="77"/>
      <c r="X162" s="1" t="s">
        <v>18026</v>
      </c>
      <c r="Y162" s="68"/>
      <c r="Z162" s="76"/>
      <c r="AA162" s="70"/>
      <c r="AB162" s="228">
        <f>ROUND((ROUND((ROUND((ROUND((_15_同援日１．０*_15・基礎２),0)*_15・２人),0)*(1+_15・A夜間)),0)*(1+_15・区３)),0)+ROUND((ROUND((ROUND((ROUND((_15_同援日１．０＿１．０*_15・基礎２),0)*_15・２人),0)*(1+_15・B深夜)),0)*(1+_15・区３)),0)</f>
        <v>708</v>
      </c>
      <c r="AC162" s="69"/>
    </row>
    <row r="163" spans="1:29" ht="16.5" customHeight="1" x14ac:dyDescent="0.3">
      <c r="A163" s="2">
        <v>15</v>
      </c>
      <c r="B163" s="2" t="s">
        <v>100</v>
      </c>
      <c r="C163" s="60" t="s">
        <v>10562</v>
      </c>
      <c r="D163" s="1"/>
      <c r="E163" s="68"/>
      <c r="F163" s="70"/>
      <c r="G163" s="1"/>
      <c r="H163" s="68"/>
      <c r="I163" s="70"/>
      <c r="J163" s="61"/>
      <c r="K163" s="62"/>
      <c r="L163" s="63"/>
      <c r="M163" s="85"/>
      <c r="N163" s="64"/>
      <c r="O163" s="65"/>
      <c r="P163" s="99"/>
      <c r="Q163" s="70"/>
      <c r="R163" s="99"/>
      <c r="S163" s="70"/>
      <c r="T163" s="74" t="s">
        <v>18025</v>
      </c>
      <c r="U163" s="62"/>
      <c r="V163" s="63"/>
      <c r="W163" s="75"/>
      <c r="X163" s="67"/>
      <c r="Y163" s="68" t="s">
        <v>1</v>
      </c>
      <c r="Z163" s="76">
        <v>0.2</v>
      </c>
      <c r="AA163" s="70" t="s">
        <v>422</v>
      </c>
      <c r="AB163" s="228">
        <f>ROUND((ROUND((ROUND((_15_同援日１．０*(1+_15・A夜間)),0)*(1+_15・盲ろう)),0)*(1+_15・区３)),0)+ROUND((ROUND((ROUND((_15_同援日１．０＿１．０*(1+_15・B深夜)),0)*(1+_15・盲ろう)),0)*(1+_15・区３)),0)</f>
        <v>983</v>
      </c>
      <c r="AC163" s="69"/>
    </row>
    <row r="164" spans="1:29" ht="16.5" customHeight="1" x14ac:dyDescent="0.3">
      <c r="A164" s="2">
        <v>15</v>
      </c>
      <c r="B164" s="2" t="s">
        <v>101</v>
      </c>
      <c r="C164" s="60" t="s">
        <v>10561</v>
      </c>
      <c r="D164" s="1"/>
      <c r="E164" s="68"/>
      <c r="F164" s="70"/>
      <c r="G164" s="1"/>
      <c r="H164" s="68"/>
      <c r="I164" s="70"/>
      <c r="J164" s="66"/>
      <c r="K164" s="57"/>
      <c r="L164" s="58"/>
      <c r="M164" s="83" t="s">
        <v>5895</v>
      </c>
      <c r="N164" s="64" t="s">
        <v>1</v>
      </c>
      <c r="O164" s="65">
        <v>1</v>
      </c>
      <c r="P164" s="99"/>
      <c r="Q164" s="70"/>
      <c r="R164" s="99"/>
      <c r="S164" s="70"/>
      <c r="T164" s="94" t="s">
        <v>18024</v>
      </c>
      <c r="U164" s="68"/>
      <c r="V164" s="76"/>
      <c r="W164" s="70"/>
      <c r="X164" s="67"/>
      <c r="Y164" s="68"/>
      <c r="Z164" s="76"/>
      <c r="AA164" s="70"/>
      <c r="AB164" s="228">
        <f>ROUND((ROUND((ROUND((ROUND((_15_同援日１．０*_15・２人),0)*(1+_15・A夜間)),0)*(1+_15・盲ろう)),0)*(1+_15・区３)),0)+ROUND((ROUND((ROUND((ROUND((_15_同援日１．０＿１．０*_15・２人),0)*(1+_15・B深夜)),0)*(1+_15・盲ろう)),0)*(1+_15・区３)),0)</f>
        <v>983</v>
      </c>
      <c r="AC164" s="69"/>
    </row>
    <row r="165" spans="1:29" ht="16.5" customHeight="1" x14ac:dyDescent="0.3">
      <c r="A165" s="2">
        <v>15</v>
      </c>
      <c r="B165" s="2" t="s">
        <v>102</v>
      </c>
      <c r="C165" s="60" t="s">
        <v>10560</v>
      </c>
      <c r="D165" s="1"/>
      <c r="E165" s="68"/>
      <c r="F165" s="70"/>
      <c r="G165" s="1"/>
      <c r="H165" s="68"/>
      <c r="I165" s="70"/>
      <c r="J165" s="74" t="s">
        <v>5898</v>
      </c>
      <c r="K165" s="62"/>
      <c r="L165" s="63"/>
      <c r="M165" s="85"/>
      <c r="N165" s="64"/>
      <c r="O165" s="65"/>
      <c r="P165" s="99"/>
      <c r="Q165" s="70"/>
      <c r="R165" s="99"/>
      <c r="S165" s="70"/>
      <c r="T165" s="67"/>
      <c r="U165" s="68" t="s">
        <v>1</v>
      </c>
      <c r="V165" s="76">
        <v>0.25</v>
      </c>
      <c r="W165" s="70" t="s">
        <v>422</v>
      </c>
      <c r="X165" s="67"/>
      <c r="Y165" s="68"/>
      <c r="Z165" s="76"/>
      <c r="AA165" s="70"/>
      <c r="AB165" s="228">
        <f>ROUND((ROUND((ROUND((ROUND((_15_同援日１．０*_15・基礎２),0)*(1+_15・A夜間)),0)*(1+_15・盲ろう)),0)*(1+_15・区３)),0)+ROUND((ROUND((ROUND((ROUND((_15_同援日１．０＿１．０*_15・基礎２),0)*(1+_15・B深夜)),0)*(1+_15・盲ろう)),0)*(1+_15・区３)),0)</f>
        <v>884</v>
      </c>
      <c r="AC165" s="69"/>
    </row>
    <row r="166" spans="1:29" ht="16.5" customHeight="1" x14ac:dyDescent="0.3">
      <c r="A166" s="2">
        <v>15</v>
      </c>
      <c r="B166" s="2" t="s">
        <v>103</v>
      </c>
      <c r="C166" s="60" t="s">
        <v>10559</v>
      </c>
      <c r="D166" s="1"/>
      <c r="E166" s="68"/>
      <c r="F166" s="70"/>
      <c r="G166" s="1"/>
      <c r="H166" s="68"/>
      <c r="I166" s="70"/>
      <c r="J166" s="106" t="s">
        <v>16970</v>
      </c>
      <c r="K166" s="57" t="s">
        <v>1</v>
      </c>
      <c r="L166" s="58">
        <v>0.9</v>
      </c>
      <c r="M166" s="83" t="s">
        <v>5895</v>
      </c>
      <c r="N166" s="64" t="s">
        <v>1</v>
      </c>
      <c r="O166" s="65">
        <v>1</v>
      </c>
      <c r="P166" s="99"/>
      <c r="Q166" s="70"/>
      <c r="R166" s="99"/>
      <c r="S166" s="70"/>
      <c r="T166" s="66"/>
      <c r="U166" s="57"/>
      <c r="V166" s="58"/>
      <c r="W166" s="77"/>
      <c r="X166" s="66"/>
      <c r="Y166" s="57"/>
      <c r="Z166" s="58"/>
      <c r="AA166" s="77"/>
      <c r="AB166" s="228">
        <f>ROUND((ROUND((ROUND((ROUND((ROUND((_15_同援日１．０*_15・基礎２),0)*_15・２人),0)*(1+_15・A夜間)),0)*(1+_15・盲ろう)),0)*(1+_15・区３)),0)+ROUND((ROUND((ROUND((ROUND((ROUND((_15_同援日１．０＿１．０*_15・基礎２),0)*_15・２人),0)*(1+_15・B深夜)),0)*(1+_15・盲ろう)),0)*(1+_15・区３)),0)</f>
        <v>884</v>
      </c>
      <c r="AC166" s="69"/>
    </row>
    <row r="167" spans="1:29" ht="16.5" customHeight="1" x14ac:dyDescent="0.3">
      <c r="A167" s="2">
        <v>15</v>
      </c>
      <c r="B167" s="2" t="s">
        <v>104</v>
      </c>
      <c r="C167" s="60" t="s">
        <v>10558</v>
      </c>
      <c r="D167" s="1"/>
      <c r="E167" s="68"/>
      <c r="F167" s="70"/>
      <c r="G167" s="1"/>
      <c r="H167" s="68"/>
      <c r="I167" s="70"/>
      <c r="J167" s="61"/>
      <c r="K167" s="62"/>
      <c r="L167" s="63"/>
      <c r="M167" s="85"/>
      <c r="N167" s="64"/>
      <c r="O167" s="65"/>
      <c r="P167" s="99"/>
      <c r="Q167" s="70"/>
      <c r="R167" s="99"/>
      <c r="S167" s="70"/>
      <c r="T167" s="61"/>
      <c r="U167" s="62"/>
      <c r="V167" s="63"/>
      <c r="W167" s="75"/>
      <c r="X167" s="61"/>
      <c r="Y167" s="62"/>
      <c r="Z167" s="63"/>
      <c r="AA167" s="75"/>
      <c r="AB167" s="228">
        <f>ROUND((ROUND((_15_同援日１．０*(1+_15・A夜間)),0)*(1+_15・区４)),0)+ROUND((ROUND((_15_同援日１．０＿１．０*(1+_15・B深夜)),0)*(1+_15・区４)),0)</f>
        <v>917</v>
      </c>
      <c r="AC167" s="69"/>
    </row>
    <row r="168" spans="1:29" ht="16.5" customHeight="1" x14ac:dyDescent="0.3">
      <c r="A168" s="2">
        <v>15</v>
      </c>
      <c r="B168" s="2" t="s">
        <v>105</v>
      </c>
      <c r="C168" s="60" t="s">
        <v>10557</v>
      </c>
      <c r="D168" s="1"/>
      <c r="E168" s="68"/>
      <c r="F168" s="70"/>
      <c r="G168" s="1"/>
      <c r="H168" s="68"/>
      <c r="I168" s="70"/>
      <c r="J168" s="66"/>
      <c r="K168" s="57"/>
      <c r="L168" s="58"/>
      <c r="M168" s="83" t="s">
        <v>5895</v>
      </c>
      <c r="N168" s="64" t="s">
        <v>1</v>
      </c>
      <c r="O168" s="65">
        <v>1</v>
      </c>
      <c r="P168" s="99"/>
      <c r="Q168" s="70"/>
      <c r="R168" s="99"/>
      <c r="S168" s="70"/>
      <c r="T168" s="67"/>
      <c r="U168" s="68"/>
      <c r="V168" s="76"/>
      <c r="W168" s="70"/>
      <c r="X168" s="67"/>
      <c r="Y168" s="68"/>
      <c r="Z168" s="76"/>
      <c r="AA168" s="70"/>
      <c r="AB168" s="228">
        <f>ROUND((ROUND((ROUND((_15_同援日１．０*_15・２人),0)*(1+_15・A夜間)),0)*(1+_15・区４)),0)+ROUND((ROUND((ROUND((_15_同援日１．０＿１．０*_15・２人),0)*(1+_15・B深夜)),0)*(1+_15・区４)),0)</f>
        <v>917</v>
      </c>
      <c r="AC168" s="69"/>
    </row>
    <row r="169" spans="1:29" ht="16.5" customHeight="1" x14ac:dyDescent="0.3">
      <c r="A169" s="2">
        <v>15</v>
      </c>
      <c r="B169" s="2" t="s">
        <v>106</v>
      </c>
      <c r="C169" s="60" t="s">
        <v>10556</v>
      </c>
      <c r="D169" s="1"/>
      <c r="E169" s="68"/>
      <c r="F169" s="70"/>
      <c r="G169" s="1"/>
      <c r="H169" s="68"/>
      <c r="I169" s="70"/>
      <c r="J169" s="74" t="s">
        <v>5898</v>
      </c>
      <c r="K169" s="62"/>
      <c r="L169" s="63"/>
      <c r="M169" s="85"/>
      <c r="N169" s="64"/>
      <c r="O169" s="65"/>
      <c r="P169" s="99"/>
      <c r="Q169" s="70"/>
      <c r="R169" s="99"/>
      <c r="S169" s="70"/>
      <c r="T169" s="67"/>
      <c r="U169" s="68"/>
      <c r="V169" s="76"/>
      <c r="W169" s="70"/>
      <c r="X169" s="1" t="s">
        <v>8089</v>
      </c>
      <c r="Y169" s="68"/>
      <c r="Z169" s="76"/>
      <c r="AA169" s="70"/>
      <c r="AB169" s="228">
        <f>ROUND((ROUND((ROUND((_15_同援日１．０*_15・基礎２),0)*(1+_15・A夜間)),0)*(1+_15・区４)),0)+ROUND((ROUND((ROUND((_15_同援日１．０＿１．０*_15・基礎２),0)*(1+_15・B深夜)),0)*(1+_15・区４)),0)</f>
        <v>826</v>
      </c>
      <c r="AC169" s="69"/>
    </row>
    <row r="170" spans="1:29" ht="16.5" customHeight="1" x14ac:dyDescent="0.3">
      <c r="A170" s="2">
        <v>15</v>
      </c>
      <c r="B170" s="2" t="s">
        <v>107</v>
      </c>
      <c r="C170" s="60" t="s">
        <v>10555</v>
      </c>
      <c r="D170" s="1"/>
      <c r="E170" s="68"/>
      <c r="F170" s="70"/>
      <c r="G170" s="1"/>
      <c r="H170" s="68"/>
      <c r="I170" s="70"/>
      <c r="J170" s="106" t="s">
        <v>16970</v>
      </c>
      <c r="K170" s="57" t="s">
        <v>1</v>
      </c>
      <c r="L170" s="58">
        <v>0.9</v>
      </c>
      <c r="M170" s="83" t="s">
        <v>5895</v>
      </c>
      <c r="N170" s="64" t="s">
        <v>1</v>
      </c>
      <c r="O170" s="65">
        <v>1</v>
      </c>
      <c r="P170" s="99"/>
      <c r="Q170" s="70"/>
      <c r="R170" s="99"/>
      <c r="S170" s="70"/>
      <c r="T170" s="66"/>
      <c r="U170" s="57"/>
      <c r="V170" s="58"/>
      <c r="W170" s="77"/>
      <c r="X170" s="1" t="s">
        <v>18026</v>
      </c>
      <c r="Y170" s="68"/>
      <c r="Z170" s="76"/>
      <c r="AA170" s="70"/>
      <c r="AB170" s="228">
        <f>ROUND((ROUND((ROUND((ROUND((_15_同援日１．０*_15・基礎２),0)*_15・２人),0)*(1+_15・A夜間)),0)*(1+_15・区４)),0)+ROUND((ROUND((ROUND((ROUND((_15_同援日１．０＿１．０*_15・基礎２),0)*_15・２人),0)*(1+_15・B深夜)),0)*(1+_15・区４)),0)</f>
        <v>826</v>
      </c>
      <c r="AC170" s="69"/>
    </row>
    <row r="171" spans="1:29" ht="16.5" customHeight="1" x14ac:dyDescent="0.3">
      <c r="A171" s="2">
        <v>15</v>
      </c>
      <c r="B171" s="2" t="s">
        <v>108</v>
      </c>
      <c r="C171" s="60" t="s">
        <v>10554</v>
      </c>
      <c r="D171" s="1"/>
      <c r="E171" s="68"/>
      <c r="F171" s="70"/>
      <c r="G171" s="1"/>
      <c r="H171" s="68"/>
      <c r="I171" s="70"/>
      <c r="J171" s="61"/>
      <c r="K171" s="62"/>
      <c r="L171" s="63"/>
      <c r="M171" s="85"/>
      <c r="N171" s="64"/>
      <c r="O171" s="65"/>
      <c r="P171" s="99"/>
      <c r="Q171" s="70"/>
      <c r="R171" s="99"/>
      <c r="S171" s="70"/>
      <c r="T171" s="74" t="s">
        <v>18087</v>
      </c>
      <c r="U171" s="62"/>
      <c r="V171" s="63"/>
      <c r="W171" s="75"/>
      <c r="X171" s="67"/>
      <c r="Y171" s="68" t="s">
        <v>1</v>
      </c>
      <c r="Z171" s="76">
        <v>0.4</v>
      </c>
      <c r="AA171" s="70" t="s">
        <v>422</v>
      </c>
      <c r="AB171" s="228">
        <f>ROUND((ROUND((ROUND((_15_同援日１．０*(1+_15・A夜間)),0)*(1+_15・盲ろう)),0)*(1+_15・区４)),0)+ROUND((ROUND((ROUND((_15_同援日１．０＿１．０*(1+_15・B深夜)),0)*(1+_15・盲ろう)),0)*(1+_15・区４)),0)</f>
        <v>1146</v>
      </c>
      <c r="AC171" s="69"/>
    </row>
    <row r="172" spans="1:29" ht="16.5" customHeight="1" x14ac:dyDescent="0.3">
      <c r="A172" s="2">
        <v>15</v>
      </c>
      <c r="B172" s="2" t="s">
        <v>109</v>
      </c>
      <c r="C172" s="60" t="s">
        <v>10553</v>
      </c>
      <c r="D172" s="1"/>
      <c r="E172" s="68"/>
      <c r="F172" s="70"/>
      <c r="G172" s="1"/>
      <c r="H172" s="68"/>
      <c r="I172" s="70"/>
      <c r="J172" s="66"/>
      <c r="K172" s="57"/>
      <c r="L172" s="58"/>
      <c r="M172" s="83" t="s">
        <v>5895</v>
      </c>
      <c r="N172" s="64" t="s">
        <v>1</v>
      </c>
      <c r="O172" s="65">
        <v>1</v>
      </c>
      <c r="P172" s="99"/>
      <c r="Q172" s="70"/>
      <c r="R172" s="99"/>
      <c r="S172" s="70"/>
      <c r="T172" s="94" t="s">
        <v>18024</v>
      </c>
      <c r="U172" s="68"/>
      <c r="V172" s="76"/>
      <c r="W172" s="70"/>
      <c r="X172" s="67"/>
      <c r="Y172" s="68"/>
      <c r="Z172" s="76"/>
      <c r="AA172" s="70"/>
      <c r="AB172" s="228">
        <f>ROUND((ROUND((ROUND((ROUND((_15_同援日１．０*_15・２人),0)*(1+_15・A夜間)),0)*(1+_15・盲ろう)),0)*(1+_15・区４)),0)+ROUND((ROUND((ROUND((ROUND((_15_同援日１．０＿１．０*_15・２人),0)*(1+_15・B深夜)),0)*(1+_15・盲ろう)),0)*(1+_15・区４)),0)</f>
        <v>1146</v>
      </c>
      <c r="AC172" s="69"/>
    </row>
    <row r="173" spans="1:29" ht="16.5" customHeight="1" x14ac:dyDescent="0.3">
      <c r="A173" s="2">
        <v>15</v>
      </c>
      <c r="B173" s="2" t="s">
        <v>110</v>
      </c>
      <c r="C173" s="60" t="s">
        <v>10552</v>
      </c>
      <c r="D173" s="1"/>
      <c r="E173" s="68"/>
      <c r="F173" s="70"/>
      <c r="G173" s="1"/>
      <c r="H173" s="68"/>
      <c r="I173" s="70"/>
      <c r="J173" s="74" t="s">
        <v>17054</v>
      </c>
      <c r="K173" s="62"/>
      <c r="L173" s="63"/>
      <c r="M173" s="85"/>
      <c r="N173" s="64"/>
      <c r="O173" s="65"/>
      <c r="P173" s="99"/>
      <c r="Q173" s="70"/>
      <c r="R173" s="99"/>
      <c r="S173" s="70"/>
      <c r="T173" s="67"/>
      <c r="U173" s="68" t="s">
        <v>1</v>
      </c>
      <c r="V173" s="76">
        <v>0.25</v>
      </c>
      <c r="W173" s="70" t="s">
        <v>422</v>
      </c>
      <c r="X173" s="67"/>
      <c r="Y173" s="68"/>
      <c r="Z173" s="76"/>
      <c r="AA173" s="70"/>
      <c r="AB173" s="228">
        <f>ROUND((ROUND((ROUND((ROUND((_15_同援日１．０*_15・基礎２),0)*(1+_15・A夜間)),0)*(1+_15・盲ろう)),0)*(1+_15・区４)),0)+ROUND((ROUND((ROUND((ROUND((_15_同援日１．０＿１．０*_15・基礎２),0)*(1+_15・B深夜)),0)*(1+_15・盲ろう)),0)*(1+_15・区４)),0)</f>
        <v>1031</v>
      </c>
      <c r="AC173" s="69"/>
    </row>
    <row r="174" spans="1:29" ht="16.5" customHeight="1" x14ac:dyDescent="0.3">
      <c r="A174" s="2">
        <v>15</v>
      </c>
      <c r="B174" s="2" t="s">
        <v>111</v>
      </c>
      <c r="C174" s="60" t="s">
        <v>10551</v>
      </c>
      <c r="D174" s="1"/>
      <c r="E174" s="68"/>
      <c r="F174" s="70"/>
      <c r="G174" s="81"/>
      <c r="H174" s="57"/>
      <c r="I174" s="77"/>
      <c r="J174" s="106" t="s">
        <v>16970</v>
      </c>
      <c r="K174" s="57" t="s">
        <v>1</v>
      </c>
      <c r="L174" s="58">
        <v>0.9</v>
      </c>
      <c r="M174" s="83" t="s">
        <v>5895</v>
      </c>
      <c r="N174" s="64" t="s">
        <v>1</v>
      </c>
      <c r="O174" s="65">
        <v>1</v>
      </c>
      <c r="P174" s="99"/>
      <c r="Q174" s="70"/>
      <c r="R174" s="99"/>
      <c r="S174" s="70"/>
      <c r="T174" s="66"/>
      <c r="U174" s="57"/>
      <c r="V174" s="58"/>
      <c r="W174" s="77"/>
      <c r="X174" s="66"/>
      <c r="Y174" s="57"/>
      <c r="Z174" s="58"/>
      <c r="AA174" s="77"/>
      <c r="AB174" s="228">
        <f>ROUND((ROUND((ROUND((ROUND((ROUND((_15_同援日１．０*_15・基礎２),0)*_15・２人),0)*(1+_15・A夜間)),0)*(1+_15・盲ろう)),0)*(1+_15・区４)),0)+ROUND((ROUND((ROUND((ROUND((ROUND((_15_同援日１．０＿１．０*_15・基礎２),0)*_15・２人),0)*(1+_15・B深夜)),0)*(1+_15・盲ろう)),0)*(1+_15・区４)),0)</f>
        <v>1031</v>
      </c>
      <c r="AC174" s="69"/>
    </row>
    <row r="175" spans="1:29" ht="16.5" customHeight="1" x14ac:dyDescent="0.3">
      <c r="A175" s="2">
        <v>15</v>
      </c>
      <c r="B175" s="2" t="s">
        <v>112</v>
      </c>
      <c r="C175" s="60" t="s">
        <v>10550</v>
      </c>
      <c r="D175" s="1"/>
      <c r="E175" s="68"/>
      <c r="F175" s="70"/>
      <c r="G175" s="233" t="s">
        <v>17068</v>
      </c>
      <c r="H175" s="62"/>
      <c r="I175" s="75"/>
      <c r="J175" s="61"/>
      <c r="K175" s="62"/>
      <c r="L175" s="63"/>
      <c r="M175" s="85"/>
      <c r="N175" s="64"/>
      <c r="O175" s="65"/>
      <c r="P175" s="99"/>
      <c r="Q175" s="70"/>
      <c r="R175" s="99"/>
      <c r="S175" s="70"/>
      <c r="T175" s="61"/>
      <c r="U175" s="62"/>
      <c r="V175" s="63"/>
      <c r="W175" s="75"/>
      <c r="X175" s="61"/>
      <c r="Y175" s="62"/>
      <c r="Z175" s="63"/>
      <c r="AA175" s="75"/>
      <c r="AB175" s="228">
        <f>ROUND((_15_同援日１．０*(1+_15・A夜間)),0)+ROUND((_15_同援日１．０＿１．５*(1+_15・B深夜)),0)</f>
        <v>749</v>
      </c>
      <c r="AC175" s="69"/>
    </row>
    <row r="176" spans="1:29" ht="16.5" customHeight="1" x14ac:dyDescent="0.3">
      <c r="A176" s="2">
        <v>15</v>
      </c>
      <c r="B176" s="2" t="s">
        <v>113</v>
      </c>
      <c r="C176" s="60" t="s">
        <v>10549</v>
      </c>
      <c r="D176" s="1"/>
      <c r="E176" s="68"/>
      <c r="F176" s="70"/>
      <c r="G176" s="1" t="s">
        <v>17070</v>
      </c>
      <c r="H176" s="68"/>
      <c r="I176" s="70"/>
      <c r="J176" s="66"/>
      <c r="K176" s="57"/>
      <c r="L176" s="58"/>
      <c r="M176" s="83" t="s">
        <v>5895</v>
      </c>
      <c r="N176" s="64" t="s">
        <v>1</v>
      </c>
      <c r="O176" s="65">
        <v>1</v>
      </c>
      <c r="P176" s="99"/>
      <c r="Q176" s="70"/>
      <c r="R176" s="99"/>
      <c r="S176" s="70"/>
      <c r="T176" s="67"/>
      <c r="U176" s="68"/>
      <c r="V176" s="76"/>
      <c r="W176" s="70"/>
      <c r="X176" s="67"/>
      <c r="Y176" s="68"/>
      <c r="Z176" s="76"/>
      <c r="AA176" s="70"/>
      <c r="AB176" s="228">
        <f>ROUND((ROUND((_15_同援日１．０*_15・２人),0)*(1+_15・A夜間)),0)+ROUND((ROUND((_15_同援日１．０＿１．５*_15・２人),0)*(1+_15・B深夜)),0)</f>
        <v>749</v>
      </c>
      <c r="AC176" s="69"/>
    </row>
    <row r="177" spans="1:29" ht="16.5" customHeight="1" x14ac:dyDescent="0.3">
      <c r="A177" s="2">
        <v>15</v>
      </c>
      <c r="B177" s="2" t="s">
        <v>114</v>
      </c>
      <c r="C177" s="60" t="s">
        <v>10548</v>
      </c>
      <c r="D177" s="1"/>
      <c r="E177" s="68"/>
      <c r="F177" s="70"/>
      <c r="G177" s="1" t="s">
        <v>8767</v>
      </c>
      <c r="H177" s="68"/>
      <c r="I177" s="70"/>
      <c r="J177" s="74" t="s">
        <v>5898</v>
      </c>
      <c r="K177" s="62"/>
      <c r="L177" s="63"/>
      <c r="M177" s="85"/>
      <c r="N177" s="64"/>
      <c r="O177" s="65"/>
      <c r="P177" s="99"/>
      <c r="Q177" s="70"/>
      <c r="R177" s="99"/>
      <c r="S177" s="70"/>
      <c r="T177" s="67"/>
      <c r="U177" s="68"/>
      <c r="V177" s="76"/>
      <c r="W177" s="70"/>
      <c r="X177" s="67"/>
      <c r="Y177" s="68"/>
      <c r="Z177" s="76"/>
      <c r="AA177" s="70"/>
      <c r="AB177" s="228">
        <f>ROUND((ROUND((_15_同援日１．０*_15・基礎２),0)*(1+_15・A夜間)),0)+ROUND((ROUND((_15_同援日１．０＿１．５*_15・基礎２),0)*(1+_15・B深夜)),0)</f>
        <v>674</v>
      </c>
      <c r="AC177" s="69"/>
    </row>
    <row r="178" spans="1:29" ht="16.5" customHeight="1" x14ac:dyDescent="0.3">
      <c r="A178" s="2">
        <v>15</v>
      </c>
      <c r="B178" s="2" t="s">
        <v>115</v>
      </c>
      <c r="C178" s="60" t="s">
        <v>10547</v>
      </c>
      <c r="D178" s="1"/>
      <c r="E178" s="68"/>
      <c r="F178" s="70"/>
      <c r="G178" s="1"/>
      <c r="H178" s="119">
        <v>256</v>
      </c>
      <c r="I178" s="70" t="s">
        <v>0</v>
      </c>
      <c r="J178" s="106" t="s">
        <v>17053</v>
      </c>
      <c r="K178" s="57" t="s">
        <v>1</v>
      </c>
      <c r="L178" s="58">
        <v>0.9</v>
      </c>
      <c r="M178" s="83" t="s">
        <v>5895</v>
      </c>
      <c r="N178" s="64" t="s">
        <v>1</v>
      </c>
      <c r="O178" s="65">
        <v>1</v>
      </c>
      <c r="P178" s="99"/>
      <c r="Q178" s="70"/>
      <c r="R178" s="99"/>
      <c r="S178" s="70"/>
      <c r="T178" s="66"/>
      <c r="U178" s="57"/>
      <c r="V178" s="58"/>
      <c r="W178" s="77"/>
      <c r="X178" s="67"/>
      <c r="Y178" s="68"/>
      <c r="Z178" s="76"/>
      <c r="AA178" s="70"/>
      <c r="AB178" s="228">
        <f>ROUND((ROUND((ROUND((_15_同援日１．０*_15・基礎２),0)*_15・２人),0)*(1+_15・A夜間)),0)+ROUND((ROUND((ROUND((_15_同援日１．０＿１．５*_15・基礎２),0)*_15・２人),0)*(1+_15・B深夜)),0)</f>
        <v>674</v>
      </c>
      <c r="AC178" s="69"/>
    </row>
    <row r="179" spans="1:29" ht="16.5" customHeight="1" x14ac:dyDescent="0.3">
      <c r="A179" s="2">
        <v>15</v>
      </c>
      <c r="B179" s="2" t="s">
        <v>116</v>
      </c>
      <c r="C179" s="60" t="s">
        <v>10546</v>
      </c>
      <c r="D179" s="1"/>
      <c r="E179" s="68"/>
      <c r="F179" s="70"/>
      <c r="G179" s="1"/>
      <c r="H179" s="68"/>
      <c r="I179" s="70"/>
      <c r="J179" s="61"/>
      <c r="K179" s="62"/>
      <c r="L179" s="63"/>
      <c r="M179" s="85"/>
      <c r="N179" s="64"/>
      <c r="O179" s="65"/>
      <c r="P179" s="99"/>
      <c r="Q179" s="70"/>
      <c r="R179" s="99"/>
      <c r="S179" s="70"/>
      <c r="T179" s="74" t="s">
        <v>18025</v>
      </c>
      <c r="U179" s="62"/>
      <c r="V179" s="63"/>
      <c r="W179" s="75"/>
      <c r="X179" s="67"/>
      <c r="Y179" s="68"/>
      <c r="Z179" s="76"/>
      <c r="AA179" s="70"/>
      <c r="AB179" s="228">
        <f>ROUND((ROUND((_15_同援日１．０*(1+_15・A夜間)),0)*(1+_15・盲ろう)),0)+ROUND((ROUND((_15_同援日１．０＿１．５*(1+_15・B深夜)),0)*(1+_15・盲ろう)),0)</f>
        <v>936</v>
      </c>
      <c r="AC179" s="69"/>
    </row>
    <row r="180" spans="1:29" ht="16.5" customHeight="1" x14ac:dyDescent="0.3">
      <c r="A180" s="2">
        <v>15</v>
      </c>
      <c r="B180" s="2" t="s">
        <v>117</v>
      </c>
      <c r="C180" s="60" t="s">
        <v>10545</v>
      </c>
      <c r="D180" s="1"/>
      <c r="E180" s="68"/>
      <c r="F180" s="70"/>
      <c r="G180" s="1"/>
      <c r="H180" s="68"/>
      <c r="I180" s="70"/>
      <c r="J180" s="66"/>
      <c r="K180" s="57"/>
      <c r="L180" s="58"/>
      <c r="M180" s="83" t="s">
        <v>5895</v>
      </c>
      <c r="N180" s="64" t="s">
        <v>1</v>
      </c>
      <c r="O180" s="65">
        <v>1</v>
      </c>
      <c r="P180" s="99"/>
      <c r="Q180" s="70"/>
      <c r="R180" s="99"/>
      <c r="S180" s="70"/>
      <c r="T180" s="94" t="s">
        <v>18024</v>
      </c>
      <c r="U180" s="68"/>
      <c r="V180" s="76"/>
      <c r="W180" s="70"/>
      <c r="X180" s="67"/>
      <c r="Y180" s="68"/>
      <c r="Z180" s="76"/>
      <c r="AA180" s="70"/>
      <c r="AB180" s="228">
        <f>ROUND((ROUND((ROUND((_15_同援日１．０*_15・２人),0)*(1+_15・A夜間)),0)*(1+_15・盲ろう)),0)+ROUND((ROUND((ROUND((_15_同援日１．０＿１．５*_15・２人),0)*(1+_15・B深夜)),0)*(1+_15・盲ろう)),0)</f>
        <v>936</v>
      </c>
      <c r="AC180" s="69"/>
    </row>
    <row r="181" spans="1:29" ht="16.5" customHeight="1" x14ac:dyDescent="0.3">
      <c r="A181" s="2">
        <v>15</v>
      </c>
      <c r="B181" s="2" t="s">
        <v>118</v>
      </c>
      <c r="C181" s="60" t="s">
        <v>10544</v>
      </c>
      <c r="D181" s="1"/>
      <c r="E181" s="68"/>
      <c r="F181" s="70"/>
      <c r="G181" s="1"/>
      <c r="H181" s="68"/>
      <c r="I181" s="70"/>
      <c r="J181" s="74" t="s">
        <v>5898</v>
      </c>
      <c r="K181" s="62"/>
      <c r="L181" s="63"/>
      <c r="M181" s="85"/>
      <c r="N181" s="64"/>
      <c r="O181" s="65"/>
      <c r="P181" s="99"/>
      <c r="Q181" s="70"/>
      <c r="R181" s="99"/>
      <c r="S181" s="70"/>
      <c r="T181" s="67"/>
      <c r="U181" s="68" t="s">
        <v>1</v>
      </c>
      <c r="V181" s="76">
        <v>0.25</v>
      </c>
      <c r="W181" s="70" t="s">
        <v>422</v>
      </c>
      <c r="X181" s="67"/>
      <c r="Y181" s="68"/>
      <c r="Z181" s="76"/>
      <c r="AA181" s="70"/>
      <c r="AB181" s="228">
        <f>ROUND((ROUND((ROUND((_15_同援日１．０*_15・基礎２),0)*(1+_15・A夜間)),0)*(1+_15・盲ろう)),0)+ROUND((ROUND((ROUND((_15_同援日１．０＿１．５*_15・基礎２),0)*(1+_15・B深夜)),0)*(1+_15・盲ろう)),0)</f>
        <v>842</v>
      </c>
      <c r="AC181" s="69"/>
    </row>
    <row r="182" spans="1:29" ht="16.5" customHeight="1" x14ac:dyDescent="0.3">
      <c r="A182" s="2">
        <v>15</v>
      </c>
      <c r="B182" s="2" t="s">
        <v>119</v>
      </c>
      <c r="C182" s="60" t="s">
        <v>10543</v>
      </c>
      <c r="D182" s="1"/>
      <c r="E182" s="68"/>
      <c r="F182" s="70"/>
      <c r="G182" s="1"/>
      <c r="H182" s="68"/>
      <c r="I182" s="70"/>
      <c r="J182" s="106" t="s">
        <v>16970</v>
      </c>
      <c r="K182" s="57" t="s">
        <v>1</v>
      </c>
      <c r="L182" s="58">
        <v>0.9</v>
      </c>
      <c r="M182" s="83" t="s">
        <v>5895</v>
      </c>
      <c r="N182" s="64" t="s">
        <v>1</v>
      </c>
      <c r="O182" s="65">
        <v>1</v>
      </c>
      <c r="P182" s="99"/>
      <c r="Q182" s="70"/>
      <c r="R182" s="99"/>
      <c r="S182" s="70"/>
      <c r="T182" s="66"/>
      <c r="U182" s="57"/>
      <c r="V182" s="58"/>
      <c r="W182" s="77"/>
      <c r="X182" s="66"/>
      <c r="Y182" s="57"/>
      <c r="Z182" s="58"/>
      <c r="AA182" s="77"/>
      <c r="AB182" s="228">
        <f>ROUND((ROUND((ROUND((ROUND((_15_同援日１．０*_15・基礎２),0)*_15・２人),0)*(1+_15・A夜間)),0)*(1+_15・盲ろう)),0)+ROUND((ROUND((ROUND((ROUND((_15_同援日１．０＿１．５*_15・基礎２),0)*_15・２人),0)*(1+_15・B深夜)),0)*(1+_15・盲ろう)),0)</f>
        <v>842</v>
      </c>
      <c r="AC182" s="69"/>
    </row>
    <row r="183" spans="1:29" ht="16.5" customHeight="1" x14ac:dyDescent="0.3">
      <c r="A183" s="2">
        <v>15</v>
      </c>
      <c r="B183" s="2" t="s">
        <v>120</v>
      </c>
      <c r="C183" s="60" t="s">
        <v>10542</v>
      </c>
      <c r="D183" s="1"/>
      <c r="E183" s="68"/>
      <c r="F183" s="70"/>
      <c r="G183" s="1"/>
      <c r="H183" s="68"/>
      <c r="I183" s="70"/>
      <c r="J183" s="61"/>
      <c r="K183" s="62"/>
      <c r="L183" s="63"/>
      <c r="M183" s="85"/>
      <c r="N183" s="64"/>
      <c r="O183" s="65"/>
      <c r="P183" s="99"/>
      <c r="Q183" s="70"/>
      <c r="R183" s="99"/>
      <c r="S183" s="70"/>
      <c r="T183" s="61"/>
      <c r="U183" s="62"/>
      <c r="V183" s="63"/>
      <c r="W183" s="75"/>
      <c r="X183" s="61"/>
      <c r="Y183" s="62"/>
      <c r="Z183" s="63"/>
      <c r="AA183" s="75"/>
      <c r="AB183" s="228">
        <f>ROUND((ROUND((_15_同援日１．０*(1+_15・A夜間)),0)*(1+_15・区３)),0)+ROUND((ROUND((_15_同援日１．０＿１．５*(1+_15・B深夜)),0)*(1+_15・区３)),0)</f>
        <v>899</v>
      </c>
      <c r="AC183" s="69"/>
    </row>
    <row r="184" spans="1:29" ht="16.5" customHeight="1" x14ac:dyDescent="0.3">
      <c r="A184" s="2">
        <v>15</v>
      </c>
      <c r="B184" s="2" t="s">
        <v>121</v>
      </c>
      <c r="C184" s="60" t="s">
        <v>10541</v>
      </c>
      <c r="D184" s="1"/>
      <c r="E184" s="68"/>
      <c r="F184" s="70"/>
      <c r="G184" s="1"/>
      <c r="H184" s="68"/>
      <c r="I184" s="70"/>
      <c r="J184" s="66"/>
      <c r="K184" s="57"/>
      <c r="L184" s="58"/>
      <c r="M184" s="83" t="s">
        <v>5895</v>
      </c>
      <c r="N184" s="64" t="s">
        <v>1</v>
      </c>
      <c r="O184" s="65">
        <v>1</v>
      </c>
      <c r="P184" s="99"/>
      <c r="Q184" s="70"/>
      <c r="R184" s="99"/>
      <c r="S184" s="70"/>
      <c r="T184" s="67"/>
      <c r="U184" s="68"/>
      <c r="V184" s="76"/>
      <c r="W184" s="70"/>
      <c r="X184" s="67"/>
      <c r="Y184" s="68"/>
      <c r="Z184" s="76"/>
      <c r="AA184" s="70"/>
      <c r="AB184" s="228">
        <f>ROUND((ROUND((ROUND((_15_同援日１．０*_15・２人),0)*(1+_15・A夜間)),0)*(1+_15・区３)),0)+ROUND((ROUND((ROUND((_15_同援日１．０＿１．５*_15・２人),0)*(1+_15・B深夜)),0)*(1+_15・区３)),0)</f>
        <v>899</v>
      </c>
      <c r="AC184" s="69"/>
    </row>
    <row r="185" spans="1:29" ht="16.5" customHeight="1" x14ac:dyDescent="0.3">
      <c r="A185" s="2">
        <v>15</v>
      </c>
      <c r="B185" s="2" t="s">
        <v>122</v>
      </c>
      <c r="C185" s="60" t="s">
        <v>10540</v>
      </c>
      <c r="D185" s="1"/>
      <c r="E185" s="68"/>
      <c r="F185" s="70"/>
      <c r="G185" s="1"/>
      <c r="H185" s="68"/>
      <c r="I185" s="70"/>
      <c r="J185" s="74" t="s">
        <v>16971</v>
      </c>
      <c r="K185" s="62"/>
      <c r="L185" s="63"/>
      <c r="M185" s="85"/>
      <c r="N185" s="64"/>
      <c r="O185" s="65"/>
      <c r="P185" s="99"/>
      <c r="Q185" s="70"/>
      <c r="R185" s="99"/>
      <c r="S185" s="70"/>
      <c r="T185" s="67"/>
      <c r="U185" s="68"/>
      <c r="V185" s="76"/>
      <c r="W185" s="70"/>
      <c r="X185" s="1" t="s">
        <v>18028</v>
      </c>
      <c r="Y185" s="68"/>
      <c r="Z185" s="76"/>
      <c r="AA185" s="70"/>
      <c r="AB185" s="228">
        <f>ROUND((ROUND((ROUND((_15_同援日１．０*_15・基礎２),0)*(1+_15・A夜間)),0)*(1+_15・区３)),0)+ROUND((ROUND((ROUND((_15_同援日１．０＿１．５*_15・基礎２),0)*(1+_15・B深夜)),0)*(1+_15・区３)),0)</f>
        <v>809</v>
      </c>
      <c r="AC185" s="69"/>
    </row>
    <row r="186" spans="1:29" ht="16.5" customHeight="1" x14ac:dyDescent="0.3">
      <c r="A186" s="2">
        <v>15</v>
      </c>
      <c r="B186" s="2" t="s">
        <v>123</v>
      </c>
      <c r="C186" s="60" t="s">
        <v>10539</v>
      </c>
      <c r="D186" s="1"/>
      <c r="E186" s="68"/>
      <c r="F186" s="70"/>
      <c r="G186" s="1"/>
      <c r="H186" s="68"/>
      <c r="I186" s="70"/>
      <c r="J186" s="106" t="s">
        <v>16970</v>
      </c>
      <c r="K186" s="57" t="s">
        <v>1</v>
      </c>
      <c r="L186" s="58">
        <v>0.9</v>
      </c>
      <c r="M186" s="83" t="s">
        <v>5895</v>
      </c>
      <c r="N186" s="64" t="s">
        <v>1</v>
      </c>
      <c r="O186" s="65">
        <v>1</v>
      </c>
      <c r="P186" s="99"/>
      <c r="Q186" s="70"/>
      <c r="R186" s="99"/>
      <c r="S186" s="70"/>
      <c r="T186" s="66"/>
      <c r="U186" s="57"/>
      <c r="V186" s="58"/>
      <c r="W186" s="77"/>
      <c r="X186" s="1" t="s">
        <v>18026</v>
      </c>
      <c r="Y186" s="68"/>
      <c r="Z186" s="76"/>
      <c r="AA186" s="70"/>
      <c r="AB186" s="228">
        <f>ROUND((ROUND((ROUND((ROUND((_15_同援日１．０*_15・基礎２),0)*_15・２人),0)*(1+_15・A夜間)),0)*(1+_15・区３)),0)+ROUND((ROUND((ROUND((ROUND((_15_同援日１．０＿１．５*_15・基礎２),0)*_15・２人),0)*(1+_15・B深夜)),0)*(1+_15・区３)),0)</f>
        <v>809</v>
      </c>
      <c r="AC186" s="69"/>
    </row>
    <row r="187" spans="1:29" ht="16.5" customHeight="1" x14ac:dyDescent="0.3">
      <c r="A187" s="2">
        <v>15</v>
      </c>
      <c r="B187" s="2" t="s">
        <v>124</v>
      </c>
      <c r="C187" s="60" t="s">
        <v>10538</v>
      </c>
      <c r="D187" s="1"/>
      <c r="E187" s="68"/>
      <c r="F187" s="70"/>
      <c r="G187" s="1"/>
      <c r="H187" s="68"/>
      <c r="I187" s="70"/>
      <c r="J187" s="61"/>
      <c r="K187" s="62"/>
      <c r="L187" s="63"/>
      <c r="M187" s="85"/>
      <c r="N187" s="64"/>
      <c r="O187" s="65"/>
      <c r="P187" s="99"/>
      <c r="Q187" s="70"/>
      <c r="R187" s="99"/>
      <c r="S187" s="70"/>
      <c r="T187" s="74" t="s">
        <v>17969</v>
      </c>
      <c r="U187" s="62"/>
      <c r="V187" s="63"/>
      <c r="W187" s="75"/>
      <c r="X187" s="67"/>
      <c r="Y187" s="68" t="s">
        <v>1</v>
      </c>
      <c r="Z187" s="76">
        <v>0.2</v>
      </c>
      <c r="AA187" s="70" t="s">
        <v>422</v>
      </c>
      <c r="AB187" s="228">
        <f>ROUND((ROUND((ROUND((_15_同援日１．０*(1+_15・A夜間)),0)*(1+_15・盲ろう)),0)*(1+_15・区３)),0)+ROUND((ROUND((ROUND((_15_同援日１．０＿１．５*(1+_15・B深夜)),0)*(1+_15・盲ろう)),0)*(1+_15・区３)),0)</f>
        <v>1123</v>
      </c>
      <c r="AC187" s="69"/>
    </row>
    <row r="188" spans="1:29" ht="16.5" customHeight="1" x14ac:dyDescent="0.3">
      <c r="A188" s="2">
        <v>15</v>
      </c>
      <c r="B188" s="2" t="s">
        <v>125</v>
      </c>
      <c r="C188" s="60" t="s">
        <v>10537</v>
      </c>
      <c r="D188" s="1"/>
      <c r="E188" s="68"/>
      <c r="F188" s="70"/>
      <c r="G188" s="1"/>
      <c r="H188" s="68"/>
      <c r="I188" s="70"/>
      <c r="J188" s="66"/>
      <c r="K188" s="57"/>
      <c r="L188" s="58"/>
      <c r="M188" s="83" t="s">
        <v>5895</v>
      </c>
      <c r="N188" s="64" t="s">
        <v>1</v>
      </c>
      <c r="O188" s="65">
        <v>1</v>
      </c>
      <c r="P188" s="99"/>
      <c r="Q188" s="70"/>
      <c r="R188" s="99"/>
      <c r="S188" s="70"/>
      <c r="T188" s="94" t="s">
        <v>8083</v>
      </c>
      <c r="U188" s="68"/>
      <c r="V188" s="76"/>
      <c r="W188" s="70"/>
      <c r="X188" s="67"/>
      <c r="Y188" s="68"/>
      <c r="Z188" s="76"/>
      <c r="AA188" s="70"/>
      <c r="AB188" s="228">
        <f>ROUND((ROUND((ROUND((ROUND((_15_同援日１．０*_15・２人),0)*(1+_15・A夜間)),0)*(1+_15・盲ろう)),0)*(1+_15・区３)),0)+ROUND((ROUND((ROUND((ROUND((_15_同援日１．０＿１．５*_15・２人),0)*(1+_15・B深夜)),0)*(1+_15・盲ろう)),0)*(1+_15・区３)),0)</f>
        <v>1123</v>
      </c>
      <c r="AC188" s="69"/>
    </row>
    <row r="189" spans="1:29" ht="16.5" customHeight="1" x14ac:dyDescent="0.3">
      <c r="A189" s="2">
        <v>15</v>
      </c>
      <c r="B189" s="2" t="s">
        <v>126</v>
      </c>
      <c r="C189" s="60" t="s">
        <v>10536</v>
      </c>
      <c r="D189" s="1"/>
      <c r="E189" s="68"/>
      <c r="F189" s="70"/>
      <c r="G189" s="1"/>
      <c r="H189" s="68"/>
      <c r="I189" s="70"/>
      <c r="J189" s="74" t="s">
        <v>16971</v>
      </c>
      <c r="K189" s="62"/>
      <c r="L189" s="63"/>
      <c r="M189" s="85"/>
      <c r="N189" s="64"/>
      <c r="O189" s="65"/>
      <c r="P189" s="99"/>
      <c r="Q189" s="70"/>
      <c r="R189" s="99"/>
      <c r="S189" s="70"/>
      <c r="T189" s="67"/>
      <c r="U189" s="68" t="s">
        <v>1</v>
      </c>
      <c r="V189" s="76">
        <v>0.25</v>
      </c>
      <c r="W189" s="70" t="s">
        <v>422</v>
      </c>
      <c r="X189" s="67"/>
      <c r="Y189" s="68"/>
      <c r="Z189" s="76"/>
      <c r="AA189" s="70"/>
      <c r="AB189" s="228">
        <f>ROUND((ROUND((ROUND((ROUND((_15_同援日１．０*_15・基礎２),0)*(1+_15・A夜間)),0)*(1+_15・盲ろう)),0)*(1+_15・区３)),0)+ROUND((ROUND((ROUND((ROUND((_15_同援日１．０＿１．５*_15・基礎２),0)*(1+_15・B深夜)),0)*(1+_15・盲ろう)),0)*(1+_15・区３)),0)</f>
        <v>1010</v>
      </c>
      <c r="AC189" s="69"/>
    </row>
    <row r="190" spans="1:29" ht="16.5" customHeight="1" x14ac:dyDescent="0.3">
      <c r="A190" s="2">
        <v>15</v>
      </c>
      <c r="B190" s="2" t="s">
        <v>127</v>
      </c>
      <c r="C190" s="60" t="s">
        <v>10535</v>
      </c>
      <c r="D190" s="1"/>
      <c r="E190" s="68"/>
      <c r="F190" s="70"/>
      <c r="G190" s="1"/>
      <c r="H190" s="68"/>
      <c r="I190" s="70"/>
      <c r="J190" s="106" t="s">
        <v>16970</v>
      </c>
      <c r="K190" s="57" t="s">
        <v>1</v>
      </c>
      <c r="L190" s="58">
        <v>0.9</v>
      </c>
      <c r="M190" s="83" t="s">
        <v>5895</v>
      </c>
      <c r="N190" s="64" t="s">
        <v>1</v>
      </c>
      <c r="O190" s="65">
        <v>1</v>
      </c>
      <c r="P190" s="99"/>
      <c r="Q190" s="70"/>
      <c r="R190" s="99"/>
      <c r="S190" s="70"/>
      <c r="T190" s="66"/>
      <c r="U190" s="57"/>
      <c r="V190" s="58"/>
      <c r="W190" s="77"/>
      <c r="X190" s="66"/>
      <c r="Y190" s="57"/>
      <c r="Z190" s="58"/>
      <c r="AA190" s="77"/>
      <c r="AB190" s="228">
        <f>ROUND((ROUND((ROUND((ROUND((ROUND((_15_同援日１．０*_15・基礎２),0)*_15・２人),0)*(1+_15・A夜間)),0)*(1+_15・盲ろう)),0)*(1+_15・区３)),0)+ROUND((ROUND((ROUND((ROUND((ROUND((_15_同援日１．０＿１．５*_15・基礎２),0)*_15・２人),0)*(1+_15・B深夜)),0)*(1+_15・盲ろう)),0)*(1+_15・区３)),0)</f>
        <v>1010</v>
      </c>
      <c r="AC190" s="69"/>
    </row>
    <row r="191" spans="1:29" ht="16.5" customHeight="1" x14ac:dyDescent="0.3">
      <c r="A191" s="2">
        <v>15</v>
      </c>
      <c r="B191" s="2" t="s">
        <v>128</v>
      </c>
      <c r="C191" s="60" t="s">
        <v>10534</v>
      </c>
      <c r="D191" s="1"/>
      <c r="E191" s="68"/>
      <c r="F191" s="70"/>
      <c r="G191" s="1"/>
      <c r="H191" s="68"/>
      <c r="I191" s="70"/>
      <c r="J191" s="61"/>
      <c r="K191" s="62"/>
      <c r="L191" s="63"/>
      <c r="M191" s="85"/>
      <c r="N191" s="64"/>
      <c r="O191" s="65"/>
      <c r="P191" s="99"/>
      <c r="Q191" s="70"/>
      <c r="R191" s="99"/>
      <c r="S191" s="70"/>
      <c r="T191" s="61"/>
      <c r="U191" s="62"/>
      <c r="V191" s="63"/>
      <c r="W191" s="75"/>
      <c r="X191" s="61"/>
      <c r="Y191" s="62"/>
      <c r="Z191" s="63"/>
      <c r="AA191" s="75"/>
      <c r="AB191" s="228">
        <f>ROUND((ROUND((_15_同援日１．０*(1+_15・A夜間)),0)*(1+_15・区４)),0)+ROUND((ROUND((_15_同援日１．０＿１．５*(1+_15・B深夜)),0)*(1+_15・区４)),0)</f>
        <v>1049</v>
      </c>
      <c r="AC191" s="69"/>
    </row>
    <row r="192" spans="1:29" ht="16.5" customHeight="1" x14ac:dyDescent="0.3">
      <c r="A192" s="2">
        <v>15</v>
      </c>
      <c r="B192" s="2" t="s">
        <v>129</v>
      </c>
      <c r="C192" s="60" t="s">
        <v>10533</v>
      </c>
      <c r="D192" s="1"/>
      <c r="E192" s="68"/>
      <c r="F192" s="70"/>
      <c r="G192" s="1"/>
      <c r="H192" s="68"/>
      <c r="I192" s="70"/>
      <c r="J192" s="66"/>
      <c r="K192" s="57"/>
      <c r="L192" s="58"/>
      <c r="M192" s="83" t="s">
        <v>5895</v>
      </c>
      <c r="N192" s="64" t="s">
        <v>1</v>
      </c>
      <c r="O192" s="65">
        <v>1</v>
      </c>
      <c r="P192" s="99"/>
      <c r="Q192" s="70"/>
      <c r="R192" s="99"/>
      <c r="S192" s="70"/>
      <c r="T192" s="67"/>
      <c r="U192" s="68"/>
      <c r="V192" s="76"/>
      <c r="W192" s="70"/>
      <c r="X192" s="67"/>
      <c r="Y192" s="68"/>
      <c r="Z192" s="76"/>
      <c r="AA192" s="70"/>
      <c r="AB192" s="228">
        <f>ROUND((ROUND((ROUND((_15_同援日１．０*_15・２人),0)*(1+_15・A夜間)),0)*(1+_15・区４)),0)+ROUND((ROUND((ROUND((_15_同援日１．０＿１．５*_15・２人),0)*(1+_15・B深夜)),0)*(1+_15・区４)),0)</f>
        <v>1049</v>
      </c>
      <c r="AC192" s="69"/>
    </row>
    <row r="193" spans="1:29" ht="16.5" customHeight="1" x14ac:dyDescent="0.3">
      <c r="A193" s="2">
        <v>15</v>
      </c>
      <c r="B193" s="2" t="s">
        <v>130</v>
      </c>
      <c r="C193" s="60" t="s">
        <v>10532</v>
      </c>
      <c r="D193" s="1"/>
      <c r="E193" s="68"/>
      <c r="F193" s="70"/>
      <c r="G193" s="1"/>
      <c r="H193" s="68"/>
      <c r="I193" s="70"/>
      <c r="J193" s="74" t="s">
        <v>16971</v>
      </c>
      <c r="K193" s="62"/>
      <c r="L193" s="63"/>
      <c r="M193" s="85"/>
      <c r="N193" s="64"/>
      <c r="O193" s="65"/>
      <c r="P193" s="99"/>
      <c r="Q193" s="70"/>
      <c r="R193" s="99"/>
      <c r="S193" s="70"/>
      <c r="T193" s="67"/>
      <c r="U193" s="68"/>
      <c r="V193" s="76"/>
      <c r="W193" s="70"/>
      <c r="X193" s="1" t="s">
        <v>18027</v>
      </c>
      <c r="Y193" s="68"/>
      <c r="Z193" s="76"/>
      <c r="AA193" s="70"/>
      <c r="AB193" s="228">
        <f>ROUND((ROUND((ROUND((_15_同援日１．０*_15・基礎２),0)*(1+_15・A夜間)),0)*(1+_15・区４)),0)+ROUND((ROUND((ROUND((_15_同援日１．０＿１．５*_15・基礎２),0)*(1+_15・B深夜)),0)*(1+_15・区４)),0)</f>
        <v>944</v>
      </c>
      <c r="AC193" s="69"/>
    </row>
    <row r="194" spans="1:29" ht="16.5" customHeight="1" x14ac:dyDescent="0.3">
      <c r="A194" s="2">
        <v>15</v>
      </c>
      <c r="B194" s="2" t="s">
        <v>131</v>
      </c>
      <c r="C194" s="60" t="s">
        <v>10531</v>
      </c>
      <c r="D194" s="1"/>
      <c r="E194" s="68"/>
      <c r="F194" s="70"/>
      <c r="G194" s="1"/>
      <c r="H194" s="68"/>
      <c r="I194" s="70"/>
      <c r="J194" s="106" t="s">
        <v>16970</v>
      </c>
      <c r="K194" s="57" t="s">
        <v>1</v>
      </c>
      <c r="L194" s="58">
        <v>0.9</v>
      </c>
      <c r="M194" s="83" t="s">
        <v>5895</v>
      </c>
      <c r="N194" s="64" t="s">
        <v>1</v>
      </c>
      <c r="O194" s="65">
        <v>1</v>
      </c>
      <c r="P194" s="99"/>
      <c r="Q194" s="70"/>
      <c r="R194" s="99"/>
      <c r="S194" s="70"/>
      <c r="T194" s="66"/>
      <c r="U194" s="57"/>
      <c r="V194" s="58"/>
      <c r="W194" s="77"/>
      <c r="X194" s="1" t="s">
        <v>18084</v>
      </c>
      <c r="Y194" s="68"/>
      <c r="Z194" s="76"/>
      <c r="AA194" s="70"/>
      <c r="AB194" s="228">
        <f>ROUND((ROUND((ROUND((ROUND((_15_同援日１．０*_15・基礎２),0)*_15・２人),0)*(1+_15・A夜間)),0)*(1+_15・区４)),0)+ROUND((ROUND((ROUND((ROUND((_15_同援日１．０＿１．５*_15・基礎２),0)*_15・２人),0)*(1+_15・B深夜)),0)*(1+_15・区４)),0)</f>
        <v>944</v>
      </c>
      <c r="AC194" s="69"/>
    </row>
    <row r="195" spans="1:29" ht="16.5" customHeight="1" x14ac:dyDescent="0.3">
      <c r="A195" s="2">
        <v>15</v>
      </c>
      <c r="B195" s="2" t="s">
        <v>132</v>
      </c>
      <c r="C195" s="60" t="s">
        <v>10530</v>
      </c>
      <c r="D195" s="1"/>
      <c r="E195" s="68"/>
      <c r="F195" s="70"/>
      <c r="G195" s="1"/>
      <c r="H195" s="68"/>
      <c r="I195" s="70"/>
      <c r="J195" s="61"/>
      <c r="K195" s="62"/>
      <c r="L195" s="63"/>
      <c r="M195" s="85"/>
      <c r="N195" s="64"/>
      <c r="O195" s="65"/>
      <c r="P195" s="99"/>
      <c r="Q195" s="70"/>
      <c r="R195" s="99"/>
      <c r="S195" s="70"/>
      <c r="T195" s="74" t="s">
        <v>18025</v>
      </c>
      <c r="U195" s="62"/>
      <c r="V195" s="63"/>
      <c r="W195" s="75"/>
      <c r="X195" s="67"/>
      <c r="Y195" s="68" t="s">
        <v>1</v>
      </c>
      <c r="Z195" s="76">
        <v>0.4</v>
      </c>
      <c r="AA195" s="70" t="s">
        <v>422</v>
      </c>
      <c r="AB195" s="228">
        <f>ROUND((ROUND((ROUND((_15_同援日１．０*(1+_15・A夜間)),0)*(1+_15・盲ろう)),0)*(1+_15・区４)),0)+ROUND((ROUND((ROUND((_15_同援日１．０＿１．５*(1+_15・B深夜)),0)*(1+_15・盲ろう)),0)*(1+_15・区４)),0)</f>
        <v>1310</v>
      </c>
      <c r="AC195" s="69"/>
    </row>
    <row r="196" spans="1:29" ht="16.5" customHeight="1" x14ac:dyDescent="0.3">
      <c r="A196" s="2">
        <v>15</v>
      </c>
      <c r="B196" s="2" t="s">
        <v>133</v>
      </c>
      <c r="C196" s="60" t="s">
        <v>10529</v>
      </c>
      <c r="D196" s="1"/>
      <c r="E196" s="68"/>
      <c r="F196" s="70"/>
      <c r="G196" s="1"/>
      <c r="H196" s="68"/>
      <c r="I196" s="70"/>
      <c r="J196" s="66"/>
      <c r="K196" s="57"/>
      <c r="L196" s="58"/>
      <c r="M196" s="83" t="s">
        <v>5895</v>
      </c>
      <c r="N196" s="64" t="s">
        <v>1</v>
      </c>
      <c r="O196" s="65">
        <v>1</v>
      </c>
      <c r="P196" s="99"/>
      <c r="Q196" s="70"/>
      <c r="R196" s="99"/>
      <c r="S196" s="70"/>
      <c r="T196" s="94" t="s">
        <v>18086</v>
      </c>
      <c r="U196" s="68"/>
      <c r="V196" s="76"/>
      <c r="W196" s="70"/>
      <c r="X196" s="67"/>
      <c r="Y196" s="68"/>
      <c r="Z196" s="76"/>
      <c r="AA196" s="70"/>
      <c r="AB196" s="228">
        <f>ROUND((ROUND((ROUND((ROUND((_15_同援日１．０*_15・２人),0)*(1+_15・A夜間)),0)*(1+_15・盲ろう)),0)*(1+_15・区４)),0)+ROUND((ROUND((ROUND((ROUND((_15_同援日１．０＿１．５*_15・２人),0)*(1+_15・B深夜)),0)*(1+_15・盲ろう)),0)*(1+_15・区４)),0)</f>
        <v>1310</v>
      </c>
      <c r="AC196" s="69"/>
    </row>
    <row r="197" spans="1:29" ht="16.5" customHeight="1" x14ac:dyDescent="0.3">
      <c r="A197" s="2">
        <v>15</v>
      </c>
      <c r="B197" s="2" t="s">
        <v>134</v>
      </c>
      <c r="C197" s="60" t="s">
        <v>10528</v>
      </c>
      <c r="D197" s="1"/>
      <c r="E197" s="68"/>
      <c r="F197" s="70"/>
      <c r="G197" s="1"/>
      <c r="H197" s="68"/>
      <c r="I197" s="70"/>
      <c r="J197" s="74" t="s">
        <v>16971</v>
      </c>
      <c r="K197" s="62"/>
      <c r="L197" s="63"/>
      <c r="M197" s="85"/>
      <c r="N197" s="64"/>
      <c r="O197" s="65"/>
      <c r="P197" s="99"/>
      <c r="Q197" s="70"/>
      <c r="R197" s="99"/>
      <c r="S197" s="70"/>
      <c r="T197" s="67"/>
      <c r="U197" s="68" t="s">
        <v>1</v>
      </c>
      <c r="V197" s="76">
        <v>0.25</v>
      </c>
      <c r="W197" s="70" t="s">
        <v>422</v>
      </c>
      <c r="X197" s="67"/>
      <c r="Y197" s="68"/>
      <c r="Z197" s="76"/>
      <c r="AA197" s="70"/>
      <c r="AB197" s="228">
        <f>ROUND((ROUND((ROUND((ROUND((_15_同援日１．０*_15・基礎２),0)*(1+_15・A夜間)),0)*(1+_15・盲ろう)),0)*(1+_15・区４)),0)+ROUND((ROUND((ROUND((ROUND((_15_同援日１．０＿１．５*_15・基礎２),0)*(1+_15・B深夜)),0)*(1+_15・盲ろう)),0)*(1+_15・区４)),0)</f>
        <v>1178</v>
      </c>
      <c r="AC197" s="69"/>
    </row>
    <row r="198" spans="1:29" ht="16.5" customHeight="1" x14ac:dyDescent="0.3">
      <c r="A198" s="2">
        <v>15</v>
      </c>
      <c r="B198" s="2" t="s">
        <v>135</v>
      </c>
      <c r="C198" s="60" t="s">
        <v>10527</v>
      </c>
      <c r="D198" s="1"/>
      <c r="E198" s="68"/>
      <c r="F198" s="70"/>
      <c r="G198" s="81"/>
      <c r="H198" s="57"/>
      <c r="I198" s="77"/>
      <c r="J198" s="106" t="s">
        <v>16970</v>
      </c>
      <c r="K198" s="57" t="s">
        <v>1</v>
      </c>
      <c r="L198" s="58">
        <v>0.9</v>
      </c>
      <c r="M198" s="83" t="s">
        <v>5895</v>
      </c>
      <c r="N198" s="64" t="s">
        <v>1</v>
      </c>
      <c r="O198" s="65">
        <v>1</v>
      </c>
      <c r="P198" s="99"/>
      <c r="Q198" s="70"/>
      <c r="R198" s="99"/>
      <c r="S198" s="70"/>
      <c r="T198" s="66"/>
      <c r="U198" s="57"/>
      <c r="V198" s="58"/>
      <c r="W198" s="77"/>
      <c r="X198" s="66"/>
      <c r="Y198" s="57"/>
      <c r="Z198" s="58"/>
      <c r="AA198" s="77"/>
      <c r="AB198" s="228">
        <f>ROUND((ROUND((ROUND((ROUND((ROUND((_15_同援日１．０*_15・基礎２),0)*_15・２人),0)*(1+_15・A夜間)),0)*(1+_15・盲ろう)),0)*(1+_15・区４)),0)+ROUND((ROUND((ROUND((ROUND((ROUND((_15_同援日１．０＿１．５*_15・基礎２),0)*_15・２人),0)*(1+_15・B深夜)),0)*(1+_15・盲ろう)),0)*(1+_15・区４)),0)</f>
        <v>1178</v>
      </c>
      <c r="AC198" s="69"/>
    </row>
    <row r="199" spans="1:29" ht="16.5" customHeight="1" x14ac:dyDescent="0.3">
      <c r="A199" s="2">
        <v>15</v>
      </c>
      <c r="B199" s="2" t="s">
        <v>136</v>
      </c>
      <c r="C199" s="60" t="s">
        <v>10526</v>
      </c>
      <c r="D199" s="1"/>
      <c r="E199" s="68"/>
      <c r="F199" s="70"/>
      <c r="G199" s="233" t="s">
        <v>18092</v>
      </c>
      <c r="H199" s="62"/>
      <c r="I199" s="75"/>
      <c r="J199" s="61"/>
      <c r="K199" s="62"/>
      <c r="L199" s="63"/>
      <c r="M199" s="85"/>
      <c r="N199" s="64"/>
      <c r="O199" s="65"/>
      <c r="P199" s="99"/>
      <c r="Q199" s="70"/>
      <c r="R199" s="99"/>
      <c r="S199" s="70"/>
      <c r="T199" s="61"/>
      <c r="U199" s="62"/>
      <c r="V199" s="63"/>
      <c r="W199" s="75"/>
      <c r="X199" s="61"/>
      <c r="Y199" s="62"/>
      <c r="Z199" s="63"/>
      <c r="AA199" s="75"/>
      <c r="AB199" s="228">
        <f>ROUND((_15_同援日１．０*(1+_15・A夜間)),0)+ROUND((_15_同援日１．０＿２．０*(1+_15・B深夜)),0)</f>
        <v>844</v>
      </c>
      <c r="AC199" s="69"/>
    </row>
    <row r="200" spans="1:29" ht="16.5" customHeight="1" x14ac:dyDescent="0.3">
      <c r="A200" s="2">
        <v>15</v>
      </c>
      <c r="B200" s="2" t="s">
        <v>137</v>
      </c>
      <c r="C200" s="60" t="s">
        <v>10525</v>
      </c>
      <c r="D200" s="1"/>
      <c r="E200" s="68"/>
      <c r="F200" s="70"/>
      <c r="G200" s="1" t="s">
        <v>17063</v>
      </c>
      <c r="H200" s="68"/>
      <c r="I200" s="70"/>
      <c r="J200" s="66"/>
      <c r="K200" s="57"/>
      <c r="L200" s="58"/>
      <c r="M200" s="83" t="s">
        <v>5895</v>
      </c>
      <c r="N200" s="64" t="s">
        <v>1</v>
      </c>
      <c r="O200" s="65">
        <v>1</v>
      </c>
      <c r="P200" s="99"/>
      <c r="Q200" s="70"/>
      <c r="R200" s="99"/>
      <c r="S200" s="70"/>
      <c r="T200" s="67"/>
      <c r="U200" s="68"/>
      <c r="V200" s="76"/>
      <c r="W200" s="70"/>
      <c r="X200" s="67"/>
      <c r="Y200" s="68"/>
      <c r="Z200" s="76"/>
      <c r="AA200" s="70"/>
      <c r="AB200" s="228">
        <f>ROUND((ROUND((_15_同援日１．０*_15・２人),0)*(1+_15・A夜間)),0)+ROUND((ROUND((_15_同援日１．０＿２．０*_15・２人),0)*(1+_15・B深夜)),0)</f>
        <v>844</v>
      </c>
      <c r="AC200" s="69"/>
    </row>
    <row r="201" spans="1:29" ht="16.5" customHeight="1" x14ac:dyDescent="0.3">
      <c r="A201" s="2">
        <v>15</v>
      </c>
      <c r="B201" s="2" t="s">
        <v>138</v>
      </c>
      <c r="C201" s="60" t="s">
        <v>10524</v>
      </c>
      <c r="D201" s="1"/>
      <c r="E201" s="68"/>
      <c r="F201" s="70"/>
      <c r="G201" s="1" t="s">
        <v>6448</v>
      </c>
      <c r="H201" s="68"/>
      <c r="I201" s="70"/>
      <c r="J201" s="74" t="s">
        <v>16971</v>
      </c>
      <c r="K201" s="62"/>
      <c r="L201" s="63"/>
      <c r="M201" s="85"/>
      <c r="N201" s="64"/>
      <c r="O201" s="65"/>
      <c r="P201" s="99"/>
      <c r="Q201" s="70"/>
      <c r="R201" s="99"/>
      <c r="S201" s="70"/>
      <c r="T201" s="67"/>
      <c r="U201" s="68"/>
      <c r="V201" s="76"/>
      <c r="W201" s="70"/>
      <c r="X201" s="67"/>
      <c r="Y201" s="68"/>
      <c r="Z201" s="76"/>
      <c r="AA201" s="70"/>
      <c r="AB201" s="228">
        <f>ROUND((ROUND((_15_同援日１．０*_15・基礎２),0)*(1+_15・A夜間)),0)+ROUND((ROUND((_15_同援日１．０＿２．０*_15・基礎２),0)*(1+_15・B深夜)),0)</f>
        <v>760</v>
      </c>
      <c r="AC201" s="69"/>
    </row>
    <row r="202" spans="1:29" ht="16.5" customHeight="1" x14ac:dyDescent="0.3">
      <c r="A202" s="2">
        <v>15</v>
      </c>
      <c r="B202" s="2" t="s">
        <v>139</v>
      </c>
      <c r="C202" s="60" t="s">
        <v>10523</v>
      </c>
      <c r="D202" s="1"/>
      <c r="E202" s="68"/>
      <c r="F202" s="70"/>
      <c r="G202" s="1"/>
      <c r="H202" s="119">
        <v>319</v>
      </c>
      <c r="I202" s="70" t="s">
        <v>0</v>
      </c>
      <c r="J202" s="106" t="s">
        <v>17053</v>
      </c>
      <c r="K202" s="57" t="s">
        <v>1</v>
      </c>
      <c r="L202" s="58">
        <v>0.9</v>
      </c>
      <c r="M202" s="83" t="s">
        <v>5895</v>
      </c>
      <c r="N202" s="64" t="s">
        <v>1</v>
      </c>
      <c r="O202" s="65">
        <v>1</v>
      </c>
      <c r="P202" s="99"/>
      <c r="Q202" s="70"/>
      <c r="R202" s="99"/>
      <c r="S202" s="70"/>
      <c r="T202" s="66"/>
      <c r="U202" s="57"/>
      <c r="V202" s="58"/>
      <c r="W202" s="77"/>
      <c r="X202" s="67"/>
      <c r="Y202" s="68"/>
      <c r="Z202" s="76"/>
      <c r="AA202" s="70"/>
      <c r="AB202" s="228">
        <f>ROUND((ROUND((ROUND((_15_同援日１．０*_15・基礎２),0)*_15・２人),0)*(1+_15・A夜間)),0)+ROUND((ROUND((ROUND((_15_同援日１．０＿２．０*_15・基礎２),0)*_15・２人),0)*(1+_15・B深夜)),0)</f>
        <v>760</v>
      </c>
      <c r="AC202" s="69"/>
    </row>
    <row r="203" spans="1:29" ht="16.5" customHeight="1" x14ac:dyDescent="0.3">
      <c r="A203" s="2">
        <v>15</v>
      </c>
      <c r="B203" s="2" t="s">
        <v>140</v>
      </c>
      <c r="C203" s="60" t="s">
        <v>10522</v>
      </c>
      <c r="D203" s="1"/>
      <c r="E203" s="68"/>
      <c r="F203" s="70"/>
      <c r="G203" s="1"/>
      <c r="H203" s="68"/>
      <c r="I203" s="70"/>
      <c r="J203" s="61"/>
      <c r="K203" s="62"/>
      <c r="L203" s="63"/>
      <c r="M203" s="85"/>
      <c r="N203" s="64"/>
      <c r="O203" s="65"/>
      <c r="P203" s="99"/>
      <c r="Q203" s="70"/>
      <c r="R203" s="99"/>
      <c r="S203" s="70"/>
      <c r="T203" s="74" t="s">
        <v>18025</v>
      </c>
      <c r="U203" s="62"/>
      <c r="V203" s="63"/>
      <c r="W203" s="75"/>
      <c r="X203" s="67"/>
      <c r="Y203" s="68"/>
      <c r="Z203" s="76"/>
      <c r="AA203" s="70"/>
      <c r="AB203" s="228">
        <f>ROUND((ROUND((_15_同援日１．０*(1+_15・A夜間)),0)*(1+_15・盲ろう)),0)+ROUND((ROUND((_15_同援日１．０＿２．０*(1+_15・B深夜)),0)*(1+_15・盲ろう)),0)</f>
        <v>1055</v>
      </c>
      <c r="AC203" s="69"/>
    </row>
    <row r="204" spans="1:29" ht="16.5" customHeight="1" x14ac:dyDescent="0.3">
      <c r="A204" s="2">
        <v>15</v>
      </c>
      <c r="B204" s="2" t="s">
        <v>141</v>
      </c>
      <c r="C204" s="60" t="s">
        <v>10521</v>
      </c>
      <c r="D204" s="1"/>
      <c r="E204" s="68"/>
      <c r="F204" s="70"/>
      <c r="G204" s="1"/>
      <c r="H204" s="68"/>
      <c r="I204" s="70"/>
      <c r="J204" s="66"/>
      <c r="K204" s="57"/>
      <c r="L204" s="58"/>
      <c r="M204" s="83" t="s">
        <v>5895</v>
      </c>
      <c r="N204" s="64" t="s">
        <v>1</v>
      </c>
      <c r="O204" s="65">
        <v>1</v>
      </c>
      <c r="P204" s="99"/>
      <c r="Q204" s="70"/>
      <c r="R204" s="99"/>
      <c r="S204" s="70"/>
      <c r="T204" s="94" t="s">
        <v>18024</v>
      </c>
      <c r="U204" s="68"/>
      <c r="V204" s="76"/>
      <c r="W204" s="70"/>
      <c r="X204" s="67"/>
      <c r="Y204" s="68"/>
      <c r="Z204" s="76"/>
      <c r="AA204" s="70"/>
      <c r="AB204" s="228">
        <f>ROUND((ROUND((ROUND((_15_同援日１．０*_15・２人),0)*(1+_15・A夜間)),0)*(1+_15・盲ろう)),0)+ROUND((ROUND((ROUND((_15_同援日１．０＿２．０*_15・２人),0)*(1+_15・B深夜)),0)*(1+_15・盲ろう)),0)</f>
        <v>1055</v>
      </c>
      <c r="AC204" s="69"/>
    </row>
    <row r="205" spans="1:29" ht="16.5" customHeight="1" x14ac:dyDescent="0.3">
      <c r="A205" s="2">
        <v>15</v>
      </c>
      <c r="B205" s="2" t="s">
        <v>142</v>
      </c>
      <c r="C205" s="60" t="s">
        <v>10520</v>
      </c>
      <c r="D205" s="1"/>
      <c r="E205" s="68"/>
      <c r="F205" s="70"/>
      <c r="G205" s="1"/>
      <c r="H205" s="68"/>
      <c r="I205" s="70"/>
      <c r="J205" s="74" t="s">
        <v>16971</v>
      </c>
      <c r="K205" s="62"/>
      <c r="L205" s="63"/>
      <c r="M205" s="85"/>
      <c r="N205" s="64"/>
      <c r="O205" s="65"/>
      <c r="P205" s="99"/>
      <c r="Q205" s="70"/>
      <c r="R205" s="99"/>
      <c r="S205" s="70"/>
      <c r="T205" s="67"/>
      <c r="U205" s="68" t="s">
        <v>1</v>
      </c>
      <c r="V205" s="76">
        <v>0.25</v>
      </c>
      <c r="W205" s="70" t="s">
        <v>422</v>
      </c>
      <c r="X205" s="67"/>
      <c r="Y205" s="68"/>
      <c r="Z205" s="76"/>
      <c r="AA205" s="70"/>
      <c r="AB205" s="228">
        <f>ROUND((ROUND((ROUND((_15_同援日１．０*_15・基礎２),0)*(1+_15・A夜間)),0)*(1+_15・盲ろう)),0)+ROUND((ROUND((ROUND((_15_同援日１．０＿２．０*_15・基礎２),0)*(1+_15・B深夜)),0)*(1+_15・盲ろう)),0)</f>
        <v>950</v>
      </c>
      <c r="AC205" s="69"/>
    </row>
    <row r="206" spans="1:29" ht="16.5" customHeight="1" x14ac:dyDescent="0.3">
      <c r="A206" s="2">
        <v>15</v>
      </c>
      <c r="B206" s="2" t="s">
        <v>143</v>
      </c>
      <c r="C206" s="60" t="s">
        <v>10519</v>
      </c>
      <c r="D206" s="1"/>
      <c r="E206" s="68"/>
      <c r="F206" s="70"/>
      <c r="G206" s="1"/>
      <c r="H206" s="68"/>
      <c r="I206" s="70"/>
      <c r="J206" s="106" t="s">
        <v>16970</v>
      </c>
      <c r="K206" s="57" t="s">
        <v>1</v>
      </c>
      <c r="L206" s="58">
        <v>0.9</v>
      </c>
      <c r="M206" s="83" t="s">
        <v>5895</v>
      </c>
      <c r="N206" s="64" t="s">
        <v>1</v>
      </c>
      <c r="O206" s="65">
        <v>1</v>
      </c>
      <c r="P206" s="99"/>
      <c r="Q206" s="70"/>
      <c r="R206" s="99"/>
      <c r="S206" s="70"/>
      <c r="T206" s="66"/>
      <c r="U206" s="57"/>
      <c r="V206" s="58"/>
      <c r="W206" s="77"/>
      <c r="X206" s="66"/>
      <c r="Y206" s="57"/>
      <c r="Z206" s="58"/>
      <c r="AA206" s="77"/>
      <c r="AB206" s="228">
        <f>ROUND((ROUND((ROUND((ROUND((_15_同援日１．０*_15・基礎２),0)*_15・２人),0)*(1+_15・A夜間)),0)*(1+_15・盲ろう)),0)+ROUND((ROUND((ROUND((ROUND((_15_同援日１．０＿２．０*_15・基礎２),0)*_15・２人),0)*(1+_15・B深夜)),0)*(1+_15・盲ろう)),0)</f>
        <v>950</v>
      </c>
      <c r="AC206" s="69"/>
    </row>
    <row r="207" spans="1:29" ht="16.5" customHeight="1" x14ac:dyDescent="0.3">
      <c r="A207" s="2">
        <v>15</v>
      </c>
      <c r="B207" s="2" t="s">
        <v>144</v>
      </c>
      <c r="C207" s="60" t="s">
        <v>10518</v>
      </c>
      <c r="D207" s="1"/>
      <c r="E207" s="68"/>
      <c r="F207" s="70"/>
      <c r="G207" s="1"/>
      <c r="H207" s="68"/>
      <c r="I207" s="70"/>
      <c r="J207" s="61"/>
      <c r="K207" s="62"/>
      <c r="L207" s="63"/>
      <c r="M207" s="85"/>
      <c r="N207" s="64"/>
      <c r="O207" s="65"/>
      <c r="P207" s="99"/>
      <c r="Q207" s="70"/>
      <c r="R207" s="99"/>
      <c r="S207" s="70"/>
      <c r="T207" s="61"/>
      <c r="U207" s="62"/>
      <c r="V207" s="63"/>
      <c r="W207" s="75"/>
      <c r="X207" s="61"/>
      <c r="Y207" s="62"/>
      <c r="Z207" s="63"/>
      <c r="AA207" s="75"/>
      <c r="AB207" s="228">
        <f>ROUND((ROUND((_15_同援日１．０*(1+_15・A夜間)),0)*(1+_15・区３)),0)+ROUND((ROUND((_15_同援日１．０＿２．０*(1+_15・B深夜)),0)*(1+_15・区３)),0)</f>
        <v>1013</v>
      </c>
      <c r="AC207" s="69"/>
    </row>
    <row r="208" spans="1:29" ht="16.5" customHeight="1" x14ac:dyDescent="0.3">
      <c r="A208" s="2">
        <v>15</v>
      </c>
      <c r="B208" s="2" t="s">
        <v>145</v>
      </c>
      <c r="C208" s="60" t="s">
        <v>10517</v>
      </c>
      <c r="D208" s="1"/>
      <c r="E208" s="68"/>
      <c r="F208" s="70"/>
      <c r="G208" s="1"/>
      <c r="H208" s="68"/>
      <c r="I208" s="70"/>
      <c r="J208" s="66"/>
      <c r="K208" s="57"/>
      <c r="L208" s="58"/>
      <c r="M208" s="83" t="s">
        <v>5895</v>
      </c>
      <c r="N208" s="64" t="s">
        <v>1</v>
      </c>
      <c r="O208" s="65">
        <v>1</v>
      </c>
      <c r="P208" s="99"/>
      <c r="Q208" s="70"/>
      <c r="R208" s="99"/>
      <c r="S208" s="70"/>
      <c r="T208" s="67"/>
      <c r="U208" s="68"/>
      <c r="V208" s="76"/>
      <c r="W208" s="70"/>
      <c r="X208" s="67"/>
      <c r="Y208" s="68"/>
      <c r="Z208" s="76"/>
      <c r="AA208" s="70"/>
      <c r="AB208" s="228">
        <f>ROUND((ROUND((ROUND((_15_同援日１．０*_15・２人),0)*(1+_15・A夜間)),0)*(1+_15・区３)),0)+ROUND((ROUND((ROUND((_15_同援日１．０＿２．０*_15・２人),0)*(1+_15・B深夜)),0)*(1+_15・区３)),0)</f>
        <v>1013</v>
      </c>
      <c r="AC208" s="69"/>
    </row>
    <row r="209" spans="1:29" ht="16.5" customHeight="1" x14ac:dyDescent="0.3">
      <c r="A209" s="2">
        <v>15</v>
      </c>
      <c r="B209" s="2" t="s">
        <v>146</v>
      </c>
      <c r="C209" s="60" t="s">
        <v>10516</v>
      </c>
      <c r="D209" s="1"/>
      <c r="E209" s="68"/>
      <c r="F209" s="70"/>
      <c r="G209" s="1"/>
      <c r="H209" s="68"/>
      <c r="I209" s="70"/>
      <c r="J209" s="74" t="s">
        <v>16971</v>
      </c>
      <c r="K209" s="62"/>
      <c r="L209" s="63"/>
      <c r="M209" s="85"/>
      <c r="N209" s="64"/>
      <c r="O209" s="65"/>
      <c r="P209" s="99"/>
      <c r="Q209" s="70"/>
      <c r="R209" s="99"/>
      <c r="S209" s="70"/>
      <c r="T209" s="67"/>
      <c r="U209" s="68"/>
      <c r="V209" s="76"/>
      <c r="W209" s="70"/>
      <c r="X209" s="1" t="s">
        <v>18028</v>
      </c>
      <c r="Y209" s="68"/>
      <c r="Z209" s="76"/>
      <c r="AA209" s="70"/>
      <c r="AB209" s="228">
        <f>ROUND((ROUND((ROUND((_15_同援日１．０*_15・基礎２),0)*(1+_15・A夜間)),0)*(1+_15・区３)),0)+ROUND((ROUND((ROUND((_15_同援日１．０＿２．０*_15・基礎２),0)*(1+_15・B深夜)),0)*(1+_15・区３)),0)</f>
        <v>912</v>
      </c>
      <c r="AC209" s="69"/>
    </row>
    <row r="210" spans="1:29" ht="16.5" customHeight="1" x14ac:dyDescent="0.3">
      <c r="A210" s="2">
        <v>15</v>
      </c>
      <c r="B210" s="2" t="s">
        <v>147</v>
      </c>
      <c r="C210" s="60" t="s">
        <v>10515</v>
      </c>
      <c r="D210" s="1"/>
      <c r="E210" s="68"/>
      <c r="F210" s="70"/>
      <c r="G210" s="1"/>
      <c r="H210" s="68"/>
      <c r="I210" s="70"/>
      <c r="J210" s="106" t="s">
        <v>16970</v>
      </c>
      <c r="K210" s="57" t="s">
        <v>1</v>
      </c>
      <c r="L210" s="58">
        <v>0.9</v>
      </c>
      <c r="M210" s="83" t="s">
        <v>5895</v>
      </c>
      <c r="N210" s="64" t="s">
        <v>1</v>
      </c>
      <c r="O210" s="65">
        <v>1</v>
      </c>
      <c r="P210" s="99"/>
      <c r="Q210" s="70"/>
      <c r="R210" s="99"/>
      <c r="S210" s="70"/>
      <c r="T210" s="66"/>
      <c r="U210" s="57"/>
      <c r="V210" s="58"/>
      <c r="W210" s="77"/>
      <c r="X210" s="1" t="s">
        <v>18084</v>
      </c>
      <c r="Y210" s="68"/>
      <c r="Z210" s="76"/>
      <c r="AA210" s="70"/>
      <c r="AB210" s="228">
        <f>ROUND((ROUND((ROUND((ROUND((_15_同援日１．０*_15・基礎２),0)*_15・２人),0)*(1+_15・A夜間)),0)*(1+_15・区３)),0)+ROUND((ROUND((ROUND((ROUND((_15_同援日１．０＿２．０*_15・基礎２),0)*_15・２人),0)*(1+_15・B深夜)),0)*(1+_15・区３)),0)</f>
        <v>912</v>
      </c>
      <c r="AC210" s="69"/>
    </row>
    <row r="211" spans="1:29" ht="16.5" customHeight="1" x14ac:dyDescent="0.3">
      <c r="A211" s="2">
        <v>15</v>
      </c>
      <c r="B211" s="2" t="s">
        <v>148</v>
      </c>
      <c r="C211" s="60" t="s">
        <v>10514</v>
      </c>
      <c r="D211" s="1"/>
      <c r="E211" s="68"/>
      <c r="F211" s="70"/>
      <c r="G211" s="1"/>
      <c r="H211" s="68"/>
      <c r="I211" s="70"/>
      <c r="J211" s="61"/>
      <c r="K211" s="62"/>
      <c r="L211" s="63"/>
      <c r="M211" s="85"/>
      <c r="N211" s="64"/>
      <c r="O211" s="65"/>
      <c r="P211" s="99"/>
      <c r="Q211" s="70"/>
      <c r="R211" s="99"/>
      <c r="S211" s="70"/>
      <c r="T211" s="74" t="s">
        <v>18025</v>
      </c>
      <c r="U211" s="62"/>
      <c r="V211" s="63"/>
      <c r="W211" s="75"/>
      <c r="X211" s="67"/>
      <c r="Y211" s="68" t="s">
        <v>1</v>
      </c>
      <c r="Z211" s="76">
        <v>0.2</v>
      </c>
      <c r="AA211" s="70" t="s">
        <v>422</v>
      </c>
      <c r="AB211" s="228">
        <f>ROUND((ROUND((ROUND((_15_同援日１．０*(1+_15・A夜間)),0)*(1+_15・盲ろう)),0)*(1+_15・区３)),0)+ROUND((ROUND((ROUND((_15_同援日１．０＿２．０*(1+_15・B深夜)),0)*(1+_15・盲ろう)),0)*(1+_15・区３)),0)</f>
        <v>1266</v>
      </c>
      <c r="AC211" s="69"/>
    </row>
    <row r="212" spans="1:29" ht="16.5" customHeight="1" x14ac:dyDescent="0.3">
      <c r="A212" s="2">
        <v>15</v>
      </c>
      <c r="B212" s="2" t="s">
        <v>149</v>
      </c>
      <c r="C212" s="60" t="s">
        <v>10513</v>
      </c>
      <c r="D212" s="1"/>
      <c r="E212" s="68"/>
      <c r="F212" s="70"/>
      <c r="G212" s="1"/>
      <c r="H212" s="68"/>
      <c r="I212" s="70"/>
      <c r="J212" s="66"/>
      <c r="K212" s="57"/>
      <c r="L212" s="58"/>
      <c r="M212" s="83" t="s">
        <v>5895</v>
      </c>
      <c r="N212" s="64" t="s">
        <v>1</v>
      </c>
      <c r="O212" s="65">
        <v>1</v>
      </c>
      <c r="P212" s="99"/>
      <c r="Q212" s="70"/>
      <c r="R212" s="99"/>
      <c r="S212" s="70"/>
      <c r="T212" s="94" t="s">
        <v>18086</v>
      </c>
      <c r="U212" s="68"/>
      <c r="V212" s="76"/>
      <c r="W212" s="70"/>
      <c r="X212" s="67"/>
      <c r="Y212" s="68"/>
      <c r="Z212" s="76"/>
      <c r="AA212" s="70"/>
      <c r="AB212" s="228">
        <f>ROUND((ROUND((ROUND((ROUND((_15_同援日１．０*_15・２人),0)*(1+_15・A夜間)),0)*(1+_15・盲ろう)),0)*(1+_15・区３)),0)+ROUND((ROUND((ROUND((ROUND((_15_同援日１．０＿２．０*_15・２人),0)*(1+_15・B深夜)),0)*(1+_15・盲ろう)),0)*(1+_15・区３)),0)</f>
        <v>1266</v>
      </c>
      <c r="AC212" s="69"/>
    </row>
    <row r="213" spans="1:29" ht="16.5" customHeight="1" x14ac:dyDescent="0.3">
      <c r="A213" s="2">
        <v>15</v>
      </c>
      <c r="B213" s="2" t="s">
        <v>150</v>
      </c>
      <c r="C213" s="60" t="s">
        <v>10512</v>
      </c>
      <c r="D213" s="1"/>
      <c r="E213" s="68"/>
      <c r="F213" s="70"/>
      <c r="G213" s="1"/>
      <c r="H213" s="68"/>
      <c r="I213" s="70"/>
      <c r="J213" s="74" t="s">
        <v>16971</v>
      </c>
      <c r="K213" s="62"/>
      <c r="L213" s="63"/>
      <c r="M213" s="85"/>
      <c r="N213" s="64"/>
      <c r="O213" s="65"/>
      <c r="P213" s="99"/>
      <c r="Q213" s="70"/>
      <c r="R213" s="99"/>
      <c r="S213" s="70"/>
      <c r="T213" s="67"/>
      <c r="U213" s="68" t="s">
        <v>1</v>
      </c>
      <c r="V213" s="76">
        <v>0.25</v>
      </c>
      <c r="W213" s="70" t="s">
        <v>422</v>
      </c>
      <c r="X213" s="67"/>
      <c r="Y213" s="68"/>
      <c r="Z213" s="76"/>
      <c r="AA213" s="70"/>
      <c r="AB213" s="228">
        <f>ROUND((ROUND((ROUND((ROUND((_15_同援日１．０*_15・基礎２),0)*(1+_15・A夜間)),0)*(1+_15・盲ろう)),0)*(1+_15・区３)),0)+ROUND((ROUND((ROUND((ROUND((_15_同援日１．０＿２．０*_15・基礎２),0)*(1+_15・B深夜)),0)*(1+_15・盲ろう)),0)*(1+_15・区３)),0)</f>
        <v>1140</v>
      </c>
      <c r="AC213" s="69"/>
    </row>
    <row r="214" spans="1:29" ht="16.5" customHeight="1" x14ac:dyDescent="0.3">
      <c r="A214" s="2">
        <v>15</v>
      </c>
      <c r="B214" s="2" t="s">
        <v>151</v>
      </c>
      <c r="C214" s="60" t="s">
        <v>10511</v>
      </c>
      <c r="D214" s="1"/>
      <c r="E214" s="68"/>
      <c r="F214" s="70"/>
      <c r="G214" s="1"/>
      <c r="H214" s="68"/>
      <c r="I214" s="70"/>
      <c r="J214" s="106" t="s">
        <v>17053</v>
      </c>
      <c r="K214" s="57" t="s">
        <v>1</v>
      </c>
      <c r="L214" s="58">
        <v>0.9</v>
      </c>
      <c r="M214" s="83" t="s">
        <v>5895</v>
      </c>
      <c r="N214" s="64" t="s">
        <v>1</v>
      </c>
      <c r="O214" s="65">
        <v>1</v>
      </c>
      <c r="P214" s="99"/>
      <c r="Q214" s="70"/>
      <c r="R214" s="99"/>
      <c r="S214" s="70"/>
      <c r="T214" s="66"/>
      <c r="U214" s="57"/>
      <c r="V214" s="58"/>
      <c r="W214" s="77"/>
      <c r="X214" s="66"/>
      <c r="Y214" s="57"/>
      <c r="Z214" s="58"/>
      <c r="AA214" s="77"/>
      <c r="AB214" s="228">
        <f>ROUND((ROUND((ROUND((ROUND((ROUND((_15_同援日１．０*_15・基礎２),0)*_15・２人),0)*(1+_15・A夜間)),0)*(1+_15・盲ろう)),0)*(1+_15・区３)),0)+ROUND((ROUND((ROUND((ROUND((ROUND((_15_同援日１．０＿２．０*_15・基礎２),0)*_15・２人),0)*(1+_15・B深夜)),0)*(1+_15・盲ろう)),0)*(1+_15・区３)),0)</f>
        <v>1140</v>
      </c>
      <c r="AC214" s="69"/>
    </row>
    <row r="215" spans="1:29" ht="16.5" customHeight="1" x14ac:dyDescent="0.3">
      <c r="A215" s="2">
        <v>15</v>
      </c>
      <c r="B215" s="2" t="s">
        <v>152</v>
      </c>
      <c r="C215" s="60" t="s">
        <v>10510</v>
      </c>
      <c r="D215" s="1"/>
      <c r="E215" s="68"/>
      <c r="F215" s="70"/>
      <c r="G215" s="1"/>
      <c r="H215" s="68"/>
      <c r="I215" s="70"/>
      <c r="J215" s="61"/>
      <c r="K215" s="62"/>
      <c r="L215" s="63"/>
      <c r="M215" s="85"/>
      <c r="N215" s="64"/>
      <c r="O215" s="65"/>
      <c r="P215" s="99"/>
      <c r="Q215" s="70"/>
      <c r="R215" s="99"/>
      <c r="S215" s="70"/>
      <c r="T215" s="61"/>
      <c r="U215" s="62"/>
      <c r="V215" s="63"/>
      <c r="W215" s="75"/>
      <c r="X215" s="61"/>
      <c r="Y215" s="62"/>
      <c r="Z215" s="63"/>
      <c r="AA215" s="75"/>
      <c r="AB215" s="228">
        <f>ROUND((ROUND((_15_同援日１．０*(1+_15・A夜間)),0)*(1+_15・区４)),0)+ROUND((ROUND((_15_同援日１．０＿２．０*(1+_15・B深夜)),0)*(1+_15・区４)),0)</f>
        <v>1182</v>
      </c>
      <c r="AC215" s="69"/>
    </row>
    <row r="216" spans="1:29" ht="16.5" customHeight="1" x14ac:dyDescent="0.3">
      <c r="A216" s="2">
        <v>15</v>
      </c>
      <c r="B216" s="2" t="s">
        <v>153</v>
      </c>
      <c r="C216" s="60" t="s">
        <v>10509</v>
      </c>
      <c r="D216" s="1"/>
      <c r="E216" s="68"/>
      <c r="F216" s="70"/>
      <c r="G216" s="1"/>
      <c r="H216" s="68"/>
      <c r="I216" s="70"/>
      <c r="J216" s="66"/>
      <c r="K216" s="57"/>
      <c r="L216" s="58"/>
      <c r="M216" s="83" t="s">
        <v>5895</v>
      </c>
      <c r="N216" s="64" t="s">
        <v>1</v>
      </c>
      <c r="O216" s="65">
        <v>1</v>
      </c>
      <c r="P216" s="99"/>
      <c r="Q216" s="70"/>
      <c r="R216" s="99"/>
      <c r="S216" s="70"/>
      <c r="T216" s="67"/>
      <c r="U216" s="68"/>
      <c r="V216" s="76"/>
      <c r="W216" s="70"/>
      <c r="X216" s="67"/>
      <c r="Y216" s="68"/>
      <c r="Z216" s="76"/>
      <c r="AA216" s="70"/>
      <c r="AB216" s="228">
        <f>ROUND((ROUND((ROUND((_15_同援日１．０*_15・２人),0)*(1+_15・A夜間)),0)*(1+_15・区４)),0)+ROUND((ROUND((ROUND((_15_同援日１．０＿２．０*_15・２人),0)*(1+_15・B深夜)),0)*(1+_15・区４)),0)</f>
        <v>1182</v>
      </c>
      <c r="AC216" s="69"/>
    </row>
    <row r="217" spans="1:29" ht="16.5" customHeight="1" x14ac:dyDescent="0.3">
      <c r="A217" s="2">
        <v>15</v>
      </c>
      <c r="B217" s="2" t="s">
        <v>154</v>
      </c>
      <c r="C217" s="60" t="s">
        <v>10508</v>
      </c>
      <c r="D217" s="1"/>
      <c r="E217" s="68"/>
      <c r="F217" s="70"/>
      <c r="G217" s="1"/>
      <c r="H217" s="68"/>
      <c r="I217" s="70"/>
      <c r="J217" s="74" t="s">
        <v>17054</v>
      </c>
      <c r="K217" s="62"/>
      <c r="L217" s="63"/>
      <c r="M217" s="85"/>
      <c r="N217" s="64"/>
      <c r="O217" s="65"/>
      <c r="P217" s="99"/>
      <c r="Q217" s="70"/>
      <c r="R217" s="99"/>
      <c r="S217" s="70"/>
      <c r="T217" s="67"/>
      <c r="U217" s="68"/>
      <c r="V217" s="76"/>
      <c r="W217" s="70"/>
      <c r="X217" s="1" t="s">
        <v>18027</v>
      </c>
      <c r="Y217" s="68"/>
      <c r="Z217" s="76"/>
      <c r="AA217" s="70"/>
      <c r="AB217" s="228">
        <f>ROUND((ROUND((ROUND((_15_同援日１．０*_15・基礎２),0)*(1+_15・A夜間)),0)*(1+_15・区４)),0)+ROUND((ROUND((ROUND((_15_同援日１．０＿２．０*_15・基礎２),0)*(1+_15・B深夜)),0)*(1+_15・区４)),0)</f>
        <v>1064</v>
      </c>
      <c r="AC217" s="69"/>
    </row>
    <row r="218" spans="1:29" ht="16.5" customHeight="1" x14ac:dyDescent="0.3">
      <c r="A218" s="2">
        <v>15</v>
      </c>
      <c r="B218" s="2" t="s">
        <v>155</v>
      </c>
      <c r="C218" s="60" t="s">
        <v>10507</v>
      </c>
      <c r="D218" s="1"/>
      <c r="E218" s="68"/>
      <c r="F218" s="70"/>
      <c r="G218" s="1"/>
      <c r="H218" s="68"/>
      <c r="I218" s="70"/>
      <c r="J218" s="106" t="s">
        <v>16970</v>
      </c>
      <c r="K218" s="57" t="s">
        <v>1</v>
      </c>
      <c r="L218" s="58">
        <v>0.9</v>
      </c>
      <c r="M218" s="83" t="s">
        <v>5895</v>
      </c>
      <c r="N218" s="64" t="s">
        <v>1</v>
      </c>
      <c r="O218" s="65">
        <v>1</v>
      </c>
      <c r="P218" s="99"/>
      <c r="Q218" s="70"/>
      <c r="R218" s="99"/>
      <c r="S218" s="70"/>
      <c r="T218" s="66"/>
      <c r="U218" s="57"/>
      <c r="V218" s="58"/>
      <c r="W218" s="77"/>
      <c r="X218" s="1" t="s">
        <v>18084</v>
      </c>
      <c r="Y218" s="68"/>
      <c r="Z218" s="76"/>
      <c r="AA218" s="70"/>
      <c r="AB218" s="228">
        <f>ROUND((ROUND((ROUND((ROUND((_15_同援日１．０*_15・基礎２),0)*_15・２人),0)*(1+_15・A夜間)),0)*(1+_15・区４)),0)+ROUND((ROUND((ROUND((ROUND((_15_同援日１．０＿２．０*_15・基礎２),0)*_15・２人),0)*(1+_15・B深夜)),0)*(1+_15・区４)),0)</f>
        <v>1064</v>
      </c>
      <c r="AC218" s="69"/>
    </row>
    <row r="219" spans="1:29" ht="16.5" customHeight="1" x14ac:dyDescent="0.3">
      <c r="A219" s="2">
        <v>15</v>
      </c>
      <c r="B219" s="2" t="s">
        <v>156</v>
      </c>
      <c r="C219" s="60" t="s">
        <v>10506</v>
      </c>
      <c r="D219" s="1"/>
      <c r="E219" s="68"/>
      <c r="F219" s="70"/>
      <c r="G219" s="1"/>
      <c r="H219" s="68"/>
      <c r="I219" s="70"/>
      <c r="J219" s="61"/>
      <c r="K219" s="62"/>
      <c r="L219" s="63"/>
      <c r="M219" s="85"/>
      <c r="N219" s="64"/>
      <c r="O219" s="65"/>
      <c r="P219" s="99"/>
      <c r="Q219" s="70"/>
      <c r="R219" s="99"/>
      <c r="S219" s="70"/>
      <c r="T219" s="74" t="s">
        <v>18025</v>
      </c>
      <c r="U219" s="62"/>
      <c r="V219" s="63"/>
      <c r="W219" s="75"/>
      <c r="X219" s="67"/>
      <c r="Y219" s="68" t="s">
        <v>1</v>
      </c>
      <c r="Z219" s="76">
        <v>0.4</v>
      </c>
      <c r="AA219" s="70" t="s">
        <v>422</v>
      </c>
      <c r="AB219" s="228">
        <f>ROUND((ROUND((ROUND((_15_同援日１．０*(1+_15・A夜間)),0)*(1+_15・盲ろう)),0)*(1+_15・区４)),0)+ROUND((ROUND((ROUND((_15_同援日１．０＿２．０*(1+_15・B深夜)),0)*(1+_15・盲ろう)),0)*(1+_15・区４)),0)</f>
        <v>1477</v>
      </c>
      <c r="AC219" s="69"/>
    </row>
    <row r="220" spans="1:29" ht="16.5" customHeight="1" x14ac:dyDescent="0.3">
      <c r="A220" s="2">
        <v>15</v>
      </c>
      <c r="B220" s="2" t="s">
        <v>157</v>
      </c>
      <c r="C220" s="60" t="s">
        <v>10505</v>
      </c>
      <c r="D220" s="1"/>
      <c r="E220" s="68"/>
      <c r="F220" s="70"/>
      <c r="G220" s="1"/>
      <c r="H220" s="68"/>
      <c r="I220" s="70"/>
      <c r="J220" s="66"/>
      <c r="K220" s="57"/>
      <c r="L220" s="58"/>
      <c r="M220" s="83" t="s">
        <v>5895</v>
      </c>
      <c r="N220" s="64" t="s">
        <v>1</v>
      </c>
      <c r="O220" s="65">
        <v>1</v>
      </c>
      <c r="P220" s="99"/>
      <c r="Q220" s="70"/>
      <c r="R220" s="99"/>
      <c r="S220" s="70"/>
      <c r="T220" s="94" t="s">
        <v>18024</v>
      </c>
      <c r="U220" s="68"/>
      <c r="V220" s="76"/>
      <c r="W220" s="70"/>
      <c r="X220" s="67"/>
      <c r="Y220" s="68"/>
      <c r="Z220" s="76"/>
      <c r="AA220" s="70"/>
      <c r="AB220" s="228">
        <f>ROUND((ROUND((ROUND((ROUND((_15_同援日１．０*_15・２人),0)*(1+_15・A夜間)),0)*(1+_15・盲ろう)),0)*(1+_15・区４)),0)+ROUND((ROUND((ROUND((ROUND((_15_同援日１．０＿２．０*_15・２人),0)*(1+_15・B深夜)),0)*(1+_15・盲ろう)),0)*(1+_15・区４)),0)</f>
        <v>1477</v>
      </c>
      <c r="AC220" s="69"/>
    </row>
    <row r="221" spans="1:29" ht="16.5" customHeight="1" x14ac:dyDescent="0.3">
      <c r="A221" s="2">
        <v>15</v>
      </c>
      <c r="B221" s="2" t="s">
        <v>158</v>
      </c>
      <c r="C221" s="60" t="s">
        <v>10504</v>
      </c>
      <c r="D221" s="1"/>
      <c r="E221" s="68"/>
      <c r="F221" s="70"/>
      <c r="G221" s="1"/>
      <c r="H221" s="68"/>
      <c r="I221" s="70"/>
      <c r="J221" s="74" t="s">
        <v>16971</v>
      </c>
      <c r="K221" s="62"/>
      <c r="L221" s="63"/>
      <c r="M221" s="85"/>
      <c r="N221" s="64"/>
      <c r="O221" s="65"/>
      <c r="P221" s="99"/>
      <c r="Q221" s="70"/>
      <c r="R221" s="99"/>
      <c r="S221" s="70"/>
      <c r="T221" s="67"/>
      <c r="U221" s="68" t="s">
        <v>1</v>
      </c>
      <c r="V221" s="76">
        <v>0.25</v>
      </c>
      <c r="W221" s="70" t="s">
        <v>422</v>
      </c>
      <c r="X221" s="67"/>
      <c r="Y221" s="68"/>
      <c r="Z221" s="76"/>
      <c r="AA221" s="70"/>
      <c r="AB221" s="228">
        <f>ROUND((ROUND((ROUND((ROUND((_15_同援日１．０*_15・基礎２),0)*(1+_15・A夜間)),0)*(1+_15・盲ろう)),0)*(1+_15・区４)),0)+ROUND((ROUND((ROUND((ROUND((_15_同援日１．０＿２．０*_15・基礎２),0)*(1+_15・B深夜)),0)*(1+_15・盲ろう)),0)*(1+_15・区４)),0)</f>
        <v>1330</v>
      </c>
      <c r="AC221" s="69"/>
    </row>
    <row r="222" spans="1:29" ht="16.5" customHeight="1" x14ac:dyDescent="0.3">
      <c r="A222" s="2">
        <v>15</v>
      </c>
      <c r="B222" s="2" t="s">
        <v>159</v>
      </c>
      <c r="C222" s="60" t="s">
        <v>10503</v>
      </c>
      <c r="D222" s="81"/>
      <c r="E222" s="57"/>
      <c r="F222" s="77"/>
      <c r="G222" s="81"/>
      <c r="H222" s="57"/>
      <c r="I222" s="77"/>
      <c r="J222" s="106" t="s">
        <v>5896</v>
      </c>
      <c r="K222" s="57" t="s">
        <v>1</v>
      </c>
      <c r="L222" s="58">
        <v>0.9</v>
      </c>
      <c r="M222" s="83" t="s">
        <v>5895</v>
      </c>
      <c r="N222" s="64" t="s">
        <v>1</v>
      </c>
      <c r="O222" s="65">
        <v>1</v>
      </c>
      <c r="P222" s="99"/>
      <c r="Q222" s="70"/>
      <c r="R222" s="99"/>
      <c r="S222" s="70"/>
      <c r="T222" s="66"/>
      <c r="U222" s="57"/>
      <c r="V222" s="58"/>
      <c r="W222" s="77"/>
      <c r="X222" s="66"/>
      <c r="Y222" s="57"/>
      <c r="Z222" s="58"/>
      <c r="AA222" s="77"/>
      <c r="AB222" s="228">
        <f>ROUND((ROUND((ROUND((ROUND((ROUND((_15_同援日１．０*_15・基礎２),0)*_15・２人),0)*(1+_15・A夜間)),0)*(1+_15・盲ろう)),0)*(1+_15・区４)),0)+ROUND((ROUND((ROUND((ROUND((ROUND((_15_同援日１．０＿２．０*_15・基礎２),0)*_15・２人),0)*(1+_15・B深夜)),0)*(1+_15・盲ろう)),0)*(1+_15・区４)),0)</f>
        <v>1330</v>
      </c>
      <c r="AC222" s="69"/>
    </row>
    <row r="223" spans="1:29" ht="16.5" customHeight="1" x14ac:dyDescent="0.3">
      <c r="A223" s="2">
        <v>15</v>
      </c>
      <c r="B223" s="2" t="s">
        <v>160</v>
      </c>
      <c r="C223" s="60" t="s">
        <v>10502</v>
      </c>
      <c r="D223" s="233" t="s">
        <v>18091</v>
      </c>
      <c r="E223" s="62"/>
      <c r="F223" s="75"/>
      <c r="G223" s="233" t="s">
        <v>17714</v>
      </c>
      <c r="H223" s="62"/>
      <c r="I223" s="75"/>
      <c r="J223" s="61"/>
      <c r="K223" s="62"/>
      <c r="L223" s="63"/>
      <c r="M223" s="85"/>
      <c r="N223" s="64"/>
      <c r="O223" s="65"/>
      <c r="P223" s="99"/>
      <c r="Q223" s="70"/>
      <c r="R223" s="99"/>
      <c r="S223" s="70"/>
      <c r="T223" s="61"/>
      <c r="U223" s="62"/>
      <c r="V223" s="63"/>
      <c r="W223" s="75"/>
      <c r="X223" s="61"/>
      <c r="Y223" s="62"/>
      <c r="Z223" s="63"/>
      <c r="AA223" s="75"/>
      <c r="AB223" s="228">
        <f>ROUND((_15_同援日１．５*(1+_15・A夜間)),0)+ROUND((_15_同援日１．５＿０．５*(1+_15・B深夜)),0)</f>
        <v>622</v>
      </c>
      <c r="AC223" s="69"/>
    </row>
    <row r="224" spans="1:29" ht="16.5" customHeight="1" x14ac:dyDescent="0.3">
      <c r="A224" s="2">
        <v>15</v>
      </c>
      <c r="B224" s="2" t="s">
        <v>161</v>
      </c>
      <c r="C224" s="60" t="s">
        <v>10501</v>
      </c>
      <c r="D224" s="1" t="s">
        <v>17070</v>
      </c>
      <c r="E224" s="68"/>
      <c r="F224" s="70"/>
      <c r="G224" s="1" t="s">
        <v>7928</v>
      </c>
      <c r="H224" s="68"/>
      <c r="I224" s="70"/>
      <c r="J224" s="66"/>
      <c r="K224" s="57"/>
      <c r="L224" s="58"/>
      <c r="M224" s="83" t="s">
        <v>5895</v>
      </c>
      <c r="N224" s="64" t="s">
        <v>1</v>
      </c>
      <c r="O224" s="65">
        <v>1</v>
      </c>
      <c r="P224" s="99"/>
      <c r="Q224" s="70"/>
      <c r="R224" s="99"/>
      <c r="S224" s="70"/>
      <c r="T224" s="67"/>
      <c r="U224" s="68"/>
      <c r="V224" s="76"/>
      <c r="W224" s="70"/>
      <c r="X224" s="67"/>
      <c r="Y224" s="68"/>
      <c r="Z224" s="76"/>
      <c r="AA224" s="70"/>
      <c r="AB224" s="228">
        <f>ROUND((ROUND((_15_同援日１．５*_15・２人),0)*(1+_15・A夜間)),0)+ROUND((ROUND((_15_同援日１．５＿０．５*_15・２人),0)*(1+_15・B深夜)),0)</f>
        <v>622</v>
      </c>
      <c r="AC224" s="69"/>
    </row>
    <row r="225" spans="1:29" ht="16.5" customHeight="1" x14ac:dyDescent="0.3">
      <c r="A225" s="2">
        <v>15</v>
      </c>
      <c r="B225" s="2" t="s">
        <v>162</v>
      </c>
      <c r="C225" s="60" t="s">
        <v>10500</v>
      </c>
      <c r="D225" s="1" t="s">
        <v>8767</v>
      </c>
      <c r="E225" s="68"/>
      <c r="F225" s="70"/>
      <c r="G225" s="1"/>
      <c r="H225" s="68"/>
      <c r="I225" s="70"/>
      <c r="J225" s="74" t="s">
        <v>16971</v>
      </c>
      <c r="K225" s="62"/>
      <c r="L225" s="63"/>
      <c r="M225" s="85"/>
      <c r="N225" s="64"/>
      <c r="O225" s="65"/>
      <c r="P225" s="99"/>
      <c r="Q225" s="70"/>
      <c r="R225" s="99"/>
      <c r="S225" s="70"/>
      <c r="T225" s="67"/>
      <c r="U225" s="68"/>
      <c r="V225" s="76"/>
      <c r="W225" s="70"/>
      <c r="X225" s="67"/>
      <c r="Y225" s="68"/>
      <c r="Z225" s="76"/>
      <c r="AA225" s="70"/>
      <c r="AB225" s="228">
        <f>ROUND((ROUND((_15_同援日１．５*_15・基礎２),0)*(1+_15・A夜間)),0)+ROUND((ROUND((_15_同援日１．５＿０．５*_15・基礎２),0)*(1+_15・B深夜)),0)</f>
        <v>561</v>
      </c>
      <c r="AC225" s="69"/>
    </row>
    <row r="226" spans="1:29" ht="16.5" customHeight="1" x14ac:dyDescent="0.3">
      <c r="A226" s="2">
        <v>15</v>
      </c>
      <c r="B226" s="2" t="s">
        <v>163</v>
      </c>
      <c r="C226" s="60" t="s">
        <v>10499</v>
      </c>
      <c r="D226" s="1"/>
      <c r="E226" s="227">
        <v>421</v>
      </c>
      <c r="F226" s="70" t="s">
        <v>0</v>
      </c>
      <c r="G226" s="1"/>
      <c r="H226" s="119">
        <v>64</v>
      </c>
      <c r="I226" s="70" t="s">
        <v>0</v>
      </c>
      <c r="J226" s="106" t="s">
        <v>16970</v>
      </c>
      <c r="K226" s="57" t="s">
        <v>1</v>
      </c>
      <c r="L226" s="58">
        <v>0.9</v>
      </c>
      <c r="M226" s="83" t="s">
        <v>5895</v>
      </c>
      <c r="N226" s="64" t="s">
        <v>1</v>
      </c>
      <c r="O226" s="65">
        <v>1</v>
      </c>
      <c r="P226" s="99"/>
      <c r="Q226" s="70"/>
      <c r="R226" s="99"/>
      <c r="S226" s="70"/>
      <c r="T226" s="66"/>
      <c r="U226" s="57"/>
      <c r="V226" s="58"/>
      <c r="W226" s="77"/>
      <c r="X226" s="67"/>
      <c r="Y226" s="68"/>
      <c r="Z226" s="76"/>
      <c r="AA226" s="70"/>
      <c r="AB226" s="228">
        <f>ROUND((ROUND((ROUND((_15_同援日１．５*_15・基礎２),0)*_15・２人),0)*(1+_15・A夜間)),0)+ROUND((ROUND((ROUND((_15_同援日１．５＿０．５*_15・基礎２),0)*_15・２人),0)*(1+_15・B深夜)),0)</f>
        <v>561</v>
      </c>
      <c r="AC226" s="69"/>
    </row>
    <row r="227" spans="1:29" ht="16.5" customHeight="1" x14ac:dyDescent="0.3">
      <c r="A227" s="2">
        <v>15</v>
      </c>
      <c r="B227" s="2" t="s">
        <v>164</v>
      </c>
      <c r="C227" s="60" t="s">
        <v>10498</v>
      </c>
      <c r="D227" s="1"/>
      <c r="E227" s="68"/>
      <c r="F227" s="70"/>
      <c r="G227" s="1"/>
      <c r="H227" s="68"/>
      <c r="I227" s="70"/>
      <c r="J227" s="61"/>
      <c r="K227" s="62"/>
      <c r="L227" s="63"/>
      <c r="M227" s="85"/>
      <c r="N227" s="64"/>
      <c r="O227" s="65"/>
      <c r="P227" s="99"/>
      <c r="Q227" s="70"/>
      <c r="R227" s="99"/>
      <c r="S227" s="70"/>
      <c r="T227" s="74" t="s">
        <v>18087</v>
      </c>
      <c r="U227" s="62"/>
      <c r="V227" s="63"/>
      <c r="W227" s="75"/>
      <c r="X227" s="67"/>
      <c r="Y227" s="68"/>
      <c r="Z227" s="76"/>
      <c r="AA227" s="70"/>
      <c r="AB227" s="228">
        <f>ROUND((ROUND((_15_同援日１．５*(1+_15・A夜間)),0)*(1+_15・盲ろう)),0)+ROUND((ROUND((_15_同援日１．５＿０．５*(1+_15・B深夜)),0)*(1+_15・盲ろう)),0)</f>
        <v>778</v>
      </c>
      <c r="AC227" s="69"/>
    </row>
    <row r="228" spans="1:29" ht="16.5" customHeight="1" x14ac:dyDescent="0.3">
      <c r="A228" s="2">
        <v>15</v>
      </c>
      <c r="B228" s="2" t="s">
        <v>165</v>
      </c>
      <c r="C228" s="60" t="s">
        <v>10497</v>
      </c>
      <c r="D228" s="1"/>
      <c r="E228" s="68"/>
      <c r="F228" s="70"/>
      <c r="G228" s="1"/>
      <c r="H228" s="68"/>
      <c r="I228" s="70"/>
      <c r="J228" s="66"/>
      <c r="K228" s="57"/>
      <c r="L228" s="58"/>
      <c r="M228" s="83" t="s">
        <v>5895</v>
      </c>
      <c r="N228" s="64" t="s">
        <v>1</v>
      </c>
      <c r="O228" s="65">
        <v>1</v>
      </c>
      <c r="P228" s="99"/>
      <c r="Q228" s="70"/>
      <c r="R228" s="99"/>
      <c r="S228" s="70"/>
      <c r="T228" s="94" t="s">
        <v>18024</v>
      </c>
      <c r="U228" s="68"/>
      <c r="V228" s="76"/>
      <c r="W228" s="70"/>
      <c r="X228" s="67"/>
      <c r="Y228" s="68"/>
      <c r="Z228" s="76"/>
      <c r="AA228" s="70"/>
      <c r="AB228" s="228">
        <f>ROUND((ROUND((ROUND((_15_同援日１．５*_15・２人),0)*(1+_15・A夜間)),0)*(1+_15・盲ろう)),0)+ROUND((ROUND((ROUND((_15_同援日１．５＿０．５*_15・２人),0)*(1+_15・B深夜)),0)*(1+_15・盲ろう)),0)</f>
        <v>778</v>
      </c>
      <c r="AC228" s="69"/>
    </row>
    <row r="229" spans="1:29" ht="16.5" customHeight="1" x14ac:dyDescent="0.3">
      <c r="A229" s="2">
        <v>15</v>
      </c>
      <c r="B229" s="2" t="s">
        <v>166</v>
      </c>
      <c r="C229" s="60" t="s">
        <v>10496</v>
      </c>
      <c r="D229" s="1"/>
      <c r="E229" s="68"/>
      <c r="F229" s="70"/>
      <c r="G229" s="1"/>
      <c r="H229" s="68"/>
      <c r="I229" s="70"/>
      <c r="J229" s="74" t="s">
        <v>17054</v>
      </c>
      <c r="K229" s="62"/>
      <c r="L229" s="63"/>
      <c r="M229" s="85"/>
      <c r="N229" s="64"/>
      <c r="O229" s="65"/>
      <c r="P229" s="99"/>
      <c r="Q229" s="70"/>
      <c r="R229" s="99"/>
      <c r="S229" s="70"/>
      <c r="T229" s="67"/>
      <c r="U229" s="68" t="s">
        <v>1</v>
      </c>
      <c r="V229" s="76">
        <v>0.25</v>
      </c>
      <c r="W229" s="70" t="s">
        <v>422</v>
      </c>
      <c r="X229" s="67"/>
      <c r="Y229" s="68"/>
      <c r="Z229" s="76"/>
      <c r="AA229" s="70"/>
      <c r="AB229" s="228">
        <f>ROUND((ROUND((ROUND((_15_同援日１．５*_15・基礎２),0)*(1+_15・A夜間)),0)*(1+_15・盲ろう)),0)+ROUND((ROUND((ROUND((_15_同援日１．５＿０．５*_15・基礎２),0)*(1+_15・B深夜)),0)*(1+_15・盲ろう)),0)</f>
        <v>702</v>
      </c>
      <c r="AC229" s="69"/>
    </row>
    <row r="230" spans="1:29" ht="16.5" customHeight="1" x14ac:dyDescent="0.3">
      <c r="A230" s="2">
        <v>15</v>
      </c>
      <c r="B230" s="2" t="s">
        <v>167</v>
      </c>
      <c r="C230" s="60" t="s">
        <v>10495</v>
      </c>
      <c r="D230" s="1"/>
      <c r="E230" s="68"/>
      <c r="F230" s="70"/>
      <c r="G230" s="1"/>
      <c r="H230" s="68"/>
      <c r="I230" s="70"/>
      <c r="J230" s="106" t="s">
        <v>16970</v>
      </c>
      <c r="K230" s="57" t="s">
        <v>1</v>
      </c>
      <c r="L230" s="58">
        <v>0.9</v>
      </c>
      <c r="M230" s="83" t="s">
        <v>5895</v>
      </c>
      <c r="N230" s="64" t="s">
        <v>1</v>
      </c>
      <c r="O230" s="65">
        <v>1</v>
      </c>
      <c r="P230" s="99"/>
      <c r="Q230" s="70"/>
      <c r="R230" s="99"/>
      <c r="S230" s="70"/>
      <c r="T230" s="66"/>
      <c r="U230" s="57"/>
      <c r="V230" s="58"/>
      <c r="W230" s="77"/>
      <c r="X230" s="66"/>
      <c r="Y230" s="57"/>
      <c r="Z230" s="58"/>
      <c r="AA230" s="77"/>
      <c r="AB230" s="228">
        <f>ROUND((ROUND((ROUND((ROUND((_15_同援日１．５*_15・基礎２),0)*_15・２人),0)*(1+_15・A夜間)),0)*(1+_15・盲ろう)),0)+ROUND((ROUND((ROUND((ROUND((_15_同援日１．５＿０．５*_15・基礎２),0)*_15・２人),0)*(1+_15・B深夜)),0)*(1+_15・盲ろう)),0)</f>
        <v>702</v>
      </c>
      <c r="AC230" s="69"/>
    </row>
    <row r="231" spans="1:29" ht="16.5" customHeight="1" x14ac:dyDescent="0.3">
      <c r="A231" s="2">
        <v>15</v>
      </c>
      <c r="B231" s="2" t="s">
        <v>168</v>
      </c>
      <c r="C231" s="60" t="s">
        <v>10494</v>
      </c>
      <c r="D231" s="1"/>
      <c r="E231" s="68"/>
      <c r="F231" s="70"/>
      <c r="G231" s="1"/>
      <c r="H231" s="68"/>
      <c r="I231" s="70"/>
      <c r="J231" s="61"/>
      <c r="K231" s="62"/>
      <c r="L231" s="63"/>
      <c r="M231" s="85"/>
      <c r="N231" s="64"/>
      <c r="O231" s="65"/>
      <c r="P231" s="99"/>
      <c r="Q231" s="70"/>
      <c r="R231" s="99"/>
      <c r="S231" s="70"/>
      <c r="T231" s="61"/>
      <c r="U231" s="62"/>
      <c r="V231" s="63"/>
      <c r="W231" s="75"/>
      <c r="X231" s="61"/>
      <c r="Y231" s="62"/>
      <c r="Z231" s="63"/>
      <c r="AA231" s="75"/>
      <c r="AB231" s="228">
        <f>ROUND((ROUND((_15_同援日１．５*(1+_15・A夜間)),0)*(1+_15・区３)),0)+ROUND((ROUND((_15_同援日１．５＿０．５*(1+_15・B深夜)),0)*(1+_15・区３)),0)</f>
        <v>746</v>
      </c>
      <c r="AC231" s="69"/>
    </row>
    <row r="232" spans="1:29" ht="16.5" customHeight="1" x14ac:dyDescent="0.3">
      <c r="A232" s="2">
        <v>15</v>
      </c>
      <c r="B232" s="2" t="s">
        <v>169</v>
      </c>
      <c r="C232" s="60" t="s">
        <v>10493</v>
      </c>
      <c r="D232" s="1"/>
      <c r="E232" s="68"/>
      <c r="F232" s="70"/>
      <c r="G232" s="1"/>
      <c r="H232" s="68"/>
      <c r="I232" s="70"/>
      <c r="J232" s="66"/>
      <c r="K232" s="57"/>
      <c r="L232" s="58"/>
      <c r="M232" s="83" t="s">
        <v>5895</v>
      </c>
      <c r="N232" s="64" t="s">
        <v>1</v>
      </c>
      <c r="O232" s="65">
        <v>1</v>
      </c>
      <c r="P232" s="99"/>
      <c r="Q232" s="70"/>
      <c r="R232" s="99"/>
      <c r="S232" s="70"/>
      <c r="T232" s="67"/>
      <c r="U232" s="68"/>
      <c r="V232" s="76"/>
      <c r="W232" s="70"/>
      <c r="X232" s="67"/>
      <c r="Y232" s="68"/>
      <c r="Z232" s="76"/>
      <c r="AA232" s="70"/>
      <c r="AB232" s="228">
        <f>ROUND((ROUND((ROUND((_15_同援日１．５*_15・２人),0)*(1+_15・A夜間)),0)*(1+_15・区３)),0)+ROUND((ROUND((ROUND((_15_同援日１．５＿０．５*_15・２人),0)*(1+_15・B深夜)),0)*(1+_15・区３)),0)</f>
        <v>746</v>
      </c>
      <c r="AC232" s="69"/>
    </row>
    <row r="233" spans="1:29" ht="16.5" customHeight="1" x14ac:dyDescent="0.3">
      <c r="A233" s="2">
        <v>15</v>
      </c>
      <c r="B233" s="2" t="s">
        <v>170</v>
      </c>
      <c r="C233" s="60" t="s">
        <v>10492</v>
      </c>
      <c r="D233" s="1"/>
      <c r="E233" s="68"/>
      <c r="F233" s="70"/>
      <c r="G233" s="1"/>
      <c r="H233" s="68"/>
      <c r="I233" s="70"/>
      <c r="J233" s="74" t="s">
        <v>16971</v>
      </c>
      <c r="K233" s="62"/>
      <c r="L233" s="63"/>
      <c r="M233" s="85"/>
      <c r="N233" s="64"/>
      <c r="O233" s="65"/>
      <c r="P233" s="99"/>
      <c r="Q233" s="70"/>
      <c r="R233" s="99"/>
      <c r="S233" s="70"/>
      <c r="T233" s="67"/>
      <c r="U233" s="68"/>
      <c r="V233" s="76"/>
      <c r="W233" s="70"/>
      <c r="X233" s="1" t="s">
        <v>18089</v>
      </c>
      <c r="Y233" s="68"/>
      <c r="Z233" s="76"/>
      <c r="AA233" s="70"/>
      <c r="AB233" s="228">
        <f>ROUND((ROUND((ROUND((_15_同援日１．５*_15・基礎２),0)*(1+_15・A夜間)),0)*(1+_15・区３)),0)+ROUND((ROUND((ROUND((_15_同援日１．５＿０．５*_15・基礎２),0)*(1+_15・B深夜)),0)*(1+_15・区３)),0)</f>
        <v>673</v>
      </c>
      <c r="AC233" s="69"/>
    </row>
    <row r="234" spans="1:29" ht="16.5" customHeight="1" x14ac:dyDescent="0.3">
      <c r="A234" s="2">
        <v>15</v>
      </c>
      <c r="B234" s="2" t="s">
        <v>171</v>
      </c>
      <c r="C234" s="60" t="s">
        <v>10491</v>
      </c>
      <c r="D234" s="1"/>
      <c r="E234" s="68"/>
      <c r="F234" s="70"/>
      <c r="G234" s="1"/>
      <c r="H234" s="68"/>
      <c r="I234" s="70"/>
      <c r="J234" s="106" t="s">
        <v>16970</v>
      </c>
      <c r="K234" s="57" t="s">
        <v>1</v>
      </c>
      <c r="L234" s="58">
        <v>0.9</v>
      </c>
      <c r="M234" s="83" t="s">
        <v>5895</v>
      </c>
      <c r="N234" s="64" t="s">
        <v>1</v>
      </c>
      <c r="O234" s="65">
        <v>1</v>
      </c>
      <c r="P234" s="99"/>
      <c r="Q234" s="70"/>
      <c r="R234" s="99"/>
      <c r="S234" s="70"/>
      <c r="T234" s="66"/>
      <c r="U234" s="57"/>
      <c r="V234" s="58"/>
      <c r="W234" s="77"/>
      <c r="X234" s="1" t="s">
        <v>18026</v>
      </c>
      <c r="Y234" s="68"/>
      <c r="Z234" s="76"/>
      <c r="AA234" s="70"/>
      <c r="AB234" s="228">
        <f>ROUND((ROUND((ROUND((ROUND((_15_同援日１．５*_15・基礎２),0)*_15・２人),0)*(1+_15・A夜間)),0)*(1+_15・区３)),0)+ROUND((ROUND((ROUND((ROUND((_15_同援日１．５＿０．５*_15・基礎２),0)*_15・２人),0)*(1+_15・B深夜)),0)*(1+_15・区３)),0)</f>
        <v>673</v>
      </c>
      <c r="AC234" s="69"/>
    </row>
    <row r="235" spans="1:29" ht="16.5" customHeight="1" x14ac:dyDescent="0.3">
      <c r="A235" s="2">
        <v>15</v>
      </c>
      <c r="B235" s="2" t="s">
        <v>172</v>
      </c>
      <c r="C235" s="60" t="s">
        <v>10490</v>
      </c>
      <c r="D235" s="1"/>
      <c r="E235" s="68"/>
      <c r="F235" s="70"/>
      <c r="G235" s="1"/>
      <c r="H235" s="68"/>
      <c r="I235" s="70"/>
      <c r="J235" s="61"/>
      <c r="K235" s="62"/>
      <c r="L235" s="63"/>
      <c r="M235" s="85"/>
      <c r="N235" s="64"/>
      <c r="O235" s="65"/>
      <c r="P235" s="99"/>
      <c r="Q235" s="70"/>
      <c r="R235" s="99"/>
      <c r="S235" s="70"/>
      <c r="T235" s="74" t="s">
        <v>18025</v>
      </c>
      <c r="U235" s="62"/>
      <c r="V235" s="63"/>
      <c r="W235" s="75"/>
      <c r="X235" s="67"/>
      <c r="Y235" s="68" t="s">
        <v>1</v>
      </c>
      <c r="Z235" s="76">
        <v>0.2</v>
      </c>
      <c r="AA235" s="70" t="s">
        <v>422</v>
      </c>
      <c r="AB235" s="228">
        <f>ROUND((ROUND((ROUND((_15_同援日１．５*(1+_15・A夜間)),0)*(1+_15・盲ろう)),0)*(1+_15・区３)),0)+ROUND((ROUND((ROUND((_15_同援日１．５＿０．５*(1+_15・B深夜)),0)*(1+_15・盲ろう)),0)*(1+_15・区３)),0)</f>
        <v>934</v>
      </c>
      <c r="AC235" s="69"/>
    </row>
    <row r="236" spans="1:29" ht="16.5" customHeight="1" x14ac:dyDescent="0.3">
      <c r="A236" s="2">
        <v>15</v>
      </c>
      <c r="B236" s="2" t="s">
        <v>173</v>
      </c>
      <c r="C236" s="60" t="s">
        <v>10489</v>
      </c>
      <c r="D236" s="1"/>
      <c r="E236" s="68"/>
      <c r="F236" s="70"/>
      <c r="G236" s="1"/>
      <c r="H236" s="68"/>
      <c r="I236" s="70"/>
      <c r="J236" s="66"/>
      <c r="K236" s="57"/>
      <c r="L236" s="58"/>
      <c r="M236" s="83" t="s">
        <v>5895</v>
      </c>
      <c r="N236" s="64" t="s">
        <v>1</v>
      </c>
      <c r="O236" s="65">
        <v>1</v>
      </c>
      <c r="P236" s="99"/>
      <c r="Q236" s="70"/>
      <c r="R236" s="99"/>
      <c r="S236" s="70"/>
      <c r="T236" s="94" t="s">
        <v>18024</v>
      </c>
      <c r="U236" s="68"/>
      <c r="V236" s="76"/>
      <c r="W236" s="70"/>
      <c r="X236" s="67"/>
      <c r="Y236" s="68"/>
      <c r="Z236" s="76"/>
      <c r="AA236" s="70"/>
      <c r="AB236" s="228">
        <f>ROUND((ROUND((ROUND((ROUND((_15_同援日１．５*_15・２人),0)*(1+_15・A夜間)),0)*(1+_15・盲ろう)),0)*(1+_15・区３)),0)+ROUND((ROUND((ROUND((ROUND((_15_同援日１．５＿０．５*_15・２人),0)*(1+_15・B深夜)),0)*(1+_15・盲ろう)),0)*(1+_15・区３)),0)</f>
        <v>934</v>
      </c>
      <c r="AC236" s="69"/>
    </row>
    <row r="237" spans="1:29" ht="16.5" customHeight="1" x14ac:dyDescent="0.3">
      <c r="A237" s="2">
        <v>15</v>
      </c>
      <c r="B237" s="2" t="s">
        <v>174</v>
      </c>
      <c r="C237" s="60" t="s">
        <v>10488</v>
      </c>
      <c r="D237" s="1"/>
      <c r="E237" s="68"/>
      <c r="F237" s="70"/>
      <c r="G237" s="1"/>
      <c r="H237" s="68"/>
      <c r="I237" s="70"/>
      <c r="J237" s="74" t="s">
        <v>16971</v>
      </c>
      <c r="K237" s="62"/>
      <c r="L237" s="63"/>
      <c r="M237" s="85"/>
      <c r="N237" s="64"/>
      <c r="O237" s="65"/>
      <c r="P237" s="99"/>
      <c r="Q237" s="70"/>
      <c r="R237" s="99"/>
      <c r="S237" s="70"/>
      <c r="T237" s="67"/>
      <c r="U237" s="68" t="s">
        <v>1</v>
      </c>
      <c r="V237" s="76">
        <v>0.25</v>
      </c>
      <c r="W237" s="70" t="s">
        <v>422</v>
      </c>
      <c r="X237" s="67"/>
      <c r="Y237" s="68"/>
      <c r="Z237" s="76"/>
      <c r="AA237" s="70"/>
      <c r="AB237" s="228">
        <f>ROUND((ROUND((ROUND((ROUND((_15_同援日１．５*_15・基礎２),0)*(1+_15・A夜間)),0)*(1+_15・盲ろう)),0)*(1+_15・区３)),0)+ROUND((ROUND((ROUND((ROUND((_15_同援日１．５＿０．５*_15・基礎２),0)*(1+_15・B深夜)),0)*(1+_15・盲ろう)),0)*(1+_15・区３)),0)</f>
        <v>843</v>
      </c>
      <c r="AC237" s="69"/>
    </row>
    <row r="238" spans="1:29" ht="16.5" customHeight="1" x14ac:dyDescent="0.3">
      <c r="A238" s="2">
        <v>15</v>
      </c>
      <c r="B238" s="2" t="s">
        <v>175</v>
      </c>
      <c r="C238" s="60" t="s">
        <v>10487</v>
      </c>
      <c r="D238" s="1"/>
      <c r="E238" s="68"/>
      <c r="F238" s="70"/>
      <c r="G238" s="1"/>
      <c r="H238" s="68"/>
      <c r="I238" s="70"/>
      <c r="J238" s="106" t="s">
        <v>16970</v>
      </c>
      <c r="K238" s="57" t="s">
        <v>1</v>
      </c>
      <c r="L238" s="58">
        <v>0.9</v>
      </c>
      <c r="M238" s="83" t="s">
        <v>5895</v>
      </c>
      <c r="N238" s="64" t="s">
        <v>1</v>
      </c>
      <c r="O238" s="65">
        <v>1</v>
      </c>
      <c r="P238" s="99"/>
      <c r="Q238" s="70"/>
      <c r="R238" s="99"/>
      <c r="S238" s="70"/>
      <c r="T238" s="66"/>
      <c r="U238" s="57"/>
      <c r="V238" s="58"/>
      <c r="W238" s="77"/>
      <c r="X238" s="66"/>
      <c r="Y238" s="57"/>
      <c r="Z238" s="58"/>
      <c r="AA238" s="77"/>
      <c r="AB238" s="228">
        <f>ROUND((ROUND((ROUND((ROUND((ROUND((_15_同援日１．５*_15・基礎２),0)*_15・２人),0)*(1+_15・A夜間)),0)*(1+_15・盲ろう)),0)*(1+_15・区３)),0)+ROUND((ROUND((ROUND((ROUND((ROUND((_15_同援日１．５＿０．５*_15・基礎２),0)*_15・２人),0)*(1+_15・B深夜)),0)*(1+_15・盲ろう)),0)*(1+_15・区３)),0)</f>
        <v>843</v>
      </c>
      <c r="AC238" s="69"/>
    </row>
    <row r="239" spans="1:29" ht="16.5" customHeight="1" x14ac:dyDescent="0.3">
      <c r="A239" s="2">
        <v>15</v>
      </c>
      <c r="B239" s="2" t="s">
        <v>176</v>
      </c>
      <c r="C239" s="60" t="s">
        <v>10486</v>
      </c>
      <c r="D239" s="1"/>
      <c r="E239" s="68"/>
      <c r="F239" s="70"/>
      <c r="G239" s="1"/>
      <c r="H239" s="68"/>
      <c r="I239" s="70"/>
      <c r="J239" s="61"/>
      <c r="K239" s="62"/>
      <c r="L239" s="63"/>
      <c r="M239" s="85"/>
      <c r="N239" s="64"/>
      <c r="O239" s="65"/>
      <c r="P239" s="99"/>
      <c r="Q239" s="70"/>
      <c r="R239" s="99"/>
      <c r="S239" s="70"/>
      <c r="T239" s="61"/>
      <c r="U239" s="62"/>
      <c r="V239" s="63"/>
      <c r="W239" s="75"/>
      <c r="X239" s="61"/>
      <c r="Y239" s="62"/>
      <c r="Z239" s="63"/>
      <c r="AA239" s="75"/>
      <c r="AB239" s="228">
        <f>ROUND((ROUND((_15_同援日１．５*(1+_15・A夜間)),0)*(1+_15・区４)),0)+ROUND((ROUND((_15_同援日１．５＿０．５*(1+_15・B深夜)),0)*(1+_15・区４)),0)</f>
        <v>870</v>
      </c>
      <c r="AC239" s="69"/>
    </row>
    <row r="240" spans="1:29" ht="16.5" customHeight="1" x14ac:dyDescent="0.3">
      <c r="A240" s="2">
        <v>15</v>
      </c>
      <c r="B240" s="2" t="s">
        <v>177</v>
      </c>
      <c r="C240" s="60" t="s">
        <v>10485</v>
      </c>
      <c r="D240" s="1"/>
      <c r="E240" s="68"/>
      <c r="F240" s="70"/>
      <c r="G240" s="1"/>
      <c r="H240" s="68"/>
      <c r="I240" s="70"/>
      <c r="J240" s="66"/>
      <c r="K240" s="57"/>
      <c r="L240" s="58"/>
      <c r="M240" s="83" t="s">
        <v>5895</v>
      </c>
      <c r="N240" s="64" t="s">
        <v>1</v>
      </c>
      <c r="O240" s="65">
        <v>1</v>
      </c>
      <c r="P240" s="99"/>
      <c r="Q240" s="70"/>
      <c r="R240" s="99"/>
      <c r="S240" s="70"/>
      <c r="T240" s="67"/>
      <c r="U240" s="68"/>
      <c r="V240" s="76"/>
      <c r="W240" s="70"/>
      <c r="X240" s="67"/>
      <c r="Y240" s="68"/>
      <c r="Z240" s="76"/>
      <c r="AA240" s="70"/>
      <c r="AB240" s="228">
        <f>ROUND((ROUND((ROUND((_15_同援日１．５*_15・２人),0)*(1+_15・A夜間)),0)*(1+_15・区４)),0)+ROUND((ROUND((ROUND((_15_同援日１．５＿０．５*_15・２人),0)*(1+_15・B深夜)),0)*(1+_15・区４)),0)</f>
        <v>870</v>
      </c>
      <c r="AC240" s="69"/>
    </row>
    <row r="241" spans="1:29" ht="16.5" customHeight="1" x14ac:dyDescent="0.3">
      <c r="A241" s="2">
        <v>15</v>
      </c>
      <c r="B241" s="2" t="s">
        <v>178</v>
      </c>
      <c r="C241" s="60" t="s">
        <v>10484</v>
      </c>
      <c r="D241" s="1"/>
      <c r="E241" s="68"/>
      <c r="F241" s="70"/>
      <c r="G241" s="1"/>
      <c r="H241" s="68"/>
      <c r="I241" s="70"/>
      <c r="J241" s="74" t="s">
        <v>5898</v>
      </c>
      <c r="K241" s="62"/>
      <c r="L241" s="63"/>
      <c r="M241" s="85"/>
      <c r="N241" s="64"/>
      <c r="O241" s="65"/>
      <c r="P241" s="99"/>
      <c r="Q241" s="70"/>
      <c r="R241" s="99"/>
      <c r="S241" s="70"/>
      <c r="T241" s="67"/>
      <c r="U241" s="68"/>
      <c r="V241" s="76"/>
      <c r="W241" s="70"/>
      <c r="X241" s="1" t="s">
        <v>18027</v>
      </c>
      <c r="Y241" s="68"/>
      <c r="Z241" s="76"/>
      <c r="AA241" s="70"/>
      <c r="AB241" s="228">
        <f>ROUND((ROUND((ROUND((_15_同援日１．５*_15・基礎２),0)*(1+_15・A夜間)),0)*(1+_15・区４)),0)+ROUND((ROUND((ROUND((_15_同援日１．５＿０．５*_15・基礎２),0)*(1+_15・B深夜)),0)*(1+_15・区４)),0)</f>
        <v>786</v>
      </c>
      <c r="AC241" s="69"/>
    </row>
    <row r="242" spans="1:29" ht="16.5" customHeight="1" x14ac:dyDescent="0.3">
      <c r="A242" s="2">
        <v>15</v>
      </c>
      <c r="B242" s="2" t="s">
        <v>179</v>
      </c>
      <c r="C242" s="60" t="s">
        <v>10483</v>
      </c>
      <c r="D242" s="1"/>
      <c r="E242" s="68"/>
      <c r="F242" s="70"/>
      <c r="G242" s="1"/>
      <c r="H242" s="68"/>
      <c r="I242" s="70"/>
      <c r="J242" s="106" t="s">
        <v>16970</v>
      </c>
      <c r="K242" s="57" t="s">
        <v>1</v>
      </c>
      <c r="L242" s="58">
        <v>0.9</v>
      </c>
      <c r="M242" s="83" t="s">
        <v>5895</v>
      </c>
      <c r="N242" s="64" t="s">
        <v>1</v>
      </c>
      <c r="O242" s="65">
        <v>1</v>
      </c>
      <c r="P242" s="99"/>
      <c r="Q242" s="70"/>
      <c r="R242" s="99"/>
      <c r="S242" s="70"/>
      <c r="T242" s="66"/>
      <c r="U242" s="57"/>
      <c r="V242" s="58"/>
      <c r="W242" s="77"/>
      <c r="X242" s="1" t="s">
        <v>18026</v>
      </c>
      <c r="Y242" s="68"/>
      <c r="Z242" s="76"/>
      <c r="AA242" s="70"/>
      <c r="AB242" s="228">
        <f>ROUND((ROUND((ROUND((ROUND((_15_同援日１．５*_15・基礎２),0)*_15・２人),0)*(1+_15・A夜間)),0)*(1+_15・区４)),0)+ROUND((ROUND((ROUND((ROUND((_15_同援日１．５＿０．５*_15・基礎２),0)*_15・２人),0)*(1+_15・B深夜)),0)*(1+_15・区４)),0)</f>
        <v>786</v>
      </c>
      <c r="AC242" s="69"/>
    </row>
    <row r="243" spans="1:29" ht="16.5" customHeight="1" x14ac:dyDescent="0.3">
      <c r="A243" s="2">
        <v>15</v>
      </c>
      <c r="B243" s="2" t="s">
        <v>180</v>
      </c>
      <c r="C243" s="60" t="s">
        <v>10482</v>
      </c>
      <c r="D243" s="1"/>
      <c r="E243" s="68"/>
      <c r="F243" s="70"/>
      <c r="G243" s="1"/>
      <c r="H243" s="68"/>
      <c r="I243" s="70"/>
      <c r="J243" s="61"/>
      <c r="K243" s="62"/>
      <c r="L243" s="63"/>
      <c r="M243" s="85"/>
      <c r="N243" s="64"/>
      <c r="O243" s="65"/>
      <c r="P243" s="99"/>
      <c r="Q243" s="70"/>
      <c r="R243" s="99"/>
      <c r="S243" s="70"/>
      <c r="T243" s="74" t="s">
        <v>18025</v>
      </c>
      <c r="U243" s="62"/>
      <c r="V243" s="63"/>
      <c r="W243" s="75"/>
      <c r="X243" s="67"/>
      <c r="Y243" s="68" t="s">
        <v>1</v>
      </c>
      <c r="Z243" s="76">
        <v>0.4</v>
      </c>
      <c r="AA243" s="70" t="s">
        <v>422</v>
      </c>
      <c r="AB243" s="228">
        <f>ROUND((ROUND((ROUND((_15_同援日１．５*(1+_15・A夜間)),0)*(1+_15・盲ろう)),0)*(1+_15・区４)),0)+ROUND((ROUND((ROUND((_15_同援日１．５＿０．５*(1+_15・B深夜)),0)*(1+_15・盲ろう)),0)*(1+_15・区４)),0)</f>
        <v>1089</v>
      </c>
      <c r="AC243" s="69"/>
    </row>
    <row r="244" spans="1:29" ht="16.5" customHeight="1" x14ac:dyDescent="0.3">
      <c r="A244" s="2">
        <v>15</v>
      </c>
      <c r="B244" s="2" t="s">
        <v>181</v>
      </c>
      <c r="C244" s="60" t="s">
        <v>10481</v>
      </c>
      <c r="D244" s="1"/>
      <c r="E244" s="68"/>
      <c r="F244" s="70"/>
      <c r="G244" s="1"/>
      <c r="H244" s="68"/>
      <c r="I244" s="70"/>
      <c r="J244" s="66"/>
      <c r="K244" s="57"/>
      <c r="L244" s="58"/>
      <c r="M244" s="83" t="s">
        <v>5895</v>
      </c>
      <c r="N244" s="64" t="s">
        <v>1</v>
      </c>
      <c r="O244" s="65">
        <v>1</v>
      </c>
      <c r="P244" s="99"/>
      <c r="Q244" s="70"/>
      <c r="R244" s="99"/>
      <c r="S244" s="70"/>
      <c r="T244" s="94" t="s">
        <v>18024</v>
      </c>
      <c r="U244" s="68"/>
      <c r="V244" s="76"/>
      <c r="W244" s="70"/>
      <c r="X244" s="67"/>
      <c r="Y244" s="68"/>
      <c r="Z244" s="76"/>
      <c r="AA244" s="70"/>
      <c r="AB244" s="228">
        <f>ROUND((ROUND((ROUND((ROUND((_15_同援日１．５*_15・２人),0)*(1+_15・A夜間)),0)*(1+_15・盲ろう)),0)*(1+_15・区４)),0)+ROUND((ROUND((ROUND((ROUND((_15_同援日１．５＿０．５*_15・２人),0)*(1+_15・B深夜)),0)*(1+_15・盲ろう)),0)*(1+_15・区４)),0)</f>
        <v>1089</v>
      </c>
      <c r="AC244" s="69"/>
    </row>
    <row r="245" spans="1:29" ht="16.5" customHeight="1" x14ac:dyDescent="0.3">
      <c r="A245" s="2">
        <v>15</v>
      </c>
      <c r="B245" s="2" t="s">
        <v>182</v>
      </c>
      <c r="C245" s="60" t="s">
        <v>10480</v>
      </c>
      <c r="D245" s="1"/>
      <c r="E245" s="68"/>
      <c r="F245" s="70"/>
      <c r="G245" s="1"/>
      <c r="H245" s="68"/>
      <c r="I245" s="70"/>
      <c r="J245" s="74" t="s">
        <v>16823</v>
      </c>
      <c r="K245" s="62"/>
      <c r="L245" s="63"/>
      <c r="M245" s="85"/>
      <c r="N245" s="64"/>
      <c r="O245" s="65"/>
      <c r="P245" s="99"/>
      <c r="Q245" s="70"/>
      <c r="R245" s="99"/>
      <c r="S245" s="70"/>
      <c r="T245" s="67"/>
      <c r="U245" s="68" t="s">
        <v>1</v>
      </c>
      <c r="V245" s="76">
        <v>0.25</v>
      </c>
      <c r="W245" s="70" t="s">
        <v>422</v>
      </c>
      <c r="X245" s="67"/>
      <c r="Y245" s="68"/>
      <c r="Z245" s="76"/>
      <c r="AA245" s="70"/>
      <c r="AB245" s="228">
        <f>ROUND((ROUND((ROUND((ROUND((_15_同援日１．５*_15・基礎２),0)*(1+_15・A夜間)),0)*(1+_15・盲ろう)),0)*(1+_15・区４)),0)+ROUND((ROUND((ROUND((ROUND((_15_同援日１．５＿０．５*_15・基礎２),0)*(1+_15・B深夜)),0)*(1+_15・盲ろう)),0)*(1+_15・区４)),0)</f>
        <v>983</v>
      </c>
      <c r="AC245" s="69"/>
    </row>
    <row r="246" spans="1:29" ht="16.5" customHeight="1" x14ac:dyDescent="0.3">
      <c r="A246" s="2">
        <v>15</v>
      </c>
      <c r="B246" s="2" t="s">
        <v>183</v>
      </c>
      <c r="C246" s="60" t="s">
        <v>10479</v>
      </c>
      <c r="D246" s="1"/>
      <c r="E246" s="68"/>
      <c r="F246" s="70"/>
      <c r="G246" s="81"/>
      <c r="H246" s="57"/>
      <c r="I246" s="77"/>
      <c r="J246" s="106" t="s">
        <v>17053</v>
      </c>
      <c r="K246" s="57" t="s">
        <v>1</v>
      </c>
      <c r="L246" s="58">
        <v>0.9</v>
      </c>
      <c r="M246" s="83" t="s">
        <v>5895</v>
      </c>
      <c r="N246" s="64" t="s">
        <v>1</v>
      </c>
      <c r="O246" s="65">
        <v>1</v>
      </c>
      <c r="P246" s="99"/>
      <c r="Q246" s="70"/>
      <c r="R246" s="99"/>
      <c r="S246" s="70"/>
      <c r="T246" s="66"/>
      <c r="U246" s="57"/>
      <c r="V246" s="58"/>
      <c r="W246" s="77"/>
      <c r="X246" s="66"/>
      <c r="Y246" s="57"/>
      <c r="Z246" s="58"/>
      <c r="AA246" s="77"/>
      <c r="AB246" s="228">
        <f>ROUND((ROUND((ROUND((ROUND((ROUND((_15_同援日１．５*_15・基礎２),0)*_15・２人),0)*(1+_15・A夜間)),0)*(1+_15・盲ろう)),0)*(1+_15・区４)),0)+ROUND((ROUND((ROUND((ROUND((ROUND((_15_同援日１．５＿０．５*_15・基礎２),0)*_15・２人),0)*(1+_15・B深夜)),0)*(1+_15・盲ろう)),0)*(1+_15・区４)),0)</f>
        <v>983</v>
      </c>
      <c r="AC246" s="69"/>
    </row>
    <row r="247" spans="1:29" ht="16.5" customHeight="1" x14ac:dyDescent="0.3">
      <c r="A247" s="2">
        <v>15</v>
      </c>
      <c r="B247" s="2" t="s">
        <v>184</v>
      </c>
      <c r="C247" s="60" t="s">
        <v>10478</v>
      </c>
      <c r="D247" s="1"/>
      <c r="E247" s="68"/>
      <c r="F247" s="70"/>
      <c r="G247" s="233" t="s">
        <v>6121</v>
      </c>
      <c r="H247" s="62"/>
      <c r="I247" s="75"/>
      <c r="J247" s="61"/>
      <c r="K247" s="62"/>
      <c r="L247" s="63"/>
      <c r="M247" s="85"/>
      <c r="N247" s="64"/>
      <c r="O247" s="65"/>
      <c r="P247" s="99"/>
      <c r="Q247" s="70"/>
      <c r="R247" s="99"/>
      <c r="S247" s="70"/>
      <c r="T247" s="61"/>
      <c r="U247" s="62"/>
      <c r="V247" s="63"/>
      <c r="W247" s="75"/>
      <c r="X247" s="61"/>
      <c r="Y247" s="62"/>
      <c r="Z247" s="63"/>
      <c r="AA247" s="75"/>
      <c r="AB247" s="228">
        <f>ROUND((_15_同援日１．５*(1+_15・A夜間)),0)+ROUND((_15_同援日１．５＿１．０*(1+_15・B深夜)),0)</f>
        <v>717</v>
      </c>
      <c r="AC247" s="69"/>
    </row>
    <row r="248" spans="1:29" ht="16.5" customHeight="1" x14ac:dyDescent="0.3">
      <c r="A248" s="2">
        <v>15</v>
      </c>
      <c r="B248" s="2" t="s">
        <v>185</v>
      </c>
      <c r="C248" s="60" t="s">
        <v>10477</v>
      </c>
      <c r="D248" s="1"/>
      <c r="E248" s="68"/>
      <c r="F248" s="70"/>
      <c r="G248" s="1" t="s">
        <v>16978</v>
      </c>
      <c r="H248" s="68"/>
      <c r="I248" s="70"/>
      <c r="J248" s="66"/>
      <c r="K248" s="57"/>
      <c r="L248" s="58"/>
      <c r="M248" s="83" t="s">
        <v>5895</v>
      </c>
      <c r="N248" s="64" t="s">
        <v>1</v>
      </c>
      <c r="O248" s="65">
        <v>1</v>
      </c>
      <c r="P248" s="99"/>
      <c r="Q248" s="70"/>
      <c r="R248" s="99"/>
      <c r="S248" s="70"/>
      <c r="T248" s="67"/>
      <c r="U248" s="68"/>
      <c r="V248" s="76"/>
      <c r="W248" s="70"/>
      <c r="X248" s="67"/>
      <c r="Y248" s="68"/>
      <c r="Z248" s="76"/>
      <c r="AA248" s="70"/>
      <c r="AB248" s="228">
        <f>ROUND((ROUND((_15_同援日１．５*_15・２人),0)*(1+_15・A夜間)),0)+ROUND((ROUND((_15_同援日１．５＿１．０*_15・２人),0)*(1+_15・B深夜)),0)</f>
        <v>717</v>
      </c>
      <c r="AC248" s="69"/>
    </row>
    <row r="249" spans="1:29" ht="16.5" customHeight="1" x14ac:dyDescent="0.3">
      <c r="A249" s="2">
        <v>15</v>
      </c>
      <c r="B249" s="2" t="s">
        <v>186</v>
      </c>
      <c r="C249" s="60" t="s">
        <v>10476</v>
      </c>
      <c r="D249" s="1"/>
      <c r="E249" s="68"/>
      <c r="F249" s="70"/>
      <c r="G249" s="1" t="s">
        <v>8572</v>
      </c>
      <c r="H249" s="68"/>
      <c r="I249" s="70"/>
      <c r="J249" s="74" t="s">
        <v>16971</v>
      </c>
      <c r="K249" s="62"/>
      <c r="L249" s="63"/>
      <c r="M249" s="85"/>
      <c r="N249" s="64"/>
      <c r="O249" s="65"/>
      <c r="P249" s="99"/>
      <c r="Q249" s="70"/>
      <c r="R249" s="99"/>
      <c r="S249" s="70"/>
      <c r="T249" s="67"/>
      <c r="U249" s="68"/>
      <c r="V249" s="76"/>
      <c r="W249" s="70"/>
      <c r="X249" s="67"/>
      <c r="Y249" s="68"/>
      <c r="Z249" s="76"/>
      <c r="AA249" s="70"/>
      <c r="AB249" s="228">
        <f>ROUND((ROUND((_15_同援日１．５*_15・基礎２),0)*(1+_15・A夜間)),0)+ROUND((ROUND((_15_同援日１．５＿１．０*_15・基礎２),0)*(1+_15・B深夜)),0)</f>
        <v>645</v>
      </c>
      <c r="AC249" s="69"/>
    </row>
    <row r="250" spans="1:29" ht="16.5" customHeight="1" x14ac:dyDescent="0.3">
      <c r="A250" s="2">
        <v>15</v>
      </c>
      <c r="B250" s="2" t="s">
        <v>187</v>
      </c>
      <c r="C250" s="60" t="s">
        <v>10475</v>
      </c>
      <c r="D250" s="1"/>
      <c r="E250" s="68"/>
      <c r="F250" s="70"/>
      <c r="G250" s="1"/>
      <c r="H250" s="119">
        <v>127</v>
      </c>
      <c r="I250" s="70" t="s">
        <v>0</v>
      </c>
      <c r="J250" s="106" t="s">
        <v>17053</v>
      </c>
      <c r="K250" s="57" t="s">
        <v>1</v>
      </c>
      <c r="L250" s="58">
        <v>0.9</v>
      </c>
      <c r="M250" s="83" t="s">
        <v>5895</v>
      </c>
      <c r="N250" s="64" t="s">
        <v>1</v>
      </c>
      <c r="O250" s="65">
        <v>1</v>
      </c>
      <c r="P250" s="99"/>
      <c r="Q250" s="70"/>
      <c r="R250" s="99"/>
      <c r="S250" s="70"/>
      <c r="T250" s="66"/>
      <c r="U250" s="57"/>
      <c r="V250" s="58"/>
      <c r="W250" s="77"/>
      <c r="X250" s="67"/>
      <c r="Y250" s="68"/>
      <c r="Z250" s="76"/>
      <c r="AA250" s="70"/>
      <c r="AB250" s="228">
        <f>ROUND((ROUND((ROUND((_15_同援日１．５*_15・基礎２),0)*_15・２人),0)*(1+_15・A夜間)),0)+ROUND((ROUND((ROUND((_15_同援日１．５＿１．０*_15・基礎２),0)*_15・２人),0)*(1+_15・B深夜)),0)</f>
        <v>645</v>
      </c>
      <c r="AC250" s="69"/>
    </row>
    <row r="251" spans="1:29" ht="16.5" customHeight="1" x14ac:dyDescent="0.3">
      <c r="A251" s="2">
        <v>15</v>
      </c>
      <c r="B251" s="2" t="s">
        <v>188</v>
      </c>
      <c r="C251" s="60" t="s">
        <v>10474</v>
      </c>
      <c r="D251" s="1"/>
      <c r="E251" s="68"/>
      <c r="F251" s="70"/>
      <c r="G251" s="1"/>
      <c r="H251" s="68"/>
      <c r="I251" s="70"/>
      <c r="J251" s="61"/>
      <c r="K251" s="62"/>
      <c r="L251" s="63"/>
      <c r="M251" s="85"/>
      <c r="N251" s="64"/>
      <c r="O251" s="65"/>
      <c r="P251" s="99"/>
      <c r="Q251" s="70"/>
      <c r="R251" s="99"/>
      <c r="S251" s="70"/>
      <c r="T251" s="74" t="s">
        <v>18025</v>
      </c>
      <c r="U251" s="62"/>
      <c r="V251" s="63"/>
      <c r="W251" s="75"/>
      <c r="X251" s="67"/>
      <c r="Y251" s="68"/>
      <c r="Z251" s="76"/>
      <c r="AA251" s="70"/>
      <c r="AB251" s="228">
        <f>ROUND((ROUND((_15_同援日１．５*(1+_15・A夜間)),0)*(1+_15・盲ろう)),0)+ROUND((ROUND((_15_同援日１．５＿１．０*(1+_15・B深夜)),0)*(1+_15・盲ろう)),0)</f>
        <v>897</v>
      </c>
      <c r="AC251" s="69"/>
    </row>
    <row r="252" spans="1:29" ht="16.5" customHeight="1" x14ac:dyDescent="0.3">
      <c r="A252" s="2">
        <v>15</v>
      </c>
      <c r="B252" s="2" t="s">
        <v>189</v>
      </c>
      <c r="C252" s="60" t="s">
        <v>10473</v>
      </c>
      <c r="D252" s="1"/>
      <c r="E252" s="68"/>
      <c r="F252" s="70"/>
      <c r="G252" s="1"/>
      <c r="H252" s="68"/>
      <c r="I252" s="70"/>
      <c r="J252" s="66"/>
      <c r="K252" s="57"/>
      <c r="L252" s="58"/>
      <c r="M252" s="83" t="s">
        <v>5895</v>
      </c>
      <c r="N252" s="64" t="s">
        <v>1</v>
      </c>
      <c r="O252" s="65">
        <v>1</v>
      </c>
      <c r="P252" s="99"/>
      <c r="Q252" s="70"/>
      <c r="R252" s="99"/>
      <c r="S252" s="70"/>
      <c r="T252" s="94" t="s">
        <v>8083</v>
      </c>
      <c r="U252" s="68"/>
      <c r="V252" s="76"/>
      <c r="W252" s="70"/>
      <c r="X252" s="67"/>
      <c r="Y252" s="68"/>
      <c r="Z252" s="76"/>
      <c r="AA252" s="70"/>
      <c r="AB252" s="228">
        <f>ROUND((ROUND((ROUND((_15_同援日１．５*_15・２人),0)*(1+_15・A夜間)),0)*(1+_15・盲ろう)),0)+ROUND((ROUND((ROUND((_15_同援日１．５＿１．０*_15・２人),0)*(1+_15・B深夜)),0)*(1+_15・盲ろう)),0)</f>
        <v>897</v>
      </c>
      <c r="AC252" s="69"/>
    </row>
    <row r="253" spans="1:29" ht="16.5" customHeight="1" x14ac:dyDescent="0.3">
      <c r="A253" s="2">
        <v>15</v>
      </c>
      <c r="B253" s="2" t="s">
        <v>190</v>
      </c>
      <c r="C253" s="60" t="s">
        <v>10472</v>
      </c>
      <c r="D253" s="1"/>
      <c r="E253" s="68"/>
      <c r="F253" s="70"/>
      <c r="G253" s="1"/>
      <c r="H253" s="68"/>
      <c r="I253" s="70"/>
      <c r="J253" s="74" t="s">
        <v>16971</v>
      </c>
      <c r="K253" s="62"/>
      <c r="L253" s="63"/>
      <c r="M253" s="85"/>
      <c r="N253" s="64"/>
      <c r="O253" s="65"/>
      <c r="P253" s="99"/>
      <c r="Q253" s="70"/>
      <c r="R253" s="99"/>
      <c r="S253" s="70"/>
      <c r="T253" s="67"/>
      <c r="U253" s="68" t="s">
        <v>1</v>
      </c>
      <c r="V253" s="76">
        <v>0.25</v>
      </c>
      <c r="W253" s="70" t="s">
        <v>422</v>
      </c>
      <c r="X253" s="67"/>
      <c r="Y253" s="68"/>
      <c r="Z253" s="76"/>
      <c r="AA253" s="70"/>
      <c r="AB253" s="228">
        <f>ROUND((ROUND((ROUND((_15_同援日１．５*_15・基礎２),0)*(1+_15・A夜間)),0)*(1+_15・盲ろう)),0)+ROUND((ROUND((ROUND((_15_同援日１．５＿１．０*_15・基礎２),0)*(1+_15・B深夜)),0)*(1+_15・盲ろう)),0)</f>
        <v>807</v>
      </c>
      <c r="AC253" s="69"/>
    </row>
    <row r="254" spans="1:29" ht="16.5" customHeight="1" x14ac:dyDescent="0.3">
      <c r="A254" s="2">
        <v>15</v>
      </c>
      <c r="B254" s="2" t="s">
        <v>191</v>
      </c>
      <c r="C254" s="60" t="s">
        <v>10471</v>
      </c>
      <c r="D254" s="1"/>
      <c r="E254" s="68"/>
      <c r="F254" s="70"/>
      <c r="G254" s="1"/>
      <c r="H254" s="68"/>
      <c r="I254" s="70"/>
      <c r="J254" s="106" t="s">
        <v>17053</v>
      </c>
      <c r="K254" s="57" t="s">
        <v>1</v>
      </c>
      <c r="L254" s="58">
        <v>0.9</v>
      </c>
      <c r="M254" s="83" t="s">
        <v>5895</v>
      </c>
      <c r="N254" s="64" t="s">
        <v>1</v>
      </c>
      <c r="O254" s="65">
        <v>1</v>
      </c>
      <c r="P254" s="99"/>
      <c r="Q254" s="70"/>
      <c r="R254" s="99"/>
      <c r="S254" s="70"/>
      <c r="T254" s="66"/>
      <c r="U254" s="57"/>
      <c r="V254" s="58"/>
      <c r="W254" s="77"/>
      <c r="X254" s="66"/>
      <c r="Y254" s="57"/>
      <c r="Z254" s="58"/>
      <c r="AA254" s="77"/>
      <c r="AB254" s="228">
        <f>ROUND((ROUND((ROUND((ROUND((_15_同援日１．５*_15・基礎２),0)*_15・２人),0)*(1+_15・A夜間)),0)*(1+_15・盲ろう)),0)+ROUND((ROUND((ROUND((ROUND((_15_同援日１．５＿１．０*_15・基礎２),0)*_15・２人),0)*(1+_15・B深夜)),0)*(1+_15・盲ろう)),0)</f>
        <v>807</v>
      </c>
      <c r="AC254" s="69"/>
    </row>
    <row r="255" spans="1:29" ht="16.5" customHeight="1" x14ac:dyDescent="0.3">
      <c r="A255" s="2">
        <v>15</v>
      </c>
      <c r="B255" s="2" t="s">
        <v>192</v>
      </c>
      <c r="C255" s="60" t="s">
        <v>10470</v>
      </c>
      <c r="D255" s="1"/>
      <c r="E255" s="68"/>
      <c r="F255" s="70"/>
      <c r="G255" s="1"/>
      <c r="H255" s="68"/>
      <c r="I255" s="70"/>
      <c r="J255" s="61"/>
      <c r="K255" s="62"/>
      <c r="L255" s="63"/>
      <c r="M255" s="85"/>
      <c r="N255" s="64"/>
      <c r="O255" s="65"/>
      <c r="P255" s="99"/>
      <c r="Q255" s="70"/>
      <c r="R255" s="99"/>
      <c r="S255" s="70"/>
      <c r="T255" s="61"/>
      <c r="U255" s="62"/>
      <c r="V255" s="63"/>
      <c r="W255" s="75"/>
      <c r="X255" s="61"/>
      <c r="Y255" s="62"/>
      <c r="Z255" s="63"/>
      <c r="AA255" s="75"/>
      <c r="AB255" s="228">
        <f>ROUND((ROUND((_15_同援日１．５*(1+_15・A夜間)),0)*(1+_15・区３)),0)+ROUND((ROUND((_15_同援日１．５＿１．０*(1+_15・B深夜)),0)*(1+_15・区３)),0)</f>
        <v>860</v>
      </c>
      <c r="AC255" s="69"/>
    </row>
    <row r="256" spans="1:29" ht="16.5" customHeight="1" x14ac:dyDescent="0.3">
      <c r="A256" s="2">
        <v>15</v>
      </c>
      <c r="B256" s="2" t="s">
        <v>193</v>
      </c>
      <c r="C256" s="60" t="s">
        <v>10469</v>
      </c>
      <c r="D256" s="1"/>
      <c r="E256" s="68"/>
      <c r="F256" s="70"/>
      <c r="G256" s="1"/>
      <c r="H256" s="68"/>
      <c r="I256" s="70"/>
      <c r="J256" s="66"/>
      <c r="K256" s="57"/>
      <c r="L256" s="58"/>
      <c r="M256" s="83" t="s">
        <v>5895</v>
      </c>
      <c r="N256" s="64" t="s">
        <v>1</v>
      </c>
      <c r="O256" s="65">
        <v>1</v>
      </c>
      <c r="P256" s="99"/>
      <c r="Q256" s="70"/>
      <c r="R256" s="99"/>
      <c r="S256" s="70"/>
      <c r="T256" s="67"/>
      <c r="U256" s="68"/>
      <c r="V256" s="76"/>
      <c r="W256" s="70"/>
      <c r="X256" s="67"/>
      <c r="Y256" s="68"/>
      <c r="Z256" s="76"/>
      <c r="AA256" s="70"/>
      <c r="AB256" s="228">
        <f>ROUND((ROUND((ROUND((_15_同援日１．５*_15・２人),0)*(1+_15・A夜間)),0)*(1+_15・区３)),0)+ROUND((ROUND((ROUND((_15_同援日１．５＿１．０*_15・２人),0)*(1+_15・B深夜)),0)*(1+_15・区３)),0)</f>
        <v>860</v>
      </c>
      <c r="AC256" s="69"/>
    </row>
    <row r="257" spans="1:29" ht="16.5" customHeight="1" x14ac:dyDescent="0.3">
      <c r="A257" s="2">
        <v>15</v>
      </c>
      <c r="B257" s="2" t="s">
        <v>194</v>
      </c>
      <c r="C257" s="60" t="s">
        <v>10468</v>
      </c>
      <c r="D257" s="1"/>
      <c r="E257" s="68"/>
      <c r="F257" s="70"/>
      <c r="G257" s="1"/>
      <c r="H257" s="68"/>
      <c r="I257" s="70"/>
      <c r="J257" s="74" t="s">
        <v>17054</v>
      </c>
      <c r="K257" s="62"/>
      <c r="L257" s="63"/>
      <c r="M257" s="85"/>
      <c r="N257" s="64"/>
      <c r="O257" s="65"/>
      <c r="P257" s="99"/>
      <c r="Q257" s="70"/>
      <c r="R257" s="99"/>
      <c r="S257" s="70"/>
      <c r="T257" s="67"/>
      <c r="U257" s="68"/>
      <c r="V257" s="76"/>
      <c r="W257" s="70"/>
      <c r="X257" s="1" t="s">
        <v>18089</v>
      </c>
      <c r="Y257" s="68"/>
      <c r="Z257" s="76"/>
      <c r="AA257" s="70"/>
      <c r="AB257" s="228">
        <f>ROUND((ROUND((ROUND((_15_同援日１．５*_15・基礎２),0)*(1+_15・A夜間)),0)*(1+_15・区３)),0)+ROUND((ROUND((ROUND((_15_同援日１．５＿１．０*_15・基礎２),0)*(1+_15・B深夜)),0)*(1+_15・区３)),0)</f>
        <v>774</v>
      </c>
      <c r="AC257" s="69"/>
    </row>
    <row r="258" spans="1:29" ht="16.5" customHeight="1" x14ac:dyDescent="0.3">
      <c r="A258" s="2">
        <v>15</v>
      </c>
      <c r="B258" s="2" t="s">
        <v>195</v>
      </c>
      <c r="C258" s="60" t="s">
        <v>10467</v>
      </c>
      <c r="D258" s="1"/>
      <c r="E258" s="68"/>
      <c r="F258" s="70"/>
      <c r="G258" s="1"/>
      <c r="H258" s="68"/>
      <c r="I258" s="70"/>
      <c r="J258" s="106" t="s">
        <v>17053</v>
      </c>
      <c r="K258" s="57" t="s">
        <v>1</v>
      </c>
      <c r="L258" s="58">
        <v>0.9</v>
      </c>
      <c r="M258" s="83" t="s">
        <v>5895</v>
      </c>
      <c r="N258" s="64" t="s">
        <v>1</v>
      </c>
      <c r="O258" s="65">
        <v>1</v>
      </c>
      <c r="P258" s="99"/>
      <c r="Q258" s="70"/>
      <c r="R258" s="99"/>
      <c r="S258" s="70"/>
      <c r="T258" s="66"/>
      <c r="U258" s="57"/>
      <c r="V258" s="58"/>
      <c r="W258" s="77"/>
      <c r="X258" s="1" t="s">
        <v>18026</v>
      </c>
      <c r="Y258" s="68"/>
      <c r="Z258" s="76"/>
      <c r="AA258" s="70"/>
      <c r="AB258" s="228">
        <f>ROUND((ROUND((ROUND((ROUND((_15_同援日１．５*_15・基礎２),0)*_15・２人),0)*(1+_15・A夜間)),0)*(1+_15・区３)),0)+ROUND((ROUND((ROUND((ROUND((_15_同援日１．５＿１．０*_15・基礎２),0)*_15・２人),0)*(1+_15・B深夜)),0)*(1+_15・区３)),0)</f>
        <v>774</v>
      </c>
      <c r="AC258" s="69"/>
    </row>
    <row r="259" spans="1:29" ht="16.5" customHeight="1" x14ac:dyDescent="0.3">
      <c r="A259" s="2">
        <v>15</v>
      </c>
      <c r="B259" s="2" t="s">
        <v>196</v>
      </c>
      <c r="C259" s="60" t="s">
        <v>10466</v>
      </c>
      <c r="D259" s="1"/>
      <c r="E259" s="68"/>
      <c r="F259" s="70"/>
      <c r="G259" s="1"/>
      <c r="H259" s="68"/>
      <c r="I259" s="70"/>
      <c r="J259" s="61"/>
      <c r="K259" s="62"/>
      <c r="L259" s="63"/>
      <c r="M259" s="85"/>
      <c r="N259" s="64"/>
      <c r="O259" s="65"/>
      <c r="P259" s="99"/>
      <c r="Q259" s="70"/>
      <c r="R259" s="99"/>
      <c r="S259" s="70"/>
      <c r="T259" s="74" t="s">
        <v>18087</v>
      </c>
      <c r="U259" s="62"/>
      <c r="V259" s="63"/>
      <c r="W259" s="75"/>
      <c r="X259" s="67"/>
      <c r="Y259" s="68" t="s">
        <v>1</v>
      </c>
      <c r="Z259" s="76">
        <v>0.2</v>
      </c>
      <c r="AA259" s="70" t="s">
        <v>422</v>
      </c>
      <c r="AB259" s="228">
        <f>ROUND((ROUND((ROUND((_15_同援日１．５*(1+_15・A夜間)),0)*(1+_15・盲ろう)),0)*(1+_15・区３)),0)+ROUND((ROUND((ROUND((_15_同援日１．５＿１．０*(1+_15・B深夜)),0)*(1+_15・盲ろう)),0)*(1+_15・区３)),0)</f>
        <v>1077</v>
      </c>
      <c r="AC259" s="69"/>
    </row>
    <row r="260" spans="1:29" ht="16.5" customHeight="1" x14ac:dyDescent="0.3">
      <c r="A260" s="2">
        <v>15</v>
      </c>
      <c r="B260" s="2" t="s">
        <v>197</v>
      </c>
      <c r="C260" s="60" t="s">
        <v>10465</v>
      </c>
      <c r="D260" s="1"/>
      <c r="E260" s="68"/>
      <c r="F260" s="70"/>
      <c r="G260" s="1"/>
      <c r="H260" s="68"/>
      <c r="I260" s="70"/>
      <c r="J260" s="66"/>
      <c r="K260" s="57"/>
      <c r="L260" s="58"/>
      <c r="M260" s="83" t="s">
        <v>5895</v>
      </c>
      <c r="N260" s="64" t="s">
        <v>1</v>
      </c>
      <c r="O260" s="65">
        <v>1</v>
      </c>
      <c r="P260" s="99"/>
      <c r="Q260" s="70"/>
      <c r="R260" s="99"/>
      <c r="S260" s="70"/>
      <c r="T260" s="94" t="s">
        <v>18024</v>
      </c>
      <c r="U260" s="68"/>
      <c r="V260" s="76"/>
      <c r="W260" s="70"/>
      <c r="X260" s="67"/>
      <c r="Y260" s="68"/>
      <c r="Z260" s="76"/>
      <c r="AA260" s="70"/>
      <c r="AB260" s="228">
        <f>ROUND((ROUND((ROUND((ROUND((_15_同援日１．５*_15・２人),0)*(1+_15・A夜間)),0)*(1+_15・盲ろう)),0)*(1+_15・区３)),0)+ROUND((ROUND((ROUND((ROUND((_15_同援日１．５＿１．０*_15・２人),0)*(1+_15・B深夜)),0)*(1+_15・盲ろう)),0)*(1+_15・区３)),0)</f>
        <v>1077</v>
      </c>
      <c r="AC260" s="69"/>
    </row>
    <row r="261" spans="1:29" ht="16.5" customHeight="1" x14ac:dyDescent="0.3">
      <c r="A261" s="2">
        <v>15</v>
      </c>
      <c r="B261" s="2" t="s">
        <v>198</v>
      </c>
      <c r="C261" s="60" t="s">
        <v>10464</v>
      </c>
      <c r="D261" s="1"/>
      <c r="E261" s="68"/>
      <c r="F261" s="70"/>
      <c r="G261" s="1"/>
      <c r="H261" s="68"/>
      <c r="I261" s="70"/>
      <c r="J261" s="74" t="s">
        <v>17054</v>
      </c>
      <c r="K261" s="62"/>
      <c r="L261" s="63"/>
      <c r="M261" s="85"/>
      <c r="N261" s="64"/>
      <c r="O261" s="65"/>
      <c r="P261" s="99"/>
      <c r="Q261" s="70"/>
      <c r="R261" s="99"/>
      <c r="S261" s="70"/>
      <c r="T261" s="67"/>
      <c r="U261" s="68" t="s">
        <v>1</v>
      </c>
      <c r="V261" s="76">
        <v>0.25</v>
      </c>
      <c r="W261" s="70" t="s">
        <v>422</v>
      </c>
      <c r="X261" s="67"/>
      <c r="Y261" s="68"/>
      <c r="Z261" s="76"/>
      <c r="AA261" s="70"/>
      <c r="AB261" s="228">
        <f>ROUND((ROUND((ROUND((ROUND((_15_同援日１．５*_15・基礎２),0)*(1+_15・A夜間)),0)*(1+_15・盲ろう)),0)*(1+_15・区３)),0)+ROUND((ROUND((ROUND((ROUND((_15_同援日１．５＿１．０*_15・基礎２),0)*(1+_15・B深夜)),0)*(1+_15・盲ろう)),0)*(1+_15・区３)),0)</f>
        <v>969</v>
      </c>
      <c r="AC261" s="69"/>
    </row>
    <row r="262" spans="1:29" ht="16.5" customHeight="1" x14ac:dyDescent="0.3">
      <c r="A262" s="2">
        <v>15</v>
      </c>
      <c r="B262" s="2" t="s">
        <v>199</v>
      </c>
      <c r="C262" s="60" t="s">
        <v>10463</v>
      </c>
      <c r="D262" s="1"/>
      <c r="E262" s="68"/>
      <c r="F262" s="70"/>
      <c r="G262" s="1"/>
      <c r="H262" s="68"/>
      <c r="I262" s="70"/>
      <c r="J262" s="106" t="s">
        <v>16970</v>
      </c>
      <c r="K262" s="57" t="s">
        <v>1</v>
      </c>
      <c r="L262" s="58">
        <v>0.9</v>
      </c>
      <c r="M262" s="83" t="s">
        <v>5895</v>
      </c>
      <c r="N262" s="64" t="s">
        <v>1</v>
      </c>
      <c r="O262" s="65">
        <v>1</v>
      </c>
      <c r="P262" s="99"/>
      <c r="Q262" s="70"/>
      <c r="R262" s="99"/>
      <c r="S262" s="70"/>
      <c r="T262" s="66"/>
      <c r="U262" s="57"/>
      <c r="V262" s="58"/>
      <c r="W262" s="77"/>
      <c r="X262" s="66"/>
      <c r="Y262" s="57"/>
      <c r="Z262" s="58"/>
      <c r="AA262" s="77"/>
      <c r="AB262" s="228">
        <f>ROUND((ROUND((ROUND((ROUND((ROUND((_15_同援日１．５*_15・基礎２),0)*_15・２人),0)*(1+_15・A夜間)),0)*(1+_15・盲ろう)),0)*(1+_15・区３)),0)+ROUND((ROUND((ROUND((ROUND((ROUND((_15_同援日１．５＿１．０*_15・基礎２),0)*_15・２人),0)*(1+_15・B深夜)),0)*(1+_15・盲ろう)),0)*(1+_15・区３)),0)</f>
        <v>969</v>
      </c>
      <c r="AC262" s="69"/>
    </row>
    <row r="263" spans="1:29" ht="16.5" customHeight="1" x14ac:dyDescent="0.3">
      <c r="A263" s="2">
        <v>15</v>
      </c>
      <c r="B263" s="2" t="s">
        <v>200</v>
      </c>
      <c r="C263" s="60" t="s">
        <v>10462</v>
      </c>
      <c r="D263" s="1"/>
      <c r="E263" s="68"/>
      <c r="F263" s="70"/>
      <c r="G263" s="1"/>
      <c r="H263" s="68"/>
      <c r="I263" s="70"/>
      <c r="J263" s="61"/>
      <c r="K263" s="62"/>
      <c r="L263" s="63"/>
      <c r="M263" s="85"/>
      <c r="N263" s="64"/>
      <c r="O263" s="65"/>
      <c r="P263" s="99"/>
      <c r="Q263" s="70"/>
      <c r="R263" s="99"/>
      <c r="S263" s="70"/>
      <c r="T263" s="61"/>
      <c r="U263" s="62"/>
      <c r="V263" s="63"/>
      <c r="W263" s="75"/>
      <c r="X263" s="61"/>
      <c r="Y263" s="62"/>
      <c r="Z263" s="63"/>
      <c r="AA263" s="75"/>
      <c r="AB263" s="228">
        <f>ROUND((ROUND((_15_同援日１．５*(1+_15・A夜間)),0)*(1+_15・区４)),0)+ROUND((ROUND((_15_同援日１．５＿１．０*(1+_15・B深夜)),0)*(1+_15・区４)),0)</f>
        <v>1003</v>
      </c>
      <c r="AC263" s="69"/>
    </row>
    <row r="264" spans="1:29" ht="16.5" customHeight="1" x14ac:dyDescent="0.3">
      <c r="A264" s="2">
        <v>15</v>
      </c>
      <c r="B264" s="2" t="s">
        <v>201</v>
      </c>
      <c r="C264" s="60" t="s">
        <v>10461</v>
      </c>
      <c r="D264" s="1"/>
      <c r="E264" s="68"/>
      <c r="F264" s="70"/>
      <c r="G264" s="1"/>
      <c r="H264" s="68"/>
      <c r="I264" s="70"/>
      <c r="J264" s="66"/>
      <c r="K264" s="57"/>
      <c r="L264" s="58"/>
      <c r="M264" s="83" t="s">
        <v>5895</v>
      </c>
      <c r="N264" s="64" t="s">
        <v>1</v>
      </c>
      <c r="O264" s="65">
        <v>1</v>
      </c>
      <c r="P264" s="99"/>
      <c r="Q264" s="70"/>
      <c r="R264" s="99"/>
      <c r="S264" s="70"/>
      <c r="T264" s="67"/>
      <c r="U264" s="68"/>
      <c r="V264" s="76"/>
      <c r="W264" s="70"/>
      <c r="X264" s="67"/>
      <c r="Y264" s="68"/>
      <c r="Z264" s="76"/>
      <c r="AA264" s="70"/>
      <c r="AB264" s="228">
        <f>ROUND((ROUND((ROUND((_15_同援日１．５*_15・２人),0)*(1+_15・A夜間)),0)*(1+_15・区４)),0)+ROUND((ROUND((ROUND((_15_同援日１．５＿１．０*_15・２人),0)*(1+_15・B深夜)),0)*(1+_15・区４)),0)</f>
        <v>1003</v>
      </c>
      <c r="AC264" s="69"/>
    </row>
    <row r="265" spans="1:29" ht="16.5" customHeight="1" x14ac:dyDescent="0.3">
      <c r="A265" s="2">
        <v>15</v>
      </c>
      <c r="B265" s="2" t="s">
        <v>202</v>
      </c>
      <c r="C265" s="60" t="s">
        <v>10460</v>
      </c>
      <c r="D265" s="1"/>
      <c r="E265" s="68"/>
      <c r="F265" s="70"/>
      <c r="G265" s="1"/>
      <c r="H265" s="68"/>
      <c r="I265" s="70"/>
      <c r="J265" s="74" t="s">
        <v>17054</v>
      </c>
      <c r="K265" s="62"/>
      <c r="L265" s="63"/>
      <c r="M265" s="85"/>
      <c r="N265" s="64"/>
      <c r="O265" s="65"/>
      <c r="P265" s="99"/>
      <c r="Q265" s="70"/>
      <c r="R265" s="99"/>
      <c r="S265" s="70"/>
      <c r="T265" s="67"/>
      <c r="U265" s="68"/>
      <c r="V265" s="76"/>
      <c r="W265" s="70"/>
      <c r="X265" s="1" t="s">
        <v>18027</v>
      </c>
      <c r="Y265" s="68"/>
      <c r="Z265" s="76"/>
      <c r="AA265" s="70"/>
      <c r="AB265" s="228">
        <f>ROUND((ROUND((ROUND((_15_同援日１．５*_15・基礎２),0)*(1+_15・A夜間)),0)*(1+_15・区４)),0)+ROUND((ROUND((ROUND((_15_同援日１．５＿１．０*_15・基礎２),0)*(1+_15・B深夜)),0)*(1+_15・区４)),0)</f>
        <v>903</v>
      </c>
      <c r="AC265" s="69"/>
    </row>
    <row r="266" spans="1:29" ht="16.5" customHeight="1" x14ac:dyDescent="0.3">
      <c r="A266" s="2">
        <v>15</v>
      </c>
      <c r="B266" s="2" t="s">
        <v>203</v>
      </c>
      <c r="C266" s="60" t="s">
        <v>10459</v>
      </c>
      <c r="D266" s="1"/>
      <c r="E266" s="68"/>
      <c r="F266" s="70"/>
      <c r="G266" s="1"/>
      <c r="H266" s="68"/>
      <c r="I266" s="70"/>
      <c r="J266" s="106" t="s">
        <v>16970</v>
      </c>
      <c r="K266" s="57" t="s">
        <v>1</v>
      </c>
      <c r="L266" s="58">
        <v>0.9</v>
      </c>
      <c r="M266" s="83" t="s">
        <v>5895</v>
      </c>
      <c r="N266" s="64" t="s">
        <v>1</v>
      </c>
      <c r="O266" s="65">
        <v>1</v>
      </c>
      <c r="P266" s="99"/>
      <c r="Q266" s="70"/>
      <c r="R266" s="99"/>
      <c r="S266" s="70"/>
      <c r="T266" s="66"/>
      <c r="U266" s="57"/>
      <c r="V266" s="58"/>
      <c r="W266" s="77"/>
      <c r="X266" s="1" t="s">
        <v>8087</v>
      </c>
      <c r="Y266" s="68"/>
      <c r="Z266" s="76"/>
      <c r="AA266" s="70"/>
      <c r="AB266" s="228">
        <f>ROUND((ROUND((ROUND((ROUND((_15_同援日１．５*_15・基礎２),0)*_15・２人),0)*(1+_15・A夜間)),0)*(1+_15・区４)),0)+ROUND((ROUND((ROUND((ROUND((_15_同援日１．５＿１．０*_15・基礎２),0)*_15・２人),0)*(1+_15・B深夜)),0)*(1+_15・区４)),0)</f>
        <v>903</v>
      </c>
      <c r="AC266" s="69"/>
    </row>
    <row r="267" spans="1:29" ht="16.5" customHeight="1" x14ac:dyDescent="0.3">
      <c r="A267" s="2">
        <v>15</v>
      </c>
      <c r="B267" s="2" t="s">
        <v>204</v>
      </c>
      <c r="C267" s="60" t="s">
        <v>10458</v>
      </c>
      <c r="D267" s="1"/>
      <c r="E267" s="68"/>
      <c r="F267" s="70"/>
      <c r="G267" s="1"/>
      <c r="H267" s="68"/>
      <c r="I267" s="70"/>
      <c r="J267" s="61"/>
      <c r="K267" s="62"/>
      <c r="L267" s="63"/>
      <c r="M267" s="85"/>
      <c r="N267" s="64"/>
      <c r="O267" s="65"/>
      <c r="P267" s="99"/>
      <c r="Q267" s="70"/>
      <c r="R267" s="99"/>
      <c r="S267" s="70"/>
      <c r="T267" s="74" t="s">
        <v>18087</v>
      </c>
      <c r="U267" s="62"/>
      <c r="V267" s="63"/>
      <c r="W267" s="75"/>
      <c r="X267" s="67"/>
      <c r="Y267" s="68" t="s">
        <v>1</v>
      </c>
      <c r="Z267" s="76">
        <v>0.4</v>
      </c>
      <c r="AA267" s="70" t="s">
        <v>422</v>
      </c>
      <c r="AB267" s="228">
        <f>ROUND((ROUND((ROUND((_15_同援日１．５*(1+_15・A夜間)),0)*(1+_15・盲ろう)),0)*(1+_15・区４)),0)+ROUND((ROUND((ROUND((_15_同援日１．５＿１．０*(1+_15・B深夜)),0)*(1+_15・盲ろう)),0)*(1+_15・区４)),0)</f>
        <v>1256</v>
      </c>
      <c r="AC267" s="69"/>
    </row>
    <row r="268" spans="1:29" ht="16.5" customHeight="1" x14ac:dyDescent="0.3">
      <c r="A268" s="2">
        <v>15</v>
      </c>
      <c r="B268" s="2" t="s">
        <v>205</v>
      </c>
      <c r="C268" s="60" t="s">
        <v>10457</v>
      </c>
      <c r="D268" s="1"/>
      <c r="E268" s="68"/>
      <c r="F268" s="70"/>
      <c r="G268" s="1"/>
      <c r="H268" s="68"/>
      <c r="I268" s="70"/>
      <c r="J268" s="66"/>
      <c r="K268" s="57"/>
      <c r="L268" s="58"/>
      <c r="M268" s="83" t="s">
        <v>5895</v>
      </c>
      <c r="N268" s="64" t="s">
        <v>1</v>
      </c>
      <c r="O268" s="65">
        <v>1</v>
      </c>
      <c r="P268" s="99"/>
      <c r="Q268" s="70"/>
      <c r="R268" s="99"/>
      <c r="S268" s="70"/>
      <c r="T268" s="94" t="s">
        <v>18024</v>
      </c>
      <c r="U268" s="68"/>
      <c r="V268" s="76"/>
      <c r="W268" s="70"/>
      <c r="X268" s="67"/>
      <c r="Y268" s="68"/>
      <c r="Z268" s="76"/>
      <c r="AA268" s="70"/>
      <c r="AB268" s="228">
        <f>ROUND((ROUND((ROUND((ROUND((_15_同援日１．５*_15・２人),0)*(1+_15・A夜間)),0)*(1+_15・盲ろう)),0)*(1+_15・区４)),0)+ROUND((ROUND((ROUND((ROUND((_15_同援日１．５＿１．０*_15・２人),0)*(1+_15・B深夜)),0)*(1+_15・盲ろう)),0)*(1+_15・区４)),0)</f>
        <v>1256</v>
      </c>
      <c r="AC268" s="69"/>
    </row>
    <row r="269" spans="1:29" ht="16.5" customHeight="1" x14ac:dyDescent="0.3">
      <c r="A269" s="2">
        <v>15</v>
      </c>
      <c r="B269" s="2" t="s">
        <v>206</v>
      </c>
      <c r="C269" s="60" t="s">
        <v>10456</v>
      </c>
      <c r="D269" s="1"/>
      <c r="E269" s="68"/>
      <c r="F269" s="70"/>
      <c r="G269" s="1"/>
      <c r="H269" s="68"/>
      <c r="I269" s="70"/>
      <c r="J269" s="74" t="s">
        <v>16971</v>
      </c>
      <c r="K269" s="62"/>
      <c r="L269" s="63"/>
      <c r="M269" s="85"/>
      <c r="N269" s="64"/>
      <c r="O269" s="65"/>
      <c r="P269" s="99"/>
      <c r="Q269" s="70"/>
      <c r="R269" s="99"/>
      <c r="S269" s="70"/>
      <c r="T269" s="67"/>
      <c r="U269" s="68" t="s">
        <v>1</v>
      </c>
      <c r="V269" s="76">
        <v>0.25</v>
      </c>
      <c r="W269" s="70" t="s">
        <v>422</v>
      </c>
      <c r="X269" s="67"/>
      <c r="Y269" s="68"/>
      <c r="Z269" s="76"/>
      <c r="AA269" s="70"/>
      <c r="AB269" s="228">
        <f>ROUND((ROUND((ROUND((ROUND((_15_同援日１．５*_15・基礎２),0)*(1+_15・A夜間)),0)*(1+_15・盲ろう)),0)*(1+_15・区４)),0)+ROUND((ROUND((ROUND((ROUND((_15_同援日１．５＿１．０*_15・基礎２),0)*(1+_15・B深夜)),0)*(1+_15・盲ろう)),0)*(1+_15・区４)),0)</f>
        <v>1130</v>
      </c>
      <c r="AC269" s="69"/>
    </row>
    <row r="270" spans="1:29" ht="16.5" customHeight="1" x14ac:dyDescent="0.3">
      <c r="A270" s="2">
        <v>15</v>
      </c>
      <c r="B270" s="2" t="s">
        <v>207</v>
      </c>
      <c r="C270" s="60" t="s">
        <v>10455</v>
      </c>
      <c r="D270" s="1"/>
      <c r="E270" s="68"/>
      <c r="F270" s="70"/>
      <c r="G270" s="81"/>
      <c r="H270" s="57"/>
      <c r="I270" s="77"/>
      <c r="J270" s="106" t="s">
        <v>16970</v>
      </c>
      <c r="K270" s="57" t="s">
        <v>1</v>
      </c>
      <c r="L270" s="58">
        <v>0.9</v>
      </c>
      <c r="M270" s="83" t="s">
        <v>5895</v>
      </c>
      <c r="N270" s="64" t="s">
        <v>1</v>
      </c>
      <c r="O270" s="65">
        <v>1</v>
      </c>
      <c r="P270" s="99"/>
      <c r="Q270" s="70"/>
      <c r="R270" s="99"/>
      <c r="S270" s="70"/>
      <c r="T270" s="66"/>
      <c r="U270" s="57"/>
      <c r="V270" s="58"/>
      <c r="W270" s="77"/>
      <c r="X270" s="66"/>
      <c r="Y270" s="57"/>
      <c r="Z270" s="58"/>
      <c r="AA270" s="77"/>
      <c r="AB270" s="228">
        <f>ROUND((ROUND((ROUND((ROUND((ROUND((_15_同援日１．５*_15・基礎２),0)*_15・２人),0)*(1+_15・A夜間)),0)*(1+_15・盲ろう)),0)*(1+_15・区４)),0)+ROUND((ROUND((ROUND((ROUND((ROUND((_15_同援日１．５＿１．０*_15・基礎２),0)*_15・２人),0)*(1+_15・B深夜)),0)*(1+_15・盲ろう)),0)*(1+_15・区４)),0)</f>
        <v>1130</v>
      </c>
      <c r="AC270" s="69"/>
    </row>
    <row r="271" spans="1:29" ht="16.5" customHeight="1" x14ac:dyDescent="0.3">
      <c r="A271" s="2">
        <v>15</v>
      </c>
      <c r="B271" s="2" t="s">
        <v>208</v>
      </c>
      <c r="C271" s="60" t="s">
        <v>10454</v>
      </c>
      <c r="D271" s="1"/>
      <c r="E271" s="68"/>
      <c r="F271" s="70"/>
      <c r="G271" s="233" t="s">
        <v>18090</v>
      </c>
      <c r="H271" s="62"/>
      <c r="I271" s="75"/>
      <c r="J271" s="61"/>
      <c r="K271" s="62"/>
      <c r="L271" s="63"/>
      <c r="M271" s="85"/>
      <c r="N271" s="64"/>
      <c r="O271" s="65"/>
      <c r="P271" s="99"/>
      <c r="Q271" s="70"/>
      <c r="R271" s="99"/>
      <c r="S271" s="70"/>
      <c r="T271" s="61"/>
      <c r="U271" s="62"/>
      <c r="V271" s="63"/>
      <c r="W271" s="75"/>
      <c r="X271" s="61"/>
      <c r="Y271" s="62"/>
      <c r="Z271" s="63"/>
      <c r="AA271" s="75"/>
      <c r="AB271" s="228">
        <f>ROUND((_15_同援日１．５*(1+_15・A夜間)),0)+ROUND((_15_同援日１．５＿１．５*(1+_15・B深夜)),0)</f>
        <v>811</v>
      </c>
      <c r="AC271" s="69"/>
    </row>
    <row r="272" spans="1:29" ht="16.5" customHeight="1" x14ac:dyDescent="0.3">
      <c r="A272" s="2">
        <v>15</v>
      </c>
      <c r="B272" s="2" t="s">
        <v>209</v>
      </c>
      <c r="C272" s="60" t="s">
        <v>10453</v>
      </c>
      <c r="D272" s="1"/>
      <c r="E272" s="68"/>
      <c r="F272" s="70"/>
      <c r="G272" s="1" t="s">
        <v>16984</v>
      </c>
      <c r="H272" s="68"/>
      <c r="I272" s="70"/>
      <c r="J272" s="66"/>
      <c r="K272" s="57"/>
      <c r="L272" s="58"/>
      <c r="M272" s="83" t="s">
        <v>5895</v>
      </c>
      <c r="N272" s="64" t="s">
        <v>1</v>
      </c>
      <c r="O272" s="65">
        <v>1</v>
      </c>
      <c r="P272" s="99"/>
      <c r="Q272" s="70"/>
      <c r="R272" s="99"/>
      <c r="S272" s="70"/>
      <c r="T272" s="67"/>
      <c r="U272" s="68"/>
      <c r="V272" s="76"/>
      <c r="W272" s="70"/>
      <c r="X272" s="67"/>
      <c r="Y272" s="68"/>
      <c r="Z272" s="76"/>
      <c r="AA272" s="70"/>
      <c r="AB272" s="228">
        <f>ROUND((ROUND((_15_同援日１．５*_15・２人),0)*(1+_15・A夜間)),0)+ROUND((ROUND((_15_同援日１．５＿１．５*_15・２人),0)*(1+_15・B深夜)),0)</f>
        <v>811</v>
      </c>
      <c r="AC272" s="69"/>
    </row>
    <row r="273" spans="1:29" ht="16.5" customHeight="1" x14ac:dyDescent="0.3">
      <c r="A273" s="2">
        <v>15</v>
      </c>
      <c r="B273" s="2" t="s">
        <v>210</v>
      </c>
      <c r="C273" s="60" t="s">
        <v>10452</v>
      </c>
      <c r="D273" s="1"/>
      <c r="E273" s="68"/>
      <c r="F273" s="70"/>
      <c r="G273" s="1" t="s">
        <v>8767</v>
      </c>
      <c r="H273" s="68"/>
      <c r="I273" s="70"/>
      <c r="J273" s="74" t="s">
        <v>16971</v>
      </c>
      <c r="K273" s="62"/>
      <c r="L273" s="63"/>
      <c r="M273" s="85"/>
      <c r="N273" s="64"/>
      <c r="O273" s="65"/>
      <c r="P273" s="99"/>
      <c r="Q273" s="70"/>
      <c r="R273" s="99"/>
      <c r="S273" s="70"/>
      <c r="T273" s="67"/>
      <c r="U273" s="68"/>
      <c r="V273" s="76"/>
      <c r="W273" s="70"/>
      <c r="X273" s="67"/>
      <c r="Y273" s="68"/>
      <c r="Z273" s="76"/>
      <c r="AA273" s="70"/>
      <c r="AB273" s="228">
        <f>ROUND((ROUND((_15_同援日１．５*_15・基礎２),0)*(1+_15・A夜間)),0)+ROUND((ROUND((_15_同援日１．５＿１．５*_15・基礎２),0)*(1+_15・B深夜)),0)</f>
        <v>731</v>
      </c>
      <c r="AC273" s="69"/>
    </row>
    <row r="274" spans="1:29" ht="16.5" customHeight="1" x14ac:dyDescent="0.3">
      <c r="A274" s="2">
        <v>15</v>
      </c>
      <c r="B274" s="2" t="s">
        <v>211</v>
      </c>
      <c r="C274" s="60" t="s">
        <v>10451</v>
      </c>
      <c r="D274" s="1"/>
      <c r="E274" s="68"/>
      <c r="F274" s="70"/>
      <c r="G274" s="1"/>
      <c r="H274" s="119">
        <v>190</v>
      </c>
      <c r="I274" s="70" t="s">
        <v>0</v>
      </c>
      <c r="J274" s="106" t="s">
        <v>16970</v>
      </c>
      <c r="K274" s="57" t="s">
        <v>1</v>
      </c>
      <c r="L274" s="58">
        <v>0.9</v>
      </c>
      <c r="M274" s="83" t="s">
        <v>5895</v>
      </c>
      <c r="N274" s="64" t="s">
        <v>1</v>
      </c>
      <c r="O274" s="65">
        <v>1</v>
      </c>
      <c r="P274" s="99"/>
      <c r="Q274" s="70"/>
      <c r="R274" s="99"/>
      <c r="S274" s="70"/>
      <c r="T274" s="66"/>
      <c r="U274" s="57"/>
      <c r="V274" s="58"/>
      <c r="W274" s="77"/>
      <c r="X274" s="67"/>
      <c r="Y274" s="68"/>
      <c r="Z274" s="76"/>
      <c r="AA274" s="70"/>
      <c r="AB274" s="228">
        <f>ROUND((ROUND((ROUND((_15_同援日１．５*_15・基礎２),0)*_15・２人),0)*(1+_15・A夜間)),0)+ROUND((ROUND((ROUND((_15_同援日１．５＿１．５*_15・基礎２),0)*_15・２人),0)*(1+_15・B深夜)),0)</f>
        <v>731</v>
      </c>
      <c r="AC274" s="69"/>
    </row>
    <row r="275" spans="1:29" ht="16.5" customHeight="1" x14ac:dyDescent="0.3">
      <c r="A275" s="2">
        <v>15</v>
      </c>
      <c r="B275" s="2" t="s">
        <v>212</v>
      </c>
      <c r="C275" s="60" t="s">
        <v>10450</v>
      </c>
      <c r="D275" s="1"/>
      <c r="E275" s="68"/>
      <c r="F275" s="70"/>
      <c r="G275" s="1"/>
      <c r="H275" s="68"/>
      <c r="I275" s="70"/>
      <c r="J275" s="61"/>
      <c r="K275" s="62"/>
      <c r="L275" s="63"/>
      <c r="M275" s="85"/>
      <c r="N275" s="64"/>
      <c r="O275" s="65"/>
      <c r="P275" s="99"/>
      <c r="Q275" s="70"/>
      <c r="R275" s="99"/>
      <c r="S275" s="70"/>
      <c r="T275" s="74" t="s">
        <v>18025</v>
      </c>
      <c r="U275" s="62"/>
      <c r="V275" s="63"/>
      <c r="W275" s="75"/>
      <c r="X275" s="67"/>
      <c r="Y275" s="68"/>
      <c r="Z275" s="76"/>
      <c r="AA275" s="70"/>
      <c r="AB275" s="228">
        <f>ROUND((ROUND((_15_同援日１．５*(1+_15・A夜間)),0)*(1+_15・盲ろう)),0)+ROUND((ROUND((_15_同援日１．５＿１．５*(1+_15・B深夜)),0)*(1+_15・盲ろう)),0)</f>
        <v>1014</v>
      </c>
      <c r="AC275" s="69"/>
    </row>
    <row r="276" spans="1:29" ht="16.5" customHeight="1" x14ac:dyDescent="0.3">
      <c r="A276" s="2">
        <v>15</v>
      </c>
      <c r="B276" s="2" t="s">
        <v>213</v>
      </c>
      <c r="C276" s="60" t="s">
        <v>10449</v>
      </c>
      <c r="D276" s="1"/>
      <c r="E276" s="68"/>
      <c r="F276" s="70"/>
      <c r="G276" s="1"/>
      <c r="H276" s="68"/>
      <c r="I276" s="70"/>
      <c r="J276" s="66"/>
      <c r="K276" s="57"/>
      <c r="L276" s="58"/>
      <c r="M276" s="83" t="s">
        <v>5895</v>
      </c>
      <c r="N276" s="64" t="s">
        <v>1</v>
      </c>
      <c r="O276" s="65">
        <v>1</v>
      </c>
      <c r="P276" s="99"/>
      <c r="Q276" s="70"/>
      <c r="R276" s="99"/>
      <c r="S276" s="70"/>
      <c r="T276" s="94" t="s">
        <v>8083</v>
      </c>
      <c r="U276" s="68"/>
      <c r="V276" s="76"/>
      <c r="W276" s="70"/>
      <c r="X276" s="67"/>
      <c r="Y276" s="68"/>
      <c r="Z276" s="76"/>
      <c r="AA276" s="70"/>
      <c r="AB276" s="228">
        <f>ROUND((ROUND((ROUND((_15_同援日１．５*_15・２人),0)*(1+_15・A夜間)),0)*(1+_15・盲ろう)),0)+ROUND((ROUND((ROUND((_15_同援日１．５＿１．５*_15・２人),0)*(1+_15・B深夜)),0)*(1+_15・盲ろう)),0)</f>
        <v>1014</v>
      </c>
      <c r="AC276" s="69"/>
    </row>
    <row r="277" spans="1:29" ht="16.5" customHeight="1" x14ac:dyDescent="0.3">
      <c r="A277" s="2">
        <v>15</v>
      </c>
      <c r="B277" s="2" t="s">
        <v>214</v>
      </c>
      <c r="C277" s="60" t="s">
        <v>10448</v>
      </c>
      <c r="D277" s="1"/>
      <c r="E277" s="68"/>
      <c r="F277" s="70"/>
      <c r="G277" s="1"/>
      <c r="H277" s="68"/>
      <c r="I277" s="70"/>
      <c r="J277" s="74" t="s">
        <v>17054</v>
      </c>
      <c r="K277" s="62"/>
      <c r="L277" s="63"/>
      <c r="M277" s="85"/>
      <c r="N277" s="64"/>
      <c r="O277" s="65"/>
      <c r="P277" s="99"/>
      <c r="Q277" s="70"/>
      <c r="R277" s="99"/>
      <c r="S277" s="70"/>
      <c r="T277" s="67"/>
      <c r="U277" s="68" t="s">
        <v>1</v>
      </c>
      <c r="V277" s="76">
        <v>0.25</v>
      </c>
      <c r="W277" s="70" t="s">
        <v>422</v>
      </c>
      <c r="X277" s="67"/>
      <c r="Y277" s="68"/>
      <c r="Z277" s="76"/>
      <c r="AA277" s="70"/>
      <c r="AB277" s="228">
        <f>ROUND((ROUND((ROUND((_15_同援日１．５*_15・基礎２),0)*(1+_15・A夜間)),0)*(1+_15・盲ろう)),0)+ROUND((ROUND((ROUND((_15_同援日１．５＿１．５*_15・基礎２),0)*(1+_15・B深夜)),0)*(1+_15・盲ろう)),0)</f>
        <v>914</v>
      </c>
      <c r="AC277" s="69"/>
    </row>
    <row r="278" spans="1:29" ht="16.5" customHeight="1" x14ac:dyDescent="0.3">
      <c r="A278" s="2">
        <v>15</v>
      </c>
      <c r="B278" s="2" t="s">
        <v>215</v>
      </c>
      <c r="C278" s="60" t="s">
        <v>10447</v>
      </c>
      <c r="D278" s="1"/>
      <c r="E278" s="68"/>
      <c r="F278" s="70"/>
      <c r="G278" s="1"/>
      <c r="H278" s="68"/>
      <c r="I278" s="70"/>
      <c r="J278" s="106" t="s">
        <v>17053</v>
      </c>
      <c r="K278" s="57" t="s">
        <v>1</v>
      </c>
      <c r="L278" s="58">
        <v>0.9</v>
      </c>
      <c r="M278" s="83" t="s">
        <v>5895</v>
      </c>
      <c r="N278" s="64" t="s">
        <v>1</v>
      </c>
      <c r="O278" s="65">
        <v>1</v>
      </c>
      <c r="P278" s="99"/>
      <c r="Q278" s="70"/>
      <c r="R278" s="99"/>
      <c r="S278" s="70"/>
      <c r="T278" s="66"/>
      <c r="U278" s="57"/>
      <c r="V278" s="58"/>
      <c r="W278" s="77"/>
      <c r="X278" s="66"/>
      <c r="Y278" s="57"/>
      <c r="Z278" s="58"/>
      <c r="AA278" s="77"/>
      <c r="AB278" s="228">
        <f>ROUND((ROUND((ROUND((ROUND((_15_同援日１．５*_15・基礎２),0)*_15・２人),0)*(1+_15・A夜間)),0)*(1+_15・盲ろう)),0)+ROUND((ROUND((ROUND((ROUND((_15_同援日１．５＿１．５*_15・基礎２),0)*_15・２人),0)*(1+_15・B深夜)),0)*(1+_15・盲ろう)),0)</f>
        <v>914</v>
      </c>
      <c r="AC278" s="69"/>
    </row>
    <row r="279" spans="1:29" ht="16.5" customHeight="1" x14ac:dyDescent="0.3">
      <c r="A279" s="2">
        <v>15</v>
      </c>
      <c r="B279" s="2" t="s">
        <v>216</v>
      </c>
      <c r="C279" s="60" t="s">
        <v>10446</v>
      </c>
      <c r="D279" s="1"/>
      <c r="E279" s="68"/>
      <c r="F279" s="70"/>
      <c r="G279" s="1"/>
      <c r="H279" s="68"/>
      <c r="I279" s="70"/>
      <c r="J279" s="61"/>
      <c r="K279" s="62"/>
      <c r="L279" s="63"/>
      <c r="M279" s="85"/>
      <c r="N279" s="64"/>
      <c r="O279" s="65"/>
      <c r="P279" s="99"/>
      <c r="Q279" s="70"/>
      <c r="R279" s="99"/>
      <c r="S279" s="70"/>
      <c r="T279" s="61"/>
      <c r="U279" s="62"/>
      <c r="V279" s="63"/>
      <c r="W279" s="75"/>
      <c r="X279" s="61"/>
      <c r="Y279" s="62"/>
      <c r="Z279" s="63"/>
      <c r="AA279" s="75"/>
      <c r="AB279" s="228">
        <f>ROUND((ROUND((_15_同援日１．５*(1+_15・A夜間)),0)*(1+_15・区３)),0)+ROUND((ROUND((_15_同援日１．５＿１．５*(1+_15・B深夜)),0)*(1+_15・区３)),0)</f>
        <v>973</v>
      </c>
      <c r="AC279" s="69"/>
    </row>
    <row r="280" spans="1:29" ht="16.5" customHeight="1" x14ac:dyDescent="0.3">
      <c r="A280" s="2">
        <v>15</v>
      </c>
      <c r="B280" s="2" t="s">
        <v>217</v>
      </c>
      <c r="C280" s="60" t="s">
        <v>10445</v>
      </c>
      <c r="D280" s="1"/>
      <c r="E280" s="68"/>
      <c r="F280" s="70"/>
      <c r="G280" s="1"/>
      <c r="H280" s="68"/>
      <c r="I280" s="70"/>
      <c r="J280" s="66"/>
      <c r="K280" s="57"/>
      <c r="L280" s="58"/>
      <c r="M280" s="83" t="s">
        <v>5895</v>
      </c>
      <c r="N280" s="64" t="s">
        <v>1</v>
      </c>
      <c r="O280" s="65">
        <v>1</v>
      </c>
      <c r="P280" s="99"/>
      <c r="Q280" s="70"/>
      <c r="R280" s="99"/>
      <c r="S280" s="70"/>
      <c r="T280" s="67"/>
      <c r="U280" s="68"/>
      <c r="V280" s="76"/>
      <c r="W280" s="70"/>
      <c r="X280" s="67"/>
      <c r="Y280" s="68"/>
      <c r="Z280" s="76"/>
      <c r="AA280" s="70"/>
      <c r="AB280" s="228">
        <f>ROUND((ROUND((ROUND((_15_同援日１．５*_15・２人),0)*(1+_15・A夜間)),0)*(1+_15・区３)),0)+ROUND((ROUND((ROUND((_15_同援日１．５＿１．５*_15・２人),0)*(1+_15・B深夜)),0)*(1+_15・区３)),0)</f>
        <v>973</v>
      </c>
      <c r="AC280" s="69"/>
    </row>
    <row r="281" spans="1:29" ht="16.5" customHeight="1" x14ac:dyDescent="0.3">
      <c r="A281" s="2">
        <v>15</v>
      </c>
      <c r="B281" s="2" t="s">
        <v>218</v>
      </c>
      <c r="C281" s="60" t="s">
        <v>10444</v>
      </c>
      <c r="D281" s="1"/>
      <c r="E281" s="68"/>
      <c r="F281" s="70"/>
      <c r="G281" s="1"/>
      <c r="H281" s="68"/>
      <c r="I281" s="70"/>
      <c r="J281" s="74" t="s">
        <v>17054</v>
      </c>
      <c r="K281" s="62"/>
      <c r="L281" s="63"/>
      <c r="M281" s="85"/>
      <c r="N281" s="64"/>
      <c r="O281" s="65"/>
      <c r="P281" s="99"/>
      <c r="Q281" s="70"/>
      <c r="R281" s="99"/>
      <c r="S281" s="70"/>
      <c r="T281" s="67"/>
      <c r="U281" s="68"/>
      <c r="V281" s="76"/>
      <c r="W281" s="70"/>
      <c r="X281" s="1" t="s">
        <v>18089</v>
      </c>
      <c r="Y281" s="68"/>
      <c r="Z281" s="76"/>
      <c r="AA281" s="70"/>
      <c r="AB281" s="228">
        <f>ROUND((ROUND((ROUND((_15_同援日１．５*_15・基礎２),0)*(1+_15・A夜間)),0)*(1+_15・区３)),0)+ROUND((ROUND((ROUND((_15_同援日１．５＿１．５*_15・基礎２),0)*(1+_15・B深夜)),0)*(1+_15・区３)),0)</f>
        <v>877</v>
      </c>
      <c r="AC281" s="69"/>
    </row>
    <row r="282" spans="1:29" ht="16.5" customHeight="1" x14ac:dyDescent="0.3">
      <c r="A282" s="2">
        <v>15</v>
      </c>
      <c r="B282" s="2" t="s">
        <v>219</v>
      </c>
      <c r="C282" s="60" t="s">
        <v>10443</v>
      </c>
      <c r="D282" s="1"/>
      <c r="E282" s="68"/>
      <c r="F282" s="70"/>
      <c r="G282" s="1"/>
      <c r="H282" s="68"/>
      <c r="I282" s="70"/>
      <c r="J282" s="106" t="s">
        <v>16970</v>
      </c>
      <c r="K282" s="57" t="s">
        <v>1</v>
      </c>
      <c r="L282" s="58">
        <v>0.9</v>
      </c>
      <c r="M282" s="83" t="s">
        <v>5895</v>
      </c>
      <c r="N282" s="64" t="s">
        <v>1</v>
      </c>
      <c r="O282" s="65">
        <v>1</v>
      </c>
      <c r="P282" s="99"/>
      <c r="Q282" s="70"/>
      <c r="R282" s="99"/>
      <c r="S282" s="70"/>
      <c r="T282" s="66"/>
      <c r="U282" s="57"/>
      <c r="V282" s="58"/>
      <c r="W282" s="77"/>
      <c r="X282" s="1" t="s">
        <v>18026</v>
      </c>
      <c r="Y282" s="68"/>
      <c r="Z282" s="76"/>
      <c r="AA282" s="70"/>
      <c r="AB282" s="228">
        <f>ROUND((ROUND((ROUND((ROUND((_15_同援日１．５*_15・基礎２),0)*_15・２人),0)*(1+_15・A夜間)),0)*(1+_15・区３)),0)+ROUND((ROUND((ROUND((ROUND((_15_同援日１．５＿１．５*_15・基礎２),0)*_15・２人),0)*(1+_15・B深夜)),0)*(1+_15・区３)),0)</f>
        <v>877</v>
      </c>
      <c r="AC282" s="69"/>
    </row>
    <row r="283" spans="1:29" ht="16.5" customHeight="1" x14ac:dyDescent="0.3">
      <c r="A283" s="2">
        <v>15</v>
      </c>
      <c r="B283" s="2" t="s">
        <v>220</v>
      </c>
      <c r="C283" s="60" t="s">
        <v>10442</v>
      </c>
      <c r="D283" s="1"/>
      <c r="E283" s="68"/>
      <c r="F283" s="70"/>
      <c r="G283" s="1"/>
      <c r="H283" s="68"/>
      <c r="I283" s="70"/>
      <c r="J283" s="61"/>
      <c r="K283" s="62"/>
      <c r="L283" s="63"/>
      <c r="M283" s="85"/>
      <c r="N283" s="64"/>
      <c r="O283" s="65"/>
      <c r="P283" s="99"/>
      <c r="Q283" s="70"/>
      <c r="R283" s="99"/>
      <c r="S283" s="70"/>
      <c r="T283" s="74" t="s">
        <v>18087</v>
      </c>
      <c r="U283" s="62"/>
      <c r="V283" s="63"/>
      <c r="W283" s="75"/>
      <c r="X283" s="67"/>
      <c r="Y283" s="68" t="s">
        <v>1</v>
      </c>
      <c r="Z283" s="76">
        <v>0.2</v>
      </c>
      <c r="AA283" s="70" t="s">
        <v>422</v>
      </c>
      <c r="AB283" s="228">
        <f>ROUND((ROUND((ROUND((_15_同援日１．５*(1+_15・A夜間)),0)*(1+_15・盲ろう)),0)*(1+_15・区３)),0)+ROUND((ROUND((ROUND((_15_同援日１．５＿１．５*(1+_15・B深夜)),0)*(1+_15・盲ろう)),0)*(1+_15・区３)),0)</f>
        <v>1217</v>
      </c>
      <c r="AC283" s="69"/>
    </row>
    <row r="284" spans="1:29" ht="16.5" customHeight="1" x14ac:dyDescent="0.3">
      <c r="A284" s="2">
        <v>15</v>
      </c>
      <c r="B284" s="2" t="s">
        <v>221</v>
      </c>
      <c r="C284" s="60" t="s">
        <v>10441</v>
      </c>
      <c r="D284" s="1"/>
      <c r="E284" s="68"/>
      <c r="F284" s="70"/>
      <c r="G284" s="1"/>
      <c r="H284" s="68"/>
      <c r="I284" s="70"/>
      <c r="J284" s="66"/>
      <c r="K284" s="57"/>
      <c r="L284" s="58"/>
      <c r="M284" s="83" t="s">
        <v>5895</v>
      </c>
      <c r="N284" s="64" t="s">
        <v>1</v>
      </c>
      <c r="O284" s="65">
        <v>1</v>
      </c>
      <c r="P284" s="99"/>
      <c r="Q284" s="70"/>
      <c r="R284" s="99"/>
      <c r="S284" s="70"/>
      <c r="T284" s="94" t="s">
        <v>8083</v>
      </c>
      <c r="U284" s="68"/>
      <c r="V284" s="76"/>
      <c r="W284" s="70"/>
      <c r="X284" s="67"/>
      <c r="Y284" s="68"/>
      <c r="Z284" s="76"/>
      <c r="AA284" s="70"/>
      <c r="AB284" s="228">
        <f>ROUND((ROUND((ROUND((ROUND((_15_同援日１．５*_15・２人),0)*(1+_15・A夜間)),0)*(1+_15・盲ろう)),0)*(1+_15・区３)),0)+ROUND((ROUND((ROUND((ROUND((_15_同援日１．５＿１．５*_15・２人),0)*(1+_15・B深夜)),0)*(1+_15・盲ろう)),0)*(1+_15・区３)),0)</f>
        <v>1217</v>
      </c>
      <c r="AC284" s="69"/>
    </row>
    <row r="285" spans="1:29" ht="16.5" customHeight="1" x14ac:dyDescent="0.3">
      <c r="A285" s="2">
        <v>15</v>
      </c>
      <c r="B285" s="2" t="s">
        <v>222</v>
      </c>
      <c r="C285" s="60" t="s">
        <v>10440</v>
      </c>
      <c r="D285" s="1"/>
      <c r="E285" s="68"/>
      <c r="F285" s="70"/>
      <c r="G285" s="1"/>
      <c r="H285" s="68"/>
      <c r="I285" s="70"/>
      <c r="J285" s="74" t="s">
        <v>16971</v>
      </c>
      <c r="K285" s="62"/>
      <c r="L285" s="63"/>
      <c r="M285" s="85"/>
      <c r="N285" s="64"/>
      <c r="O285" s="65"/>
      <c r="P285" s="99"/>
      <c r="Q285" s="70"/>
      <c r="R285" s="99"/>
      <c r="S285" s="70"/>
      <c r="T285" s="67"/>
      <c r="U285" s="68" t="s">
        <v>1</v>
      </c>
      <c r="V285" s="76">
        <v>0.25</v>
      </c>
      <c r="W285" s="70" t="s">
        <v>422</v>
      </c>
      <c r="X285" s="67"/>
      <c r="Y285" s="68"/>
      <c r="Z285" s="76"/>
      <c r="AA285" s="70"/>
      <c r="AB285" s="228">
        <f>ROUND((ROUND((ROUND((ROUND((_15_同援日１．５*_15・基礎２),0)*(1+_15・A夜間)),0)*(1+_15・盲ろう)),0)*(1+_15・区３)),0)+ROUND((ROUND((ROUND((ROUND((_15_同援日１．５＿１．５*_15・基礎２),0)*(1+_15・B深夜)),0)*(1+_15・盲ろう)),0)*(1+_15・区３)),0)</f>
        <v>1097</v>
      </c>
      <c r="AC285" s="69"/>
    </row>
    <row r="286" spans="1:29" ht="16.5" customHeight="1" x14ac:dyDescent="0.3">
      <c r="A286" s="2">
        <v>15</v>
      </c>
      <c r="B286" s="2" t="s">
        <v>223</v>
      </c>
      <c r="C286" s="60" t="s">
        <v>10439</v>
      </c>
      <c r="D286" s="1"/>
      <c r="E286" s="68"/>
      <c r="F286" s="70"/>
      <c r="G286" s="1"/>
      <c r="H286" s="68"/>
      <c r="I286" s="70"/>
      <c r="J286" s="106" t="s">
        <v>17053</v>
      </c>
      <c r="K286" s="57" t="s">
        <v>1</v>
      </c>
      <c r="L286" s="58">
        <v>0.9</v>
      </c>
      <c r="M286" s="83" t="s">
        <v>5895</v>
      </c>
      <c r="N286" s="64" t="s">
        <v>1</v>
      </c>
      <c r="O286" s="65">
        <v>1</v>
      </c>
      <c r="P286" s="99"/>
      <c r="Q286" s="70"/>
      <c r="R286" s="99"/>
      <c r="S286" s="70"/>
      <c r="T286" s="66"/>
      <c r="U286" s="57"/>
      <c r="V286" s="58"/>
      <c r="W286" s="77"/>
      <c r="X286" s="66"/>
      <c r="Y286" s="57"/>
      <c r="Z286" s="58"/>
      <c r="AA286" s="77"/>
      <c r="AB286" s="228">
        <f>ROUND((ROUND((ROUND((ROUND((ROUND((_15_同援日１．５*_15・基礎２),0)*_15・２人),0)*(1+_15・A夜間)),0)*(1+_15・盲ろう)),0)*(1+_15・区３)),0)+ROUND((ROUND((ROUND((ROUND((ROUND((_15_同援日１．５＿１．５*_15・基礎２),0)*_15・２人),0)*(1+_15・B深夜)),0)*(1+_15・盲ろう)),0)*(1+_15・区３)),0)</f>
        <v>1097</v>
      </c>
      <c r="AC286" s="69"/>
    </row>
    <row r="287" spans="1:29" ht="16.5" customHeight="1" x14ac:dyDescent="0.3">
      <c r="A287" s="2">
        <v>15</v>
      </c>
      <c r="B287" s="2" t="s">
        <v>224</v>
      </c>
      <c r="C287" s="60" t="s">
        <v>10438</v>
      </c>
      <c r="D287" s="1"/>
      <c r="E287" s="68"/>
      <c r="F287" s="70"/>
      <c r="G287" s="1"/>
      <c r="H287" s="68"/>
      <c r="I287" s="70"/>
      <c r="J287" s="61"/>
      <c r="K287" s="62"/>
      <c r="L287" s="63"/>
      <c r="M287" s="85"/>
      <c r="N287" s="64"/>
      <c r="O287" s="65"/>
      <c r="P287" s="99"/>
      <c r="Q287" s="70"/>
      <c r="R287" s="99"/>
      <c r="S287" s="70"/>
      <c r="T287" s="61"/>
      <c r="U287" s="62"/>
      <c r="V287" s="63"/>
      <c r="W287" s="75"/>
      <c r="X287" s="61"/>
      <c r="Y287" s="62"/>
      <c r="Z287" s="63"/>
      <c r="AA287" s="75"/>
      <c r="AB287" s="228">
        <f>ROUND((ROUND((_15_同援日１．５*(1+_15・A夜間)),0)*(1+_15・区４)),0)+ROUND((ROUND((_15_同援日１．５＿１．５*(1+_15・B深夜)),0)*(1+_15・区４)),0)</f>
        <v>1135</v>
      </c>
      <c r="AC287" s="69"/>
    </row>
    <row r="288" spans="1:29" ht="16.5" customHeight="1" x14ac:dyDescent="0.3">
      <c r="A288" s="2">
        <v>15</v>
      </c>
      <c r="B288" s="2" t="s">
        <v>225</v>
      </c>
      <c r="C288" s="60" t="s">
        <v>10437</v>
      </c>
      <c r="D288" s="1"/>
      <c r="E288" s="68"/>
      <c r="F288" s="70"/>
      <c r="G288" s="1"/>
      <c r="H288" s="68"/>
      <c r="I288" s="70"/>
      <c r="J288" s="66"/>
      <c r="K288" s="57"/>
      <c r="L288" s="58"/>
      <c r="M288" s="83" t="s">
        <v>5895</v>
      </c>
      <c r="N288" s="64" t="s">
        <v>1</v>
      </c>
      <c r="O288" s="65">
        <v>1</v>
      </c>
      <c r="P288" s="99"/>
      <c r="Q288" s="70"/>
      <c r="R288" s="99"/>
      <c r="S288" s="70"/>
      <c r="T288" s="67"/>
      <c r="U288" s="68"/>
      <c r="V288" s="76"/>
      <c r="W288" s="70"/>
      <c r="X288" s="67"/>
      <c r="Y288" s="68"/>
      <c r="Z288" s="76"/>
      <c r="AA288" s="70"/>
      <c r="AB288" s="228">
        <f>ROUND((ROUND((ROUND((_15_同援日１．５*_15・２人),0)*(1+_15・A夜間)),0)*(1+_15・区４)),0)+ROUND((ROUND((ROUND((_15_同援日１．５＿１．５*_15・２人),0)*(1+_15・B深夜)),0)*(1+_15・区４)),0)</f>
        <v>1135</v>
      </c>
      <c r="AC288" s="69"/>
    </row>
    <row r="289" spans="1:29" ht="16.5" customHeight="1" x14ac:dyDescent="0.3">
      <c r="A289" s="2">
        <v>15</v>
      </c>
      <c r="B289" s="2" t="s">
        <v>226</v>
      </c>
      <c r="C289" s="60" t="s">
        <v>10436</v>
      </c>
      <c r="D289" s="1"/>
      <c r="E289" s="68"/>
      <c r="F289" s="70"/>
      <c r="G289" s="1"/>
      <c r="H289" s="68"/>
      <c r="I289" s="70"/>
      <c r="J289" s="74" t="s">
        <v>16971</v>
      </c>
      <c r="K289" s="62"/>
      <c r="L289" s="63"/>
      <c r="M289" s="85"/>
      <c r="N289" s="64"/>
      <c r="O289" s="65"/>
      <c r="P289" s="99"/>
      <c r="Q289" s="70"/>
      <c r="R289" s="99"/>
      <c r="S289" s="70"/>
      <c r="T289" s="67"/>
      <c r="U289" s="68"/>
      <c r="V289" s="76"/>
      <c r="W289" s="70"/>
      <c r="X289" s="1" t="s">
        <v>18027</v>
      </c>
      <c r="Y289" s="68"/>
      <c r="Z289" s="76"/>
      <c r="AA289" s="70"/>
      <c r="AB289" s="228">
        <f>ROUND((ROUND((ROUND((_15_同援日１．５*_15・基礎２),0)*(1+_15・A夜間)),0)*(1+_15・区４)),0)+ROUND((ROUND((ROUND((_15_同援日１．５＿１．５*_15・基礎２),0)*(1+_15・B深夜)),0)*(1+_15・区４)),0)</f>
        <v>1024</v>
      </c>
      <c r="AC289" s="69"/>
    </row>
    <row r="290" spans="1:29" ht="16.5" customHeight="1" x14ac:dyDescent="0.3">
      <c r="A290" s="2">
        <v>15</v>
      </c>
      <c r="B290" s="2" t="s">
        <v>227</v>
      </c>
      <c r="C290" s="60" t="s">
        <v>10435</v>
      </c>
      <c r="D290" s="1"/>
      <c r="E290" s="68"/>
      <c r="F290" s="70"/>
      <c r="G290" s="1"/>
      <c r="H290" s="68"/>
      <c r="I290" s="70"/>
      <c r="J290" s="106" t="s">
        <v>16970</v>
      </c>
      <c r="K290" s="57" t="s">
        <v>1</v>
      </c>
      <c r="L290" s="58">
        <v>0.9</v>
      </c>
      <c r="M290" s="83" t="s">
        <v>5895</v>
      </c>
      <c r="N290" s="64" t="s">
        <v>1</v>
      </c>
      <c r="O290" s="65">
        <v>1</v>
      </c>
      <c r="P290" s="99"/>
      <c r="Q290" s="70"/>
      <c r="R290" s="99"/>
      <c r="S290" s="70"/>
      <c r="T290" s="66"/>
      <c r="U290" s="57"/>
      <c r="V290" s="58"/>
      <c r="W290" s="77"/>
      <c r="X290" s="1" t="s">
        <v>18084</v>
      </c>
      <c r="Y290" s="68"/>
      <c r="Z290" s="76"/>
      <c r="AA290" s="70"/>
      <c r="AB290" s="228">
        <f>ROUND((ROUND((ROUND((ROUND((_15_同援日１．５*_15・基礎２),0)*_15・２人),0)*(1+_15・A夜間)),0)*(1+_15・区４)),0)+ROUND((ROUND((ROUND((ROUND((_15_同援日１．５＿１．５*_15・基礎２),0)*_15・２人),0)*(1+_15・B深夜)),0)*(1+_15・区４)),0)</f>
        <v>1024</v>
      </c>
      <c r="AC290" s="69"/>
    </row>
    <row r="291" spans="1:29" ht="16.5" customHeight="1" x14ac:dyDescent="0.3">
      <c r="A291" s="2">
        <v>15</v>
      </c>
      <c r="B291" s="2" t="s">
        <v>228</v>
      </c>
      <c r="C291" s="60" t="s">
        <v>10434</v>
      </c>
      <c r="D291" s="1"/>
      <c r="E291" s="68"/>
      <c r="F291" s="70"/>
      <c r="G291" s="1"/>
      <c r="H291" s="68"/>
      <c r="I291" s="70"/>
      <c r="J291" s="61"/>
      <c r="K291" s="62"/>
      <c r="L291" s="63"/>
      <c r="M291" s="85"/>
      <c r="N291" s="64"/>
      <c r="O291" s="65"/>
      <c r="P291" s="99"/>
      <c r="Q291" s="70"/>
      <c r="R291" s="99"/>
      <c r="S291" s="70"/>
      <c r="T291" s="74" t="s">
        <v>18025</v>
      </c>
      <c r="U291" s="62"/>
      <c r="V291" s="63"/>
      <c r="W291" s="75"/>
      <c r="X291" s="67"/>
      <c r="Y291" s="68" t="s">
        <v>1</v>
      </c>
      <c r="Z291" s="76">
        <v>0.4</v>
      </c>
      <c r="AA291" s="70" t="s">
        <v>422</v>
      </c>
      <c r="AB291" s="228">
        <f>ROUND((ROUND((ROUND((_15_同援日１．５*(1+_15・A夜間)),0)*(1+_15・盲ろう)),0)*(1+_15・区４)),0)+ROUND((ROUND((ROUND((_15_同援日１．５＿１．５*(1+_15・B深夜)),0)*(1+_15・盲ろう)),0)*(1+_15・区４)),0)</f>
        <v>1419</v>
      </c>
      <c r="AC291" s="69"/>
    </row>
    <row r="292" spans="1:29" ht="16.5" customHeight="1" x14ac:dyDescent="0.3">
      <c r="A292" s="2">
        <v>15</v>
      </c>
      <c r="B292" s="2" t="s">
        <v>229</v>
      </c>
      <c r="C292" s="60" t="s">
        <v>10433</v>
      </c>
      <c r="D292" s="1"/>
      <c r="E292" s="68"/>
      <c r="F292" s="70"/>
      <c r="G292" s="1"/>
      <c r="H292" s="68"/>
      <c r="I292" s="70"/>
      <c r="J292" s="66"/>
      <c r="K292" s="57"/>
      <c r="L292" s="58"/>
      <c r="M292" s="83" t="s">
        <v>5895</v>
      </c>
      <c r="N292" s="64" t="s">
        <v>1</v>
      </c>
      <c r="O292" s="65">
        <v>1</v>
      </c>
      <c r="P292" s="99"/>
      <c r="Q292" s="70"/>
      <c r="R292" s="99"/>
      <c r="S292" s="70"/>
      <c r="T292" s="94" t="s">
        <v>18024</v>
      </c>
      <c r="U292" s="68"/>
      <c r="V292" s="76"/>
      <c r="W292" s="70"/>
      <c r="X292" s="67"/>
      <c r="Y292" s="68"/>
      <c r="Z292" s="76"/>
      <c r="AA292" s="70"/>
      <c r="AB292" s="228">
        <f>ROUND((ROUND((ROUND((ROUND((_15_同援日１．５*_15・２人),0)*(1+_15・A夜間)),0)*(1+_15・盲ろう)),0)*(1+_15・区４)),0)+ROUND((ROUND((ROUND((ROUND((_15_同援日１．５＿１．５*_15・２人),0)*(1+_15・B深夜)),0)*(1+_15・盲ろう)),0)*(1+_15・区４)),0)</f>
        <v>1419</v>
      </c>
      <c r="AC292" s="69"/>
    </row>
    <row r="293" spans="1:29" ht="16.5" customHeight="1" x14ac:dyDescent="0.3">
      <c r="A293" s="2">
        <v>15</v>
      </c>
      <c r="B293" s="2" t="s">
        <v>230</v>
      </c>
      <c r="C293" s="60" t="s">
        <v>10432</v>
      </c>
      <c r="D293" s="1"/>
      <c r="E293" s="68"/>
      <c r="F293" s="70"/>
      <c r="G293" s="1"/>
      <c r="H293" s="68"/>
      <c r="I293" s="70"/>
      <c r="J293" s="74" t="s">
        <v>16971</v>
      </c>
      <c r="K293" s="62"/>
      <c r="L293" s="63"/>
      <c r="M293" s="85"/>
      <c r="N293" s="64"/>
      <c r="O293" s="65"/>
      <c r="P293" s="99"/>
      <c r="Q293" s="70"/>
      <c r="R293" s="99"/>
      <c r="S293" s="70"/>
      <c r="T293" s="67"/>
      <c r="U293" s="68" t="s">
        <v>1</v>
      </c>
      <c r="V293" s="76">
        <v>0.25</v>
      </c>
      <c r="W293" s="70" t="s">
        <v>422</v>
      </c>
      <c r="X293" s="67"/>
      <c r="Y293" s="68"/>
      <c r="Z293" s="76"/>
      <c r="AA293" s="70"/>
      <c r="AB293" s="228">
        <f>ROUND((ROUND((ROUND((ROUND((_15_同援日１．５*_15・基礎２),0)*(1+_15・A夜間)),0)*(1+_15・盲ろう)),0)*(1+_15・区４)),0)+ROUND((ROUND((ROUND((ROUND((_15_同援日１．５＿１．５*_15・基礎２),0)*(1+_15・B深夜)),0)*(1+_15・盲ろう)),0)*(1+_15・区４)),0)</f>
        <v>1279</v>
      </c>
      <c r="AC293" s="69"/>
    </row>
    <row r="294" spans="1:29" ht="16.5" customHeight="1" x14ac:dyDescent="0.3">
      <c r="A294" s="2">
        <v>15</v>
      </c>
      <c r="B294" s="2" t="s">
        <v>231</v>
      </c>
      <c r="C294" s="60" t="s">
        <v>10431</v>
      </c>
      <c r="D294" s="81"/>
      <c r="E294" s="57"/>
      <c r="F294" s="77"/>
      <c r="G294" s="81"/>
      <c r="H294" s="57"/>
      <c r="I294" s="77"/>
      <c r="J294" s="106" t="s">
        <v>16970</v>
      </c>
      <c r="K294" s="57" t="s">
        <v>1</v>
      </c>
      <c r="L294" s="58">
        <v>0.9</v>
      </c>
      <c r="M294" s="83" t="s">
        <v>5895</v>
      </c>
      <c r="N294" s="64" t="s">
        <v>1</v>
      </c>
      <c r="O294" s="65">
        <v>1</v>
      </c>
      <c r="P294" s="99"/>
      <c r="Q294" s="70"/>
      <c r="R294" s="99"/>
      <c r="S294" s="70"/>
      <c r="T294" s="66"/>
      <c r="U294" s="57"/>
      <c r="V294" s="58"/>
      <c r="W294" s="77"/>
      <c r="X294" s="66"/>
      <c r="Y294" s="57"/>
      <c r="Z294" s="58"/>
      <c r="AA294" s="77"/>
      <c r="AB294" s="228">
        <f>ROUND((ROUND((ROUND((ROUND((ROUND((_15_同援日１．５*_15・基礎２),0)*_15・２人),0)*(1+_15・A夜間)),0)*(1+_15・盲ろう)),0)*(1+_15・区４)),0)+ROUND((ROUND((ROUND((ROUND((ROUND((_15_同援日１．５＿１．５*_15・基礎２),0)*_15・２人),0)*(1+_15・B深夜)),0)*(1+_15・盲ろう)),0)*(1+_15・区４)),0)</f>
        <v>1279</v>
      </c>
      <c r="AC294" s="69"/>
    </row>
    <row r="295" spans="1:29" ht="16.5" customHeight="1" x14ac:dyDescent="0.3">
      <c r="A295" s="2">
        <v>15</v>
      </c>
      <c r="B295" s="2" t="s">
        <v>232</v>
      </c>
      <c r="C295" s="60" t="s">
        <v>10430</v>
      </c>
      <c r="D295" s="233" t="s">
        <v>18088</v>
      </c>
      <c r="E295" s="62"/>
      <c r="F295" s="75"/>
      <c r="G295" s="233" t="s">
        <v>17714</v>
      </c>
      <c r="H295" s="62"/>
      <c r="I295" s="75"/>
      <c r="J295" s="61"/>
      <c r="K295" s="62"/>
      <c r="L295" s="63"/>
      <c r="M295" s="85"/>
      <c r="N295" s="64"/>
      <c r="O295" s="65"/>
      <c r="P295" s="99"/>
      <c r="Q295" s="70"/>
      <c r="R295" s="99"/>
      <c r="S295" s="70"/>
      <c r="T295" s="61"/>
      <c r="U295" s="62"/>
      <c r="V295" s="63"/>
      <c r="W295" s="75"/>
      <c r="X295" s="61"/>
      <c r="Y295" s="62"/>
      <c r="Z295" s="63"/>
      <c r="AA295" s="75"/>
      <c r="AB295" s="228">
        <f>ROUND((_15_同援日２．０*(1+_15・A夜間)),0)+ROUND((_15_同援日２．０＿０．５*(1+_15・B深夜)),0)</f>
        <v>701</v>
      </c>
      <c r="AC295" s="69"/>
    </row>
    <row r="296" spans="1:29" ht="16.5" customHeight="1" x14ac:dyDescent="0.3">
      <c r="A296" s="2">
        <v>15</v>
      </c>
      <c r="B296" s="2" t="s">
        <v>233</v>
      </c>
      <c r="C296" s="60" t="s">
        <v>10429</v>
      </c>
      <c r="D296" s="1" t="s">
        <v>16981</v>
      </c>
      <c r="E296" s="68"/>
      <c r="F296" s="70"/>
      <c r="G296" s="1" t="s">
        <v>7928</v>
      </c>
      <c r="H296" s="68"/>
      <c r="I296" s="70"/>
      <c r="J296" s="66"/>
      <c r="K296" s="57"/>
      <c r="L296" s="58"/>
      <c r="M296" s="83" t="s">
        <v>5895</v>
      </c>
      <c r="N296" s="64" t="s">
        <v>1</v>
      </c>
      <c r="O296" s="65">
        <v>1</v>
      </c>
      <c r="P296" s="99"/>
      <c r="Q296" s="70"/>
      <c r="R296" s="99"/>
      <c r="S296" s="70"/>
      <c r="T296" s="67"/>
      <c r="U296" s="68"/>
      <c r="V296" s="76"/>
      <c r="W296" s="70"/>
      <c r="X296" s="67"/>
      <c r="Y296" s="68"/>
      <c r="Z296" s="76"/>
      <c r="AA296" s="70"/>
      <c r="AB296" s="228">
        <f>ROUND((ROUND((_15_同援日２．０*_15・２人),0)*(1+_15・A夜間)),0)+ROUND((ROUND((_15_同援日２．０＿０．５*_15・２人),0)*(1+_15・B深夜)),0)</f>
        <v>701</v>
      </c>
      <c r="AC296" s="69"/>
    </row>
    <row r="297" spans="1:29" ht="16.5" customHeight="1" x14ac:dyDescent="0.3">
      <c r="A297" s="2">
        <v>15</v>
      </c>
      <c r="B297" s="2" t="s">
        <v>234</v>
      </c>
      <c r="C297" s="60" t="s">
        <v>10428</v>
      </c>
      <c r="D297" s="1" t="s">
        <v>6448</v>
      </c>
      <c r="E297" s="68"/>
      <c r="F297" s="70"/>
      <c r="G297" s="1"/>
      <c r="H297" s="68"/>
      <c r="I297" s="70"/>
      <c r="J297" s="74" t="s">
        <v>17054</v>
      </c>
      <c r="K297" s="62"/>
      <c r="L297" s="63"/>
      <c r="M297" s="85"/>
      <c r="N297" s="64"/>
      <c r="O297" s="65"/>
      <c r="P297" s="99"/>
      <c r="Q297" s="70"/>
      <c r="R297" s="99"/>
      <c r="S297" s="70"/>
      <c r="T297" s="67"/>
      <c r="U297" s="68"/>
      <c r="V297" s="76"/>
      <c r="W297" s="70"/>
      <c r="X297" s="67"/>
      <c r="Y297" s="68"/>
      <c r="Z297" s="76"/>
      <c r="AA297" s="70"/>
      <c r="AB297" s="228">
        <f>ROUND((ROUND((_15_同援日２．０*_15・基礎２),0)*(1+_15・A夜間)),0)+ROUND((ROUND((_15_同援日２．０＿０．５*_15・基礎２),0)*(1+_15・B深夜)),0)</f>
        <v>632</v>
      </c>
      <c r="AC297" s="69"/>
    </row>
    <row r="298" spans="1:29" ht="16.5" customHeight="1" x14ac:dyDescent="0.3">
      <c r="A298" s="2">
        <v>15</v>
      </c>
      <c r="B298" s="2" t="s">
        <v>235</v>
      </c>
      <c r="C298" s="60" t="s">
        <v>10427</v>
      </c>
      <c r="D298" s="1"/>
      <c r="E298" s="227">
        <v>485</v>
      </c>
      <c r="F298" s="70" t="s">
        <v>0</v>
      </c>
      <c r="G298" s="1"/>
      <c r="H298" s="119">
        <v>63</v>
      </c>
      <c r="I298" s="70" t="s">
        <v>0</v>
      </c>
      <c r="J298" s="106" t="s">
        <v>5896</v>
      </c>
      <c r="K298" s="57" t="s">
        <v>1</v>
      </c>
      <c r="L298" s="58">
        <v>0.9</v>
      </c>
      <c r="M298" s="83" t="s">
        <v>5895</v>
      </c>
      <c r="N298" s="64" t="s">
        <v>1</v>
      </c>
      <c r="O298" s="65">
        <v>1</v>
      </c>
      <c r="P298" s="99"/>
      <c r="Q298" s="70"/>
      <c r="R298" s="99"/>
      <c r="S298" s="70"/>
      <c r="T298" s="66"/>
      <c r="U298" s="57"/>
      <c r="V298" s="58"/>
      <c r="W298" s="77"/>
      <c r="X298" s="67"/>
      <c r="Y298" s="68"/>
      <c r="Z298" s="76"/>
      <c r="AA298" s="70"/>
      <c r="AB298" s="228">
        <f>ROUND((ROUND((ROUND((_15_同援日２．０*_15・基礎２),0)*_15・２人),0)*(1+_15・A夜間)),0)+ROUND((ROUND((ROUND((_15_同援日２．０＿０．５*_15・基礎２),0)*_15・２人),0)*(1+_15・B深夜)),0)</f>
        <v>632</v>
      </c>
      <c r="AC298" s="69"/>
    </row>
    <row r="299" spans="1:29" ht="16.5" customHeight="1" x14ac:dyDescent="0.3">
      <c r="A299" s="2">
        <v>15</v>
      </c>
      <c r="B299" s="2" t="s">
        <v>236</v>
      </c>
      <c r="C299" s="60" t="s">
        <v>10426</v>
      </c>
      <c r="D299" s="1"/>
      <c r="E299" s="68"/>
      <c r="F299" s="70"/>
      <c r="G299" s="1"/>
      <c r="H299" s="68"/>
      <c r="I299" s="70"/>
      <c r="J299" s="61"/>
      <c r="K299" s="62"/>
      <c r="L299" s="63"/>
      <c r="M299" s="85"/>
      <c r="N299" s="64"/>
      <c r="O299" s="65"/>
      <c r="P299" s="99"/>
      <c r="Q299" s="70"/>
      <c r="R299" s="99"/>
      <c r="S299" s="70"/>
      <c r="T299" s="74" t="s">
        <v>18087</v>
      </c>
      <c r="U299" s="62"/>
      <c r="V299" s="63"/>
      <c r="W299" s="75"/>
      <c r="X299" s="67"/>
      <c r="Y299" s="68"/>
      <c r="Z299" s="76"/>
      <c r="AA299" s="70"/>
      <c r="AB299" s="228">
        <f>ROUND((ROUND((_15_同援日２．０*(1+_15・A夜間)),0)*(1+_15・盲ろう)),0)+ROUND((ROUND((_15_同援日２．０＿０．５*(1+_15・B深夜)),0)*(1+_15・盲ろう)),0)</f>
        <v>877</v>
      </c>
      <c r="AC299" s="69"/>
    </row>
    <row r="300" spans="1:29" ht="16.5" customHeight="1" x14ac:dyDescent="0.3">
      <c r="A300" s="2">
        <v>15</v>
      </c>
      <c r="B300" s="2" t="s">
        <v>237</v>
      </c>
      <c r="C300" s="60" t="s">
        <v>10425</v>
      </c>
      <c r="D300" s="1"/>
      <c r="E300" s="68"/>
      <c r="F300" s="70"/>
      <c r="G300" s="1"/>
      <c r="H300" s="68"/>
      <c r="I300" s="70"/>
      <c r="J300" s="66"/>
      <c r="K300" s="57"/>
      <c r="L300" s="58"/>
      <c r="M300" s="83" t="s">
        <v>5895</v>
      </c>
      <c r="N300" s="64" t="s">
        <v>1</v>
      </c>
      <c r="O300" s="65">
        <v>1</v>
      </c>
      <c r="P300" s="99"/>
      <c r="Q300" s="70"/>
      <c r="R300" s="99"/>
      <c r="S300" s="70"/>
      <c r="T300" s="94" t="s">
        <v>18024</v>
      </c>
      <c r="U300" s="68"/>
      <c r="V300" s="76"/>
      <c r="W300" s="70"/>
      <c r="X300" s="67"/>
      <c r="Y300" s="68"/>
      <c r="Z300" s="76"/>
      <c r="AA300" s="70"/>
      <c r="AB300" s="228">
        <f>ROUND((ROUND((ROUND((_15_同援日２．０*_15・２人),0)*(1+_15・A夜間)),0)*(1+_15・盲ろう)),0)+ROUND((ROUND((ROUND((_15_同援日２．０＿０．５*_15・２人),0)*(1+_15・B深夜)),0)*(1+_15・盲ろう)),0)</f>
        <v>877</v>
      </c>
      <c r="AC300" s="69"/>
    </row>
    <row r="301" spans="1:29" ht="16.5" customHeight="1" x14ac:dyDescent="0.3">
      <c r="A301" s="2">
        <v>15</v>
      </c>
      <c r="B301" s="2" t="s">
        <v>238</v>
      </c>
      <c r="C301" s="60" t="s">
        <v>10424</v>
      </c>
      <c r="D301" s="1"/>
      <c r="E301" s="68"/>
      <c r="F301" s="70"/>
      <c r="G301" s="1"/>
      <c r="H301" s="68"/>
      <c r="I301" s="70"/>
      <c r="J301" s="74" t="s">
        <v>16823</v>
      </c>
      <c r="K301" s="62"/>
      <c r="L301" s="63"/>
      <c r="M301" s="85"/>
      <c r="N301" s="64"/>
      <c r="O301" s="65"/>
      <c r="P301" s="99"/>
      <c r="Q301" s="70"/>
      <c r="R301" s="99"/>
      <c r="S301" s="70"/>
      <c r="T301" s="67"/>
      <c r="U301" s="68" t="s">
        <v>1</v>
      </c>
      <c r="V301" s="76">
        <v>0.25</v>
      </c>
      <c r="W301" s="70" t="s">
        <v>422</v>
      </c>
      <c r="X301" s="67"/>
      <c r="Y301" s="68"/>
      <c r="Z301" s="76"/>
      <c r="AA301" s="70"/>
      <c r="AB301" s="228">
        <f>ROUND((ROUND((ROUND((_15_同援日２．０*_15・基礎２),0)*(1+_15・A夜間)),0)*(1+_15・盲ろう)),0)+ROUND((ROUND((ROUND((_15_同援日２．０＿０．５*_15・基礎２),0)*(1+_15・B深夜)),0)*(1+_15・盲ろう)),0)</f>
        <v>791</v>
      </c>
      <c r="AC301" s="69"/>
    </row>
    <row r="302" spans="1:29" ht="16.5" customHeight="1" x14ac:dyDescent="0.3">
      <c r="A302" s="2">
        <v>15</v>
      </c>
      <c r="B302" s="2" t="s">
        <v>239</v>
      </c>
      <c r="C302" s="60" t="s">
        <v>10423</v>
      </c>
      <c r="D302" s="1"/>
      <c r="E302" s="68"/>
      <c r="F302" s="70"/>
      <c r="G302" s="1"/>
      <c r="H302" s="68"/>
      <c r="I302" s="70"/>
      <c r="J302" s="106" t="s">
        <v>16970</v>
      </c>
      <c r="K302" s="57" t="s">
        <v>1</v>
      </c>
      <c r="L302" s="58">
        <v>0.9</v>
      </c>
      <c r="M302" s="83" t="s">
        <v>5895</v>
      </c>
      <c r="N302" s="64" t="s">
        <v>1</v>
      </c>
      <c r="O302" s="65">
        <v>1</v>
      </c>
      <c r="P302" s="99"/>
      <c r="Q302" s="70"/>
      <c r="R302" s="99"/>
      <c r="S302" s="70"/>
      <c r="T302" s="66"/>
      <c r="U302" s="57"/>
      <c r="V302" s="58"/>
      <c r="W302" s="77"/>
      <c r="X302" s="66"/>
      <c r="Y302" s="57"/>
      <c r="Z302" s="58"/>
      <c r="AA302" s="77"/>
      <c r="AB302" s="228">
        <f>ROUND((ROUND((ROUND((ROUND((_15_同援日２．０*_15・基礎２),0)*_15・２人),0)*(1+_15・A夜間)),0)*(1+_15・盲ろう)),0)+ROUND((ROUND((ROUND((ROUND((_15_同援日２．０＿０．５*_15・基礎２),0)*_15・２人),0)*(1+_15・B深夜)),0)*(1+_15・盲ろう)),0)</f>
        <v>791</v>
      </c>
      <c r="AC302" s="69"/>
    </row>
    <row r="303" spans="1:29" ht="16.5" customHeight="1" x14ac:dyDescent="0.3">
      <c r="A303" s="2">
        <v>15</v>
      </c>
      <c r="B303" s="2" t="s">
        <v>240</v>
      </c>
      <c r="C303" s="60" t="s">
        <v>10422</v>
      </c>
      <c r="D303" s="1"/>
      <c r="E303" s="68"/>
      <c r="F303" s="70"/>
      <c r="G303" s="1"/>
      <c r="H303" s="68"/>
      <c r="I303" s="70"/>
      <c r="J303" s="61"/>
      <c r="K303" s="62"/>
      <c r="L303" s="63"/>
      <c r="M303" s="85"/>
      <c r="N303" s="64"/>
      <c r="O303" s="65"/>
      <c r="P303" s="99"/>
      <c r="Q303" s="70"/>
      <c r="R303" s="99"/>
      <c r="S303" s="70"/>
      <c r="T303" s="61"/>
      <c r="U303" s="62"/>
      <c r="V303" s="63"/>
      <c r="W303" s="75"/>
      <c r="X303" s="61"/>
      <c r="Y303" s="62"/>
      <c r="Z303" s="63"/>
      <c r="AA303" s="75"/>
      <c r="AB303" s="228">
        <f>ROUND((ROUND((_15_同援日２．０*(1+_15・A夜間)),0)*(1+_15・区３)),0)+ROUND((ROUND((_15_同援日２．０＿０．５*(1+_15・B深夜)),0)*(1+_15・区３)),0)</f>
        <v>841</v>
      </c>
      <c r="AC303" s="69"/>
    </row>
    <row r="304" spans="1:29" ht="16.5" customHeight="1" x14ac:dyDescent="0.3">
      <c r="A304" s="2">
        <v>15</v>
      </c>
      <c r="B304" s="2" t="s">
        <v>241</v>
      </c>
      <c r="C304" s="60" t="s">
        <v>10421</v>
      </c>
      <c r="D304" s="1"/>
      <c r="E304" s="68"/>
      <c r="F304" s="70"/>
      <c r="G304" s="1"/>
      <c r="H304" s="68"/>
      <c r="I304" s="70"/>
      <c r="J304" s="66"/>
      <c r="K304" s="57"/>
      <c r="L304" s="58"/>
      <c r="M304" s="83" t="s">
        <v>5895</v>
      </c>
      <c r="N304" s="64" t="s">
        <v>1</v>
      </c>
      <c r="O304" s="65">
        <v>1</v>
      </c>
      <c r="P304" s="99"/>
      <c r="Q304" s="70"/>
      <c r="R304" s="99"/>
      <c r="S304" s="70"/>
      <c r="T304" s="67"/>
      <c r="U304" s="68"/>
      <c r="V304" s="76"/>
      <c r="W304" s="70"/>
      <c r="X304" s="67"/>
      <c r="Y304" s="68"/>
      <c r="Z304" s="76"/>
      <c r="AA304" s="70"/>
      <c r="AB304" s="228">
        <f>ROUND((ROUND((ROUND((_15_同援日２．０*_15・２人),0)*(1+_15・A夜間)),0)*(1+_15・区３)),0)+ROUND((ROUND((ROUND((_15_同援日２．０＿０．５*_15・２人),0)*(1+_15・B深夜)),0)*(1+_15・区３)),0)</f>
        <v>841</v>
      </c>
      <c r="AC304" s="69"/>
    </row>
    <row r="305" spans="1:29" ht="16.5" customHeight="1" x14ac:dyDescent="0.3">
      <c r="A305" s="2">
        <v>15</v>
      </c>
      <c r="B305" s="2" t="s">
        <v>242</v>
      </c>
      <c r="C305" s="60" t="s">
        <v>10420</v>
      </c>
      <c r="D305" s="1"/>
      <c r="E305" s="68"/>
      <c r="F305" s="70"/>
      <c r="G305" s="1"/>
      <c r="H305" s="68"/>
      <c r="I305" s="70"/>
      <c r="J305" s="74" t="s">
        <v>16971</v>
      </c>
      <c r="K305" s="62"/>
      <c r="L305" s="63"/>
      <c r="M305" s="85"/>
      <c r="N305" s="64"/>
      <c r="O305" s="65"/>
      <c r="P305" s="99"/>
      <c r="Q305" s="70"/>
      <c r="R305" s="99"/>
      <c r="S305" s="70"/>
      <c r="T305" s="67"/>
      <c r="U305" s="68"/>
      <c r="V305" s="76"/>
      <c r="W305" s="70"/>
      <c r="X305" s="1" t="s">
        <v>18028</v>
      </c>
      <c r="Y305" s="68"/>
      <c r="Z305" s="76"/>
      <c r="AA305" s="70"/>
      <c r="AB305" s="228">
        <f>ROUND((ROUND((ROUND((_15_同援日２．０*_15・基礎２),0)*(1+_15・A夜間)),0)*(1+_15・区３)),0)+ROUND((ROUND((ROUND((_15_同援日２．０＿０．５*_15・基礎２),0)*(1+_15・B深夜)),0)*(1+_15・区３)),0)</f>
        <v>758</v>
      </c>
      <c r="AC305" s="69"/>
    </row>
    <row r="306" spans="1:29" ht="16.5" customHeight="1" x14ac:dyDescent="0.3">
      <c r="A306" s="2">
        <v>15</v>
      </c>
      <c r="B306" s="2" t="s">
        <v>243</v>
      </c>
      <c r="C306" s="60" t="s">
        <v>10419</v>
      </c>
      <c r="D306" s="1"/>
      <c r="E306" s="68"/>
      <c r="F306" s="70"/>
      <c r="G306" s="1"/>
      <c r="H306" s="68"/>
      <c r="I306" s="70"/>
      <c r="J306" s="106" t="s">
        <v>16970</v>
      </c>
      <c r="K306" s="57" t="s">
        <v>1</v>
      </c>
      <c r="L306" s="58">
        <v>0.9</v>
      </c>
      <c r="M306" s="83" t="s">
        <v>5895</v>
      </c>
      <c r="N306" s="64" t="s">
        <v>1</v>
      </c>
      <c r="O306" s="65">
        <v>1</v>
      </c>
      <c r="P306" s="99"/>
      <c r="Q306" s="70"/>
      <c r="R306" s="99"/>
      <c r="S306" s="70"/>
      <c r="T306" s="66"/>
      <c r="U306" s="57"/>
      <c r="V306" s="58"/>
      <c r="W306" s="77"/>
      <c r="X306" s="1" t="s">
        <v>18084</v>
      </c>
      <c r="Y306" s="68"/>
      <c r="Z306" s="76"/>
      <c r="AA306" s="70"/>
      <c r="AB306" s="228">
        <f>ROUND((ROUND((ROUND((ROUND((_15_同援日２．０*_15・基礎２),0)*_15・２人),0)*(1+_15・A夜間)),0)*(1+_15・区３)),0)+ROUND((ROUND((ROUND((ROUND((_15_同援日２．０＿０．５*_15・基礎２),0)*_15・２人),0)*(1+_15・B深夜)),0)*(1+_15・区３)),0)</f>
        <v>758</v>
      </c>
      <c r="AC306" s="69"/>
    </row>
    <row r="307" spans="1:29" ht="16.5" customHeight="1" x14ac:dyDescent="0.3">
      <c r="A307" s="2">
        <v>15</v>
      </c>
      <c r="B307" s="2" t="s">
        <v>244</v>
      </c>
      <c r="C307" s="60" t="s">
        <v>10418</v>
      </c>
      <c r="D307" s="1"/>
      <c r="E307" s="68"/>
      <c r="F307" s="70"/>
      <c r="G307" s="1"/>
      <c r="H307" s="68"/>
      <c r="I307" s="70"/>
      <c r="J307" s="61"/>
      <c r="K307" s="62"/>
      <c r="L307" s="63"/>
      <c r="M307" s="85"/>
      <c r="N307" s="64"/>
      <c r="O307" s="65"/>
      <c r="P307" s="99"/>
      <c r="Q307" s="70"/>
      <c r="R307" s="99"/>
      <c r="S307" s="70"/>
      <c r="T307" s="74" t="s">
        <v>8085</v>
      </c>
      <c r="U307" s="62"/>
      <c r="V307" s="63"/>
      <c r="W307" s="75"/>
      <c r="X307" s="67"/>
      <c r="Y307" s="68" t="s">
        <v>1</v>
      </c>
      <c r="Z307" s="76">
        <v>0.2</v>
      </c>
      <c r="AA307" s="70" t="s">
        <v>422</v>
      </c>
      <c r="AB307" s="228">
        <f>ROUND((ROUND((ROUND((_15_同援日２．０*(1+_15・A夜間)),0)*(1+_15・盲ろう)),0)*(1+_15・区３)),0)+ROUND((ROUND((ROUND((_15_同援日２．０＿０．５*(1+_15・B深夜)),0)*(1+_15・盲ろう)),0)*(1+_15・区３)),0)</f>
        <v>1053</v>
      </c>
      <c r="AC307" s="69"/>
    </row>
    <row r="308" spans="1:29" ht="16.5" customHeight="1" x14ac:dyDescent="0.3">
      <c r="A308" s="2">
        <v>15</v>
      </c>
      <c r="B308" s="2" t="s">
        <v>245</v>
      </c>
      <c r="C308" s="60" t="s">
        <v>10417</v>
      </c>
      <c r="D308" s="1"/>
      <c r="E308" s="68"/>
      <c r="F308" s="70"/>
      <c r="G308" s="1"/>
      <c r="H308" s="68"/>
      <c r="I308" s="70"/>
      <c r="J308" s="66"/>
      <c r="K308" s="57"/>
      <c r="L308" s="58"/>
      <c r="M308" s="83" t="s">
        <v>5895</v>
      </c>
      <c r="N308" s="64" t="s">
        <v>1</v>
      </c>
      <c r="O308" s="65">
        <v>1</v>
      </c>
      <c r="P308" s="99"/>
      <c r="Q308" s="70"/>
      <c r="R308" s="99"/>
      <c r="S308" s="70"/>
      <c r="T308" s="94" t="s">
        <v>18024</v>
      </c>
      <c r="U308" s="68"/>
      <c r="V308" s="76"/>
      <c r="W308" s="70"/>
      <c r="X308" s="67"/>
      <c r="Y308" s="68"/>
      <c r="Z308" s="76"/>
      <c r="AA308" s="70"/>
      <c r="AB308" s="228">
        <f>ROUND((ROUND((ROUND((ROUND((_15_同援日２．０*_15・２人),0)*(1+_15・A夜間)),0)*(1+_15・盲ろう)),0)*(1+_15・区３)),0)+ROUND((ROUND((ROUND((ROUND((_15_同援日２．０＿０．５*_15・２人),0)*(1+_15・B深夜)),0)*(1+_15・盲ろう)),0)*(1+_15・区３)),0)</f>
        <v>1053</v>
      </c>
      <c r="AC308" s="69"/>
    </row>
    <row r="309" spans="1:29" ht="16.5" customHeight="1" x14ac:dyDescent="0.3">
      <c r="A309" s="2">
        <v>15</v>
      </c>
      <c r="B309" s="2" t="s">
        <v>246</v>
      </c>
      <c r="C309" s="60" t="s">
        <v>10416</v>
      </c>
      <c r="D309" s="1"/>
      <c r="E309" s="68"/>
      <c r="F309" s="70"/>
      <c r="G309" s="1"/>
      <c r="H309" s="68"/>
      <c r="I309" s="70"/>
      <c r="J309" s="74" t="s">
        <v>16971</v>
      </c>
      <c r="K309" s="62"/>
      <c r="L309" s="63"/>
      <c r="M309" s="85"/>
      <c r="N309" s="64"/>
      <c r="O309" s="65"/>
      <c r="P309" s="99"/>
      <c r="Q309" s="70"/>
      <c r="R309" s="99"/>
      <c r="S309" s="70"/>
      <c r="T309" s="67"/>
      <c r="U309" s="68" t="s">
        <v>1</v>
      </c>
      <c r="V309" s="76">
        <v>0.25</v>
      </c>
      <c r="W309" s="70" t="s">
        <v>422</v>
      </c>
      <c r="X309" s="67"/>
      <c r="Y309" s="68"/>
      <c r="Z309" s="76"/>
      <c r="AA309" s="70"/>
      <c r="AB309" s="228">
        <f>ROUND((ROUND((ROUND((ROUND((_15_同援日２．０*_15・基礎２),0)*(1+_15・A夜間)),0)*(1+_15・盲ろう)),0)*(1+_15・区３)),0)+ROUND((ROUND((ROUND((ROUND((_15_同援日２．０＿０．５*_15・基礎２),0)*(1+_15・B深夜)),0)*(1+_15・盲ろう)),0)*(1+_15・区３)),0)</f>
        <v>950</v>
      </c>
      <c r="AC309" s="69"/>
    </row>
    <row r="310" spans="1:29" ht="16.5" customHeight="1" x14ac:dyDescent="0.3">
      <c r="A310" s="2">
        <v>15</v>
      </c>
      <c r="B310" s="2" t="s">
        <v>247</v>
      </c>
      <c r="C310" s="60" t="s">
        <v>10415</v>
      </c>
      <c r="D310" s="1"/>
      <c r="E310" s="68"/>
      <c r="F310" s="70"/>
      <c r="G310" s="1"/>
      <c r="H310" s="68"/>
      <c r="I310" s="70"/>
      <c r="J310" s="106" t="s">
        <v>16970</v>
      </c>
      <c r="K310" s="57" t="s">
        <v>1</v>
      </c>
      <c r="L310" s="58">
        <v>0.9</v>
      </c>
      <c r="M310" s="83" t="s">
        <v>5895</v>
      </c>
      <c r="N310" s="64" t="s">
        <v>1</v>
      </c>
      <c r="O310" s="65">
        <v>1</v>
      </c>
      <c r="P310" s="99"/>
      <c r="Q310" s="70"/>
      <c r="R310" s="99"/>
      <c r="S310" s="70"/>
      <c r="T310" s="66"/>
      <c r="U310" s="57"/>
      <c r="V310" s="58"/>
      <c r="W310" s="77"/>
      <c r="X310" s="66"/>
      <c r="Y310" s="57"/>
      <c r="Z310" s="58"/>
      <c r="AA310" s="77"/>
      <c r="AB310" s="228">
        <f>ROUND((ROUND((ROUND((ROUND((ROUND((_15_同援日２．０*_15・基礎２),0)*_15・２人),0)*(1+_15・A夜間)),0)*(1+_15・盲ろう)),0)*(1+_15・区３)),0)+ROUND((ROUND((ROUND((ROUND((ROUND((_15_同援日２．０＿０．５*_15・基礎２),0)*_15・２人),0)*(1+_15・B深夜)),0)*(1+_15・盲ろう)),0)*(1+_15・区３)),0)</f>
        <v>950</v>
      </c>
      <c r="AC310" s="69"/>
    </row>
    <row r="311" spans="1:29" ht="16.5" customHeight="1" x14ac:dyDescent="0.3">
      <c r="A311" s="2">
        <v>15</v>
      </c>
      <c r="B311" s="2" t="s">
        <v>248</v>
      </c>
      <c r="C311" s="60" t="s">
        <v>10414</v>
      </c>
      <c r="D311" s="1"/>
      <c r="E311" s="68"/>
      <c r="F311" s="70"/>
      <c r="G311" s="1"/>
      <c r="H311" s="68"/>
      <c r="I311" s="70"/>
      <c r="J311" s="61"/>
      <c r="K311" s="62"/>
      <c r="L311" s="63"/>
      <c r="M311" s="85"/>
      <c r="N311" s="64"/>
      <c r="O311" s="65"/>
      <c r="P311" s="99"/>
      <c r="Q311" s="70"/>
      <c r="R311" s="99"/>
      <c r="S311" s="70"/>
      <c r="T311" s="61"/>
      <c r="U311" s="62"/>
      <c r="V311" s="63"/>
      <c r="W311" s="75"/>
      <c r="X311" s="61"/>
      <c r="Y311" s="62"/>
      <c r="Z311" s="63"/>
      <c r="AA311" s="75"/>
      <c r="AB311" s="228">
        <f>ROUND((ROUND((_15_同援日２．０*(1+_15・A夜間)),0)*(1+_15・区４)),0)+ROUND((ROUND((_15_同援日２．０＿０．５*(1+_15・B深夜)),0)*(1+_15・区４)),0)</f>
        <v>981</v>
      </c>
      <c r="AC311" s="69"/>
    </row>
    <row r="312" spans="1:29" ht="16.5" customHeight="1" x14ac:dyDescent="0.3">
      <c r="A312" s="2">
        <v>15</v>
      </c>
      <c r="B312" s="2" t="s">
        <v>249</v>
      </c>
      <c r="C312" s="60" t="s">
        <v>10413</v>
      </c>
      <c r="D312" s="1"/>
      <c r="E312" s="68"/>
      <c r="F312" s="70"/>
      <c r="G312" s="1"/>
      <c r="H312" s="68"/>
      <c r="I312" s="70"/>
      <c r="J312" s="66"/>
      <c r="K312" s="57"/>
      <c r="L312" s="58"/>
      <c r="M312" s="83" t="s">
        <v>5895</v>
      </c>
      <c r="N312" s="64" t="s">
        <v>1</v>
      </c>
      <c r="O312" s="65">
        <v>1</v>
      </c>
      <c r="P312" s="99"/>
      <c r="Q312" s="70"/>
      <c r="R312" s="99"/>
      <c r="S312" s="70"/>
      <c r="T312" s="67"/>
      <c r="U312" s="68"/>
      <c r="V312" s="76"/>
      <c r="W312" s="70"/>
      <c r="X312" s="67"/>
      <c r="Y312" s="68"/>
      <c r="Z312" s="76"/>
      <c r="AA312" s="70"/>
      <c r="AB312" s="228">
        <f>ROUND((ROUND((ROUND((_15_同援日２．０*_15・２人),0)*(1+_15・A夜間)),0)*(1+_15・区４)),0)+ROUND((ROUND((ROUND((_15_同援日２．０＿０．５*_15・２人),0)*(1+_15・B深夜)),0)*(1+_15・区４)),0)</f>
        <v>981</v>
      </c>
      <c r="AC312" s="69"/>
    </row>
    <row r="313" spans="1:29" ht="16.5" customHeight="1" x14ac:dyDescent="0.3">
      <c r="A313" s="2">
        <v>15</v>
      </c>
      <c r="B313" s="2" t="s">
        <v>250</v>
      </c>
      <c r="C313" s="60" t="s">
        <v>10412</v>
      </c>
      <c r="D313" s="1"/>
      <c r="E313" s="68"/>
      <c r="F313" s="70"/>
      <c r="G313" s="1"/>
      <c r="H313" s="68"/>
      <c r="I313" s="70"/>
      <c r="J313" s="74" t="s">
        <v>16971</v>
      </c>
      <c r="K313" s="62"/>
      <c r="L313" s="63"/>
      <c r="M313" s="85"/>
      <c r="N313" s="64"/>
      <c r="O313" s="65"/>
      <c r="P313" s="99"/>
      <c r="Q313" s="70"/>
      <c r="R313" s="99"/>
      <c r="S313" s="70"/>
      <c r="T313" s="67"/>
      <c r="U313" s="68"/>
      <c r="V313" s="76"/>
      <c r="W313" s="70"/>
      <c r="X313" s="1" t="s">
        <v>8089</v>
      </c>
      <c r="Y313" s="68"/>
      <c r="Z313" s="76"/>
      <c r="AA313" s="70"/>
      <c r="AB313" s="228">
        <f>ROUND((ROUND((ROUND((_15_同援日２．０*_15・基礎２),0)*(1+_15・A夜間)),0)*(1+_15・区４)),0)+ROUND((ROUND((ROUND((_15_同援日２．０＿０．５*_15・基礎２),0)*(1+_15・B深夜)),0)*(1+_15・区４)),0)</f>
        <v>884</v>
      </c>
      <c r="AC313" s="69"/>
    </row>
    <row r="314" spans="1:29" ht="16.5" customHeight="1" x14ac:dyDescent="0.3">
      <c r="A314" s="2">
        <v>15</v>
      </c>
      <c r="B314" s="2" t="s">
        <v>251</v>
      </c>
      <c r="C314" s="60" t="s">
        <v>10411</v>
      </c>
      <c r="D314" s="1"/>
      <c r="E314" s="68"/>
      <c r="F314" s="70"/>
      <c r="G314" s="1"/>
      <c r="H314" s="68"/>
      <c r="I314" s="70"/>
      <c r="J314" s="106" t="s">
        <v>16970</v>
      </c>
      <c r="K314" s="57" t="s">
        <v>1</v>
      </c>
      <c r="L314" s="58">
        <v>0.9</v>
      </c>
      <c r="M314" s="83" t="s">
        <v>5895</v>
      </c>
      <c r="N314" s="64" t="s">
        <v>1</v>
      </c>
      <c r="O314" s="65">
        <v>1</v>
      </c>
      <c r="P314" s="99"/>
      <c r="Q314" s="70"/>
      <c r="R314" s="99"/>
      <c r="S314" s="70"/>
      <c r="T314" s="66"/>
      <c r="U314" s="57"/>
      <c r="V314" s="58"/>
      <c r="W314" s="77"/>
      <c r="X314" s="1" t="s">
        <v>18026</v>
      </c>
      <c r="Y314" s="68"/>
      <c r="Z314" s="76"/>
      <c r="AA314" s="70"/>
      <c r="AB314" s="228">
        <f>ROUND((ROUND((ROUND((ROUND((_15_同援日２．０*_15・基礎２),0)*_15・２人),0)*(1+_15・A夜間)),0)*(1+_15・区４)),0)+ROUND((ROUND((ROUND((ROUND((_15_同援日２．０＿０．５*_15・基礎２),0)*_15・２人),0)*(1+_15・B深夜)),0)*(1+_15・区４)),0)</f>
        <v>884</v>
      </c>
      <c r="AC314" s="69"/>
    </row>
    <row r="315" spans="1:29" ht="16.5" customHeight="1" x14ac:dyDescent="0.3">
      <c r="A315" s="2">
        <v>15</v>
      </c>
      <c r="B315" s="2" t="s">
        <v>252</v>
      </c>
      <c r="C315" s="60" t="s">
        <v>10410</v>
      </c>
      <c r="D315" s="1"/>
      <c r="E315" s="68"/>
      <c r="F315" s="70"/>
      <c r="G315" s="1"/>
      <c r="H315" s="68"/>
      <c r="I315" s="70"/>
      <c r="J315" s="61"/>
      <c r="K315" s="62"/>
      <c r="L315" s="63"/>
      <c r="M315" s="85"/>
      <c r="N315" s="64"/>
      <c r="O315" s="65"/>
      <c r="P315" s="99"/>
      <c r="Q315" s="70"/>
      <c r="R315" s="99"/>
      <c r="S315" s="70"/>
      <c r="T315" s="74" t="s">
        <v>18087</v>
      </c>
      <c r="U315" s="62"/>
      <c r="V315" s="63"/>
      <c r="W315" s="75"/>
      <c r="X315" s="67"/>
      <c r="Y315" s="68" t="s">
        <v>1</v>
      </c>
      <c r="Z315" s="76">
        <v>0.4</v>
      </c>
      <c r="AA315" s="70" t="s">
        <v>422</v>
      </c>
      <c r="AB315" s="228">
        <f>ROUND((ROUND((ROUND((_15_同援日２．０*(1+_15・A夜間)),0)*(1+_15・盲ろう)),0)*(1+_15・区４)),0)+ROUND((ROUND((ROUND((_15_同援日２．０＿０．５*(1+_15・B深夜)),0)*(1+_15・盲ろう)),0)*(1+_15・区４)),0)</f>
        <v>1228</v>
      </c>
      <c r="AC315" s="69"/>
    </row>
    <row r="316" spans="1:29" ht="16.5" customHeight="1" x14ac:dyDescent="0.3">
      <c r="A316" s="2">
        <v>15</v>
      </c>
      <c r="B316" s="2" t="s">
        <v>253</v>
      </c>
      <c r="C316" s="60" t="s">
        <v>10409</v>
      </c>
      <c r="D316" s="1"/>
      <c r="E316" s="68"/>
      <c r="F316" s="70"/>
      <c r="G316" s="1"/>
      <c r="H316" s="68"/>
      <c r="I316" s="70"/>
      <c r="J316" s="66"/>
      <c r="K316" s="57"/>
      <c r="L316" s="58"/>
      <c r="M316" s="83" t="s">
        <v>5895</v>
      </c>
      <c r="N316" s="64" t="s">
        <v>1</v>
      </c>
      <c r="O316" s="65">
        <v>1</v>
      </c>
      <c r="P316" s="99"/>
      <c r="Q316" s="70"/>
      <c r="R316" s="99"/>
      <c r="S316" s="70"/>
      <c r="T316" s="94" t="s">
        <v>18024</v>
      </c>
      <c r="U316" s="68"/>
      <c r="V316" s="76"/>
      <c r="W316" s="70"/>
      <c r="X316" s="67"/>
      <c r="Y316" s="68"/>
      <c r="Z316" s="76"/>
      <c r="AA316" s="70"/>
      <c r="AB316" s="228">
        <f>ROUND((ROUND((ROUND((ROUND((_15_同援日２．０*_15・２人),0)*(1+_15・A夜間)),0)*(1+_15・盲ろう)),0)*(1+_15・区４)),0)+ROUND((ROUND((ROUND((ROUND((_15_同援日２．０＿０．５*_15・２人),0)*(1+_15・B深夜)),0)*(1+_15・盲ろう)),0)*(1+_15・区４)),0)</f>
        <v>1228</v>
      </c>
      <c r="AC316" s="69"/>
    </row>
    <row r="317" spans="1:29" ht="16.5" customHeight="1" x14ac:dyDescent="0.3">
      <c r="A317" s="2">
        <v>15</v>
      </c>
      <c r="B317" s="2" t="s">
        <v>254</v>
      </c>
      <c r="C317" s="60" t="s">
        <v>10408</v>
      </c>
      <c r="D317" s="1"/>
      <c r="E317" s="68"/>
      <c r="F317" s="70"/>
      <c r="G317" s="1"/>
      <c r="H317" s="68"/>
      <c r="I317" s="70"/>
      <c r="J317" s="74" t="s">
        <v>17054</v>
      </c>
      <c r="K317" s="62"/>
      <c r="L317" s="63"/>
      <c r="M317" s="85"/>
      <c r="N317" s="64"/>
      <c r="O317" s="65"/>
      <c r="P317" s="99"/>
      <c r="Q317" s="70"/>
      <c r="R317" s="99"/>
      <c r="S317" s="70"/>
      <c r="T317" s="67"/>
      <c r="U317" s="68" t="s">
        <v>1</v>
      </c>
      <c r="V317" s="76">
        <v>0.25</v>
      </c>
      <c r="W317" s="70" t="s">
        <v>422</v>
      </c>
      <c r="X317" s="67"/>
      <c r="Y317" s="68"/>
      <c r="Z317" s="76"/>
      <c r="AA317" s="70"/>
      <c r="AB317" s="228">
        <f>ROUND((ROUND((ROUND((ROUND((_15_同援日２．０*_15・基礎２),0)*(1+_15・A夜間)),0)*(1+_15・盲ろう)),0)*(1+_15・区４)),0)+ROUND((ROUND((ROUND((ROUND((_15_同援日２．０＿０．５*_15・基礎２),0)*(1+_15・B深夜)),0)*(1+_15・盲ろう)),0)*(1+_15・区４)),0)</f>
        <v>1107</v>
      </c>
      <c r="AC317" s="69"/>
    </row>
    <row r="318" spans="1:29" ht="16.5" customHeight="1" x14ac:dyDescent="0.3">
      <c r="A318" s="2">
        <v>15</v>
      </c>
      <c r="B318" s="2" t="s">
        <v>255</v>
      </c>
      <c r="C318" s="60" t="s">
        <v>10407</v>
      </c>
      <c r="D318" s="1"/>
      <c r="E318" s="68"/>
      <c r="F318" s="70"/>
      <c r="G318" s="81"/>
      <c r="H318" s="57"/>
      <c r="I318" s="77"/>
      <c r="J318" s="106" t="s">
        <v>16970</v>
      </c>
      <c r="K318" s="57" t="s">
        <v>1</v>
      </c>
      <c r="L318" s="58">
        <v>0.9</v>
      </c>
      <c r="M318" s="83" t="s">
        <v>5895</v>
      </c>
      <c r="N318" s="64" t="s">
        <v>1</v>
      </c>
      <c r="O318" s="65">
        <v>1</v>
      </c>
      <c r="P318" s="99"/>
      <c r="Q318" s="70"/>
      <c r="R318" s="99"/>
      <c r="S318" s="70"/>
      <c r="T318" s="66"/>
      <c r="U318" s="57"/>
      <c r="V318" s="58"/>
      <c r="W318" s="77"/>
      <c r="X318" s="66"/>
      <c r="Y318" s="57"/>
      <c r="Z318" s="58"/>
      <c r="AA318" s="77"/>
      <c r="AB318" s="228">
        <f>ROUND((ROUND((ROUND((ROUND((ROUND((_15_同援日２．０*_15・基礎２),0)*_15・２人),0)*(1+_15・A夜間)),0)*(1+_15・盲ろう)),0)*(1+_15・区４)),0)+ROUND((ROUND((ROUND((ROUND((ROUND((_15_同援日２．０＿０．５*_15・基礎２),0)*_15・２人),0)*(1+_15・B深夜)),0)*(1+_15・盲ろう)),0)*(1+_15・区４)),0)</f>
        <v>1107</v>
      </c>
      <c r="AC318" s="69"/>
    </row>
    <row r="319" spans="1:29" ht="16.5" customHeight="1" x14ac:dyDescent="0.3">
      <c r="A319" s="2">
        <v>15</v>
      </c>
      <c r="B319" s="2" t="s">
        <v>256</v>
      </c>
      <c r="C319" s="60" t="s">
        <v>10406</v>
      </c>
      <c r="D319" s="1"/>
      <c r="E319" s="68"/>
      <c r="F319" s="70"/>
      <c r="G319" s="233" t="s">
        <v>17072</v>
      </c>
      <c r="H319" s="62"/>
      <c r="I319" s="75"/>
      <c r="J319" s="61"/>
      <c r="K319" s="62"/>
      <c r="L319" s="63"/>
      <c r="M319" s="85"/>
      <c r="N319" s="64"/>
      <c r="O319" s="65"/>
      <c r="P319" s="99"/>
      <c r="Q319" s="70"/>
      <c r="R319" s="99"/>
      <c r="S319" s="70"/>
      <c r="T319" s="61"/>
      <c r="U319" s="62"/>
      <c r="V319" s="63"/>
      <c r="W319" s="75"/>
      <c r="X319" s="61"/>
      <c r="Y319" s="62"/>
      <c r="Z319" s="63"/>
      <c r="AA319" s="75"/>
      <c r="AB319" s="228">
        <f>ROUND((_15_同援日２．０*(1+_15・A夜間)),0)+ROUND((_15_同援日２．０＿１．０*(1+_15・B深夜)),0)</f>
        <v>795</v>
      </c>
      <c r="AC319" s="69"/>
    </row>
    <row r="320" spans="1:29" ht="16.5" customHeight="1" x14ac:dyDescent="0.3">
      <c r="A320" s="2">
        <v>15</v>
      </c>
      <c r="B320" s="2" t="s">
        <v>257</v>
      </c>
      <c r="C320" s="60" t="s">
        <v>10405</v>
      </c>
      <c r="D320" s="1"/>
      <c r="E320" s="68"/>
      <c r="F320" s="70"/>
      <c r="G320" s="1" t="s">
        <v>5993</v>
      </c>
      <c r="H320" s="68"/>
      <c r="I320" s="70"/>
      <c r="J320" s="66"/>
      <c r="K320" s="57"/>
      <c r="L320" s="58"/>
      <c r="M320" s="83" t="s">
        <v>5895</v>
      </c>
      <c r="N320" s="64" t="s">
        <v>1</v>
      </c>
      <c r="O320" s="65">
        <v>1</v>
      </c>
      <c r="P320" s="99"/>
      <c r="Q320" s="70"/>
      <c r="R320" s="99"/>
      <c r="S320" s="70"/>
      <c r="T320" s="67"/>
      <c r="U320" s="68"/>
      <c r="V320" s="76"/>
      <c r="W320" s="70"/>
      <c r="X320" s="67"/>
      <c r="Y320" s="68"/>
      <c r="Z320" s="76"/>
      <c r="AA320" s="70"/>
      <c r="AB320" s="228">
        <f>ROUND((ROUND((_15_同援日２．０*_15・２人),0)*(1+_15・A夜間)),0)+ROUND((ROUND((_15_同援日２．０＿１．０*_15・２人),0)*(1+_15・B深夜)),0)</f>
        <v>795</v>
      </c>
      <c r="AC320" s="69"/>
    </row>
    <row r="321" spans="1:29" ht="16.5" customHeight="1" x14ac:dyDescent="0.3">
      <c r="A321" s="2">
        <v>15</v>
      </c>
      <c r="B321" s="2" t="s">
        <v>258</v>
      </c>
      <c r="C321" s="60" t="s">
        <v>10404</v>
      </c>
      <c r="D321" s="1"/>
      <c r="E321" s="68"/>
      <c r="F321" s="70"/>
      <c r="G321" s="1" t="s">
        <v>8572</v>
      </c>
      <c r="H321" s="68"/>
      <c r="I321" s="70"/>
      <c r="J321" s="74" t="s">
        <v>5898</v>
      </c>
      <c r="K321" s="62"/>
      <c r="L321" s="63"/>
      <c r="M321" s="85"/>
      <c r="N321" s="64"/>
      <c r="O321" s="65"/>
      <c r="P321" s="99"/>
      <c r="Q321" s="70"/>
      <c r="R321" s="99"/>
      <c r="S321" s="70"/>
      <c r="T321" s="67"/>
      <c r="U321" s="68"/>
      <c r="V321" s="76"/>
      <c r="W321" s="70"/>
      <c r="X321" s="67"/>
      <c r="Y321" s="68"/>
      <c r="Z321" s="76"/>
      <c r="AA321" s="70"/>
      <c r="AB321" s="228">
        <f>ROUND((ROUND((_15_同援日２．０*_15・基礎２),0)*(1+_15・A夜間)),0)+ROUND((ROUND((_15_同援日２．０＿１．０*_15・基礎２),0)*(1+_15・B深夜)),0)</f>
        <v>716</v>
      </c>
      <c r="AC321" s="69"/>
    </row>
    <row r="322" spans="1:29" ht="16.5" customHeight="1" x14ac:dyDescent="0.3">
      <c r="A322" s="2">
        <v>15</v>
      </c>
      <c r="B322" s="2" t="s">
        <v>259</v>
      </c>
      <c r="C322" s="60" t="s">
        <v>10403</v>
      </c>
      <c r="D322" s="1"/>
      <c r="E322" s="68"/>
      <c r="F322" s="70"/>
      <c r="G322" s="1"/>
      <c r="H322" s="119">
        <v>126</v>
      </c>
      <c r="I322" s="70" t="s">
        <v>0</v>
      </c>
      <c r="J322" s="106" t="s">
        <v>16970</v>
      </c>
      <c r="K322" s="57" t="s">
        <v>1</v>
      </c>
      <c r="L322" s="58">
        <v>0.9</v>
      </c>
      <c r="M322" s="83" t="s">
        <v>5895</v>
      </c>
      <c r="N322" s="64" t="s">
        <v>1</v>
      </c>
      <c r="O322" s="65">
        <v>1</v>
      </c>
      <c r="P322" s="99"/>
      <c r="Q322" s="70"/>
      <c r="R322" s="99"/>
      <c r="S322" s="70"/>
      <c r="T322" s="66"/>
      <c r="U322" s="57"/>
      <c r="V322" s="58"/>
      <c r="W322" s="77"/>
      <c r="X322" s="67"/>
      <c r="Y322" s="68"/>
      <c r="Z322" s="76"/>
      <c r="AA322" s="70"/>
      <c r="AB322" s="228">
        <f>ROUND((ROUND((ROUND((_15_同援日２．０*_15・基礎２),0)*_15・２人),0)*(1+_15・A夜間)),0)+ROUND((ROUND((ROUND((_15_同援日２．０＿１．０*_15・基礎２),0)*_15・２人),0)*(1+_15・B深夜)),0)</f>
        <v>716</v>
      </c>
      <c r="AC322" s="69"/>
    </row>
    <row r="323" spans="1:29" ht="16.5" customHeight="1" x14ac:dyDescent="0.3">
      <c r="A323" s="2">
        <v>15</v>
      </c>
      <c r="B323" s="2" t="s">
        <v>260</v>
      </c>
      <c r="C323" s="60" t="s">
        <v>10402</v>
      </c>
      <c r="D323" s="1"/>
      <c r="E323" s="68"/>
      <c r="F323" s="70"/>
      <c r="G323" s="1"/>
      <c r="H323" s="68"/>
      <c r="I323" s="70"/>
      <c r="J323" s="61"/>
      <c r="K323" s="62"/>
      <c r="L323" s="63"/>
      <c r="M323" s="85"/>
      <c r="N323" s="64"/>
      <c r="O323" s="65"/>
      <c r="P323" s="99"/>
      <c r="Q323" s="70"/>
      <c r="R323" s="99"/>
      <c r="S323" s="70"/>
      <c r="T323" s="74" t="s">
        <v>18025</v>
      </c>
      <c r="U323" s="62"/>
      <c r="V323" s="63"/>
      <c r="W323" s="75"/>
      <c r="X323" s="67"/>
      <c r="Y323" s="68"/>
      <c r="Z323" s="76"/>
      <c r="AA323" s="70"/>
      <c r="AB323" s="228">
        <f>ROUND((ROUND((_15_同援日２．０*(1+_15・A夜間)),0)*(1+_15・盲ろう)),0)+ROUND((ROUND((_15_同援日２．０＿１．０*(1+_15・B深夜)),0)*(1+_15・盲ろう)),0)</f>
        <v>994</v>
      </c>
      <c r="AC323" s="69"/>
    </row>
    <row r="324" spans="1:29" ht="16.5" customHeight="1" x14ac:dyDescent="0.3">
      <c r="A324" s="2">
        <v>15</v>
      </c>
      <c r="B324" s="2" t="s">
        <v>261</v>
      </c>
      <c r="C324" s="60" t="s">
        <v>10401</v>
      </c>
      <c r="D324" s="1"/>
      <c r="E324" s="68"/>
      <c r="F324" s="70"/>
      <c r="G324" s="1"/>
      <c r="H324" s="68"/>
      <c r="I324" s="70"/>
      <c r="J324" s="66"/>
      <c r="K324" s="57"/>
      <c r="L324" s="58"/>
      <c r="M324" s="83" t="s">
        <v>5895</v>
      </c>
      <c r="N324" s="64" t="s">
        <v>1</v>
      </c>
      <c r="O324" s="65">
        <v>1</v>
      </c>
      <c r="P324" s="99"/>
      <c r="Q324" s="70"/>
      <c r="R324" s="99"/>
      <c r="S324" s="70"/>
      <c r="T324" s="94" t="s">
        <v>18024</v>
      </c>
      <c r="U324" s="68"/>
      <c r="V324" s="76"/>
      <c r="W324" s="70"/>
      <c r="X324" s="67"/>
      <c r="Y324" s="68"/>
      <c r="Z324" s="76"/>
      <c r="AA324" s="70"/>
      <c r="AB324" s="228">
        <f>ROUND((ROUND((ROUND((_15_同援日２．０*_15・２人),0)*(1+_15・A夜間)),0)*(1+_15・盲ろう)),0)+ROUND((ROUND((ROUND((_15_同援日２．０＿１．０*_15・２人),0)*(1+_15・B深夜)),0)*(1+_15・盲ろう)),0)</f>
        <v>994</v>
      </c>
      <c r="AC324" s="69"/>
    </row>
    <row r="325" spans="1:29" ht="16.5" customHeight="1" x14ac:dyDescent="0.3">
      <c r="A325" s="2">
        <v>15</v>
      </c>
      <c r="B325" s="2" t="s">
        <v>262</v>
      </c>
      <c r="C325" s="60" t="s">
        <v>10400</v>
      </c>
      <c r="D325" s="1"/>
      <c r="E325" s="68"/>
      <c r="F325" s="70"/>
      <c r="G325" s="1"/>
      <c r="H325" s="68"/>
      <c r="I325" s="70"/>
      <c r="J325" s="74" t="s">
        <v>16971</v>
      </c>
      <c r="K325" s="62"/>
      <c r="L325" s="63"/>
      <c r="M325" s="85"/>
      <c r="N325" s="64"/>
      <c r="O325" s="65"/>
      <c r="P325" s="99"/>
      <c r="Q325" s="70"/>
      <c r="R325" s="99"/>
      <c r="S325" s="70"/>
      <c r="T325" s="67"/>
      <c r="U325" s="68" t="s">
        <v>1</v>
      </c>
      <c r="V325" s="76">
        <v>0.25</v>
      </c>
      <c r="W325" s="70" t="s">
        <v>422</v>
      </c>
      <c r="X325" s="67"/>
      <c r="Y325" s="68"/>
      <c r="Z325" s="76"/>
      <c r="AA325" s="70"/>
      <c r="AB325" s="228">
        <f>ROUND((ROUND((ROUND((_15_同援日２．０*_15・基礎２),0)*(1+_15・A夜間)),0)*(1+_15・盲ろう)),0)+ROUND((ROUND((ROUND((_15_同援日２．０＿１．０*_15・基礎２),0)*(1+_15・B深夜)),0)*(1+_15・盲ろう)),0)</f>
        <v>896</v>
      </c>
      <c r="AC325" s="69"/>
    </row>
    <row r="326" spans="1:29" ht="16.5" customHeight="1" x14ac:dyDescent="0.3">
      <c r="A326" s="2">
        <v>15</v>
      </c>
      <c r="B326" s="2" t="s">
        <v>263</v>
      </c>
      <c r="C326" s="60" t="s">
        <v>10399</v>
      </c>
      <c r="D326" s="1"/>
      <c r="E326" s="68"/>
      <c r="F326" s="70"/>
      <c r="G326" s="1"/>
      <c r="H326" s="68"/>
      <c r="I326" s="70"/>
      <c r="J326" s="106" t="s">
        <v>5896</v>
      </c>
      <c r="K326" s="57" t="s">
        <v>1</v>
      </c>
      <c r="L326" s="58">
        <v>0.9</v>
      </c>
      <c r="M326" s="83" t="s">
        <v>5895</v>
      </c>
      <c r="N326" s="64" t="s">
        <v>1</v>
      </c>
      <c r="O326" s="65">
        <v>1</v>
      </c>
      <c r="P326" s="99"/>
      <c r="Q326" s="70"/>
      <c r="R326" s="99"/>
      <c r="S326" s="70"/>
      <c r="T326" s="66"/>
      <c r="U326" s="57"/>
      <c r="V326" s="58"/>
      <c r="W326" s="77"/>
      <c r="X326" s="66"/>
      <c r="Y326" s="57"/>
      <c r="Z326" s="58"/>
      <c r="AA326" s="77"/>
      <c r="AB326" s="228">
        <f>ROUND((ROUND((ROUND((ROUND((_15_同援日２．０*_15・基礎２),0)*_15・２人),0)*(1+_15・A夜間)),0)*(1+_15・盲ろう)),0)+ROUND((ROUND((ROUND((ROUND((_15_同援日２．０＿１．０*_15・基礎２),0)*_15・２人),0)*(1+_15・B深夜)),0)*(1+_15・盲ろう)),0)</f>
        <v>896</v>
      </c>
      <c r="AC326" s="69"/>
    </row>
    <row r="327" spans="1:29" ht="16.5" customHeight="1" x14ac:dyDescent="0.3">
      <c r="A327" s="2">
        <v>15</v>
      </c>
      <c r="B327" s="2" t="s">
        <v>264</v>
      </c>
      <c r="C327" s="60" t="s">
        <v>10398</v>
      </c>
      <c r="D327" s="1"/>
      <c r="E327" s="68"/>
      <c r="F327" s="70"/>
      <c r="G327" s="1"/>
      <c r="H327" s="68"/>
      <c r="I327" s="70"/>
      <c r="J327" s="61"/>
      <c r="K327" s="62"/>
      <c r="L327" s="63"/>
      <c r="M327" s="85"/>
      <c r="N327" s="64"/>
      <c r="O327" s="65"/>
      <c r="P327" s="99"/>
      <c r="Q327" s="70"/>
      <c r="R327" s="99"/>
      <c r="S327" s="70"/>
      <c r="T327" s="61"/>
      <c r="U327" s="62"/>
      <c r="V327" s="63"/>
      <c r="W327" s="75"/>
      <c r="X327" s="61"/>
      <c r="Y327" s="62"/>
      <c r="Z327" s="63"/>
      <c r="AA327" s="75"/>
      <c r="AB327" s="228">
        <f>ROUND((ROUND((_15_同援日２．０*(1+_15・A夜間)),0)*(1+_15・区３)),0)+ROUND((ROUND((_15_同援日２．０＿１．０*(1+_15・B深夜)),0)*(1+_15・区３)),0)</f>
        <v>954</v>
      </c>
      <c r="AC327" s="69"/>
    </row>
    <row r="328" spans="1:29" ht="16.5" customHeight="1" x14ac:dyDescent="0.3">
      <c r="A328" s="2">
        <v>15</v>
      </c>
      <c r="B328" s="2" t="s">
        <v>265</v>
      </c>
      <c r="C328" s="60" t="s">
        <v>10397</v>
      </c>
      <c r="D328" s="1"/>
      <c r="E328" s="68"/>
      <c r="F328" s="70"/>
      <c r="G328" s="1"/>
      <c r="H328" s="68"/>
      <c r="I328" s="70"/>
      <c r="J328" s="66"/>
      <c r="K328" s="57"/>
      <c r="L328" s="58"/>
      <c r="M328" s="83" t="s">
        <v>5895</v>
      </c>
      <c r="N328" s="64" t="s">
        <v>1</v>
      </c>
      <c r="O328" s="65">
        <v>1</v>
      </c>
      <c r="P328" s="99"/>
      <c r="Q328" s="70"/>
      <c r="R328" s="99"/>
      <c r="S328" s="70"/>
      <c r="T328" s="67"/>
      <c r="U328" s="68"/>
      <c r="V328" s="76"/>
      <c r="W328" s="70"/>
      <c r="X328" s="67"/>
      <c r="Y328" s="68"/>
      <c r="Z328" s="76"/>
      <c r="AA328" s="70"/>
      <c r="AB328" s="228">
        <f>ROUND((ROUND((ROUND((_15_同援日２．０*_15・２人),0)*(1+_15・A夜間)),0)*(1+_15・区３)),0)+ROUND((ROUND((ROUND((_15_同援日２．０＿１．０*_15・２人),0)*(1+_15・B深夜)),0)*(1+_15・区３)),0)</f>
        <v>954</v>
      </c>
      <c r="AC328" s="69"/>
    </row>
    <row r="329" spans="1:29" ht="16.5" customHeight="1" x14ac:dyDescent="0.3">
      <c r="A329" s="2">
        <v>15</v>
      </c>
      <c r="B329" s="2" t="s">
        <v>266</v>
      </c>
      <c r="C329" s="60" t="s">
        <v>10396</v>
      </c>
      <c r="D329" s="1"/>
      <c r="E329" s="68"/>
      <c r="F329" s="70"/>
      <c r="G329" s="1"/>
      <c r="H329" s="68"/>
      <c r="I329" s="70"/>
      <c r="J329" s="74" t="s">
        <v>5898</v>
      </c>
      <c r="K329" s="62"/>
      <c r="L329" s="63"/>
      <c r="M329" s="85"/>
      <c r="N329" s="64"/>
      <c r="O329" s="65"/>
      <c r="P329" s="99"/>
      <c r="Q329" s="70"/>
      <c r="R329" s="99"/>
      <c r="S329" s="70"/>
      <c r="T329" s="67"/>
      <c r="U329" s="68"/>
      <c r="V329" s="76"/>
      <c r="W329" s="70"/>
      <c r="X329" s="1" t="s">
        <v>18028</v>
      </c>
      <c r="Y329" s="68"/>
      <c r="Z329" s="76"/>
      <c r="AA329" s="70"/>
      <c r="AB329" s="228">
        <f>ROUND((ROUND((ROUND((_15_同援日２．０*_15・基礎２),0)*(1+_15・A夜間)),0)*(1+_15・区３)),0)+ROUND((ROUND((ROUND((_15_同援日２．０＿１．０*_15・基礎２),0)*(1+_15・B深夜)),0)*(1+_15・区３)),0)</f>
        <v>859</v>
      </c>
      <c r="AC329" s="69"/>
    </row>
    <row r="330" spans="1:29" ht="16.5" customHeight="1" x14ac:dyDescent="0.3">
      <c r="A330" s="2">
        <v>15</v>
      </c>
      <c r="B330" s="2" t="s">
        <v>267</v>
      </c>
      <c r="C330" s="60" t="s">
        <v>10395</v>
      </c>
      <c r="D330" s="1"/>
      <c r="E330" s="68"/>
      <c r="F330" s="70"/>
      <c r="G330" s="1"/>
      <c r="H330" s="68"/>
      <c r="I330" s="70"/>
      <c r="J330" s="106" t="s">
        <v>16812</v>
      </c>
      <c r="K330" s="57" t="s">
        <v>1</v>
      </c>
      <c r="L330" s="58">
        <v>0.9</v>
      </c>
      <c r="M330" s="83" t="s">
        <v>5895</v>
      </c>
      <c r="N330" s="64" t="s">
        <v>1</v>
      </c>
      <c r="O330" s="65">
        <v>1</v>
      </c>
      <c r="P330" s="99"/>
      <c r="Q330" s="70"/>
      <c r="R330" s="99"/>
      <c r="S330" s="70"/>
      <c r="T330" s="66"/>
      <c r="U330" s="57"/>
      <c r="V330" s="58"/>
      <c r="W330" s="77"/>
      <c r="X330" s="1" t="s">
        <v>18026</v>
      </c>
      <c r="Y330" s="68"/>
      <c r="Z330" s="76"/>
      <c r="AA330" s="70"/>
      <c r="AB330" s="228">
        <f>ROUND((ROUND((ROUND((ROUND((_15_同援日２．０*_15・基礎２),0)*_15・２人),0)*(1+_15・A夜間)),0)*(1+_15・区３)),0)+ROUND((ROUND((ROUND((ROUND((_15_同援日２．０＿１．０*_15・基礎２),0)*_15・２人),0)*(1+_15・B深夜)),0)*(1+_15・区３)),0)</f>
        <v>859</v>
      </c>
      <c r="AC330" s="69"/>
    </row>
    <row r="331" spans="1:29" ht="16.5" customHeight="1" x14ac:dyDescent="0.3">
      <c r="A331" s="2">
        <v>15</v>
      </c>
      <c r="B331" s="2" t="s">
        <v>268</v>
      </c>
      <c r="C331" s="60" t="s">
        <v>10394</v>
      </c>
      <c r="D331" s="1"/>
      <c r="E331" s="68"/>
      <c r="F331" s="70"/>
      <c r="G331" s="1"/>
      <c r="H331" s="68"/>
      <c r="I331" s="70"/>
      <c r="J331" s="61"/>
      <c r="K331" s="62"/>
      <c r="L331" s="63"/>
      <c r="M331" s="85"/>
      <c r="N331" s="64"/>
      <c r="O331" s="65"/>
      <c r="P331" s="99"/>
      <c r="Q331" s="70"/>
      <c r="R331" s="99"/>
      <c r="S331" s="70"/>
      <c r="T331" s="74" t="s">
        <v>8085</v>
      </c>
      <c r="U331" s="62"/>
      <c r="V331" s="63"/>
      <c r="W331" s="75"/>
      <c r="X331" s="67"/>
      <c r="Y331" s="68" t="s">
        <v>1</v>
      </c>
      <c r="Z331" s="76">
        <v>0.2</v>
      </c>
      <c r="AA331" s="70" t="s">
        <v>422</v>
      </c>
      <c r="AB331" s="228">
        <f>ROUND((ROUND((ROUND((_15_同援日２．０*(1+_15・A夜間)),0)*(1+_15・盲ろう)),0)*(1+_15・区３)),0)+ROUND((ROUND((ROUND((_15_同援日２．０＿１．０*(1+_15・B深夜)),0)*(1+_15・盲ろう)),0)*(1+_15・区３)),0)</f>
        <v>1193</v>
      </c>
      <c r="AC331" s="69"/>
    </row>
    <row r="332" spans="1:29" ht="16.5" customHeight="1" x14ac:dyDescent="0.3">
      <c r="A332" s="2">
        <v>15</v>
      </c>
      <c r="B332" s="2" t="s">
        <v>269</v>
      </c>
      <c r="C332" s="60" t="s">
        <v>10393</v>
      </c>
      <c r="D332" s="1"/>
      <c r="E332" s="68"/>
      <c r="F332" s="70"/>
      <c r="G332" s="1"/>
      <c r="H332" s="68"/>
      <c r="I332" s="70"/>
      <c r="J332" s="66"/>
      <c r="K332" s="57"/>
      <c r="L332" s="58"/>
      <c r="M332" s="83" t="s">
        <v>5895</v>
      </c>
      <c r="N332" s="64" t="s">
        <v>1</v>
      </c>
      <c r="O332" s="65">
        <v>1</v>
      </c>
      <c r="P332" s="99"/>
      <c r="Q332" s="70"/>
      <c r="R332" s="99"/>
      <c r="S332" s="70"/>
      <c r="T332" s="94" t="s">
        <v>18086</v>
      </c>
      <c r="U332" s="68"/>
      <c r="V332" s="76"/>
      <c r="W332" s="70"/>
      <c r="X332" s="67"/>
      <c r="Y332" s="68"/>
      <c r="Z332" s="76"/>
      <c r="AA332" s="70"/>
      <c r="AB332" s="228">
        <f>ROUND((ROUND((ROUND((ROUND((_15_同援日２．０*_15・２人),0)*(1+_15・A夜間)),0)*(1+_15・盲ろう)),0)*(1+_15・区３)),0)+ROUND((ROUND((ROUND((ROUND((_15_同援日２．０＿１．０*_15・２人),0)*(1+_15・B深夜)),0)*(1+_15・盲ろう)),0)*(1+_15・区３)),0)</f>
        <v>1193</v>
      </c>
      <c r="AC332" s="69"/>
    </row>
    <row r="333" spans="1:29" ht="16.5" customHeight="1" x14ac:dyDescent="0.3">
      <c r="A333" s="2">
        <v>15</v>
      </c>
      <c r="B333" s="2" t="s">
        <v>270</v>
      </c>
      <c r="C333" s="60" t="s">
        <v>10392</v>
      </c>
      <c r="D333" s="1"/>
      <c r="E333" s="68"/>
      <c r="F333" s="70"/>
      <c r="G333" s="1"/>
      <c r="H333" s="68"/>
      <c r="I333" s="70"/>
      <c r="J333" s="74" t="s">
        <v>16971</v>
      </c>
      <c r="K333" s="62"/>
      <c r="L333" s="63"/>
      <c r="M333" s="85"/>
      <c r="N333" s="64"/>
      <c r="O333" s="65"/>
      <c r="P333" s="99"/>
      <c r="Q333" s="70"/>
      <c r="R333" s="99"/>
      <c r="S333" s="70"/>
      <c r="T333" s="67"/>
      <c r="U333" s="68" t="s">
        <v>1</v>
      </c>
      <c r="V333" s="76">
        <v>0.25</v>
      </c>
      <c r="W333" s="70" t="s">
        <v>422</v>
      </c>
      <c r="X333" s="67"/>
      <c r="Y333" s="68"/>
      <c r="Z333" s="76"/>
      <c r="AA333" s="70"/>
      <c r="AB333" s="228">
        <f>ROUND((ROUND((ROUND((ROUND((_15_同援日２．０*_15・基礎２),0)*(1+_15・A夜間)),0)*(1+_15・盲ろう)),0)*(1+_15・区３)),0)+ROUND((ROUND((ROUND((ROUND((_15_同援日２．０＿１．０*_15・基礎２),0)*(1+_15・B深夜)),0)*(1+_15・盲ろう)),0)*(1+_15・区３)),0)</f>
        <v>1076</v>
      </c>
      <c r="AC333" s="69"/>
    </row>
    <row r="334" spans="1:29" ht="16.5" customHeight="1" x14ac:dyDescent="0.3">
      <c r="A334" s="2">
        <v>15</v>
      </c>
      <c r="B334" s="2" t="s">
        <v>271</v>
      </c>
      <c r="C334" s="60" t="s">
        <v>10391</v>
      </c>
      <c r="D334" s="1"/>
      <c r="E334" s="68"/>
      <c r="F334" s="70"/>
      <c r="G334" s="1"/>
      <c r="H334" s="68"/>
      <c r="I334" s="70"/>
      <c r="J334" s="106" t="s">
        <v>16970</v>
      </c>
      <c r="K334" s="57" t="s">
        <v>1</v>
      </c>
      <c r="L334" s="58">
        <v>0.9</v>
      </c>
      <c r="M334" s="83" t="s">
        <v>5895</v>
      </c>
      <c r="N334" s="64" t="s">
        <v>1</v>
      </c>
      <c r="O334" s="65">
        <v>1</v>
      </c>
      <c r="P334" s="99"/>
      <c r="Q334" s="70"/>
      <c r="R334" s="99"/>
      <c r="S334" s="70"/>
      <c r="T334" s="66"/>
      <c r="U334" s="57"/>
      <c r="V334" s="58"/>
      <c r="W334" s="77"/>
      <c r="X334" s="66"/>
      <c r="Y334" s="57"/>
      <c r="Z334" s="58"/>
      <c r="AA334" s="77"/>
      <c r="AB334" s="228">
        <f>ROUND((ROUND((ROUND((ROUND((ROUND((_15_同援日２．０*_15・基礎２),0)*_15・２人),0)*(1+_15・A夜間)),0)*(1+_15・盲ろう)),0)*(1+_15・区３)),0)+ROUND((ROUND((ROUND((ROUND((ROUND((_15_同援日２．０＿１．０*_15・基礎２),0)*_15・２人),0)*(1+_15・B深夜)),0)*(1+_15・盲ろう)),0)*(1+_15・区３)),0)</f>
        <v>1076</v>
      </c>
      <c r="AC334" s="69"/>
    </row>
    <row r="335" spans="1:29" ht="16.5" customHeight="1" x14ac:dyDescent="0.3">
      <c r="A335" s="2">
        <v>15</v>
      </c>
      <c r="B335" s="2" t="s">
        <v>272</v>
      </c>
      <c r="C335" s="60" t="s">
        <v>10390</v>
      </c>
      <c r="D335" s="1"/>
      <c r="E335" s="68"/>
      <c r="F335" s="70"/>
      <c r="G335" s="1"/>
      <c r="H335" s="68"/>
      <c r="I335" s="70"/>
      <c r="J335" s="61"/>
      <c r="K335" s="62"/>
      <c r="L335" s="63"/>
      <c r="M335" s="85"/>
      <c r="N335" s="64"/>
      <c r="O335" s="65"/>
      <c r="P335" s="99"/>
      <c r="Q335" s="70"/>
      <c r="R335" s="99"/>
      <c r="S335" s="70"/>
      <c r="T335" s="61"/>
      <c r="U335" s="62"/>
      <c r="V335" s="63"/>
      <c r="W335" s="75"/>
      <c r="X335" s="61"/>
      <c r="Y335" s="62"/>
      <c r="Z335" s="63"/>
      <c r="AA335" s="75"/>
      <c r="AB335" s="228">
        <f>ROUND((ROUND((_15_同援日２．０*(1+_15・A夜間)),0)*(1+_15・区４)),0)+ROUND((ROUND((_15_同援日２．０＿１．０*(1+_15・B深夜)),0)*(1+_15・区４)),0)</f>
        <v>1113</v>
      </c>
      <c r="AC335" s="69"/>
    </row>
    <row r="336" spans="1:29" ht="16.5" customHeight="1" x14ac:dyDescent="0.3">
      <c r="A336" s="2">
        <v>15</v>
      </c>
      <c r="B336" s="2" t="s">
        <v>273</v>
      </c>
      <c r="C336" s="60" t="s">
        <v>10389</v>
      </c>
      <c r="D336" s="1"/>
      <c r="E336" s="68"/>
      <c r="F336" s="70"/>
      <c r="G336" s="1"/>
      <c r="H336" s="68"/>
      <c r="I336" s="70"/>
      <c r="J336" s="66"/>
      <c r="K336" s="57"/>
      <c r="L336" s="58"/>
      <c r="M336" s="83" t="s">
        <v>5895</v>
      </c>
      <c r="N336" s="64" t="s">
        <v>1</v>
      </c>
      <c r="O336" s="65">
        <v>1</v>
      </c>
      <c r="P336" s="99"/>
      <c r="Q336" s="70"/>
      <c r="R336" s="99"/>
      <c r="S336" s="70"/>
      <c r="T336" s="67"/>
      <c r="U336" s="68"/>
      <c r="V336" s="76"/>
      <c r="W336" s="70"/>
      <c r="X336" s="67"/>
      <c r="Y336" s="68"/>
      <c r="Z336" s="76"/>
      <c r="AA336" s="70"/>
      <c r="AB336" s="228">
        <f>ROUND((ROUND((ROUND((_15_同援日２．０*_15・２人),0)*(1+_15・A夜間)),0)*(1+_15・区４)),0)+ROUND((ROUND((ROUND((_15_同援日２．０＿１．０*_15・２人),0)*(1+_15・B深夜)),0)*(1+_15・区４)),0)</f>
        <v>1113</v>
      </c>
      <c r="AC336" s="69"/>
    </row>
    <row r="337" spans="1:29" ht="16.5" customHeight="1" x14ac:dyDescent="0.3">
      <c r="A337" s="2">
        <v>15</v>
      </c>
      <c r="B337" s="2" t="s">
        <v>274</v>
      </c>
      <c r="C337" s="60" t="s">
        <v>10388</v>
      </c>
      <c r="D337" s="1"/>
      <c r="E337" s="68"/>
      <c r="F337" s="70"/>
      <c r="G337" s="1"/>
      <c r="H337" s="68"/>
      <c r="I337" s="70"/>
      <c r="J337" s="74" t="s">
        <v>16971</v>
      </c>
      <c r="K337" s="62"/>
      <c r="L337" s="63"/>
      <c r="M337" s="85"/>
      <c r="N337" s="64"/>
      <c r="O337" s="65"/>
      <c r="P337" s="99"/>
      <c r="Q337" s="70"/>
      <c r="R337" s="99"/>
      <c r="S337" s="70"/>
      <c r="T337" s="67"/>
      <c r="U337" s="68"/>
      <c r="V337" s="76"/>
      <c r="W337" s="70"/>
      <c r="X337" s="1" t="s">
        <v>8089</v>
      </c>
      <c r="Y337" s="68"/>
      <c r="Z337" s="76"/>
      <c r="AA337" s="70"/>
      <c r="AB337" s="228">
        <f>ROUND((ROUND((ROUND((_15_同援日２．０*_15・基礎２),0)*(1+_15・A夜間)),0)*(1+_15・区４)),0)+ROUND((ROUND((ROUND((_15_同援日２．０＿１．０*_15・基礎２),0)*(1+_15・B深夜)),0)*(1+_15・区４)),0)</f>
        <v>1002</v>
      </c>
      <c r="AC337" s="69"/>
    </row>
    <row r="338" spans="1:29" ht="16.5" customHeight="1" x14ac:dyDescent="0.3">
      <c r="A338" s="2">
        <v>15</v>
      </c>
      <c r="B338" s="2" t="s">
        <v>275</v>
      </c>
      <c r="C338" s="60" t="s">
        <v>10387</v>
      </c>
      <c r="D338" s="1"/>
      <c r="E338" s="68"/>
      <c r="F338" s="70"/>
      <c r="G338" s="1"/>
      <c r="H338" s="68"/>
      <c r="I338" s="70"/>
      <c r="J338" s="106" t="s">
        <v>16970</v>
      </c>
      <c r="K338" s="57" t="s">
        <v>1</v>
      </c>
      <c r="L338" s="58">
        <v>0.9</v>
      </c>
      <c r="M338" s="83" t="s">
        <v>5895</v>
      </c>
      <c r="N338" s="64" t="s">
        <v>1</v>
      </c>
      <c r="O338" s="65">
        <v>1</v>
      </c>
      <c r="P338" s="99"/>
      <c r="Q338" s="70"/>
      <c r="R338" s="99"/>
      <c r="S338" s="70"/>
      <c r="T338" s="66"/>
      <c r="U338" s="57"/>
      <c r="V338" s="58"/>
      <c r="W338" s="77"/>
      <c r="X338" s="1" t="s">
        <v>18026</v>
      </c>
      <c r="Y338" s="68"/>
      <c r="Z338" s="76"/>
      <c r="AA338" s="70"/>
      <c r="AB338" s="228">
        <f>ROUND((ROUND((ROUND((ROUND((_15_同援日２．０*_15・基礎２),0)*_15・２人),0)*(1+_15・A夜間)),0)*(1+_15・区４)),0)+ROUND((ROUND((ROUND((ROUND((_15_同援日２．０＿１．０*_15・基礎２),0)*_15・２人),0)*(1+_15・B深夜)),0)*(1+_15・区４)),0)</f>
        <v>1002</v>
      </c>
      <c r="AC338" s="69"/>
    </row>
    <row r="339" spans="1:29" ht="16.5" customHeight="1" x14ac:dyDescent="0.3">
      <c r="A339" s="2">
        <v>15</v>
      </c>
      <c r="B339" s="2" t="s">
        <v>276</v>
      </c>
      <c r="C339" s="60" t="s">
        <v>10386</v>
      </c>
      <c r="D339" s="1"/>
      <c r="E339" s="68"/>
      <c r="F339" s="70"/>
      <c r="G339" s="1"/>
      <c r="H339" s="68"/>
      <c r="I339" s="70"/>
      <c r="J339" s="61"/>
      <c r="K339" s="62"/>
      <c r="L339" s="63"/>
      <c r="M339" s="85"/>
      <c r="N339" s="64"/>
      <c r="O339" s="65"/>
      <c r="P339" s="99"/>
      <c r="Q339" s="70"/>
      <c r="R339" s="99"/>
      <c r="S339" s="70"/>
      <c r="T339" s="74" t="s">
        <v>18025</v>
      </c>
      <c r="U339" s="62"/>
      <c r="V339" s="63"/>
      <c r="W339" s="75"/>
      <c r="X339" s="67"/>
      <c r="Y339" s="68" t="s">
        <v>1</v>
      </c>
      <c r="Z339" s="76">
        <v>0.4</v>
      </c>
      <c r="AA339" s="70" t="s">
        <v>422</v>
      </c>
      <c r="AB339" s="228">
        <f>ROUND((ROUND((ROUND((_15_同援日２．０*(1+_15・A夜間)),0)*(1+_15・盲ろう)),0)*(1+_15・区４)),0)+ROUND((ROUND((ROUND((_15_同援日２．０＿１．０*(1+_15・B深夜)),0)*(1+_15・盲ろう)),0)*(1+_15・区４)),0)</f>
        <v>1391</v>
      </c>
      <c r="AC339" s="69"/>
    </row>
    <row r="340" spans="1:29" ht="16.5" customHeight="1" x14ac:dyDescent="0.3">
      <c r="A340" s="2">
        <v>15</v>
      </c>
      <c r="B340" s="2" t="s">
        <v>277</v>
      </c>
      <c r="C340" s="60" t="s">
        <v>10385</v>
      </c>
      <c r="D340" s="1"/>
      <c r="E340" s="68"/>
      <c r="F340" s="70"/>
      <c r="G340" s="1"/>
      <c r="H340" s="68"/>
      <c r="I340" s="70"/>
      <c r="J340" s="66"/>
      <c r="K340" s="57"/>
      <c r="L340" s="58"/>
      <c r="M340" s="83" t="s">
        <v>5895</v>
      </c>
      <c r="N340" s="64" t="s">
        <v>1</v>
      </c>
      <c r="O340" s="65">
        <v>1</v>
      </c>
      <c r="P340" s="99"/>
      <c r="Q340" s="70"/>
      <c r="R340" s="99"/>
      <c r="S340" s="70"/>
      <c r="T340" s="94" t="s">
        <v>18024</v>
      </c>
      <c r="U340" s="68"/>
      <c r="V340" s="76"/>
      <c r="W340" s="70"/>
      <c r="X340" s="67"/>
      <c r="Y340" s="68"/>
      <c r="Z340" s="76"/>
      <c r="AA340" s="70"/>
      <c r="AB340" s="228">
        <f>ROUND((ROUND((ROUND((ROUND((_15_同援日２．０*_15・２人),0)*(1+_15・A夜間)),0)*(1+_15・盲ろう)),0)*(1+_15・区４)),0)+ROUND((ROUND((ROUND((ROUND((_15_同援日２．０＿１．０*_15・２人),0)*(1+_15・B深夜)),0)*(1+_15・盲ろう)),0)*(1+_15・区４)),0)</f>
        <v>1391</v>
      </c>
      <c r="AC340" s="69"/>
    </row>
    <row r="341" spans="1:29" ht="16.5" customHeight="1" x14ac:dyDescent="0.3">
      <c r="A341" s="2">
        <v>15</v>
      </c>
      <c r="B341" s="2" t="s">
        <v>278</v>
      </c>
      <c r="C341" s="60" t="s">
        <v>10384</v>
      </c>
      <c r="D341" s="1"/>
      <c r="E341" s="68"/>
      <c r="F341" s="70"/>
      <c r="G341" s="1"/>
      <c r="H341" s="68"/>
      <c r="I341" s="70"/>
      <c r="J341" s="74" t="s">
        <v>16971</v>
      </c>
      <c r="K341" s="62"/>
      <c r="L341" s="63"/>
      <c r="M341" s="85"/>
      <c r="N341" s="64"/>
      <c r="O341" s="65"/>
      <c r="P341" s="99"/>
      <c r="Q341" s="70"/>
      <c r="R341" s="99"/>
      <c r="S341" s="70"/>
      <c r="T341" s="67"/>
      <c r="U341" s="68" t="s">
        <v>1</v>
      </c>
      <c r="V341" s="76">
        <v>0.25</v>
      </c>
      <c r="W341" s="70" t="s">
        <v>422</v>
      </c>
      <c r="X341" s="67"/>
      <c r="Y341" s="68"/>
      <c r="Z341" s="76"/>
      <c r="AA341" s="70"/>
      <c r="AB341" s="228">
        <f>ROUND((ROUND((ROUND((ROUND((_15_同援日２．０*_15・基礎２),0)*(1+_15・A夜間)),0)*(1+_15・盲ろう)),0)*(1+_15・区４)),0)+ROUND((ROUND((ROUND((ROUND((_15_同援日２．０＿１．０*_15・基礎２),0)*(1+_15・B深夜)),0)*(1+_15・盲ろう)),0)*(1+_15・区４)),0)</f>
        <v>1254</v>
      </c>
      <c r="AC341" s="69"/>
    </row>
    <row r="342" spans="1:29" ht="16.5" customHeight="1" x14ac:dyDescent="0.3">
      <c r="A342" s="2">
        <v>15</v>
      </c>
      <c r="B342" s="2" t="s">
        <v>279</v>
      </c>
      <c r="C342" s="60" t="s">
        <v>10383</v>
      </c>
      <c r="D342" s="81"/>
      <c r="E342" s="57"/>
      <c r="F342" s="77"/>
      <c r="G342" s="81"/>
      <c r="H342" s="57"/>
      <c r="I342" s="77"/>
      <c r="J342" s="106" t="s">
        <v>17053</v>
      </c>
      <c r="K342" s="57" t="s">
        <v>1</v>
      </c>
      <c r="L342" s="58">
        <v>0.9</v>
      </c>
      <c r="M342" s="83" t="s">
        <v>5895</v>
      </c>
      <c r="N342" s="64" t="s">
        <v>1</v>
      </c>
      <c r="O342" s="65">
        <v>1</v>
      </c>
      <c r="P342" s="99"/>
      <c r="Q342" s="70"/>
      <c r="R342" s="99"/>
      <c r="S342" s="70"/>
      <c r="T342" s="66"/>
      <c r="U342" s="57"/>
      <c r="V342" s="58"/>
      <c r="W342" s="77"/>
      <c r="X342" s="66"/>
      <c r="Y342" s="57"/>
      <c r="Z342" s="58"/>
      <c r="AA342" s="77"/>
      <c r="AB342" s="228">
        <f>ROUND((ROUND((ROUND((ROUND((ROUND((_15_同援日２．０*_15・基礎２),0)*_15・２人),0)*(1+_15・A夜間)),0)*(1+_15・盲ろう)),0)*(1+_15・区４)),0)+ROUND((ROUND((ROUND((ROUND((ROUND((_15_同援日２．０＿１．０*_15・基礎２),0)*_15・２人),0)*(1+_15・B深夜)),0)*(1+_15・盲ろう)),0)*(1+_15・区４)),0)</f>
        <v>1254</v>
      </c>
      <c r="AC342" s="69"/>
    </row>
    <row r="343" spans="1:29" ht="16.5" customHeight="1" x14ac:dyDescent="0.3">
      <c r="A343" s="2">
        <v>15</v>
      </c>
      <c r="B343" s="2" t="s">
        <v>280</v>
      </c>
      <c r="C343" s="60" t="s">
        <v>10382</v>
      </c>
      <c r="D343" s="233" t="s">
        <v>18085</v>
      </c>
      <c r="E343" s="62"/>
      <c r="F343" s="75"/>
      <c r="G343" s="233" t="s">
        <v>17714</v>
      </c>
      <c r="H343" s="62"/>
      <c r="I343" s="75"/>
      <c r="J343" s="61"/>
      <c r="K343" s="62"/>
      <c r="L343" s="63"/>
      <c r="M343" s="85"/>
      <c r="N343" s="64"/>
      <c r="O343" s="65"/>
      <c r="P343" s="99"/>
      <c r="Q343" s="70"/>
      <c r="R343" s="99"/>
      <c r="S343" s="70"/>
      <c r="T343" s="61"/>
      <c r="U343" s="62"/>
      <c r="V343" s="63"/>
      <c r="W343" s="75"/>
      <c r="X343" s="61"/>
      <c r="Y343" s="62"/>
      <c r="Z343" s="63"/>
      <c r="AA343" s="75"/>
      <c r="AB343" s="228">
        <f>ROUND((_15_同援日２．５*(1+_15・A夜間)),0)+ROUND((_15_同援日２．５＿０．５*(1+_15・B深夜)),0)</f>
        <v>780</v>
      </c>
      <c r="AC343" s="69"/>
    </row>
    <row r="344" spans="1:29" ht="16.5" customHeight="1" x14ac:dyDescent="0.3">
      <c r="A344" s="2">
        <v>15</v>
      </c>
      <c r="B344" s="2" t="s">
        <v>281</v>
      </c>
      <c r="C344" s="60" t="s">
        <v>10381</v>
      </c>
      <c r="D344" s="1" t="s">
        <v>16974</v>
      </c>
      <c r="E344" s="68"/>
      <c r="F344" s="70"/>
      <c r="G344" s="1" t="s">
        <v>7928</v>
      </c>
      <c r="H344" s="68"/>
      <c r="I344" s="70"/>
      <c r="J344" s="66"/>
      <c r="K344" s="57"/>
      <c r="L344" s="58"/>
      <c r="M344" s="83" t="s">
        <v>5895</v>
      </c>
      <c r="N344" s="64" t="s">
        <v>1</v>
      </c>
      <c r="O344" s="65">
        <v>1</v>
      </c>
      <c r="P344" s="99"/>
      <c r="Q344" s="70"/>
      <c r="R344" s="99"/>
      <c r="S344" s="70"/>
      <c r="T344" s="67"/>
      <c r="U344" s="68"/>
      <c r="V344" s="76"/>
      <c r="W344" s="70"/>
      <c r="X344" s="67"/>
      <c r="Y344" s="68"/>
      <c r="Z344" s="76"/>
      <c r="AA344" s="70"/>
      <c r="AB344" s="228">
        <f>ROUND((ROUND((_15_同援日２．５*_15・２人),0)*(1+_15・A夜間)),0)+ROUND((ROUND((_15_同援日２．５＿０．５*_15・２人),0)*(1+_15・B深夜)),0)</f>
        <v>780</v>
      </c>
      <c r="AC344" s="69"/>
    </row>
    <row r="345" spans="1:29" ht="16.5" customHeight="1" x14ac:dyDescent="0.3">
      <c r="A345" s="2">
        <v>15</v>
      </c>
      <c r="B345" s="2" t="s">
        <v>282</v>
      </c>
      <c r="C345" s="60" t="s">
        <v>10380</v>
      </c>
      <c r="D345" s="1" t="s">
        <v>8499</v>
      </c>
      <c r="E345" s="68"/>
      <c r="F345" s="70"/>
      <c r="G345" s="1"/>
      <c r="H345" s="68"/>
      <c r="I345" s="70"/>
      <c r="J345" s="74" t="s">
        <v>16971</v>
      </c>
      <c r="K345" s="62"/>
      <c r="L345" s="63"/>
      <c r="M345" s="85"/>
      <c r="N345" s="64"/>
      <c r="O345" s="65"/>
      <c r="P345" s="99"/>
      <c r="Q345" s="70"/>
      <c r="R345" s="99"/>
      <c r="S345" s="70"/>
      <c r="T345" s="67"/>
      <c r="U345" s="68"/>
      <c r="V345" s="76"/>
      <c r="W345" s="70"/>
      <c r="X345" s="67"/>
      <c r="Y345" s="68"/>
      <c r="Z345" s="76"/>
      <c r="AA345" s="70"/>
      <c r="AB345" s="228">
        <f>ROUND((ROUND((_15_同援日２．５*_15・基礎２),0)*(1+_15・A夜間)),0)+ROUND((ROUND((_15_同援日２．５＿０．５*_15・基礎２),0)*(1+_15・B深夜)),0)</f>
        <v>702</v>
      </c>
      <c r="AC345" s="69"/>
    </row>
    <row r="346" spans="1:29" ht="16.5" customHeight="1" x14ac:dyDescent="0.3">
      <c r="A346" s="2">
        <v>15</v>
      </c>
      <c r="B346" s="2" t="s">
        <v>283</v>
      </c>
      <c r="C346" s="60" t="s">
        <v>10379</v>
      </c>
      <c r="D346" s="1"/>
      <c r="E346" s="227">
        <v>548</v>
      </c>
      <c r="F346" s="70" t="s">
        <v>0</v>
      </c>
      <c r="G346" s="1"/>
      <c r="H346" s="119">
        <v>63</v>
      </c>
      <c r="I346" s="70" t="s">
        <v>0</v>
      </c>
      <c r="J346" s="106" t="s">
        <v>16970</v>
      </c>
      <c r="K346" s="57" t="s">
        <v>1</v>
      </c>
      <c r="L346" s="58">
        <v>0.9</v>
      </c>
      <c r="M346" s="83" t="s">
        <v>5895</v>
      </c>
      <c r="N346" s="64" t="s">
        <v>1</v>
      </c>
      <c r="O346" s="65">
        <v>1</v>
      </c>
      <c r="P346" s="99"/>
      <c r="Q346" s="70"/>
      <c r="R346" s="99"/>
      <c r="S346" s="70"/>
      <c r="T346" s="66"/>
      <c r="U346" s="57"/>
      <c r="V346" s="58"/>
      <c r="W346" s="77"/>
      <c r="X346" s="67"/>
      <c r="Y346" s="68"/>
      <c r="Z346" s="76"/>
      <c r="AA346" s="70"/>
      <c r="AB346" s="228">
        <f>ROUND((ROUND((ROUND((_15_同援日２．５*_15・基礎２),0)*_15・２人),0)*(1+_15・A夜間)),0)+ROUND((ROUND((ROUND((_15_同援日２．５＿０．５*_15・基礎２),0)*_15・２人),0)*(1+_15・B深夜)),0)</f>
        <v>702</v>
      </c>
      <c r="AC346" s="69"/>
    </row>
    <row r="347" spans="1:29" ht="16.5" customHeight="1" x14ac:dyDescent="0.3">
      <c r="A347" s="2">
        <v>15</v>
      </c>
      <c r="B347" s="2" t="s">
        <v>284</v>
      </c>
      <c r="C347" s="60" t="s">
        <v>10378</v>
      </c>
      <c r="D347" s="1"/>
      <c r="E347" s="68"/>
      <c r="F347" s="70"/>
      <c r="G347" s="1"/>
      <c r="H347" s="68"/>
      <c r="I347" s="70"/>
      <c r="J347" s="61"/>
      <c r="K347" s="62"/>
      <c r="L347" s="63"/>
      <c r="M347" s="85"/>
      <c r="N347" s="64"/>
      <c r="O347" s="65"/>
      <c r="P347" s="99"/>
      <c r="Q347" s="70"/>
      <c r="R347" s="99"/>
      <c r="S347" s="70"/>
      <c r="T347" s="74" t="s">
        <v>8085</v>
      </c>
      <c r="U347" s="62"/>
      <c r="V347" s="63"/>
      <c r="W347" s="75"/>
      <c r="X347" s="67"/>
      <c r="Y347" s="68"/>
      <c r="Z347" s="76"/>
      <c r="AA347" s="70"/>
      <c r="AB347" s="228">
        <f>ROUND((ROUND((_15_同援日２．５*(1+_15・A夜間)),0)*(1+_15・盲ろう)),0)+ROUND((ROUND((_15_同援日２．５＿０．５*(1+_15・B深夜)),0)*(1+_15・盲ろう)),0)</f>
        <v>975</v>
      </c>
      <c r="AC347" s="69"/>
    </row>
    <row r="348" spans="1:29" ht="16.5" customHeight="1" x14ac:dyDescent="0.3">
      <c r="A348" s="2">
        <v>15</v>
      </c>
      <c r="B348" s="2" t="s">
        <v>285</v>
      </c>
      <c r="C348" s="60" t="s">
        <v>10377</v>
      </c>
      <c r="D348" s="1"/>
      <c r="E348" s="68"/>
      <c r="F348" s="70"/>
      <c r="G348" s="1"/>
      <c r="H348" s="68"/>
      <c r="I348" s="70"/>
      <c r="J348" s="66"/>
      <c r="K348" s="57"/>
      <c r="L348" s="58"/>
      <c r="M348" s="83" t="s">
        <v>5895</v>
      </c>
      <c r="N348" s="64" t="s">
        <v>1</v>
      </c>
      <c r="O348" s="65">
        <v>1</v>
      </c>
      <c r="P348" s="99"/>
      <c r="Q348" s="70"/>
      <c r="R348" s="99"/>
      <c r="S348" s="70"/>
      <c r="T348" s="94" t="s">
        <v>18024</v>
      </c>
      <c r="U348" s="68"/>
      <c r="V348" s="76"/>
      <c r="W348" s="70"/>
      <c r="X348" s="67"/>
      <c r="Y348" s="68"/>
      <c r="Z348" s="76"/>
      <c r="AA348" s="70"/>
      <c r="AB348" s="228">
        <f>ROUND((ROUND((ROUND((_15_同援日２．５*_15・２人),0)*(1+_15・A夜間)),0)*(1+_15・盲ろう)),0)+ROUND((ROUND((ROUND((_15_同援日２．５＿０．５*_15・２人),0)*(1+_15・B深夜)),0)*(1+_15・盲ろう)),0)</f>
        <v>975</v>
      </c>
      <c r="AC348" s="69"/>
    </row>
    <row r="349" spans="1:29" ht="16.5" customHeight="1" x14ac:dyDescent="0.3">
      <c r="A349" s="2">
        <v>15</v>
      </c>
      <c r="B349" s="2" t="s">
        <v>286</v>
      </c>
      <c r="C349" s="60" t="s">
        <v>10376</v>
      </c>
      <c r="D349" s="1"/>
      <c r="E349" s="68"/>
      <c r="F349" s="70"/>
      <c r="G349" s="1"/>
      <c r="H349" s="68"/>
      <c r="I349" s="70"/>
      <c r="J349" s="74" t="s">
        <v>16971</v>
      </c>
      <c r="K349" s="62"/>
      <c r="L349" s="63"/>
      <c r="M349" s="85"/>
      <c r="N349" s="64"/>
      <c r="O349" s="65"/>
      <c r="P349" s="99"/>
      <c r="Q349" s="70"/>
      <c r="R349" s="99"/>
      <c r="S349" s="70"/>
      <c r="T349" s="67"/>
      <c r="U349" s="68" t="s">
        <v>1</v>
      </c>
      <c r="V349" s="76">
        <v>0.25</v>
      </c>
      <c r="W349" s="70" t="s">
        <v>422</v>
      </c>
      <c r="X349" s="67"/>
      <c r="Y349" s="68"/>
      <c r="Z349" s="76"/>
      <c r="AA349" s="70"/>
      <c r="AB349" s="228">
        <f>ROUND((ROUND((ROUND((_15_同援日２．５*_15・基礎２),0)*(1+_15・A夜間)),0)*(1+_15・盲ろう)),0)+ROUND((ROUND((ROUND((_15_同援日２．５＿０．５*_15・基礎２),0)*(1+_15・B深夜)),0)*(1+_15・盲ろう)),0)</f>
        <v>878</v>
      </c>
      <c r="AC349" s="69"/>
    </row>
    <row r="350" spans="1:29" ht="16.5" customHeight="1" x14ac:dyDescent="0.3">
      <c r="A350" s="2">
        <v>15</v>
      </c>
      <c r="B350" s="2" t="s">
        <v>287</v>
      </c>
      <c r="C350" s="60" t="s">
        <v>10375</v>
      </c>
      <c r="D350" s="1"/>
      <c r="E350" s="68"/>
      <c r="F350" s="70"/>
      <c r="G350" s="1"/>
      <c r="H350" s="68"/>
      <c r="I350" s="70"/>
      <c r="J350" s="106" t="s">
        <v>16970</v>
      </c>
      <c r="K350" s="57" t="s">
        <v>1</v>
      </c>
      <c r="L350" s="58">
        <v>0.9</v>
      </c>
      <c r="M350" s="83" t="s">
        <v>5895</v>
      </c>
      <c r="N350" s="64" t="s">
        <v>1</v>
      </c>
      <c r="O350" s="65">
        <v>1</v>
      </c>
      <c r="P350" s="99"/>
      <c r="Q350" s="70"/>
      <c r="R350" s="99"/>
      <c r="S350" s="70"/>
      <c r="T350" s="66"/>
      <c r="U350" s="57"/>
      <c r="V350" s="58"/>
      <c r="W350" s="77"/>
      <c r="X350" s="66"/>
      <c r="Y350" s="57"/>
      <c r="Z350" s="58"/>
      <c r="AA350" s="77"/>
      <c r="AB350" s="228">
        <f>ROUND((ROUND((ROUND((ROUND((_15_同援日２．５*_15・基礎２),0)*_15・２人),0)*(1+_15・A夜間)),0)*(1+_15・盲ろう)),0)+ROUND((ROUND((ROUND((ROUND((_15_同援日２．５＿０．５*_15・基礎２),0)*_15・２人),0)*(1+_15・B深夜)),0)*(1+_15・盲ろう)),0)</f>
        <v>878</v>
      </c>
      <c r="AC350" s="69"/>
    </row>
    <row r="351" spans="1:29" ht="16.5" customHeight="1" x14ac:dyDescent="0.3">
      <c r="A351" s="2">
        <v>15</v>
      </c>
      <c r="B351" s="2" t="s">
        <v>288</v>
      </c>
      <c r="C351" s="60" t="s">
        <v>10374</v>
      </c>
      <c r="D351" s="1"/>
      <c r="E351" s="68"/>
      <c r="F351" s="70"/>
      <c r="G351" s="1"/>
      <c r="H351" s="68"/>
      <c r="I351" s="70"/>
      <c r="J351" s="61"/>
      <c r="K351" s="62"/>
      <c r="L351" s="63"/>
      <c r="M351" s="85"/>
      <c r="N351" s="64"/>
      <c r="O351" s="65"/>
      <c r="P351" s="99"/>
      <c r="Q351" s="70"/>
      <c r="R351" s="99"/>
      <c r="S351" s="70"/>
      <c r="T351" s="61"/>
      <c r="U351" s="62"/>
      <c r="V351" s="63"/>
      <c r="W351" s="75"/>
      <c r="X351" s="61"/>
      <c r="Y351" s="62"/>
      <c r="Z351" s="63"/>
      <c r="AA351" s="75"/>
      <c r="AB351" s="228">
        <f>ROUND((ROUND((_15_同援日２．５*(1+_15・A夜間)),0)*(1+_15・区３)),0)+ROUND((ROUND((_15_同援日２．５＿０．５*(1+_15・B深夜)),0)*(1+_15・区３)),0)</f>
        <v>936</v>
      </c>
      <c r="AC351" s="69"/>
    </row>
    <row r="352" spans="1:29" ht="16.5" customHeight="1" x14ac:dyDescent="0.3">
      <c r="A352" s="2">
        <v>15</v>
      </c>
      <c r="B352" s="2" t="s">
        <v>289</v>
      </c>
      <c r="C352" s="60" t="s">
        <v>10373</v>
      </c>
      <c r="D352" s="1"/>
      <c r="E352" s="68"/>
      <c r="F352" s="70"/>
      <c r="G352" s="1"/>
      <c r="H352" s="68"/>
      <c r="I352" s="70"/>
      <c r="J352" s="66"/>
      <c r="K352" s="57"/>
      <c r="L352" s="58"/>
      <c r="M352" s="83" t="s">
        <v>5895</v>
      </c>
      <c r="N352" s="64" t="s">
        <v>1</v>
      </c>
      <c r="O352" s="65">
        <v>1</v>
      </c>
      <c r="P352" s="99"/>
      <c r="Q352" s="70"/>
      <c r="R352" s="99"/>
      <c r="S352" s="70"/>
      <c r="T352" s="67"/>
      <c r="U352" s="68"/>
      <c r="V352" s="76"/>
      <c r="W352" s="70"/>
      <c r="X352" s="67"/>
      <c r="Y352" s="68"/>
      <c r="Z352" s="76"/>
      <c r="AA352" s="70"/>
      <c r="AB352" s="228">
        <f>ROUND((ROUND((ROUND((_15_同援日２．５*_15・２人),0)*(1+_15・A夜間)),0)*(1+_15・区３)),0)+ROUND((ROUND((ROUND((_15_同援日２．５＿０．５*_15・２人),0)*(1+_15・B深夜)),0)*(1+_15・区３)),0)</f>
        <v>936</v>
      </c>
      <c r="AC352" s="69"/>
    </row>
    <row r="353" spans="1:29" ht="16.5" customHeight="1" x14ac:dyDescent="0.3">
      <c r="A353" s="2">
        <v>15</v>
      </c>
      <c r="B353" s="2" t="s">
        <v>290</v>
      </c>
      <c r="C353" s="60" t="s">
        <v>10372</v>
      </c>
      <c r="D353" s="1"/>
      <c r="E353" s="68"/>
      <c r="F353" s="70"/>
      <c r="G353" s="1"/>
      <c r="H353" s="68"/>
      <c r="I353" s="70"/>
      <c r="J353" s="74" t="s">
        <v>5898</v>
      </c>
      <c r="K353" s="62"/>
      <c r="L353" s="63"/>
      <c r="M353" s="85"/>
      <c r="N353" s="64"/>
      <c r="O353" s="65"/>
      <c r="P353" s="99"/>
      <c r="Q353" s="70"/>
      <c r="R353" s="99"/>
      <c r="S353" s="70"/>
      <c r="T353" s="67"/>
      <c r="U353" s="68"/>
      <c r="V353" s="76"/>
      <c r="W353" s="70"/>
      <c r="X353" s="1" t="s">
        <v>18028</v>
      </c>
      <c r="Y353" s="68"/>
      <c r="Z353" s="76"/>
      <c r="AA353" s="70"/>
      <c r="AB353" s="228">
        <f>ROUND((ROUND((ROUND((_15_同援日２．５*_15・基礎２),0)*(1+_15・A夜間)),0)*(1+_15・区３)),0)+ROUND((ROUND((ROUND((_15_同援日２．５＿０．５*_15・基礎２),0)*(1+_15・B深夜)),0)*(1+_15・区３)),0)</f>
        <v>842</v>
      </c>
      <c r="AC353" s="69"/>
    </row>
    <row r="354" spans="1:29" ht="16.5" customHeight="1" x14ac:dyDescent="0.3">
      <c r="A354" s="2">
        <v>15</v>
      </c>
      <c r="B354" s="2" t="s">
        <v>291</v>
      </c>
      <c r="C354" s="60" t="s">
        <v>10371</v>
      </c>
      <c r="D354" s="1"/>
      <c r="E354" s="68"/>
      <c r="F354" s="70"/>
      <c r="G354" s="1"/>
      <c r="H354" s="68"/>
      <c r="I354" s="70"/>
      <c r="J354" s="106" t="s">
        <v>17053</v>
      </c>
      <c r="K354" s="57" t="s">
        <v>1</v>
      </c>
      <c r="L354" s="58">
        <v>0.9</v>
      </c>
      <c r="M354" s="83" t="s">
        <v>5895</v>
      </c>
      <c r="N354" s="64" t="s">
        <v>1</v>
      </c>
      <c r="O354" s="65">
        <v>1</v>
      </c>
      <c r="P354" s="99"/>
      <c r="Q354" s="70"/>
      <c r="R354" s="99"/>
      <c r="S354" s="70"/>
      <c r="T354" s="66"/>
      <c r="U354" s="57"/>
      <c r="V354" s="58"/>
      <c r="W354" s="77"/>
      <c r="X354" s="1" t="s">
        <v>18084</v>
      </c>
      <c r="Y354" s="68"/>
      <c r="Z354" s="76"/>
      <c r="AA354" s="70"/>
      <c r="AB354" s="228">
        <f>ROUND((ROUND((ROUND((ROUND((_15_同援日２．５*_15・基礎２),0)*_15・２人),0)*(1+_15・A夜間)),0)*(1+_15・区３)),0)+ROUND((ROUND((ROUND((ROUND((_15_同援日２．５＿０．５*_15・基礎２),0)*_15・２人),0)*(1+_15・B深夜)),0)*(1+_15・区３)),0)</f>
        <v>842</v>
      </c>
      <c r="AC354" s="69"/>
    </row>
    <row r="355" spans="1:29" ht="16.5" customHeight="1" x14ac:dyDescent="0.3">
      <c r="A355" s="2">
        <v>15</v>
      </c>
      <c r="B355" s="2" t="s">
        <v>292</v>
      </c>
      <c r="C355" s="60" t="s">
        <v>10370</v>
      </c>
      <c r="D355" s="1"/>
      <c r="E355" s="68"/>
      <c r="F355" s="70"/>
      <c r="G355" s="1"/>
      <c r="H355" s="68"/>
      <c r="I355" s="70"/>
      <c r="J355" s="61"/>
      <c r="K355" s="62"/>
      <c r="L355" s="63"/>
      <c r="M355" s="85"/>
      <c r="N355" s="64"/>
      <c r="O355" s="65"/>
      <c r="P355" s="99"/>
      <c r="Q355" s="70"/>
      <c r="R355" s="99"/>
      <c r="S355" s="70"/>
      <c r="T355" s="74" t="s">
        <v>18025</v>
      </c>
      <c r="U355" s="62"/>
      <c r="V355" s="63"/>
      <c r="W355" s="75"/>
      <c r="X355" s="67"/>
      <c r="Y355" s="68" t="s">
        <v>1</v>
      </c>
      <c r="Z355" s="76">
        <v>0.2</v>
      </c>
      <c r="AA355" s="70" t="s">
        <v>422</v>
      </c>
      <c r="AB355" s="228">
        <f>ROUND((ROUND((ROUND((_15_同援日２．５*(1+_15・A夜間)),0)*(1+_15・盲ろう)),0)*(1+_15・区３)),0)+ROUND((ROUND((ROUND((_15_同援日２．５＿０．５*(1+_15・B深夜)),0)*(1+_15・盲ろう)),0)*(1+_15・区３)),0)</f>
        <v>1170</v>
      </c>
      <c r="AC355" s="69"/>
    </row>
    <row r="356" spans="1:29" ht="16.5" customHeight="1" x14ac:dyDescent="0.3">
      <c r="A356" s="2">
        <v>15</v>
      </c>
      <c r="B356" s="2" t="s">
        <v>293</v>
      </c>
      <c r="C356" s="60" t="s">
        <v>10369</v>
      </c>
      <c r="D356" s="1"/>
      <c r="E356" s="68"/>
      <c r="F356" s="70"/>
      <c r="G356" s="1"/>
      <c r="H356" s="68"/>
      <c r="I356" s="70"/>
      <c r="J356" s="66"/>
      <c r="K356" s="57"/>
      <c r="L356" s="58"/>
      <c r="M356" s="83" t="s">
        <v>5895</v>
      </c>
      <c r="N356" s="64" t="s">
        <v>1</v>
      </c>
      <c r="O356" s="65">
        <v>1</v>
      </c>
      <c r="P356" s="99"/>
      <c r="Q356" s="70"/>
      <c r="R356" s="99"/>
      <c r="S356" s="70"/>
      <c r="T356" s="94" t="s">
        <v>18024</v>
      </c>
      <c r="U356" s="68"/>
      <c r="V356" s="76"/>
      <c r="W356" s="70"/>
      <c r="X356" s="67"/>
      <c r="Y356" s="68"/>
      <c r="Z356" s="76"/>
      <c r="AA356" s="70"/>
      <c r="AB356" s="228">
        <f>ROUND((ROUND((ROUND((ROUND((_15_同援日２．５*_15・２人),0)*(1+_15・A夜間)),0)*(1+_15・盲ろう)),0)*(1+_15・区３)),0)+ROUND((ROUND((ROUND((ROUND((_15_同援日２．５＿０．５*_15・２人),0)*(1+_15・B深夜)),0)*(1+_15・盲ろう)),0)*(1+_15・区３)),0)</f>
        <v>1170</v>
      </c>
      <c r="AC356" s="69"/>
    </row>
    <row r="357" spans="1:29" ht="16.5" customHeight="1" x14ac:dyDescent="0.3">
      <c r="A357" s="2">
        <v>15</v>
      </c>
      <c r="B357" s="2" t="s">
        <v>294</v>
      </c>
      <c r="C357" s="60" t="s">
        <v>10368</v>
      </c>
      <c r="D357" s="1"/>
      <c r="E357" s="68"/>
      <c r="F357" s="70"/>
      <c r="G357" s="1"/>
      <c r="H357" s="68"/>
      <c r="I357" s="70"/>
      <c r="J357" s="74" t="s">
        <v>16971</v>
      </c>
      <c r="K357" s="62"/>
      <c r="L357" s="63"/>
      <c r="M357" s="85"/>
      <c r="N357" s="64"/>
      <c r="O357" s="65"/>
      <c r="P357" s="99"/>
      <c r="Q357" s="70"/>
      <c r="R357" s="99"/>
      <c r="S357" s="70"/>
      <c r="T357" s="67"/>
      <c r="U357" s="68" t="s">
        <v>1</v>
      </c>
      <c r="V357" s="76">
        <v>0.25</v>
      </c>
      <c r="W357" s="70" t="s">
        <v>422</v>
      </c>
      <c r="X357" s="67"/>
      <c r="Y357" s="68"/>
      <c r="Z357" s="76"/>
      <c r="AA357" s="70"/>
      <c r="AB357" s="228">
        <f>ROUND((ROUND((ROUND((ROUND((_15_同援日２．５*_15・基礎２),0)*(1+_15・A夜間)),0)*(1+_15・盲ろう)),0)*(1+_15・区３)),0)+ROUND((ROUND((ROUND((ROUND((_15_同援日２．５＿０．５*_15・基礎２),0)*(1+_15・B深夜)),0)*(1+_15・盲ろう)),0)*(1+_15・区３)),0)</f>
        <v>1054</v>
      </c>
      <c r="AC357" s="69"/>
    </row>
    <row r="358" spans="1:29" ht="16.5" customHeight="1" x14ac:dyDescent="0.3">
      <c r="A358" s="2">
        <v>15</v>
      </c>
      <c r="B358" s="2" t="s">
        <v>295</v>
      </c>
      <c r="C358" s="60" t="s">
        <v>10367</v>
      </c>
      <c r="D358" s="1"/>
      <c r="E358" s="68"/>
      <c r="F358" s="70"/>
      <c r="G358" s="1"/>
      <c r="H358" s="68"/>
      <c r="I358" s="70"/>
      <c r="J358" s="106" t="s">
        <v>5896</v>
      </c>
      <c r="K358" s="57" t="s">
        <v>1</v>
      </c>
      <c r="L358" s="58">
        <v>0.9</v>
      </c>
      <c r="M358" s="83" t="s">
        <v>5895</v>
      </c>
      <c r="N358" s="64" t="s">
        <v>1</v>
      </c>
      <c r="O358" s="65">
        <v>1</v>
      </c>
      <c r="P358" s="99"/>
      <c r="Q358" s="70"/>
      <c r="R358" s="99"/>
      <c r="S358" s="70"/>
      <c r="T358" s="66"/>
      <c r="U358" s="57"/>
      <c r="V358" s="58"/>
      <c r="W358" s="77"/>
      <c r="X358" s="66"/>
      <c r="Y358" s="57"/>
      <c r="Z358" s="58"/>
      <c r="AA358" s="77"/>
      <c r="AB358" s="228">
        <f>ROUND((ROUND((ROUND((ROUND((ROUND((_15_同援日２．５*_15・基礎２),0)*_15・２人),0)*(1+_15・A夜間)),0)*(1+_15・盲ろう)),0)*(1+_15・区３)),0)+ROUND((ROUND((ROUND((ROUND((ROUND((_15_同援日２．５＿０．５*_15・基礎２),0)*_15・２人),0)*(1+_15・B深夜)),0)*(1+_15・盲ろう)),0)*(1+_15・区３)),0)</f>
        <v>1054</v>
      </c>
      <c r="AC358" s="69"/>
    </row>
    <row r="359" spans="1:29" ht="16.5" customHeight="1" x14ac:dyDescent="0.3">
      <c r="A359" s="2">
        <v>15</v>
      </c>
      <c r="B359" s="2" t="s">
        <v>296</v>
      </c>
      <c r="C359" s="60" t="s">
        <v>10366</v>
      </c>
      <c r="D359" s="1"/>
      <c r="E359" s="68"/>
      <c r="F359" s="70"/>
      <c r="G359" s="1"/>
      <c r="H359" s="68"/>
      <c r="I359" s="70"/>
      <c r="J359" s="61"/>
      <c r="K359" s="62"/>
      <c r="L359" s="63"/>
      <c r="M359" s="85"/>
      <c r="N359" s="64"/>
      <c r="O359" s="65"/>
      <c r="P359" s="99"/>
      <c r="Q359" s="70"/>
      <c r="R359" s="99"/>
      <c r="S359" s="70"/>
      <c r="T359" s="61"/>
      <c r="U359" s="62"/>
      <c r="V359" s="63"/>
      <c r="W359" s="75"/>
      <c r="X359" s="61"/>
      <c r="Y359" s="62"/>
      <c r="Z359" s="63"/>
      <c r="AA359" s="75"/>
      <c r="AB359" s="228">
        <f>ROUND((ROUND((_15_同援日２．５*(1+_15・A夜間)),0)*(1+_15・区４)),0)+ROUND((ROUND((_15_同援日２．５＿０．５*(1+_15・B深夜)),0)*(1+_15・区４)),0)</f>
        <v>1092</v>
      </c>
      <c r="AC359" s="69"/>
    </row>
    <row r="360" spans="1:29" ht="16.5" customHeight="1" x14ac:dyDescent="0.3">
      <c r="A360" s="2">
        <v>15</v>
      </c>
      <c r="B360" s="2" t="s">
        <v>297</v>
      </c>
      <c r="C360" s="60" t="s">
        <v>10365</v>
      </c>
      <c r="D360" s="1"/>
      <c r="E360" s="68"/>
      <c r="F360" s="70"/>
      <c r="G360" s="1"/>
      <c r="H360" s="68"/>
      <c r="I360" s="70"/>
      <c r="J360" s="66"/>
      <c r="K360" s="57"/>
      <c r="L360" s="58"/>
      <c r="M360" s="83" t="s">
        <v>5895</v>
      </c>
      <c r="N360" s="64" t="s">
        <v>1</v>
      </c>
      <c r="O360" s="65">
        <v>1</v>
      </c>
      <c r="P360" s="99"/>
      <c r="Q360" s="70"/>
      <c r="R360" s="99"/>
      <c r="S360" s="70"/>
      <c r="T360" s="67"/>
      <c r="U360" s="68"/>
      <c r="V360" s="76"/>
      <c r="W360" s="70"/>
      <c r="X360" s="67"/>
      <c r="Y360" s="68"/>
      <c r="Z360" s="76"/>
      <c r="AA360" s="70"/>
      <c r="AB360" s="228">
        <f>ROUND((ROUND((ROUND((_15_同援日２．５*_15・２人),0)*(1+_15・A夜間)),0)*(1+_15・区４)),0)+ROUND((ROUND((ROUND((_15_同援日２．５＿０．５*_15・２人),0)*(1+_15・B深夜)),0)*(1+_15・区４)),0)</f>
        <v>1092</v>
      </c>
      <c r="AC360" s="69"/>
    </row>
    <row r="361" spans="1:29" ht="16.5" customHeight="1" x14ac:dyDescent="0.3">
      <c r="A361" s="2">
        <v>15</v>
      </c>
      <c r="B361" s="2" t="s">
        <v>298</v>
      </c>
      <c r="C361" s="60" t="s">
        <v>10364</v>
      </c>
      <c r="D361" s="1"/>
      <c r="E361" s="68"/>
      <c r="F361" s="70"/>
      <c r="G361" s="1"/>
      <c r="H361" s="68"/>
      <c r="I361" s="70"/>
      <c r="J361" s="74" t="s">
        <v>16823</v>
      </c>
      <c r="K361" s="62"/>
      <c r="L361" s="63"/>
      <c r="M361" s="85"/>
      <c r="N361" s="64"/>
      <c r="O361" s="65"/>
      <c r="P361" s="99"/>
      <c r="Q361" s="70"/>
      <c r="R361" s="99"/>
      <c r="S361" s="70"/>
      <c r="T361" s="67"/>
      <c r="U361" s="68"/>
      <c r="V361" s="76"/>
      <c r="W361" s="70"/>
      <c r="X361" s="1" t="s">
        <v>18027</v>
      </c>
      <c r="Y361" s="68"/>
      <c r="Z361" s="76"/>
      <c r="AA361" s="70"/>
      <c r="AB361" s="228">
        <f>ROUND((ROUND((ROUND((_15_同援日２．５*_15・基礎２),0)*(1+_15・A夜間)),0)*(1+_15・区４)),0)+ROUND((ROUND((ROUND((_15_同援日２．５＿０．５*_15・基礎２),0)*(1+_15・B深夜)),0)*(1+_15・区４)),0)</f>
        <v>982</v>
      </c>
      <c r="AC361" s="69"/>
    </row>
    <row r="362" spans="1:29" ht="16.5" customHeight="1" x14ac:dyDescent="0.3">
      <c r="A362" s="2">
        <v>15</v>
      </c>
      <c r="B362" s="2" t="s">
        <v>299</v>
      </c>
      <c r="C362" s="60" t="s">
        <v>10363</v>
      </c>
      <c r="D362" s="1"/>
      <c r="E362" s="68"/>
      <c r="F362" s="70"/>
      <c r="G362" s="1"/>
      <c r="H362" s="68"/>
      <c r="I362" s="70"/>
      <c r="J362" s="106" t="s">
        <v>16970</v>
      </c>
      <c r="K362" s="57" t="s">
        <v>1</v>
      </c>
      <c r="L362" s="58">
        <v>0.9</v>
      </c>
      <c r="M362" s="83" t="s">
        <v>5895</v>
      </c>
      <c r="N362" s="64" t="s">
        <v>1</v>
      </c>
      <c r="O362" s="65">
        <v>1</v>
      </c>
      <c r="P362" s="99"/>
      <c r="Q362" s="70"/>
      <c r="R362" s="99"/>
      <c r="S362" s="70"/>
      <c r="T362" s="66"/>
      <c r="U362" s="57"/>
      <c r="V362" s="58"/>
      <c r="W362" s="77"/>
      <c r="X362" s="1" t="s">
        <v>18026</v>
      </c>
      <c r="Y362" s="68"/>
      <c r="Z362" s="76"/>
      <c r="AA362" s="70"/>
      <c r="AB362" s="228">
        <f>ROUND((ROUND((ROUND((ROUND((_15_同援日２．５*_15・基礎２),0)*_15・２人),0)*(1+_15・A夜間)),0)*(1+_15・区４)),0)+ROUND((ROUND((ROUND((ROUND((_15_同援日２．５＿０．５*_15・基礎２),0)*_15・２人),0)*(1+_15・B深夜)),0)*(1+_15・区４)),0)</f>
        <v>982</v>
      </c>
      <c r="AC362" s="69"/>
    </row>
    <row r="363" spans="1:29" ht="16.5" customHeight="1" x14ac:dyDescent="0.3">
      <c r="A363" s="2">
        <v>15</v>
      </c>
      <c r="B363" s="2" t="s">
        <v>300</v>
      </c>
      <c r="C363" s="60" t="s">
        <v>10362</v>
      </c>
      <c r="D363" s="1"/>
      <c r="E363" s="68"/>
      <c r="F363" s="70"/>
      <c r="G363" s="1"/>
      <c r="H363" s="68"/>
      <c r="I363" s="70"/>
      <c r="J363" s="61"/>
      <c r="K363" s="62"/>
      <c r="L363" s="63"/>
      <c r="M363" s="85"/>
      <c r="N363" s="64"/>
      <c r="O363" s="65"/>
      <c r="P363" s="99"/>
      <c r="Q363" s="70"/>
      <c r="R363" s="99"/>
      <c r="S363" s="70"/>
      <c r="T363" s="74" t="s">
        <v>18025</v>
      </c>
      <c r="U363" s="62"/>
      <c r="V363" s="63"/>
      <c r="W363" s="75"/>
      <c r="X363" s="67"/>
      <c r="Y363" s="68" t="s">
        <v>1</v>
      </c>
      <c r="Z363" s="76">
        <v>0.4</v>
      </c>
      <c r="AA363" s="70" t="s">
        <v>422</v>
      </c>
      <c r="AB363" s="228">
        <f>ROUND((ROUND((ROUND((_15_同援日２．５*(1+_15・A夜間)),0)*(1+_15・盲ろう)),0)*(1+_15・区４)),0)+ROUND((ROUND((ROUND((_15_同援日２．５＿０．５*(1+_15・B深夜)),0)*(1+_15・盲ろう)),0)*(1+_15・区４)),0)</f>
        <v>1365</v>
      </c>
      <c r="AC363" s="69"/>
    </row>
    <row r="364" spans="1:29" ht="16.5" customHeight="1" x14ac:dyDescent="0.3">
      <c r="A364" s="2">
        <v>15</v>
      </c>
      <c r="B364" s="2" t="s">
        <v>301</v>
      </c>
      <c r="C364" s="60" t="s">
        <v>10361</v>
      </c>
      <c r="D364" s="1"/>
      <c r="E364" s="68"/>
      <c r="F364" s="70"/>
      <c r="G364" s="1"/>
      <c r="H364" s="68"/>
      <c r="I364" s="70"/>
      <c r="J364" s="66"/>
      <c r="K364" s="57"/>
      <c r="L364" s="58"/>
      <c r="M364" s="83" t="s">
        <v>5895</v>
      </c>
      <c r="N364" s="64" t="s">
        <v>1</v>
      </c>
      <c r="O364" s="65">
        <v>1</v>
      </c>
      <c r="P364" s="99"/>
      <c r="Q364" s="70"/>
      <c r="R364" s="99"/>
      <c r="S364" s="70"/>
      <c r="T364" s="94" t="s">
        <v>18024</v>
      </c>
      <c r="U364" s="68"/>
      <c r="V364" s="76"/>
      <c r="W364" s="70"/>
      <c r="X364" s="67"/>
      <c r="Y364" s="68"/>
      <c r="Z364" s="76"/>
      <c r="AA364" s="70"/>
      <c r="AB364" s="228">
        <f>ROUND((ROUND((ROUND((ROUND((_15_同援日２．５*_15・２人),0)*(1+_15・A夜間)),0)*(1+_15・盲ろう)),0)*(1+_15・区４)),0)+ROUND((ROUND((ROUND((ROUND((_15_同援日２．５＿０．５*_15・２人),0)*(1+_15・B深夜)),0)*(1+_15・盲ろう)),0)*(1+_15・区４)),0)</f>
        <v>1365</v>
      </c>
      <c r="AC364" s="69"/>
    </row>
    <row r="365" spans="1:29" ht="16.5" customHeight="1" x14ac:dyDescent="0.3">
      <c r="A365" s="2">
        <v>15</v>
      </c>
      <c r="B365" s="2" t="s">
        <v>302</v>
      </c>
      <c r="C365" s="60" t="s">
        <v>10360</v>
      </c>
      <c r="D365" s="1"/>
      <c r="E365" s="68"/>
      <c r="F365" s="70"/>
      <c r="G365" s="1"/>
      <c r="H365" s="68"/>
      <c r="I365" s="70"/>
      <c r="J365" s="74" t="s">
        <v>16971</v>
      </c>
      <c r="K365" s="62"/>
      <c r="L365" s="63"/>
      <c r="M365" s="85"/>
      <c r="N365" s="64"/>
      <c r="O365" s="65"/>
      <c r="P365" s="99"/>
      <c r="Q365" s="70"/>
      <c r="R365" s="99"/>
      <c r="S365" s="70"/>
      <c r="T365" s="67"/>
      <c r="U365" s="68" t="s">
        <v>1</v>
      </c>
      <c r="V365" s="76">
        <v>0.25</v>
      </c>
      <c r="W365" s="70" t="s">
        <v>422</v>
      </c>
      <c r="X365" s="67"/>
      <c r="Y365" s="68"/>
      <c r="Z365" s="76"/>
      <c r="AA365" s="70"/>
      <c r="AB365" s="228">
        <f>ROUND((ROUND((ROUND((ROUND((_15_同援日２．５*_15・基礎２),0)*(1+_15・A夜間)),0)*(1+_15・盲ろう)),0)*(1+_15・区４)),0)+ROUND((ROUND((ROUND((ROUND((_15_同援日２．５＿０．５*_15・基礎２),0)*(1+_15・B深夜)),0)*(1+_15・盲ろう)),0)*(1+_15・区４)),0)</f>
        <v>1229</v>
      </c>
      <c r="AC365" s="69"/>
    </row>
    <row r="366" spans="1:29" ht="16.5" customHeight="1" x14ac:dyDescent="0.3">
      <c r="A366" s="2">
        <v>15</v>
      </c>
      <c r="B366" s="2" t="s">
        <v>303</v>
      </c>
      <c r="C366" s="60" t="s">
        <v>10359</v>
      </c>
      <c r="D366" s="81"/>
      <c r="E366" s="57"/>
      <c r="F366" s="77"/>
      <c r="G366" s="81"/>
      <c r="H366" s="57"/>
      <c r="I366" s="77"/>
      <c r="J366" s="106" t="s">
        <v>17053</v>
      </c>
      <c r="K366" s="57" t="s">
        <v>1</v>
      </c>
      <c r="L366" s="58">
        <v>0.9</v>
      </c>
      <c r="M366" s="83" t="s">
        <v>5895</v>
      </c>
      <c r="N366" s="64" t="s">
        <v>1</v>
      </c>
      <c r="O366" s="65">
        <v>1</v>
      </c>
      <c r="P366" s="101"/>
      <c r="Q366" s="77"/>
      <c r="R366" s="101"/>
      <c r="S366" s="77"/>
      <c r="T366" s="66"/>
      <c r="U366" s="57"/>
      <c r="V366" s="58"/>
      <c r="W366" s="77"/>
      <c r="X366" s="66"/>
      <c r="Y366" s="57"/>
      <c r="Z366" s="58"/>
      <c r="AA366" s="77"/>
      <c r="AB366" s="228">
        <f>ROUND((ROUND((ROUND((ROUND((ROUND((_15_同援日２．５*_15・基礎２),0)*_15・２人),0)*(1+_15・A夜間)),0)*(1+_15・盲ろう)),0)*(1+_15・区４)),0)+ROUND((ROUND((ROUND((ROUND((ROUND((_15_同援日２．５＿０．５*_15・基礎２),0)*_15・２人),0)*(1+_15・B深夜)),0)*(1+_15・盲ろう)),0)*(1+_15・区４)),0)</f>
        <v>1229</v>
      </c>
      <c r="AC366" s="71"/>
    </row>
    <row r="367" spans="1:29" ht="16.5" customHeight="1" x14ac:dyDescent="0.3"/>
    <row r="368" spans="1:2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2" manualBreakCount="2">
    <brk id="110" max="16383" man="1"/>
    <brk id="332" max="28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0000"/>
    <pageSetUpPr fitToPage="1"/>
  </sheetPr>
  <dimension ref="A1:AA36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2.3671875" style="46" customWidth="1"/>
    <col min="5" max="5" width="14.89453125" style="45" customWidth="1"/>
    <col min="6" max="6" width="2.3671875" style="46" customWidth="1"/>
    <col min="7" max="7" width="5.62890625" style="45" customWidth="1"/>
    <col min="8" max="8" width="4.1015625" style="46" bestFit="1" customWidth="1"/>
    <col min="9" max="9" width="4.734375" style="46" bestFit="1" customWidth="1"/>
    <col min="10" max="10" width="14.62890625" style="46" customWidth="1"/>
    <col min="11" max="11" width="3.1015625" style="46" bestFit="1" customWidth="1"/>
    <col min="12" max="12" width="4.1015625" style="47" bestFit="1" customWidth="1"/>
    <col min="13" max="13" width="26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10.62890625" style="46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8.62890625" style="46" customWidth="1"/>
    <col min="23" max="23" width="3.1015625" style="46" bestFit="1" customWidth="1"/>
    <col min="24" max="24" width="4.1015625" style="47" bestFit="1" customWidth="1"/>
    <col min="25" max="25" width="4.734375" style="46" bestFit="1" customWidth="1"/>
    <col min="26" max="26" width="6.3671875" style="84" bestFit="1" customWidth="1"/>
    <col min="27" max="27" width="7.734375" style="48" bestFit="1" customWidth="1"/>
    <col min="28" max="16384" width="9" style="49"/>
  </cols>
  <sheetData>
    <row r="1" spans="1:27" ht="16.5" customHeight="1" x14ac:dyDescent="0.3"/>
    <row r="2" spans="1:27" ht="16.5" customHeight="1" x14ac:dyDescent="0.3"/>
    <row r="3" spans="1:27" ht="16.5" customHeight="1" x14ac:dyDescent="0.3"/>
    <row r="4" spans="1:27" ht="16.5" customHeight="1" x14ac:dyDescent="0.3">
      <c r="B4" s="229" t="s">
        <v>18107</v>
      </c>
      <c r="C4" s="131"/>
      <c r="E4" s="72"/>
    </row>
    <row r="5" spans="1:27" ht="16.5" customHeight="1" x14ac:dyDescent="0.3">
      <c r="A5" s="50" t="s">
        <v>5864</v>
      </c>
      <c r="B5" s="51"/>
      <c r="C5" s="52" t="s">
        <v>5867</v>
      </c>
      <c r="D5" s="53"/>
      <c r="E5" s="79" t="s">
        <v>5868</v>
      </c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3"/>
      <c r="S5" s="53"/>
      <c r="T5" s="54"/>
      <c r="U5" s="53"/>
      <c r="V5" s="53"/>
      <c r="W5" s="53"/>
      <c r="X5" s="54"/>
      <c r="Y5" s="53"/>
      <c r="Z5" s="55" t="s">
        <v>5869</v>
      </c>
      <c r="AA5" s="55" t="s">
        <v>5871</v>
      </c>
    </row>
    <row r="6" spans="1:27" ht="16.5" customHeight="1" x14ac:dyDescent="0.3">
      <c r="A6" s="2" t="s">
        <v>5865</v>
      </c>
      <c r="B6" s="2" t="s">
        <v>5866</v>
      </c>
      <c r="C6" s="56"/>
      <c r="D6" s="111"/>
      <c r="E6" s="73"/>
      <c r="F6" s="50"/>
      <c r="G6" s="86" t="s">
        <v>11080</v>
      </c>
      <c r="H6" s="86"/>
      <c r="I6" s="112"/>
      <c r="J6" s="57"/>
      <c r="K6" s="57"/>
      <c r="L6" s="58"/>
      <c r="M6" s="57"/>
      <c r="N6" s="57"/>
      <c r="O6" s="58"/>
      <c r="P6" s="58"/>
      <c r="Q6" s="57"/>
      <c r="R6" s="57"/>
      <c r="S6" s="57"/>
      <c r="T6" s="58"/>
      <c r="U6" s="57"/>
      <c r="V6" s="57"/>
      <c r="W6" s="57"/>
      <c r="X6" s="58"/>
      <c r="Y6" s="57"/>
      <c r="Z6" s="59" t="s">
        <v>5870</v>
      </c>
      <c r="AA6" s="59" t="s">
        <v>0</v>
      </c>
    </row>
    <row r="7" spans="1:27" ht="16.5" customHeight="1" x14ac:dyDescent="0.3">
      <c r="A7" s="2">
        <v>15</v>
      </c>
      <c r="B7" s="2" t="s">
        <v>304</v>
      </c>
      <c r="C7" s="83" t="s">
        <v>11079</v>
      </c>
      <c r="D7" s="291" t="s">
        <v>5876</v>
      </c>
      <c r="E7" s="233" t="s">
        <v>18106</v>
      </c>
      <c r="F7" s="291" t="s">
        <v>5874</v>
      </c>
      <c r="G7" s="232" t="s">
        <v>16967</v>
      </c>
      <c r="H7" s="68"/>
      <c r="I7" s="70"/>
      <c r="J7" s="61"/>
      <c r="K7" s="62"/>
      <c r="L7" s="63"/>
      <c r="M7" s="85"/>
      <c r="N7" s="64"/>
      <c r="O7" s="65"/>
      <c r="P7" s="98"/>
      <c r="Q7" s="75"/>
      <c r="R7" s="61"/>
      <c r="S7" s="62"/>
      <c r="T7" s="63"/>
      <c r="U7" s="75"/>
      <c r="V7" s="61"/>
      <c r="W7" s="62"/>
      <c r="X7" s="63"/>
      <c r="Y7" s="75"/>
      <c r="Z7" s="228">
        <f>+ROUND((_15_同援日０．５＿０．５*(1+_15・B深夜)),0)</f>
        <v>162</v>
      </c>
      <c r="AA7" s="52" t="s">
        <v>5863</v>
      </c>
    </row>
    <row r="8" spans="1:27" ht="16.5" customHeight="1" x14ac:dyDescent="0.3">
      <c r="A8" s="2">
        <v>15</v>
      </c>
      <c r="B8" s="2" t="s">
        <v>305</v>
      </c>
      <c r="C8" s="83" t="s">
        <v>11078</v>
      </c>
      <c r="D8" s="292"/>
      <c r="E8" s="1" t="s">
        <v>7928</v>
      </c>
      <c r="F8" s="292"/>
      <c r="G8" s="1" t="s">
        <v>7928</v>
      </c>
      <c r="H8" s="68"/>
      <c r="I8" s="70"/>
      <c r="J8" s="66"/>
      <c r="K8" s="57"/>
      <c r="L8" s="58"/>
      <c r="M8" s="83" t="s">
        <v>5895</v>
      </c>
      <c r="N8" s="64" t="s">
        <v>1</v>
      </c>
      <c r="O8" s="65">
        <v>1</v>
      </c>
      <c r="P8" s="99"/>
      <c r="Q8" s="70"/>
      <c r="R8" s="67"/>
      <c r="S8" s="68"/>
      <c r="T8" s="76"/>
      <c r="U8" s="70"/>
      <c r="V8" s="67"/>
      <c r="W8" s="68"/>
      <c r="X8" s="76"/>
      <c r="Y8" s="70"/>
      <c r="Z8" s="228">
        <f>+ROUND((ROUND((_15_同援日０．５＿０．５*_15・２人),0)*(1+_15・B深夜)),0)</f>
        <v>162</v>
      </c>
      <c r="AA8" s="69"/>
    </row>
    <row r="9" spans="1:27" ht="16.5" customHeight="1" x14ac:dyDescent="0.3">
      <c r="A9" s="2">
        <v>15</v>
      </c>
      <c r="B9" s="2" t="s">
        <v>306</v>
      </c>
      <c r="C9" s="83" t="s">
        <v>11077</v>
      </c>
      <c r="D9" s="292"/>
      <c r="E9" s="1"/>
      <c r="F9" s="292"/>
      <c r="G9" s="1"/>
      <c r="H9" s="68"/>
      <c r="I9" s="70"/>
      <c r="J9" s="74" t="s">
        <v>16912</v>
      </c>
      <c r="K9" s="62"/>
      <c r="L9" s="63"/>
      <c r="M9" s="85"/>
      <c r="N9" s="64"/>
      <c r="O9" s="65"/>
      <c r="P9" s="99"/>
      <c r="Q9" s="70"/>
      <c r="R9" s="67"/>
      <c r="S9" s="68"/>
      <c r="T9" s="76"/>
      <c r="U9" s="70"/>
      <c r="V9" s="67"/>
      <c r="W9" s="68"/>
      <c r="X9" s="76"/>
      <c r="Y9" s="70"/>
      <c r="Z9" s="228">
        <f>+ROUND((ROUND((_15_同援日０．５＿０．５*_15・基礎２),0)*(1+_15・B深夜)),0)</f>
        <v>146</v>
      </c>
      <c r="AA9" s="69"/>
    </row>
    <row r="10" spans="1:27" ht="16.5" customHeight="1" x14ac:dyDescent="0.3">
      <c r="A10" s="2">
        <v>15</v>
      </c>
      <c r="B10" s="2" t="s">
        <v>307</v>
      </c>
      <c r="C10" s="83" t="s">
        <v>11076</v>
      </c>
      <c r="D10" s="292"/>
      <c r="E10" s="1"/>
      <c r="F10" s="292"/>
      <c r="G10" s="1"/>
      <c r="H10" s="227">
        <v>108</v>
      </c>
      <c r="I10" s="70" t="s">
        <v>0</v>
      </c>
      <c r="J10" s="106" t="s">
        <v>16916</v>
      </c>
      <c r="K10" s="57" t="s">
        <v>1</v>
      </c>
      <c r="L10" s="58">
        <v>0.9</v>
      </c>
      <c r="M10" s="83" t="s">
        <v>5895</v>
      </c>
      <c r="N10" s="64" t="s">
        <v>1</v>
      </c>
      <c r="O10" s="65">
        <v>1</v>
      </c>
      <c r="P10" s="99"/>
      <c r="Q10" s="70"/>
      <c r="R10" s="66"/>
      <c r="S10" s="57"/>
      <c r="T10" s="58"/>
      <c r="U10" s="77"/>
      <c r="V10" s="67"/>
      <c r="W10" s="68"/>
      <c r="X10" s="76"/>
      <c r="Y10" s="70"/>
      <c r="Z10" s="228">
        <f>+ROUND((ROUND((ROUND((_15_同援日０．５＿０．５*_15・基礎２),0)*_15・２人),0)*(1+_15・B深夜)),0)</f>
        <v>146</v>
      </c>
      <c r="AA10" s="69"/>
    </row>
    <row r="11" spans="1:27" ht="16.5" customHeight="1" x14ac:dyDescent="0.3">
      <c r="A11" s="2">
        <v>15</v>
      </c>
      <c r="B11" s="2" t="s">
        <v>308</v>
      </c>
      <c r="C11" s="83" t="s">
        <v>11075</v>
      </c>
      <c r="D11" s="103"/>
      <c r="E11" s="1"/>
      <c r="F11" s="103"/>
      <c r="G11" s="1"/>
      <c r="H11" s="68"/>
      <c r="I11" s="70"/>
      <c r="J11" s="61"/>
      <c r="K11" s="62"/>
      <c r="L11" s="63"/>
      <c r="M11" s="85"/>
      <c r="N11" s="64"/>
      <c r="O11" s="65"/>
      <c r="P11" s="99"/>
      <c r="Q11" s="70"/>
      <c r="R11" s="74" t="s">
        <v>18098</v>
      </c>
      <c r="S11" s="62"/>
      <c r="T11" s="63"/>
      <c r="U11" s="75"/>
      <c r="V11" s="67"/>
      <c r="W11" s="68"/>
      <c r="X11" s="76"/>
      <c r="Y11" s="70"/>
      <c r="Z11" s="228">
        <f>+ROUND((ROUND((_15_同援日０．５＿０．５*(1+_15・B深夜)),0)*(1+_15・盲ろう)),0)</f>
        <v>203</v>
      </c>
      <c r="AA11" s="69"/>
    </row>
    <row r="12" spans="1:27" ht="16.5" customHeight="1" x14ac:dyDescent="0.3">
      <c r="A12" s="2">
        <v>15</v>
      </c>
      <c r="B12" s="2" t="s">
        <v>309</v>
      </c>
      <c r="C12" s="83" t="s">
        <v>11074</v>
      </c>
      <c r="D12" s="103"/>
      <c r="E12" s="1"/>
      <c r="F12" s="103"/>
      <c r="G12" s="1"/>
      <c r="H12" s="68"/>
      <c r="I12" s="70"/>
      <c r="J12" s="66"/>
      <c r="K12" s="57"/>
      <c r="L12" s="58"/>
      <c r="M12" s="83" t="s">
        <v>5895</v>
      </c>
      <c r="N12" s="64" t="s">
        <v>1</v>
      </c>
      <c r="O12" s="65">
        <v>1</v>
      </c>
      <c r="P12" s="108" t="s">
        <v>7920</v>
      </c>
      <c r="Q12" s="70"/>
      <c r="R12" s="94" t="s">
        <v>18097</v>
      </c>
      <c r="S12" s="68"/>
      <c r="T12" s="76"/>
      <c r="U12" s="70"/>
      <c r="V12" s="67"/>
      <c r="W12" s="68"/>
      <c r="X12" s="76"/>
      <c r="Y12" s="70"/>
      <c r="Z12" s="228">
        <f>+ROUND((ROUND((ROUND((_15_同援日０．５＿０．５*_15・２人),0)*(1+_15・B深夜)),0)*(1+_15・盲ろう)),0)</f>
        <v>203</v>
      </c>
      <c r="AA12" s="69"/>
    </row>
    <row r="13" spans="1:27" ht="16.5" customHeight="1" x14ac:dyDescent="0.3">
      <c r="A13" s="2">
        <v>15</v>
      </c>
      <c r="B13" s="2" t="s">
        <v>310</v>
      </c>
      <c r="C13" s="83" t="s">
        <v>11073</v>
      </c>
      <c r="D13" s="103"/>
      <c r="E13" s="1"/>
      <c r="F13" s="103"/>
      <c r="G13" s="1"/>
      <c r="H13" s="68"/>
      <c r="I13" s="70"/>
      <c r="J13" s="74" t="s">
        <v>16912</v>
      </c>
      <c r="K13" s="62"/>
      <c r="L13" s="63"/>
      <c r="M13" s="85"/>
      <c r="N13" s="64"/>
      <c r="O13" s="65"/>
      <c r="P13" s="99"/>
      <c r="Q13" s="109" t="s">
        <v>7948</v>
      </c>
      <c r="R13" s="67"/>
      <c r="S13" s="68" t="s">
        <v>1</v>
      </c>
      <c r="T13" s="76">
        <v>0.25</v>
      </c>
      <c r="U13" s="70" t="s">
        <v>422</v>
      </c>
      <c r="V13" s="67"/>
      <c r="W13" s="68"/>
      <c r="X13" s="76"/>
      <c r="Y13" s="70"/>
      <c r="Z13" s="228">
        <f>+ROUND((ROUND((ROUND((_15_同援日０．５＿０．５*_15・基礎２),0)*(1+_15・B深夜)),0)*(1+_15・盲ろう)),0)</f>
        <v>183</v>
      </c>
      <c r="AA13" s="69"/>
    </row>
    <row r="14" spans="1:27" ht="16.5" customHeight="1" x14ac:dyDescent="0.3">
      <c r="A14" s="2">
        <v>15</v>
      </c>
      <c r="B14" s="2" t="s">
        <v>311</v>
      </c>
      <c r="C14" s="83" t="s">
        <v>11072</v>
      </c>
      <c r="D14" s="103"/>
      <c r="E14" s="1"/>
      <c r="F14" s="103"/>
      <c r="G14" s="1"/>
      <c r="H14" s="68"/>
      <c r="I14" s="70"/>
      <c r="J14" s="106" t="s">
        <v>16916</v>
      </c>
      <c r="K14" s="57" t="s">
        <v>1</v>
      </c>
      <c r="L14" s="58">
        <v>0.9</v>
      </c>
      <c r="M14" s="83" t="s">
        <v>5895</v>
      </c>
      <c r="N14" s="64" t="s">
        <v>1</v>
      </c>
      <c r="O14" s="65">
        <v>1</v>
      </c>
      <c r="P14" s="99"/>
      <c r="Q14" s="70"/>
      <c r="R14" s="66"/>
      <c r="S14" s="57"/>
      <c r="T14" s="58"/>
      <c r="U14" s="77"/>
      <c r="V14" s="66"/>
      <c r="W14" s="57"/>
      <c r="X14" s="58"/>
      <c r="Y14" s="77"/>
      <c r="Z14" s="228">
        <f>+ROUND((ROUND((ROUND((ROUND((_15_同援日０．５＿０．５*_15・基礎２),0)*_15・２人),0)*(1+_15・B深夜)),0)*(1+_15・盲ろう)),0)</f>
        <v>183</v>
      </c>
      <c r="AA14" s="69"/>
    </row>
    <row r="15" spans="1:27" ht="16.5" customHeight="1" x14ac:dyDescent="0.3">
      <c r="A15" s="2">
        <v>15</v>
      </c>
      <c r="B15" s="2" t="s">
        <v>312</v>
      </c>
      <c r="C15" s="83" t="s">
        <v>11071</v>
      </c>
      <c r="D15" s="103"/>
      <c r="E15" s="1"/>
      <c r="F15" s="103"/>
      <c r="G15" s="1"/>
      <c r="H15" s="68"/>
      <c r="I15" s="70"/>
      <c r="J15" s="61"/>
      <c r="K15" s="62"/>
      <c r="L15" s="63"/>
      <c r="M15" s="85"/>
      <c r="N15" s="64"/>
      <c r="O15" s="65"/>
      <c r="P15" s="67" t="s">
        <v>1</v>
      </c>
      <c r="Q15" s="93">
        <v>0.5</v>
      </c>
      <c r="R15" s="61"/>
      <c r="S15" s="62"/>
      <c r="T15" s="63"/>
      <c r="U15" s="75"/>
      <c r="V15" s="61"/>
      <c r="W15" s="62"/>
      <c r="X15" s="63"/>
      <c r="Y15" s="75"/>
      <c r="Z15" s="228">
        <f>+ROUND((ROUND((_15_同援日０．５＿０．５*(1+_15・B深夜)),0)*(1+_15・区３)),0)</f>
        <v>194</v>
      </c>
      <c r="AA15" s="69"/>
    </row>
    <row r="16" spans="1:27" ht="16.5" customHeight="1" x14ac:dyDescent="0.3">
      <c r="A16" s="2">
        <v>15</v>
      </c>
      <c r="B16" s="2" t="s">
        <v>313</v>
      </c>
      <c r="C16" s="83" t="s">
        <v>11070</v>
      </c>
      <c r="D16" s="103"/>
      <c r="E16" s="1"/>
      <c r="F16" s="103"/>
      <c r="G16" s="1"/>
      <c r="H16" s="68"/>
      <c r="I16" s="70"/>
      <c r="J16" s="66"/>
      <c r="K16" s="57"/>
      <c r="L16" s="58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67"/>
      <c r="S16" s="68"/>
      <c r="T16" s="76"/>
      <c r="U16" s="70"/>
      <c r="V16" s="67"/>
      <c r="W16" s="68"/>
      <c r="X16" s="76"/>
      <c r="Y16" s="70"/>
      <c r="Z16" s="228">
        <f>+ROUND((ROUND((ROUND((_15_同援日０．５＿０．５*_15・２人),0)*(1+_15・B深夜)),0)*(1+_15・区３)),0)</f>
        <v>194</v>
      </c>
      <c r="AA16" s="69"/>
    </row>
    <row r="17" spans="1:27" ht="16.5" customHeight="1" x14ac:dyDescent="0.3">
      <c r="A17" s="2">
        <v>15</v>
      </c>
      <c r="B17" s="2" t="s">
        <v>314</v>
      </c>
      <c r="C17" s="83" t="s">
        <v>11069</v>
      </c>
      <c r="D17" s="103"/>
      <c r="E17" s="1"/>
      <c r="F17" s="103"/>
      <c r="G17" s="1"/>
      <c r="H17" s="68"/>
      <c r="I17" s="70"/>
      <c r="J17" s="74" t="s">
        <v>16912</v>
      </c>
      <c r="K17" s="62"/>
      <c r="L17" s="63"/>
      <c r="M17" s="85"/>
      <c r="N17" s="64"/>
      <c r="O17" s="65"/>
      <c r="P17" s="99"/>
      <c r="Q17" s="70"/>
      <c r="R17" s="67"/>
      <c r="S17" s="68"/>
      <c r="T17" s="76"/>
      <c r="U17" s="70"/>
      <c r="V17" s="1" t="s">
        <v>18101</v>
      </c>
      <c r="W17" s="68"/>
      <c r="X17" s="76"/>
      <c r="Y17" s="70"/>
      <c r="Z17" s="228">
        <f>+ROUND((ROUND((ROUND((_15_同援日０．５＿０．５*_15・基礎２),0)*(1+_15・B深夜)),0)*(1+_15・区３)),0)</f>
        <v>175</v>
      </c>
      <c r="AA17" s="69"/>
    </row>
    <row r="18" spans="1:27" ht="16.5" customHeight="1" x14ac:dyDescent="0.3">
      <c r="A18" s="2">
        <v>15</v>
      </c>
      <c r="B18" s="2" t="s">
        <v>315</v>
      </c>
      <c r="C18" s="83" t="s">
        <v>11068</v>
      </c>
      <c r="D18" s="103"/>
      <c r="E18" s="1"/>
      <c r="F18" s="103"/>
      <c r="G18" s="1"/>
      <c r="H18" s="68"/>
      <c r="I18" s="70"/>
      <c r="J18" s="106" t="s">
        <v>16916</v>
      </c>
      <c r="K18" s="57" t="s">
        <v>1</v>
      </c>
      <c r="L18" s="58">
        <v>0.9</v>
      </c>
      <c r="M18" s="83" t="s">
        <v>5895</v>
      </c>
      <c r="N18" s="64" t="s">
        <v>1</v>
      </c>
      <c r="O18" s="65">
        <v>1</v>
      </c>
      <c r="P18" s="99"/>
      <c r="Q18" s="70"/>
      <c r="R18" s="66"/>
      <c r="S18" s="57"/>
      <c r="T18" s="58"/>
      <c r="U18" s="77"/>
      <c r="V18" s="1" t="s">
        <v>8087</v>
      </c>
      <c r="W18" s="68"/>
      <c r="X18" s="76"/>
      <c r="Y18" s="70"/>
      <c r="Z18" s="228">
        <f>+ROUND((ROUND((ROUND((ROUND((_15_同援日０．５＿０．５*_15・基礎２),0)*_15・２人),0)*(1+_15・B深夜)),0)*(1+_15・区３)),0)</f>
        <v>175</v>
      </c>
      <c r="AA18" s="69"/>
    </row>
    <row r="19" spans="1:27" ht="16.5" customHeight="1" x14ac:dyDescent="0.3">
      <c r="A19" s="2">
        <v>15</v>
      </c>
      <c r="B19" s="2" t="s">
        <v>316</v>
      </c>
      <c r="C19" s="83" t="s">
        <v>11067</v>
      </c>
      <c r="D19" s="103"/>
      <c r="E19" s="1"/>
      <c r="F19" s="103"/>
      <c r="G19" s="1"/>
      <c r="H19" s="68"/>
      <c r="I19" s="70"/>
      <c r="J19" s="61"/>
      <c r="K19" s="62"/>
      <c r="L19" s="63"/>
      <c r="M19" s="85"/>
      <c r="N19" s="64"/>
      <c r="O19" s="65"/>
      <c r="P19" s="99"/>
      <c r="Q19" s="70"/>
      <c r="R19" s="74" t="s">
        <v>18098</v>
      </c>
      <c r="S19" s="62"/>
      <c r="T19" s="63"/>
      <c r="U19" s="75"/>
      <c r="V19" s="67"/>
      <c r="W19" s="68" t="s">
        <v>1</v>
      </c>
      <c r="X19" s="76">
        <v>0.2</v>
      </c>
      <c r="Y19" s="70" t="s">
        <v>422</v>
      </c>
      <c r="Z19" s="228">
        <f>+ROUND((ROUND((ROUND((_15_同援日０．５＿０．５*(1+_15・B深夜)),0)*(1+_15・盲ろう)),0)*(1+_15・区３)),0)</f>
        <v>244</v>
      </c>
      <c r="AA19" s="69"/>
    </row>
    <row r="20" spans="1:27" ht="16.5" customHeight="1" x14ac:dyDescent="0.3">
      <c r="A20" s="2">
        <v>15</v>
      </c>
      <c r="B20" s="2" t="s">
        <v>317</v>
      </c>
      <c r="C20" s="83" t="s">
        <v>11066</v>
      </c>
      <c r="D20" s="103"/>
      <c r="E20" s="1"/>
      <c r="F20" s="103"/>
      <c r="G20" s="1"/>
      <c r="H20" s="68"/>
      <c r="I20" s="70"/>
      <c r="J20" s="66"/>
      <c r="K20" s="57"/>
      <c r="L20" s="58"/>
      <c r="M20" s="83" t="s">
        <v>5895</v>
      </c>
      <c r="N20" s="64" t="s">
        <v>1</v>
      </c>
      <c r="O20" s="65">
        <v>1</v>
      </c>
      <c r="P20" s="99"/>
      <c r="Q20" s="70"/>
      <c r="R20" s="94" t="s">
        <v>18097</v>
      </c>
      <c r="S20" s="68"/>
      <c r="T20" s="76"/>
      <c r="U20" s="70"/>
      <c r="V20" s="67"/>
      <c r="W20" s="68"/>
      <c r="X20" s="76"/>
      <c r="Y20" s="70"/>
      <c r="Z20" s="228">
        <f>+ROUND((ROUND((ROUND((ROUND((_15_同援日０．５＿０．５*_15・２人),0)*(1+_15・B深夜)),0)*(1+_15・盲ろう)),0)*(1+_15・区３)),0)</f>
        <v>244</v>
      </c>
      <c r="AA20" s="69"/>
    </row>
    <row r="21" spans="1:27" ht="16.5" customHeight="1" x14ac:dyDescent="0.3">
      <c r="A21" s="2">
        <v>15</v>
      </c>
      <c r="B21" s="2" t="s">
        <v>318</v>
      </c>
      <c r="C21" s="83" t="s">
        <v>11065</v>
      </c>
      <c r="D21" s="103"/>
      <c r="E21" s="1"/>
      <c r="F21" s="103"/>
      <c r="G21" s="1"/>
      <c r="H21" s="68"/>
      <c r="I21" s="70"/>
      <c r="J21" s="74" t="s">
        <v>16912</v>
      </c>
      <c r="K21" s="62"/>
      <c r="L21" s="63"/>
      <c r="M21" s="85"/>
      <c r="N21" s="64"/>
      <c r="O21" s="65"/>
      <c r="P21" s="99"/>
      <c r="Q21" s="70"/>
      <c r="R21" s="67"/>
      <c r="S21" s="68" t="s">
        <v>1</v>
      </c>
      <c r="T21" s="76">
        <v>0.25</v>
      </c>
      <c r="U21" s="70" t="s">
        <v>422</v>
      </c>
      <c r="V21" s="67"/>
      <c r="W21" s="68"/>
      <c r="X21" s="76"/>
      <c r="Y21" s="70"/>
      <c r="Z21" s="228">
        <f>+ROUND((ROUND((ROUND((ROUND((_15_同援日０．５＿０．５*_15・基礎２),0)*(1+_15・B深夜)),0)*(1+_15・盲ろう)),0)*(1+_15・区３)),0)</f>
        <v>220</v>
      </c>
      <c r="AA21" s="69"/>
    </row>
    <row r="22" spans="1:27" ht="16.5" customHeight="1" x14ac:dyDescent="0.3">
      <c r="A22" s="2">
        <v>15</v>
      </c>
      <c r="B22" s="2" t="s">
        <v>319</v>
      </c>
      <c r="C22" s="83" t="s">
        <v>11064</v>
      </c>
      <c r="D22" s="103"/>
      <c r="E22" s="1"/>
      <c r="F22" s="103"/>
      <c r="G22" s="1"/>
      <c r="H22" s="68"/>
      <c r="I22" s="70"/>
      <c r="J22" s="106" t="s">
        <v>5896</v>
      </c>
      <c r="K22" s="57" t="s">
        <v>1</v>
      </c>
      <c r="L22" s="58">
        <v>0.9</v>
      </c>
      <c r="M22" s="83" t="s">
        <v>5895</v>
      </c>
      <c r="N22" s="64" t="s">
        <v>1</v>
      </c>
      <c r="O22" s="65">
        <v>1</v>
      </c>
      <c r="P22" s="99"/>
      <c r="Q22" s="70"/>
      <c r="R22" s="66"/>
      <c r="S22" s="57"/>
      <c r="T22" s="58"/>
      <c r="U22" s="77"/>
      <c r="V22" s="66"/>
      <c r="W22" s="57"/>
      <c r="X22" s="58"/>
      <c r="Y22" s="77"/>
      <c r="Z22" s="228">
        <f>+ROUND((ROUND((ROUND((ROUND((ROUND((_15_同援日０．５＿０．５*_15・基礎２),0)*_15・２人),0)*(1+_15・B深夜)),0)*(1+_15・盲ろう)),0)*(1+_15・区３)),0)</f>
        <v>220</v>
      </c>
      <c r="AA22" s="69"/>
    </row>
    <row r="23" spans="1:27" ht="16.5" customHeight="1" x14ac:dyDescent="0.3">
      <c r="A23" s="2">
        <v>15</v>
      </c>
      <c r="B23" s="2" t="s">
        <v>320</v>
      </c>
      <c r="C23" s="83" t="s">
        <v>11063</v>
      </c>
      <c r="D23" s="103"/>
      <c r="E23" s="1"/>
      <c r="F23" s="103"/>
      <c r="G23" s="1"/>
      <c r="H23" s="68"/>
      <c r="I23" s="70"/>
      <c r="J23" s="61"/>
      <c r="K23" s="62"/>
      <c r="L23" s="63"/>
      <c r="M23" s="85"/>
      <c r="N23" s="64"/>
      <c r="O23" s="65"/>
      <c r="P23" s="99"/>
      <c r="Q23" s="70"/>
      <c r="R23" s="61"/>
      <c r="S23" s="62"/>
      <c r="T23" s="63"/>
      <c r="U23" s="75"/>
      <c r="V23" s="61"/>
      <c r="W23" s="62"/>
      <c r="X23" s="63"/>
      <c r="Y23" s="75"/>
      <c r="Z23" s="228">
        <f>+ROUND((ROUND((_15_同援日０．５＿０．５*(1+_15・B深夜)),0)*(1+_15・区４)),0)</f>
        <v>227</v>
      </c>
      <c r="AA23" s="69"/>
    </row>
    <row r="24" spans="1:27" ht="16.5" customHeight="1" x14ac:dyDescent="0.3">
      <c r="A24" s="2">
        <v>15</v>
      </c>
      <c r="B24" s="2" t="s">
        <v>321</v>
      </c>
      <c r="C24" s="83" t="s">
        <v>11062</v>
      </c>
      <c r="D24" s="103"/>
      <c r="E24" s="1"/>
      <c r="F24" s="103"/>
      <c r="G24" s="1"/>
      <c r="H24" s="68"/>
      <c r="I24" s="70"/>
      <c r="J24" s="66"/>
      <c r="K24" s="57"/>
      <c r="L24" s="58"/>
      <c r="M24" s="83" t="s">
        <v>5895</v>
      </c>
      <c r="N24" s="64" t="s">
        <v>1</v>
      </c>
      <c r="O24" s="65">
        <v>1</v>
      </c>
      <c r="P24" s="99"/>
      <c r="Q24" s="70"/>
      <c r="R24" s="67"/>
      <c r="S24" s="68"/>
      <c r="T24" s="76"/>
      <c r="U24" s="70"/>
      <c r="V24" s="67"/>
      <c r="W24" s="68"/>
      <c r="X24" s="76"/>
      <c r="Y24" s="70"/>
      <c r="Z24" s="228">
        <f>+ROUND((ROUND((ROUND((_15_同援日０．５＿０．５*_15・２人),0)*(1+_15・B深夜)),0)*(1+_15・区４)),0)</f>
        <v>227</v>
      </c>
      <c r="AA24" s="69"/>
    </row>
    <row r="25" spans="1:27" ht="16.5" customHeight="1" x14ac:dyDescent="0.3">
      <c r="A25" s="2">
        <v>15</v>
      </c>
      <c r="B25" s="2" t="s">
        <v>322</v>
      </c>
      <c r="C25" s="83" t="s">
        <v>11061</v>
      </c>
      <c r="D25" s="103"/>
      <c r="E25" s="1"/>
      <c r="F25" s="103"/>
      <c r="G25" s="1"/>
      <c r="H25" s="68"/>
      <c r="I25" s="70"/>
      <c r="J25" s="74" t="s">
        <v>16912</v>
      </c>
      <c r="K25" s="62"/>
      <c r="L25" s="63"/>
      <c r="M25" s="85"/>
      <c r="N25" s="64"/>
      <c r="O25" s="65"/>
      <c r="P25" s="99"/>
      <c r="Q25" s="70"/>
      <c r="R25" s="67"/>
      <c r="S25" s="68"/>
      <c r="T25" s="76"/>
      <c r="U25" s="70"/>
      <c r="V25" s="1" t="s">
        <v>18100</v>
      </c>
      <c r="W25" s="68"/>
      <c r="X25" s="76"/>
      <c r="Y25" s="70"/>
      <c r="Z25" s="228">
        <f>+ROUND((ROUND((ROUND((_15_同援日０．５＿０．５*_15・基礎２),0)*(1+_15・B深夜)),0)*(1+_15・区４)),0)</f>
        <v>204</v>
      </c>
      <c r="AA25" s="69"/>
    </row>
    <row r="26" spans="1:27" ht="16.5" customHeight="1" x14ac:dyDescent="0.3">
      <c r="A26" s="2">
        <v>15</v>
      </c>
      <c r="B26" s="2" t="s">
        <v>323</v>
      </c>
      <c r="C26" s="83" t="s">
        <v>11060</v>
      </c>
      <c r="D26" s="103"/>
      <c r="E26" s="1"/>
      <c r="F26" s="103"/>
      <c r="G26" s="1"/>
      <c r="H26" s="68"/>
      <c r="I26" s="70"/>
      <c r="J26" s="106" t="s">
        <v>16916</v>
      </c>
      <c r="K26" s="57" t="s">
        <v>1</v>
      </c>
      <c r="L26" s="58">
        <v>0.9</v>
      </c>
      <c r="M26" s="83" t="s">
        <v>5895</v>
      </c>
      <c r="N26" s="64" t="s">
        <v>1</v>
      </c>
      <c r="O26" s="65">
        <v>1</v>
      </c>
      <c r="P26" s="99"/>
      <c r="Q26" s="70"/>
      <c r="R26" s="66"/>
      <c r="S26" s="57"/>
      <c r="T26" s="58"/>
      <c r="U26" s="77"/>
      <c r="V26" s="1" t="s">
        <v>18099</v>
      </c>
      <c r="W26" s="68"/>
      <c r="X26" s="76"/>
      <c r="Y26" s="70"/>
      <c r="Z26" s="228">
        <f>+ROUND((ROUND((ROUND((ROUND((_15_同援日０．５＿０．５*_15・基礎２),0)*_15・２人),0)*(1+_15・B深夜)),0)*(1+_15・区４)),0)</f>
        <v>204</v>
      </c>
      <c r="AA26" s="69"/>
    </row>
    <row r="27" spans="1:27" ht="16.5" customHeight="1" x14ac:dyDescent="0.3">
      <c r="A27" s="2">
        <v>15</v>
      </c>
      <c r="B27" s="2" t="s">
        <v>324</v>
      </c>
      <c r="C27" s="83" t="s">
        <v>11059</v>
      </c>
      <c r="D27" s="103"/>
      <c r="E27" s="1"/>
      <c r="F27" s="103"/>
      <c r="G27" s="1"/>
      <c r="H27" s="68"/>
      <c r="I27" s="70"/>
      <c r="J27" s="61"/>
      <c r="K27" s="62"/>
      <c r="L27" s="63"/>
      <c r="M27" s="85"/>
      <c r="N27" s="64"/>
      <c r="O27" s="65"/>
      <c r="P27" s="99"/>
      <c r="Q27" s="70"/>
      <c r="R27" s="74" t="s">
        <v>18098</v>
      </c>
      <c r="S27" s="62"/>
      <c r="T27" s="63"/>
      <c r="U27" s="75"/>
      <c r="V27" s="67"/>
      <c r="W27" s="68" t="s">
        <v>1</v>
      </c>
      <c r="X27" s="76">
        <v>0.4</v>
      </c>
      <c r="Y27" s="70" t="s">
        <v>422</v>
      </c>
      <c r="Z27" s="228">
        <f>+ROUND((ROUND((ROUND((_15_同援日０．５＿０．５*(1+_15・B深夜)),0)*(1+_15・盲ろう)),0)*(1+_15・区４)),0)</f>
        <v>284</v>
      </c>
      <c r="AA27" s="69"/>
    </row>
    <row r="28" spans="1:27" ht="16.5" customHeight="1" x14ac:dyDescent="0.3">
      <c r="A28" s="2">
        <v>15</v>
      </c>
      <c r="B28" s="2" t="s">
        <v>325</v>
      </c>
      <c r="C28" s="83" t="s">
        <v>11058</v>
      </c>
      <c r="D28" s="103"/>
      <c r="E28" s="1"/>
      <c r="F28" s="103"/>
      <c r="G28" s="1"/>
      <c r="H28" s="68"/>
      <c r="I28" s="70"/>
      <c r="J28" s="66"/>
      <c r="K28" s="57"/>
      <c r="L28" s="58"/>
      <c r="M28" s="83" t="s">
        <v>5895</v>
      </c>
      <c r="N28" s="64" t="s">
        <v>1</v>
      </c>
      <c r="O28" s="65">
        <v>1</v>
      </c>
      <c r="P28" s="99"/>
      <c r="Q28" s="70"/>
      <c r="R28" s="94" t="s">
        <v>18097</v>
      </c>
      <c r="S28" s="68"/>
      <c r="T28" s="76"/>
      <c r="U28" s="70"/>
      <c r="V28" s="67"/>
      <c r="W28" s="68"/>
      <c r="X28" s="76"/>
      <c r="Y28" s="70"/>
      <c r="Z28" s="228">
        <f>+ROUND((ROUND((ROUND((ROUND((_15_同援日０．５＿０．５*_15・２人),0)*(1+_15・B深夜)),0)*(1+_15・盲ろう)),0)*(1+_15・区４)),0)</f>
        <v>284</v>
      </c>
      <c r="AA28" s="69"/>
    </row>
    <row r="29" spans="1:27" ht="16.5" customHeight="1" x14ac:dyDescent="0.3">
      <c r="A29" s="2">
        <v>15</v>
      </c>
      <c r="B29" s="2" t="s">
        <v>326</v>
      </c>
      <c r="C29" s="83" t="s">
        <v>11057</v>
      </c>
      <c r="D29" s="103"/>
      <c r="E29" s="1"/>
      <c r="F29" s="103"/>
      <c r="G29" s="1"/>
      <c r="H29" s="68"/>
      <c r="I29" s="70"/>
      <c r="J29" s="74" t="s">
        <v>16912</v>
      </c>
      <c r="K29" s="62"/>
      <c r="L29" s="63"/>
      <c r="M29" s="85"/>
      <c r="N29" s="64"/>
      <c r="O29" s="65"/>
      <c r="P29" s="99"/>
      <c r="Q29" s="70"/>
      <c r="R29" s="67"/>
      <c r="S29" s="68" t="s">
        <v>1</v>
      </c>
      <c r="T29" s="76">
        <v>0.25</v>
      </c>
      <c r="U29" s="70" t="s">
        <v>422</v>
      </c>
      <c r="V29" s="67"/>
      <c r="W29" s="68"/>
      <c r="X29" s="76"/>
      <c r="Y29" s="70"/>
      <c r="Z29" s="228">
        <f>+ROUND((ROUND((ROUND((ROUND((_15_同援日０．５＿０．５*_15・基礎２),0)*(1+_15・B深夜)),0)*(1+_15・盲ろう)),0)*(1+_15・区４)),0)</f>
        <v>256</v>
      </c>
      <c r="AA29" s="69"/>
    </row>
    <row r="30" spans="1:27" ht="16.5" customHeight="1" x14ac:dyDescent="0.3">
      <c r="A30" s="2">
        <v>15</v>
      </c>
      <c r="B30" s="2" t="s">
        <v>327</v>
      </c>
      <c r="C30" s="83" t="s">
        <v>11056</v>
      </c>
      <c r="D30" s="103"/>
      <c r="E30" s="1"/>
      <c r="F30" s="103"/>
      <c r="G30" s="81"/>
      <c r="H30" s="57"/>
      <c r="I30" s="77"/>
      <c r="J30" s="106" t="s">
        <v>16916</v>
      </c>
      <c r="K30" s="57" t="s">
        <v>1</v>
      </c>
      <c r="L30" s="58">
        <v>0.9</v>
      </c>
      <c r="M30" s="83" t="s">
        <v>5895</v>
      </c>
      <c r="N30" s="64" t="s">
        <v>1</v>
      </c>
      <c r="O30" s="65">
        <v>1</v>
      </c>
      <c r="P30" s="99"/>
      <c r="Q30" s="70"/>
      <c r="R30" s="66"/>
      <c r="S30" s="57"/>
      <c r="T30" s="58"/>
      <c r="U30" s="77"/>
      <c r="V30" s="66"/>
      <c r="W30" s="57"/>
      <c r="X30" s="58"/>
      <c r="Y30" s="77"/>
      <c r="Z30" s="228">
        <f>+ROUND((ROUND((ROUND((ROUND((ROUND((_15_同援日０．５＿０．５*_15・基礎２),0)*_15・２人),0)*(1+_15・B深夜)),0)*(1+_15・盲ろう)),0)*(1+_15・区４)),0)</f>
        <v>256</v>
      </c>
      <c r="AA30" s="69"/>
    </row>
    <row r="31" spans="1:27" ht="16.5" customHeight="1" x14ac:dyDescent="0.3">
      <c r="A31" s="2">
        <v>15</v>
      </c>
      <c r="B31" s="2" t="s">
        <v>328</v>
      </c>
      <c r="C31" s="83" t="s">
        <v>11055</v>
      </c>
      <c r="D31" s="103"/>
      <c r="E31" s="1"/>
      <c r="F31" s="103"/>
      <c r="G31" s="233" t="s">
        <v>16950</v>
      </c>
      <c r="H31" s="62"/>
      <c r="I31" s="75"/>
      <c r="J31" s="61"/>
      <c r="K31" s="62"/>
      <c r="L31" s="63"/>
      <c r="M31" s="85"/>
      <c r="N31" s="64"/>
      <c r="O31" s="65"/>
      <c r="P31" s="99"/>
      <c r="Q31" s="70"/>
      <c r="R31" s="61"/>
      <c r="S31" s="62"/>
      <c r="T31" s="63"/>
      <c r="U31" s="75"/>
      <c r="V31" s="61"/>
      <c r="W31" s="62"/>
      <c r="X31" s="63"/>
      <c r="Y31" s="75"/>
      <c r="Z31" s="228">
        <f>+ROUND((_15_同援日０．５＿１．０*(1+_15・B深夜)),0)</f>
        <v>356</v>
      </c>
      <c r="AA31" s="69"/>
    </row>
    <row r="32" spans="1:27" ht="16.5" customHeight="1" x14ac:dyDescent="0.3">
      <c r="A32" s="2">
        <v>15</v>
      </c>
      <c r="B32" s="2" t="s">
        <v>329</v>
      </c>
      <c r="C32" s="83" t="s">
        <v>11054</v>
      </c>
      <c r="D32" s="103"/>
      <c r="E32" s="1"/>
      <c r="F32" s="103"/>
      <c r="G32" s="1" t="s">
        <v>16949</v>
      </c>
      <c r="H32" s="68"/>
      <c r="I32" s="70"/>
      <c r="J32" s="66"/>
      <c r="K32" s="57"/>
      <c r="L32" s="58"/>
      <c r="M32" s="83" t="s">
        <v>5895</v>
      </c>
      <c r="N32" s="64" t="s">
        <v>1</v>
      </c>
      <c r="O32" s="65">
        <v>1</v>
      </c>
      <c r="P32" s="99"/>
      <c r="Q32" s="70"/>
      <c r="R32" s="67"/>
      <c r="S32" s="68"/>
      <c r="T32" s="76"/>
      <c r="U32" s="70"/>
      <c r="V32" s="67"/>
      <c r="W32" s="68"/>
      <c r="X32" s="76"/>
      <c r="Y32" s="70"/>
      <c r="Z32" s="228">
        <f>+ROUND((ROUND((_15_同援日０．５＿１．０*_15・２人),0)*(1+_15・B深夜)),0)</f>
        <v>356</v>
      </c>
      <c r="AA32" s="69"/>
    </row>
    <row r="33" spans="1:27" ht="16.5" customHeight="1" x14ac:dyDescent="0.3">
      <c r="A33" s="2">
        <v>15</v>
      </c>
      <c r="B33" s="2" t="s">
        <v>330</v>
      </c>
      <c r="C33" s="83" t="s">
        <v>11053</v>
      </c>
      <c r="D33" s="103"/>
      <c r="E33" s="1"/>
      <c r="F33" s="103"/>
      <c r="G33" s="1" t="s">
        <v>8572</v>
      </c>
      <c r="H33" s="68"/>
      <c r="I33" s="70"/>
      <c r="J33" s="74" t="s">
        <v>16912</v>
      </c>
      <c r="K33" s="62"/>
      <c r="L33" s="63"/>
      <c r="M33" s="85"/>
      <c r="N33" s="64"/>
      <c r="O33" s="65"/>
      <c r="P33" s="99"/>
      <c r="Q33" s="70"/>
      <c r="R33" s="67"/>
      <c r="S33" s="68"/>
      <c r="T33" s="76"/>
      <c r="U33" s="70"/>
      <c r="V33" s="67"/>
      <c r="W33" s="68"/>
      <c r="X33" s="76"/>
      <c r="Y33" s="70"/>
      <c r="Z33" s="228">
        <f>+ROUND((ROUND((_15_同援日０．５＿１．０*_15・基礎２),0)*(1+_15・B深夜)),0)</f>
        <v>320</v>
      </c>
      <c r="AA33" s="69"/>
    </row>
    <row r="34" spans="1:27" ht="16.5" customHeight="1" x14ac:dyDescent="0.3">
      <c r="A34" s="2">
        <v>15</v>
      </c>
      <c r="B34" s="2" t="s">
        <v>331</v>
      </c>
      <c r="C34" s="83" t="s">
        <v>11052</v>
      </c>
      <c r="D34" s="103"/>
      <c r="E34" s="1"/>
      <c r="F34" s="103"/>
      <c r="G34" s="1"/>
      <c r="H34" s="227">
        <v>237</v>
      </c>
      <c r="I34" s="70" t="s">
        <v>0</v>
      </c>
      <c r="J34" s="106" t="s">
        <v>16916</v>
      </c>
      <c r="K34" s="57" t="s">
        <v>1</v>
      </c>
      <c r="L34" s="58">
        <v>0.9</v>
      </c>
      <c r="M34" s="83" t="s">
        <v>5895</v>
      </c>
      <c r="N34" s="64" t="s">
        <v>1</v>
      </c>
      <c r="O34" s="65">
        <v>1</v>
      </c>
      <c r="P34" s="99"/>
      <c r="Q34" s="70"/>
      <c r="R34" s="66"/>
      <c r="S34" s="57"/>
      <c r="T34" s="58"/>
      <c r="U34" s="77"/>
      <c r="V34" s="67"/>
      <c r="W34" s="68"/>
      <c r="X34" s="76"/>
      <c r="Y34" s="70"/>
      <c r="Z34" s="228">
        <f>+ROUND((ROUND((ROUND((_15_同援日０．５＿１．０*_15・基礎２),0)*_15・２人),0)*(1+_15・B深夜)),0)</f>
        <v>320</v>
      </c>
      <c r="AA34" s="69"/>
    </row>
    <row r="35" spans="1:27" ht="16.5" customHeight="1" x14ac:dyDescent="0.3">
      <c r="A35" s="2">
        <v>15</v>
      </c>
      <c r="B35" s="2" t="s">
        <v>332</v>
      </c>
      <c r="C35" s="83" t="s">
        <v>11051</v>
      </c>
      <c r="D35" s="103"/>
      <c r="E35" s="1"/>
      <c r="F35" s="103"/>
      <c r="G35" s="1"/>
      <c r="H35" s="68"/>
      <c r="I35" s="70"/>
      <c r="J35" s="61"/>
      <c r="K35" s="62"/>
      <c r="L35" s="63"/>
      <c r="M35" s="85"/>
      <c r="N35" s="64"/>
      <c r="O35" s="65"/>
      <c r="P35" s="99"/>
      <c r="Q35" s="70"/>
      <c r="R35" s="74" t="s">
        <v>18098</v>
      </c>
      <c r="S35" s="62"/>
      <c r="T35" s="63"/>
      <c r="U35" s="75"/>
      <c r="V35" s="67"/>
      <c r="W35" s="68"/>
      <c r="X35" s="76"/>
      <c r="Y35" s="70"/>
      <c r="Z35" s="228">
        <f>+ROUND((ROUND((_15_同援日０．５＿１．０*(1+_15・B深夜)),0)*(1+_15・盲ろう)),0)</f>
        <v>445</v>
      </c>
      <c r="AA35" s="69"/>
    </row>
    <row r="36" spans="1:27" ht="16.5" customHeight="1" x14ac:dyDescent="0.3">
      <c r="A36" s="2">
        <v>15</v>
      </c>
      <c r="B36" s="2" t="s">
        <v>333</v>
      </c>
      <c r="C36" s="83" t="s">
        <v>11050</v>
      </c>
      <c r="D36" s="103"/>
      <c r="E36" s="1"/>
      <c r="F36" s="103"/>
      <c r="G36" s="1"/>
      <c r="H36" s="68"/>
      <c r="I36" s="70"/>
      <c r="J36" s="66"/>
      <c r="K36" s="57"/>
      <c r="L36" s="58"/>
      <c r="M36" s="83" t="s">
        <v>5895</v>
      </c>
      <c r="N36" s="64" t="s">
        <v>1</v>
      </c>
      <c r="O36" s="65">
        <v>1</v>
      </c>
      <c r="P36" s="99"/>
      <c r="Q36" s="70"/>
      <c r="R36" s="94" t="s">
        <v>18097</v>
      </c>
      <c r="S36" s="68"/>
      <c r="T36" s="76"/>
      <c r="U36" s="70"/>
      <c r="V36" s="67"/>
      <c r="W36" s="68"/>
      <c r="X36" s="76"/>
      <c r="Y36" s="70"/>
      <c r="Z36" s="228">
        <f>+ROUND((ROUND((ROUND((_15_同援日０．５＿１．０*_15・２人),0)*(1+_15・B深夜)),0)*(1+_15・盲ろう)),0)</f>
        <v>445</v>
      </c>
      <c r="AA36" s="69"/>
    </row>
    <row r="37" spans="1:27" ht="16.5" customHeight="1" x14ac:dyDescent="0.3">
      <c r="A37" s="2">
        <v>15</v>
      </c>
      <c r="B37" s="2" t="s">
        <v>334</v>
      </c>
      <c r="C37" s="83" t="s">
        <v>11049</v>
      </c>
      <c r="D37" s="103"/>
      <c r="E37" s="1"/>
      <c r="F37" s="103"/>
      <c r="G37" s="1"/>
      <c r="H37" s="68"/>
      <c r="I37" s="70"/>
      <c r="J37" s="74" t="s">
        <v>16912</v>
      </c>
      <c r="K37" s="62"/>
      <c r="L37" s="63"/>
      <c r="M37" s="85"/>
      <c r="N37" s="64"/>
      <c r="O37" s="65"/>
      <c r="P37" s="99"/>
      <c r="Q37" s="70"/>
      <c r="R37" s="67"/>
      <c r="S37" s="68" t="s">
        <v>1</v>
      </c>
      <c r="T37" s="76">
        <v>0.25</v>
      </c>
      <c r="U37" s="70" t="s">
        <v>422</v>
      </c>
      <c r="V37" s="67"/>
      <c r="W37" s="68"/>
      <c r="X37" s="76"/>
      <c r="Y37" s="70"/>
      <c r="Z37" s="228">
        <f>+ROUND((ROUND((ROUND((_15_同援日０．５＿１．０*_15・基礎２),0)*(1+_15・B深夜)),0)*(1+_15・盲ろう)),0)</f>
        <v>400</v>
      </c>
      <c r="AA37" s="69"/>
    </row>
    <row r="38" spans="1:27" ht="16.5" customHeight="1" x14ac:dyDescent="0.3">
      <c r="A38" s="2">
        <v>15</v>
      </c>
      <c r="B38" s="2" t="s">
        <v>335</v>
      </c>
      <c r="C38" s="83" t="s">
        <v>11048</v>
      </c>
      <c r="D38" s="103"/>
      <c r="E38" s="1"/>
      <c r="F38" s="103"/>
      <c r="G38" s="1"/>
      <c r="H38" s="68"/>
      <c r="I38" s="70"/>
      <c r="J38" s="106" t="s">
        <v>16916</v>
      </c>
      <c r="K38" s="57" t="s">
        <v>1</v>
      </c>
      <c r="L38" s="58">
        <v>0.9</v>
      </c>
      <c r="M38" s="83" t="s">
        <v>5895</v>
      </c>
      <c r="N38" s="64" t="s">
        <v>1</v>
      </c>
      <c r="O38" s="65">
        <v>1</v>
      </c>
      <c r="P38" s="99"/>
      <c r="Q38" s="70"/>
      <c r="R38" s="66"/>
      <c r="S38" s="57"/>
      <c r="T38" s="58"/>
      <c r="U38" s="77"/>
      <c r="V38" s="66"/>
      <c r="W38" s="57"/>
      <c r="X38" s="58"/>
      <c r="Y38" s="77"/>
      <c r="Z38" s="228">
        <f>+ROUND((ROUND((ROUND((ROUND((_15_同援日０．５＿１．０*_15・基礎２),0)*_15・２人),0)*(1+_15・B深夜)),0)*(1+_15・盲ろう)),0)</f>
        <v>400</v>
      </c>
      <c r="AA38" s="69"/>
    </row>
    <row r="39" spans="1:27" ht="16.5" customHeight="1" x14ac:dyDescent="0.3">
      <c r="A39" s="2">
        <v>15</v>
      </c>
      <c r="B39" s="2" t="s">
        <v>336</v>
      </c>
      <c r="C39" s="83" t="s">
        <v>11047</v>
      </c>
      <c r="D39" s="103"/>
      <c r="E39" s="1"/>
      <c r="F39" s="103"/>
      <c r="G39" s="1"/>
      <c r="H39" s="68"/>
      <c r="I39" s="70"/>
      <c r="J39" s="61"/>
      <c r="K39" s="62"/>
      <c r="L39" s="63"/>
      <c r="M39" s="85"/>
      <c r="N39" s="64"/>
      <c r="O39" s="65"/>
      <c r="P39" s="99"/>
      <c r="Q39" s="70"/>
      <c r="R39" s="61"/>
      <c r="S39" s="62"/>
      <c r="T39" s="63"/>
      <c r="U39" s="75"/>
      <c r="V39" s="61"/>
      <c r="W39" s="62"/>
      <c r="X39" s="63"/>
      <c r="Y39" s="75"/>
      <c r="Z39" s="228">
        <f>+ROUND((ROUND((_15_同援日０．５＿１．０*(1+_15・B深夜)),0)*(1+_15・区３)),0)</f>
        <v>427</v>
      </c>
      <c r="AA39" s="69"/>
    </row>
    <row r="40" spans="1:27" ht="16.5" customHeight="1" x14ac:dyDescent="0.3">
      <c r="A40" s="2">
        <v>15</v>
      </c>
      <c r="B40" s="2" t="s">
        <v>337</v>
      </c>
      <c r="C40" s="83" t="s">
        <v>11046</v>
      </c>
      <c r="D40" s="103"/>
      <c r="E40" s="1"/>
      <c r="F40" s="103"/>
      <c r="G40" s="1"/>
      <c r="H40" s="68"/>
      <c r="I40" s="70"/>
      <c r="J40" s="66"/>
      <c r="K40" s="57"/>
      <c r="L40" s="58"/>
      <c r="M40" s="83" t="s">
        <v>5895</v>
      </c>
      <c r="N40" s="64" t="s">
        <v>1</v>
      </c>
      <c r="O40" s="65">
        <v>1</v>
      </c>
      <c r="P40" s="99"/>
      <c r="Q40" s="70"/>
      <c r="R40" s="67"/>
      <c r="S40" s="68"/>
      <c r="T40" s="76"/>
      <c r="U40" s="70"/>
      <c r="V40" s="67"/>
      <c r="W40" s="68"/>
      <c r="X40" s="76"/>
      <c r="Y40" s="70"/>
      <c r="Z40" s="228">
        <f>+ROUND((ROUND((ROUND((_15_同援日０．５＿１．０*_15・２人),0)*(1+_15・B深夜)),0)*(1+_15・区３)),0)</f>
        <v>427</v>
      </c>
      <c r="AA40" s="69"/>
    </row>
    <row r="41" spans="1:27" ht="16.5" customHeight="1" x14ac:dyDescent="0.3">
      <c r="A41" s="2">
        <v>15</v>
      </c>
      <c r="B41" s="2" t="s">
        <v>338</v>
      </c>
      <c r="C41" s="83" t="s">
        <v>11045</v>
      </c>
      <c r="D41" s="103"/>
      <c r="E41" s="1"/>
      <c r="F41" s="103"/>
      <c r="G41" s="1"/>
      <c r="H41" s="68"/>
      <c r="I41" s="70"/>
      <c r="J41" s="74" t="s">
        <v>16912</v>
      </c>
      <c r="K41" s="62"/>
      <c r="L41" s="63"/>
      <c r="M41" s="85"/>
      <c r="N41" s="64"/>
      <c r="O41" s="65"/>
      <c r="P41" s="99"/>
      <c r="Q41" s="70"/>
      <c r="R41" s="67"/>
      <c r="S41" s="68"/>
      <c r="T41" s="76"/>
      <c r="U41" s="70"/>
      <c r="V41" s="1" t="s">
        <v>18101</v>
      </c>
      <c r="W41" s="68"/>
      <c r="X41" s="76"/>
      <c r="Y41" s="70"/>
      <c r="Z41" s="228">
        <f>+ROUND((ROUND((ROUND((_15_同援日０．５＿１．０*_15・基礎２),0)*(1+_15・B深夜)),0)*(1+_15・区３)),0)</f>
        <v>384</v>
      </c>
      <c r="AA41" s="69"/>
    </row>
    <row r="42" spans="1:27" ht="16.5" customHeight="1" x14ac:dyDescent="0.3">
      <c r="A42" s="2">
        <v>15</v>
      </c>
      <c r="B42" s="2" t="s">
        <v>339</v>
      </c>
      <c r="C42" s="83" t="s">
        <v>11044</v>
      </c>
      <c r="D42" s="103"/>
      <c r="E42" s="1"/>
      <c r="F42" s="103"/>
      <c r="G42" s="1"/>
      <c r="H42" s="68"/>
      <c r="I42" s="70"/>
      <c r="J42" s="106" t="s">
        <v>16916</v>
      </c>
      <c r="K42" s="57" t="s">
        <v>1</v>
      </c>
      <c r="L42" s="58">
        <v>0.9</v>
      </c>
      <c r="M42" s="83" t="s">
        <v>5895</v>
      </c>
      <c r="N42" s="64" t="s">
        <v>1</v>
      </c>
      <c r="O42" s="65">
        <v>1</v>
      </c>
      <c r="P42" s="99"/>
      <c r="Q42" s="70"/>
      <c r="R42" s="66"/>
      <c r="S42" s="57"/>
      <c r="T42" s="58"/>
      <c r="U42" s="77"/>
      <c r="V42" s="1" t="s">
        <v>18099</v>
      </c>
      <c r="W42" s="68"/>
      <c r="X42" s="76"/>
      <c r="Y42" s="70"/>
      <c r="Z42" s="228">
        <f>+ROUND((ROUND((ROUND((ROUND((_15_同援日０．５＿１．０*_15・基礎２),0)*_15・２人),0)*(1+_15・B深夜)),0)*(1+_15・区３)),0)</f>
        <v>384</v>
      </c>
      <c r="AA42" s="69"/>
    </row>
    <row r="43" spans="1:27" ht="16.5" customHeight="1" x14ac:dyDescent="0.3">
      <c r="A43" s="2">
        <v>15</v>
      </c>
      <c r="B43" s="2" t="s">
        <v>340</v>
      </c>
      <c r="C43" s="83" t="s">
        <v>11043</v>
      </c>
      <c r="D43" s="103"/>
      <c r="E43" s="1"/>
      <c r="F43" s="103"/>
      <c r="G43" s="1"/>
      <c r="H43" s="68"/>
      <c r="I43" s="70"/>
      <c r="J43" s="61"/>
      <c r="K43" s="62"/>
      <c r="L43" s="63"/>
      <c r="M43" s="85"/>
      <c r="N43" s="64"/>
      <c r="O43" s="65"/>
      <c r="P43" s="99"/>
      <c r="Q43" s="70"/>
      <c r="R43" s="74" t="s">
        <v>18098</v>
      </c>
      <c r="S43" s="62"/>
      <c r="T43" s="63"/>
      <c r="U43" s="75"/>
      <c r="V43" s="67"/>
      <c r="W43" s="68" t="s">
        <v>1</v>
      </c>
      <c r="X43" s="76">
        <v>0.2</v>
      </c>
      <c r="Y43" s="70" t="s">
        <v>422</v>
      </c>
      <c r="Z43" s="228">
        <f>+ROUND((ROUND((ROUND((_15_同援日０．５＿１．０*(1+_15・B深夜)),0)*(1+_15・盲ろう)),0)*(1+_15・区３)),0)</f>
        <v>534</v>
      </c>
      <c r="AA43" s="69"/>
    </row>
    <row r="44" spans="1:27" ht="16.5" customHeight="1" x14ac:dyDescent="0.3">
      <c r="A44" s="2">
        <v>15</v>
      </c>
      <c r="B44" s="2" t="s">
        <v>341</v>
      </c>
      <c r="C44" s="83" t="s">
        <v>11042</v>
      </c>
      <c r="D44" s="103"/>
      <c r="E44" s="1"/>
      <c r="F44" s="103"/>
      <c r="G44" s="1"/>
      <c r="H44" s="68"/>
      <c r="I44" s="70"/>
      <c r="J44" s="66"/>
      <c r="K44" s="57"/>
      <c r="L44" s="58"/>
      <c r="M44" s="83" t="s">
        <v>5895</v>
      </c>
      <c r="N44" s="64" t="s">
        <v>1</v>
      </c>
      <c r="O44" s="65">
        <v>1</v>
      </c>
      <c r="P44" s="99"/>
      <c r="Q44" s="70"/>
      <c r="R44" s="94" t="s">
        <v>18097</v>
      </c>
      <c r="S44" s="68"/>
      <c r="T44" s="76"/>
      <c r="U44" s="70"/>
      <c r="V44" s="67"/>
      <c r="W44" s="68"/>
      <c r="X44" s="76"/>
      <c r="Y44" s="70"/>
      <c r="Z44" s="228">
        <f>+ROUND((ROUND((ROUND((ROUND((_15_同援日０．５＿１．０*_15・２人),0)*(1+_15・B深夜)),0)*(1+_15・盲ろう)),0)*(1+_15・区３)),0)</f>
        <v>534</v>
      </c>
      <c r="AA44" s="69"/>
    </row>
    <row r="45" spans="1:27" ht="16.5" customHeight="1" x14ac:dyDescent="0.3">
      <c r="A45" s="2">
        <v>15</v>
      </c>
      <c r="B45" s="2" t="s">
        <v>342</v>
      </c>
      <c r="C45" s="83" t="s">
        <v>11041</v>
      </c>
      <c r="D45" s="103"/>
      <c r="E45" s="1"/>
      <c r="F45" s="103"/>
      <c r="G45" s="1"/>
      <c r="H45" s="68"/>
      <c r="I45" s="70"/>
      <c r="J45" s="74" t="s">
        <v>16912</v>
      </c>
      <c r="K45" s="62"/>
      <c r="L45" s="63"/>
      <c r="M45" s="85"/>
      <c r="N45" s="64"/>
      <c r="O45" s="65"/>
      <c r="P45" s="99"/>
      <c r="Q45" s="70"/>
      <c r="R45" s="67"/>
      <c r="S45" s="68" t="s">
        <v>1</v>
      </c>
      <c r="T45" s="76">
        <v>0.25</v>
      </c>
      <c r="U45" s="70" t="s">
        <v>422</v>
      </c>
      <c r="V45" s="67"/>
      <c r="W45" s="68"/>
      <c r="X45" s="76"/>
      <c r="Y45" s="70"/>
      <c r="Z45" s="228">
        <f>+ROUND((ROUND((ROUND((ROUND((_15_同援日０．５＿１．０*_15・基礎２),0)*(1+_15・B深夜)),0)*(1+_15・盲ろう)),0)*(1+_15・区３)),0)</f>
        <v>480</v>
      </c>
      <c r="AA45" s="69"/>
    </row>
    <row r="46" spans="1:27" ht="16.5" customHeight="1" x14ac:dyDescent="0.3">
      <c r="A46" s="2">
        <v>15</v>
      </c>
      <c r="B46" s="2" t="s">
        <v>343</v>
      </c>
      <c r="C46" s="83" t="s">
        <v>11040</v>
      </c>
      <c r="D46" s="103"/>
      <c r="E46" s="1"/>
      <c r="F46" s="103"/>
      <c r="G46" s="1"/>
      <c r="H46" s="68"/>
      <c r="I46" s="70"/>
      <c r="J46" s="106" t="s">
        <v>16916</v>
      </c>
      <c r="K46" s="57" t="s">
        <v>1</v>
      </c>
      <c r="L46" s="58">
        <v>0.9</v>
      </c>
      <c r="M46" s="83" t="s">
        <v>5895</v>
      </c>
      <c r="N46" s="64" t="s">
        <v>1</v>
      </c>
      <c r="O46" s="65">
        <v>1</v>
      </c>
      <c r="P46" s="99"/>
      <c r="Q46" s="70"/>
      <c r="R46" s="66"/>
      <c r="S46" s="57"/>
      <c r="T46" s="58"/>
      <c r="U46" s="77"/>
      <c r="V46" s="66"/>
      <c r="W46" s="57"/>
      <c r="X46" s="58"/>
      <c r="Y46" s="77"/>
      <c r="Z46" s="228">
        <f>+ROUND((ROUND((ROUND((ROUND((ROUND((_15_同援日０．５＿１．０*_15・基礎２),0)*_15・２人),0)*(1+_15・B深夜)),0)*(1+_15・盲ろう)),0)*(1+_15・区３)),0)</f>
        <v>480</v>
      </c>
      <c r="AA46" s="69"/>
    </row>
    <row r="47" spans="1:27" ht="16.5" customHeight="1" x14ac:dyDescent="0.3">
      <c r="A47" s="2">
        <v>15</v>
      </c>
      <c r="B47" s="2" t="s">
        <v>344</v>
      </c>
      <c r="C47" s="83" t="s">
        <v>11039</v>
      </c>
      <c r="D47" s="103"/>
      <c r="E47" s="1"/>
      <c r="F47" s="103"/>
      <c r="G47" s="1"/>
      <c r="H47" s="68"/>
      <c r="I47" s="70"/>
      <c r="J47" s="61"/>
      <c r="K47" s="62"/>
      <c r="L47" s="63"/>
      <c r="M47" s="85"/>
      <c r="N47" s="64"/>
      <c r="O47" s="65"/>
      <c r="P47" s="99"/>
      <c r="Q47" s="70"/>
      <c r="R47" s="61"/>
      <c r="S47" s="62"/>
      <c r="T47" s="63"/>
      <c r="U47" s="75"/>
      <c r="V47" s="61"/>
      <c r="W47" s="62"/>
      <c r="X47" s="63"/>
      <c r="Y47" s="75"/>
      <c r="Z47" s="228">
        <f>+ROUND((ROUND((_15_同援日０．５＿１．０*(1+_15・B深夜)),0)*(1+_15・区４)),0)</f>
        <v>498</v>
      </c>
      <c r="AA47" s="69"/>
    </row>
    <row r="48" spans="1:27" ht="16.5" customHeight="1" x14ac:dyDescent="0.3">
      <c r="A48" s="2">
        <v>15</v>
      </c>
      <c r="B48" s="2" t="s">
        <v>345</v>
      </c>
      <c r="C48" s="83" t="s">
        <v>11038</v>
      </c>
      <c r="D48" s="103"/>
      <c r="E48" s="1"/>
      <c r="F48" s="103"/>
      <c r="G48" s="1"/>
      <c r="H48" s="68"/>
      <c r="I48" s="70"/>
      <c r="J48" s="66"/>
      <c r="K48" s="57"/>
      <c r="L48" s="58"/>
      <c r="M48" s="83" t="s">
        <v>5895</v>
      </c>
      <c r="N48" s="64" t="s">
        <v>1</v>
      </c>
      <c r="O48" s="65">
        <v>1</v>
      </c>
      <c r="P48" s="99"/>
      <c r="Q48" s="70"/>
      <c r="R48" s="67"/>
      <c r="S48" s="68"/>
      <c r="T48" s="76"/>
      <c r="U48" s="70"/>
      <c r="V48" s="67"/>
      <c r="W48" s="68"/>
      <c r="X48" s="76"/>
      <c r="Y48" s="70"/>
      <c r="Z48" s="228">
        <f>+ROUND((ROUND((ROUND((_15_同援日０．５＿１．０*_15・２人),0)*(1+_15・B深夜)),0)*(1+_15・区４)),0)</f>
        <v>498</v>
      </c>
      <c r="AA48" s="69"/>
    </row>
    <row r="49" spans="1:27" ht="16.5" customHeight="1" x14ac:dyDescent="0.3">
      <c r="A49" s="2">
        <v>15</v>
      </c>
      <c r="B49" s="2" t="s">
        <v>346</v>
      </c>
      <c r="C49" s="83" t="s">
        <v>11037</v>
      </c>
      <c r="D49" s="103"/>
      <c r="E49" s="1"/>
      <c r="F49" s="103"/>
      <c r="G49" s="1"/>
      <c r="H49" s="68"/>
      <c r="I49" s="70"/>
      <c r="J49" s="74" t="s">
        <v>16912</v>
      </c>
      <c r="K49" s="62"/>
      <c r="L49" s="63"/>
      <c r="M49" s="85"/>
      <c r="N49" s="64"/>
      <c r="O49" s="65"/>
      <c r="P49" s="99"/>
      <c r="Q49" s="70"/>
      <c r="R49" s="67"/>
      <c r="S49" s="68"/>
      <c r="T49" s="76"/>
      <c r="U49" s="70"/>
      <c r="V49" s="1" t="s">
        <v>18100</v>
      </c>
      <c r="W49" s="68"/>
      <c r="X49" s="76"/>
      <c r="Y49" s="70"/>
      <c r="Z49" s="228">
        <f>+ROUND((ROUND((ROUND((_15_同援日０．５＿１．０*_15・基礎２),0)*(1+_15・B深夜)),0)*(1+_15・区４)),0)</f>
        <v>448</v>
      </c>
      <c r="AA49" s="69"/>
    </row>
    <row r="50" spans="1:27" ht="16.5" customHeight="1" x14ac:dyDescent="0.3">
      <c r="A50" s="2">
        <v>15</v>
      </c>
      <c r="B50" s="2" t="s">
        <v>347</v>
      </c>
      <c r="C50" s="83" t="s">
        <v>11036</v>
      </c>
      <c r="D50" s="103"/>
      <c r="E50" s="1"/>
      <c r="F50" s="103"/>
      <c r="G50" s="1"/>
      <c r="H50" s="68"/>
      <c r="I50" s="70"/>
      <c r="J50" s="106" t="s">
        <v>16916</v>
      </c>
      <c r="K50" s="57" t="s">
        <v>1</v>
      </c>
      <c r="L50" s="58">
        <v>0.9</v>
      </c>
      <c r="M50" s="83" t="s">
        <v>5895</v>
      </c>
      <c r="N50" s="64" t="s">
        <v>1</v>
      </c>
      <c r="O50" s="65">
        <v>1</v>
      </c>
      <c r="P50" s="99"/>
      <c r="Q50" s="70"/>
      <c r="R50" s="66"/>
      <c r="S50" s="57"/>
      <c r="T50" s="58"/>
      <c r="U50" s="77"/>
      <c r="V50" s="1" t="s">
        <v>18099</v>
      </c>
      <c r="W50" s="68"/>
      <c r="X50" s="76"/>
      <c r="Y50" s="70"/>
      <c r="Z50" s="228">
        <f>+ROUND((ROUND((ROUND((ROUND((_15_同援日０．５＿１．０*_15・基礎２),0)*_15・２人),0)*(1+_15・B深夜)),0)*(1+_15・区４)),0)</f>
        <v>448</v>
      </c>
      <c r="AA50" s="69"/>
    </row>
    <row r="51" spans="1:27" ht="16.5" customHeight="1" x14ac:dyDescent="0.3">
      <c r="A51" s="2">
        <v>15</v>
      </c>
      <c r="B51" s="2" t="s">
        <v>348</v>
      </c>
      <c r="C51" s="83" t="s">
        <v>11035</v>
      </c>
      <c r="D51" s="103"/>
      <c r="E51" s="1"/>
      <c r="F51" s="103"/>
      <c r="G51" s="1"/>
      <c r="H51" s="68"/>
      <c r="I51" s="70"/>
      <c r="J51" s="61"/>
      <c r="K51" s="62"/>
      <c r="L51" s="63"/>
      <c r="M51" s="85"/>
      <c r="N51" s="64"/>
      <c r="O51" s="65"/>
      <c r="P51" s="99"/>
      <c r="Q51" s="70"/>
      <c r="R51" s="74" t="s">
        <v>18098</v>
      </c>
      <c r="S51" s="62"/>
      <c r="T51" s="63"/>
      <c r="U51" s="75"/>
      <c r="V51" s="67"/>
      <c r="W51" s="68" t="s">
        <v>1</v>
      </c>
      <c r="X51" s="76">
        <v>0.4</v>
      </c>
      <c r="Y51" s="70" t="s">
        <v>422</v>
      </c>
      <c r="Z51" s="228">
        <f>+ROUND((ROUND((ROUND((_15_同援日０．５＿１．０*(1+_15・B深夜)),0)*(1+_15・盲ろう)),0)*(1+_15・区４)),0)</f>
        <v>623</v>
      </c>
      <c r="AA51" s="69"/>
    </row>
    <row r="52" spans="1:27" ht="16.5" customHeight="1" x14ac:dyDescent="0.3">
      <c r="A52" s="2">
        <v>15</v>
      </c>
      <c r="B52" s="2" t="s">
        <v>349</v>
      </c>
      <c r="C52" s="83" t="s">
        <v>11034</v>
      </c>
      <c r="D52" s="103"/>
      <c r="E52" s="1"/>
      <c r="F52" s="103"/>
      <c r="G52" s="1"/>
      <c r="H52" s="68"/>
      <c r="I52" s="70"/>
      <c r="J52" s="66"/>
      <c r="K52" s="57"/>
      <c r="L52" s="58"/>
      <c r="M52" s="83" t="s">
        <v>5895</v>
      </c>
      <c r="N52" s="64" t="s">
        <v>1</v>
      </c>
      <c r="O52" s="65">
        <v>1</v>
      </c>
      <c r="P52" s="99"/>
      <c r="Q52" s="70"/>
      <c r="R52" s="94" t="s">
        <v>18097</v>
      </c>
      <c r="S52" s="68"/>
      <c r="T52" s="76"/>
      <c r="U52" s="70"/>
      <c r="V52" s="67"/>
      <c r="W52" s="68"/>
      <c r="X52" s="76"/>
      <c r="Y52" s="70"/>
      <c r="Z52" s="228">
        <f>+ROUND((ROUND((ROUND((ROUND((_15_同援日０．５＿１．０*_15・２人),0)*(1+_15・B深夜)),0)*(1+_15・盲ろう)),0)*(1+_15・区４)),0)</f>
        <v>623</v>
      </c>
      <c r="AA52" s="69"/>
    </row>
    <row r="53" spans="1:27" ht="16.5" customHeight="1" x14ac:dyDescent="0.3">
      <c r="A53" s="2">
        <v>15</v>
      </c>
      <c r="B53" s="2" t="s">
        <v>350</v>
      </c>
      <c r="C53" s="83" t="s">
        <v>11033</v>
      </c>
      <c r="D53" s="103"/>
      <c r="E53" s="1"/>
      <c r="F53" s="103"/>
      <c r="G53" s="1"/>
      <c r="H53" s="68"/>
      <c r="I53" s="70"/>
      <c r="J53" s="74" t="s">
        <v>16912</v>
      </c>
      <c r="K53" s="62"/>
      <c r="L53" s="63"/>
      <c r="M53" s="85"/>
      <c r="N53" s="64"/>
      <c r="O53" s="65"/>
      <c r="P53" s="99"/>
      <c r="Q53" s="70"/>
      <c r="R53" s="67"/>
      <c r="S53" s="68" t="s">
        <v>1</v>
      </c>
      <c r="T53" s="76">
        <v>0.25</v>
      </c>
      <c r="U53" s="70" t="s">
        <v>422</v>
      </c>
      <c r="V53" s="67"/>
      <c r="W53" s="68"/>
      <c r="X53" s="76"/>
      <c r="Y53" s="70"/>
      <c r="Z53" s="228">
        <f>+ROUND((ROUND((ROUND((ROUND((_15_同援日０．５＿１．０*_15・基礎２),0)*(1+_15・B深夜)),0)*(1+_15・盲ろう)),0)*(1+_15・区４)),0)</f>
        <v>560</v>
      </c>
      <c r="AA53" s="69"/>
    </row>
    <row r="54" spans="1:27" ht="16.5" customHeight="1" x14ac:dyDescent="0.3">
      <c r="A54" s="2">
        <v>15</v>
      </c>
      <c r="B54" s="2" t="s">
        <v>351</v>
      </c>
      <c r="C54" s="83" t="s">
        <v>11032</v>
      </c>
      <c r="D54" s="103"/>
      <c r="E54" s="1"/>
      <c r="F54" s="103"/>
      <c r="G54" s="81"/>
      <c r="H54" s="57"/>
      <c r="I54" s="77"/>
      <c r="J54" s="106" t="s">
        <v>16916</v>
      </c>
      <c r="K54" s="57" t="s">
        <v>1</v>
      </c>
      <c r="L54" s="58">
        <v>0.9</v>
      </c>
      <c r="M54" s="83" t="s">
        <v>5895</v>
      </c>
      <c r="N54" s="64" t="s">
        <v>1</v>
      </c>
      <c r="O54" s="65">
        <v>1</v>
      </c>
      <c r="P54" s="99"/>
      <c r="Q54" s="70"/>
      <c r="R54" s="66"/>
      <c r="S54" s="57"/>
      <c r="T54" s="58"/>
      <c r="U54" s="77"/>
      <c r="V54" s="66"/>
      <c r="W54" s="57"/>
      <c r="X54" s="58"/>
      <c r="Y54" s="77"/>
      <c r="Z54" s="228">
        <f>+ROUND((ROUND((ROUND((ROUND((ROUND((_15_同援日０．５＿１．０*_15・基礎２),0)*_15・２人),0)*(1+_15・B深夜)),0)*(1+_15・盲ろう)),0)*(1+_15・区４)),0)</f>
        <v>560</v>
      </c>
      <c r="AA54" s="69"/>
    </row>
    <row r="55" spans="1:27" ht="16.5" customHeight="1" x14ac:dyDescent="0.3">
      <c r="A55" s="2">
        <v>15</v>
      </c>
      <c r="B55" s="2" t="s">
        <v>352</v>
      </c>
      <c r="C55" s="83" t="s">
        <v>11031</v>
      </c>
      <c r="D55" s="103"/>
      <c r="E55" s="1"/>
      <c r="F55" s="103"/>
      <c r="G55" s="233" t="s">
        <v>6116</v>
      </c>
      <c r="H55" s="62"/>
      <c r="I55" s="75"/>
      <c r="J55" s="61"/>
      <c r="K55" s="62"/>
      <c r="L55" s="63"/>
      <c r="M55" s="85"/>
      <c r="N55" s="64"/>
      <c r="O55" s="65"/>
      <c r="P55" s="99"/>
      <c r="Q55" s="70"/>
      <c r="R55" s="61"/>
      <c r="S55" s="62"/>
      <c r="T55" s="63"/>
      <c r="U55" s="75"/>
      <c r="V55" s="61"/>
      <c r="W55" s="62"/>
      <c r="X55" s="63"/>
      <c r="Y55" s="75"/>
      <c r="Z55" s="228">
        <f>+ROUND((_15_同援日０．５＿１．５*(1+_15・B深夜)),0)</f>
        <v>452</v>
      </c>
      <c r="AA55" s="69"/>
    </row>
    <row r="56" spans="1:27" ht="16.5" customHeight="1" x14ac:dyDescent="0.3">
      <c r="A56" s="2">
        <v>15</v>
      </c>
      <c r="B56" s="2" t="s">
        <v>353</v>
      </c>
      <c r="C56" s="83" t="s">
        <v>11030</v>
      </c>
      <c r="D56" s="103"/>
      <c r="E56" s="1"/>
      <c r="F56" s="103"/>
      <c r="G56" s="1" t="s">
        <v>16944</v>
      </c>
      <c r="H56" s="68"/>
      <c r="I56" s="70"/>
      <c r="J56" s="66"/>
      <c r="K56" s="57"/>
      <c r="L56" s="58"/>
      <c r="M56" s="83" t="s">
        <v>5895</v>
      </c>
      <c r="N56" s="64" t="s">
        <v>1</v>
      </c>
      <c r="O56" s="65">
        <v>1</v>
      </c>
      <c r="P56" s="99"/>
      <c r="Q56" s="70"/>
      <c r="R56" s="67"/>
      <c r="S56" s="68"/>
      <c r="T56" s="76"/>
      <c r="U56" s="70"/>
      <c r="V56" s="67"/>
      <c r="W56" s="68"/>
      <c r="X56" s="76"/>
      <c r="Y56" s="70"/>
      <c r="Z56" s="228">
        <f>+ROUND((ROUND((_15_同援日０．５＿１．５*_15・２人),0)*(1+_15・B深夜)),0)</f>
        <v>452</v>
      </c>
      <c r="AA56" s="69"/>
    </row>
    <row r="57" spans="1:27" ht="16.5" customHeight="1" x14ac:dyDescent="0.3">
      <c r="A57" s="2">
        <v>15</v>
      </c>
      <c r="B57" s="2" t="s">
        <v>354</v>
      </c>
      <c r="C57" s="83" t="s">
        <v>11029</v>
      </c>
      <c r="D57" s="103"/>
      <c r="E57" s="1"/>
      <c r="F57" s="103"/>
      <c r="G57" s="1" t="s">
        <v>8767</v>
      </c>
      <c r="H57" s="68"/>
      <c r="I57" s="70"/>
      <c r="J57" s="74" t="s">
        <v>16912</v>
      </c>
      <c r="K57" s="62"/>
      <c r="L57" s="63"/>
      <c r="M57" s="85"/>
      <c r="N57" s="64"/>
      <c r="O57" s="65"/>
      <c r="P57" s="99"/>
      <c r="Q57" s="70"/>
      <c r="R57" s="67"/>
      <c r="S57" s="68"/>
      <c r="T57" s="76"/>
      <c r="U57" s="70"/>
      <c r="V57" s="67"/>
      <c r="W57" s="68"/>
      <c r="X57" s="76"/>
      <c r="Y57" s="70"/>
      <c r="Z57" s="228">
        <f>+ROUND((ROUND((_15_同援日０．５＿１．５*_15・基礎２),0)*(1+_15・B深夜)),0)</f>
        <v>407</v>
      </c>
      <c r="AA57" s="69"/>
    </row>
    <row r="58" spans="1:27" ht="16.5" customHeight="1" x14ac:dyDescent="0.3">
      <c r="A58" s="2">
        <v>15</v>
      </c>
      <c r="B58" s="2" t="s">
        <v>355</v>
      </c>
      <c r="C58" s="83" t="s">
        <v>11028</v>
      </c>
      <c r="D58" s="103"/>
      <c r="E58" s="1"/>
      <c r="F58" s="103"/>
      <c r="G58" s="1"/>
      <c r="H58" s="227">
        <v>301</v>
      </c>
      <c r="I58" s="70" t="s">
        <v>0</v>
      </c>
      <c r="J58" s="106" t="s">
        <v>16916</v>
      </c>
      <c r="K58" s="57" t="s">
        <v>1</v>
      </c>
      <c r="L58" s="58">
        <v>0.9</v>
      </c>
      <c r="M58" s="83" t="s">
        <v>5895</v>
      </c>
      <c r="N58" s="64" t="s">
        <v>1</v>
      </c>
      <c r="O58" s="65">
        <v>1</v>
      </c>
      <c r="P58" s="99"/>
      <c r="Q58" s="70"/>
      <c r="R58" s="66"/>
      <c r="S58" s="57"/>
      <c r="T58" s="58"/>
      <c r="U58" s="77"/>
      <c r="V58" s="67"/>
      <c r="W58" s="68"/>
      <c r="X58" s="76"/>
      <c r="Y58" s="70"/>
      <c r="Z58" s="228">
        <f>+ROUND((ROUND((ROUND((_15_同援日０．５＿１．５*_15・基礎２),0)*_15・２人),0)*(1+_15・B深夜)),0)</f>
        <v>407</v>
      </c>
      <c r="AA58" s="69"/>
    </row>
    <row r="59" spans="1:27" ht="16.5" customHeight="1" x14ac:dyDescent="0.3">
      <c r="A59" s="2">
        <v>15</v>
      </c>
      <c r="B59" s="2" t="s">
        <v>356</v>
      </c>
      <c r="C59" s="83" t="s">
        <v>11027</v>
      </c>
      <c r="D59" s="103"/>
      <c r="E59" s="1"/>
      <c r="F59" s="103"/>
      <c r="G59" s="1"/>
      <c r="H59" s="68"/>
      <c r="I59" s="70"/>
      <c r="J59" s="61"/>
      <c r="K59" s="62"/>
      <c r="L59" s="63"/>
      <c r="M59" s="85"/>
      <c r="N59" s="64"/>
      <c r="O59" s="65"/>
      <c r="P59" s="99"/>
      <c r="Q59" s="70"/>
      <c r="R59" s="74" t="s">
        <v>18098</v>
      </c>
      <c r="S59" s="62"/>
      <c r="T59" s="63"/>
      <c r="U59" s="75"/>
      <c r="V59" s="67"/>
      <c r="W59" s="68"/>
      <c r="X59" s="76"/>
      <c r="Y59" s="70"/>
      <c r="Z59" s="228">
        <f>+ROUND((ROUND((_15_同援日０．５＿１．５*(1+_15・B深夜)),0)*(1+_15・盲ろう)),0)</f>
        <v>565</v>
      </c>
      <c r="AA59" s="69"/>
    </row>
    <row r="60" spans="1:27" ht="16.5" customHeight="1" x14ac:dyDescent="0.3">
      <c r="A60" s="2">
        <v>15</v>
      </c>
      <c r="B60" s="2" t="s">
        <v>357</v>
      </c>
      <c r="C60" s="83" t="s">
        <v>11026</v>
      </c>
      <c r="D60" s="103"/>
      <c r="E60" s="1"/>
      <c r="F60" s="103"/>
      <c r="G60" s="1"/>
      <c r="H60" s="68"/>
      <c r="I60" s="70"/>
      <c r="J60" s="66"/>
      <c r="K60" s="57"/>
      <c r="L60" s="58"/>
      <c r="M60" s="83" t="s">
        <v>5895</v>
      </c>
      <c r="N60" s="64" t="s">
        <v>1</v>
      </c>
      <c r="O60" s="65">
        <v>1</v>
      </c>
      <c r="P60" s="99"/>
      <c r="Q60" s="70"/>
      <c r="R60" s="94" t="s">
        <v>18097</v>
      </c>
      <c r="S60" s="68"/>
      <c r="T60" s="76"/>
      <c r="U60" s="70"/>
      <c r="V60" s="67"/>
      <c r="W60" s="68"/>
      <c r="X60" s="76"/>
      <c r="Y60" s="70"/>
      <c r="Z60" s="228">
        <f>+ROUND((ROUND((ROUND((_15_同援日０．５＿１．５*_15・２人),0)*(1+_15・B深夜)),0)*(1+_15・盲ろう)),0)</f>
        <v>565</v>
      </c>
      <c r="AA60" s="69"/>
    </row>
    <row r="61" spans="1:27" ht="16.5" customHeight="1" x14ac:dyDescent="0.3">
      <c r="A61" s="2">
        <v>15</v>
      </c>
      <c r="B61" s="2" t="s">
        <v>358</v>
      </c>
      <c r="C61" s="83" t="s">
        <v>11025</v>
      </c>
      <c r="D61" s="103"/>
      <c r="E61" s="1"/>
      <c r="F61" s="103"/>
      <c r="G61" s="1"/>
      <c r="H61" s="68"/>
      <c r="I61" s="70"/>
      <c r="J61" s="74" t="s">
        <v>5898</v>
      </c>
      <c r="K61" s="62"/>
      <c r="L61" s="63"/>
      <c r="M61" s="85"/>
      <c r="N61" s="64"/>
      <c r="O61" s="65"/>
      <c r="P61" s="99"/>
      <c r="Q61" s="70"/>
      <c r="R61" s="67"/>
      <c r="S61" s="68" t="s">
        <v>1</v>
      </c>
      <c r="T61" s="76">
        <v>0.25</v>
      </c>
      <c r="U61" s="70" t="s">
        <v>422</v>
      </c>
      <c r="V61" s="67"/>
      <c r="W61" s="68"/>
      <c r="X61" s="76"/>
      <c r="Y61" s="70"/>
      <c r="Z61" s="228">
        <f>+ROUND((ROUND((ROUND((_15_同援日０．５＿１．５*_15・基礎２),0)*(1+_15・B深夜)),0)*(1+_15・盲ろう)),0)</f>
        <v>509</v>
      </c>
      <c r="AA61" s="69"/>
    </row>
    <row r="62" spans="1:27" ht="16.5" customHeight="1" x14ac:dyDescent="0.3">
      <c r="A62" s="2">
        <v>15</v>
      </c>
      <c r="B62" s="2" t="s">
        <v>359</v>
      </c>
      <c r="C62" s="83" t="s">
        <v>11024</v>
      </c>
      <c r="D62" s="103"/>
      <c r="E62" s="1"/>
      <c r="F62" s="103"/>
      <c r="G62" s="1"/>
      <c r="H62" s="68"/>
      <c r="I62" s="70"/>
      <c r="J62" s="106" t="s">
        <v>16916</v>
      </c>
      <c r="K62" s="57" t="s">
        <v>1</v>
      </c>
      <c r="L62" s="58">
        <v>0.9</v>
      </c>
      <c r="M62" s="83" t="s">
        <v>5895</v>
      </c>
      <c r="N62" s="64" t="s">
        <v>1</v>
      </c>
      <c r="O62" s="65">
        <v>1</v>
      </c>
      <c r="P62" s="99"/>
      <c r="Q62" s="70"/>
      <c r="R62" s="66"/>
      <c r="S62" s="57"/>
      <c r="T62" s="58"/>
      <c r="U62" s="77"/>
      <c r="V62" s="66"/>
      <c r="W62" s="57"/>
      <c r="X62" s="58"/>
      <c r="Y62" s="77"/>
      <c r="Z62" s="228">
        <f>+ROUND((ROUND((ROUND((ROUND((_15_同援日０．５＿１．５*_15・基礎２),0)*_15・２人),0)*(1+_15・B深夜)),0)*(1+_15・盲ろう)),0)</f>
        <v>509</v>
      </c>
      <c r="AA62" s="69"/>
    </row>
    <row r="63" spans="1:27" ht="16.5" customHeight="1" x14ac:dyDescent="0.3">
      <c r="A63" s="2">
        <v>15</v>
      </c>
      <c r="B63" s="2" t="s">
        <v>360</v>
      </c>
      <c r="C63" s="83" t="s">
        <v>11023</v>
      </c>
      <c r="D63" s="103"/>
      <c r="E63" s="1"/>
      <c r="F63" s="103"/>
      <c r="G63" s="1"/>
      <c r="H63" s="68"/>
      <c r="I63" s="70"/>
      <c r="J63" s="61"/>
      <c r="K63" s="62"/>
      <c r="L63" s="63"/>
      <c r="M63" s="85"/>
      <c r="N63" s="64"/>
      <c r="O63" s="65"/>
      <c r="P63" s="99"/>
      <c r="Q63" s="70"/>
      <c r="R63" s="61"/>
      <c r="S63" s="62"/>
      <c r="T63" s="63"/>
      <c r="U63" s="75"/>
      <c r="V63" s="61"/>
      <c r="W63" s="62"/>
      <c r="X63" s="63"/>
      <c r="Y63" s="75"/>
      <c r="Z63" s="228">
        <f>+ROUND((ROUND((_15_同援日０．５＿１．５*(1+_15・B深夜)),0)*(1+_15・区３)),0)</f>
        <v>542</v>
      </c>
      <c r="AA63" s="69"/>
    </row>
    <row r="64" spans="1:27" ht="16.5" customHeight="1" x14ac:dyDescent="0.3">
      <c r="A64" s="2">
        <v>15</v>
      </c>
      <c r="B64" s="2" t="s">
        <v>361</v>
      </c>
      <c r="C64" s="83" t="s">
        <v>11022</v>
      </c>
      <c r="D64" s="103"/>
      <c r="E64" s="1"/>
      <c r="F64" s="103"/>
      <c r="G64" s="1"/>
      <c r="H64" s="68"/>
      <c r="I64" s="70"/>
      <c r="J64" s="66"/>
      <c r="K64" s="57"/>
      <c r="L64" s="58"/>
      <c r="M64" s="83" t="s">
        <v>5895</v>
      </c>
      <c r="N64" s="64" t="s">
        <v>1</v>
      </c>
      <c r="O64" s="65">
        <v>1</v>
      </c>
      <c r="P64" s="99"/>
      <c r="Q64" s="70"/>
      <c r="R64" s="67"/>
      <c r="S64" s="68"/>
      <c r="T64" s="76"/>
      <c r="U64" s="70"/>
      <c r="V64" s="67"/>
      <c r="W64" s="68"/>
      <c r="X64" s="76"/>
      <c r="Y64" s="70"/>
      <c r="Z64" s="228">
        <f>+ROUND((ROUND((ROUND((_15_同援日０．５＿１．５*_15・２人),0)*(1+_15・B深夜)),0)*(1+_15・区３)),0)</f>
        <v>542</v>
      </c>
      <c r="AA64" s="69"/>
    </row>
    <row r="65" spans="1:27" ht="16.5" customHeight="1" x14ac:dyDescent="0.3">
      <c r="A65" s="2">
        <v>15</v>
      </c>
      <c r="B65" s="2" t="s">
        <v>362</v>
      </c>
      <c r="C65" s="83" t="s">
        <v>11021</v>
      </c>
      <c r="D65" s="103"/>
      <c r="E65" s="1"/>
      <c r="F65" s="103"/>
      <c r="G65" s="1"/>
      <c r="H65" s="68"/>
      <c r="I65" s="70"/>
      <c r="J65" s="74" t="s">
        <v>16912</v>
      </c>
      <c r="K65" s="62"/>
      <c r="L65" s="63"/>
      <c r="M65" s="85"/>
      <c r="N65" s="64"/>
      <c r="O65" s="65"/>
      <c r="P65" s="99"/>
      <c r="Q65" s="70"/>
      <c r="R65" s="67"/>
      <c r="S65" s="68"/>
      <c r="T65" s="76"/>
      <c r="U65" s="70"/>
      <c r="V65" s="1" t="s">
        <v>18101</v>
      </c>
      <c r="W65" s="68"/>
      <c r="X65" s="76"/>
      <c r="Y65" s="70"/>
      <c r="Z65" s="228">
        <f>+ROUND((ROUND((ROUND((_15_同援日０．５＿１．５*_15・基礎２),0)*(1+_15・B深夜)),0)*(1+_15・区３)),0)</f>
        <v>488</v>
      </c>
      <c r="AA65" s="69"/>
    </row>
    <row r="66" spans="1:27" ht="16.5" customHeight="1" x14ac:dyDescent="0.3">
      <c r="A66" s="2">
        <v>15</v>
      </c>
      <c r="B66" s="2" t="s">
        <v>363</v>
      </c>
      <c r="C66" s="83" t="s">
        <v>11020</v>
      </c>
      <c r="D66" s="103"/>
      <c r="E66" s="1"/>
      <c r="F66" s="103"/>
      <c r="G66" s="1"/>
      <c r="H66" s="68"/>
      <c r="I66" s="70"/>
      <c r="J66" s="106" t="s">
        <v>16916</v>
      </c>
      <c r="K66" s="57" t="s">
        <v>1</v>
      </c>
      <c r="L66" s="58">
        <v>0.9</v>
      </c>
      <c r="M66" s="83" t="s">
        <v>5895</v>
      </c>
      <c r="N66" s="64" t="s">
        <v>1</v>
      </c>
      <c r="O66" s="65">
        <v>1</v>
      </c>
      <c r="P66" s="99"/>
      <c r="Q66" s="70"/>
      <c r="R66" s="66"/>
      <c r="S66" s="57"/>
      <c r="T66" s="58"/>
      <c r="U66" s="77"/>
      <c r="V66" s="1" t="s">
        <v>18099</v>
      </c>
      <c r="W66" s="68"/>
      <c r="X66" s="76"/>
      <c r="Y66" s="70"/>
      <c r="Z66" s="228">
        <f>+ROUND((ROUND((ROUND((ROUND((_15_同援日０．５＿１．５*_15・基礎２),0)*_15・２人),0)*(1+_15・B深夜)),0)*(1+_15・区３)),0)</f>
        <v>488</v>
      </c>
      <c r="AA66" s="69"/>
    </row>
    <row r="67" spans="1:27" ht="16.5" customHeight="1" x14ac:dyDescent="0.3">
      <c r="A67" s="2">
        <v>15</v>
      </c>
      <c r="B67" s="2" t="s">
        <v>364</v>
      </c>
      <c r="C67" s="83" t="s">
        <v>11019</v>
      </c>
      <c r="D67" s="103"/>
      <c r="E67" s="1"/>
      <c r="F67" s="103"/>
      <c r="G67" s="1"/>
      <c r="H67" s="68"/>
      <c r="I67" s="70"/>
      <c r="J67" s="61"/>
      <c r="K67" s="62"/>
      <c r="L67" s="63"/>
      <c r="M67" s="85"/>
      <c r="N67" s="64"/>
      <c r="O67" s="65"/>
      <c r="P67" s="99"/>
      <c r="Q67" s="70"/>
      <c r="R67" s="74" t="s">
        <v>18098</v>
      </c>
      <c r="S67" s="62"/>
      <c r="T67" s="63"/>
      <c r="U67" s="75"/>
      <c r="V67" s="67"/>
      <c r="W67" s="68" t="s">
        <v>1</v>
      </c>
      <c r="X67" s="76">
        <v>0.2</v>
      </c>
      <c r="Y67" s="70" t="s">
        <v>422</v>
      </c>
      <c r="Z67" s="228">
        <f>+ROUND((ROUND((ROUND((_15_同援日０．５＿１．５*(1+_15・B深夜)),0)*(1+_15・盲ろう)),0)*(1+_15・区３)),0)</f>
        <v>678</v>
      </c>
      <c r="AA67" s="69"/>
    </row>
    <row r="68" spans="1:27" ht="16.5" customHeight="1" x14ac:dyDescent="0.3">
      <c r="A68" s="2">
        <v>15</v>
      </c>
      <c r="B68" s="2" t="s">
        <v>365</v>
      </c>
      <c r="C68" s="83" t="s">
        <v>11018</v>
      </c>
      <c r="D68" s="103"/>
      <c r="E68" s="1"/>
      <c r="F68" s="103"/>
      <c r="G68" s="1"/>
      <c r="H68" s="68"/>
      <c r="I68" s="70"/>
      <c r="J68" s="66"/>
      <c r="K68" s="57"/>
      <c r="L68" s="58"/>
      <c r="M68" s="83" t="s">
        <v>5895</v>
      </c>
      <c r="N68" s="64" t="s">
        <v>1</v>
      </c>
      <c r="O68" s="65">
        <v>1</v>
      </c>
      <c r="P68" s="99"/>
      <c r="Q68" s="70"/>
      <c r="R68" s="94" t="s">
        <v>18097</v>
      </c>
      <c r="S68" s="68"/>
      <c r="T68" s="76"/>
      <c r="U68" s="70"/>
      <c r="V68" s="67"/>
      <c r="W68" s="68"/>
      <c r="X68" s="76"/>
      <c r="Y68" s="70"/>
      <c r="Z68" s="228">
        <f>+ROUND((ROUND((ROUND((ROUND((_15_同援日０．５＿１．５*_15・２人),0)*(1+_15・B深夜)),0)*(1+_15・盲ろう)),0)*(1+_15・区３)),0)</f>
        <v>678</v>
      </c>
      <c r="AA68" s="69"/>
    </row>
    <row r="69" spans="1:27" ht="16.5" customHeight="1" x14ac:dyDescent="0.3">
      <c r="A69" s="2">
        <v>15</v>
      </c>
      <c r="B69" s="2" t="s">
        <v>366</v>
      </c>
      <c r="C69" s="83" t="s">
        <v>11017</v>
      </c>
      <c r="D69" s="103"/>
      <c r="E69" s="1"/>
      <c r="F69" s="103"/>
      <c r="G69" s="1"/>
      <c r="H69" s="68"/>
      <c r="I69" s="70"/>
      <c r="J69" s="74" t="s">
        <v>16912</v>
      </c>
      <c r="K69" s="62"/>
      <c r="L69" s="63"/>
      <c r="M69" s="85"/>
      <c r="N69" s="64"/>
      <c r="O69" s="65"/>
      <c r="P69" s="99"/>
      <c r="Q69" s="70"/>
      <c r="R69" s="67"/>
      <c r="S69" s="68" t="s">
        <v>1</v>
      </c>
      <c r="T69" s="76">
        <v>0.25</v>
      </c>
      <c r="U69" s="70" t="s">
        <v>422</v>
      </c>
      <c r="V69" s="67"/>
      <c r="W69" s="68"/>
      <c r="X69" s="76"/>
      <c r="Y69" s="70"/>
      <c r="Z69" s="228">
        <f>+ROUND((ROUND((ROUND((ROUND((_15_同援日０．５＿１．５*_15・基礎２),0)*(1+_15・B深夜)),0)*(1+_15・盲ろう)),0)*(1+_15・区３)),0)</f>
        <v>611</v>
      </c>
      <c r="AA69" s="69"/>
    </row>
    <row r="70" spans="1:27" ht="16.5" customHeight="1" x14ac:dyDescent="0.3">
      <c r="A70" s="2">
        <v>15</v>
      </c>
      <c r="B70" s="2" t="s">
        <v>367</v>
      </c>
      <c r="C70" s="83" t="s">
        <v>11016</v>
      </c>
      <c r="D70" s="103"/>
      <c r="E70" s="1"/>
      <c r="F70" s="103"/>
      <c r="G70" s="1"/>
      <c r="H70" s="68"/>
      <c r="I70" s="70"/>
      <c r="J70" s="106" t="s">
        <v>16916</v>
      </c>
      <c r="K70" s="57" t="s">
        <v>1</v>
      </c>
      <c r="L70" s="58">
        <v>0.9</v>
      </c>
      <c r="M70" s="83" t="s">
        <v>5895</v>
      </c>
      <c r="N70" s="64" t="s">
        <v>1</v>
      </c>
      <c r="O70" s="65">
        <v>1</v>
      </c>
      <c r="P70" s="99"/>
      <c r="Q70" s="70"/>
      <c r="R70" s="66"/>
      <c r="S70" s="57"/>
      <c r="T70" s="58"/>
      <c r="U70" s="77"/>
      <c r="V70" s="66"/>
      <c r="W70" s="57"/>
      <c r="X70" s="58"/>
      <c r="Y70" s="77"/>
      <c r="Z70" s="228">
        <f>+ROUND((ROUND((ROUND((ROUND((ROUND((_15_同援日０．５＿１．５*_15・基礎２),0)*_15・２人),0)*(1+_15・B深夜)),0)*(1+_15・盲ろう)),0)*(1+_15・区３)),0)</f>
        <v>611</v>
      </c>
      <c r="AA70" s="69"/>
    </row>
    <row r="71" spans="1:27" ht="16.5" customHeight="1" x14ac:dyDescent="0.3">
      <c r="A71" s="2">
        <v>15</v>
      </c>
      <c r="B71" s="2" t="s">
        <v>368</v>
      </c>
      <c r="C71" s="83" t="s">
        <v>11015</v>
      </c>
      <c r="D71" s="103"/>
      <c r="E71" s="1"/>
      <c r="F71" s="103"/>
      <c r="G71" s="1"/>
      <c r="H71" s="68"/>
      <c r="I71" s="70"/>
      <c r="J71" s="61"/>
      <c r="K71" s="62"/>
      <c r="L71" s="63"/>
      <c r="M71" s="85"/>
      <c r="N71" s="64"/>
      <c r="O71" s="65"/>
      <c r="P71" s="99"/>
      <c r="Q71" s="70"/>
      <c r="R71" s="61"/>
      <c r="S71" s="62"/>
      <c r="T71" s="63"/>
      <c r="U71" s="75"/>
      <c r="V71" s="61"/>
      <c r="W71" s="62"/>
      <c r="X71" s="63"/>
      <c r="Y71" s="75"/>
      <c r="Z71" s="228">
        <f>+ROUND((ROUND((_15_同援日０．５＿１．５*(1+_15・B深夜)),0)*(1+_15・区４)),0)</f>
        <v>633</v>
      </c>
      <c r="AA71" s="69"/>
    </row>
    <row r="72" spans="1:27" ht="16.5" customHeight="1" x14ac:dyDescent="0.3">
      <c r="A72" s="2">
        <v>15</v>
      </c>
      <c r="B72" s="2" t="s">
        <v>369</v>
      </c>
      <c r="C72" s="83" t="s">
        <v>11014</v>
      </c>
      <c r="D72" s="103"/>
      <c r="E72" s="1"/>
      <c r="F72" s="103"/>
      <c r="G72" s="1"/>
      <c r="H72" s="68"/>
      <c r="I72" s="70"/>
      <c r="J72" s="66"/>
      <c r="K72" s="57"/>
      <c r="L72" s="58"/>
      <c r="M72" s="83" t="s">
        <v>5895</v>
      </c>
      <c r="N72" s="64" t="s">
        <v>1</v>
      </c>
      <c r="O72" s="65">
        <v>1</v>
      </c>
      <c r="P72" s="99"/>
      <c r="Q72" s="70"/>
      <c r="R72" s="67"/>
      <c r="S72" s="68"/>
      <c r="T72" s="76"/>
      <c r="U72" s="70"/>
      <c r="V72" s="67"/>
      <c r="W72" s="68"/>
      <c r="X72" s="76"/>
      <c r="Y72" s="70"/>
      <c r="Z72" s="228">
        <f>+ROUND((ROUND((ROUND((_15_同援日０．５＿１．５*_15・２人),0)*(1+_15・B深夜)),0)*(1+_15・区４)),0)</f>
        <v>633</v>
      </c>
      <c r="AA72" s="69"/>
    </row>
    <row r="73" spans="1:27" ht="16.5" customHeight="1" x14ac:dyDescent="0.3">
      <c r="A73" s="2">
        <v>15</v>
      </c>
      <c r="B73" s="2" t="s">
        <v>370</v>
      </c>
      <c r="C73" s="83" t="s">
        <v>11013</v>
      </c>
      <c r="D73" s="103"/>
      <c r="E73" s="1"/>
      <c r="F73" s="103"/>
      <c r="G73" s="1"/>
      <c r="H73" s="68"/>
      <c r="I73" s="70"/>
      <c r="J73" s="74" t="s">
        <v>16912</v>
      </c>
      <c r="K73" s="62"/>
      <c r="L73" s="63"/>
      <c r="M73" s="85"/>
      <c r="N73" s="64"/>
      <c r="O73" s="65"/>
      <c r="P73" s="99"/>
      <c r="Q73" s="70"/>
      <c r="R73" s="67"/>
      <c r="S73" s="68"/>
      <c r="T73" s="76"/>
      <c r="U73" s="70"/>
      <c r="V73" s="1" t="s">
        <v>18100</v>
      </c>
      <c r="W73" s="68"/>
      <c r="X73" s="76"/>
      <c r="Y73" s="70"/>
      <c r="Z73" s="228">
        <f>+ROUND((ROUND((ROUND((_15_同援日０．５＿１．５*_15・基礎２),0)*(1+_15・B深夜)),0)*(1+_15・区４)),0)</f>
        <v>570</v>
      </c>
      <c r="AA73" s="69"/>
    </row>
    <row r="74" spans="1:27" ht="16.5" customHeight="1" x14ac:dyDescent="0.3">
      <c r="A74" s="2">
        <v>15</v>
      </c>
      <c r="B74" s="2" t="s">
        <v>371</v>
      </c>
      <c r="C74" s="83" t="s">
        <v>11012</v>
      </c>
      <c r="D74" s="103"/>
      <c r="E74" s="1"/>
      <c r="F74" s="103"/>
      <c r="G74" s="1"/>
      <c r="H74" s="68"/>
      <c r="I74" s="70"/>
      <c r="J74" s="106" t="s">
        <v>16916</v>
      </c>
      <c r="K74" s="57" t="s">
        <v>1</v>
      </c>
      <c r="L74" s="58">
        <v>0.9</v>
      </c>
      <c r="M74" s="83" t="s">
        <v>5895</v>
      </c>
      <c r="N74" s="64" t="s">
        <v>1</v>
      </c>
      <c r="O74" s="65">
        <v>1</v>
      </c>
      <c r="P74" s="99"/>
      <c r="Q74" s="70"/>
      <c r="R74" s="66"/>
      <c r="S74" s="57"/>
      <c r="T74" s="58"/>
      <c r="U74" s="77"/>
      <c r="V74" s="1" t="s">
        <v>18099</v>
      </c>
      <c r="W74" s="68"/>
      <c r="X74" s="76"/>
      <c r="Y74" s="70"/>
      <c r="Z74" s="228">
        <f>+ROUND((ROUND((ROUND((ROUND((_15_同援日０．５＿１．５*_15・基礎２),0)*_15・２人),0)*(1+_15・B深夜)),0)*(1+_15・区４)),0)</f>
        <v>570</v>
      </c>
      <c r="AA74" s="69"/>
    </row>
    <row r="75" spans="1:27" ht="16.5" customHeight="1" x14ac:dyDescent="0.3">
      <c r="A75" s="2">
        <v>15</v>
      </c>
      <c r="B75" s="2" t="s">
        <v>372</v>
      </c>
      <c r="C75" s="83" t="s">
        <v>11011</v>
      </c>
      <c r="D75" s="103"/>
      <c r="E75" s="1"/>
      <c r="F75" s="103"/>
      <c r="G75" s="1"/>
      <c r="H75" s="68"/>
      <c r="I75" s="70"/>
      <c r="J75" s="61"/>
      <c r="K75" s="62"/>
      <c r="L75" s="63"/>
      <c r="M75" s="85"/>
      <c r="N75" s="64"/>
      <c r="O75" s="65"/>
      <c r="P75" s="99"/>
      <c r="Q75" s="70"/>
      <c r="R75" s="74" t="s">
        <v>18098</v>
      </c>
      <c r="S75" s="62"/>
      <c r="T75" s="63"/>
      <c r="U75" s="75"/>
      <c r="V75" s="67"/>
      <c r="W75" s="68" t="s">
        <v>1</v>
      </c>
      <c r="X75" s="76">
        <v>0.4</v>
      </c>
      <c r="Y75" s="70" t="s">
        <v>422</v>
      </c>
      <c r="Z75" s="228">
        <f>+ROUND((ROUND((ROUND((_15_同援日０．５＿１．５*(1+_15・B深夜)),0)*(1+_15・盲ろう)),0)*(1+_15・区４)),0)</f>
        <v>791</v>
      </c>
      <c r="AA75" s="69"/>
    </row>
    <row r="76" spans="1:27" ht="16.5" customHeight="1" x14ac:dyDescent="0.3">
      <c r="A76" s="2">
        <v>15</v>
      </c>
      <c r="B76" s="2" t="s">
        <v>373</v>
      </c>
      <c r="C76" s="83" t="s">
        <v>11010</v>
      </c>
      <c r="D76" s="103"/>
      <c r="E76" s="1"/>
      <c r="F76" s="103"/>
      <c r="G76" s="1"/>
      <c r="H76" s="68"/>
      <c r="I76" s="70"/>
      <c r="J76" s="66"/>
      <c r="K76" s="57"/>
      <c r="L76" s="58"/>
      <c r="M76" s="83" t="s">
        <v>5895</v>
      </c>
      <c r="N76" s="64" t="s">
        <v>1</v>
      </c>
      <c r="O76" s="65">
        <v>1</v>
      </c>
      <c r="P76" s="99"/>
      <c r="Q76" s="70"/>
      <c r="R76" s="94" t="s">
        <v>18097</v>
      </c>
      <c r="S76" s="68"/>
      <c r="T76" s="76"/>
      <c r="U76" s="70"/>
      <c r="V76" s="67"/>
      <c r="W76" s="68"/>
      <c r="X76" s="76"/>
      <c r="Y76" s="70"/>
      <c r="Z76" s="228">
        <f>+ROUND((ROUND((ROUND((ROUND((_15_同援日０．５＿１．５*_15・２人),0)*(1+_15・B深夜)),0)*(1+_15・盲ろう)),0)*(1+_15・区４)),0)</f>
        <v>791</v>
      </c>
      <c r="AA76" s="69"/>
    </row>
    <row r="77" spans="1:27" ht="16.5" customHeight="1" x14ac:dyDescent="0.3">
      <c r="A77" s="2">
        <v>15</v>
      </c>
      <c r="B77" s="2" t="s">
        <v>374</v>
      </c>
      <c r="C77" s="83" t="s">
        <v>11009</v>
      </c>
      <c r="D77" s="103"/>
      <c r="E77" s="1"/>
      <c r="F77" s="103"/>
      <c r="G77" s="1"/>
      <c r="H77" s="68"/>
      <c r="I77" s="70"/>
      <c r="J77" s="74" t="s">
        <v>16912</v>
      </c>
      <c r="K77" s="62"/>
      <c r="L77" s="63"/>
      <c r="M77" s="85"/>
      <c r="N77" s="64"/>
      <c r="O77" s="65"/>
      <c r="P77" s="99"/>
      <c r="Q77" s="70"/>
      <c r="R77" s="67"/>
      <c r="S77" s="68" t="s">
        <v>1</v>
      </c>
      <c r="T77" s="76">
        <v>0.25</v>
      </c>
      <c r="U77" s="70" t="s">
        <v>422</v>
      </c>
      <c r="V77" s="67"/>
      <c r="W77" s="68"/>
      <c r="X77" s="76"/>
      <c r="Y77" s="70"/>
      <c r="Z77" s="228">
        <f>+ROUND((ROUND((ROUND((ROUND((_15_同援日０．５＿１．５*_15・基礎２),0)*(1+_15・B深夜)),0)*(1+_15・盲ろう)),0)*(1+_15・区４)),0)</f>
        <v>713</v>
      </c>
      <c r="AA77" s="69"/>
    </row>
    <row r="78" spans="1:27" ht="16.5" customHeight="1" x14ac:dyDescent="0.3">
      <c r="A78" s="2">
        <v>15</v>
      </c>
      <c r="B78" s="2" t="s">
        <v>375</v>
      </c>
      <c r="C78" s="83" t="s">
        <v>11008</v>
      </c>
      <c r="D78" s="103"/>
      <c r="E78" s="1"/>
      <c r="F78" s="103"/>
      <c r="G78" s="81"/>
      <c r="H78" s="57"/>
      <c r="I78" s="77"/>
      <c r="J78" s="106" t="s">
        <v>16916</v>
      </c>
      <c r="K78" s="57" t="s">
        <v>1</v>
      </c>
      <c r="L78" s="58">
        <v>0.9</v>
      </c>
      <c r="M78" s="83" t="s">
        <v>5895</v>
      </c>
      <c r="N78" s="64" t="s">
        <v>1</v>
      </c>
      <c r="O78" s="65">
        <v>1</v>
      </c>
      <c r="P78" s="99"/>
      <c r="Q78" s="70"/>
      <c r="R78" s="66"/>
      <c r="S78" s="57"/>
      <c r="T78" s="58"/>
      <c r="U78" s="77"/>
      <c r="V78" s="66"/>
      <c r="W78" s="57"/>
      <c r="X78" s="58"/>
      <c r="Y78" s="77"/>
      <c r="Z78" s="228">
        <f>+ROUND((ROUND((ROUND((ROUND((ROUND((_15_同援日０．５＿１．５*_15・基礎２),0)*_15・２人),0)*(1+_15・B深夜)),0)*(1+_15・盲ろう)),0)*(1+_15・区４)),0)</f>
        <v>713</v>
      </c>
      <c r="AA78" s="69"/>
    </row>
    <row r="79" spans="1:27" ht="16.5" customHeight="1" x14ac:dyDescent="0.3">
      <c r="A79" s="2">
        <v>15</v>
      </c>
      <c r="B79" s="2" t="s">
        <v>376</v>
      </c>
      <c r="C79" s="83" t="s">
        <v>11007</v>
      </c>
      <c r="D79" s="103"/>
      <c r="E79" s="1"/>
      <c r="F79" s="103"/>
      <c r="G79" s="233" t="s">
        <v>16941</v>
      </c>
      <c r="H79" s="62"/>
      <c r="I79" s="75"/>
      <c r="J79" s="61"/>
      <c r="K79" s="62"/>
      <c r="L79" s="63"/>
      <c r="M79" s="85"/>
      <c r="N79" s="64"/>
      <c r="O79" s="65"/>
      <c r="P79" s="99"/>
      <c r="Q79" s="70"/>
      <c r="R79" s="61"/>
      <c r="S79" s="62"/>
      <c r="T79" s="63"/>
      <c r="U79" s="75"/>
      <c r="V79" s="61"/>
      <c r="W79" s="62"/>
      <c r="X79" s="63"/>
      <c r="Y79" s="75"/>
      <c r="Z79" s="228">
        <f>+ROUND((_15_同援日０．５＿２．０*(1+_15・B深夜)),0)</f>
        <v>546</v>
      </c>
      <c r="AA79" s="69"/>
    </row>
    <row r="80" spans="1:27" ht="16.5" customHeight="1" x14ac:dyDescent="0.3">
      <c r="A80" s="2">
        <v>15</v>
      </c>
      <c r="B80" s="2" t="s">
        <v>377</v>
      </c>
      <c r="C80" s="83" t="s">
        <v>11006</v>
      </c>
      <c r="D80" s="103"/>
      <c r="E80" s="1"/>
      <c r="F80" s="103"/>
      <c r="G80" s="1" t="s">
        <v>16940</v>
      </c>
      <c r="H80" s="68"/>
      <c r="I80" s="70"/>
      <c r="J80" s="66"/>
      <c r="K80" s="57"/>
      <c r="L80" s="58"/>
      <c r="M80" s="83" t="s">
        <v>5895</v>
      </c>
      <c r="N80" s="64" t="s">
        <v>1</v>
      </c>
      <c r="O80" s="65">
        <v>1</v>
      </c>
      <c r="P80" s="99"/>
      <c r="Q80" s="70"/>
      <c r="R80" s="67"/>
      <c r="S80" s="68"/>
      <c r="T80" s="76"/>
      <c r="U80" s="70"/>
      <c r="V80" s="67"/>
      <c r="W80" s="68"/>
      <c r="X80" s="76"/>
      <c r="Y80" s="70"/>
      <c r="Z80" s="228">
        <f>+ROUND((ROUND((_15_同援日０．５＿２．０*_15・２人),0)*(1+_15・B深夜)),0)</f>
        <v>546</v>
      </c>
      <c r="AA80" s="69"/>
    </row>
    <row r="81" spans="1:27" ht="16.5" customHeight="1" x14ac:dyDescent="0.3">
      <c r="A81" s="2">
        <v>15</v>
      </c>
      <c r="B81" s="2" t="s">
        <v>378</v>
      </c>
      <c r="C81" s="83" t="s">
        <v>11005</v>
      </c>
      <c r="D81" s="103"/>
      <c r="E81" s="1"/>
      <c r="F81" s="103"/>
      <c r="G81" s="1" t="s">
        <v>6448</v>
      </c>
      <c r="H81" s="68"/>
      <c r="I81" s="70"/>
      <c r="J81" s="74" t="s">
        <v>16912</v>
      </c>
      <c r="K81" s="62"/>
      <c r="L81" s="63"/>
      <c r="M81" s="85"/>
      <c r="N81" s="64"/>
      <c r="O81" s="65"/>
      <c r="P81" s="99"/>
      <c r="Q81" s="70"/>
      <c r="R81" s="67"/>
      <c r="S81" s="68"/>
      <c r="T81" s="76"/>
      <c r="U81" s="70"/>
      <c r="V81" s="67"/>
      <c r="W81" s="68"/>
      <c r="X81" s="76"/>
      <c r="Y81" s="70"/>
      <c r="Z81" s="228">
        <f>+ROUND((ROUND((_15_同援日０．５＿２．０*_15・基礎２),0)*(1+_15・B深夜)),0)</f>
        <v>492</v>
      </c>
      <c r="AA81" s="69"/>
    </row>
    <row r="82" spans="1:27" ht="16.5" customHeight="1" x14ac:dyDescent="0.3">
      <c r="A82" s="2">
        <v>15</v>
      </c>
      <c r="B82" s="2" t="s">
        <v>379</v>
      </c>
      <c r="C82" s="83" t="s">
        <v>11004</v>
      </c>
      <c r="D82" s="103"/>
      <c r="E82" s="1"/>
      <c r="F82" s="103"/>
      <c r="G82" s="1"/>
      <c r="H82" s="227">
        <v>364</v>
      </c>
      <c r="I82" s="70" t="s">
        <v>0</v>
      </c>
      <c r="J82" s="106" t="s">
        <v>16916</v>
      </c>
      <c r="K82" s="57" t="s">
        <v>1</v>
      </c>
      <c r="L82" s="58">
        <v>0.9</v>
      </c>
      <c r="M82" s="83" t="s">
        <v>5895</v>
      </c>
      <c r="N82" s="64" t="s">
        <v>1</v>
      </c>
      <c r="O82" s="65">
        <v>1</v>
      </c>
      <c r="P82" s="99"/>
      <c r="Q82" s="70"/>
      <c r="R82" s="66"/>
      <c r="S82" s="57"/>
      <c r="T82" s="58"/>
      <c r="U82" s="77"/>
      <c r="V82" s="67"/>
      <c r="W82" s="68"/>
      <c r="X82" s="76"/>
      <c r="Y82" s="70"/>
      <c r="Z82" s="228">
        <f>+ROUND((ROUND((ROUND((_15_同援日０．５＿２．０*_15・基礎２),0)*_15・２人),0)*(1+_15・B深夜)),0)</f>
        <v>492</v>
      </c>
      <c r="AA82" s="69"/>
    </row>
    <row r="83" spans="1:27" ht="16.5" customHeight="1" x14ac:dyDescent="0.3">
      <c r="A83" s="2">
        <v>15</v>
      </c>
      <c r="B83" s="2" t="s">
        <v>380</v>
      </c>
      <c r="C83" s="83" t="s">
        <v>11003</v>
      </c>
      <c r="D83" s="103"/>
      <c r="E83" s="1"/>
      <c r="F83" s="103"/>
      <c r="G83" s="1"/>
      <c r="H83" s="68"/>
      <c r="I83" s="70"/>
      <c r="J83" s="61"/>
      <c r="K83" s="62"/>
      <c r="L83" s="63"/>
      <c r="M83" s="85"/>
      <c r="N83" s="64"/>
      <c r="O83" s="65"/>
      <c r="P83" s="99"/>
      <c r="Q83" s="70"/>
      <c r="R83" s="74" t="s">
        <v>18098</v>
      </c>
      <c r="S83" s="62"/>
      <c r="T83" s="63"/>
      <c r="U83" s="75"/>
      <c r="V83" s="67"/>
      <c r="W83" s="68"/>
      <c r="X83" s="76"/>
      <c r="Y83" s="70"/>
      <c r="Z83" s="228">
        <f>+ROUND((ROUND((_15_同援日０．５＿２．０*(1+_15・B深夜)),0)*(1+_15・盲ろう)),0)</f>
        <v>683</v>
      </c>
      <c r="AA83" s="69"/>
    </row>
    <row r="84" spans="1:27" ht="16.5" customHeight="1" x14ac:dyDescent="0.3">
      <c r="A84" s="2">
        <v>15</v>
      </c>
      <c r="B84" s="2" t="s">
        <v>381</v>
      </c>
      <c r="C84" s="83" t="s">
        <v>11002</v>
      </c>
      <c r="D84" s="103"/>
      <c r="E84" s="1"/>
      <c r="F84" s="103"/>
      <c r="G84" s="1"/>
      <c r="H84" s="68"/>
      <c r="I84" s="70"/>
      <c r="J84" s="66"/>
      <c r="K84" s="57"/>
      <c r="L84" s="58"/>
      <c r="M84" s="83" t="s">
        <v>5895</v>
      </c>
      <c r="N84" s="64" t="s">
        <v>1</v>
      </c>
      <c r="O84" s="65">
        <v>1</v>
      </c>
      <c r="P84" s="99"/>
      <c r="Q84" s="70"/>
      <c r="R84" s="94" t="s">
        <v>18097</v>
      </c>
      <c r="S84" s="68"/>
      <c r="T84" s="76"/>
      <c r="U84" s="70"/>
      <c r="V84" s="67"/>
      <c r="W84" s="68"/>
      <c r="X84" s="76"/>
      <c r="Y84" s="70"/>
      <c r="Z84" s="228">
        <f>+ROUND((ROUND((ROUND((_15_同援日０．５＿２．０*_15・２人),0)*(1+_15・B深夜)),0)*(1+_15・盲ろう)),0)</f>
        <v>683</v>
      </c>
      <c r="AA84" s="69"/>
    </row>
    <row r="85" spans="1:27" ht="16.5" customHeight="1" x14ac:dyDescent="0.3">
      <c r="A85" s="2">
        <v>15</v>
      </c>
      <c r="B85" s="2" t="s">
        <v>382</v>
      </c>
      <c r="C85" s="83" t="s">
        <v>11001</v>
      </c>
      <c r="D85" s="103"/>
      <c r="E85" s="1"/>
      <c r="F85" s="103"/>
      <c r="G85" s="1"/>
      <c r="H85" s="68"/>
      <c r="I85" s="70"/>
      <c r="J85" s="74" t="s">
        <v>16912</v>
      </c>
      <c r="K85" s="62"/>
      <c r="L85" s="63"/>
      <c r="M85" s="85"/>
      <c r="N85" s="64"/>
      <c r="O85" s="65"/>
      <c r="P85" s="99"/>
      <c r="Q85" s="70"/>
      <c r="R85" s="67"/>
      <c r="S85" s="68" t="s">
        <v>1</v>
      </c>
      <c r="T85" s="76">
        <v>0.25</v>
      </c>
      <c r="U85" s="70" t="s">
        <v>422</v>
      </c>
      <c r="V85" s="67"/>
      <c r="W85" s="68"/>
      <c r="X85" s="76"/>
      <c r="Y85" s="70"/>
      <c r="Z85" s="228">
        <f>+ROUND((ROUND((ROUND((_15_同援日０．５＿２．０*_15・基礎２),0)*(1+_15・B深夜)),0)*(1+_15・盲ろう)),0)</f>
        <v>615</v>
      </c>
      <c r="AA85" s="69"/>
    </row>
    <row r="86" spans="1:27" ht="16.5" customHeight="1" x14ac:dyDescent="0.3">
      <c r="A86" s="2">
        <v>15</v>
      </c>
      <c r="B86" s="2" t="s">
        <v>383</v>
      </c>
      <c r="C86" s="83" t="s">
        <v>11000</v>
      </c>
      <c r="D86" s="103"/>
      <c r="E86" s="1"/>
      <c r="F86" s="103"/>
      <c r="G86" s="1"/>
      <c r="H86" s="68"/>
      <c r="I86" s="70"/>
      <c r="J86" s="106" t="s">
        <v>16916</v>
      </c>
      <c r="K86" s="57" t="s">
        <v>1</v>
      </c>
      <c r="L86" s="58">
        <v>0.9</v>
      </c>
      <c r="M86" s="83" t="s">
        <v>5895</v>
      </c>
      <c r="N86" s="64" t="s">
        <v>1</v>
      </c>
      <c r="O86" s="65">
        <v>1</v>
      </c>
      <c r="P86" s="99"/>
      <c r="Q86" s="70"/>
      <c r="R86" s="66"/>
      <c r="S86" s="57"/>
      <c r="T86" s="58"/>
      <c r="U86" s="77"/>
      <c r="V86" s="66"/>
      <c r="W86" s="57"/>
      <c r="X86" s="58"/>
      <c r="Y86" s="77"/>
      <c r="Z86" s="228">
        <f>+ROUND((ROUND((ROUND((ROUND((_15_同援日０．５＿２．０*_15・基礎２),0)*_15・２人),0)*(1+_15・B深夜)),0)*(1+_15・盲ろう)),0)</f>
        <v>615</v>
      </c>
      <c r="AA86" s="69"/>
    </row>
    <row r="87" spans="1:27" ht="16.5" customHeight="1" x14ac:dyDescent="0.3">
      <c r="A87" s="2">
        <v>15</v>
      </c>
      <c r="B87" s="2" t="s">
        <v>384</v>
      </c>
      <c r="C87" s="83" t="s">
        <v>10999</v>
      </c>
      <c r="D87" s="103"/>
      <c r="E87" s="1"/>
      <c r="F87" s="103"/>
      <c r="G87" s="1"/>
      <c r="H87" s="68"/>
      <c r="I87" s="70"/>
      <c r="J87" s="61"/>
      <c r="K87" s="62"/>
      <c r="L87" s="63"/>
      <c r="M87" s="85"/>
      <c r="N87" s="64"/>
      <c r="O87" s="65"/>
      <c r="P87" s="99"/>
      <c r="Q87" s="70"/>
      <c r="R87" s="61"/>
      <c r="S87" s="62"/>
      <c r="T87" s="63"/>
      <c r="U87" s="75"/>
      <c r="V87" s="61"/>
      <c r="W87" s="62"/>
      <c r="X87" s="63"/>
      <c r="Y87" s="75"/>
      <c r="Z87" s="228">
        <f>+ROUND((ROUND((_15_同援日０．５＿２．０*(1+_15・B深夜)),0)*(1+_15・区３)),0)</f>
        <v>655</v>
      </c>
      <c r="AA87" s="69"/>
    </row>
    <row r="88" spans="1:27" ht="16.5" customHeight="1" x14ac:dyDescent="0.3">
      <c r="A88" s="2">
        <v>15</v>
      </c>
      <c r="B88" s="2" t="s">
        <v>385</v>
      </c>
      <c r="C88" s="83" t="s">
        <v>10998</v>
      </c>
      <c r="D88" s="103"/>
      <c r="E88" s="1"/>
      <c r="F88" s="103"/>
      <c r="G88" s="1"/>
      <c r="H88" s="68"/>
      <c r="I88" s="70"/>
      <c r="J88" s="66"/>
      <c r="K88" s="57"/>
      <c r="L88" s="58"/>
      <c r="M88" s="83" t="s">
        <v>5895</v>
      </c>
      <c r="N88" s="64" t="s">
        <v>1</v>
      </c>
      <c r="O88" s="65">
        <v>1</v>
      </c>
      <c r="P88" s="99"/>
      <c r="Q88" s="70"/>
      <c r="R88" s="67"/>
      <c r="S88" s="68"/>
      <c r="T88" s="76"/>
      <c r="U88" s="70"/>
      <c r="V88" s="67"/>
      <c r="W88" s="68"/>
      <c r="X88" s="76"/>
      <c r="Y88" s="70"/>
      <c r="Z88" s="228">
        <f>+ROUND((ROUND((ROUND((_15_同援日０．５＿２．０*_15・２人),0)*(1+_15・B深夜)),0)*(1+_15・区３)),0)</f>
        <v>655</v>
      </c>
      <c r="AA88" s="69"/>
    </row>
    <row r="89" spans="1:27" ht="16.5" customHeight="1" x14ac:dyDescent="0.3">
      <c r="A89" s="2">
        <v>15</v>
      </c>
      <c r="B89" s="2" t="s">
        <v>386</v>
      </c>
      <c r="C89" s="83" t="s">
        <v>10997</v>
      </c>
      <c r="D89" s="103"/>
      <c r="E89" s="1"/>
      <c r="F89" s="103"/>
      <c r="G89" s="1"/>
      <c r="H89" s="68"/>
      <c r="I89" s="70"/>
      <c r="J89" s="74" t="s">
        <v>5898</v>
      </c>
      <c r="K89" s="62"/>
      <c r="L89" s="63"/>
      <c r="M89" s="85"/>
      <c r="N89" s="64"/>
      <c r="O89" s="65"/>
      <c r="P89" s="99"/>
      <c r="Q89" s="70"/>
      <c r="R89" s="67"/>
      <c r="S89" s="68"/>
      <c r="T89" s="76"/>
      <c r="U89" s="70"/>
      <c r="V89" s="1" t="s">
        <v>18101</v>
      </c>
      <c r="W89" s="68"/>
      <c r="X89" s="76"/>
      <c r="Y89" s="70"/>
      <c r="Z89" s="228">
        <f>+ROUND((ROUND((ROUND((_15_同援日０．５＿２．０*_15・基礎２),0)*(1+_15・B深夜)),0)*(1+_15・区３)),0)</f>
        <v>590</v>
      </c>
      <c r="AA89" s="69"/>
    </row>
    <row r="90" spans="1:27" ht="16.5" customHeight="1" x14ac:dyDescent="0.3">
      <c r="A90" s="2">
        <v>15</v>
      </c>
      <c r="B90" s="2" t="s">
        <v>387</v>
      </c>
      <c r="C90" s="83" t="s">
        <v>10996</v>
      </c>
      <c r="D90" s="103"/>
      <c r="E90" s="1"/>
      <c r="F90" s="103"/>
      <c r="G90" s="1"/>
      <c r="H90" s="68"/>
      <c r="I90" s="70"/>
      <c r="J90" s="106" t="s">
        <v>16916</v>
      </c>
      <c r="K90" s="57" t="s">
        <v>1</v>
      </c>
      <c r="L90" s="58">
        <v>0.9</v>
      </c>
      <c r="M90" s="83" t="s">
        <v>5895</v>
      </c>
      <c r="N90" s="64" t="s">
        <v>1</v>
      </c>
      <c r="O90" s="65">
        <v>1</v>
      </c>
      <c r="P90" s="99"/>
      <c r="Q90" s="70"/>
      <c r="R90" s="66"/>
      <c r="S90" s="57"/>
      <c r="T90" s="58"/>
      <c r="U90" s="77"/>
      <c r="V90" s="1" t="s">
        <v>18099</v>
      </c>
      <c r="W90" s="68"/>
      <c r="X90" s="76"/>
      <c r="Y90" s="70"/>
      <c r="Z90" s="228">
        <f>+ROUND((ROUND((ROUND((ROUND((_15_同援日０．５＿２．０*_15・基礎２),0)*_15・２人),0)*(1+_15・B深夜)),0)*(1+_15・区３)),0)</f>
        <v>590</v>
      </c>
      <c r="AA90" s="69"/>
    </row>
    <row r="91" spans="1:27" ht="16.5" customHeight="1" x14ac:dyDescent="0.3">
      <c r="A91" s="2">
        <v>15</v>
      </c>
      <c r="B91" s="2" t="s">
        <v>388</v>
      </c>
      <c r="C91" s="83" t="s">
        <v>10995</v>
      </c>
      <c r="D91" s="103"/>
      <c r="E91" s="1"/>
      <c r="F91" s="103"/>
      <c r="G91" s="1"/>
      <c r="H91" s="68"/>
      <c r="I91" s="70"/>
      <c r="J91" s="61"/>
      <c r="K91" s="62"/>
      <c r="L91" s="63"/>
      <c r="M91" s="85"/>
      <c r="N91" s="64"/>
      <c r="O91" s="65"/>
      <c r="P91" s="99"/>
      <c r="Q91" s="70"/>
      <c r="R91" s="74" t="s">
        <v>18098</v>
      </c>
      <c r="S91" s="62"/>
      <c r="T91" s="63"/>
      <c r="U91" s="75"/>
      <c r="V91" s="67"/>
      <c r="W91" s="68" t="s">
        <v>1</v>
      </c>
      <c r="X91" s="76">
        <v>0.2</v>
      </c>
      <c r="Y91" s="70" t="s">
        <v>422</v>
      </c>
      <c r="Z91" s="228">
        <f>+ROUND((ROUND((ROUND((_15_同援日０．５＿２．０*(1+_15・B深夜)),0)*(1+_15・盲ろう)),0)*(1+_15・区３)),0)</f>
        <v>820</v>
      </c>
      <c r="AA91" s="69"/>
    </row>
    <row r="92" spans="1:27" ht="16.5" customHeight="1" x14ac:dyDescent="0.3">
      <c r="A92" s="2">
        <v>15</v>
      </c>
      <c r="B92" s="2" t="s">
        <v>389</v>
      </c>
      <c r="C92" s="83" t="s">
        <v>10994</v>
      </c>
      <c r="D92" s="103"/>
      <c r="E92" s="1"/>
      <c r="F92" s="103"/>
      <c r="G92" s="1"/>
      <c r="H92" s="68"/>
      <c r="I92" s="70"/>
      <c r="J92" s="66"/>
      <c r="K92" s="57"/>
      <c r="L92" s="58"/>
      <c r="M92" s="83" t="s">
        <v>5895</v>
      </c>
      <c r="N92" s="64" t="s">
        <v>1</v>
      </c>
      <c r="O92" s="65">
        <v>1</v>
      </c>
      <c r="P92" s="99"/>
      <c r="Q92" s="70"/>
      <c r="R92" s="94" t="s">
        <v>18097</v>
      </c>
      <c r="S92" s="68"/>
      <c r="T92" s="76"/>
      <c r="U92" s="70"/>
      <c r="V92" s="67"/>
      <c r="W92" s="68"/>
      <c r="X92" s="76"/>
      <c r="Y92" s="70"/>
      <c r="Z92" s="228">
        <f>+ROUND((ROUND((ROUND((ROUND((_15_同援日０．５＿２．０*_15・２人),0)*(1+_15・B深夜)),0)*(1+_15・盲ろう)),0)*(1+_15・区３)),0)</f>
        <v>820</v>
      </c>
      <c r="AA92" s="69"/>
    </row>
    <row r="93" spans="1:27" ht="16.5" customHeight="1" x14ac:dyDescent="0.3">
      <c r="A93" s="2">
        <v>15</v>
      </c>
      <c r="B93" s="2" t="s">
        <v>390</v>
      </c>
      <c r="C93" s="83" t="s">
        <v>10993</v>
      </c>
      <c r="D93" s="103"/>
      <c r="E93" s="1"/>
      <c r="F93" s="103"/>
      <c r="G93" s="1"/>
      <c r="H93" s="68"/>
      <c r="I93" s="70"/>
      <c r="J93" s="74" t="s">
        <v>5898</v>
      </c>
      <c r="K93" s="62"/>
      <c r="L93" s="63"/>
      <c r="M93" s="85"/>
      <c r="N93" s="64"/>
      <c r="O93" s="65"/>
      <c r="P93" s="99"/>
      <c r="Q93" s="70"/>
      <c r="R93" s="67"/>
      <c r="S93" s="68" t="s">
        <v>1</v>
      </c>
      <c r="T93" s="76">
        <v>0.25</v>
      </c>
      <c r="U93" s="70" t="s">
        <v>422</v>
      </c>
      <c r="V93" s="67"/>
      <c r="W93" s="68"/>
      <c r="X93" s="76"/>
      <c r="Y93" s="70"/>
      <c r="Z93" s="228">
        <f>+ROUND((ROUND((ROUND((ROUND((_15_同援日０．５＿２．０*_15・基礎２),0)*(1+_15・B深夜)),0)*(1+_15・盲ろう)),0)*(1+_15・区３)),0)</f>
        <v>738</v>
      </c>
      <c r="AA93" s="69"/>
    </row>
    <row r="94" spans="1:27" ht="16.5" customHeight="1" x14ac:dyDescent="0.3">
      <c r="A94" s="2">
        <v>15</v>
      </c>
      <c r="B94" s="2" t="s">
        <v>391</v>
      </c>
      <c r="C94" s="83" t="s">
        <v>10992</v>
      </c>
      <c r="D94" s="103"/>
      <c r="E94" s="1"/>
      <c r="F94" s="103"/>
      <c r="G94" s="1"/>
      <c r="H94" s="68"/>
      <c r="I94" s="70"/>
      <c r="J94" s="106" t="s">
        <v>16916</v>
      </c>
      <c r="K94" s="57" t="s">
        <v>1</v>
      </c>
      <c r="L94" s="58">
        <v>0.9</v>
      </c>
      <c r="M94" s="83" t="s">
        <v>5895</v>
      </c>
      <c r="N94" s="64" t="s">
        <v>1</v>
      </c>
      <c r="O94" s="65">
        <v>1</v>
      </c>
      <c r="P94" s="99"/>
      <c r="Q94" s="70"/>
      <c r="R94" s="66"/>
      <c r="S94" s="57"/>
      <c r="T94" s="58"/>
      <c r="U94" s="77"/>
      <c r="V94" s="66"/>
      <c r="W94" s="57"/>
      <c r="X94" s="58"/>
      <c r="Y94" s="77"/>
      <c r="Z94" s="228">
        <f>+ROUND((ROUND((ROUND((ROUND((ROUND((_15_同援日０．５＿２．０*_15・基礎２),0)*_15・２人),0)*(1+_15・B深夜)),0)*(1+_15・盲ろう)),0)*(1+_15・区３)),0)</f>
        <v>738</v>
      </c>
      <c r="AA94" s="69"/>
    </row>
    <row r="95" spans="1:27" ht="16.5" customHeight="1" x14ac:dyDescent="0.3">
      <c r="A95" s="2">
        <v>15</v>
      </c>
      <c r="B95" s="2" t="s">
        <v>392</v>
      </c>
      <c r="C95" s="83" t="s">
        <v>10991</v>
      </c>
      <c r="D95" s="103"/>
      <c r="E95" s="1"/>
      <c r="F95" s="103"/>
      <c r="G95" s="1"/>
      <c r="H95" s="68"/>
      <c r="I95" s="70"/>
      <c r="J95" s="61"/>
      <c r="K95" s="62"/>
      <c r="L95" s="63"/>
      <c r="M95" s="85"/>
      <c r="N95" s="64"/>
      <c r="O95" s="65"/>
      <c r="P95" s="99"/>
      <c r="Q95" s="70"/>
      <c r="R95" s="61"/>
      <c r="S95" s="62"/>
      <c r="T95" s="63"/>
      <c r="U95" s="75"/>
      <c r="V95" s="61"/>
      <c r="W95" s="62"/>
      <c r="X95" s="63"/>
      <c r="Y95" s="75"/>
      <c r="Z95" s="228">
        <f>+ROUND((ROUND((_15_同援日０．５＿２．０*(1+_15・B深夜)),0)*(1+_15・区４)),0)</f>
        <v>764</v>
      </c>
      <c r="AA95" s="69"/>
    </row>
    <row r="96" spans="1:27" ht="16.5" customHeight="1" x14ac:dyDescent="0.3">
      <c r="A96" s="2">
        <v>15</v>
      </c>
      <c r="B96" s="2" t="s">
        <v>393</v>
      </c>
      <c r="C96" s="83" t="s">
        <v>10990</v>
      </c>
      <c r="D96" s="103"/>
      <c r="E96" s="1"/>
      <c r="F96" s="103"/>
      <c r="G96" s="1"/>
      <c r="H96" s="68"/>
      <c r="I96" s="70"/>
      <c r="J96" s="66"/>
      <c r="K96" s="57"/>
      <c r="L96" s="58"/>
      <c r="M96" s="83" t="s">
        <v>5895</v>
      </c>
      <c r="N96" s="64" t="s">
        <v>1</v>
      </c>
      <c r="O96" s="65">
        <v>1</v>
      </c>
      <c r="P96" s="99"/>
      <c r="Q96" s="70"/>
      <c r="R96" s="67"/>
      <c r="S96" s="68"/>
      <c r="T96" s="76"/>
      <c r="U96" s="70"/>
      <c r="V96" s="67"/>
      <c r="W96" s="68"/>
      <c r="X96" s="76"/>
      <c r="Y96" s="70"/>
      <c r="Z96" s="228">
        <f>+ROUND((ROUND((ROUND((_15_同援日０．５＿２．０*_15・２人),0)*(1+_15・B深夜)),0)*(1+_15・区４)),0)</f>
        <v>764</v>
      </c>
      <c r="AA96" s="69"/>
    </row>
    <row r="97" spans="1:27" ht="16.5" customHeight="1" x14ac:dyDescent="0.3">
      <c r="A97" s="2">
        <v>15</v>
      </c>
      <c r="B97" s="2" t="s">
        <v>394</v>
      </c>
      <c r="C97" s="83" t="s">
        <v>10989</v>
      </c>
      <c r="D97" s="103"/>
      <c r="E97" s="1"/>
      <c r="F97" s="103"/>
      <c r="G97" s="1"/>
      <c r="H97" s="68"/>
      <c r="I97" s="70"/>
      <c r="J97" s="74" t="s">
        <v>16912</v>
      </c>
      <c r="K97" s="62"/>
      <c r="L97" s="63"/>
      <c r="M97" s="85"/>
      <c r="N97" s="64"/>
      <c r="O97" s="65"/>
      <c r="P97" s="99"/>
      <c r="Q97" s="70"/>
      <c r="R97" s="67"/>
      <c r="S97" s="68"/>
      <c r="T97" s="76"/>
      <c r="U97" s="70"/>
      <c r="V97" s="1" t="s">
        <v>18100</v>
      </c>
      <c r="W97" s="68"/>
      <c r="X97" s="76"/>
      <c r="Y97" s="70"/>
      <c r="Z97" s="228">
        <f>+ROUND((ROUND((ROUND((_15_同援日０．５＿２．０*_15・基礎２),0)*(1+_15・B深夜)),0)*(1+_15・区４)),0)</f>
        <v>689</v>
      </c>
      <c r="AA97" s="69"/>
    </row>
    <row r="98" spans="1:27" ht="16.5" customHeight="1" x14ac:dyDescent="0.3">
      <c r="A98" s="2">
        <v>15</v>
      </c>
      <c r="B98" s="2" t="s">
        <v>395</v>
      </c>
      <c r="C98" s="83" t="s">
        <v>10988</v>
      </c>
      <c r="D98" s="103"/>
      <c r="E98" s="1"/>
      <c r="F98" s="103"/>
      <c r="G98" s="1"/>
      <c r="H98" s="68"/>
      <c r="I98" s="70"/>
      <c r="J98" s="106" t="s">
        <v>16916</v>
      </c>
      <c r="K98" s="57" t="s">
        <v>1</v>
      </c>
      <c r="L98" s="58">
        <v>0.9</v>
      </c>
      <c r="M98" s="83" t="s">
        <v>5895</v>
      </c>
      <c r="N98" s="64" t="s">
        <v>1</v>
      </c>
      <c r="O98" s="65">
        <v>1</v>
      </c>
      <c r="P98" s="99"/>
      <c r="Q98" s="70"/>
      <c r="R98" s="66"/>
      <c r="S98" s="57"/>
      <c r="T98" s="58"/>
      <c r="U98" s="77"/>
      <c r="V98" s="1" t="s">
        <v>18099</v>
      </c>
      <c r="W98" s="68"/>
      <c r="X98" s="76"/>
      <c r="Y98" s="70"/>
      <c r="Z98" s="228">
        <f>+ROUND((ROUND((ROUND((ROUND((_15_同援日０．５＿２．０*_15・基礎２),0)*_15・２人),0)*(1+_15・B深夜)),0)*(1+_15・区４)),0)</f>
        <v>689</v>
      </c>
      <c r="AA98" s="69"/>
    </row>
    <row r="99" spans="1:27" ht="16.5" customHeight="1" x14ac:dyDescent="0.3">
      <c r="A99" s="2">
        <v>15</v>
      </c>
      <c r="B99" s="2" t="s">
        <v>396</v>
      </c>
      <c r="C99" s="83" t="s">
        <v>10987</v>
      </c>
      <c r="D99" s="103"/>
      <c r="E99" s="1"/>
      <c r="F99" s="103"/>
      <c r="G99" s="1"/>
      <c r="H99" s="68"/>
      <c r="I99" s="70"/>
      <c r="J99" s="61"/>
      <c r="K99" s="62"/>
      <c r="L99" s="63"/>
      <c r="M99" s="85"/>
      <c r="N99" s="64"/>
      <c r="O99" s="65"/>
      <c r="P99" s="99"/>
      <c r="Q99" s="70"/>
      <c r="R99" s="74" t="s">
        <v>18098</v>
      </c>
      <c r="S99" s="62"/>
      <c r="T99" s="63"/>
      <c r="U99" s="75"/>
      <c r="V99" s="67"/>
      <c r="W99" s="68" t="s">
        <v>1</v>
      </c>
      <c r="X99" s="76">
        <v>0.4</v>
      </c>
      <c r="Y99" s="70" t="s">
        <v>422</v>
      </c>
      <c r="Z99" s="228">
        <f>+ROUND((ROUND((ROUND((_15_同援日０．５＿２．０*(1+_15・B深夜)),0)*(1+_15・盲ろう)),0)*(1+_15・区４)),0)</f>
        <v>956</v>
      </c>
      <c r="AA99" s="69"/>
    </row>
    <row r="100" spans="1:27" ht="16.5" customHeight="1" x14ac:dyDescent="0.3">
      <c r="A100" s="2">
        <v>15</v>
      </c>
      <c r="B100" s="2" t="s">
        <v>397</v>
      </c>
      <c r="C100" s="83" t="s">
        <v>10986</v>
      </c>
      <c r="D100" s="103"/>
      <c r="E100" s="1"/>
      <c r="F100" s="103"/>
      <c r="G100" s="1"/>
      <c r="H100" s="68"/>
      <c r="I100" s="70"/>
      <c r="J100" s="66"/>
      <c r="K100" s="57"/>
      <c r="L100" s="58"/>
      <c r="M100" s="83" t="s">
        <v>5895</v>
      </c>
      <c r="N100" s="64" t="s">
        <v>1</v>
      </c>
      <c r="O100" s="65">
        <v>1</v>
      </c>
      <c r="P100" s="99"/>
      <c r="Q100" s="70"/>
      <c r="R100" s="94" t="s">
        <v>8083</v>
      </c>
      <c r="S100" s="68"/>
      <c r="T100" s="76"/>
      <c r="U100" s="70"/>
      <c r="V100" s="67"/>
      <c r="W100" s="68"/>
      <c r="X100" s="76"/>
      <c r="Y100" s="70"/>
      <c r="Z100" s="228">
        <f>+ROUND((ROUND((ROUND((ROUND((_15_同援日０．５＿２．０*_15・２人),0)*(1+_15・B深夜)),0)*(1+_15・盲ろう)),0)*(1+_15・区４)),0)</f>
        <v>956</v>
      </c>
      <c r="AA100" s="69"/>
    </row>
    <row r="101" spans="1:27" ht="16.5" customHeight="1" x14ac:dyDescent="0.3">
      <c r="A101" s="2">
        <v>15</v>
      </c>
      <c r="B101" s="2" t="s">
        <v>398</v>
      </c>
      <c r="C101" s="83" t="s">
        <v>10985</v>
      </c>
      <c r="D101" s="103"/>
      <c r="E101" s="1"/>
      <c r="F101" s="103"/>
      <c r="G101" s="1"/>
      <c r="H101" s="68"/>
      <c r="I101" s="70"/>
      <c r="J101" s="74" t="s">
        <v>5898</v>
      </c>
      <c r="K101" s="62"/>
      <c r="L101" s="63"/>
      <c r="M101" s="85"/>
      <c r="N101" s="64"/>
      <c r="O101" s="65"/>
      <c r="P101" s="99"/>
      <c r="Q101" s="70"/>
      <c r="R101" s="67"/>
      <c r="S101" s="68" t="s">
        <v>1</v>
      </c>
      <c r="T101" s="76">
        <v>0.25</v>
      </c>
      <c r="U101" s="70" t="s">
        <v>422</v>
      </c>
      <c r="V101" s="67"/>
      <c r="W101" s="68"/>
      <c r="X101" s="76"/>
      <c r="Y101" s="70"/>
      <c r="Z101" s="228">
        <f>+ROUND((ROUND((ROUND((ROUND((_15_同援日０．５＿２．０*_15・基礎２),0)*(1+_15・B深夜)),0)*(1+_15・盲ろう)),0)*(1+_15・区４)),0)</f>
        <v>861</v>
      </c>
      <c r="AA101" s="69"/>
    </row>
    <row r="102" spans="1:27" ht="16.5" customHeight="1" x14ac:dyDescent="0.3">
      <c r="A102" s="2">
        <v>15</v>
      </c>
      <c r="B102" s="2" t="s">
        <v>399</v>
      </c>
      <c r="C102" s="83" t="s">
        <v>10984</v>
      </c>
      <c r="D102" s="103"/>
      <c r="E102" s="1"/>
      <c r="F102" s="103"/>
      <c r="G102" s="81"/>
      <c r="H102" s="57"/>
      <c r="I102" s="77"/>
      <c r="J102" s="106" t="s">
        <v>16916</v>
      </c>
      <c r="K102" s="57" t="s">
        <v>1</v>
      </c>
      <c r="L102" s="58">
        <v>0.9</v>
      </c>
      <c r="M102" s="83" t="s">
        <v>5895</v>
      </c>
      <c r="N102" s="64" t="s">
        <v>1</v>
      </c>
      <c r="O102" s="65">
        <v>1</v>
      </c>
      <c r="P102" s="99"/>
      <c r="Q102" s="70"/>
      <c r="R102" s="66"/>
      <c r="S102" s="57"/>
      <c r="T102" s="58"/>
      <c r="U102" s="77"/>
      <c r="V102" s="66"/>
      <c r="W102" s="57"/>
      <c r="X102" s="58"/>
      <c r="Y102" s="77"/>
      <c r="Z102" s="228">
        <f>+ROUND((ROUND((ROUND((ROUND((ROUND((_15_同援日０．５＿２．０*_15・基礎２),0)*_15・２人),0)*(1+_15・B深夜)),0)*(1+_15・盲ろう)),0)*(1+_15・区４)),0)</f>
        <v>861</v>
      </c>
      <c r="AA102" s="69"/>
    </row>
    <row r="103" spans="1:27" ht="16.5" customHeight="1" x14ac:dyDescent="0.3">
      <c r="A103" s="2">
        <v>15</v>
      </c>
      <c r="B103" s="2" t="s">
        <v>400</v>
      </c>
      <c r="C103" s="83" t="s">
        <v>10983</v>
      </c>
      <c r="D103" s="103"/>
      <c r="E103" s="1"/>
      <c r="F103" s="103"/>
      <c r="G103" s="233" t="s">
        <v>16938</v>
      </c>
      <c r="H103" s="62"/>
      <c r="I103" s="75"/>
      <c r="J103" s="61"/>
      <c r="K103" s="62"/>
      <c r="L103" s="63"/>
      <c r="M103" s="85"/>
      <c r="N103" s="64"/>
      <c r="O103" s="65"/>
      <c r="P103" s="99"/>
      <c r="Q103" s="70"/>
      <c r="R103" s="61"/>
      <c r="S103" s="62"/>
      <c r="T103" s="63"/>
      <c r="U103" s="75"/>
      <c r="V103" s="61"/>
      <c r="W103" s="62"/>
      <c r="X103" s="63"/>
      <c r="Y103" s="75"/>
      <c r="Z103" s="228">
        <f>+ROUND((_15_同援日０．５＿２．５*(1+_15・B深夜)),0)</f>
        <v>641</v>
      </c>
      <c r="AA103" s="69"/>
    </row>
    <row r="104" spans="1:27" ht="16.5" customHeight="1" x14ac:dyDescent="0.3">
      <c r="A104" s="2">
        <v>15</v>
      </c>
      <c r="B104" s="2" t="s">
        <v>401</v>
      </c>
      <c r="C104" s="83" t="s">
        <v>10982</v>
      </c>
      <c r="D104" s="103"/>
      <c r="E104" s="1"/>
      <c r="F104" s="103"/>
      <c r="G104" s="1" t="s">
        <v>5977</v>
      </c>
      <c r="H104" s="68"/>
      <c r="I104" s="70"/>
      <c r="J104" s="66"/>
      <c r="K104" s="57"/>
      <c r="L104" s="58"/>
      <c r="M104" s="83" t="s">
        <v>5895</v>
      </c>
      <c r="N104" s="64" t="s">
        <v>1</v>
      </c>
      <c r="O104" s="65">
        <v>1</v>
      </c>
      <c r="P104" s="99"/>
      <c r="Q104" s="70"/>
      <c r="R104" s="67"/>
      <c r="S104" s="68"/>
      <c r="T104" s="76"/>
      <c r="U104" s="70"/>
      <c r="V104" s="67"/>
      <c r="W104" s="68"/>
      <c r="X104" s="76"/>
      <c r="Y104" s="70"/>
      <c r="Z104" s="228">
        <f>+ROUND((ROUND((_15_同援日０．５＿２．５*_15・２人),0)*(1+_15・B深夜)),0)</f>
        <v>641</v>
      </c>
      <c r="AA104" s="69"/>
    </row>
    <row r="105" spans="1:27" ht="16.5" customHeight="1" x14ac:dyDescent="0.3">
      <c r="A105" s="2">
        <v>15</v>
      </c>
      <c r="B105" s="2" t="s">
        <v>402</v>
      </c>
      <c r="C105" s="83" t="s">
        <v>10981</v>
      </c>
      <c r="D105" s="103"/>
      <c r="E105" s="1"/>
      <c r="F105" s="103"/>
      <c r="G105" s="1" t="s">
        <v>8499</v>
      </c>
      <c r="H105" s="68"/>
      <c r="I105" s="70"/>
      <c r="J105" s="74" t="s">
        <v>16912</v>
      </c>
      <c r="K105" s="62"/>
      <c r="L105" s="63"/>
      <c r="M105" s="85"/>
      <c r="N105" s="64"/>
      <c r="O105" s="65"/>
      <c r="P105" s="99"/>
      <c r="Q105" s="70"/>
      <c r="R105" s="67"/>
      <c r="S105" s="68"/>
      <c r="T105" s="76"/>
      <c r="U105" s="70"/>
      <c r="V105" s="67"/>
      <c r="W105" s="68"/>
      <c r="X105" s="76"/>
      <c r="Y105" s="70"/>
      <c r="Z105" s="228">
        <f>+ROUND((ROUND((_15_同援日０．５＿２．５*_15・基礎２),0)*(1+_15・B深夜)),0)</f>
        <v>576</v>
      </c>
      <c r="AA105" s="69"/>
    </row>
    <row r="106" spans="1:27" ht="16.5" customHeight="1" x14ac:dyDescent="0.3">
      <c r="A106" s="2">
        <v>15</v>
      </c>
      <c r="B106" s="2" t="s">
        <v>403</v>
      </c>
      <c r="C106" s="83" t="s">
        <v>10980</v>
      </c>
      <c r="D106" s="103"/>
      <c r="E106" s="1"/>
      <c r="F106" s="103"/>
      <c r="G106" s="1"/>
      <c r="H106" s="227">
        <v>427</v>
      </c>
      <c r="I106" s="70" t="s">
        <v>0</v>
      </c>
      <c r="J106" s="106" t="s">
        <v>5896</v>
      </c>
      <c r="K106" s="57" t="s">
        <v>1</v>
      </c>
      <c r="L106" s="58">
        <v>0.9</v>
      </c>
      <c r="M106" s="83" t="s">
        <v>5895</v>
      </c>
      <c r="N106" s="64" t="s">
        <v>1</v>
      </c>
      <c r="O106" s="65">
        <v>1</v>
      </c>
      <c r="P106" s="99"/>
      <c r="Q106" s="70"/>
      <c r="R106" s="66"/>
      <c r="S106" s="57"/>
      <c r="T106" s="58"/>
      <c r="U106" s="77"/>
      <c r="V106" s="67"/>
      <c r="W106" s="68"/>
      <c r="X106" s="76"/>
      <c r="Y106" s="70"/>
      <c r="Z106" s="228">
        <f>+ROUND((ROUND((ROUND((_15_同援日０．５＿２．５*_15・基礎２),0)*_15・２人),0)*(1+_15・B深夜)),0)</f>
        <v>576</v>
      </c>
      <c r="AA106" s="69"/>
    </row>
    <row r="107" spans="1:27" ht="16.5" customHeight="1" x14ac:dyDescent="0.3">
      <c r="A107" s="2">
        <v>15</v>
      </c>
      <c r="B107" s="2" t="s">
        <v>404</v>
      </c>
      <c r="C107" s="83" t="s">
        <v>10979</v>
      </c>
      <c r="D107" s="103"/>
      <c r="E107" s="1"/>
      <c r="F107" s="103"/>
      <c r="G107" s="1"/>
      <c r="H107" s="68"/>
      <c r="I107" s="70"/>
      <c r="J107" s="61"/>
      <c r="K107" s="62"/>
      <c r="L107" s="63"/>
      <c r="M107" s="85"/>
      <c r="N107" s="64"/>
      <c r="O107" s="65"/>
      <c r="P107" s="99"/>
      <c r="Q107" s="70"/>
      <c r="R107" s="74" t="s">
        <v>8085</v>
      </c>
      <c r="S107" s="62"/>
      <c r="T107" s="63"/>
      <c r="U107" s="75"/>
      <c r="V107" s="67"/>
      <c r="W107" s="68"/>
      <c r="X107" s="76"/>
      <c r="Y107" s="70"/>
      <c r="Z107" s="228">
        <f>+ROUND((ROUND((_15_同援日０．５＿２．５*(1+_15・B深夜)),0)*(1+_15・盲ろう)),0)</f>
        <v>801</v>
      </c>
      <c r="AA107" s="69"/>
    </row>
    <row r="108" spans="1:27" ht="16.5" customHeight="1" x14ac:dyDescent="0.3">
      <c r="A108" s="2">
        <v>15</v>
      </c>
      <c r="B108" s="2" t="s">
        <v>405</v>
      </c>
      <c r="C108" s="83" t="s">
        <v>10978</v>
      </c>
      <c r="D108" s="103"/>
      <c r="E108" s="1"/>
      <c r="F108" s="103"/>
      <c r="G108" s="1"/>
      <c r="H108" s="68"/>
      <c r="I108" s="70"/>
      <c r="J108" s="66"/>
      <c r="K108" s="57"/>
      <c r="L108" s="58"/>
      <c r="M108" s="83" t="s">
        <v>5895</v>
      </c>
      <c r="N108" s="64" t="s">
        <v>1</v>
      </c>
      <c r="O108" s="65">
        <v>1</v>
      </c>
      <c r="P108" s="99"/>
      <c r="Q108" s="70"/>
      <c r="R108" s="94" t="s">
        <v>18097</v>
      </c>
      <c r="S108" s="68"/>
      <c r="T108" s="76"/>
      <c r="U108" s="70"/>
      <c r="V108" s="67"/>
      <c r="W108" s="68"/>
      <c r="X108" s="76"/>
      <c r="Y108" s="70"/>
      <c r="Z108" s="228">
        <f>+ROUND((ROUND((ROUND((_15_同援日０．５＿２．５*_15・２人),0)*(1+_15・B深夜)),0)*(1+_15・盲ろう)),0)</f>
        <v>801</v>
      </c>
      <c r="AA108" s="69"/>
    </row>
    <row r="109" spans="1:27" ht="16.5" customHeight="1" x14ac:dyDescent="0.3">
      <c r="A109" s="2">
        <v>15</v>
      </c>
      <c r="B109" s="2" t="s">
        <v>406</v>
      </c>
      <c r="C109" s="83" t="s">
        <v>10977</v>
      </c>
      <c r="D109" s="103"/>
      <c r="E109" s="1"/>
      <c r="F109" s="103"/>
      <c r="G109" s="1"/>
      <c r="H109" s="68"/>
      <c r="I109" s="70"/>
      <c r="J109" s="74" t="s">
        <v>16912</v>
      </c>
      <c r="K109" s="62"/>
      <c r="L109" s="63"/>
      <c r="M109" s="85"/>
      <c r="N109" s="64"/>
      <c r="O109" s="65"/>
      <c r="P109" s="99"/>
      <c r="Q109" s="70"/>
      <c r="R109" s="67"/>
      <c r="S109" s="68" t="s">
        <v>1</v>
      </c>
      <c r="T109" s="76">
        <v>0.25</v>
      </c>
      <c r="U109" s="70" t="s">
        <v>422</v>
      </c>
      <c r="V109" s="67"/>
      <c r="W109" s="68"/>
      <c r="X109" s="76"/>
      <c r="Y109" s="70"/>
      <c r="Z109" s="228">
        <f>+ROUND((ROUND((ROUND((_15_同援日０．５＿２．５*_15・基礎２),0)*(1+_15・B深夜)),0)*(1+_15・盲ろう)),0)</f>
        <v>720</v>
      </c>
      <c r="AA109" s="69"/>
    </row>
    <row r="110" spans="1:27" ht="16.5" customHeight="1" x14ac:dyDescent="0.3">
      <c r="A110" s="2">
        <v>15</v>
      </c>
      <c r="B110" s="2" t="s">
        <v>407</v>
      </c>
      <c r="C110" s="83" t="s">
        <v>10976</v>
      </c>
      <c r="D110" s="103"/>
      <c r="E110" s="1"/>
      <c r="F110" s="103"/>
      <c r="G110" s="1"/>
      <c r="H110" s="68"/>
      <c r="I110" s="70"/>
      <c r="J110" s="106" t="s">
        <v>5896</v>
      </c>
      <c r="K110" s="57" t="s">
        <v>1</v>
      </c>
      <c r="L110" s="58">
        <v>0.9</v>
      </c>
      <c r="M110" s="83" t="s">
        <v>5895</v>
      </c>
      <c r="N110" s="64" t="s">
        <v>1</v>
      </c>
      <c r="O110" s="65">
        <v>1</v>
      </c>
      <c r="P110" s="99"/>
      <c r="Q110" s="70"/>
      <c r="R110" s="66"/>
      <c r="S110" s="57"/>
      <c r="T110" s="58"/>
      <c r="U110" s="77"/>
      <c r="V110" s="66"/>
      <c r="W110" s="57"/>
      <c r="X110" s="58"/>
      <c r="Y110" s="77"/>
      <c r="Z110" s="228">
        <f>+ROUND((ROUND((ROUND((ROUND((_15_同援日０．５＿２．５*_15・基礎２),0)*_15・２人),0)*(1+_15・B深夜)),0)*(1+_15・盲ろう)),0)</f>
        <v>720</v>
      </c>
      <c r="AA110" s="69"/>
    </row>
    <row r="111" spans="1:27" ht="16.5" customHeight="1" x14ac:dyDescent="0.3">
      <c r="A111" s="2">
        <v>15</v>
      </c>
      <c r="B111" s="2" t="s">
        <v>408</v>
      </c>
      <c r="C111" s="83" t="s">
        <v>10975</v>
      </c>
      <c r="D111" s="103"/>
      <c r="E111" s="1"/>
      <c r="F111" s="103"/>
      <c r="G111" s="1"/>
      <c r="H111" s="68"/>
      <c r="I111" s="70"/>
      <c r="J111" s="61"/>
      <c r="K111" s="62"/>
      <c r="L111" s="63"/>
      <c r="M111" s="85"/>
      <c r="N111" s="64"/>
      <c r="O111" s="65"/>
      <c r="P111" s="99"/>
      <c r="Q111" s="70"/>
      <c r="R111" s="61"/>
      <c r="S111" s="62"/>
      <c r="T111" s="63"/>
      <c r="U111" s="75"/>
      <c r="V111" s="61"/>
      <c r="W111" s="62"/>
      <c r="X111" s="63"/>
      <c r="Y111" s="75"/>
      <c r="Z111" s="228">
        <f>+ROUND((ROUND((_15_同援日０．５＿２．５*(1+_15・B深夜)),0)*(1+_15・区３)),0)</f>
        <v>769</v>
      </c>
      <c r="AA111" s="69"/>
    </row>
    <row r="112" spans="1:27" ht="16.5" customHeight="1" x14ac:dyDescent="0.3">
      <c r="A112" s="2">
        <v>15</v>
      </c>
      <c r="B112" s="2" t="s">
        <v>409</v>
      </c>
      <c r="C112" s="83" t="s">
        <v>10974</v>
      </c>
      <c r="D112" s="103"/>
      <c r="E112" s="1"/>
      <c r="F112" s="103"/>
      <c r="G112" s="1"/>
      <c r="H112" s="68"/>
      <c r="I112" s="70"/>
      <c r="J112" s="66"/>
      <c r="K112" s="57"/>
      <c r="L112" s="58"/>
      <c r="M112" s="83" t="s">
        <v>5895</v>
      </c>
      <c r="N112" s="64" t="s">
        <v>1</v>
      </c>
      <c r="O112" s="65">
        <v>1</v>
      </c>
      <c r="P112" s="99"/>
      <c r="Q112" s="70"/>
      <c r="R112" s="67"/>
      <c r="S112" s="68"/>
      <c r="T112" s="76"/>
      <c r="U112" s="70"/>
      <c r="V112" s="67"/>
      <c r="W112" s="68"/>
      <c r="X112" s="76"/>
      <c r="Y112" s="70"/>
      <c r="Z112" s="228">
        <f>+ROUND((ROUND((ROUND((_15_同援日０．５＿２．５*_15・２人),0)*(1+_15・B深夜)),0)*(1+_15・区３)),0)</f>
        <v>769</v>
      </c>
      <c r="AA112" s="69"/>
    </row>
    <row r="113" spans="1:27" ht="16.5" customHeight="1" x14ac:dyDescent="0.3">
      <c r="A113" s="2">
        <v>15</v>
      </c>
      <c r="B113" s="2" t="s">
        <v>410</v>
      </c>
      <c r="C113" s="83" t="s">
        <v>10973</v>
      </c>
      <c r="D113" s="103"/>
      <c r="E113" s="1"/>
      <c r="F113" s="103"/>
      <c r="G113" s="1"/>
      <c r="H113" s="68"/>
      <c r="I113" s="70"/>
      <c r="J113" s="74" t="s">
        <v>16912</v>
      </c>
      <c r="K113" s="62"/>
      <c r="L113" s="63"/>
      <c r="M113" s="85"/>
      <c r="N113" s="64"/>
      <c r="O113" s="65"/>
      <c r="P113" s="99"/>
      <c r="Q113" s="70"/>
      <c r="R113" s="67"/>
      <c r="S113" s="68"/>
      <c r="T113" s="76"/>
      <c r="U113" s="70"/>
      <c r="V113" s="1" t="s">
        <v>8098</v>
      </c>
      <c r="W113" s="68"/>
      <c r="X113" s="76"/>
      <c r="Y113" s="70"/>
      <c r="Z113" s="228">
        <f>+ROUND((ROUND((ROUND((_15_同援日０．５＿２．５*_15・基礎２),0)*(1+_15・B深夜)),0)*(1+_15・区３)),0)</f>
        <v>691</v>
      </c>
      <c r="AA113" s="69"/>
    </row>
    <row r="114" spans="1:27" ht="16.5" customHeight="1" x14ac:dyDescent="0.3">
      <c r="A114" s="2">
        <v>15</v>
      </c>
      <c r="B114" s="2" t="s">
        <v>411</v>
      </c>
      <c r="C114" s="83" t="s">
        <v>10972</v>
      </c>
      <c r="D114" s="103"/>
      <c r="E114" s="1"/>
      <c r="F114" s="103"/>
      <c r="G114" s="1"/>
      <c r="H114" s="68"/>
      <c r="I114" s="70"/>
      <c r="J114" s="106" t="s">
        <v>16916</v>
      </c>
      <c r="K114" s="57" t="s">
        <v>1</v>
      </c>
      <c r="L114" s="58">
        <v>0.9</v>
      </c>
      <c r="M114" s="83" t="s">
        <v>5895</v>
      </c>
      <c r="N114" s="64" t="s">
        <v>1</v>
      </c>
      <c r="O114" s="65">
        <v>1</v>
      </c>
      <c r="P114" s="99"/>
      <c r="Q114" s="70"/>
      <c r="R114" s="66"/>
      <c r="S114" s="57"/>
      <c r="T114" s="58"/>
      <c r="U114" s="77"/>
      <c r="V114" s="1" t="s">
        <v>18099</v>
      </c>
      <c r="W114" s="68"/>
      <c r="X114" s="76"/>
      <c r="Y114" s="70"/>
      <c r="Z114" s="228">
        <f>+ROUND((ROUND((ROUND((ROUND((_15_同援日０．５＿２．５*_15・基礎２),0)*_15・２人),0)*(1+_15・B深夜)),0)*(1+_15・区３)),0)</f>
        <v>691</v>
      </c>
      <c r="AA114" s="69"/>
    </row>
    <row r="115" spans="1:27" ht="16.5" customHeight="1" x14ac:dyDescent="0.3">
      <c r="A115" s="2">
        <v>15</v>
      </c>
      <c r="B115" s="2" t="s">
        <v>412</v>
      </c>
      <c r="C115" s="83" t="s">
        <v>10971</v>
      </c>
      <c r="D115" s="103"/>
      <c r="E115" s="1"/>
      <c r="F115" s="103"/>
      <c r="G115" s="1"/>
      <c r="H115" s="68"/>
      <c r="I115" s="70"/>
      <c r="J115" s="61"/>
      <c r="K115" s="62"/>
      <c r="L115" s="63"/>
      <c r="M115" s="85"/>
      <c r="N115" s="64"/>
      <c r="O115" s="65"/>
      <c r="P115" s="99"/>
      <c r="Q115" s="70"/>
      <c r="R115" s="74" t="s">
        <v>18098</v>
      </c>
      <c r="S115" s="62"/>
      <c r="T115" s="63"/>
      <c r="U115" s="75"/>
      <c r="V115" s="67"/>
      <c r="W115" s="68" t="s">
        <v>1</v>
      </c>
      <c r="X115" s="76">
        <v>0.2</v>
      </c>
      <c r="Y115" s="70" t="s">
        <v>422</v>
      </c>
      <c r="Z115" s="228">
        <f>+ROUND((ROUND((ROUND((_15_同援日０．５＿２．５*(1+_15・B深夜)),0)*(1+_15・盲ろう)),0)*(1+_15・区３)),0)</f>
        <v>961</v>
      </c>
      <c r="AA115" s="69"/>
    </row>
    <row r="116" spans="1:27" ht="16.5" customHeight="1" x14ac:dyDescent="0.3">
      <c r="A116" s="2">
        <v>15</v>
      </c>
      <c r="B116" s="2" t="s">
        <v>413</v>
      </c>
      <c r="C116" s="83" t="s">
        <v>10970</v>
      </c>
      <c r="D116" s="103"/>
      <c r="E116" s="1"/>
      <c r="F116" s="103"/>
      <c r="G116" s="1"/>
      <c r="H116" s="68"/>
      <c r="I116" s="70"/>
      <c r="J116" s="66"/>
      <c r="K116" s="57"/>
      <c r="L116" s="58"/>
      <c r="M116" s="83" t="s">
        <v>5895</v>
      </c>
      <c r="N116" s="64" t="s">
        <v>1</v>
      </c>
      <c r="O116" s="65">
        <v>1</v>
      </c>
      <c r="P116" s="99"/>
      <c r="Q116" s="70"/>
      <c r="R116" s="94" t="s">
        <v>18097</v>
      </c>
      <c r="S116" s="68"/>
      <c r="T116" s="76"/>
      <c r="U116" s="70"/>
      <c r="V116" s="67"/>
      <c r="W116" s="68"/>
      <c r="X116" s="76"/>
      <c r="Y116" s="70"/>
      <c r="Z116" s="228">
        <f>+ROUND((ROUND((ROUND((ROUND((_15_同援日０．５＿２．５*_15・２人),0)*(1+_15・B深夜)),0)*(1+_15・盲ろう)),0)*(1+_15・区３)),0)</f>
        <v>961</v>
      </c>
      <c r="AA116" s="69"/>
    </row>
    <row r="117" spans="1:27" ht="16.5" customHeight="1" x14ac:dyDescent="0.3">
      <c r="A117" s="2">
        <v>15</v>
      </c>
      <c r="B117" s="2" t="s">
        <v>414</v>
      </c>
      <c r="C117" s="83" t="s">
        <v>10969</v>
      </c>
      <c r="D117" s="103"/>
      <c r="E117" s="1"/>
      <c r="F117" s="103"/>
      <c r="G117" s="1"/>
      <c r="H117" s="68"/>
      <c r="I117" s="70"/>
      <c r="J117" s="74" t="s">
        <v>5898</v>
      </c>
      <c r="K117" s="62"/>
      <c r="L117" s="63"/>
      <c r="M117" s="85"/>
      <c r="N117" s="64"/>
      <c r="O117" s="65"/>
      <c r="P117" s="99"/>
      <c r="Q117" s="70"/>
      <c r="R117" s="67"/>
      <c r="S117" s="68" t="s">
        <v>1</v>
      </c>
      <c r="T117" s="76">
        <v>0.25</v>
      </c>
      <c r="U117" s="70" t="s">
        <v>422</v>
      </c>
      <c r="V117" s="67"/>
      <c r="W117" s="68"/>
      <c r="X117" s="76"/>
      <c r="Y117" s="70"/>
      <c r="Z117" s="228">
        <f>+ROUND((ROUND((ROUND((ROUND((_15_同援日０．５＿２．５*_15・基礎２),0)*(1+_15・B深夜)),0)*(1+_15・盲ろう)),0)*(1+_15・区３)),0)</f>
        <v>864</v>
      </c>
      <c r="AA117" s="69"/>
    </row>
    <row r="118" spans="1:27" ht="16.5" customHeight="1" x14ac:dyDescent="0.3">
      <c r="A118" s="2">
        <v>15</v>
      </c>
      <c r="B118" s="2" t="s">
        <v>415</v>
      </c>
      <c r="C118" s="83" t="s">
        <v>10968</v>
      </c>
      <c r="D118" s="103"/>
      <c r="E118" s="1"/>
      <c r="F118" s="103"/>
      <c r="G118" s="1"/>
      <c r="H118" s="68"/>
      <c r="I118" s="70"/>
      <c r="J118" s="106" t="s">
        <v>16916</v>
      </c>
      <c r="K118" s="57" t="s">
        <v>1</v>
      </c>
      <c r="L118" s="58">
        <v>0.9</v>
      </c>
      <c r="M118" s="83" t="s">
        <v>5895</v>
      </c>
      <c r="N118" s="64" t="s">
        <v>1</v>
      </c>
      <c r="O118" s="65">
        <v>1</v>
      </c>
      <c r="P118" s="99"/>
      <c r="Q118" s="70"/>
      <c r="R118" s="66"/>
      <c r="S118" s="57"/>
      <c r="T118" s="58"/>
      <c r="U118" s="77"/>
      <c r="V118" s="66"/>
      <c r="W118" s="57"/>
      <c r="X118" s="58"/>
      <c r="Y118" s="77"/>
      <c r="Z118" s="228">
        <f>+ROUND((ROUND((ROUND((ROUND((ROUND((_15_同援日０．５＿２．５*_15・基礎２),0)*_15・２人),0)*(1+_15・B深夜)),0)*(1+_15・盲ろう)),0)*(1+_15・区３)),0)</f>
        <v>864</v>
      </c>
      <c r="AA118" s="69"/>
    </row>
    <row r="119" spans="1:27" ht="16.5" customHeight="1" x14ac:dyDescent="0.3">
      <c r="A119" s="2">
        <v>15</v>
      </c>
      <c r="B119" s="2" t="s">
        <v>416</v>
      </c>
      <c r="C119" s="83" t="s">
        <v>10967</v>
      </c>
      <c r="D119" s="103"/>
      <c r="E119" s="1"/>
      <c r="F119" s="103"/>
      <c r="G119" s="1"/>
      <c r="H119" s="68"/>
      <c r="I119" s="70"/>
      <c r="J119" s="61"/>
      <c r="K119" s="62"/>
      <c r="L119" s="63"/>
      <c r="M119" s="85"/>
      <c r="N119" s="64"/>
      <c r="O119" s="65"/>
      <c r="P119" s="99"/>
      <c r="Q119" s="70"/>
      <c r="R119" s="61"/>
      <c r="S119" s="62"/>
      <c r="T119" s="63"/>
      <c r="U119" s="75"/>
      <c r="V119" s="61"/>
      <c r="W119" s="62"/>
      <c r="X119" s="63"/>
      <c r="Y119" s="75"/>
      <c r="Z119" s="228">
        <f>+ROUND((ROUND((_15_同援日０．５＿２．５*(1+_15・B深夜)),0)*(1+_15・区４)),0)</f>
        <v>897</v>
      </c>
      <c r="AA119" s="69"/>
    </row>
    <row r="120" spans="1:27" ht="16.5" customHeight="1" x14ac:dyDescent="0.3">
      <c r="A120" s="2">
        <v>15</v>
      </c>
      <c r="B120" s="2" t="s">
        <v>417</v>
      </c>
      <c r="C120" s="83" t="s">
        <v>10966</v>
      </c>
      <c r="D120" s="103"/>
      <c r="E120" s="1"/>
      <c r="F120" s="103"/>
      <c r="G120" s="1"/>
      <c r="H120" s="68"/>
      <c r="I120" s="70"/>
      <c r="J120" s="66"/>
      <c r="K120" s="57"/>
      <c r="L120" s="58"/>
      <c r="M120" s="83" t="s">
        <v>5895</v>
      </c>
      <c r="N120" s="64" t="s">
        <v>1</v>
      </c>
      <c r="O120" s="65">
        <v>1</v>
      </c>
      <c r="P120" s="99"/>
      <c r="Q120" s="70"/>
      <c r="R120" s="67"/>
      <c r="S120" s="68"/>
      <c r="T120" s="76"/>
      <c r="U120" s="70"/>
      <c r="V120" s="67"/>
      <c r="W120" s="68"/>
      <c r="X120" s="76"/>
      <c r="Y120" s="70"/>
      <c r="Z120" s="228">
        <f>+ROUND((ROUND((ROUND((_15_同援日０．５＿２．５*_15・２人),0)*(1+_15・B深夜)),0)*(1+_15・区４)),0)</f>
        <v>897</v>
      </c>
      <c r="AA120" s="69"/>
    </row>
    <row r="121" spans="1:27" ht="16.5" customHeight="1" x14ac:dyDescent="0.3">
      <c r="A121" s="2">
        <v>15</v>
      </c>
      <c r="B121" s="2" t="s">
        <v>418</v>
      </c>
      <c r="C121" s="83" t="s">
        <v>10965</v>
      </c>
      <c r="D121" s="103"/>
      <c r="E121" s="1"/>
      <c r="F121" s="103"/>
      <c r="G121" s="1"/>
      <c r="H121" s="68"/>
      <c r="I121" s="70"/>
      <c r="J121" s="74" t="s">
        <v>16912</v>
      </c>
      <c r="K121" s="62"/>
      <c r="L121" s="63"/>
      <c r="M121" s="85"/>
      <c r="N121" s="64"/>
      <c r="O121" s="65"/>
      <c r="P121" s="99"/>
      <c r="Q121" s="70"/>
      <c r="R121" s="67"/>
      <c r="S121" s="68"/>
      <c r="T121" s="76"/>
      <c r="U121" s="70"/>
      <c r="V121" s="1" t="s">
        <v>18100</v>
      </c>
      <c r="W121" s="68"/>
      <c r="X121" s="76"/>
      <c r="Y121" s="70"/>
      <c r="Z121" s="228">
        <f>+ROUND((ROUND((ROUND((_15_同援日０．５＿２．５*_15・基礎２),0)*(1+_15・B深夜)),0)*(1+_15・区４)),0)</f>
        <v>806</v>
      </c>
      <c r="AA121" s="69"/>
    </row>
    <row r="122" spans="1:27" ht="16.5" customHeight="1" x14ac:dyDescent="0.3">
      <c r="A122" s="2">
        <v>15</v>
      </c>
      <c r="B122" s="2" t="s">
        <v>419</v>
      </c>
      <c r="C122" s="83" t="s">
        <v>10964</v>
      </c>
      <c r="D122" s="103"/>
      <c r="E122" s="1"/>
      <c r="F122" s="103"/>
      <c r="G122" s="1"/>
      <c r="H122" s="68"/>
      <c r="I122" s="70"/>
      <c r="J122" s="106" t="s">
        <v>16916</v>
      </c>
      <c r="K122" s="57" t="s">
        <v>1</v>
      </c>
      <c r="L122" s="58">
        <v>0.9</v>
      </c>
      <c r="M122" s="83" t="s">
        <v>5895</v>
      </c>
      <c r="N122" s="64" t="s">
        <v>1</v>
      </c>
      <c r="O122" s="65">
        <v>1</v>
      </c>
      <c r="P122" s="99"/>
      <c r="Q122" s="70"/>
      <c r="R122" s="66"/>
      <c r="S122" s="57"/>
      <c r="T122" s="58"/>
      <c r="U122" s="77"/>
      <c r="V122" s="1" t="s">
        <v>18099</v>
      </c>
      <c r="W122" s="68"/>
      <c r="X122" s="76"/>
      <c r="Y122" s="70"/>
      <c r="Z122" s="228">
        <f>+ROUND((ROUND((ROUND((ROUND((_15_同援日０．５＿２．５*_15・基礎２),0)*_15・２人),0)*(1+_15・B深夜)),0)*(1+_15・区４)),0)</f>
        <v>806</v>
      </c>
      <c r="AA122" s="69"/>
    </row>
    <row r="123" spans="1:27" ht="16.5" customHeight="1" x14ac:dyDescent="0.3">
      <c r="A123" s="2">
        <v>15</v>
      </c>
      <c r="B123" s="2" t="s">
        <v>420</v>
      </c>
      <c r="C123" s="83" t="s">
        <v>10963</v>
      </c>
      <c r="D123" s="103"/>
      <c r="E123" s="1"/>
      <c r="F123" s="103"/>
      <c r="G123" s="1"/>
      <c r="H123" s="68"/>
      <c r="I123" s="70"/>
      <c r="J123" s="61"/>
      <c r="K123" s="62"/>
      <c r="L123" s="63"/>
      <c r="M123" s="85"/>
      <c r="N123" s="64"/>
      <c r="O123" s="65"/>
      <c r="P123" s="99"/>
      <c r="Q123" s="70"/>
      <c r="R123" s="74" t="s">
        <v>18098</v>
      </c>
      <c r="S123" s="62"/>
      <c r="T123" s="63"/>
      <c r="U123" s="75"/>
      <c r="V123" s="67"/>
      <c r="W123" s="68" t="s">
        <v>1</v>
      </c>
      <c r="X123" s="76">
        <v>0.4</v>
      </c>
      <c r="Y123" s="70" t="s">
        <v>422</v>
      </c>
      <c r="Z123" s="228">
        <f>+ROUND((ROUND((ROUND((_15_同援日０．５＿２．５*(1+_15・B深夜)),0)*(1+_15・盲ろう)),0)*(1+_15・区４)),0)</f>
        <v>1121</v>
      </c>
      <c r="AA123" s="69"/>
    </row>
    <row r="124" spans="1:27" ht="16.5" customHeight="1" x14ac:dyDescent="0.3">
      <c r="A124" s="2">
        <v>15</v>
      </c>
      <c r="B124" s="2" t="s">
        <v>421</v>
      </c>
      <c r="C124" s="83" t="s">
        <v>10962</v>
      </c>
      <c r="D124" s="103"/>
      <c r="E124" s="1"/>
      <c r="F124" s="103"/>
      <c r="G124" s="1"/>
      <c r="H124" s="68"/>
      <c r="I124" s="70"/>
      <c r="J124" s="66"/>
      <c r="K124" s="57"/>
      <c r="L124" s="58"/>
      <c r="M124" s="83" t="s">
        <v>5895</v>
      </c>
      <c r="N124" s="64" t="s">
        <v>1</v>
      </c>
      <c r="O124" s="65">
        <v>1</v>
      </c>
      <c r="P124" s="99"/>
      <c r="Q124" s="70"/>
      <c r="R124" s="94" t="s">
        <v>18097</v>
      </c>
      <c r="S124" s="68"/>
      <c r="T124" s="76"/>
      <c r="U124" s="70"/>
      <c r="V124" s="67"/>
      <c r="W124" s="68"/>
      <c r="X124" s="76"/>
      <c r="Y124" s="70"/>
      <c r="Z124" s="228">
        <f>+ROUND((ROUND((ROUND((ROUND((_15_同援日０．５＿２．５*_15・２人),0)*(1+_15・B深夜)),0)*(1+_15・盲ろう)),0)*(1+_15・区４)),0)</f>
        <v>1121</v>
      </c>
      <c r="AA124" s="69"/>
    </row>
    <row r="125" spans="1:27" ht="16.5" customHeight="1" x14ac:dyDescent="0.3">
      <c r="A125" s="2">
        <v>15</v>
      </c>
      <c r="B125" s="2" t="s">
        <v>423</v>
      </c>
      <c r="C125" s="83" t="s">
        <v>10961</v>
      </c>
      <c r="D125" s="103"/>
      <c r="E125" s="1"/>
      <c r="F125" s="103"/>
      <c r="G125" s="1"/>
      <c r="H125" s="68"/>
      <c r="I125" s="70"/>
      <c r="J125" s="74" t="s">
        <v>16912</v>
      </c>
      <c r="K125" s="62"/>
      <c r="L125" s="63"/>
      <c r="M125" s="85"/>
      <c r="N125" s="64"/>
      <c r="O125" s="65"/>
      <c r="P125" s="99"/>
      <c r="Q125" s="70"/>
      <c r="R125" s="67"/>
      <c r="S125" s="68" t="s">
        <v>1</v>
      </c>
      <c r="T125" s="76">
        <v>0.25</v>
      </c>
      <c r="U125" s="70" t="s">
        <v>422</v>
      </c>
      <c r="V125" s="67"/>
      <c r="W125" s="68"/>
      <c r="X125" s="76"/>
      <c r="Y125" s="70"/>
      <c r="Z125" s="228">
        <f>+ROUND((ROUND((ROUND((ROUND((_15_同援日０．５＿２．５*_15・基礎２),0)*(1+_15・B深夜)),0)*(1+_15・盲ろう)),0)*(1+_15・区４)),0)</f>
        <v>1008</v>
      </c>
      <c r="AA125" s="69"/>
    </row>
    <row r="126" spans="1:27" ht="16.5" customHeight="1" x14ac:dyDescent="0.3">
      <c r="A126" s="2">
        <v>15</v>
      </c>
      <c r="B126" s="2" t="s">
        <v>424</v>
      </c>
      <c r="C126" s="83" t="s">
        <v>10960</v>
      </c>
      <c r="D126" s="103"/>
      <c r="E126" s="81"/>
      <c r="F126" s="103"/>
      <c r="G126" s="81"/>
      <c r="H126" s="57"/>
      <c r="I126" s="77"/>
      <c r="J126" s="106" t="s">
        <v>16916</v>
      </c>
      <c r="K126" s="57" t="s">
        <v>1</v>
      </c>
      <c r="L126" s="58">
        <v>0.9</v>
      </c>
      <c r="M126" s="83" t="s">
        <v>5895</v>
      </c>
      <c r="N126" s="64" t="s">
        <v>1</v>
      </c>
      <c r="O126" s="65">
        <v>1</v>
      </c>
      <c r="P126" s="99"/>
      <c r="Q126" s="70"/>
      <c r="R126" s="66"/>
      <c r="S126" s="57"/>
      <c r="T126" s="58"/>
      <c r="U126" s="77"/>
      <c r="V126" s="66"/>
      <c r="W126" s="57"/>
      <c r="X126" s="58"/>
      <c r="Y126" s="77"/>
      <c r="Z126" s="228">
        <f>+ROUND((ROUND((ROUND((ROUND((ROUND((_15_同援日０．５＿２．５*_15・基礎２),0)*_15・２人),0)*(1+_15・B深夜)),0)*(1+_15・盲ろう)),0)*(1+_15・区４)),0)</f>
        <v>1008</v>
      </c>
      <c r="AA126" s="69"/>
    </row>
    <row r="127" spans="1:27" ht="16.5" customHeight="1" x14ac:dyDescent="0.3">
      <c r="A127" s="2">
        <v>15</v>
      </c>
      <c r="B127" s="2" t="s">
        <v>425</v>
      </c>
      <c r="C127" s="83" t="s">
        <v>10959</v>
      </c>
      <c r="D127" s="103"/>
      <c r="E127" s="233" t="s">
        <v>18105</v>
      </c>
      <c r="F127" s="103"/>
      <c r="G127" s="233" t="s">
        <v>16967</v>
      </c>
      <c r="H127" s="62"/>
      <c r="I127" s="75"/>
      <c r="J127" s="61"/>
      <c r="K127" s="62"/>
      <c r="L127" s="63"/>
      <c r="M127" s="85"/>
      <c r="N127" s="64"/>
      <c r="O127" s="65"/>
      <c r="P127" s="99"/>
      <c r="Q127" s="70"/>
      <c r="R127" s="61"/>
      <c r="S127" s="62"/>
      <c r="T127" s="63"/>
      <c r="U127" s="75"/>
      <c r="V127" s="61"/>
      <c r="W127" s="62"/>
      <c r="X127" s="63"/>
      <c r="Y127" s="75"/>
      <c r="Z127" s="120">
        <f>+ROUND((_15_同援日１．０＿０．５*(1+_15・B深夜)),0)</f>
        <v>194</v>
      </c>
      <c r="AA127" s="69"/>
    </row>
    <row r="128" spans="1:27" ht="16.5" customHeight="1" x14ac:dyDescent="0.3">
      <c r="A128" s="2">
        <v>15</v>
      </c>
      <c r="B128" s="2" t="s">
        <v>426</v>
      </c>
      <c r="C128" s="83" t="s">
        <v>10958</v>
      </c>
      <c r="D128" s="103"/>
      <c r="E128" s="1" t="s">
        <v>5993</v>
      </c>
      <c r="F128" s="103"/>
      <c r="G128" s="1" t="s">
        <v>7928</v>
      </c>
      <c r="H128" s="68"/>
      <c r="I128" s="70"/>
      <c r="J128" s="66"/>
      <c r="K128" s="57"/>
      <c r="L128" s="58"/>
      <c r="M128" s="83" t="s">
        <v>5895</v>
      </c>
      <c r="N128" s="64" t="s">
        <v>1</v>
      </c>
      <c r="O128" s="65">
        <v>1</v>
      </c>
      <c r="P128" s="99"/>
      <c r="Q128" s="70"/>
      <c r="R128" s="67"/>
      <c r="S128" s="68"/>
      <c r="T128" s="76"/>
      <c r="U128" s="70"/>
      <c r="V128" s="67"/>
      <c r="W128" s="68"/>
      <c r="X128" s="76"/>
      <c r="Y128" s="70"/>
      <c r="Z128" s="120">
        <f>+ROUND((ROUND((_15_同援日１．０＿０．５*_15・２人),0)*(1+_15・B深夜)),0)</f>
        <v>194</v>
      </c>
      <c r="AA128" s="69"/>
    </row>
    <row r="129" spans="1:27" ht="16.5" customHeight="1" x14ac:dyDescent="0.3">
      <c r="A129" s="2">
        <v>15</v>
      </c>
      <c r="B129" s="2" t="s">
        <v>427</v>
      </c>
      <c r="C129" s="83" t="s">
        <v>10957</v>
      </c>
      <c r="D129" s="103"/>
      <c r="E129" s="1" t="s">
        <v>8572</v>
      </c>
      <c r="F129" s="103"/>
      <c r="G129" s="1"/>
      <c r="H129" s="68"/>
      <c r="I129" s="70"/>
      <c r="J129" s="74" t="s">
        <v>16912</v>
      </c>
      <c r="K129" s="62"/>
      <c r="L129" s="63"/>
      <c r="M129" s="85"/>
      <c r="N129" s="64"/>
      <c r="O129" s="65"/>
      <c r="P129" s="99"/>
      <c r="Q129" s="70"/>
      <c r="R129" s="67"/>
      <c r="S129" s="68"/>
      <c r="T129" s="76"/>
      <c r="U129" s="70"/>
      <c r="V129" s="67"/>
      <c r="W129" s="68"/>
      <c r="X129" s="76"/>
      <c r="Y129" s="70"/>
      <c r="Z129" s="120">
        <f>+ROUND((ROUND((_15_同援日１．０＿０．５*_15・基礎２),0)*(1+_15・B深夜)),0)</f>
        <v>174</v>
      </c>
      <c r="AA129" s="69"/>
    </row>
    <row r="130" spans="1:27" ht="16.5" customHeight="1" x14ac:dyDescent="0.3">
      <c r="A130" s="2">
        <v>15</v>
      </c>
      <c r="B130" s="2" t="s">
        <v>428</v>
      </c>
      <c r="C130" s="83" t="s">
        <v>10956</v>
      </c>
      <c r="D130" s="103"/>
      <c r="E130" s="1"/>
      <c r="F130" s="103"/>
      <c r="G130" s="1"/>
      <c r="H130" s="119">
        <v>129</v>
      </c>
      <c r="I130" s="70" t="s">
        <v>0</v>
      </c>
      <c r="J130" s="106" t="s">
        <v>16916</v>
      </c>
      <c r="K130" s="57" t="s">
        <v>1</v>
      </c>
      <c r="L130" s="58">
        <v>0.9</v>
      </c>
      <c r="M130" s="83" t="s">
        <v>5895</v>
      </c>
      <c r="N130" s="64" t="s">
        <v>1</v>
      </c>
      <c r="O130" s="65">
        <v>1</v>
      </c>
      <c r="P130" s="99"/>
      <c r="Q130" s="70"/>
      <c r="R130" s="66"/>
      <c r="S130" s="57"/>
      <c r="T130" s="58"/>
      <c r="U130" s="77"/>
      <c r="V130" s="67"/>
      <c r="W130" s="68"/>
      <c r="X130" s="76"/>
      <c r="Y130" s="70"/>
      <c r="Z130" s="120">
        <f>+ROUND((ROUND((ROUND((_15_同援日１．０＿０．５*_15・基礎２),0)*_15・２人),0)*(1+_15・B深夜)),0)</f>
        <v>174</v>
      </c>
      <c r="AA130" s="69"/>
    </row>
    <row r="131" spans="1:27" ht="16.5" customHeight="1" x14ac:dyDescent="0.3">
      <c r="A131" s="2">
        <v>15</v>
      </c>
      <c r="B131" s="2" t="s">
        <v>429</v>
      </c>
      <c r="C131" s="83" t="s">
        <v>10955</v>
      </c>
      <c r="D131" s="103"/>
      <c r="E131" s="1"/>
      <c r="F131" s="103"/>
      <c r="G131" s="1"/>
      <c r="H131" s="68"/>
      <c r="I131" s="70"/>
      <c r="J131" s="61"/>
      <c r="K131" s="62"/>
      <c r="L131" s="63"/>
      <c r="M131" s="85"/>
      <c r="N131" s="64"/>
      <c r="O131" s="65"/>
      <c r="P131" s="99"/>
      <c r="Q131" s="70"/>
      <c r="R131" s="74" t="s">
        <v>8085</v>
      </c>
      <c r="S131" s="62"/>
      <c r="T131" s="63"/>
      <c r="U131" s="75"/>
      <c r="V131" s="67"/>
      <c r="W131" s="68"/>
      <c r="X131" s="76"/>
      <c r="Y131" s="70"/>
      <c r="Z131" s="120">
        <f>+ROUND((ROUND((_15_同援日１．０＿０．５*(1+_15・B深夜)),0)*(1+_15・盲ろう)),0)</f>
        <v>243</v>
      </c>
      <c r="AA131" s="69"/>
    </row>
    <row r="132" spans="1:27" ht="16.5" customHeight="1" x14ac:dyDescent="0.3">
      <c r="A132" s="2">
        <v>15</v>
      </c>
      <c r="B132" s="2" t="s">
        <v>430</v>
      </c>
      <c r="C132" s="83" t="s">
        <v>10954</v>
      </c>
      <c r="D132" s="103"/>
      <c r="E132" s="1"/>
      <c r="F132" s="103"/>
      <c r="G132" s="1"/>
      <c r="H132" s="68"/>
      <c r="I132" s="70"/>
      <c r="J132" s="66"/>
      <c r="K132" s="57"/>
      <c r="L132" s="58"/>
      <c r="M132" s="83" t="s">
        <v>5895</v>
      </c>
      <c r="N132" s="64" t="s">
        <v>1</v>
      </c>
      <c r="O132" s="65">
        <v>1</v>
      </c>
      <c r="P132" s="99"/>
      <c r="Q132" s="70"/>
      <c r="R132" s="94" t="s">
        <v>8083</v>
      </c>
      <c r="S132" s="68"/>
      <c r="T132" s="76"/>
      <c r="U132" s="70"/>
      <c r="V132" s="67"/>
      <c r="W132" s="68"/>
      <c r="X132" s="76"/>
      <c r="Y132" s="70"/>
      <c r="Z132" s="120">
        <f>+ROUND((ROUND((ROUND((_15_同援日１．０＿０．５*_15・２人),0)*(1+_15・B深夜)),0)*(1+_15・盲ろう)),0)</f>
        <v>243</v>
      </c>
      <c r="AA132" s="69"/>
    </row>
    <row r="133" spans="1:27" ht="16.5" customHeight="1" x14ac:dyDescent="0.3">
      <c r="A133" s="2">
        <v>15</v>
      </c>
      <c r="B133" s="2" t="s">
        <v>431</v>
      </c>
      <c r="C133" s="83" t="s">
        <v>10953</v>
      </c>
      <c r="D133" s="103"/>
      <c r="E133" s="1"/>
      <c r="F133" s="103"/>
      <c r="G133" s="1"/>
      <c r="H133" s="68"/>
      <c r="I133" s="70"/>
      <c r="J133" s="74" t="s">
        <v>16912</v>
      </c>
      <c r="K133" s="62"/>
      <c r="L133" s="63"/>
      <c r="M133" s="85"/>
      <c r="N133" s="64"/>
      <c r="O133" s="65"/>
      <c r="P133" s="99"/>
      <c r="Q133" s="70"/>
      <c r="R133" s="67"/>
      <c r="S133" s="68" t="s">
        <v>1</v>
      </c>
      <c r="T133" s="76">
        <v>0.25</v>
      </c>
      <c r="U133" s="70" t="s">
        <v>422</v>
      </c>
      <c r="V133" s="67"/>
      <c r="W133" s="68"/>
      <c r="X133" s="76"/>
      <c r="Y133" s="70"/>
      <c r="Z133" s="120">
        <f>+ROUND((ROUND((ROUND((_15_同援日１．０＿０．５*_15・基礎２),0)*(1+_15・B深夜)),0)*(1+_15・盲ろう)),0)</f>
        <v>218</v>
      </c>
      <c r="AA133" s="69"/>
    </row>
    <row r="134" spans="1:27" ht="16.5" customHeight="1" x14ac:dyDescent="0.3">
      <c r="A134" s="2">
        <v>15</v>
      </c>
      <c r="B134" s="2" t="s">
        <v>432</v>
      </c>
      <c r="C134" s="83" t="s">
        <v>10952</v>
      </c>
      <c r="D134" s="103"/>
      <c r="E134" s="1"/>
      <c r="F134" s="103"/>
      <c r="G134" s="1"/>
      <c r="H134" s="68"/>
      <c r="I134" s="70"/>
      <c r="J134" s="106" t="s">
        <v>16916</v>
      </c>
      <c r="K134" s="57" t="s">
        <v>1</v>
      </c>
      <c r="L134" s="58">
        <v>0.9</v>
      </c>
      <c r="M134" s="83" t="s">
        <v>5895</v>
      </c>
      <c r="N134" s="64" t="s">
        <v>1</v>
      </c>
      <c r="O134" s="65">
        <v>1</v>
      </c>
      <c r="P134" s="99"/>
      <c r="Q134" s="70"/>
      <c r="R134" s="66"/>
      <c r="S134" s="57"/>
      <c r="T134" s="58"/>
      <c r="U134" s="77"/>
      <c r="V134" s="66"/>
      <c r="W134" s="57"/>
      <c r="X134" s="58"/>
      <c r="Y134" s="77"/>
      <c r="Z134" s="120">
        <f>+ROUND((ROUND((ROUND((ROUND((_15_同援日１．０＿０．５*_15・基礎２),0)*_15・２人),0)*(1+_15・B深夜)),0)*(1+_15・盲ろう)),0)</f>
        <v>218</v>
      </c>
      <c r="AA134" s="69"/>
    </row>
    <row r="135" spans="1:27" ht="16.5" customHeight="1" x14ac:dyDescent="0.3">
      <c r="A135" s="2">
        <v>15</v>
      </c>
      <c r="B135" s="2" t="s">
        <v>433</v>
      </c>
      <c r="C135" s="83" t="s">
        <v>10951</v>
      </c>
      <c r="D135" s="103"/>
      <c r="E135" s="1"/>
      <c r="F135" s="103"/>
      <c r="G135" s="1"/>
      <c r="H135" s="68"/>
      <c r="I135" s="70"/>
      <c r="J135" s="61"/>
      <c r="K135" s="62"/>
      <c r="L135" s="63"/>
      <c r="M135" s="85"/>
      <c r="N135" s="64"/>
      <c r="O135" s="65"/>
      <c r="P135" s="99"/>
      <c r="Q135" s="70"/>
      <c r="R135" s="61"/>
      <c r="S135" s="62"/>
      <c r="T135" s="63"/>
      <c r="U135" s="75"/>
      <c r="V135" s="61"/>
      <c r="W135" s="62"/>
      <c r="X135" s="63"/>
      <c r="Y135" s="75"/>
      <c r="Z135" s="120">
        <f>+ROUND((ROUND((_15_同援日１．０＿０．５*(1+_15・B深夜)),0)*(1+_15・区３)),0)</f>
        <v>233</v>
      </c>
      <c r="AA135" s="69"/>
    </row>
    <row r="136" spans="1:27" ht="16.5" customHeight="1" x14ac:dyDescent="0.3">
      <c r="A136" s="2">
        <v>15</v>
      </c>
      <c r="B136" s="2" t="s">
        <v>434</v>
      </c>
      <c r="C136" s="83" t="s">
        <v>10950</v>
      </c>
      <c r="D136" s="103"/>
      <c r="E136" s="1"/>
      <c r="F136" s="103"/>
      <c r="G136" s="1"/>
      <c r="H136" s="68"/>
      <c r="I136" s="70"/>
      <c r="J136" s="66"/>
      <c r="K136" s="57"/>
      <c r="L136" s="58"/>
      <c r="M136" s="83" t="s">
        <v>5895</v>
      </c>
      <c r="N136" s="64" t="s">
        <v>1</v>
      </c>
      <c r="O136" s="65">
        <v>1</v>
      </c>
      <c r="P136" s="99"/>
      <c r="Q136" s="70"/>
      <c r="R136" s="67"/>
      <c r="S136" s="68"/>
      <c r="T136" s="76"/>
      <c r="U136" s="70"/>
      <c r="V136" s="67"/>
      <c r="W136" s="68"/>
      <c r="X136" s="76"/>
      <c r="Y136" s="70"/>
      <c r="Z136" s="120">
        <f>+ROUND((ROUND((ROUND((_15_同援日１．０＿０．５*_15・２人),0)*(1+_15・B深夜)),0)*(1+_15・区３)),0)</f>
        <v>233</v>
      </c>
      <c r="AA136" s="69"/>
    </row>
    <row r="137" spans="1:27" ht="16.5" customHeight="1" x14ac:dyDescent="0.3">
      <c r="A137" s="2">
        <v>15</v>
      </c>
      <c r="B137" s="2" t="s">
        <v>435</v>
      </c>
      <c r="C137" s="83" t="s">
        <v>10949</v>
      </c>
      <c r="D137" s="103"/>
      <c r="E137" s="1"/>
      <c r="F137" s="103"/>
      <c r="G137" s="1"/>
      <c r="H137" s="68"/>
      <c r="I137" s="70"/>
      <c r="J137" s="74" t="s">
        <v>16912</v>
      </c>
      <c r="K137" s="62"/>
      <c r="L137" s="63"/>
      <c r="M137" s="85"/>
      <c r="N137" s="64"/>
      <c r="O137" s="65"/>
      <c r="P137" s="99"/>
      <c r="Q137" s="70"/>
      <c r="R137" s="67"/>
      <c r="S137" s="68"/>
      <c r="T137" s="76"/>
      <c r="U137" s="70"/>
      <c r="V137" s="1" t="s">
        <v>18101</v>
      </c>
      <c r="W137" s="68"/>
      <c r="X137" s="76"/>
      <c r="Y137" s="70"/>
      <c r="Z137" s="120">
        <f>+ROUND((ROUND((ROUND((_15_同援日１．０＿０．５*_15・基礎２),0)*(1+_15・B深夜)),0)*(1+_15・区３)),0)</f>
        <v>209</v>
      </c>
      <c r="AA137" s="69"/>
    </row>
    <row r="138" spans="1:27" ht="16.5" customHeight="1" x14ac:dyDescent="0.3">
      <c r="A138" s="2">
        <v>15</v>
      </c>
      <c r="B138" s="2" t="s">
        <v>436</v>
      </c>
      <c r="C138" s="83" t="s">
        <v>10948</v>
      </c>
      <c r="D138" s="103"/>
      <c r="E138" s="1"/>
      <c r="F138" s="103"/>
      <c r="G138" s="1"/>
      <c r="H138" s="68"/>
      <c r="I138" s="70"/>
      <c r="J138" s="106" t="s">
        <v>16916</v>
      </c>
      <c r="K138" s="57" t="s">
        <v>1</v>
      </c>
      <c r="L138" s="58">
        <v>0.9</v>
      </c>
      <c r="M138" s="83" t="s">
        <v>5895</v>
      </c>
      <c r="N138" s="64" t="s">
        <v>1</v>
      </c>
      <c r="O138" s="65">
        <v>1</v>
      </c>
      <c r="P138" s="99"/>
      <c r="Q138" s="70"/>
      <c r="R138" s="66"/>
      <c r="S138" s="57"/>
      <c r="T138" s="58"/>
      <c r="U138" s="77"/>
      <c r="V138" s="1" t="s">
        <v>18099</v>
      </c>
      <c r="W138" s="68"/>
      <c r="X138" s="76"/>
      <c r="Y138" s="70"/>
      <c r="Z138" s="120">
        <f>+ROUND((ROUND((ROUND((ROUND((_15_同援日１．０＿０．５*_15・基礎２),0)*_15・２人),0)*(1+_15・B深夜)),0)*(1+_15・区３)),0)</f>
        <v>209</v>
      </c>
      <c r="AA138" s="69"/>
    </row>
    <row r="139" spans="1:27" ht="16.5" customHeight="1" x14ac:dyDescent="0.3">
      <c r="A139" s="2">
        <v>15</v>
      </c>
      <c r="B139" s="2" t="s">
        <v>437</v>
      </c>
      <c r="C139" s="83" t="s">
        <v>10947</v>
      </c>
      <c r="D139" s="103"/>
      <c r="E139" s="1"/>
      <c r="F139" s="103"/>
      <c r="G139" s="1"/>
      <c r="H139" s="68"/>
      <c r="I139" s="70"/>
      <c r="J139" s="61"/>
      <c r="K139" s="62"/>
      <c r="L139" s="63"/>
      <c r="M139" s="85"/>
      <c r="N139" s="64"/>
      <c r="O139" s="65"/>
      <c r="P139" s="99"/>
      <c r="Q139" s="70"/>
      <c r="R139" s="74" t="s">
        <v>18098</v>
      </c>
      <c r="S139" s="62"/>
      <c r="T139" s="63"/>
      <c r="U139" s="75"/>
      <c r="V139" s="67"/>
      <c r="W139" s="68" t="s">
        <v>1</v>
      </c>
      <c r="X139" s="76">
        <v>0.2</v>
      </c>
      <c r="Y139" s="70" t="s">
        <v>422</v>
      </c>
      <c r="Z139" s="120">
        <f>+ROUND((ROUND((ROUND((_15_同援日１．０＿０．５*(1+_15・B深夜)),0)*(1+_15・盲ろう)),0)*(1+_15・区３)),0)</f>
        <v>292</v>
      </c>
      <c r="AA139" s="69"/>
    </row>
    <row r="140" spans="1:27" ht="16.5" customHeight="1" x14ac:dyDescent="0.3">
      <c r="A140" s="2">
        <v>15</v>
      </c>
      <c r="B140" s="2" t="s">
        <v>438</v>
      </c>
      <c r="C140" s="83" t="s">
        <v>10946</v>
      </c>
      <c r="D140" s="103"/>
      <c r="E140" s="1"/>
      <c r="F140" s="103"/>
      <c r="G140" s="1"/>
      <c r="H140" s="68"/>
      <c r="I140" s="70"/>
      <c r="J140" s="66"/>
      <c r="K140" s="57"/>
      <c r="L140" s="58"/>
      <c r="M140" s="83" t="s">
        <v>5895</v>
      </c>
      <c r="N140" s="64" t="s">
        <v>1</v>
      </c>
      <c r="O140" s="65">
        <v>1</v>
      </c>
      <c r="P140" s="99"/>
      <c r="Q140" s="70"/>
      <c r="R140" s="94" t="s">
        <v>8083</v>
      </c>
      <c r="S140" s="68"/>
      <c r="T140" s="76"/>
      <c r="U140" s="70"/>
      <c r="V140" s="67"/>
      <c r="W140" s="68"/>
      <c r="X140" s="76"/>
      <c r="Y140" s="70"/>
      <c r="Z140" s="120">
        <f>+ROUND((ROUND((ROUND((ROUND((_15_同援日１．０＿０．５*_15・２人),0)*(1+_15・B深夜)),0)*(1+_15・盲ろう)),0)*(1+_15・区３)),0)</f>
        <v>292</v>
      </c>
      <c r="AA140" s="69"/>
    </row>
    <row r="141" spans="1:27" ht="16.5" customHeight="1" x14ac:dyDescent="0.3">
      <c r="A141" s="2">
        <v>15</v>
      </c>
      <c r="B141" s="2" t="s">
        <v>439</v>
      </c>
      <c r="C141" s="83" t="s">
        <v>10945</v>
      </c>
      <c r="D141" s="103"/>
      <c r="E141" s="1"/>
      <c r="F141" s="103"/>
      <c r="G141" s="1"/>
      <c r="H141" s="68"/>
      <c r="I141" s="70"/>
      <c r="J141" s="74" t="s">
        <v>16912</v>
      </c>
      <c r="K141" s="62"/>
      <c r="L141" s="63"/>
      <c r="M141" s="85"/>
      <c r="N141" s="64"/>
      <c r="O141" s="65"/>
      <c r="P141" s="99"/>
      <c r="Q141" s="70"/>
      <c r="R141" s="67"/>
      <c r="S141" s="68" t="s">
        <v>1</v>
      </c>
      <c r="T141" s="76">
        <v>0.25</v>
      </c>
      <c r="U141" s="70" t="s">
        <v>422</v>
      </c>
      <c r="V141" s="67"/>
      <c r="W141" s="68"/>
      <c r="X141" s="76"/>
      <c r="Y141" s="70"/>
      <c r="Z141" s="120">
        <f>+ROUND((ROUND((ROUND((ROUND((_15_同援日１．０＿０．５*_15・基礎２),0)*(1+_15・B深夜)),0)*(1+_15・盲ろう)),0)*(1+_15・区３)),0)</f>
        <v>262</v>
      </c>
      <c r="AA141" s="69"/>
    </row>
    <row r="142" spans="1:27" ht="16.5" customHeight="1" x14ac:dyDescent="0.3">
      <c r="A142" s="2">
        <v>15</v>
      </c>
      <c r="B142" s="2" t="s">
        <v>440</v>
      </c>
      <c r="C142" s="83" t="s">
        <v>10944</v>
      </c>
      <c r="D142" s="103"/>
      <c r="E142" s="1"/>
      <c r="F142" s="103"/>
      <c r="G142" s="1"/>
      <c r="H142" s="68"/>
      <c r="I142" s="70"/>
      <c r="J142" s="106" t="s">
        <v>16916</v>
      </c>
      <c r="K142" s="57" t="s">
        <v>1</v>
      </c>
      <c r="L142" s="58">
        <v>0.9</v>
      </c>
      <c r="M142" s="83" t="s">
        <v>5895</v>
      </c>
      <c r="N142" s="64" t="s">
        <v>1</v>
      </c>
      <c r="O142" s="65">
        <v>1</v>
      </c>
      <c r="P142" s="99"/>
      <c r="Q142" s="70"/>
      <c r="R142" s="66"/>
      <c r="S142" s="57"/>
      <c r="T142" s="58"/>
      <c r="U142" s="77"/>
      <c r="V142" s="66"/>
      <c r="W142" s="57"/>
      <c r="X142" s="58"/>
      <c r="Y142" s="77"/>
      <c r="Z142" s="120">
        <f>+ROUND((ROUND((ROUND((ROUND((ROUND((_15_同援日１．０＿０．５*_15・基礎２),0)*_15・２人),0)*(1+_15・B深夜)),0)*(1+_15・盲ろう)),0)*(1+_15・区３)),0)</f>
        <v>262</v>
      </c>
      <c r="AA142" s="69"/>
    </row>
    <row r="143" spans="1:27" ht="16.5" customHeight="1" x14ac:dyDescent="0.3">
      <c r="A143" s="2">
        <v>15</v>
      </c>
      <c r="B143" s="2" t="s">
        <v>441</v>
      </c>
      <c r="C143" s="83" t="s">
        <v>10943</v>
      </c>
      <c r="D143" s="103"/>
      <c r="E143" s="1"/>
      <c r="F143" s="103"/>
      <c r="G143" s="1"/>
      <c r="H143" s="68"/>
      <c r="I143" s="70"/>
      <c r="J143" s="61"/>
      <c r="K143" s="62"/>
      <c r="L143" s="63"/>
      <c r="M143" s="85"/>
      <c r="N143" s="64"/>
      <c r="O143" s="65"/>
      <c r="P143" s="99"/>
      <c r="Q143" s="70"/>
      <c r="R143" s="61"/>
      <c r="S143" s="62"/>
      <c r="T143" s="63"/>
      <c r="U143" s="75"/>
      <c r="V143" s="61"/>
      <c r="W143" s="62"/>
      <c r="X143" s="63"/>
      <c r="Y143" s="75"/>
      <c r="Z143" s="120">
        <f>+ROUND((ROUND((_15_同援日１．０＿０．５*(1+_15・B深夜)),0)*(1+_15・区４)),0)</f>
        <v>272</v>
      </c>
      <c r="AA143" s="69"/>
    </row>
    <row r="144" spans="1:27" ht="16.5" customHeight="1" x14ac:dyDescent="0.3">
      <c r="A144" s="2">
        <v>15</v>
      </c>
      <c r="B144" s="2" t="s">
        <v>442</v>
      </c>
      <c r="C144" s="83" t="s">
        <v>10942</v>
      </c>
      <c r="D144" s="103"/>
      <c r="E144" s="1"/>
      <c r="F144" s="103"/>
      <c r="G144" s="1"/>
      <c r="H144" s="68"/>
      <c r="I144" s="70"/>
      <c r="J144" s="66"/>
      <c r="K144" s="57"/>
      <c r="L144" s="58"/>
      <c r="M144" s="83" t="s">
        <v>5895</v>
      </c>
      <c r="N144" s="64" t="s">
        <v>1</v>
      </c>
      <c r="O144" s="65">
        <v>1</v>
      </c>
      <c r="P144" s="99"/>
      <c r="Q144" s="70"/>
      <c r="R144" s="67"/>
      <c r="S144" s="68"/>
      <c r="T144" s="76"/>
      <c r="U144" s="70"/>
      <c r="V144" s="67"/>
      <c r="W144" s="68"/>
      <c r="X144" s="76"/>
      <c r="Y144" s="70"/>
      <c r="Z144" s="120">
        <f>+ROUND((ROUND((ROUND((_15_同援日１．０＿０．５*_15・２人),0)*(1+_15・B深夜)),0)*(1+_15・区４)),0)</f>
        <v>272</v>
      </c>
      <c r="AA144" s="69"/>
    </row>
    <row r="145" spans="1:27" ht="16.5" customHeight="1" x14ac:dyDescent="0.3">
      <c r="A145" s="2">
        <v>15</v>
      </c>
      <c r="B145" s="2" t="s">
        <v>443</v>
      </c>
      <c r="C145" s="83" t="s">
        <v>10941</v>
      </c>
      <c r="D145" s="103"/>
      <c r="E145" s="1"/>
      <c r="F145" s="103"/>
      <c r="G145" s="1"/>
      <c r="H145" s="68"/>
      <c r="I145" s="70"/>
      <c r="J145" s="74" t="s">
        <v>16912</v>
      </c>
      <c r="K145" s="62"/>
      <c r="L145" s="63"/>
      <c r="M145" s="85"/>
      <c r="N145" s="64"/>
      <c r="O145" s="65"/>
      <c r="P145" s="99"/>
      <c r="Q145" s="70"/>
      <c r="R145" s="67"/>
      <c r="S145" s="68"/>
      <c r="T145" s="76"/>
      <c r="U145" s="70"/>
      <c r="V145" s="1" t="s">
        <v>8089</v>
      </c>
      <c r="W145" s="68"/>
      <c r="X145" s="76"/>
      <c r="Y145" s="70"/>
      <c r="Z145" s="120">
        <f>+ROUND((ROUND((ROUND((_15_同援日１．０＿０．５*_15・基礎２),0)*(1+_15・B深夜)),0)*(1+_15・区４)),0)</f>
        <v>244</v>
      </c>
      <c r="AA145" s="69"/>
    </row>
    <row r="146" spans="1:27" ht="16.5" customHeight="1" x14ac:dyDescent="0.3">
      <c r="A146" s="2">
        <v>15</v>
      </c>
      <c r="B146" s="2" t="s">
        <v>444</v>
      </c>
      <c r="C146" s="83" t="s">
        <v>10940</v>
      </c>
      <c r="D146" s="103"/>
      <c r="E146" s="1"/>
      <c r="F146" s="103"/>
      <c r="G146" s="1"/>
      <c r="H146" s="68"/>
      <c r="I146" s="70"/>
      <c r="J146" s="106" t="s">
        <v>16916</v>
      </c>
      <c r="K146" s="57" t="s">
        <v>1</v>
      </c>
      <c r="L146" s="58">
        <v>0.9</v>
      </c>
      <c r="M146" s="83" t="s">
        <v>5895</v>
      </c>
      <c r="N146" s="64" t="s">
        <v>1</v>
      </c>
      <c r="O146" s="65">
        <v>1</v>
      </c>
      <c r="P146" s="99"/>
      <c r="Q146" s="70"/>
      <c r="R146" s="66"/>
      <c r="S146" s="57"/>
      <c r="T146" s="58"/>
      <c r="U146" s="77"/>
      <c r="V146" s="1" t="s">
        <v>18099</v>
      </c>
      <c r="W146" s="68"/>
      <c r="X146" s="76"/>
      <c r="Y146" s="70"/>
      <c r="Z146" s="120">
        <f>+ROUND((ROUND((ROUND((ROUND((_15_同援日１．０＿０．５*_15・基礎２),0)*_15・２人),0)*(1+_15・B深夜)),0)*(1+_15・区４)),0)</f>
        <v>244</v>
      </c>
      <c r="AA146" s="69"/>
    </row>
    <row r="147" spans="1:27" ht="16.5" customHeight="1" x14ac:dyDescent="0.3">
      <c r="A147" s="2">
        <v>15</v>
      </c>
      <c r="B147" s="2" t="s">
        <v>445</v>
      </c>
      <c r="C147" s="83" t="s">
        <v>10939</v>
      </c>
      <c r="D147" s="103"/>
      <c r="E147" s="1"/>
      <c r="F147" s="103"/>
      <c r="G147" s="1"/>
      <c r="H147" s="68"/>
      <c r="I147" s="70"/>
      <c r="J147" s="61"/>
      <c r="K147" s="62"/>
      <c r="L147" s="63"/>
      <c r="M147" s="85"/>
      <c r="N147" s="64"/>
      <c r="O147" s="65"/>
      <c r="P147" s="99"/>
      <c r="Q147" s="70"/>
      <c r="R147" s="74" t="s">
        <v>18098</v>
      </c>
      <c r="S147" s="62"/>
      <c r="T147" s="63"/>
      <c r="U147" s="75"/>
      <c r="V147" s="67"/>
      <c r="W147" s="68" t="s">
        <v>1</v>
      </c>
      <c r="X147" s="76">
        <v>0.4</v>
      </c>
      <c r="Y147" s="70" t="s">
        <v>422</v>
      </c>
      <c r="Z147" s="120">
        <f>+ROUND((ROUND((ROUND((_15_同援日１．０＿０．５*(1+_15・B深夜)),0)*(1+_15・盲ろう)),0)*(1+_15・区４)),0)</f>
        <v>340</v>
      </c>
      <c r="AA147" s="69"/>
    </row>
    <row r="148" spans="1:27" ht="16.5" customHeight="1" x14ac:dyDescent="0.3">
      <c r="A148" s="2">
        <v>15</v>
      </c>
      <c r="B148" s="2" t="s">
        <v>446</v>
      </c>
      <c r="C148" s="83" t="s">
        <v>10938</v>
      </c>
      <c r="D148" s="103"/>
      <c r="E148" s="1"/>
      <c r="F148" s="103"/>
      <c r="G148" s="1"/>
      <c r="H148" s="68"/>
      <c r="I148" s="70"/>
      <c r="J148" s="66"/>
      <c r="K148" s="57"/>
      <c r="L148" s="58"/>
      <c r="M148" s="83" t="s">
        <v>5895</v>
      </c>
      <c r="N148" s="64" t="s">
        <v>1</v>
      </c>
      <c r="O148" s="65">
        <v>1</v>
      </c>
      <c r="P148" s="99"/>
      <c r="Q148" s="70"/>
      <c r="R148" s="94" t="s">
        <v>18097</v>
      </c>
      <c r="S148" s="68"/>
      <c r="T148" s="76"/>
      <c r="U148" s="70"/>
      <c r="V148" s="67"/>
      <c r="W148" s="68"/>
      <c r="X148" s="76"/>
      <c r="Y148" s="70"/>
      <c r="Z148" s="120">
        <f>+ROUND((ROUND((ROUND((ROUND((_15_同援日１．０＿０．５*_15・２人),0)*(1+_15・B深夜)),0)*(1+_15・盲ろう)),0)*(1+_15・区４)),0)</f>
        <v>340</v>
      </c>
      <c r="AA148" s="69"/>
    </row>
    <row r="149" spans="1:27" ht="16.5" customHeight="1" x14ac:dyDescent="0.3">
      <c r="A149" s="2">
        <v>15</v>
      </c>
      <c r="B149" s="2" t="s">
        <v>447</v>
      </c>
      <c r="C149" s="83" t="s">
        <v>10937</v>
      </c>
      <c r="D149" s="103"/>
      <c r="E149" s="1"/>
      <c r="F149" s="103"/>
      <c r="G149" s="1"/>
      <c r="H149" s="68"/>
      <c r="I149" s="70"/>
      <c r="J149" s="74" t="s">
        <v>16912</v>
      </c>
      <c r="K149" s="62"/>
      <c r="L149" s="63"/>
      <c r="M149" s="85"/>
      <c r="N149" s="64"/>
      <c r="O149" s="65"/>
      <c r="P149" s="99"/>
      <c r="Q149" s="70"/>
      <c r="R149" s="67"/>
      <c r="S149" s="68" t="s">
        <v>1</v>
      </c>
      <c r="T149" s="76">
        <v>0.25</v>
      </c>
      <c r="U149" s="70" t="s">
        <v>422</v>
      </c>
      <c r="V149" s="67"/>
      <c r="W149" s="68"/>
      <c r="X149" s="76"/>
      <c r="Y149" s="70"/>
      <c r="Z149" s="120">
        <f>+ROUND((ROUND((ROUND((ROUND((_15_同援日１．０＿０．５*_15・基礎２),0)*(1+_15・B深夜)),0)*(1+_15・盲ろう)),0)*(1+_15・区４)),0)</f>
        <v>305</v>
      </c>
      <c r="AA149" s="69"/>
    </row>
    <row r="150" spans="1:27" ht="16.5" customHeight="1" x14ac:dyDescent="0.3">
      <c r="A150" s="2">
        <v>15</v>
      </c>
      <c r="B150" s="2" t="s">
        <v>448</v>
      </c>
      <c r="C150" s="83" t="s">
        <v>10936</v>
      </c>
      <c r="D150" s="103"/>
      <c r="E150" s="1"/>
      <c r="F150" s="103"/>
      <c r="G150" s="81"/>
      <c r="H150" s="57"/>
      <c r="I150" s="77"/>
      <c r="J150" s="106" t="s">
        <v>16916</v>
      </c>
      <c r="K150" s="57" t="s">
        <v>1</v>
      </c>
      <c r="L150" s="58">
        <v>0.9</v>
      </c>
      <c r="M150" s="83" t="s">
        <v>5895</v>
      </c>
      <c r="N150" s="64" t="s">
        <v>1</v>
      </c>
      <c r="O150" s="65">
        <v>1</v>
      </c>
      <c r="P150" s="99"/>
      <c r="Q150" s="70"/>
      <c r="R150" s="66"/>
      <c r="S150" s="57"/>
      <c r="T150" s="58"/>
      <c r="U150" s="77"/>
      <c r="V150" s="66"/>
      <c r="W150" s="57"/>
      <c r="X150" s="58"/>
      <c r="Y150" s="77"/>
      <c r="Z150" s="120">
        <f>+ROUND((ROUND((ROUND((ROUND((ROUND((_15_同援日１．０＿０．５*_15・基礎２),0)*_15・２人),0)*(1+_15・B深夜)),0)*(1+_15・盲ろう)),0)*(1+_15・区４)),0)</f>
        <v>305</v>
      </c>
      <c r="AA150" s="69"/>
    </row>
    <row r="151" spans="1:27" ht="16.5" customHeight="1" x14ac:dyDescent="0.3">
      <c r="A151" s="2">
        <v>15</v>
      </c>
      <c r="B151" s="2" t="s">
        <v>449</v>
      </c>
      <c r="C151" s="83" t="s">
        <v>10935</v>
      </c>
      <c r="D151" s="103"/>
      <c r="E151" s="1"/>
      <c r="F151" s="103"/>
      <c r="G151" s="233" t="s">
        <v>16950</v>
      </c>
      <c r="H151" s="62"/>
      <c r="I151" s="75"/>
      <c r="J151" s="61"/>
      <c r="K151" s="62"/>
      <c r="L151" s="63"/>
      <c r="M151" s="85"/>
      <c r="N151" s="64"/>
      <c r="O151" s="65"/>
      <c r="P151" s="99"/>
      <c r="Q151" s="70"/>
      <c r="R151" s="61"/>
      <c r="S151" s="62"/>
      <c r="T151" s="63"/>
      <c r="U151" s="75"/>
      <c r="V151" s="61"/>
      <c r="W151" s="62"/>
      <c r="X151" s="63"/>
      <c r="Y151" s="75"/>
      <c r="Z151" s="120">
        <f>+ROUND((_15_同援日１．０＿１．０*(1+_15・B深夜)),0)</f>
        <v>290</v>
      </c>
      <c r="AA151" s="69"/>
    </row>
    <row r="152" spans="1:27" ht="16.5" customHeight="1" x14ac:dyDescent="0.3">
      <c r="A152" s="2">
        <v>15</v>
      </c>
      <c r="B152" s="2" t="s">
        <v>450</v>
      </c>
      <c r="C152" s="83" t="s">
        <v>10934</v>
      </c>
      <c r="D152" s="103"/>
      <c r="E152" s="1"/>
      <c r="F152" s="103"/>
      <c r="G152" s="1" t="s">
        <v>16949</v>
      </c>
      <c r="H152" s="68"/>
      <c r="I152" s="70"/>
      <c r="J152" s="66"/>
      <c r="K152" s="57"/>
      <c r="L152" s="58"/>
      <c r="M152" s="83" t="s">
        <v>5895</v>
      </c>
      <c r="N152" s="64" t="s">
        <v>1</v>
      </c>
      <c r="O152" s="65">
        <v>1</v>
      </c>
      <c r="P152" s="99"/>
      <c r="Q152" s="70"/>
      <c r="R152" s="67"/>
      <c r="S152" s="68"/>
      <c r="T152" s="76"/>
      <c r="U152" s="70"/>
      <c r="V152" s="67"/>
      <c r="W152" s="68"/>
      <c r="X152" s="76"/>
      <c r="Y152" s="70"/>
      <c r="Z152" s="120">
        <f>+ROUND((ROUND((_15_同援日１．０＿１．０*_15・２人),0)*(1+_15・B深夜)),0)</f>
        <v>290</v>
      </c>
      <c r="AA152" s="69"/>
    </row>
    <row r="153" spans="1:27" ht="16.5" customHeight="1" x14ac:dyDescent="0.3">
      <c r="A153" s="2">
        <v>15</v>
      </c>
      <c r="B153" s="2" t="s">
        <v>451</v>
      </c>
      <c r="C153" s="83" t="s">
        <v>10933</v>
      </c>
      <c r="D153" s="103"/>
      <c r="E153" s="1"/>
      <c r="F153" s="103"/>
      <c r="G153" s="1" t="s">
        <v>8572</v>
      </c>
      <c r="H153" s="68"/>
      <c r="I153" s="70"/>
      <c r="J153" s="74" t="s">
        <v>16912</v>
      </c>
      <c r="K153" s="62"/>
      <c r="L153" s="63"/>
      <c r="M153" s="85"/>
      <c r="N153" s="64"/>
      <c r="O153" s="65"/>
      <c r="P153" s="99"/>
      <c r="Q153" s="70"/>
      <c r="R153" s="67"/>
      <c r="S153" s="68"/>
      <c r="T153" s="76"/>
      <c r="U153" s="70"/>
      <c r="V153" s="67"/>
      <c r="W153" s="68"/>
      <c r="X153" s="76"/>
      <c r="Y153" s="70"/>
      <c r="Z153" s="120">
        <f>+ROUND((ROUND((_15_同援日１．０＿１．０*_15・基礎２),0)*(1+_15・B深夜)),0)</f>
        <v>261</v>
      </c>
      <c r="AA153" s="69"/>
    </row>
    <row r="154" spans="1:27" ht="16.5" customHeight="1" x14ac:dyDescent="0.3">
      <c r="A154" s="2">
        <v>15</v>
      </c>
      <c r="B154" s="2" t="s">
        <v>452</v>
      </c>
      <c r="C154" s="83" t="s">
        <v>10932</v>
      </c>
      <c r="D154" s="103"/>
      <c r="E154" s="1"/>
      <c r="F154" s="103"/>
      <c r="G154" s="1"/>
      <c r="H154" s="119">
        <v>193</v>
      </c>
      <c r="I154" s="70" t="s">
        <v>0</v>
      </c>
      <c r="J154" s="106" t="s">
        <v>16916</v>
      </c>
      <c r="K154" s="57" t="s">
        <v>1</v>
      </c>
      <c r="L154" s="58">
        <v>0.9</v>
      </c>
      <c r="M154" s="83" t="s">
        <v>5895</v>
      </c>
      <c r="N154" s="64" t="s">
        <v>1</v>
      </c>
      <c r="O154" s="65">
        <v>1</v>
      </c>
      <c r="P154" s="99"/>
      <c r="Q154" s="70"/>
      <c r="R154" s="66"/>
      <c r="S154" s="57"/>
      <c r="T154" s="58"/>
      <c r="U154" s="77"/>
      <c r="V154" s="67"/>
      <c r="W154" s="68"/>
      <c r="X154" s="76"/>
      <c r="Y154" s="70"/>
      <c r="Z154" s="120">
        <f>+ROUND((ROUND((ROUND((_15_同援日１．０＿１．０*_15・基礎２),0)*_15・２人),0)*(1+_15・B深夜)),0)</f>
        <v>261</v>
      </c>
      <c r="AA154" s="69"/>
    </row>
    <row r="155" spans="1:27" ht="16.5" customHeight="1" x14ac:dyDescent="0.3">
      <c r="A155" s="2">
        <v>15</v>
      </c>
      <c r="B155" s="2" t="s">
        <v>453</v>
      </c>
      <c r="C155" s="83" t="s">
        <v>10931</v>
      </c>
      <c r="D155" s="103"/>
      <c r="E155" s="1"/>
      <c r="F155" s="103"/>
      <c r="G155" s="1"/>
      <c r="H155" s="68"/>
      <c r="I155" s="70"/>
      <c r="J155" s="61"/>
      <c r="K155" s="62"/>
      <c r="L155" s="63"/>
      <c r="M155" s="85"/>
      <c r="N155" s="64"/>
      <c r="O155" s="65"/>
      <c r="P155" s="99"/>
      <c r="Q155" s="70"/>
      <c r="R155" s="74" t="s">
        <v>18098</v>
      </c>
      <c r="S155" s="62"/>
      <c r="T155" s="63"/>
      <c r="U155" s="75"/>
      <c r="V155" s="67"/>
      <c r="W155" s="68"/>
      <c r="X155" s="76"/>
      <c r="Y155" s="70"/>
      <c r="Z155" s="120">
        <f>+ROUND((ROUND((_15_同援日１．０＿１．０*(1+_15・B深夜)),0)*(1+_15・盲ろう)),0)</f>
        <v>363</v>
      </c>
      <c r="AA155" s="69"/>
    </row>
    <row r="156" spans="1:27" ht="16.5" customHeight="1" x14ac:dyDescent="0.3">
      <c r="A156" s="2">
        <v>15</v>
      </c>
      <c r="B156" s="2" t="s">
        <v>454</v>
      </c>
      <c r="C156" s="83" t="s">
        <v>10930</v>
      </c>
      <c r="D156" s="103"/>
      <c r="E156" s="1"/>
      <c r="F156" s="103"/>
      <c r="G156" s="1"/>
      <c r="H156" s="68"/>
      <c r="I156" s="70"/>
      <c r="J156" s="66"/>
      <c r="K156" s="57"/>
      <c r="L156" s="58"/>
      <c r="M156" s="83" t="s">
        <v>5895</v>
      </c>
      <c r="N156" s="64" t="s">
        <v>1</v>
      </c>
      <c r="O156" s="65">
        <v>1</v>
      </c>
      <c r="P156" s="99"/>
      <c r="Q156" s="70"/>
      <c r="R156" s="94" t="s">
        <v>18097</v>
      </c>
      <c r="S156" s="68"/>
      <c r="T156" s="76"/>
      <c r="U156" s="70"/>
      <c r="V156" s="67"/>
      <c r="W156" s="68"/>
      <c r="X156" s="76"/>
      <c r="Y156" s="70"/>
      <c r="Z156" s="120">
        <f>+ROUND((ROUND((ROUND((_15_同援日１．０＿１．０*_15・２人),0)*(1+_15・B深夜)),0)*(1+_15・盲ろう)),0)</f>
        <v>363</v>
      </c>
      <c r="AA156" s="69"/>
    </row>
    <row r="157" spans="1:27" ht="16.5" customHeight="1" x14ac:dyDescent="0.3">
      <c r="A157" s="2">
        <v>15</v>
      </c>
      <c r="B157" s="2" t="s">
        <v>455</v>
      </c>
      <c r="C157" s="83" t="s">
        <v>10929</v>
      </c>
      <c r="D157" s="103"/>
      <c r="E157" s="1"/>
      <c r="F157" s="103"/>
      <c r="G157" s="1"/>
      <c r="H157" s="68"/>
      <c r="I157" s="70"/>
      <c r="J157" s="74" t="s">
        <v>16912</v>
      </c>
      <c r="K157" s="62"/>
      <c r="L157" s="63"/>
      <c r="M157" s="85"/>
      <c r="N157" s="64"/>
      <c r="O157" s="65"/>
      <c r="P157" s="99"/>
      <c r="Q157" s="70"/>
      <c r="R157" s="67"/>
      <c r="S157" s="68" t="s">
        <v>1</v>
      </c>
      <c r="T157" s="76">
        <v>0.25</v>
      </c>
      <c r="U157" s="70" t="s">
        <v>422</v>
      </c>
      <c r="V157" s="67"/>
      <c r="W157" s="68"/>
      <c r="X157" s="76"/>
      <c r="Y157" s="70"/>
      <c r="Z157" s="120">
        <f>+ROUND((ROUND((ROUND((_15_同援日１．０＿１．０*_15・基礎２),0)*(1+_15・B深夜)),0)*(1+_15・盲ろう)),0)</f>
        <v>326</v>
      </c>
      <c r="AA157" s="69"/>
    </row>
    <row r="158" spans="1:27" ht="16.5" customHeight="1" x14ac:dyDescent="0.3">
      <c r="A158" s="2">
        <v>15</v>
      </c>
      <c r="B158" s="2" t="s">
        <v>456</v>
      </c>
      <c r="C158" s="83" t="s">
        <v>10928</v>
      </c>
      <c r="D158" s="103"/>
      <c r="E158" s="1"/>
      <c r="F158" s="103"/>
      <c r="G158" s="1"/>
      <c r="H158" s="68"/>
      <c r="I158" s="70"/>
      <c r="J158" s="106" t="s">
        <v>16916</v>
      </c>
      <c r="K158" s="57" t="s">
        <v>1</v>
      </c>
      <c r="L158" s="58">
        <v>0.9</v>
      </c>
      <c r="M158" s="83" t="s">
        <v>5895</v>
      </c>
      <c r="N158" s="64" t="s">
        <v>1</v>
      </c>
      <c r="O158" s="65">
        <v>1</v>
      </c>
      <c r="P158" s="99"/>
      <c r="Q158" s="70"/>
      <c r="R158" s="66"/>
      <c r="S158" s="57"/>
      <c r="T158" s="58"/>
      <c r="U158" s="77"/>
      <c r="V158" s="66"/>
      <c r="W158" s="57"/>
      <c r="X158" s="58"/>
      <c r="Y158" s="77"/>
      <c r="Z158" s="120">
        <f>+ROUND((ROUND((ROUND((ROUND((_15_同援日１．０＿１．０*_15・基礎２),0)*_15・２人),0)*(1+_15・B深夜)),0)*(1+_15・盲ろう)),0)</f>
        <v>326</v>
      </c>
      <c r="AA158" s="69"/>
    </row>
    <row r="159" spans="1:27" ht="16.5" customHeight="1" x14ac:dyDescent="0.3">
      <c r="A159" s="2">
        <v>15</v>
      </c>
      <c r="B159" s="2" t="s">
        <v>457</v>
      </c>
      <c r="C159" s="83" t="s">
        <v>10927</v>
      </c>
      <c r="D159" s="103"/>
      <c r="E159" s="1"/>
      <c r="F159" s="103"/>
      <c r="G159" s="1"/>
      <c r="H159" s="68"/>
      <c r="I159" s="70"/>
      <c r="J159" s="61"/>
      <c r="K159" s="62"/>
      <c r="L159" s="63"/>
      <c r="M159" s="85"/>
      <c r="N159" s="64"/>
      <c r="O159" s="65"/>
      <c r="P159" s="99"/>
      <c r="Q159" s="70"/>
      <c r="R159" s="61"/>
      <c r="S159" s="62"/>
      <c r="T159" s="63"/>
      <c r="U159" s="75"/>
      <c r="V159" s="61"/>
      <c r="W159" s="62"/>
      <c r="X159" s="63"/>
      <c r="Y159" s="75"/>
      <c r="Z159" s="120">
        <f>+ROUND((ROUND((_15_同援日１．０＿１．０*(1+_15・B深夜)),0)*(1+_15・区３)),0)</f>
        <v>348</v>
      </c>
      <c r="AA159" s="69"/>
    </row>
    <row r="160" spans="1:27" ht="16.5" customHeight="1" x14ac:dyDescent="0.3">
      <c r="A160" s="2">
        <v>15</v>
      </c>
      <c r="B160" s="2" t="s">
        <v>458</v>
      </c>
      <c r="C160" s="83" t="s">
        <v>10926</v>
      </c>
      <c r="D160" s="103"/>
      <c r="E160" s="1"/>
      <c r="F160" s="103"/>
      <c r="G160" s="1"/>
      <c r="H160" s="68"/>
      <c r="I160" s="70"/>
      <c r="J160" s="66"/>
      <c r="K160" s="57"/>
      <c r="L160" s="58"/>
      <c r="M160" s="83" t="s">
        <v>5895</v>
      </c>
      <c r="N160" s="64" t="s">
        <v>1</v>
      </c>
      <c r="O160" s="65">
        <v>1</v>
      </c>
      <c r="P160" s="99"/>
      <c r="Q160" s="70"/>
      <c r="R160" s="67"/>
      <c r="S160" s="68"/>
      <c r="T160" s="76"/>
      <c r="U160" s="70"/>
      <c r="V160" s="67"/>
      <c r="W160" s="68"/>
      <c r="X160" s="76"/>
      <c r="Y160" s="70"/>
      <c r="Z160" s="120">
        <f>+ROUND((ROUND((ROUND((_15_同援日１．０＿１．０*_15・２人),0)*(1+_15・B深夜)),0)*(1+_15・区３)),0)</f>
        <v>348</v>
      </c>
      <c r="AA160" s="69"/>
    </row>
    <row r="161" spans="1:27" ht="16.5" customHeight="1" x14ac:dyDescent="0.3">
      <c r="A161" s="2">
        <v>15</v>
      </c>
      <c r="B161" s="2" t="s">
        <v>459</v>
      </c>
      <c r="C161" s="83" t="s">
        <v>10925</v>
      </c>
      <c r="D161" s="103"/>
      <c r="E161" s="1"/>
      <c r="F161" s="103"/>
      <c r="G161" s="1"/>
      <c r="H161" s="68"/>
      <c r="I161" s="70"/>
      <c r="J161" s="74" t="s">
        <v>16912</v>
      </c>
      <c r="K161" s="62"/>
      <c r="L161" s="63"/>
      <c r="M161" s="85"/>
      <c r="N161" s="64"/>
      <c r="O161" s="65"/>
      <c r="P161" s="99"/>
      <c r="Q161" s="70"/>
      <c r="R161" s="67"/>
      <c r="S161" s="68"/>
      <c r="T161" s="76"/>
      <c r="U161" s="70"/>
      <c r="V161" s="1" t="s">
        <v>18101</v>
      </c>
      <c r="W161" s="68"/>
      <c r="X161" s="76"/>
      <c r="Y161" s="70"/>
      <c r="Z161" s="120">
        <f>+ROUND((ROUND((ROUND((_15_同援日１．０＿１．０*_15・基礎２),0)*(1+_15・B深夜)),0)*(1+_15・区３)),0)</f>
        <v>313</v>
      </c>
      <c r="AA161" s="69"/>
    </row>
    <row r="162" spans="1:27" ht="16.5" customHeight="1" x14ac:dyDescent="0.3">
      <c r="A162" s="2">
        <v>15</v>
      </c>
      <c r="B162" s="2" t="s">
        <v>460</v>
      </c>
      <c r="C162" s="83" t="s">
        <v>10924</v>
      </c>
      <c r="D162" s="103"/>
      <c r="E162" s="1"/>
      <c r="F162" s="103"/>
      <c r="G162" s="1"/>
      <c r="H162" s="68"/>
      <c r="I162" s="70"/>
      <c r="J162" s="106" t="s">
        <v>16916</v>
      </c>
      <c r="K162" s="57" t="s">
        <v>1</v>
      </c>
      <c r="L162" s="58">
        <v>0.9</v>
      </c>
      <c r="M162" s="83" t="s">
        <v>5895</v>
      </c>
      <c r="N162" s="64" t="s">
        <v>1</v>
      </c>
      <c r="O162" s="65">
        <v>1</v>
      </c>
      <c r="P162" s="99"/>
      <c r="Q162" s="70"/>
      <c r="R162" s="66"/>
      <c r="S162" s="57"/>
      <c r="T162" s="58"/>
      <c r="U162" s="77"/>
      <c r="V162" s="1" t="s">
        <v>18099</v>
      </c>
      <c r="W162" s="68"/>
      <c r="X162" s="76"/>
      <c r="Y162" s="70"/>
      <c r="Z162" s="120">
        <f>+ROUND((ROUND((ROUND((ROUND((_15_同援日１．０＿１．０*_15・基礎２),0)*_15・２人),0)*(1+_15・B深夜)),0)*(1+_15・区３)),0)</f>
        <v>313</v>
      </c>
      <c r="AA162" s="69"/>
    </row>
    <row r="163" spans="1:27" ht="16.5" customHeight="1" x14ac:dyDescent="0.3">
      <c r="A163" s="2">
        <v>15</v>
      </c>
      <c r="B163" s="2" t="s">
        <v>461</v>
      </c>
      <c r="C163" s="83" t="s">
        <v>10923</v>
      </c>
      <c r="D163" s="103"/>
      <c r="E163" s="1"/>
      <c r="F163" s="103"/>
      <c r="G163" s="1"/>
      <c r="H163" s="68"/>
      <c r="I163" s="70"/>
      <c r="J163" s="61"/>
      <c r="K163" s="62"/>
      <c r="L163" s="63"/>
      <c r="M163" s="85"/>
      <c r="N163" s="64"/>
      <c r="O163" s="65"/>
      <c r="P163" s="99"/>
      <c r="Q163" s="70"/>
      <c r="R163" s="74" t="s">
        <v>18098</v>
      </c>
      <c r="S163" s="62"/>
      <c r="T163" s="63"/>
      <c r="U163" s="75"/>
      <c r="V163" s="67"/>
      <c r="W163" s="68" t="s">
        <v>1</v>
      </c>
      <c r="X163" s="76">
        <v>0.2</v>
      </c>
      <c r="Y163" s="70" t="s">
        <v>422</v>
      </c>
      <c r="Z163" s="120">
        <f>+ROUND((ROUND((ROUND((_15_同援日１．０＿１．０*(1+_15・B深夜)),0)*(1+_15・盲ろう)),0)*(1+_15・区３)),0)</f>
        <v>436</v>
      </c>
      <c r="AA163" s="69"/>
    </row>
    <row r="164" spans="1:27" ht="16.5" customHeight="1" x14ac:dyDescent="0.3">
      <c r="A164" s="2">
        <v>15</v>
      </c>
      <c r="B164" s="2" t="s">
        <v>462</v>
      </c>
      <c r="C164" s="83" t="s">
        <v>10922</v>
      </c>
      <c r="D164" s="103"/>
      <c r="E164" s="1"/>
      <c r="F164" s="103"/>
      <c r="G164" s="1"/>
      <c r="H164" s="68"/>
      <c r="I164" s="70"/>
      <c r="J164" s="66"/>
      <c r="K164" s="57"/>
      <c r="L164" s="58"/>
      <c r="M164" s="83" t="s">
        <v>5895</v>
      </c>
      <c r="N164" s="64" t="s">
        <v>1</v>
      </c>
      <c r="O164" s="65">
        <v>1</v>
      </c>
      <c r="P164" s="99"/>
      <c r="Q164" s="70"/>
      <c r="R164" s="94" t="s">
        <v>8083</v>
      </c>
      <c r="S164" s="68"/>
      <c r="T164" s="76"/>
      <c r="U164" s="70"/>
      <c r="V164" s="67"/>
      <c r="W164" s="68"/>
      <c r="X164" s="76"/>
      <c r="Y164" s="70"/>
      <c r="Z164" s="120">
        <f>+ROUND((ROUND((ROUND((ROUND((_15_同援日１．０＿１．０*_15・２人),0)*(1+_15・B深夜)),0)*(1+_15・盲ろう)),0)*(1+_15・区３)),0)</f>
        <v>436</v>
      </c>
      <c r="AA164" s="69"/>
    </row>
    <row r="165" spans="1:27" ht="16.5" customHeight="1" x14ac:dyDescent="0.3">
      <c r="A165" s="2">
        <v>15</v>
      </c>
      <c r="B165" s="2" t="s">
        <v>463</v>
      </c>
      <c r="C165" s="83" t="s">
        <v>10921</v>
      </c>
      <c r="D165" s="103"/>
      <c r="E165" s="1"/>
      <c r="F165" s="103"/>
      <c r="G165" s="1"/>
      <c r="H165" s="68"/>
      <c r="I165" s="70"/>
      <c r="J165" s="74" t="s">
        <v>16912</v>
      </c>
      <c r="K165" s="62"/>
      <c r="L165" s="63"/>
      <c r="M165" s="85"/>
      <c r="N165" s="64"/>
      <c r="O165" s="65"/>
      <c r="P165" s="99"/>
      <c r="Q165" s="70"/>
      <c r="R165" s="67"/>
      <c r="S165" s="68" t="s">
        <v>1</v>
      </c>
      <c r="T165" s="76">
        <v>0.25</v>
      </c>
      <c r="U165" s="70" t="s">
        <v>422</v>
      </c>
      <c r="V165" s="67"/>
      <c r="W165" s="68"/>
      <c r="X165" s="76"/>
      <c r="Y165" s="70"/>
      <c r="Z165" s="120">
        <f>+ROUND((ROUND((ROUND((ROUND((_15_同援日１．０＿１．０*_15・基礎２),0)*(1+_15・B深夜)),0)*(1+_15・盲ろう)),0)*(1+_15・区３)),0)</f>
        <v>391</v>
      </c>
      <c r="AA165" s="69"/>
    </row>
    <row r="166" spans="1:27" ht="16.5" customHeight="1" x14ac:dyDescent="0.3">
      <c r="A166" s="2">
        <v>15</v>
      </c>
      <c r="B166" s="2" t="s">
        <v>464</v>
      </c>
      <c r="C166" s="83" t="s">
        <v>10920</v>
      </c>
      <c r="D166" s="103"/>
      <c r="E166" s="1"/>
      <c r="F166" s="103"/>
      <c r="G166" s="1"/>
      <c r="H166" s="68"/>
      <c r="I166" s="70"/>
      <c r="J166" s="106" t="s">
        <v>16916</v>
      </c>
      <c r="K166" s="57" t="s">
        <v>1</v>
      </c>
      <c r="L166" s="58">
        <v>0.9</v>
      </c>
      <c r="M166" s="83" t="s">
        <v>5895</v>
      </c>
      <c r="N166" s="64" t="s">
        <v>1</v>
      </c>
      <c r="O166" s="65">
        <v>1</v>
      </c>
      <c r="P166" s="99"/>
      <c r="Q166" s="70"/>
      <c r="R166" s="66"/>
      <c r="S166" s="57"/>
      <c r="T166" s="58"/>
      <c r="U166" s="77"/>
      <c r="V166" s="66"/>
      <c r="W166" s="57"/>
      <c r="X166" s="58"/>
      <c r="Y166" s="77"/>
      <c r="Z166" s="120">
        <f>+ROUND((ROUND((ROUND((ROUND((ROUND((_15_同援日１．０＿１．０*_15・基礎２),0)*_15・２人),0)*(1+_15・B深夜)),0)*(1+_15・盲ろう)),0)*(1+_15・区３)),0)</f>
        <v>391</v>
      </c>
      <c r="AA166" s="69"/>
    </row>
    <row r="167" spans="1:27" ht="16.5" customHeight="1" x14ac:dyDescent="0.3">
      <c r="A167" s="2">
        <v>15</v>
      </c>
      <c r="B167" s="2" t="s">
        <v>465</v>
      </c>
      <c r="C167" s="83" t="s">
        <v>10919</v>
      </c>
      <c r="D167" s="103"/>
      <c r="E167" s="1"/>
      <c r="F167" s="103"/>
      <c r="G167" s="1"/>
      <c r="H167" s="68"/>
      <c r="I167" s="70"/>
      <c r="J167" s="61"/>
      <c r="K167" s="62"/>
      <c r="L167" s="63"/>
      <c r="M167" s="85"/>
      <c r="N167" s="64"/>
      <c r="O167" s="65"/>
      <c r="P167" s="99"/>
      <c r="Q167" s="70"/>
      <c r="R167" s="61"/>
      <c r="S167" s="62"/>
      <c r="T167" s="63"/>
      <c r="U167" s="75"/>
      <c r="V167" s="61"/>
      <c r="W167" s="62"/>
      <c r="X167" s="63"/>
      <c r="Y167" s="75"/>
      <c r="Z167" s="120">
        <f>+ROUND((ROUND((_15_同援日１．０＿１．０*(1+_15・B深夜)),0)*(1+_15・区４)),0)</f>
        <v>406</v>
      </c>
      <c r="AA167" s="69"/>
    </row>
    <row r="168" spans="1:27" ht="16.5" customHeight="1" x14ac:dyDescent="0.3">
      <c r="A168" s="2">
        <v>15</v>
      </c>
      <c r="B168" s="2" t="s">
        <v>466</v>
      </c>
      <c r="C168" s="83" t="s">
        <v>10918</v>
      </c>
      <c r="D168" s="103"/>
      <c r="E168" s="1"/>
      <c r="F168" s="103"/>
      <c r="G168" s="1"/>
      <c r="H168" s="68"/>
      <c r="I168" s="70"/>
      <c r="J168" s="66"/>
      <c r="K168" s="57"/>
      <c r="L168" s="58"/>
      <c r="M168" s="83" t="s">
        <v>5895</v>
      </c>
      <c r="N168" s="64" t="s">
        <v>1</v>
      </c>
      <c r="O168" s="65">
        <v>1</v>
      </c>
      <c r="P168" s="99"/>
      <c r="Q168" s="70"/>
      <c r="R168" s="67"/>
      <c r="S168" s="68"/>
      <c r="T168" s="76"/>
      <c r="U168" s="70"/>
      <c r="V168" s="67"/>
      <c r="W168" s="68"/>
      <c r="X168" s="76"/>
      <c r="Y168" s="70"/>
      <c r="Z168" s="120">
        <f>+ROUND((ROUND((ROUND((_15_同援日１．０＿１．０*_15・２人),0)*(1+_15・B深夜)),0)*(1+_15・区４)),0)</f>
        <v>406</v>
      </c>
      <c r="AA168" s="69"/>
    </row>
    <row r="169" spans="1:27" ht="16.5" customHeight="1" x14ac:dyDescent="0.3">
      <c r="A169" s="2">
        <v>15</v>
      </c>
      <c r="B169" s="2" t="s">
        <v>467</v>
      </c>
      <c r="C169" s="83" t="s">
        <v>10917</v>
      </c>
      <c r="D169" s="103"/>
      <c r="E169" s="1"/>
      <c r="F169" s="103"/>
      <c r="G169" s="1"/>
      <c r="H169" s="68"/>
      <c r="I169" s="70"/>
      <c r="J169" s="74" t="s">
        <v>16912</v>
      </c>
      <c r="K169" s="62"/>
      <c r="L169" s="63"/>
      <c r="M169" s="85"/>
      <c r="N169" s="64"/>
      <c r="O169" s="65"/>
      <c r="P169" s="99"/>
      <c r="Q169" s="70"/>
      <c r="R169" s="67"/>
      <c r="S169" s="68"/>
      <c r="T169" s="76"/>
      <c r="U169" s="70"/>
      <c r="V169" s="1" t="s">
        <v>18100</v>
      </c>
      <c r="W169" s="68"/>
      <c r="X169" s="76"/>
      <c r="Y169" s="70"/>
      <c r="Z169" s="120">
        <f>+ROUND((ROUND((ROUND((_15_同援日１．０＿１．０*_15・基礎２),0)*(1+_15・B深夜)),0)*(1+_15・区４)),0)</f>
        <v>365</v>
      </c>
      <c r="AA169" s="69"/>
    </row>
    <row r="170" spans="1:27" ht="16.5" customHeight="1" x14ac:dyDescent="0.3">
      <c r="A170" s="2">
        <v>15</v>
      </c>
      <c r="B170" s="2" t="s">
        <v>468</v>
      </c>
      <c r="C170" s="83" t="s">
        <v>10916</v>
      </c>
      <c r="D170" s="103"/>
      <c r="E170" s="1"/>
      <c r="F170" s="103"/>
      <c r="G170" s="1"/>
      <c r="H170" s="68"/>
      <c r="I170" s="70"/>
      <c r="J170" s="106" t="s">
        <v>16916</v>
      </c>
      <c r="K170" s="57" t="s">
        <v>1</v>
      </c>
      <c r="L170" s="58">
        <v>0.9</v>
      </c>
      <c r="M170" s="83" t="s">
        <v>5895</v>
      </c>
      <c r="N170" s="64" t="s">
        <v>1</v>
      </c>
      <c r="O170" s="65">
        <v>1</v>
      </c>
      <c r="P170" s="99"/>
      <c r="Q170" s="70"/>
      <c r="R170" s="66"/>
      <c r="S170" s="57"/>
      <c r="T170" s="58"/>
      <c r="U170" s="77"/>
      <c r="V170" s="1" t="s">
        <v>8087</v>
      </c>
      <c r="W170" s="68"/>
      <c r="X170" s="76"/>
      <c r="Y170" s="70"/>
      <c r="Z170" s="120">
        <f>+ROUND((ROUND((ROUND((ROUND((_15_同援日１．０＿１．０*_15・基礎２),0)*_15・２人),0)*(1+_15・B深夜)),0)*(1+_15・区４)),0)</f>
        <v>365</v>
      </c>
      <c r="AA170" s="69"/>
    </row>
    <row r="171" spans="1:27" ht="16.5" customHeight="1" x14ac:dyDescent="0.3">
      <c r="A171" s="2">
        <v>15</v>
      </c>
      <c r="B171" s="2" t="s">
        <v>469</v>
      </c>
      <c r="C171" s="83" t="s">
        <v>10915</v>
      </c>
      <c r="D171" s="103"/>
      <c r="E171" s="1"/>
      <c r="F171" s="103"/>
      <c r="G171" s="1"/>
      <c r="H171" s="68"/>
      <c r="I171" s="70"/>
      <c r="J171" s="61"/>
      <c r="K171" s="62"/>
      <c r="L171" s="63"/>
      <c r="M171" s="85"/>
      <c r="N171" s="64"/>
      <c r="O171" s="65"/>
      <c r="P171" s="99"/>
      <c r="Q171" s="70"/>
      <c r="R171" s="74" t="s">
        <v>8085</v>
      </c>
      <c r="S171" s="62"/>
      <c r="T171" s="63"/>
      <c r="U171" s="75"/>
      <c r="V171" s="67"/>
      <c r="W171" s="68" t="s">
        <v>1</v>
      </c>
      <c r="X171" s="76">
        <v>0.4</v>
      </c>
      <c r="Y171" s="70" t="s">
        <v>422</v>
      </c>
      <c r="Z171" s="120">
        <f>+ROUND((ROUND((ROUND((_15_同援日１．０＿１．０*(1+_15・B深夜)),0)*(1+_15・盲ろう)),0)*(1+_15・区４)),0)</f>
        <v>508</v>
      </c>
      <c r="AA171" s="69"/>
    </row>
    <row r="172" spans="1:27" ht="16.5" customHeight="1" x14ac:dyDescent="0.3">
      <c r="A172" s="2">
        <v>15</v>
      </c>
      <c r="B172" s="2" t="s">
        <v>470</v>
      </c>
      <c r="C172" s="83" t="s">
        <v>10914</v>
      </c>
      <c r="D172" s="103"/>
      <c r="E172" s="1"/>
      <c r="F172" s="103"/>
      <c r="G172" s="1"/>
      <c r="H172" s="68"/>
      <c r="I172" s="70"/>
      <c r="J172" s="66"/>
      <c r="K172" s="57"/>
      <c r="L172" s="58"/>
      <c r="M172" s="83" t="s">
        <v>5895</v>
      </c>
      <c r="N172" s="64" t="s">
        <v>1</v>
      </c>
      <c r="O172" s="65">
        <v>1</v>
      </c>
      <c r="P172" s="99"/>
      <c r="Q172" s="70"/>
      <c r="R172" s="94" t="s">
        <v>18097</v>
      </c>
      <c r="S172" s="68"/>
      <c r="T172" s="76"/>
      <c r="U172" s="70"/>
      <c r="V172" s="67"/>
      <c r="W172" s="68"/>
      <c r="X172" s="76"/>
      <c r="Y172" s="70"/>
      <c r="Z172" s="120">
        <f>+ROUND((ROUND((ROUND((ROUND((_15_同援日１．０＿１．０*_15・２人),0)*(1+_15・B深夜)),0)*(1+_15・盲ろう)),0)*(1+_15・区４)),0)</f>
        <v>508</v>
      </c>
      <c r="AA172" s="69"/>
    </row>
    <row r="173" spans="1:27" ht="16.5" customHeight="1" x14ac:dyDescent="0.3">
      <c r="A173" s="2">
        <v>15</v>
      </c>
      <c r="B173" s="2" t="s">
        <v>471</v>
      </c>
      <c r="C173" s="83" t="s">
        <v>10913</v>
      </c>
      <c r="D173" s="103"/>
      <c r="E173" s="1"/>
      <c r="F173" s="103"/>
      <c r="G173" s="1"/>
      <c r="H173" s="68"/>
      <c r="I173" s="70"/>
      <c r="J173" s="74" t="s">
        <v>16912</v>
      </c>
      <c r="K173" s="62"/>
      <c r="L173" s="63"/>
      <c r="M173" s="85"/>
      <c r="N173" s="64"/>
      <c r="O173" s="65"/>
      <c r="P173" s="99"/>
      <c r="Q173" s="70"/>
      <c r="R173" s="67"/>
      <c r="S173" s="68" t="s">
        <v>1</v>
      </c>
      <c r="T173" s="76">
        <v>0.25</v>
      </c>
      <c r="U173" s="70" t="s">
        <v>422</v>
      </c>
      <c r="V173" s="67"/>
      <c r="W173" s="68"/>
      <c r="X173" s="76"/>
      <c r="Y173" s="70"/>
      <c r="Z173" s="120">
        <f>+ROUND((ROUND((ROUND((ROUND((_15_同援日１．０＿１．０*_15・基礎２),0)*(1+_15・B深夜)),0)*(1+_15・盲ろう)),0)*(1+_15・区４)),0)</f>
        <v>456</v>
      </c>
      <c r="AA173" s="69"/>
    </row>
    <row r="174" spans="1:27" ht="16.5" customHeight="1" x14ac:dyDescent="0.3">
      <c r="A174" s="2">
        <v>15</v>
      </c>
      <c r="B174" s="2" t="s">
        <v>472</v>
      </c>
      <c r="C174" s="83" t="s">
        <v>10912</v>
      </c>
      <c r="D174" s="103"/>
      <c r="E174" s="1"/>
      <c r="F174" s="103"/>
      <c r="G174" s="81"/>
      <c r="H174" s="57"/>
      <c r="I174" s="77"/>
      <c r="J174" s="106" t="s">
        <v>16916</v>
      </c>
      <c r="K174" s="57" t="s">
        <v>1</v>
      </c>
      <c r="L174" s="58">
        <v>0.9</v>
      </c>
      <c r="M174" s="83" t="s">
        <v>5895</v>
      </c>
      <c r="N174" s="64" t="s">
        <v>1</v>
      </c>
      <c r="O174" s="65">
        <v>1</v>
      </c>
      <c r="P174" s="99"/>
      <c r="Q174" s="70"/>
      <c r="R174" s="66"/>
      <c r="S174" s="57"/>
      <c r="T174" s="58"/>
      <c r="U174" s="77"/>
      <c r="V174" s="66"/>
      <c r="W174" s="57"/>
      <c r="X174" s="58"/>
      <c r="Y174" s="77"/>
      <c r="Z174" s="120">
        <f>+ROUND((ROUND((ROUND((ROUND((ROUND((_15_同援日１．０＿１．０*_15・基礎２),0)*_15・２人),0)*(1+_15・B深夜)),0)*(1+_15・盲ろう)),0)*(1+_15・区４)),0)</f>
        <v>456</v>
      </c>
      <c r="AA174" s="69"/>
    </row>
    <row r="175" spans="1:27" ht="16.5" customHeight="1" x14ac:dyDescent="0.3">
      <c r="A175" s="2">
        <v>15</v>
      </c>
      <c r="B175" s="2" t="s">
        <v>473</v>
      </c>
      <c r="C175" s="83" t="s">
        <v>10911</v>
      </c>
      <c r="D175" s="103"/>
      <c r="E175" s="1"/>
      <c r="F175" s="103"/>
      <c r="G175" s="233" t="s">
        <v>16945</v>
      </c>
      <c r="H175" s="62"/>
      <c r="I175" s="75"/>
      <c r="J175" s="61"/>
      <c r="K175" s="62"/>
      <c r="L175" s="63"/>
      <c r="M175" s="85"/>
      <c r="N175" s="64"/>
      <c r="O175" s="65"/>
      <c r="P175" s="99"/>
      <c r="Q175" s="70"/>
      <c r="R175" s="61"/>
      <c r="S175" s="62"/>
      <c r="T175" s="63"/>
      <c r="U175" s="75"/>
      <c r="V175" s="61"/>
      <c r="W175" s="62"/>
      <c r="X175" s="63"/>
      <c r="Y175" s="75"/>
      <c r="Z175" s="120">
        <f>+ROUND((_15_同援日１．０＿１．５*(1+_15・B深夜)),0)</f>
        <v>384</v>
      </c>
      <c r="AA175" s="69"/>
    </row>
    <row r="176" spans="1:27" ht="16.5" customHeight="1" x14ac:dyDescent="0.3">
      <c r="A176" s="2">
        <v>15</v>
      </c>
      <c r="B176" s="2" t="s">
        <v>474</v>
      </c>
      <c r="C176" s="83" t="s">
        <v>10910</v>
      </c>
      <c r="D176" s="103"/>
      <c r="E176" s="1"/>
      <c r="F176" s="103"/>
      <c r="G176" s="1" t="s">
        <v>16944</v>
      </c>
      <c r="H176" s="68"/>
      <c r="I176" s="70"/>
      <c r="J176" s="66"/>
      <c r="K176" s="57"/>
      <c r="L176" s="58"/>
      <c r="M176" s="83" t="s">
        <v>5895</v>
      </c>
      <c r="N176" s="64" t="s">
        <v>1</v>
      </c>
      <c r="O176" s="65">
        <v>1</v>
      </c>
      <c r="P176" s="99"/>
      <c r="Q176" s="70"/>
      <c r="R176" s="67"/>
      <c r="S176" s="68"/>
      <c r="T176" s="76"/>
      <c r="U176" s="70"/>
      <c r="V176" s="67"/>
      <c r="W176" s="68"/>
      <c r="X176" s="76"/>
      <c r="Y176" s="70"/>
      <c r="Z176" s="120">
        <f>+ROUND((ROUND((_15_同援日１．０＿１．５*_15・２人),0)*(1+_15・B深夜)),0)</f>
        <v>384</v>
      </c>
      <c r="AA176" s="69"/>
    </row>
    <row r="177" spans="1:27" ht="16.5" customHeight="1" x14ac:dyDescent="0.3">
      <c r="A177" s="2">
        <v>15</v>
      </c>
      <c r="B177" s="2" t="s">
        <v>475</v>
      </c>
      <c r="C177" s="83" t="s">
        <v>10909</v>
      </c>
      <c r="D177" s="103"/>
      <c r="E177" s="1"/>
      <c r="F177" s="103"/>
      <c r="G177" s="1" t="s">
        <v>8767</v>
      </c>
      <c r="H177" s="68"/>
      <c r="I177" s="70"/>
      <c r="J177" s="74" t="s">
        <v>16912</v>
      </c>
      <c r="K177" s="62"/>
      <c r="L177" s="63"/>
      <c r="M177" s="85"/>
      <c r="N177" s="64"/>
      <c r="O177" s="65"/>
      <c r="P177" s="99"/>
      <c r="Q177" s="70"/>
      <c r="R177" s="67"/>
      <c r="S177" s="68"/>
      <c r="T177" s="76"/>
      <c r="U177" s="70"/>
      <c r="V177" s="67"/>
      <c r="W177" s="68"/>
      <c r="X177" s="76"/>
      <c r="Y177" s="70"/>
      <c r="Z177" s="120">
        <f>+ROUND((ROUND((_15_同援日１．０＿１．５*_15・基礎２),0)*(1+_15・B深夜)),0)</f>
        <v>345</v>
      </c>
      <c r="AA177" s="69"/>
    </row>
    <row r="178" spans="1:27" ht="16.5" customHeight="1" x14ac:dyDescent="0.3">
      <c r="A178" s="2">
        <v>15</v>
      </c>
      <c r="B178" s="2" t="s">
        <v>476</v>
      </c>
      <c r="C178" s="83" t="s">
        <v>10908</v>
      </c>
      <c r="D178" s="103"/>
      <c r="E178" s="1"/>
      <c r="F178" s="103"/>
      <c r="G178" s="1"/>
      <c r="H178" s="119">
        <v>256</v>
      </c>
      <c r="I178" s="70" t="s">
        <v>0</v>
      </c>
      <c r="J178" s="106" t="s">
        <v>16916</v>
      </c>
      <c r="K178" s="57" t="s">
        <v>1</v>
      </c>
      <c r="L178" s="58">
        <v>0.9</v>
      </c>
      <c r="M178" s="83" t="s">
        <v>5895</v>
      </c>
      <c r="N178" s="64" t="s">
        <v>1</v>
      </c>
      <c r="O178" s="65">
        <v>1</v>
      </c>
      <c r="P178" s="99"/>
      <c r="Q178" s="70"/>
      <c r="R178" s="66"/>
      <c r="S178" s="57"/>
      <c r="T178" s="58"/>
      <c r="U178" s="77"/>
      <c r="V178" s="67"/>
      <c r="W178" s="68"/>
      <c r="X178" s="76"/>
      <c r="Y178" s="70"/>
      <c r="Z178" s="120">
        <f>+ROUND((ROUND((ROUND((_15_同援日１．０＿１．５*_15・基礎２),0)*_15・２人),0)*(1+_15・B深夜)),0)</f>
        <v>345</v>
      </c>
      <c r="AA178" s="69"/>
    </row>
    <row r="179" spans="1:27" ht="16.5" customHeight="1" x14ac:dyDescent="0.3">
      <c r="A179" s="2">
        <v>15</v>
      </c>
      <c r="B179" s="2" t="s">
        <v>477</v>
      </c>
      <c r="C179" s="83" t="s">
        <v>10907</v>
      </c>
      <c r="D179" s="103"/>
      <c r="E179" s="1"/>
      <c r="F179" s="103"/>
      <c r="G179" s="1"/>
      <c r="H179" s="68"/>
      <c r="I179" s="70"/>
      <c r="J179" s="61"/>
      <c r="K179" s="62"/>
      <c r="L179" s="63"/>
      <c r="M179" s="85"/>
      <c r="N179" s="64"/>
      <c r="O179" s="65"/>
      <c r="P179" s="99"/>
      <c r="Q179" s="70"/>
      <c r="R179" s="74" t="s">
        <v>18098</v>
      </c>
      <c r="S179" s="62"/>
      <c r="T179" s="63"/>
      <c r="U179" s="75"/>
      <c r="V179" s="67"/>
      <c r="W179" s="68"/>
      <c r="X179" s="76"/>
      <c r="Y179" s="70"/>
      <c r="Z179" s="120">
        <f>+ROUND((ROUND((_15_同援日１．０＿１．５*(1+_15・B深夜)),0)*(1+_15・盲ろう)),0)</f>
        <v>480</v>
      </c>
      <c r="AA179" s="69"/>
    </row>
    <row r="180" spans="1:27" ht="16.5" customHeight="1" x14ac:dyDescent="0.3">
      <c r="A180" s="2">
        <v>15</v>
      </c>
      <c r="B180" s="2" t="s">
        <v>478</v>
      </c>
      <c r="C180" s="83" t="s">
        <v>10906</v>
      </c>
      <c r="D180" s="103"/>
      <c r="E180" s="1"/>
      <c r="F180" s="103"/>
      <c r="G180" s="1"/>
      <c r="H180" s="68"/>
      <c r="I180" s="70"/>
      <c r="J180" s="66"/>
      <c r="K180" s="57"/>
      <c r="L180" s="58"/>
      <c r="M180" s="83" t="s">
        <v>5895</v>
      </c>
      <c r="N180" s="64" t="s">
        <v>1</v>
      </c>
      <c r="O180" s="65">
        <v>1</v>
      </c>
      <c r="P180" s="99"/>
      <c r="Q180" s="70"/>
      <c r="R180" s="94" t="s">
        <v>18097</v>
      </c>
      <c r="S180" s="68"/>
      <c r="T180" s="76"/>
      <c r="U180" s="70"/>
      <c r="V180" s="67"/>
      <c r="W180" s="68"/>
      <c r="X180" s="76"/>
      <c r="Y180" s="70"/>
      <c r="Z180" s="120">
        <f>+ROUND((ROUND((ROUND((_15_同援日１．０＿１．５*_15・２人),0)*(1+_15・B深夜)),0)*(1+_15・盲ろう)),0)</f>
        <v>480</v>
      </c>
      <c r="AA180" s="69"/>
    </row>
    <row r="181" spans="1:27" ht="16.5" customHeight="1" x14ac:dyDescent="0.3">
      <c r="A181" s="2">
        <v>15</v>
      </c>
      <c r="B181" s="2" t="s">
        <v>479</v>
      </c>
      <c r="C181" s="83" t="s">
        <v>10905</v>
      </c>
      <c r="D181" s="103"/>
      <c r="E181" s="1"/>
      <c r="F181" s="103"/>
      <c r="G181" s="1"/>
      <c r="H181" s="68"/>
      <c r="I181" s="70"/>
      <c r="J181" s="74" t="s">
        <v>16912</v>
      </c>
      <c r="K181" s="62"/>
      <c r="L181" s="63"/>
      <c r="M181" s="85"/>
      <c r="N181" s="64"/>
      <c r="O181" s="65"/>
      <c r="P181" s="99"/>
      <c r="Q181" s="70"/>
      <c r="R181" s="67"/>
      <c r="S181" s="68" t="s">
        <v>1</v>
      </c>
      <c r="T181" s="76">
        <v>0.25</v>
      </c>
      <c r="U181" s="70" t="s">
        <v>422</v>
      </c>
      <c r="V181" s="67"/>
      <c r="W181" s="68"/>
      <c r="X181" s="76"/>
      <c r="Y181" s="70"/>
      <c r="Z181" s="120">
        <f>+ROUND((ROUND((ROUND((_15_同援日１．０＿１．５*_15・基礎２),0)*(1+_15・B深夜)),0)*(1+_15・盲ろう)),0)</f>
        <v>431</v>
      </c>
      <c r="AA181" s="69"/>
    </row>
    <row r="182" spans="1:27" ht="16.5" customHeight="1" x14ac:dyDescent="0.3">
      <c r="A182" s="2">
        <v>15</v>
      </c>
      <c r="B182" s="2" t="s">
        <v>480</v>
      </c>
      <c r="C182" s="83" t="s">
        <v>10904</v>
      </c>
      <c r="D182" s="103"/>
      <c r="E182" s="1"/>
      <c r="F182" s="103"/>
      <c r="G182" s="1"/>
      <c r="H182" s="68"/>
      <c r="I182" s="70"/>
      <c r="J182" s="106" t="s">
        <v>16916</v>
      </c>
      <c r="K182" s="57" t="s">
        <v>1</v>
      </c>
      <c r="L182" s="58">
        <v>0.9</v>
      </c>
      <c r="M182" s="83" t="s">
        <v>5895</v>
      </c>
      <c r="N182" s="64" t="s">
        <v>1</v>
      </c>
      <c r="O182" s="65">
        <v>1</v>
      </c>
      <c r="P182" s="99"/>
      <c r="Q182" s="70"/>
      <c r="R182" s="66"/>
      <c r="S182" s="57"/>
      <c r="T182" s="58"/>
      <c r="U182" s="77"/>
      <c r="V182" s="66"/>
      <c r="W182" s="57"/>
      <c r="X182" s="58"/>
      <c r="Y182" s="77"/>
      <c r="Z182" s="120">
        <f>+ROUND((ROUND((ROUND((ROUND((_15_同援日１．０＿１．５*_15・基礎２),0)*_15・２人),0)*(1+_15・B深夜)),0)*(1+_15・盲ろう)),0)</f>
        <v>431</v>
      </c>
      <c r="AA182" s="69"/>
    </row>
    <row r="183" spans="1:27" ht="16.5" customHeight="1" x14ac:dyDescent="0.3">
      <c r="A183" s="2">
        <v>15</v>
      </c>
      <c r="B183" s="2" t="s">
        <v>481</v>
      </c>
      <c r="C183" s="83" t="s">
        <v>10903</v>
      </c>
      <c r="D183" s="103"/>
      <c r="E183" s="1"/>
      <c r="F183" s="103"/>
      <c r="G183" s="1"/>
      <c r="H183" s="68"/>
      <c r="I183" s="70"/>
      <c r="J183" s="61"/>
      <c r="K183" s="62"/>
      <c r="L183" s="63"/>
      <c r="M183" s="85"/>
      <c r="N183" s="64"/>
      <c r="O183" s="65"/>
      <c r="P183" s="99"/>
      <c r="Q183" s="70"/>
      <c r="R183" s="61"/>
      <c r="S183" s="62"/>
      <c r="T183" s="63"/>
      <c r="U183" s="75"/>
      <c r="V183" s="61"/>
      <c r="W183" s="62"/>
      <c r="X183" s="63"/>
      <c r="Y183" s="75"/>
      <c r="Z183" s="120">
        <f>+ROUND((ROUND((_15_同援日１．０＿１．５*(1+_15・B深夜)),0)*(1+_15・区３)),0)</f>
        <v>461</v>
      </c>
      <c r="AA183" s="69"/>
    </row>
    <row r="184" spans="1:27" ht="16.5" customHeight="1" x14ac:dyDescent="0.3">
      <c r="A184" s="2">
        <v>15</v>
      </c>
      <c r="B184" s="2" t="s">
        <v>482</v>
      </c>
      <c r="C184" s="83" t="s">
        <v>10902</v>
      </c>
      <c r="D184" s="103"/>
      <c r="E184" s="1"/>
      <c r="F184" s="103"/>
      <c r="G184" s="1"/>
      <c r="H184" s="68"/>
      <c r="I184" s="70"/>
      <c r="J184" s="66"/>
      <c r="K184" s="57"/>
      <c r="L184" s="58"/>
      <c r="M184" s="83" t="s">
        <v>5895</v>
      </c>
      <c r="N184" s="64" t="s">
        <v>1</v>
      </c>
      <c r="O184" s="65">
        <v>1</v>
      </c>
      <c r="P184" s="99"/>
      <c r="Q184" s="70"/>
      <c r="R184" s="67"/>
      <c r="S184" s="68"/>
      <c r="T184" s="76"/>
      <c r="U184" s="70"/>
      <c r="V184" s="67"/>
      <c r="W184" s="68"/>
      <c r="X184" s="76"/>
      <c r="Y184" s="70"/>
      <c r="Z184" s="120">
        <f>+ROUND((ROUND((ROUND((_15_同援日１．０＿１．５*_15・２人),0)*(1+_15・B深夜)),0)*(1+_15・区３)),0)</f>
        <v>461</v>
      </c>
      <c r="AA184" s="69"/>
    </row>
    <row r="185" spans="1:27" ht="16.5" customHeight="1" x14ac:dyDescent="0.3">
      <c r="A185" s="2">
        <v>15</v>
      </c>
      <c r="B185" s="2" t="s">
        <v>483</v>
      </c>
      <c r="C185" s="83" t="s">
        <v>10901</v>
      </c>
      <c r="D185" s="103"/>
      <c r="E185" s="1"/>
      <c r="F185" s="103"/>
      <c r="G185" s="1"/>
      <c r="H185" s="68"/>
      <c r="I185" s="70"/>
      <c r="J185" s="74" t="s">
        <v>16912</v>
      </c>
      <c r="K185" s="62"/>
      <c r="L185" s="63"/>
      <c r="M185" s="85"/>
      <c r="N185" s="64"/>
      <c r="O185" s="65"/>
      <c r="P185" s="99"/>
      <c r="Q185" s="70"/>
      <c r="R185" s="67"/>
      <c r="S185" s="68"/>
      <c r="T185" s="76"/>
      <c r="U185" s="70"/>
      <c r="V185" s="1" t="s">
        <v>18101</v>
      </c>
      <c r="W185" s="68"/>
      <c r="X185" s="76"/>
      <c r="Y185" s="70"/>
      <c r="Z185" s="120">
        <f>+ROUND((ROUND((ROUND((_15_同援日１．０＿１．５*_15・基礎２),0)*(1+_15・B深夜)),0)*(1+_15・区３)),0)</f>
        <v>414</v>
      </c>
      <c r="AA185" s="69"/>
    </row>
    <row r="186" spans="1:27" ht="16.5" customHeight="1" x14ac:dyDescent="0.3">
      <c r="A186" s="2">
        <v>15</v>
      </c>
      <c r="B186" s="2" t="s">
        <v>484</v>
      </c>
      <c r="C186" s="83" t="s">
        <v>10900</v>
      </c>
      <c r="D186" s="103"/>
      <c r="E186" s="1"/>
      <c r="F186" s="103"/>
      <c r="G186" s="1"/>
      <c r="H186" s="68"/>
      <c r="I186" s="70"/>
      <c r="J186" s="106" t="s">
        <v>16916</v>
      </c>
      <c r="K186" s="57" t="s">
        <v>1</v>
      </c>
      <c r="L186" s="58">
        <v>0.9</v>
      </c>
      <c r="M186" s="83" t="s">
        <v>5895</v>
      </c>
      <c r="N186" s="64" t="s">
        <v>1</v>
      </c>
      <c r="O186" s="65">
        <v>1</v>
      </c>
      <c r="P186" s="99"/>
      <c r="Q186" s="70"/>
      <c r="R186" s="66"/>
      <c r="S186" s="57"/>
      <c r="T186" s="58"/>
      <c r="U186" s="77"/>
      <c r="V186" s="1" t="s">
        <v>18099</v>
      </c>
      <c r="W186" s="68"/>
      <c r="X186" s="76"/>
      <c r="Y186" s="70"/>
      <c r="Z186" s="120">
        <f>+ROUND((ROUND((ROUND((ROUND((_15_同援日１．０＿１．５*_15・基礎２),0)*_15・２人),0)*(1+_15・B深夜)),0)*(1+_15・区３)),0)</f>
        <v>414</v>
      </c>
      <c r="AA186" s="69"/>
    </row>
    <row r="187" spans="1:27" ht="16.5" customHeight="1" x14ac:dyDescent="0.3">
      <c r="A187" s="2">
        <v>15</v>
      </c>
      <c r="B187" s="2" t="s">
        <v>485</v>
      </c>
      <c r="C187" s="83" t="s">
        <v>10899</v>
      </c>
      <c r="D187" s="103"/>
      <c r="E187" s="1"/>
      <c r="F187" s="103"/>
      <c r="G187" s="1"/>
      <c r="H187" s="68"/>
      <c r="I187" s="70"/>
      <c r="J187" s="61"/>
      <c r="K187" s="62"/>
      <c r="L187" s="63"/>
      <c r="M187" s="85"/>
      <c r="N187" s="64"/>
      <c r="O187" s="65"/>
      <c r="P187" s="99"/>
      <c r="Q187" s="70"/>
      <c r="R187" s="74" t="s">
        <v>18098</v>
      </c>
      <c r="S187" s="62"/>
      <c r="T187" s="63"/>
      <c r="U187" s="75"/>
      <c r="V187" s="67"/>
      <c r="W187" s="68" t="s">
        <v>1</v>
      </c>
      <c r="X187" s="76">
        <v>0.2</v>
      </c>
      <c r="Y187" s="70" t="s">
        <v>422</v>
      </c>
      <c r="Z187" s="120">
        <f>+ROUND((ROUND((ROUND((_15_同援日１．０＿１．５*(1+_15・B深夜)),0)*(1+_15・盲ろう)),0)*(1+_15・区３)),0)</f>
        <v>576</v>
      </c>
      <c r="AA187" s="69"/>
    </row>
    <row r="188" spans="1:27" ht="16.5" customHeight="1" x14ac:dyDescent="0.3">
      <c r="A188" s="2">
        <v>15</v>
      </c>
      <c r="B188" s="2" t="s">
        <v>486</v>
      </c>
      <c r="C188" s="83" t="s">
        <v>10898</v>
      </c>
      <c r="D188" s="103"/>
      <c r="E188" s="1"/>
      <c r="F188" s="103"/>
      <c r="G188" s="1"/>
      <c r="H188" s="68"/>
      <c r="I188" s="70"/>
      <c r="J188" s="66"/>
      <c r="K188" s="57"/>
      <c r="L188" s="58"/>
      <c r="M188" s="83" t="s">
        <v>5895</v>
      </c>
      <c r="N188" s="64" t="s">
        <v>1</v>
      </c>
      <c r="O188" s="65">
        <v>1</v>
      </c>
      <c r="P188" s="99"/>
      <c r="Q188" s="70"/>
      <c r="R188" s="94" t="s">
        <v>18097</v>
      </c>
      <c r="S188" s="68"/>
      <c r="T188" s="76"/>
      <c r="U188" s="70"/>
      <c r="V188" s="67"/>
      <c r="W188" s="68"/>
      <c r="X188" s="76"/>
      <c r="Y188" s="70"/>
      <c r="Z188" s="120">
        <f>+ROUND((ROUND((ROUND((ROUND((_15_同援日１．０＿１．５*_15・２人),0)*(1+_15・B深夜)),0)*(1+_15・盲ろう)),0)*(1+_15・区３)),0)</f>
        <v>576</v>
      </c>
      <c r="AA188" s="69"/>
    </row>
    <row r="189" spans="1:27" ht="16.5" customHeight="1" x14ac:dyDescent="0.3">
      <c r="A189" s="2">
        <v>15</v>
      </c>
      <c r="B189" s="2" t="s">
        <v>487</v>
      </c>
      <c r="C189" s="83" t="s">
        <v>10897</v>
      </c>
      <c r="D189" s="103"/>
      <c r="E189" s="1"/>
      <c r="F189" s="103"/>
      <c r="G189" s="1"/>
      <c r="H189" s="68"/>
      <c r="I189" s="70"/>
      <c r="J189" s="74" t="s">
        <v>16912</v>
      </c>
      <c r="K189" s="62"/>
      <c r="L189" s="63"/>
      <c r="M189" s="85"/>
      <c r="N189" s="64"/>
      <c r="O189" s="65"/>
      <c r="P189" s="99"/>
      <c r="Q189" s="70"/>
      <c r="R189" s="67"/>
      <c r="S189" s="68" t="s">
        <v>1</v>
      </c>
      <c r="T189" s="76">
        <v>0.25</v>
      </c>
      <c r="U189" s="70" t="s">
        <v>422</v>
      </c>
      <c r="V189" s="67"/>
      <c r="W189" s="68"/>
      <c r="X189" s="76"/>
      <c r="Y189" s="70"/>
      <c r="Z189" s="120">
        <f>+ROUND((ROUND((ROUND((ROUND((_15_同援日１．０＿１．５*_15・基礎２),0)*(1+_15・B深夜)),0)*(1+_15・盲ろう)),0)*(1+_15・区３)),0)</f>
        <v>517</v>
      </c>
      <c r="AA189" s="69"/>
    </row>
    <row r="190" spans="1:27" ht="16.5" customHeight="1" x14ac:dyDescent="0.3">
      <c r="A190" s="2">
        <v>15</v>
      </c>
      <c r="B190" s="2" t="s">
        <v>488</v>
      </c>
      <c r="C190" s="83" t="s">
        <v>10896</v>
      </c>
      <c r="D190" s="103"/>
      <c r="E190" s="1"/>
      <c r="F190" s="103"/>
      <c r="G190" s="1"/>
      <c r="H190" s="68"/>
      <c r="I190" s="70"/>
      <c r="J190" s="106" t="s">
        <v>16916</v>
      </c>
      <c r="K190" s="57" t="s">
        <v>1</v>
      </c>
      <c r="L190" s="58">
        <v>0.9</v>
      </c>
      <c r="M190" s="83" t="s">
        <v>5895</v>
      </c>
      <c r="N190" s="64" t="s">
        <v>1</v>
      </c>
      <c r="O190" s="65">
        <v>1</v>
      </c>
      <c r="P190" s="99"/>
      <c r="Q190" s="70"/>
      <c r="R190" s="66"/>
      <c r="S190" s="57"/>
      <c r="T190" s="58"/>
      <c r="U190" s="77"/>
      <c r="V190" s="66"/>
      <c r="W190" s="57"/>
      <c r="X190" s="58"/>
      <c r="Y190" s="77"/>
      <c r="Z190" s="120">
        <f>+ROUND((ROUND((ROUND((ROUND((ROUND((_15_同援日１．０＿１．５*_15・基礎２),0)*_15・２人),0)*(1+_15・B深夜)),0)*(1+_15・盲ろう)),0)*(1+_15・区３)),0)</f>
        <v>517</v>
      </c>
      <c r="AA190" s="69"/>
    </row>
    <row r="191" spans="1:27" ht="16.5" customHeight="1" x14ac:dyDescent="0.3">
      <c r="A191" s="2">
        <v>15</v>
      </c>
      <c r="B191" s="2" t="s">
        <v>489</v>
      </c>
      <c r="C191" s="83" t="s">
        <v>10895</v>
      </c>
      <c r="D191" s="103"/>
      <c r="E191" s="1"/>
      <c r="F191" s="103"/>
      <c r="G191" s="1"/>
      <c r="H191" s="68"/>
      <c r="I191" s="70"/>
      <c r="J191" s="61"/>
      <c r="K191" s="62"/>
      <c r="L191" s="63"/>
      <c r="M191" s="85"/>
      <c r="N191" s="64"/>
      <c r="O191" s="65"/>
      <c r="P191" s="99"/>
      <c r="Q191" s="70"/>
      <c r="R191" s="61"/>
      <c r="S191" s="62"/>
      <c r="T191" s="63"/>
      <c r="U191" s="75"/>
      <c r="V191" s="61"/>
      <c r="W191" s="62"/>
      <c r="X191" s="63"/>
      <c r="Y191" s="75"/>
      <c r="Z191" s="120">
        <f>+ROUND((ROUND((_15_同援日１．０＿１．５*(1+_15・B深夜)),0)*(1+_15・区４)),0)</f>
        <v>538</v>
      </c>
      <c r="AA191" s="69"/>
    </row>
    <row r="192" spans="1:27" ht="16.5" customHeight="1" x14ac:dyDescent="0.3">
      <c r="A192" s="2">
        <v>15</v>
      </c>
      <c r="B192" s="2" t="s">
        <v>490</v>
      </c>
      <c r="C192" s="83" t="s">
        <v>10894</v>
      </c>
      <c r="D192" s="103"/>
      <c r="E192" s="1"/>
      <c r="F192" s="103"/>
      <c r="G192" s="1"/>
      <c r="H192" s="68"/>
      <c r="I192" s="70"/>
      <c r="J192" s="66"/>
      <c r="K192" s="57"/>
      <c r="L192" s="58"/>
      <c r="M192" s="83" t="s">
        <v>5895</v>
      </c>
      <c r="N192" s="64" t="s">
        <v>1</v>
      </c>
      <c r="O192" s="65">
        <v>1</v>
      </c>
      <c r="P192" s="99"/>
      <c r="Q192" s="70"/>
      <c r="R192" s="67"/>
      <c r="S192" s="68"/>
      <c r="T192" s="76"/>
      <c r="U192" s="70"/>
      <c r="V192" s="67"/>
      <c r="W192" s="68"/>
      <c r="X192" s="76"/>
      <c r="Y192" s="70"/>
      <c r="Z192" s="120">
        <f>+ROUND((ROUND((ROUND((_15_同援日１．０＿１．５*_15・２人),0)*(1+_15・B深夜)),0)*(1+_15・区４)),0)</f>
        <v>538</v>
      </c>
      <c r="AA192" s="69"/>
    </row>
    <row r="193" spans="1:27" ht="16.5" customHeight="1" x14ac:dyDescent="0.3">
      <c r="A193" s="2">
        <v>15</v>
      </c>
      <c r="B193" s="2" t="s">
        <v>491</v>
      </c>
      <c r="C193" s="83" t="s">
        <v>10893</v>
      </c>
      <c r="D193" s="103"/>
      <c r="E193" s="1"/>
      <c r="F193" s="103"/>
      <c r="G193" s="1"/>
      <c r="H193" s="68"/>
      <c r="I193" s="70"/>
      <c r="J193" s="74" t="s">
        <v>16912</v>
      </c>
      <c r="K193" s="62"/>
      <c r="L193" s="63"/>
      <c r="M193" s="85"/>
      <c r="N193" s="64"/>
      <c r="O193" s="65"/>
      <c r="P193" s="99"/>
      <c r="Q193" s="70"/>
      <c r="R193" s="67"/>
      <c r="S193" s="68"/>
      <c r="T193" s="76"/>
      <c r="U193" s="70"/>
      <c r="V193" s="1" t="s">
        <v>18100</v>
      </c>
      <c r="W193" s="68"/>
      <c r="X193" s="76"/>
      <c r="Y193" s="70"/>
      <c r="Z193" s="120">
        <f>+ROUND((ROUND((ROUND((_15_同援日１．０＿１．５*_15・基礎２),0)*(1+_15・B深夜)),0)*(1+_15・区４)),0)</f>
        <v>483</v>
      </c>
      <c r="AA193" s="69"/>
    </row>
    <row r="194" spans="1:27" ht="16.5" customHeight="1" x14ac:dyDescent="0.3">
      <c r="A194" s="2">
        <v>15</v>
      </c>
      <c r="B194" s="2" t="s">
        <v>492</v>
      </c>
      <c r="C194" s="83" t="s">
        <v>10892</v>
      </c>
      <c r="D194" s="103"/>
      <c r="E194" s="1"/>
      <c r="F194" s="103"/>
      <c r="G194" s="1"/>
      <c r="H194" s="68"/>
      <c r="I194" s="70"/>
      <c r="J194" s="106" t="s">
        <v>16916</v>
      </c>
      <c r="K194" s="57" t="s">
        <v>1</v>
      </c>
      <c r="L194" s="58">
        <v>0.9</v>
      </c>
      <c r="M194" s="83" t="s">
        <v>5895</v>
      </c>
      <c r="N194" s="64" t="s">
        <v>1</v>
      </c>
      <c r="O194" s="65">
        <v>1</v>
      </c>
      <c r="P194" s="99"/>
      <c r="Q194" s="70"/>
      <c r="R194" s="66"/>
      <c r="S194" s="57"/>
      <c r="T194" s="58"/>
      <c r="U194" s="77"/>
      <c r="V194" s="1" t="s">
        <v>18099</v>
      </c>
      <c r="W194" s="68"/>
      <c r="X194" s="76"/>
      <c r="Y194" s="70"/>
      <c r="Z194" s="120">
        <f>+ROUND((ROUND((ROUND((ROUND((_15_同援日１．０＿１．５*_15・基礎２),0)*_15・２人),0)*(1+_15・B深夜)),0)*(1+_15・区４)),0)</f>
        <v>483</v>
      </c>
      <c r="AA194" s="69"/>
    </row>
    <row r="195" spans="1:27" ht="16.5" customHeight="1" x14ac:dyDescent="0.3">
      <c r="A195" s="2">
        <v>15</v>
      </c>
      <c r="B195" s="2" t="s">
        <v>493</v>
      </c>
      <c r="C195" s="83" t="s">
        <v>10891</v>
      </c>
      <c r="D195" s="103"/>
      <c r="E195" s="1"/>
      <c r="F195" s="103"/>
      <c r="G195" s="1"/>
      <c r="H195" s="68"/>
      <c r="I195" s="70"/>
      <c r="J195" s="61"/>
      <c r="K195" s="62"/>
      <c r="L195" s="63"/>
      <c r="M195" s="85"/>
      <c r="N195" s="64"/>
      <c r="O195" s="65"/>
      <c r="P195" s="99"/>
      <c r="Q195" s="70"/>
      <c r="R195" s="74" t="s">
        <v>18098</v>
      </c>
      <c r="S195" s="62"/>
      <c r="T195" s="63"/>
      <c r="U195" s="75"/>
      <c r="V195" s="67"/>
      <c r="W195" s="68" t="s">
        <v>1</v>
      </c>
      <c r="X195" s="76">
        <v>0.4</v>
      </c>
      <c r="Y195" s="70" t="s">
        <v>422</v>
      </c>
      <c r="Z195" s="120">
        <f>+ROUND((ROUND((ROUND((_15_同援日１．０＿１．５*(1+_15・B深夜)),0)*(1+_15・盲ろう)),0)*(1+_15・区４)),0)</f>
        <v>672</v>
      </c>
      <c r="AA195" s="69"/>
    </row>
    <row r="196" spans="1:27" ht="16.5" customHeight="1" x14ac:dyDescent="0.3">
      <c r="A196" s="2">
        <v>15</v>
      </c>
      <c r="B196" s="2" t="s">
        <v>494</v>
      </c>
      <c r="C196" s="83" t="s">
        <v>10890</v>
      </c>
      <c r="D196" s="103"/>
      <c r="E196" s="1"/>
      <c r="F196" s="103"/>
      <c r="G196" s="1"/>
      <c r="H196" s="68"/>
      <c r="I196" s="70"/>
      <c r="J196" s="66"/>
      <c r="K196" s="57"/>
      <c r="L196" s="58"/>
      <c r="M196" s="83" t="s">
        <v>5895</v>
      </c>
      <c r="N196" s="64" t="s">
        <v>1</v>
      </c>
      <c r="O196" s="65">
        <v>1</v>
      </c>
      <c r="P196" s="99"/>
      <c r="Q196" s="70"/>
      <c r="R196" s="94" t="s">
        <v>18097</v>
      </c>
      <c r="S196" s="68"/>
      <c r="T196" s="76"/>
      <c r="U196" s="70"/>
      <c r="V196" s="67"/>
      <c r="W196" s="68"/>
      <c r="X196" s="76"/>
      <c r="Y196" s="70"/>
      <c r="Z196" s="120">
        <f>+ROUND((ROUND((ROUND((ROUND((_15_同援日１．０＿１．５*_15・２人),0)*(1+_15・B深夜)),0)*(1+_15・盲ろう)),0)*(1+_15・区４)),0)</f>
        <v>672</v>
      </c>
      <c r="AA196" s="69"/>
    </row>
    <row r="197" spans="1:27" ht="16.5" customHeight="1" x14ac:dyDescent="0.3">
      <c r="A197" s="2">
        <v>15</v>
      </c>
      <c r="B197" s="2" t="s">
        <v>495</v>
      </c>
      <c r="C197" s="83" t="s">
        <v>10889</v>
      </c>
      <c r="D197" s="103"/>
      <c r="E197" s="1"/>
      <c r="F197" s="103"/>
      <c r="G197" s="1"/>
      <c r="H197" s="68"/>
      <c r="I197" s="70"/>
      <c r="J197" s="74" t="s">
        <v>16912</v>
      </c>
      <c r="K197" s="62"/>
      <c r="L197" s="63"/>
      <c r="M197" s="85"/>
      <c r="N197" s="64"/>
      <c r="O197" s="65"/>
      <c r="P197" s="99"/>
      <c r="Q197" s="70"/>
      <c r="R197" s="67"/>
      <c r="S197" s="68" t="s">
        <v>1</v>
      </c>
      <c r="T197" s="76">
        <v>0.25</v>
      </c>
      <c r="U197" s="70" t="s">
        <v>422</v>
      </c>
      <c r="V197" s="67"/>
      <c r="W197" s="68"/>
      <c r="X197" s="76"/>
      <c r="Y197" s="70"/>
      <c r="Z197" s="120">
        <f>+ROUND((ROUND((ROUND((ROUND((_15_同援日１．０＿１．５*_15・基礎２),0)*(1+_15・B深夜)),0)*(1+_15・盲ろう)),0)*(1+_15・区４)),0)</f>
        <v>603</v>
      </c>
      <c r="AA197" s="69"/>
    </row>
    <row r="198" spans="1:27" ht="16.5" customHeight="1" x14ac:dyDescent="0.3">
      <c r="A198" s="2">
        <v>15</v>
      </c>
      <c r="B198" s="2" t="s">
        <v>496</v>
      </c>
      <c r="C198" s="83" t="s">
        <v>10888</v>
      </c>
      <c r="D198" s="103"/>
      <c r="E198" s="1"/>
      <c r="F198" s="103"/>
      <c r="G198" s="81"/>
      <c r="H198" s="57"/>
      <c r="I198" s="77"/>
      <c r="J198" s="106" t="s">
        <v>16916</v>
      </c>
      <c r="K198" s="57" t="s">
        <v>1</v>
      </c>
      <c r="L198" s="58">
        <v>0.9</v>
      </c>
      <c r="M198" s="83" t="s">
        <v>5895</v>
      </c>
      <c r="N198" s="64" t="s">
        <v>1</v>
      </c>
      <c r="O198" s="65">
        <v>1</v>
      </c>
      <c r="P198" s="99"/>
      <c r="Q198" s="70"/>
      <c r="R198" s="66"/>
      <c r="S198" s="57"/>
      <c r="T198" s="58"/>
      <c r="U198" s="77"/>
      <c r="V198" s="66"/>
      <c r="W198" s="57"/>
      <c r="X198" s="58"/>
      <c r="Y198" s="77"/>
      <c r="Z198" s="120">
        <f>+ROUND((ROUND((ROUND((ROUND((ROUND((_15_同援日１．０＿１．５*_15・基礎２),0)*_15・２人),0)*(1+_15・B深夜)),0)*(1+_15・盲ろう)),0)*(1+_15・区４)),0)</f>
        <v>603</v>
      </c>
      <c r="AA198" s="69"/>
    </row>
    <row r="199" spans="1:27" ht="16.5" customHeight="1" x14ac:dyDescent="0.3">
      <c r="A199" s="2">
        <v>15</v>
      </c>
      <c r="B199" s="2" t="s">
        <v>497</v>
      </c>
      <c r="C199" s="83" t="s">
        <v>10887</v>
      </c>
      <c r="D199" s="103"/>
      <c r="E199" s="1"/>
      <c r="F199" s="103"/>
      <c r="G199" s="233" t="s">
        <v>16941</v>
      </c>
      <c r="H199" s="62"/>
      <c r="I199" s="75"/>
      <c r="J199" s="61"/>
      <c r="K199" s="62"/>
      <c r="L199" s="63"/>
      <c r="M199" s="85"/>
      <c r="N199" s="64"/>
      <c r="O199" s="65"/>
      <c r="P199" s="99"/>
      <c r="Q199" s="70"/>
      <c r="R199" s="61"/>
      <c r="S199" s="62"/>
      <c r="T199" s="63"/>
      <c r="U199" s="75"/>
      <c r="V199" s="61"/>
      <c r="W199" s="62"/>
      <c r="X199" s="63"/>
      <c r="Y199" s="75"/>
      <c r="Z199" s="120">
        <f>+ROUND((_15_同援日１．０＿２．０*(1+_15・B深夜)),0)</f>
        <v>479</v>
      </c>
      <c r="AA199" s="69"/>
    </row>
    <row r="200" spans="1:27" ht="16.5" customHeight="1" x14ac:dyDescent="0.3">
      <c r="A200" s="2">
        <v>15</v>
      </c>
      <c r="B200" s="2" t="s">
        <v>498</v>
      </c>
      <c r="C200" s="83" t="s">
        <v>10886</v>
      </c>
      <c r="D200" s="103"/>
      <c r="E200" s="1"/>
      <c r="F200" s="103"/>
      <c r="G200" s="1" t="s">
        <v>16940</v>
      </c>
      <c r="H200" s="68"/>
      <c r="I200" s="70"/>
      <c r="J200" s="66"/>
      <c r="K200" s="57"/>
      <c r="L200" s="58"/>
      <c r="M200" s="83" t="s">
        <v>5895</v>
      </c>
      <c r="N200" s="64" t="s">
        <v>1</v>
      </c>
      <c r="O200" s="65">
        <v>1</v>
      </c>
      <c r="P200" s="99"/>
      <c r="Q200" s="70"/>
      <c r="R200" s="67"/>
      <c r="S200" s="68"/>
      <c r="T200" s="76"/>
      <c r="U200" s="70"/>
      <c r="V200" s="67"/>
      <c r="W200" s="68"/>
      <c r="X200" s="76"/>
      <c r="Y200" s="70"/>
      <c r="Z200" s="120">
        <f>+ROUND((ROUND((_15_同援日１．０＿２．０*_15・２人),0)*(1+_15・B深夜)),0)</f>
        <v>479</v>
      </c>
      <c r="AA200" s="69"/>
    </row>
    <row r="201" spans="1:27" ht="16.5" customHeight="1" x14ac:dyDescent="0.3">
      <c r="A201" s="2">
        <v>15</v>
      </c>
      <c r="B201" s="2" t="s">
        <v>499</v>
      </c>
      <c r="C201" s="83" t="s">
        <v>10885</v>
      </c>
      <c r="D201" s="103"/>
      <c r="E201" s="1"/>
      <c r="F201" s="103"/>
      <c r="G201" s="1" t="s">
        <v>6448</v>
      </c>
      <c r="H201" s="68"/>
      <c r="I201" s="70"/>
      <c r="J201" s="74" t="s">
        <v>5898</v>
      </c>
      <c r="K201" s="62"/>
      <c r="L201" s="63"/>
      <c r="M201" s="85"/>
      <c r="N201" s="64"/>
      <c r="O201" s="65"/>
      <c r="P201" s="99"/>
      <c r="Q201" s="70"/>
      <c r="R201" s="67"/>
      <c r="S201" s="68"/>
      <c r="T201" s="76"/>
      <c r="U201" s="70"/>
      <c r="V201" s="67"/>
      <c r="W201" s="68"/>
      <c r="X201" s="76"/>
      <c r="Y201" s="70"/>
      <c r="Z201" s="120">
        <f>+ROUND((ROUND((_15_同援日１．０＿２．０*_15・基礎２),0)*(1+_15・B深夜)),0)</f>
        <v>431</v>
      </c>
      <c r="AA201" s="69"/>
    </row>
    <row r="202" spans="1:27" ht="16.5" customHeight="1" x14ac:dyDescent="0.3">
      <c r="A202" s="2">
        <v>15</v>
      </c>
      <c r="B202" s="2" t="s">
        <v>500</v>
      </c>
      <c r="C202" s="83" t="s">
        <v>10884</v>
      </c>
      <c r="D202" s="103"/>
      <c r="E202" s="1"/>
      <c r="F202" s="103"/>
      <c r="G202" s="1"/>
      <c r="H202" s="119">
        <v>319</v>
      </c>
      <c r="I202" s="70" t="s">
        <v>0</v>
      </c>
      <c r="J202" s="106" t="s">
        <v>16916</v>
      </c>
      <c r="K202" s="57" t="s">
        <v>1</v>
      </c>
      <c r="L202" s="58">
        <v>0.9</v>
      </c>
      <c r="M202" s="83" t="s">
        <v>5895</v>
      </c>
      <c r="N202" s="64" t="s">
        <v>1</v>
      </c>
      <c r="O202" s="65">
        <v>1</v>
      </c>
      <c r="P202" s="99"/>
      <c r="Q202" s="70"/>
      <c r="R202" s="66"/>
      <c r="S202" s="57"/>
      <c r="T202" s="58"/>
      <c r="U202" s="77"/>
      <c r="V202" s="67"/>
      <c r="W202" s="68"/>
      <c r="X202" s="76"/>
      <c r="Y202" s="70"/>
      <c r="Z202" s="120">
        <f>+ROUND((ROUND((ROUND((_15_同援日１．０＿２．０*_15・基礎２),0)*_15・２人),0)*(1+_15・B深夜)),0)</f>
        <v>431</v>
      </c>
      <c r="AA202" s="69"/>
    </row>
    <row r="203" spans="1:27" ht="16.5" customHeight="1" x14ac:dyDescent="0.3">
      <c r="A203" s="2">
        <v>15</v>
      </c>
      <c r="B203" s="2" t="s">
        <v>501</v>
      </c>
      <c r="C203" s="83" t="s">
        <v>10883</v>
      </c>
      <c r="D203" s="103"/>
      <c r="E203" s="1"/>
      <c r="F203" s="103"/>
      <c r="G203" s="1"/>
      <c r="H203" s="68"/>
      <c r="I203" s="70"/>
      <c r="J203" s="61"/>
      <c r="K203" s="62"/>
      <c r="L203" s="63"/>
      <c r="M203" s="85"/>
      <c r="N203" s="64"/>
      <c r="O203" s="65"/>
      <c r="P203" s="99"/>
      <c r="Q203" s="70"/>
      <c r="R203" s="74" t="s">
        <v>18098</v>
      </c>
      <c r="S203" s="62"/>
      <c r="T203" s="63"/>
      <c r="U203" s="75"/>
      <c r="V203" s="67"/>
      <c r="W203" s="68"/>
      <c r="X203" s="76"/>
      <c r="Y203" s="70"/>
      <c r="Z203" s="120">
        <f>+ROUND((ROUND((_15_同援日１．０＿２．０*(1+_15・B深夜)),0)*(1+_15・盲ろう)),0)</f>
        <v>599</v>
      </c>
      <c r="AA203" s="69"/>
    </row>
    <row r="204" spans="1:27" ht="16.5" customHeight="1" x14ac:dyDescent="0.3">
      <c r="A204" s="2">
        <v>15</v>
      </c>
      <c r="B204" s="2" t="s">
        <v>502</v>
      </c>
      <c r="C204" s="83" t="s">
        <v>10882</v>
      </c>
      <c r="D204" s="103"/>
      <c r="E204" s="1"/>
      <c r="F204" s="103"/>
      <c r="G204" s="1"/>
      <c r="H204" s="68"/>
      <c r="I204" s="70"/>
      <c r="J204" s="66"/>
      <c r="K204" s="57"/>
      <c r="L204" s="58"/>
      <c r="M204" s="83" t="s">
        <v>5895</v>
      </c>
      <c r="N204" s="64" t="s">
        <v>1</v>
      </c>
      <c r="O204" s="65">
        <v>1</v>
      </c>
      <c r="P204" s="99"/>
      <c r="Q204" s="70"/>
      <c r="R204" s="94" t="s">
        <v>18097</v>
      </c>
      <c r="S204" s="68"/>
      <c r="T204" s="76"/>
      <c r="U204" s="70"/>
      <c r="V204" s="67"/>
      <c r="W204" s="68"/>
      <c r="X204" s="76"/>
      <c r="Y204" s="70"/>
      <c r="Z204" s="120">
        <f>+ROUND((ROUND((ROUND((_15_同援日１．０＿２．０*_15・２人),0)*(1+_15・B深夜)),0)*(1+_15・盲ろう)),0)</f>
        <v>599</v>
      </c>
      <c r="AA204" s="69"/>
    </row>
    <row r="205" spans="1:27" ht="16.5" customHeight="1" x14ac:dyDescent="0.3">
      <c r="A205" s="2">
        <v>15</v>
      </c>
      <c r="B205" s="2" t="s">
        <v>503</v>
      </c>
      <c r="C205" s="83" t="s">
        <v>10881</v>
      </c>
      <c r="D205" s="103"/>
      <c r="E205" s="1"/>
      <c r="F205" s="103"/>
      <c r="G205" s="1"/>
      <c r="H205" s="68"/>
      <c r="I205" s="70"/>
      <c r="J205" s="74" t="s">
        <v>16912</v>
      </c>
      <c r="K205" s="62"/>
      <c r="L205" s="63"/>
      <c r="M205" s="85"/>
      <c r="N205" s="64"/>
      <c r="O205" s="65"/>
      <c r="P205" s="99"/>
      <c r="Q205" s="70"/>
      <c r="R205" s="67"/>
      <c r="S205" s="68" t="s">
        <v>1</v>
      </c>
      <c r="T205" s="76">
        <v>0.25</v>
      </c>
      <c r="U205" s="70" t="s">
        <v>422</v>
      </c>
      <c r="V205" s="67"/>
      <c r="W205" s="68"/>
      <c r="X205" s="76"/>
      <c r="Y205" s="70"/>
      <c r="Z205" s="120">
        <f>+ROUND((ROUND((ROUND((_15_同援日１．０＿２．０*_15・基礎２),0)*(1+_15・B深夜)),0)*(1+_15・盲ろう)),0)</f>
        <v>539</v>
      </c>
      <c r="AA205" s="69"/>
    </row>
    <row r="206" spans="1:27" ht="16.5" customHeight="1" x14ac:dyDescent="0.3">
      <c r="A206" s="2">
        <v>15</v>
      </c>
      <c r="B206" s="2" t="s">
        <v>504</v>
      </c>
      <c r="C206" s="83" t="s">
        <v>10880</v>
      </c>
      <c r="D206" s="103"/>
      <c r="E206" s="1"/>
      <c r="F206" s="103"/>
      <c r="G206" s="1"/>
      <c r="H206" s="68"/>
      <c r="I206" s="70"/>
      <c r="J206" s="106" t="s">
        <v>16916</v>
      </c>
      <c r="K206" s="57" t="s">
        <v>1</v>
      </c>
      <c r="L206" s="58">
        <v>0.9</v>
      </c>
      <c r="M206" s="83" t="s">
        <v>5895</v>
      </c>
      <c r="N206" s="64" t="s">
        <v>1</v>
      </c>
      <c r="O206" s="65">
        <v>1</v>
      </c>
      <c r="P206" s="99"/>
      <c r="Q206" s="70"/>
      <c r="R206" s="66"/>
      <c r="S206" s="57"/>
      <c r="T206" s="58"/>
      <c r="U206" s="77"/>
      <c r="V206" s="66"/>
      <c r="W206" s="57"/>
      <c r="X206" s="58"/>
      <c r="Y206" s="77"/>
      <c r="Z206" s="120">
        <f>+ROUND((ROUND((ROUND((ROUND((_15_同援日１．０＿２．０*_15・基礎２),0)*_15・２人),0)*(1+_15・B深夜)),0)*(1+_15・盲ろう)),0)</f>
        <v>539</v>
      </c>
      <c r="AA206" s="69"/>
    </row>
    <row r="207" spans="1:27" ht="16.5" customHeight="1" x14ac:dyDescent="0.3">
      <c r="A207" s="2">
        <v>15</v>
      </c>
      <c r="B207" s="2" t="s">
        <v>505</v>
      </c>
      <c r="C207" s="83" t="s">
        <v>10879</v>
      </c>
      <c r="D207" s="103"/>
      <c r="E207" s="1"/>
      <c r="F207" s="103"/>
      <c r="G207" s="1"/>
      <c r="H207" s="68"/>
      <c r="I207" s="70"/>
      <c r="J207" s="61"/>
      <c r="K207" s="62"/>
      <c r="L207" s="63"/>
      <c r="M207" s="85"/>
      <c r="N207" s="64"/>
      <c r="O207" s="65"/>
      <c r="P207" s="99"/>
      <c r="Q207" s="70"/>
      <c r="R207" s="61"/>
      <c r="S207" s="62"/>
      <c r="T207" s="63"/>
      <c r="U207" s="75"/>
      <c r="V207" s="61"/>
      <c r="W207" s="62"/>
      <c r="X207" s="63"/>
      <c r="Y207" s="75"/>
      <c r="Z207" s="120">
        <f>+ROUND((ROUND((_15_同援日１．０＿２．０*(1+_15・B深夜)),0)*(1+_15・区３)),0)</f>
        <v>575</v>
      </c>
      <c r="AA207" s="69"/>
    </row>
    <row r="208" spans="1:27" ht="16.5" customHeight="1" x14ac:dyDescent="0.3">
      <c r="A208" s="2">
        <v>15</v>
      </c>
      <c r="B208" s="2" t="s">
        <v>506</v>
      </c>
      <c r="C208" s="83" t="s">
        <v>10878</v>
      </c>
      <c r="D208" s="103"/>
      <c r="E208" s="1"/>
      <c r="F208" s="103"/>
      <c r="G208" s="1"/>
      <c r="H208" s="68"/>
      <c r="I208" s="70"/>
      <c r="J208" s="66"/>
      <c r="K208" s="57"/>
      <c r="L208" s="58"/>
      <c r="M208" s="83" t="s">
        <v>5895</v>
      </c>
      <c r="N208" s="64" t="s">
        <v>1</v>
      </c>
      <c r="O208" s="65">
        <v>1</v>
      </c>
      <c r="P208" s="99"/>
      <c r="Q208" s="70"/>
      <c r="R208" s="67"/>
      <c r="S208" s="68"/>
      <c r="T208" s="76"/>
      <c r="U208" s="70"/>
      <c r="V208" s="67"/>
      <c r="W208" s="68"/>
      <c r="X208" s="76"/>
      <c r="Y208" s="70"/>
      <c r="Z208" s="120">
        <f>+ROUND((ROUND((ROUND((_15_同援日１．０＿２．０*_15・２人),0)*(1+_15・B深夜)),0)*(1+_15・区３)),0)</f>
        <v>575</v>
      </c>
      <c r="AA208" s="69"/>
    </row>
    <row r="209" spans="1:27" ht="16.5" customHeight="1" x14ac:dyDescent="0.3">
      <c r="A209" s="2">
        <v>15</v>
      </c>
      <c r="B209" s="2" t="s">
        <v>507</v>
      </c>
      <c r="C209" s="83" t="s">
        <v>10877</v>
      </c>
      <c r="D209" s="103"/>
      <c r="E209" s="1"/>
      <c r="F209" s="103"/>
      <c r="G209" s="1"/>
      <c r="H209" s="68"/>
      <c r="I209" s="70"/>
      <c r="J209" s="74" t="s">
        <v>5898</v>
      </c>
      <c r="K209" s="62"/>
      <c r="L209" s="63"/>
      <c r="M209" s="85"/>
      <c r="N209" s="64"/>
      <c r="O209" s="65"/>
      <c r="P209" s="99"/>
      <c r="Q209" s="70"/>
      <c r="R209" s="67"/>
      <c r="S209" s="68"/>
      <c r="T209" s="76"/>
      <c r="U209" s="70"/>
      <c r="V209" s="1" t="s">
        <v>18101</v>
      </c>
      <c r="W209" s="68"/>
      <c r="X209" s="76"/>
      <c r="Y209" s="70"/>
      <c r="Z209" s="120">
        <f>+ROUND((ROUND((ROUND((_15_同援日１．０＿２．０*_15・基礎２),0)*(1+_15・B深夜)),0)*(1+_15・区３)),0)</f>
        <v>517</v>
      </c>
      <c r="AA209" s="69"/>
    </row>
    <row r="210" spans="1:27" ht="16.5" customHeight="1" x14ac:dyDescent="0.3">
      <c r="A210" s="2">
        <v>15</v>
      </c>
      <c r="B210" s="2" t="s">
        <v>508</v>
      </c>
      <c r="C210" s="83" t="s">
        <v>10876</v>
      </c>
      <c r="D210" s="103"/>
      <c r="E210" s="1"/>
      <c r="F210" s="103"/>
      <c r="G210" s="1"/>
      <c r="H210" s="68"/>
      <c r="I210" s="70"/>
      <c r="J210" s="106" t="s">
        <v>16916</v>
      </c>
      <c r="K210" s="57" t="s">
        <v>1</v>
      </c>
      <c r="L210" s="58">
        <v>0.9</v>
      </c>
      <c r="M210" s="83" t="s">
        <v>5895</v>
      </c>
      <c r="N210" s="64" t="s">
        <v>1</v>
      </c>
      <c r="O210" s="65">
        <v>1</v>
      </c>
      <c r="P210" s="99"/>
      <c r="Q210" s="70"/>
      <c r="R210" s="66"/>
      <c r="S210" s="57"/>
      <c r="T210" s="58"/>
      <c r="U210" s="77"/>
      <c r="V210" s="1" t="s">
        <v>18099</v>
      </c>
      <c r="W210" s="68"/>
      <c r="X210" s="76"/>
      <c r="Y210" s="70"/>
      <c r="Z210" s="120">
        <f>+ROUND((ROUND((ROUND((ROUND((_15_同援日１．０＿２．０*_15・基礎２),0)*_15・２人),0)*(1+_15・B深夜)),0)*(1+_15・区３)),0)</f>
        <v>517</v>
      </c>
      <c r="AA210" s="69"/>
    </row>
    <row r="211" spans="1:27" ht="16.5" customHeight="1" x14ac:dyDescent="0.3">
      <c r="A211" s="2">
        <v>15</v>
      </c>
      <c r="B211" s="2" t="s">
        <v>509</v>
      </c>
      <c r="C211" s="83" t="s">
        <v>10875</v>
      </c>
      <c r="D211" s="103"/>
      <c r="E211" s="1"/>
      <c r="F211" s="103"/>
      <c r="G211" s="1"/>
      <c r="H211" s="68"/>
      <c r="I211" s="70"/>
      <c r="J211" s="61"/>
      <c r="K211" s="62"/>
      <c r="L211" s="63"/>
      <c r="M211" s="85"/>
      <c r="N211" s="64"/>
      <c r="O211" s="65"/>
      <c r="P211" s="99"/>
      <c r="Q211" s="70"/>
      <c r="R211" s="74" t="s">
        <v>18098</v>
      </c>
      <c r="S211" s="62"/>
      <c r="T211" s="63"/>
      <c r="U211" s="75"/>
      <c r="V211" s="67"/>
      <c r="W211" s="68" t="s">
        <v>1</v>
      </c>
      <c r="X211" s="76">
        <v>0.2</v>
      </c>
      <c r="Y211" s="70" t="s">
        <v>422</v>
      </c>
      <c r="Z211" s="120">
        <f>+ROUND((ROUND((ROUND((_15_同援日１．０＿２．０*(1+_15・B深夜)),0)*(1+_15・盲ろう)),0)*(1+_15・区３)),0)</f>
        <v>719</v>
      </c>
      <c r="AA211" s="69"/>
    </row>
    <row r="212" spans="1:27" ht="16.5" customHeight="1" x14ac:dyDescent="0.3">
      <c r="A212" s="2">
        <v>15</v>
      </c>
      <c r="B212" s="2" t="s">
        <v>510</v>
      </c>
      <c r="C212" s="83" t="s">
        <v>10874</v>
      </c>
      <c r="D212" s="103"/>
      <c r="E212" s="1"/>
      <c r="F212" s="103"/>
      <c r="G212" s="1"/>
      <c r="H212" s="68"/>
      <c r="I212" s="70"/>
      <c r="J212" s="66"/>
      <c r="K212" s="57"/>
      <c r="L212" s="58"/>
      <c r="M212" s="83" t="s">
        <v>5895</v>
      </c>
      <c r="N212" s="64" t="s">
        <v>1</v>
      </c>
      <c r="O212" s="65">
        <v>1</v>
      </c>
      <c r="P212" s="99"/>
      <c r="Q212" s="70"/>
      <c r="R212" s="94" t="s">
        <v>18097</v>
      </c>
      <c r="S212" s="68"/>
      <c r="T212" s="76"/>
      <c r="U212" s="70"/>
      <c r="V212" s="67"/>
      <c r="W212" s="68"/>
      <c r="X212" s="76"/>
      <c r="Y212" s="70"/>
      <c r="Z212" s="120">
        <f>+ROUND((ROUND((ROUND((ROUND((_15_同援日１．０＿２．０*_15・２人),0)*(1+_15・B深夜)),0)*(1+_15・盲ろう)),0)*(1+_15・区３)),0)</f>
        <v>719</v>
      </c>
      <c r="AA212" s="69"/>
    </row>
    <row r="213" spans="1:27" ht="16.5" customHeight="1" x14ac:dyDescent="0.3">
      <c r="A213" s="2">
        <v>15</v>
      </c>
      <c r="B213" s="2" t="s">
        <v>511</v>
      </c>
      <c r="C213" s="83" t="s">
        <v>10873</v>
      </c>
      <c r="D213" s="103"/>
      <c r="E213" s="1"/>
      <c r="F213" s="103"/>
      <c r="G213" s="1"/>
      <c r="H213" s="68"/>
      <c r="I213" s="70"/>
      <c r="J213" s="74" t="s">
        <v>16912</v>
      </c>
      <c r="K213" s="62"/>
      <c r="L213" s="63"/>
      <c r="M213" s="85"/>
      <c r="N213" s="64"/>
      <c r="O213" s="65"/>
      <c r="P213" s="99"/>
      <c r="Q213" s="70"/>
      <c r="R213" s="67"/>
      <c r="S213" s="68" t="s">
        <v>1</v>
      </c>
      <c r="T213" s="76">
        <v>0.25</v>
      </c>
      <c r="U213" s="70" t="s">
        <v>422</v>
      </c>
      <c r="V213" s="67"/>
      <c r="W213" s="68"/>
      <c r="X213" s="76"/>
      <c r="Y213" s="70"/>
      <c r="Z213" s="120">
        <f>+ROUND((ROUND((ROUND((ROUND((_15_同援日１．０＿２．０*_15・基礎２),0)*(1+_15・B深夜)),0)*(1+_15・盲ろう)),0)*(1+_15・区３)),0)</f>
        <v>647</v>
      </c>
      <c r="AA213" s="69"/>
    </row>
    <row r="214" spans="1:27" ht="16.5" customHeight="1" x14ac:dyDescent="0.3">
      <c r="A214" s="2">
        <v>15</v>
      </c>
      <c r="B214" s="2" t="s">
        <v>512</v>
      </c>
      <c r="C214" s="83" t="s">
        <v>10872</v>
      </c>
      <c r="D214" s="103"/>
      <c r="E214" s="1"/>
      <c r="F214" s="103"/>
      <c r="G214" s="1"/>
      <c r="H214" s="68"/>
      <c r="I214" s="70"/>
      <c r="J214" s="106" t="s">
        <v>5896</v>
      </c>
      <c r="K214" s="57" t="s">
        <v>1</v>
      </c>
      <c r="L214" s="58">
        <v>0.9</v>
      </c>
      <c r="M214" s="83" t="s">
        <v>5895</v>
      </c>
      <c r="N214" s="64" t="s">
        <v>1</v>
      </c>
      <c r="O214" s="65">
        <v>1</v>
      </c>
      <c r="P214" s="99"/>
      <c r="Q214" s="70"/>
      <c r="R214" s="66"/>
      <c r="S214" s="57"/>
      <c r="T214" s="58"/>
      <c r="U214" s="77"/>
      <c r="V214" s="66"/>
      <c r="W214" s="57"/>
      <c r="X214" s="58"/>
      <c r="Y214" s="77"/>
      <c r="Z214" s="120">
        <f>+ROUND((ROUND((ROUND((ROUND((ROUND((_15_同援日１．０＿２．０*_15・基礎２),0)*_15・２人),0)*(1+_15・B深夜)),0)*(1+_15・盲ろう)),0)*(1+_15・区３)),0)</f>
        <v>647</v>
      </c>
      <c r="AA214" s="69"/>
    </row>
    <row r="215" spans="1:27" ht="16.5" customHeight="1" x14ac:dyDescent="0.3">
      <c r="A215" s="2">
        <v>15</v>
      </c>
      <c r="B215" s="2" t="s">
        <v>513</v>
      </c>
      <c r="C215" s="83" t="s">
        <v>10871</v>
      </c>
      <c r="D215" s="103"/>
      <c r="E215" s="1"/>
      <c r="F215" s="103"/>
      <c r="G215" s="1"/>
      <c r="H215" s="68"/>
      <c r="I215" s="70"/>
      <c r="J215" s="61"/>
      <c r="K215" s="62"/>
      <c r="L215" s="63"/>
      <c r="M215" s="85"/>
      <c r="N215" s="64"/>
      <c r="O215" s="65"/>
      <c r="P215" s="99"/>
      <c r="Q215" s="70"/>
      <c r="R215" s="61"/>
      <c r="S215" s="62"/>
      <c r="T215" s="63"/>
      <c r="U215" s="75"/>
      <c r="V215" s="61"/>
      <c r="W215" s="62"/>
      <c r="X215" s="63"/>
      <c r="Y215" s="75"/>
      <c r="Z215" s="120">
        <f>+ROUND((ROUND((_15_同援日１．０＿２．０*(1+_15・B深夜)),0)*(1+_15・区４)),0)</f>
        <v>671</v>
      </c>
      <c r="AA215" s="69"/>
    </row>
    <row r="216" spans="1:27" ht="16.5" customHeight="1" x14ac:dyDescent="0.3">
      <c r="A216" s="2">
        <v>15</v>
      </c>
      <c r="B216" s="2" t="s">
        <v>514</v>
      </c>
      <c r="C216" s="83" t="s">
        <v>10870</v>
      </c>
      <c r="D216" s="103"/>
      <c r="E216" s="1"/>
      <c r="F216" s="103"/>
      <c r="G216" s="1"/>
      <c r="H216" s="68"/>
      <c r="I216" s="70"/>
      <c r="J216" s="66"/>
      <c r="K216" s="57"/>
      <c r="L216" s="58"/>
      <c r="M216" s="83" t="s">
        <v>5895</v>
      </c>
      <c r="N216" s="64" t="s">
        <v>1</v>
      </c>
      <c r="O216" s="65">
        <v>1</v>
      </c>
      <c r="P216" s="99"/>
      <c r="Q216" s="70"/>
      <c r="R216" s="67"/>
      <c r="S216" s="68"/>
      <c r="T216" s="76"/>
      <c r="U216" s="70"/>
      <c r="V216" s="67"/>
      <c r="W216" s="68"/>
      <c r="X216" s="76"/>
      <c r="Y216" s="70"/>
      <c r="Z216" s="120">
        <f>+ROUND((ROUND((ROUND((_15_同援日１．０＿２．０*_15・２人),0)*(1+_15・B深夜)),0)*(1+_15・区４)),0)</f>
        <v>671</v>
      </c>
      <c r="AA216" s="69"/>
    </row>
    <row r="217" spans="1:27" ht="16.5" customHeight="1" x14ac:dyDescent="0.3">
      <c r="A217" s="2">
        <v>15</v>
      </c>
      <c r="B217" s="2" t="s">
        <v>515</v>
      </c>
      <c r="C217" s="83" t="s">
        <v>10869</v>
      </c>
      <c r="D217" s="103"/>
      <c r="E217" s="1"/>
      <c r="F217" s="103"/>
      <c r="G217" s="1"/>
      <c r="H217" s="68"/>
      <c r="I217" s="70"/>
      <c r="J217" s="74" t="s">
        <v>5898</v>
      </c>
      <c r="K217" s="62"/>
      <c r="L217" s="63"/>
      <c r="M217" s="85"/>
      <c r="N217" s="64"/>
      <c r="O217" s="65"/>
      <c r="P217" s="99"/>
      <c r="Q217" s="70"/>
      <c r="R217" s="67"/>
      <c r="S217" s="68"/>
      <c r="T217" s="76"/>
      <c r="U217" s="70"/>
      <c r="V217" s="1" t="s">
        <v>18100</v>
      </c>
      <c r="W217" s="68"/>
      <c r="X217" s="76"/>
      <c r="Y217" s="70"/>
      <c r="Z217" s="120">
        <f>+ROUND((ROUND((ROUND((_15_同援日１．０＿２．０*_15・基礎２),0)*(1+_15・B深夜)),0)*(1+_15・区４)),0)</f>
        <v>603</v>
      </c>
      <c r="AA217" s="69"/>
    </row>
    <row r="218" spans="1:27" ht="16.5" customHeight="1" x14ac:dyDescent="0.3">
      <c r="A218" s="2">
        <v>15</v>
      </c>
      <c r="B218" s="2" t="s">
        <v>516</v>
      </c>
      <c r="C218" s="83" t="s">
        <v>10868</v>
      </c>
      <c r="D218" s="103"/>
      <c r="E218" s="1"/>
      <c r="F218" s="103"/>
      <c r="G218" s="1"/>
      <c r="H218" s="68"/>
      <c r="I218" s="70"/>
      <c r="J218" s="106" t="s">
        <v>16916</v>
      </c>
      <c r="K218" s="57" t="s">
        <v>1</v>
      </c>
      <c r="L218" s="58">
        <v>0.9</v>
      </c>
      <c r="M218" s="83" t="s">
        <v>5895</v>
      </c>
      <c r="N218" s="64" t="s">
        <v>1</v>
      </c>
      <c r="O218" s="65">
        <v>1</v>
      </c>
      <c r="P218" s="99"/>
      <c r="Q218" s="70"/>
      <c r="R218" s="66"/>
      <c r="S218" s="57"/>
      <c r="T218" s="58"/>
      <c r="U218" s="77"/>
      <c r="V218" s="1" t="s">
        <v>18099</v>
      </c>
      <c r="W218" s="68"/>
      <c r="X218" s="76"/>
      <c r="Y218" s="70"/>
      <c r="Z218" s="120">
        <f>+ROUND((ROUND((ROUND((ROUND((_15_同援日１．０＿２．０*_15・基礎２),0)*_15・２人),0)*(1+_15・B深夜)),0)*(1+_15・区４)),0)</f>
        <v>603</v>
      </c>
      <c r="AA218" s="69"/>
    </row>
    <row r="219" spans="1:27" ht="16.5" customHeight="1" x14ac:dyDescent="0.3">
      <c r="A219" s="2">
        <v>15</v>
      </c>
      <c r="B219" s="2" t="s">
        <v>517</v>
      </c>
      <c r="C219" s="83" t="s">
        <v>10867</v>
      </c>
      <c r="D219" s="103"/>
      <c r="E219" s="1"/>
      <c r="F219" s="103"/>
      <c r="G219" s="1"/>
      <c r="H219" s="68"/>
      <c r="I219" s="70"/>
      <c r="J219" s="61"/>
      <c r="K219" s="62"/>
      <c r="L219" s="63"/>
      <c r="M219" s="85"/>
      <c r="N219" s="64"/>
      <c r="O219" s="65"/>
      <c r="P219" s="99"/>
      <c r="Q219" s="70"/>
      <c r="R219" s="74" t="s">
        <v>18098</v>
      </c>
      <c r="S219" s="62"/>
      <c r="T219" s="63"/>
      <c r="U219" s="75"/>
      <c r="V219" s="67"/>
      <c r="W219" s="68" t="s">
        <v>1</v>
      </c>
      <c r="X219" s="76">
        <v>0.4</v>
      </c>
      <c r="Y219" s="70" t="s">
        <v>422</v>
      </c>
      <c r="Z219" s="120">
        <f>+ROUND((ROUND((ROUND((_15_同援日１．０＿２．０*(1+_15・B深夜)),0)*(1+_15・盲ろう)),0)*(1+_15・区４)),0)</f>
        <v>839</v>
      </c>
      <c r="AA219" s="69"/>
    </row>
    <row r="220" spans="1:27" ht="16.5" customHeight="1" x14ac:dyDescent="0.3">
      <c r="A220" s="2">
        <v>15</v>
      </c>
      <c r="B220" s="2" t="s">
        <v>518</v>
      </c>
      <c r="C220" s="83" t="s">
        <v>10866</v>
      </c>
      <c r="D220" s="103"/>
      <c r="E220" s="1"/>
      <c r="F220" s="103"/>
      <c r="G220" s="1"/>
      <c r="H220" s="68"/>
      <c r="I220" s="70"/>
      <c r="J220" s="66"/>
      <c r="K220" s="57"/>
      <c r="L220" s="58"/>
      <c r="M220" s="83" t="s">
        <v>5895</v>
      </c>
      <c r="N220" s="64" t="s">
        <v>1</v>
      </c>
      <c r="O220" s="65">
        <v>1</v>
      </c>
      <c r="P220" s="99"/>
      <c r="Q220" s="70"/>
      <c r="R220" s="94" t="s">
        <v>8083</v>
      </c>
      <c r="S220" s="68"/>
      <c r="T220" s="76"/>
      <c r="U220" s="70"/>
      <c r="V220" s="67"/>
      <c r="W220" s="68"/>
      <c r="X220" s="76"/>
      <c r="Y220" s="70"/>
      <c r="Z220" s="120">
        <f>+ROUND((ROUND((ROUND((ROUND((_15_同援日１．０＿２．０*_15・２人),0)*(1+_15・B深夜)),0)*(1+_15・盲ろう)),0)*(1+_15・区４)),0)</f>
        <v>839</v>
      </c>
      <c r="AA220" s="69"/>
    </row>
    <row r="221" spans="1:27" ht="16.5" customHeight="1" x14ac:dyDescent="0.3">
      <c r="A221" s="2">
        <v>15</v>
      </c>
      <c r="B221" s="2" t="s">
        <v>519</v>
      </c>
      <c r="C221" s="83" t="s">
        <v>10865</v>
      </c>
      <c r="D221" s="103"/>
      <c r="E221" s="1"/>
      <c r="F221" s="103"/>
      <c r="G221" s="1"/>
      <c r="H221" s="68"/>
      <c r="I221" s="70"/>
      <c r="J221" s="74" t="s">
        <v>5898</v>
      </c>
      <c r="K221" s="62"/>
      <c r="L221" s="63"/>
      <c r="M221" s="85"/>
      <c r="N221" s="64"/>
      <c r="O221" s="65"/>
      <c r="P221" s="99"/>
      <c r="Q221" s="70"/>
      <c r="R221" s="67"/>
      <c r="S221" s="68" t="s">
        <v>1</v>
      </c>
      <c r="T221" s="76">
        <v>0.25</v>
      </c>
      <c r="U221" s="70" t="s">
        <v>422</v>
      </c>
      <c r="V221" s="67"/>
      <c r="W221" s="68"/>
      <c r="X221" s="76"/>
      <c r="Y221" s="70"/>
      <c r="Z221" s="120">
        <f>+ROUND((ROUND((ROUND((ROUND((_15_同援日１．０＿２．０*_15・基礎２),0)*(1+_15・B深夜)),0)*(1+_15・盲ろう)),0)*(1+_15・区４)),0)</f>
        <v>755</v>
      </c>
      <c r="AA221" s="69"/>
    </row>
    <row r="222" spans="1:27" ht="16.5" customHeight="1" x14ac:dyDescent="0.3">
      <c r="A222" s="2">
        <v>15</v>
      </c>
      <c r="B222" s="2" t="s">
        <v>520</v>
      </c>
      <c r="C222" s="83" t="s">
        <v>10864</v>
      </c>
      <c r="D222" s="103"/>
      <c r="E222" s="81"/>
      <c r="F222" s="103"/>
      <c r="G222" s="81"/>
      <c r="H222" s="57"/>
      <c r="I222" s="77"/>
      <c r="J222" s="106" t="s">
        <v>16916</v>
      </c>
      <c r="K222" s="57" t="s">
        <v>1</v>
      </c>
      <c r="L222" s="58">
        <v>0.9</v>
      </c>
      <c r="M222" s="83" t="s">
        <v>5895</v>
      </c>
      <c r="N222" s="64" t="s">
        <v>1</v>
      </c>
      <c r="O222" s="65">
        <v>1</v>
      </c>
      <c r="P222" s="99"/>
      <c r="Q222" s="70"/>
      <c r="R222" s="66"/>
      <c r="S222" s="57"/>
      <c r="T222" s="58"/>
      <c r="U222" s="77"/>
      <c r="V222" s="66"/>
      <c r="W222" s="57"/>
      <c r="X222" s="58"/>
      <c r="Y222" s="77"/>
      <c r="Z222" s="120">
        <f>+ROUND((ROUND((ROUND((ROUND((ROUND((_15_同援日１．０＿２．０*_15・基礎２),0)*_15・２人),0)*(1+_15・B深夜)),0)*(1+_15・盲ろう)),0)*(1+_15・区４)),0)</f>
        <v>755</v>
      </c>
      <c r="AA222" s="69"/>
    </row>
    <row r="223" spans="1:27" ht="16.5" customHeight="1" x14ac:dyDescent="0.3">
      <c r="A223" s="2">
        <v>15</v>
      </c>
      <c r="B223" s="2" t="s">
        <v>521</v>
      </c>
      <c r="C223" s="83" t="s">
        <v>10863</v>
      </c>
      <c r="D223" s="103"/>
      <c r="E223" s="233" t="s">
        <v>18104</v>
      </c>
      <c r="F223" s="103"/>
      <c r="G223" s="233" t="s">
        <v>16967</v>
      </c>
      <c r="H223" s="62"/>
      <c r="I223" s="75"/>
      <c r="J223" s="61"/>
      <c r="K223" s="62"/>
      <c r="L223" s="63"/>
      <c r="M223" s="85"/>
      <c r="N223" s="64"/>
      <c r="O223" s="65"/>
      <c r="P223" s="99"/>
      <c r="Q223" s="70"/>
      <c r="R223" s="61"/>
      <c r="S223" s="62"/>
      <c r="T223" s="63"/>
      <c r="U223" s="75"/>
      <c r="V223" s="61"/>
      <c r="W223" s="62"/>
      <c r="X223" s="63"/>
      <c r="Y223" s="75"/>
      <c r="Z223" s="120">
        <f>+ROUND((_15_同援日１．５＿０．５*(1+_15・B深夜)),0)</f>
        <v>96</v>
      </c>
      <c r="AA223" s="69"/>
    </row>
    <row r="224" spans="1:27" ht="16.5" customHeight="1" x14ac:dyDescent="0.3">
      <c r="A224" s="2">
        <v>15</v>
      </c>
      <c r="B224" s="2" t="s">
        <v>522</v>
      </c>
      <c r="C224" s="83" t="s">
        <v>10862</v>
      </c>
      <c r="D224" s="103"/>
      <c r="E224" s="1" t="s">
        <v>16944</v>
      </c>
      <c r="F224" s="103"/>
      <c r="G224" s="1" t="s">
        <v>7928</v>
      </c>
      <c r="H224" s="68"/>
      <c r="I224" s="70"/>
      <c r="J224" s="66"/>
      <c r="K224" s="57"/>
      <c r="L224" s="58"/>
      <c r="M224" s="83" t="s">
        <v>5895</v>
      </c>
      <c r="N224" s="64" t="s">
        <v>1</v>
      </c>
      <c r="O224" s="65">
        <v>1</v>
      </c>
      <c r="P224" s="99"/>
      <c r="Q224" s="70"/>
      <c r="R224" s="67"/>
      <c r="S224" s="68"/>
      <c r="T224" s="76"/>
      <c r="U224" s="70"/>
      <c r="V224" s="67"/>
      <c r="W224" s="68"/>
      <c r="X224" s="76"/>
      <c r="Y224" s="70"/>
      <c r="Z224" s="120">
        <f>+ROUND((ROUND((_15_同援日１．５＿０．５*_15・２人),0)*(1+_15・B深夜)),0)</f>
        <v>96</v>
      </c>
      <c r="AA224" s="69"/>
    </row>
    <row r="225" spans="1:27" ht="16.5" customHeight="1" x14ac:dyDescent="0.3">
      <c r="A225" s="2">
        <v>15</v>
      </c>
      <c r="B225" s="2" t="s">
        <v>523</v>
      </c>
      <c r="C225" s="83" t="s">
        <v>10861</v>
      </c>
      <c r="D225" s="103"/>
      <c r="E225" s="1" t="s">
        <v>8767</v>
      </c>
      <c r="F225" s="103"/>
      <c r="G225" s="1"/>
      <c r="H225" s="68"/>
      <c r="I225" s="70"/>
      <c r="J225" s="74" t="s">
        <v>16912</v>
      </c>
      <c r="K225" s="62"/>
      <c r="L225" s="63"/>
      <c r="M225" s="85"/>
      <c r="N225" s="64"/>
      <c r="O225" s="65"/>
      <c r="P225" s="99"/>
      <c r="Q225" s="70"/>
      <c r="R225" s="67"/>
      <c r="S225" s="68"/>
      <c r="T225" s="76"/>
      <c r="U225" s="70"/>
      <c r="V225" s="67"/>
      <c r="W225" s="68"/>
      <c r="X225" s="76"/>
      <c r="Y225" s="70"/>
      <c r="Z225" s="120">
        <f>+ROUND((ROUND((_15_同援日１．５＿０．５*_15・基礎２),0)*(1+_15・B深夜)),0)</f>
        <v>87</v>
      </c>
      <c r="AA225" s="69"/>
    </row>
    <row r="226" spans="1:27" ht="16.5" customHeight="1" x14ac:dyDescent="0.3">
      <c r="A226" s="2">
        <v>15</v>
      </c>
      <c r="B226" s="2" t="s">
        <v>524</v>
      </c>
      <c r="C226" s="83" t="s">
        <v>10860</v>
      </c>
      <c r="D226" s="103"/>
      <c r="E226" s="1"/>
      <c r="F226" s="103"/>
      <c r="G226" s="1"/>
      <c r="H226" s="119">
        <v>64</v>
      </c>
      <c r="I226" s="70" t="s">
        <v>0</v>
      </c>
      <c r="J226" s="106" t="s">
        <v>16916</v>
      </c>
      <c r="K226" s="57" t="s">
        <v>1</v>
      </c>
      <c r="L226" s="58">
        <v>0.9</v>
      </c>
      <c r="M226" s="83" t="s">
        <v>5895</v>
      </c>
      <c r="N226" s="64" t="s">
        <v>1</v>
      </c>
      <c r="O226" s="65">
        <v>1</v>
      </c>
      <c r="P226" s="99"/>
      <c r="Q226" s="70"/>
      <c r="R226" s="66"/>
      <c r="S226" s="57"/>
      <c r="T226" s="58"/>
      <c r="U226" s="77"/>
      <c r="V226" s="67"/>
      <c r="W226" s="68"/>
      <c r="X226" s="76"/>
      <c r="Y226" s="70"/>
      <c r="Z226" s="120">
        <f>+ROUND((ROUND((ROUND((_15_同援日１．５＿０．５*_15・基礎２),0)*_15・２人),0)*(1+_15・B深夜)),0)</f>
        <v>87</v>
      </c>
      <c r="AA226" s="69"/>
    </row>
    <row r="227" spans="1:27" ht="16.5" customHeight="1" x14ac:dyDescent="0.3">
      <c r="A227" s="2">
        <v>15</v>
      </c>
      <c r="B227" s="2" t="s">
        <v>525</v>
      </c>
      <c r="C227" s="83" t="s">
        <v>10859</v>
      </c>
      <c r="D227" s="103"/>
      <c r="E227" s="1"/>
      <c r="F227" s="103"/>
      <c r="G227" s="1"/>
      <c r="H227" s="68"/>
      <c r="I227" s="70"/>
      <c r="J227" s="61"/>
      <c r="K227" s="62"/>
      <c r="L227" s="63"/>
      <c r="M227" s="85"/>
      <c r="N227" s="64"/>
      <c r="O227" s="65"/>
      <c r="P227" s="99"/>
      <c r="Q227" s="70"/>
      <c r="R227" s="74" t="s">
        <v>18098</v>
      </c>
      <c r="S227" s="62"/>
      <c r="T227" s="63"/>
      <c r="U227" s="75"/>
      <c r="V227" s="67"/>
      <c r="W227" s="68"/>
      <c r="X227" s="76"/>
      <c r="Y227" s="70"/>
      <c r="Z227" s="120">
        <f>+ROUND((ROUND((_15_同援日１．５＿０．５*(1+_15・B深夜)),0)*(1+_15・盲ろう)),0)</f>
        <v>120</v>
      </c>
      <c r="AA227" s="69"/>
    </row>
    <row r="228" spans="1:27" ht="16.5" customHeight="1" x14ac:dyDescent="0.3">
      <c r="A228" s="2">
        <v>15</v>
      </c>
      <c r="B228" s="2" t="s">
        <v>526</v>
      </c>
      <c r="C228" s="83" t="s">
        <v>10858</v>
      </c>
      <c r="D228" s="103"/>
      <c r="E228" s="1"/>
      <c r="F228" s="103"/>
      <c r="G228" s="1"/>
      <c r="H228" s="68"/>
      <c r="I228" s="70"/>
      <c r="J228" s="66"/>
      <c r="K228" s="57"/>
      <c r="L228" s="58"/>
      <c r="M228" s="83" t="s">
        <v>5895</v>
      </c>
      <c r="N228" s="64" t="s">
        <v>1</v>
      </c>
      <c r="O228" s="65">
        <v>1</v>
      </c>
      <c r="P228" s="99"/>
      <c r="Q228" s="70"/>
      <c r="R228" s="94" t="s">
        <v>18097</v>
      </c>
      <c r="S228" s="68"/>
      <c r="T228" s="76"/>
      <c r="U228" s="70"/>
      <c r="V228" s="67"/>
      <c r="W228" s="68"/>
      <c r="X228" s="76"/>
      <c r="Y228" s="70"/>
      <c r="Z228" s="120">
        <f>+ROUND((ROUND((ROUND((_15_同援日１．５＿０．５*_15・２人),0)*(1+_15・B深夜)),0)*(1+_15・盲ろう)),0)</f>
        <v>120</v>
      </c>
      <c r="AA228" s="69"/>
    </row>
    <row r="229" spans="1:27" ht="16.5" customHeight="1" x14ac:dyDescent="0.3">
      <c r="A229" s="2">
        <v>15</v>
      </c>
      <c r="B229" s="2" t="s">
        <v>527</v>
      </c>
      <c r="C229" s="83" t="s">
        <v>10857</v>
      </c>
      <c r="D229" s="103"/>
      <c r="E229" s="1"/>
      <c r="F229" s="103"/>
      <c r="G229" s="1"/>
      <c r="H229" s="68"/>
      <c r="I229" s="70"/>
      <c r="J229" s="74" t="s">
        <v>16912</v>
      </c>
      <c r="K229" s="62"/>
      <c r="L229" s="63"/>
      <c r="M229" s="85"/>
      <c r="N229" s="64"/>
      <c r="O229" s="65"/>
      <c r="P229" s="99"/>
      <c r="Q229" s="70"/>
      <c r="R229" s="67"/>
      <c r="S229" s="68" t="s">
        <v>1</v>
      </c>
      <c r="T229" s="76">
        <v>0.25</v>
      </c>
      <c r="U229" s="70" t="s">
        <v>422</v>
      </c>
      <c r="V229" s="67"/>
      <c r="W229" s="68"/>
      <c r="X229" s="76"/>
      <c r="Y229" s="70"/>
      <c r="Z229" s="120">
        <f>+ROUND((ROUND((ROUND((_15_同援日１．５＿０．５*_15・基礎２),0)*(1+_15・B深夜)),0)*(1+_15・盲ろう)),0)</f>
        <v>109</v>
      </c>
      <c r="AA229" s="69"/>
    </row>
    <row r="230" spans="1:27" ht="16.5" customHeight="1" x14ac:dyDescent="0.3">
      <c r="A230" s="2">
        <v>15</v>
      </c>
      <c r="B230" s="2" t="s">
        <v>528</v>
      </c>
      <c r="C230" s="83" t="s">
        <v>10856</v>
      </c>
      <c r="D230" s="103"/>
      <c r="E230" s="1"/>
      <c r="F230" s="103"/>
      <c r="G230" s="1"/>
      <c r="H230" s="68"/>
      <c r="I230" s="70"/>
      <c r="J230" s="106" t="s">
        <v>16916</v>
      </c>
      <c r="K230" s="57" t="s">
        <v>1</v>
      </c>
      <c r="L230" s="58">
        <v>0.9</v>
      </c>
      <c r="M230" s="83" t="s">
        <v>5895</v>
      </c>
      <c r="N230" s="64" t="s">
        <v>1</v>
      </c>
      <c r="O230" s="65">
        <v>1</v>
      </c>
      <c r="P230" s="99"/>
      <c r="Q230" s="70"/>
      <c r="R230" s="66"/>
      <c r="S230" s="57"/>
      <c r="T230" s="58"/>
      <c r="U230" s="77"/>
      <c r="V230" s="66"/>
      <c r="W230" s="57"/>
      <c r="X230" s="58"/>
      <c r="Y230" s="77"/>
      <c r="Z230" s="120">
        <f>+ROUND((ROUND((ROUND((ROUND((_15_同援日１．５＿０．５*_15・基礎２),0)*_15・２人),0)*(1+_15・B深夜)),0)*(1+_15・盲ろう)),0)</f>
        <v>109</v>
      </c>
      <c r="AA230" s="69"/>
    </row>
    <row r="231" spans="1:27" ht="16.5" customHeight="1" x14ac:dyDescent="0.3">
      <c r="A231" s="2">
        <v>15</v>
      </c>
      <c r="B231" s="2" t="s">
        <v>529</v>
      </c>
      <c r="C231" s="83" t="s">
        <v>10855</v>
      </c>
      <c r="D231" s="103"/>
      <c r="E231" s="1"/>
      <c r="F231" s="103"/>
      <c r="G231" s="1"/>
      <c r="H231" s="68"/>
      <c r="I231" s="70"/>
      <c r="J231" s="61"/>
      <c r="K231" s="62"/>
      <c r="L231" s="63"/>
      <c r="M231" s="85"/>
      <c r="N231" s="64"/>
      <c r="O231" s="65"/>
      <c r="P231" s="99"/>
      <c r="Q231" s="70"/>
      <c r="R231" s="61"/>
      <c r="S231" s="62"/>
      <c r="T231" s="63"/>
      <c r="U231" s="75"/>
      <c r="V231" s="61"/>
      <c r="W231" s="62"/>
      <c r="X231" s="63"/>
      <c r="Y231" s="75"/>
      <c r="Z231" s="120">
        <f>+ROUND((ROUND((_15_同援日１．５＿０．５*(1+_15・B深夜)),0)*(1+_15・区３)),0)</f>
        <v>115</v>
      </c>
      <c r="AA231" s="69"/>
    </row>
    <row r="232" spans="1:27" ht="16.5" customHeight="1" x14ac:dyDescent="0.3">
      <c r="A232" s="2">
        <v>15</v>
      </c>
      <c r="B232" s="2" t="s">
        <v>530</v>
      </c>
      <c r="C232" s="83" t="s">
        <v>10854</v>
      </c>
      <c r="D232" s="103"/>
      <c r="E232" s="1"/>
      <c r="F232" s="103"/>
      <c r="G232" s="1"/>
      <c r="H232" s="68"/>
      <c r="I232" s="70"/>
      <c r="J232" s="66"/>
      <c r="K232" s="57"/>
      <c r="L232" s="58"/>
      <c r="M232" s="83" t="s">
        <v>5895</v>
      </c>
      <c r="N232" s="64" t="s">
        <v>1</v>
      </c>
      <c r="O232" s="65">
        <v>1</v>
      </c>
      <c r="P232" s="99"/>
      <c r="Q232" s="70"/>
      <c r="R232" s="67"/>
      <c r="S232" s="68"/>
      <c r="T232" s="76"/>
      <c r="U232" s="70"/>
      <c r="V232" s="67"/>
      <c r="W232" s="68"/>
      <c r="X232" s="76"/>
      <c r="Y232" s="70"/>
      <c r="Z232" s="120">
        <f>+ROUND((ROUND((ROUND((_15_同援日１．５＿０．５*_15・２人),0)*(1+_15・B深夜)),0)*(1+_15・区３)),0)</f>
        <v>115</v>
      </c>
      <c r="AA232" s="69"/>
    </row>
    <row r="233" spans="1:27" ht="16.5" customHeight="1" x14ac:dyDescent="0.3">
      <c r="A233" s="2">
        <v>15</v>
      </c>
      <c r="B233" s="2" t="s">
        <v>531</v>
      </c>
      <c r="C233" s="83" t="s">
        <v>10853</v>
      </c>
      <c r="D233" s="103"/>
      <c r="E233" s="1"/>
      <c r="F233" s="103"/>
      <c r="G233" s="1"/>
      <c r="H233" s="68"/>
      <c r="I233" s="70"/>
      <c r="J233" s="74" t="s">
        <v>16912</v>
      </c>
      <c r="K233" s="62"/>
      <c r="L233" s="63"/>
      <c r="M233" s="85"/>
      <c r="N233" s="64"/>
      <c r="O233" s="65"/>
      <c r="P233" s="99"/>
      <c r="Q233" s="70"/>
      <c r="R233" s="67"/>
      <c r="S233" s="68"/>
      <c r="T233" s="76"/>
      <c r="U233" s="70"/>
      <c r="V233" s="1" t="s">
        <v>18101</v>
      </c>
      <c r="W233" s="68"/>
      <c r="X233" s="76"/>
      <c r="Y233" s="70"/>
      <c r="Z233" s="120">
        <f>+ROUND((ROUND((ROUND((_15_同援日１．５＿０．５*_15・基礎２),0)*(1+_15・B深夜)),0)*(1+_15・区３)),0)</f>
        <v>104</v>
      </c>
      <c r="AA233" s="69"/>
    </row>
    <row r="234" spans="1:27" ht="16.5" customHeight="1" x14ac:dyDescent="0.3">
      <c r="A234" s="2">
        <v>15</v>
      </c>
      <c r="B234" s="2" t="s">
        <v>532</v>
      </c>
      <c r="C234" s="83" t="s">
        <v>10852</v>
      </c>
      <c r="D234" s="103"/>
      <c r="E234" s="1"/>
      <c r="F234" s="103"/>
      <c r="G234" s="1"/>
      <c r="H234" s="68"/>
      <c r="I234" s="70"/>
      <c r="J234" s="106" t="s">
        <v>16916</v>
      </c>
      <c r="K234" s="57" t="s">
        <v>1</v>
      </c>
      <c r="L234" s="58">
        <v>0.9</v>
      </c>
      <c r="M234" s="83" t="s">
        <v>5895</v>
      </c>
      <c r="N234" s="64" t="s">
        <v>1</v>
      </c>
      <c r="O234" s="65">
        <v>1</v>
      </c>
      <c r="P234" s="99"/>
      <c r="Q234" s="70"/>
      <c r="R234" s="66"/>
      <c r="S234" s="57"/>
      <c r="T234" s="58"/>
      <c r="U234" s="77"/>
      <c r="V234" s="1" t="s">
        <v>18099</v>
      </c>
      <c r="W234" s="68"/>
      <c r="X234" s="76"/>
      <c r="Y234" s="70"/>
      <c r="Z234" s="120">
        <f>+ROUND((ROUND((ROUND((ROUND((_15_同援日１．５＿０．５*_15・基礎２),0)*_15・２人),0)*(1+_15・B深夜)),0)*(1+_15・区３)),0)</f>
        <v>104</v>
      </c>
      <c r="AA234" s="69"/>
    </row>
    <row r="235" spans="1:27" ht="16.5" customHeight="1" x14ac:dyDescent="0.3">
      <c r="A235" s="2">
        <v>15</v>
      </c>
      <c r="B235" s="2" t="s">
        <v>533</v>
      </c>
      <c r="C235" s="83" t="s">
        <v>10851</v>
      </c>
      <c r="D235" s="103"/>
      <c r="E235" s="1"/>
      <c r="F235" s="103"/>
      <c r="G235" s="1"/>
      <c r="H235" s="68"/>
      <c r="I235" s="70"/>
      <c r="J235" s="61"/>
      <c r="K235" s="62"/>
      <c r="L235" s="63"/>
      <c r="M235" s="85"/>
      <c r="N235" s="64"/>
      <c r="O235" s="65"/>
      <c r="P235" s="99"/>
      <c r="Q235" s="70"/>
      <c r="R235" s="74" t="s">
        <v>18098</v>
      </c>
      <c r="S235" s="62"/>
      <c r="T235" s="63"/>
      <c r="U235" s="75"/>
      <c r="V235" s="67"/>
      <c r="W235" s="68" t="s">
        <v>1</v>
      </c>
      <c r="X235" s="76">
        <v>0.2</v>
      </c>
      <c r="Y235" s="70" t="s">
        <v>422</v>
      </c>
      <c r="Z235" s="120">
        <f>+ROUND((ROUND((ROUND((_15_同援日１．５＿０．５*(1+_15・B深夜)),0)*(1+_15・盲ろう)),0)*(1+_15・区３)),0)</f>
        <v>144</v>
      </c>
      <c r="AA235" s="69"/>
    </row>
    <row r="236" spans="1:27" ht="16.5" customHeight="1" x14ac:dyDescent="0.3">
      <c r="A236" s="2">
        <v>15</v>
      </c>
      <c r="B236" s="2" t="s">
        <v>534</v>
      </c>
      <c r="C236" s="83" t="s">
        <v>10850</v>
      </c>
      <c r="D236" s="103"/>
      <c r="E236" s="1"/>
      <c r="F236" s="103"/>
      <c r="G236" s="1"/>
      <c r="H236" s="68"/>
      <c r="I236" s="70"/>
      <c r="J236" s="66"/>
      <c r="K236" s="57"/>
      <c r="L236" s="58"/>
      <c r="M236" s="83" t="s">
        <v>5895</v>
      </c>
      <c r="N236" s="64" t="s">
        <v>1</v>
      </c>
      <c r="O236" s="65">
        <v>1</v>
      </c>
      <c r="P236" s="99"/>
      <c r="Q236" s="70"/>
      <c r="R236" s="94" t="s">
        <v>18097</v>
      </c>
      <c r="S236" s="68"/>
      <c r="T236" s="76"/>
      <c r="U236" s="70"/>
      <c r="V236" s="67"/>
      <c r="W236" s="68"/>
      <c r="X236" s="76"/>
      <c r="Y236" s="70"/>
      <c r="Z236" s="120">
        <f>+ROUND((ROUND((ROUND((ROUND((_15_同援日１．５＿０．５*_15・２人),0)*(1+_15・B深夜)),0)*(1+_15・盲ろう)),0)*(1+_15・区３)),0)</f>
        <v>144</v>
      </c>
      <c r="AA236" s="69"/>
    </row>
    <row r="237" spans="1:27" ht="16.5" customHeight="1" x14ac:dyDescent="0.3">
      <c r="A237" s="2">
        <v>15</v>
      </c>
      <c r="B237" s="2" t="s">
        <v>535</v>
      </c>
      <c r="C237" s="83" t="s">
        <v>10849</v>
      </c>
      <c r="D237" s="103"/>
      <c r="E237" s="1"/>
      <c r="F237" s="103"/>
      <c r="G237" s="1"/>
      <c r="H237" s="68"/>
      <c r="I237" s="70"/>
      <c r="J237" s="74" t="s">
        <v>16912</v>
      </c>
      <c r="K237" s="62"/>
      <c r="L237" s="63"/>
      <c r="M237" s="85"/>
      <c r="N237" s="64"/>
      <c r="O237" s="65"/>
      <c r="P237" s="99"/>
      <c r="Q237" s="70"/>
      <c r="R237" s="67"/>
      <c r="S237" s="68" t="s">
        <v>1</v>
      </c>
      <c r="T237" s="76">
        <v>0.25</v>
      </c>
      <c r="U237" s="70" t="s">
        <v>422</v>
      </c>
      <c r="V237" s="67"/>
      <c r="W237" s="68"/>
      <c r="X237" s="76"/>
      <c r="Y237" s="70"/>
      <c r="Z237" s="120">
        <f>+ROUND((ROUND((ROUND((ROUND((_15_同援日１．５＿０．５*_15・基礎２),0)*(1+_15・B深夜)),0)*(1+_15・盲ろう)),0)*(1+_15・区３)),0)</f>
        <v>131</v>
      </c>
      <c r="AA237" s="69"/>
    </row>
    <row r="238" spans="1:27" ht="16.5" customHeight="1" x14ac:dyDescent="0.3">
      <c r="A238" s="2">
        <v>15</v>
      </c>
      <c r="B238" s="2" t="s">
        <v>536</v>
      </c>
      <c r="C238" s="83" t="s">
        <v>10848</v>
      </c>
      <c r="D238" s="103"/>
      <c r="E238" s="1"/>
      <c r="F238" s="103"/>
      <c r="G238" s="1"/>
      <c r="H238" s="68"/>
      <c r="I238" s="70"/>
      <c r="J238" s="106" t="s">
        <v>5896</v>
      </c>
      <c r="K238" s="57" t="s">
        <v>1</v>
      </c>
      <c r="L238" s="58">
        <v>0.9</v>
      </c>
      <c r="M238" s="83" t="s">
        <v>5895</v>
      </c>
      <c r="N238" s="64" t="s">
        <v>1</v>
      </c>
      <c r="O238" s="65">
        <v>1</v>
      </c>
      <c r="P238" s="99"/>
      <c r="Q238" s="70"/>
      <c r="R238" s="66"/>
      <c r="S238" s="57"/>
      <c r="T238" s="58"/>
      <c r="U238" s="77"/>
      <c r="V238" s="66"/>
      <c r="W238" s="57"/>
      <c r="X238" s="58"/>
      <c r="Y238" s="77"/>
      <c r="Z238" s="120">
        <f>+ROUND((ROUND((ROUND((ROUND((ROUND((_15_同援日１．５＿０．５*_15・基礎２),0)*_15・２人),0)*(1+_15・B深夜)),0)*(1+_15・盲ろう)),0)*(1+_15・区３)),0)</f>
        <v>131</v>
      </c>
      <c r="AA238" s="69"/>
    </row>
    <row r="239" spans="1:27" ht="16.5" customHeight="1" x14ac:dyDescent="0.3">
      <c r="A239" s="2">
        <v>15</v>
      </c>
      <c r="B239" s="2" t="s">
        <v>537</v>
      </c>
      <c r="C239" s="83" t="s">
        <v>10847</v>
      </c>
      <c r="D239" s="103"/>
      <c r="E239" s="1"/>
      <c r="F239" s="103"/>
      <c r="G239" s="1"/>
      <c r="H239" s="68"/>
      <c r="I239" s="70"/>
      <c r="J239" s="61"/>
      <c r="K239" s="62"/>
      <c r="L239" s="63"/>
      <c r="M239" s="85"/>
      <c r="N239" s="64"/>
      <c r="O239" s="65"/>
      <c r="P239" s="99"/>
      <c r="Q239" s="70"/>
      <c r="R239" s="61"/>
      <c r="S239" s="62"/>
      <c r="T239" s="63"/>
      <c r="U239" s="75"/>
      <c r="V239" s="61"/>
      <c r="W239" s="62"/>
      <c r="X239" s="63"/>
      <c r="Y239" s="75"/>
      <c r="Z239" s="120">
        <f>+ROUND((ROUND((_15_同援日１．５＿０．５*(1+_15・B深夜)),0)*(1+_15・区４)),0)</f>
        <v>134</v>
      </c>
      <c r="AA239" s="69"/>
    </row>
    <row r="240" spans="1:27" ht="16.5" customHeight="1" x14ac:dyDescent="0.3">
      <c r="A240" s="2">
        <v>15</v>
      </c>
      <c r="B240" s="2" t="s">
        <v>538</v>
      </c>
      <c r="C240" s="83" t="s">
        <v>10846</v>
      </c>
      <c r="D240" s="103"/>
      <c r="E240" s="1"/>
      <c r="F240" s="103"/>
      <c r="G240" s="1"/>
      <c r="H240" s="68"/>
      <c r="I240" s="70"/>
      <c r="J240" s="66"/>
      <c r="K240" s="57"/>
      <c r="L240" s="58"/>
      <c r="M240" s="83" t="s">
        <v>5895</v>
      </c>
      <c r="N240" s="64" t="s">
        <v>1</v>
      </c>
      <c r="O240" s="65">
        <v>1</v>
      </c>
      <c r="P240" s="99"/>
      <c r="Q240" s="70"/>
      <c r="R240" s="67"/>
      <c r="S240" s="68"/>
      <c r="T240" s="76"/>
      <c r="U240" s="70"/>
      <c r="V240" s="67"/>
      <c r="W240" s="68"/>
      <c r="X240" s="76"/>
      <c r="Y240" s="70"/>
      <c r="Z240" s="120">
        <f>+ROUND((ROUND((ROUND((_15_同援日１．５＿０．５*_15・２人),0)*(1+_15・B深夜)),0)*(1+_15・区４)),0)</f>
        <v>134</v>
      </c>
      <c r="AA240" s="69"/>
    </row>
    <row r="241" spans="1:27" ht="16.5" customHeight="1" x14ac:dyDescent="0.3">
      <c r="A241" s="2">
        <v>15</v>
      </c>
      <c r="B241" s="2" t="s">
        <v>539</v>
      </c>
      <c r="C241" s="83" t="s">
        <v>10845</v>
      </c>
      <c r="D241" s="103"/>
      <c r="E241" s="1"/>
      <c r="F241" s="103"/>
      <c r="G241" s="1"/>
      <c r="H241" s="68"/>
      <c r="I241" s="70"/>
      <c r="J241" s="74" t="s">
        <v>16912</v>
      </c>
      <c r="K241" s="62"/>
      <c r="L241" s="63"/>
      <c r="M241" s="85"/>
      <c r="N241" s="64"/>
      <c r="O241" s="65"/>
      <c r="P241" s="99"/>
      <c r="Q241" s="70"/>
      <c r="R241" s="67"/>
      <c r="S241" s="68"/>
      <c r="T241" s="76"/>
      <c r="U241" s="70"/>
      <c r="V241" s="1" t="s">
        <v>18100</v>
      </c>
      <c r="W241" s="68"/>
      <c r="X241" s="76"/>
      <c r="Y241" s="70"/>
      <c r="Z241" s="120">
        <f>+ROUND((ROUND((ROUND((_15_同援日１．５＿０．５*_15・基礎２),0)*(1+_15・B深夜)),0)*(1+_15・区４)),0)</f>
        <v>122</v>
      </c>
      <c r="AA241" s="69"/>
    </row>
    <row r="242" spans="1:27" ht="16.5" customHeight="1" x14ac:dyDescent="0.3">
      <c r="A242" s="2">
        <v>15</v>
      </c>
      <c r="B242" s="2" t="s">
        <v>540</v>
      </c>
      <c r="C242" s="83" t="s">
        <v>10844</v>
      </c>
      <c r="D242" s="103"/>
      <c r="E242" s="1"/>
      <c r="F242" s="103"/>
      <c r="G242" s="1"/>
      <c r="H242" s="68"/>
      <c r="I242" s="70"/>
      <c r="J242" s="106" t="s">
        <v>16916</v>
      </c>
      <c r="K242" s="57" t="s">
        <v>1</v>
      </c>
      <c r="L242" s="58">
        <v>0.9</v>
      </c>
      <c r="M242" s="83" t="s">
        <v>5895</v>
      </c>
      <c r="N242" s="64" t="s">
        <v>1</v>
      </c>
      <c r="O242" s="65">
        <v>1</v>
      </c>
      <c r="P242" s="99"/>
      <c r="Q242" s="70"/>
      <c r="R242" s="66"/>
      <c r="S242" s="57"/>
      <c r="T242" s="58"/>
      <c r="U242" s="77"/>
      <c r="V242" s="1" t="s">
        <v>18099</v>
      </c>
      <c r="W242" s="68"/>
      <c r="X242" s="76"/>
      <c r="Y242" s="70"/>
      <c r="Z242" s="120">
        <f>+ROUND((ROUND((ROUND((ROUND((_15_同援日１．５＿０．５*_15・基礎２),0)*_15・２人),0)*(1+_15・B深夜)),0)*(1+_15・区４)),0)</f>
        <v>122</v>
      </c>
      <c r="AA242" s="69"/>
    </row>
    <row r="243" spans="1:27" ht="16.5" customHeight="1" x14ac:dyDescent="0.3">
      <c r="A243" s="2">
        <v>15</v>
      </c>
      <c r="B243" s="2" t="s">
        <v>541</v>
      </c>
      <c r="C243" s="83" t="s">
        <v>10843</v>
      </c>
      <c r="D243" s="103"/>
      <c r="E243" s="1"/>
      <c r="F243" s="103"/>
      <c r="G243" s="1"/>
      <c r="H243" s="68"/>
      <c r="I243" s="70"/>
      <c r="J243" s="61"/>
      <c r="K243" s="62"/>
      <c r="L243" s="63"/>
      <c r="M243" s="85"/>
      <c r="N243" s="64"/>
      <c r="O243" s="65"/>
      <c r="P243" s="99"/>
      <c r="Q243" s="70"/>
      <c r="R243" s="74" t="s">
        <v>18098</v>
      </c>
      <c r="S243" s="62"/>
      <c r="T243" s="63"/>
      <c r="U243" s="75"/>
      <c r="V243" s="67"/>
      <c r="W243" s="68" t="s">
        <v>1</v>
      </c>
      <c r="X243" s="76">
        <v>0.4</v>
      </c>
      <c r="Y243" s="70" t="s">
        <v>422</v>
      </c>
      <c r="Z243" s="120">
        <f>+ROUND((ROUND((ROUND((_15_同援日１．５＿０．５*(1+_15・B深夜)),0)*(1+_15・盲ろう)),0)*(1+_15・区４)),0)</f>
        <v>168</v>
      </c>
      <c r="AA243" s="69"/>
    </row>
    <row r="244" spans="1:27" ht="16.5" customHeight="1" x14ac:dyDescent="0.3">
      <c r="A244" s="2">
        <v>15</v>
      </c>
      <c r="B244" s="2" t="s">
        <v>542</v>
      </c>
      <c r="C244" s="83" t="s">
        <v>10842</v>
      </c>
      <c r="D244" s="103"/>
      <c r="E244" s="1"/>
      <c r="F244" s="103"/>
      <c r="G244" s="1"/>
      <c r="H244" s="68"/>
      <c r="I244" s="70"/>
      <c r="J244" s="66"/>
      <c r="K244" s="57"/>
      <c r="L244" s="58"/>
      <c r="M244" s="83" t="s">
        <v>5895</v>
      </c>
      <c r="N244" s="64" t="s">
        <v>1</v>
      </c>
      <c r="O244" s="65">
        <v>1</v>
      </c>
      <c r="P244" s="99"/>
      <c r="Q244" s="70"/>
      <c r="R244" s="94" t="s">
        <v>18097</v>
      </c>
      <c r="S244" s="68"/>
      <c r="T244" s="76"/>
      <c r="U244" s="70"/>
      <c r="V244" s="67"/>
      <c r="W244" s="68"/>
      <c r="X244" s="76"/>
      <c r="Y244" s="70"/>
      <c r="Z244" s="120">
        <f>+ROUND((ROUND((ROUND((ROUND((_15_同援日１．５＿０．５*_15・２人),0)*(1+_15・B深夜)),0)*(1+_15・盲ろう)),0)*(1+_15・区４)),0)</f>
        <v>168</v>
      </c>
      <c r="AA244" s="69"/>
    </row>
    <row r="245" spans="1:27" ht="16.5" customHeight="1" x14ac:dyDescent="0.3">
      <c r="A245" s="2">
        <v>15</v>
      </c>
      <c r="B245" s="2" t="s">
        <v>543</v>
      </c>
      <c r="C245" s="83" t="s">
        <v>10841</v>
      </c>
      <c r="D245" s="103"/>
      <c r="E245" s="1"/>
      <c r="F245" s="103"/>
      <c r="G245" s="1"/>
      <c r="H245" s="68"/>
      <c r="I245" s="70"/>
      <c r="J245" s="74" t="s">
        <v>16912</v>
      </c>
      <c r="K245" s="62"/>
      <c r="L245" s="63"/>
      <c r="M245" s="85"/>
      <c r="N245" s="64"/>
      <c r="O245" s="65"/>
      <c r="P245" s="99"/>
      <c r="Q245" s="70"/>
      <c r="R245" s="67"/>
      <c r="S245" s="68" t="s">
        <v>1</v>
      </c>
      <c r="T245" s="76">
        <v>0.25</v>
      </c>
      <c r="U245" s="70" t="s">
        <v>422</v>
      </c>
      <c r="V245" s="67"/>
      <c r="W245" s="68"/>
      <c r="X245" s="76"/>
      <c r="Y245" s="70"/>
      <c r="Z245" s="120">
        <f>+ROUND((ROUND((ROUND((ROUND((_15_同援日１．５＿０．５*_15・基礎２),0)*(1+_15・B深夜)),0)*(1+_15・盲ろう)),0)*(1+_15・区４)),0)</f>
        <v>153</v>
      </c>
      <c r="AA245" s="69"/>
    </row>
    <row r="246" spans="1:27" ht="16.5" customHeight="1" x14ac:dyDescent="0.3">
      <c r="A246" s="2">
        <v>15</v>
      </c>
      <c r="B246" s="2" t="s">
        <v>544</v>
      </c>
      <c r="C246" s="83" t="s">
        <v>10840</v>
      </c>
      <c r="D246" s="103"/>
      <c r="E246" s="1"/>
      <c r="F246" s="103"/>
      <c r="G246" s="81"/>
      <c r="H246" s="57"/>
      <c r="I246" s="77"/>
      <c r="J246" s="106" t="s">
        <v>16916</v>
      </c>
      <c r="K246" s="57" t="s">
        <v>1</v>
      </c>
      <c r="L246" s="58">
        <v>0.9</v>
      </c>
      <c r="M246" s="83" t="s">
        <v>5895</v>
      </c>
      <c r="N246" s="64" t="s">
        <v>1</v>
      </c>
      <c r="O246" s="65">
        <v>1</v>
      </c>
      <c r="P246" s="99"/>
      <c r="Q246" s="70"/>
      <c r="R246" s="66"/>
      <c r="S246" s="57"/>
      <c r="T246" s="58"/>
      <c r="U246" s="77"/>
      <c r="V246" s="66"/>
      <c r="W246" s="57"/>
      <c r="X246" s="58"/>
      <c r="Y246" s="77"/>
      <c r="Z246" s="120">
        <f>+ROUND((ROUND((ROUND((ROUND((ROUND((_15_同援日１．５＿０．５*_15・基礎２),0)*_15・２人),0)*(1+_15・B深夜)),0)*(1+_15・盲ろう)),0)*(1+_15・区４)),0)</f>
        <v>153</v>
      </c>
      <c r="AA246" s="69"/>
    </row>
    <row r="247" spans="1:27" ht="16.5" customHeight="1" x14ac:dyDescent="0.3">
      <c r="A247" s="2">
        <v>15</v>
      </c>
      <c r="B247" s="2" t="s">
        <v>545</v>
      </c>
      <c r="C247" s="83" t="s">
        <v>10839</v>
      </c>
      <c r="D247" s="103"/>
      <c r="E247" s="1"/>
      <c r="F247" s="103"/>
      <c r="G247" s="233" t="s">
        <v>16950</v>
      </c>
      <c r="H247" s="62"/>
      <c r="I247" s="75"/>
      <c r="J247" s="61"/>
      <c r="K247" s="62"/>
      <c r="L247" s="63"/>
      <c r="M247" s="85"/>
      <c r="N247" s="64"/>
      <c r="O247" s="65"/>
      <c r="P247" s="99"/>
      <c r="Q247" s="70"/>
      <c r="R247" s="61"/>
      <c r="S247" s="62"/>
      <c r="T247" s="63"/>
      <c r="U247" s="75"/>
      <c r="V247" s="61"/>
      <c r="W247" s="62"/>
      <c r="X247" s="63"/>
      <c r="Y247" s="75"/>
      <c r="Z247" s="120">
        <f>+ROUND((_15_同援日１．５＿１．０*(1+_15・B深夜)),0)</f>
        <v>191</v>
      </c>
      <c r="AA247" s="69"/>
    </row>
    <row r="248" spans="1:27" ht="16.5" customHeight="1" x14ac:dyDescent="0.3">
      <c r="A248" s="2">
        <v>15</v>
      </c>
      <c r="B248" s="2" t="s">
        <v>546</v>
      </c>
      <c r="C248" s="83" t="s">
        <v>10838</v>
      </c>
      <c r="D248" s="103"/>
      <c r="E248" s="1"/>
      <c r="F248" s="103"/>
      <c r="G248" s="1" t="s">
        <v>16949</v>
      </c>
      <c r="H248" s="68"/>
      <c r="I248" s="70"/>
      <c r="J248" s="66"/>
      <c r="K248" s="57"/>
      <c r="L248" s="58"/>
      <c r="M248" s="83" t="s">
        <v>5895</v>
      </c>
      <c r="N248" s="64" t="s">
        <v>1</v>
      </c>
      <c r="O248" s="65">
        <v>1</v>
      </c>
      <c r="P248" s="99"/>
      <c r="Q248" s="70"/>
      <c r="R248" s="67"/>
      <c r="S248" s="68"/>
      <c r="T248" s="76"/>
      <c r="U248" s="70"/>
      <c r="V248" s="67"/>
      <c r="W248" s="68"/>
      <c r="X248" s="76"/>
      <c r="Y248" s="70"/>
      <c r="Z248" s="120">
        <f>+ROUND((ROUND((_15_同援日１．５＿１．０*_15・２人),0)*(1+_15・B深夜)),0)</f>
        <v>191</v>
      </c>
      <c r="AA248" s="69"/>
    </row>
    <row r="249" spans="1:27" ht="16.5" customHeight="1" x14ac:dyDescent="0.3">
      <c r="A249" s="2">
        <v>15</v>
      </c>
      <c r="B249" s="2" t="s">
        <v>547</v>
      </c>
      <c r="C249" s="83" t="s">
        <v>10837</v>
      </c>
      <c r="D249" s="103"/>
      <c r="E249" s="1"/>
      <c r="F249" s="103"/>
      <c r="G249" s="1" t="s">
        <v>8572</v>
      </c>
      <c r="H249" s="68"/>
      <c r="I249" s="70"/>
      <c r="J249" s="74" t="s">
        <v>16912</v>
      </c>
      <c r="K249" s="62"/>
      <c r="L249" s="63"/>
      <c r="M249" s="85"/>
      <c r="N249" s="64"/>
      <c r="O249" s="65"/>
      <c r="P249" s="99"/>
      <c r="Q249" s="70"/>
      <c r="R249" s="67"/>
      <c r="S249" s="68"/>
      <c r="T249" s="76"/>
      <c r="U249" s="70"/>
      <c r="V249" s="67"/>
      <c r="W249" s="68"/>
      <c r="X249" s="76"/>
      <c r="Y249" s="70"/>
      <c r="Z249" s="120">
        <f>+ROUND((ROUND((_15_同援日１．５＿１．０*_15・基礎２),0)*(1+_15・B深夜)),0)</f>
        <v>171</v>
      </c>
      <c r="AA249" s="69"/>
    </row>
    <row r="250" spans="1:27" ht="16.5" customHeight="1" x14ac:dyDescent="0.3">
      <c r="A250" s="2">
        <v>15</v>
      </c>
      <c r="B250" s="2" t="s">
        <v>548</v>
      </c>
      <c r="C250" s="83" t="s">
        <v>10836</v>
      </c>
      <c r="D250" s="103"/>
      <c r="E250" s="1"/>
      <c r="F250" s="103"/>
      <c r="G250" s="1"/>
      <c r="H250" s="119">
        <v>127</v>
      </c>
      <c r="I250" s="70" t="s">
        <v>0</v>
      </c>
      <c r="J250" s="106" t="s">
        <v>16916</v>
      </c>
      <c r="K250" s="57" t="s">
        <v>1</v>
      </c>
      <c r="L250" s="58">
        <v>0.9</v>
      </c>
      <c r="M250" s="83" t="s">
        <v>5895</v>
      </c>
      <c r="N250" s="64" t="s">
        <v>1</v>
      </c>
      <c r="O250" s="65">
        <v>1</v>
      </c>
      <c r="P250" s="99"/>
      <c r="Q250" s="70"/>
      <c r="R250" s="66"/>
      <c r="S250" s="57"/>
      <c r="T250" s="58"/>
      <c r="U250" s="77"/>
      <c r="V250" s="67"/>
      <c r="W250" s="68"/>
      <c r="X250" s="76"/>
      <c r="Y250" s="70"/>
      <c r="Z250" s="120">
        <f>+ROUND((ROUND((ROUND((_15_同援日１．５＿１．０*_15・基礎２),0)*_15・２人),0)*(1+_15・B深夜)),0)</f>
        <v>171</v>
      </c>
      <c r="AA250" s="69"/>
    </row>
    <row r="251" spans="1:27" ht="16.5" customHeight="1" x14ac:dyDescent="0.3">
      <c r="A251" s="2">
        <v>15</v>
      </c>
      <c r="B251" s="2" t="s">
        <v>549</v>
      </c>
      <c r="C251" s="83" t="s">
        <v>10835</v>
      </c>
      <c r="D251" s="103"/>
      <c r="E251" s="1"/>
      <c r="F251" s="103"/>
      <c r="G251" s="1"/>
      <c r="H251" s="68"/>
      <c r="I251" s="70"/>
      <c r="J251" s="61"/>
      <c r="K251" s="62"/>
      <c r="L251" s="63"/>
      <c r="M251" s="85"/>
      <c r="N251" s="64"/>
      <c r="O251" s="65"/>
      <c r="P251" s="99"/>
      <c r="Q251" s="70"/>
      <c r="R251" s="74" t="s">
        <v>18098</v>
      </c>
      <c r="S251" s="62"/>
      <c r="T251" s="63"/>
      <c r="U251" s="75"/>
      <c r="V251" s="67"/>
      <c r="W251" s="68"/>
      <c r="X251" s="76"/>
      <c r="Y251" s="70"/>
      <c r="Z251" s="120">
        <f>+ROUND((ROUND((_15_同援日１．５＿１．０*(1+_15・B深夜)),0)*(1+_15・盲ろう)),0)</f>
        <v>239</v>
      </c>
      <c r="AA251" s="69"/>
    </row>
    <row r="252" spans="1:27" ht="16.5" customHeight="1" x14ac:dyDescent="0.3">
      <c r="A252" s="2">
        <v>15</v>
      </c>
      <c r="B252" s="2" t="s">
        <v>550</v>
      </c>
      <c r="C252" s="83" t="s">
        <v>10834</v>
      </c>
      <c r="D252" s="103"/>
      <c r="E252" s="1"/>
      <c r="F252" s="103"/>
      <c r="G252" s="1"/>
      <c r="H252" s="68"/>
      <c r="I252" s="70"/>
      <c r="J252" s="66"/>
      <c r="K252" s="57"/>
      <c r="L252" s="58"/>
      <c r="M252" s="83" t="s">
        <v>5895</v>
      </c>
      <c r="N252" s="64" t="s">
        <v>1</v>
      </c>
      <c r="O252" s="65">
        <v>1</v>
      </c>
      <c r="P252" s="99"/>
      <c r="Q252" s="70"/>
      <c r="R252" s="94" t="s">
        <v>18097</v>
      </c>
      <c r="S252" s="68"/>
      <c r="T252" s="76"/>
      <c r="U252" s="70"/>
      <c r="V252" s="67"/>
      <c r="W252" s="68"/>
      <c r="X252" s="76"/>
      <c r="Y252" s="70"/>
      <c r="Z252" s="120">
        <f>+ROUND((ROUND((ROUND((_15_同援日１．５＿１．０*_15・２人),0)*(1+_15・B深夜)),0)*(1+_15・盲ろう)),0)</f>
        <v>239</v>
      </c>
      <c r="AA252" s="69"/>
    </row>
    <row r="253" spans="1:27" ht="16.5" customHeight="1" x14ac:dyDescent="0.3">
      <c r="A253" s="2">
        <v>15</v>
      </c>
      <c r="B253" s="2" t="s">
        <v>551</v>
      </c>
      <c r="C253" s="83" t="s">
        <v>10833</v>
      </c>
      <c r="D253" s="103"/>
      <c r="E253" s="1"/>
      <c r="F253" s="103"/>
      <c r="G253" s="1"/>
      <c r="H253" s="68"/>
      <c r="I253" s="70"/>
      <c r="J253" s="74" t="s">
        <v>16912</v>
      </c>
      <c r="K253" s="62"/>
      <c r="L253" s="63"/>
      <c r="M253" s="85"/>
      <c r="N253" s="64"/>
      <c r="O253" s="65"/>
      <c r="P253" s="99"/>
      <c r="Q253" s="70"/>
      <c r="R253" s="67"/>
      <c r="S253" s="68" t="s">
        <v>1</v>
      </c>
      <c r="T253" s="76">
        <v>0.25</v>
      </c>
      <c r="U253" s="70" t="s">
        <v>422</v>
      </c>
      <c r="V253" s="67"/>
      <c r="W253" s="68"/>
      <c r="X253" s="76"/>
      <c r="Y253" s="70"/>
      <c r="Z253" s="120">
        <f>+ROUND((ROUND((ROUND((_15_同援日１．５＿１．０*_15・基礎２),0)*(1+_15・B深夜)),0)*(1+_15・盲ろう)),0)</f>
        <v>214</v>
      </c>
      <c r="AA253" s="69"/>
    </row>
    <row r="254" spans="1:27" ht="16.5" customHeight="1" x14ac:dyDescent="0.3">
      <c r="A254" s="2">
        <v>15</v>
      </c>
      <c r="B254" s="2" t="s">
        <v>552</v>
      </c>
      <c r="C254" s="83" t="s">
        <v>10832</v>
      </c>
      <c r="D254" s="103"/>
      <c r="E254" s="1"/>
      <c r="F254" s="103"/>
      <c r="G254" s="1"/>
      <c r="H254" s="68"/>
      <c r="I254" s="70"/>
      <c r="J254" s="106" t="s">
        <v>16916</v>
      </c>
      <c r="K254" s="57" t="s">
        <v>1</v>
      </c>
      <c r="L254" s="58">
        <v>0.9</v>
      </c>
      <c r="M254" s="83" t="s">
        <v>5895</v>
      </c>
      <c r="N254" s="64" t="s">
        <v>1</v>
      </c>
      <c r="O254" s="65">
        <v>1</v>
      </c>
      <c r="P254" s="99"/>
      <c r="Q254" s="70"/>
      <c r="R254" s="66"/>
      <c r="S254" s="57"/>
      <c r="T254" s="58"/>
      <c r="U254" s="77"/>
      <c r="V254" s="66"/>
      <c r="W254" s="57"/>
      <c r="X254" s="58"/>
      <c r="Y254" s="77"/>
      <c r="Z254" s="120">
        <f>+ROUND((ROUND((ROUND((ROUND((_15_同援日１．５＿１．０*_15・基礎２),0)*_15・２人),0)*(1+_15・B深夜)),0)*(1+_15・盲ろう)),0)</f>
        <v>214</v>
      </c>
      <c r="AA254" s="69"/>
    </row>
    <row r="255" spans="1:27" ht="16.5" customHeight="1" x14ac:dyDescent="0.3">
      <c r="A255" s="2">
        <v>15</v>
      </c>
      <c r="B255" s="2" t="s">
        <v>553</v>
      </c>
      <c r="C255" s="83" t="s">
        <v>10831</v>
      </c>
      <c r="D255" s="103"/>
      <c r="E255" s="1"/>
      <c r="F255" s="103"/>
      <c r="G255" s="1"/>
      <c r="H255" s="68"/>
      <c r="I255" s="70"/>
      <c r="J255" s="61"/>
      <c r="K255" s="62"/>
      <c r="L255" s="63"/>
      <c r="M255" s="85"/>
      <c r="N255" s="64"/>
      <c r="O255" s="65"/>
      <c r="P255" s="99"/>
      <c r="Q255" s="70"/>
      <c r="R255" s="61"/>
      <c r="S255" s="62"/>
      <c r="T255" s="63"/>
      <c r="U255" s="75"/>
      <c r="V255" s="61"/>
      <c r="W255" s="62"/>
      <c r="X255" s="63"/>
      <c r="Y255" s="75"/>
      <c r="Z255" s="120">
        <f>+ROUND((ROUND((_15_同援日１．５＿１．０*(1+_15・B深夜)),0)*(1+_15・区３)),0)</f>
        <v>229</v>
      </c>
      <c r="AA255" s="69"/>
    </row>
    <row r="256" spans="1:27" ht="16.5" customHeight="1" x14ac:dyDescent="0.3">
      <c r="A256" s="2">
        <v>15</v>
      </c>
      <c r="B256" s="2" t="s">
        <v>554</v>
      </c>
      <c r="C256" s="83" t="s">
        <v>10830</v>
      </c>
      <c r="D256" s="103"/>
      <c r="E256" s="1"/>
      <c r="F256" s="103"/>
      <c r="G256" s="1"/>
      <c r="H256" s="68"/>
      <c r="I256" s="70"/>
      <c r="J256" s="66"/>
      <c r="K256" s="57"/>
      <c r="L256" s="58"/>
      <c r="M256" s="83" t="s">
        <v>5895</v>
      </c>
      <c r="N256" s="64" t="s">
        <v>1</v>
      </c>
      <c r="O256" s="65">
        <v>1</v>
      </c>
      <c r="P256" s="99"/>
      <c r="Q256" s="70"/>
      <c r="R256" s="67"/>
      <c r="S256" s="68"/>
      <c r="T256" s="76"/>
      <c r="U256" s="70"/>
      <c r="V256" s="67"/>
      <c r="W256" s="68"/>
      <c r="X256" s="76"/>
      <c r="Y256" s="70"/>
      <c r="Z256" s="120">
        <f>+ROUND((ROUND((ROUND((_15_同援日１．５＿１．０*_15・２人),0)*(1+_15・B深夜)),0)*(1+_15・区３)),0)</f>
        <v>229</v>
      </c>
      <c r="AA256" s="69"/>
    </row>
    <row r="257" spans="1:27" ht="16.5" customHeight="1" x14ac:dyDescent="0.3">
      <c r="A257" s="2">
        <v>15</v>
      </c>
      <c r="B257" s="2" t="s">
        <v>555</v>
      </c>
      <c r="C257" s="83" t="s">
        <v>10829</v>
      </c>
      <c r="D257" s="103"/>
      <c r="E257" s="1"/>
      <c r="F257" s="103"/>
      <c r="G257" s="1"/>
      <c r="H257" s="68"/>
      <c r="I257" s="70"/>
      <c r="J257" s="74" t="s">
        <v>16912</v>
      </c>
      <c r="K257" s="62"/>
      <c r="L257" s="63"/>
      <c r="M257" s="85"/>
      <c r="N257" s="64"/>
      <c r="O257" s="65"/>
      <c r="P257" s="99"/>
      <c r="Q257" s="70"/>
      <c r="R257" s="67"/>
      <c r="S257" s="68"/>
      <c r="T257" s="76"/>
      <c r="U257" s="70"/>
      <c r="V257" s="1" t="s">
        <v>18101</v>
      </c>
      <c r="W257" s="68"/>
      <c r="X257" s="76"/>
      <c r="Y257" s="70"/>
      <c r="Z257" s="120">
        <f>+ROUND((ROUND((ROUND((_15_同援日１．５＿１．０*_15・基礎２),0)*(1+_15・B深夜)),0)*(1+_15・区３)),0)</f>
        <v>205</v>
      </c>
      <c r="AA257" s="69"/>
    </row>
    <row r="258" spans="1:27" ht="16.5" customHeight="1" x14ac:dyDescent="0.3">
      <c r="A258" s="2">
        <v>15</v>
      </c>
      <c r="B258" s="2" t="s">
        <v>556</v>
      </c>
      <c r="C258" s="83" t="s">
        <v>10828</v>
      </c>
      <c r="D258" s="103"/>
      <c r="E258" s="1"/>
      <c r="F258" s="103"/>
      <c r="G258" s="1"/>
      <c r="H258" s="68"/>
      <c r="I258" s="70"/>
      <c r="J258" s="106" t="s">
        <v>16916</v>
      </c>
      <c r="K258" s="57" t="s">
        <v>1</v>
      </c>
      <c r="L258" s="58">
        <v>0.9</v>
      </c>
      <c r="M258" s="83" t="s">
        <v>5895</v>
      </c>
      <c r="N258" s="64" t="s">
        <v>1</v>
      </c>
      <c r="O258" s="65">
        <v>1</v>
      </c>
      <c r="P258" s="99"/>
      <c r="Q258" s="70"/>
      <c r="R258" s="66"/>
      <c r="S258" s="57"/>
      <c r="T258" s="58"/>
      <c r="U258" s="77"/>
      <c r="V258" s="1" t="s">
        <v>18099</v>
      </c>
      <c r="W258" s="68"/>
      <c r="X258" s="76"/>
      <c r="Y258" s="70"/>
      <c r="Z258" s="120">
        <f>+ROUND((ROUND((ROUND((ROUND((_15_同援日１．５＿１．０*_15・基礎２),0)*_15・２人),0)*(1+_15・B深夜)),0)*(1+_15・区３)),0)</f>
        <v>205</v>
      </c>
      <c r="AA258" s="69"/>
    </row>
    <row r="259" spans="1:27" ht="16.5" customHeight="1" x14ac:dyDescent="0.3">
      <c r="A259" s="2">
        <v>15</v>
      </c>
      <c r="B259" s="2" t="s">
        <v>557</v>
      </c>
      <c r="C259" s="83" t="s">
        <v>10827</v>
      </c>
      <c r="D259" s="103"/>
      <c r="E259" s="1"/>
      <c r="F259" s="103"/>
      <c r="G259" s="1"/>
      <c r="H259" s="68"/>
      <c r="I259" s="70"/>
      <c r="J259" s="61"/>
      <c r="K259" s="62"/>
      <c r="L259" s="63"/>
      <c r="M259" s="85"/>
      <c r="N259" s="64"/>
      <c r="O259" s="65"/>
      <c r="P259" s="99"/>
      <c r="Q259" s="70"/>
      <c r="R259" s="74" t="s">
        <v>18098</v>
      </c>
      <c r="S259" s="62"/>
      <c r="T259" s="63"/>
      <c r="U259" s="75"/>
      <c r="V259" s="67"/>
      <c r="W259" s="68" t="s">
        <v>1</v>
      </c>
      <c r="X259" s="76">
        <v>0.2</v>
      </c>
      <c r="Y259" s="70" t="s">
        <v>422</v>
      </c>
      <c r="Z259" s="120">
        <f>+ROUND((ROUND((ROUND((_15_同援日１．５＿１．０*(1+_15・B深夜)),0)*(1+_15・盲ろう)),0)*(1+_15・区３)),0)</f>
        <v>287</v>
      </c>
      <c r="AA259" s="69"/>
    </row>
    <row r="260" spans="1:27" ht="16.5" customHeight="1" x14ac:dyDescent="0.3">
      <c r="A260" s="2">
        <v>15</v>
      </c>
      <c r="B260" s="2" t="s">
        <v>558</v>
      </c>
      <c r="C260" s="83" t="s">
        <v>10826</v>
      </c>
      <c r="D260" s="103"/>
      <c r="E260" s="1"/>
      <c r="F260" s="103"/>
      <c r="G260" s="1"/>
      <c r="H260" s="68"/>
      <c r="I260" s="70"/>
      <c r="J260" s="66"/>
      <c r="K260" s="57"/>
      <c r="L260" s="58"/>
      <c r="M260" s="83" t="s">
        <v>5895</v>
      </c>
      <c r="N260" s="64" t="s">
        <v>1</v>
      </c>
      <c r="O260" s="65">
        <v>1</v>
      </c>
      <c r="P260" s="99"/>
      <c r="Q260" s="70"/>
      <c r="R260" s="94" t="s">
        <v>18097</v>
      </c>
      <c r="S260" s="68"/>
      <c r="T260" s="76"/>
      <c r="U260" s="70"/>
      <c r="V260" s="67"/>
      <c r="W260" s="68"/>
      <c r="X260" s="76"/>
      <c r="Y260" s="70"/>
      <c r="Z260" s="120">
        <f>+ROUND((ROUND((ROUND((ROUND((_15_同援日１．５＿１．０*_15・２人),0)*(1+_15・B深夜)),0)*(1+_15・盲ろう)),0)*(1+_15・区３)),0)</f>
        <v>287</v>
      </c>
      <c r="AA260" s="69"/>
    </row>
    <row r="261" spans="1:27" ht="16.5" customHeight="1" x14ac:dyDescent="0.3">
      <c r="A261" s="2">
        <v>15</v>
      </c>
      <c r="B261" s="2" t="s">
        <v>559</v>
      </c>
      <c r="C261" s="83" t="s">
        <v>10825</v>
      </c>
      <c r="D261" s="103"/>
      <c r="E261" s="1"/>
      <c r="F261" s="103"/>
      <c r="G261" s="1"/>
      <c r="H261" s="68"/>
      <c r="I261" s="70"/>
      <c r="J261" s="74" t="s">
        <v>16912</v>
      </c>
      <c r="K261" s="62"/>
      <c r="L261" s="63"/>
      <c r="M261" s="85"/>
      <c r="N261" s="64"/>
      <c r="O261" s="65"/>
      <c r="P261" s="99"/>
      <c r="Q261" s="70"/>
      <c r="R261" s="67"/>
      <c r="S261" s="68" t="s">
        <v>1</v>
      </c>
      <c r="T261" s="76">
        <v>0.25</v>
      </c>
      <c r="U261" s="70" t="s">
        <v>422</v>
      </c>
      <c r="V261" s="67"/>
      <c r="W261" s="68"/>
      <c r="X261" s="76"/>
      <c r="Y261" s="70"/>
      <c r="Z261" s="120">
        <f>+ROUND((ROUND((ROUND((ROUND((_15_同援日１．５＿１．０*_15・基礎２),0)*(1+_15・B深夜)),0)*(1+_15・盲ろう)),0)*(1+_15・区３)),0)</f>
        <v>257</v>
      </c>
      <c r="AA261" s="69"/>
    </row>
    <row r="262" spans="1:27" ht="16.5" customHeight="1" x14ac:dyDescent="0.3">
      <c r="A262" s="2">
        <v>15</v>
      </c>
      <c r="B262" s="2" t="s">
        <v>560</v>
      </c>
      <c r="C262" s="83" t="s">
        <v>10824</v>
      </c>
      <c r="D262" s="103"/>
      <c r="E262" s="1"/>
      <c r="F262" s="103"/>
      <c r="G262" s="1"/>
      <c r="H262" s="68"/>
      <c r="I262" s="70"/>
      <c r="J262" s="106" t="s">
        <v>16916</v>
      </c>
      <c r="K262" s="57" t="s">
        <v>1</v>
      </c>
      <c r="L262" s="58">
        <v>0.9</v>
      </c>
      <c r="M262" s="83" t="s">
        <v>5895</v>
      </c>
      <c r="N262" s="64" t="s">
        <v>1</v>
      </c>
      <c r="O262" s="65">
        <v>1</v>
      </c>
      <c r="P262" s="99"/>
      <c r="Q262" s="70"/>
      <c r="R262" s="66"/>
      <c r="S262" s="57"/>
      <c r="T262" s="58"/>
      <c r="U262" s="77"/>
      <c r="V262" s="66"/>
      <c r="W262" s="57"/>
      <c r="X262" s="58"/>
      <c r="Y262" s="77"/>
      <c r="Z262" s="120">
        <f>+ROUND((ROUND((ROUND((ROUND((ROUND((_15_同援日１．５＿１．０*_15・基礎２),0)*_15・２人),0)*(1+_15・B深夜)),0)*(1+_15・盲ろう)),0)*(1+_15・区３)),0)</f>
        <v>257</v>
      </c>
      <c r="AA262" s="69"/>
    </row>
    <row r="263" spans="1:27" ht="16.5" customHeight="1" x14ac:dyDescent="0.3">
      <c r="A263" s="2">
        <v>15</v>
      </c>
      <c r="B263" s="2" t="s">
        <v>561</v>
      </c>
      <c r="C263" s="83" t="s">
        <v>10823</v>
      </c>
      <c r="D263" s="103"/>
      <c r="E263" s="1"/>
      <c r="F263" s="103"/>
      <c r="G263" s="1"/>
      <c r="H263" s="68"/>
      <c r="I263" s="70"/>
      <c r="J263" s="61"/>
      <c r="K263" s="62"/>
      <c r="L263" s="63"/>
      <c r="M263" s="85"/>
      <c r="N263" s="64"/>
      <c r="O263" s="65"/>
      <c r="P263" s="99"/>
      <c r="Q263" s="70"/>
      <c r="R263" s="61"/>
      <c r="S263" s="62"/>
      <c r="T263" s="63"/>
      <c r="U263" s="75"/>
      <c r="V263" s="61"/>
      <c r="W263" s="62"/>
      <c r="X263" s="63"/>
      <c r="Y263" s="75"/>
      <c r="Z263" s="120">
        <f>+ROUND((ROUND((_15_同援日１．５＿１．０*(1+_15・B深夜)),0)*(1+_15・区４)),0)</f>
        <v>267</v>
      </c>
      <c r="AA263" s="69"/>
    </row>
    <row r="264" spans="1:27" ht="16.5" customHeight="1" x14ac:dyDescent="0.3">
      <c r="A264" s="2">
        <v>15</v>
      </c>
      <c r="B264" s="2" t="s">
        <v>562</v>
      </c>
      <c r="C264" s="83" t="s">
        <v>10822</v>
      </c>
      <c r="D264" s="103"/>
      <c r="E264" s="1"/>
      <c r="F264" s="103"/>
      <c r="G264" s="1"/>
      <c r="H264" s="68"/>
      <c r="I264" s="70"/>
      <c r="J264" s="66"/>
      <c r="K264" s="57"/>
      <c r="L264" s="58"/>
      <c r="M264" s="83" t="s">
        <v>5895</v>
      </c>
      <c r="N264" s="64" t="s">
        <v>1</v>
      </c>
      <c r="O264" s="65">
        <v>1</v>
      </c>
      <c r="P264" s="99"/>
      <c r="Q264" s="70"/>
      <c r="R264" s="67"/>
      <c r="S264" s="68"/>
      <c r="T264" s="76"/>
      <c r="U264" s="70"/>
      <c r="V264" s="67"/>
      <c r="W264" s="68"/>
      <c r="X264" s="76"/>
      <c r="Y264" s="70"/>
      <c r="Z264" s="120">
        <f>+ROUND((ROUND((ROUND((_15_同援日１．５＿１．０*_15・２人),0)*(1+_15・B深夜)),0)*(1+_15・区４)),0)</f>
        <v>267</v>
      </c>
      <c r="AA264" s="69"/>
    </row>
    <row r="265" spans="1:27" ht="16.5" customHeight="1" x14ac:dyDescent="0.3">
      <c r="A265" s="2">
        <v>15</v>
      </c>
      <c r="B265" s="2" t="s">
        <v>563</v>
      </c>
      <c r="C265" s="83" t="s">
        <v>10821</v>
      </c>
      <c r="D265" s="103"/>
      <c r="E265" s="1"/>
      <c r="F265" s="103"/>
      <c r="G265" s="1"/>
      <c r="H265" s="68"/>
      <c r="I265" s="70"/>
      <c r="J265" s="74" t="s">
        <v>16912</v>
      </c>
      <c r="K265" s="62"/>
      <c r="L265" s="63"/>
      <c r="M265" s="85"/>
      <c r="N265" s="64"/>
      <c r="O265" s="65"/>
      <c r="P265" s="99"/>
      <c r="Q265" s="70"/>
      <c r="R265" s="67"/>
      <c r="S265" s="68"/>
      <c r="T265" s="76"/>
      <c r="U265" s="70"/>
      <c r="V265" s="1" t="s">
        <v>18100</v>
      </c>
      <c r="W265" s="68"/>
      <c r="X265" s="76"/>
      <c r="Y265" s="70"/>
      <c r="Z265" s="120">
        <f>+ROUND((ROUND((ROUND((_15_同援日１．５＿１．０*_15・基礎２),0)*(1+_15・B深夜)),0)*(1+_15・区４)),0)</f>
        <v>239</v>
      </c>
      <c r="AA265" s="69"/>
    </row>
    <row r="266" spans="1:27" ht="16.5" customHeight="1" x14ac:dyDescent="0.3">
      <c r="A266" s="2">
        <v>15</v>
      </c>
      <c r="B266" s="2" t="s">
        <v>564</v>
      </c>
      <c r="C266" s="83" t="s">
        <v>10820</v>
      </c>
      <c r="D266" s="103"/>
      <c r="E266" s="1"/>
      <c r="F266" s="103"/>
      <c r="G266" s="1"/>
      <c r="H266" s="68"/>
      <c r="I266" s="70"/>
      <c r="J266" s="106" t="s">
        <v>16916</v>
      </c>
      <c r="K266" s="57" t="s">
        <v>1</v>
      </c>
      <c r="L266" s="58">
        <v>0.9</v>
      </c>
      <c r="M266" s="83" t="s">
        <v>5895</v>
      </c>
      <c r="N266" s="64" t="s">
        <v>1</v>
      </c>
      <c r="O266" s="65">
        <v>1</v>
      </c>
      <c r="P266" s="99"/>
      <c r="Q266" s="70"/>
      <c r="R266" s="66"/>
      <c r="S266" s="57"/>
      <c r="T266" s="58"/>
      <c r="U266" s="77"/>
      <c r="V266" s="1" t="s">
        <v>8087</v>
      </c>
      <c r="W266" s="68"/>
      <c r="X266" s="76"/>
      <c r="Y266" s="70"/>
      <c r="Z266" s="120">
        <f>+ROUND((ROUND((ROUND((ROUND((_15_同援日１．５＿１．０*_15・基礎２),0)*_15・２人),0)*(1+_15・B深夜)),0)*(1+_15・区４)),0)</f>
        <v>239</v>
      </c>
      <c r="AA266" s="69"/>
    </row>
    <row r="267" spans="1:27" ht="16.5" customHeight="1" x14ac:dyDescent="0.3">
      <c r="A267" s="2">
        <v>15</v>
      </c>
      <c r="B267" s="2" t="s">
        <v>565</v>
      </c>
      <c r="C267" s="83" t="s">
        <v>10819</v>
      </c>
      <c r="D267" s="103"/>
      <c r="E267" s="1"/>
      <c r="F267" s="103"/>
      <c r="G267" s="1"/>
      <c r="H267" s="68"/>
      <c r="I267" s="70"/>
      <c r="J267" s="61"/>
      <c r="K267" s="62"/>
      <c r="L267" s="63"/>
      <c r="M267" s="85"/>
      <c r="N267" s="64"/>
      <c r="O267" s="65"/>
      <c r="P267" s="99"/>
      <c r="Q267" s="70"/>
      <c r="R267" s="74" t="s">
        <v>18098</v>
      </c>
      <c r="S267" s="62"/>
      <c r="T267" s="63"/>
      <c r="U267" s="75"/>
      <c r="V267" s="67"/>
      <c r="W267" s="68" t="s">
        <v>1</v>
      </c>
      <c r="X267" s="76">
        <v>0.4</v>
      </c>
      <c r="Y267" s="70" t="s">
        <v>422</v>
      </c>
      <c r="Z267" s="120">
        <f>+ROUND((ROUND((ROUND((_15_同援日１．５＿１．０*(1+_15・B深夜)),0)*(1+_15・盲ろう)),0)*(1+_15・区４)),0)</f>
        <v>335</v>
      </c>
      <c r="AA267" s="69"/>
    </row>
    <row r="268" spans="1:27" ht="16.5" customHeight="1" x14ac:dyDescent="0.3">
      <c r="A268" s="2">
        <v>15</v>
      </c>
      <c r="B268" s="2" t="s">
        <v>566</v>
      </c>
      <c r="C268" s="83" t="s">
        <v>10818</v>
      </c>
      <c r="D268" s="103"/>
      <c r="E268" s="1"/>
      <c r="F268" s="103"/>
      <c r="G268" s="1"/>
      <c r="H268" s="68"/>
      <c r="I268" s="70"/>
      <c r="J268" s="66"/>
      <c r="K268" s="57"/>
      <c r="L268" s="58"/>
      <c r="M268" s="83" t="s">
        <v>5895</v>
      </c>
      <c r="N268" s="64" t="s">
        <v>1</v>
      </c>
      <c r="O268" s="65">
        <v>1</v>
      </c>
      <c r="P268" s="99"/>
      <c r="Q268" s="70"/>
      <c r="R268" s="94" t="s">
        <v>18097</v>
      </c>
      <c r="S268" s="68"/>
      <c r="T268" s="76"/>
      <c r="U268" s="70"/>
      <c r="V268" s="67"/>
      <c r="W268" s="68"/>
      <c r="X268" s="76"/>
      <c r="Y268" s="70"/>
      <c r="Z268" s="120">
        <f>+ROUND((ROUND((ROUND((ROUND((_15_同援日１．５＿１．０*_15・２人),0)*(1+_15・B深夜)),0)*(1+_15・盲ろう)),0)*(1+_15・区４)),0)</f>
        <v>335</v>
      </c>
      <c r="AA268" s="69"/>
    </row>
    <row r="269" spans="1:27" ht="16.5" customHeight="1" x14ac:dyDescent="0.3">
      <c r="A269" s="2">
        <v>15</v>
      </c>
      <c r="B269" s="2" t="s">
        <v>567</v>
      </c>
      <c r="C269" s="83" t="s">
        <v>10817</v>
      </c>
      <c r="D269" s="103"/>
      <c r="E269" s="1"/>
      <c r="F269" s="103"/>
      <c r="G269" s="1"/>
      <c r="H269" s="68"/>
      <c r="I269" s="70"/>
      <c r="J269" s="74" t="s">
        <v>16912</v>
      </c>
      <c r="K269" s="62"/>
      <c r="L269" s="63"/>
      <c r="M269" s="85"/>
      <c r="N269" s="64"/>
      <c r="O269" s="65"/>
      <c r="P269" s="99"/>
      <c r="Q269" s="70"/>
      <c r="R269" s="67"/>
      <c r="S269" s="68" t="s">
        <v>1</v>
      </c>
      <c r="T269" s="76">
        <v>0.25</v>
      </c>
      <c r="U269" s="70" t="s">
        <v>422</v>
      </c>
      <c r="V269" s="67"/>
      <c r="W269" s="68"/>
      <c r="X269" s="76"/>
      <c r="Y269" s="70"/>
      <c r="Z269" s="120">
        <f>+ROUND((ROUND((ROUND((ROUND((_15_同援日１．５＿１．０*_15・基礎２),0)*(1+_15・B深夜)),0)*(1+_15・盲ろう)),0)*(1+_15・区４)),0)</f>
        <v>300</v>
      </c>
      <c r="AA269" s="69"/>
    </row>
    <row r="270" spans="1:27" ht="16.5" customHeight="1" x14ac:dyDescent="0.3">
      <c r="A270" s="2">
        <v>15</v>
      </c>
      <c r="B270" s="2" t="s">
        <v>568</v>
      </c>
      <c r="C270" s="83" t="s">
        <v>10816</v>
      </c>
      <c r="D270" s="103"/>
      <c r="E270" s="1"/>
      <c r="F270" s="103"/>
      <c r="G270" s="81"/>
      <c r="H270" s="57"/>
      <c r="I270" s="77"/>
      <c r="J270" s="106" t="s">
        <v>16916</v>
      </c>
      <c r="K270" s="57" t="s">
        <v>1</v>
      </c>
      <c r="L270" s="58">
        <v>0.9</v>
      </c>
      <c r="M270" s="83" t="s">
        <v>5895</v>
      </c>
      <c r="N270" s="64" t="s">
        <v>1</v>
      </c>
      <c r="O270" s="65">
        <v>1</v>
      </c>
      <c r="P270" s="99"/>
      <c r="Q270" s="70"/>
      <c r="R270" s="66"/>
      <c r="S270" s="57"/>
      <c r="T270" s="58"/>
      <c r="U270" s="77"/>
      <c r="V270" s="66"/>
      <c r="W270" s="57"/>
      <c r="X270" s="58"/>
      <c r="Y270" s="77"/>
      <c r="Z270" s="120">
        <f>+ROUND((ROUND((ROUND((ROUND((ROUND((_15_同援日１．５＿１．０*_15・基礎２),0)*_15・２人),0)*(1+_15・B深夜)),0)*(1+_15・盲ろう)),0)*(1+_15・区４)),0)</f>
        <v>300</v>
      </c>
      <c r="AA270" s="69"/>
    </row>
    <row r="271" spans="1:27" ht="16.5" customHeight="1" x14ac:dyDescent="0.3">
      <c r="A271" s="2">
        <v>15</v>
      </c>
      <c r="B271" s="2" t="s">
        <v>569</v>
      </c>
      <c r="C271" s="83" t="s">
        <v>10815</v>
      </c>
      <c r="D271" s="103"/>
      <c r="E271" s="1"/>
      <c r="F271" s="103"/>
      <c r="G271" s="233" t="s">
        <v>16945</v>
      </c>
      <c r="H271" s="62"/>
      <c r="I271" s="75"/>
      <c r="J271" s="61"/>
      <c r="K271" s="62"/>
      <c r="L271" s="63"/>
      <c r="M271" s="85"/>
      <c r="N271" s="64"/>
      <c r="O271" s="65"/>
      <c r="P271" s="99"/>
      <c r="Q271" s="70"/>
      <c r="R271" s="61"/>
      <c r="S271" s="62"/>
      <c r="T271" s="63"/>
      <c r="U271" s="75"/>
      <c r="V271" s="61"/>
      <c r="W271" s="62"/>
      <c r="X271" s="63"/>
      <c r="Y271" s="75"/>
      <c r="Z271" s="120">
        <f>+ROUND((_15_同援日１．５＿１．５*(1+_15・B深夜)),0)</f>
        <v>285</v>
      </c>
      <c r="AA271" s="69"/>
    </row>
    <row r="272" spans="1:27" ht="16.5" customHeight="1" x14ac:dyDescent="0.3">
      <c r="A272" s="2">
        <v>15</v>
      </c>
      <c r="B272" s="2" t="s">
        <v>570</v>
      </c>
      <c r="C272" s="83" t="s">
        <v>10814</v>
      </c>
      <c r="D272" s="103"/>
      <c r="E272" s="1"/>
      <c r="F272" s="103"/>
      <c r="G272" s="1" t="s">
        <v>16944</v>
      </c>
      <c r="H272" s="68"/>
      <c r="I272" s="70"/>
      <c r="J272" s="66"/>
      <c r="K272" s="57"/>
      <c r="L272" s="58"/>
      <c r="M272" s="83" t="s">
        <v>5895</v>
      </c>
      <c r="N272" s="64" t="s">
        <v>1</v>
      </c>
      <c r="O272" s="65">
        <v>1</v>
      </c>
      <c r="P272" s="99"/>
      <c r="Q272" s="70"/>
      <c r="R272" s="67"/>
      <c r="S272" s="68"/>
      <c r="T272" s="76"/>
      <c r="U272" s="70"/>
      <c r="V272" s="67"/>
      <c r="W272" s="68"/>
      <c r="X272" s="76"/>
      <c r="Y272" s="70"/>
      <c r="Z272" s="120">
        <f>+ROUND((ROUND((_15_同援日１．５＿１．５*_15・２人),0)*(1+_15・B深夜)),0)</f>
        <v>285</v>
      </c>
      <c r="AA272" s="69"/>
    </row>
    <row r="273" spans="1:27" ht="16.5" customHeight="1" x14ac:dyDescent="0.3">
      <c r="A273" s="2">
        <v>15</v>
      </c>
      <c r="B273" s="2" t="s">
        <v>571</v>
      </c>
      <c r="C273" s="83" t="s">
        <v>10813</v>
      </c>
      <c r="D273" s="103"/>
      <c r="E273" s="1"/>
      <c r="F273" s="103"/>
      <c r="G273" s="1" t="s">
        <v>8767</v>
      </c>
      <c r="H273" s="68"/>
      <c r="I273" s="70"/>
      <c r="J273" s="74" t="s">
        <v>16912</v>
      </c>
      <c r="K273" s="62"/>
      <c r="L273" s="63"/>
      <c r="M273" s="85"/>
      <c r="N273" s="64"/>
      <c r="O273" s="65"/>
      <c r="P273" s="99"/>
      <c r="Q273" s="70"/>
      <c r="R273" s="67"/>
      <c r="S273" s="68"/>
      <c r="T273" s="76"/>
      <c r="U273" s="70"/>
      <c r="V273" s="67"/>
      <c r="W273" s="68"/>
      <c r="X273" s="76"/>
      <c r="Y273" s="70"/>
      <c r="Z273" s="120">
        <f>+ROUND((ROUND((_15_同援日１．５＿１．５*_15・基礎２),0)*(1+_15・B深夜)),0)</f>
        <v>257</v>
      </c>
      <c r="AA273" s="69"/>
    </row>
    <row r="274" spans="1:27" ht="16.5" customHeight="1" x14ac:dyDescent="0.3">
      <c r="A274" s="2">
        <v>15</v>
      </c>
      <c r="B274" s="2" t="s">
        <v>572</v>
      </c>
      <c r="C274" s="83" t="s">
        <v>10812</v>
      </c>
      <c r="D274" s="103"/>
      <c r="E274" s="1"/>
      <c r="F274" s="103"/>
      <c r="G274" s="1"/>
      <c r="H274" s="119">
        <v>190</v>
      </c>
      <c r="I274" s="70" t="s">
        <v>0</v>
      </c>
      <c r="J274" s="106" t="s">
        <v>5896</v>
      </c>
      <c r="K274" s="57" t="s">
        <v>1</v>
      </c>
      <c r="L274" s="58">
        <v>0.9</v>
      </c>
      <c r="M274" s="83" t="s">
        <v>5895</v>
      </c>
      <c r="N274" s="64" t="s">
        <v>1</v>
      </c>
      <c r="O274" s="65">
        <v>1</v>
      </c>
      <c r="P274" s="99"/>
      <c r="Q274" s="70"/>
      <c r="R274" s="66"/>
      <c r="S274" s="57"/>
      <c r="T274" s="58"/>
      <c r="U274" s="77"/>
      <c r="V274" s="67"/>
      <c r="W274" s="68"/>
      <c r="X274" s="76"/>
      <c r="Y274" s="70"/>
      <c r="Z274" s="120">
        <f>+ROUND((ROUND((ROUND((_15_同援日１．５＿１．５*_15・基礎２),0)*_15・２人),0)*(1+_15・B深夜)),0)</f>
        <v>257</v>
      </c>
      <c r="AA274" s="69"/>
    </row>
    <row r="275" spans="1:27" ht="16.5" customHeight="1" x14ac:dyDescent="0.3">
      <c r="A275" s="2">
        <v>15</v>
      </c>
      <c r="B275" s="2" t="s">
        <v>573</v>
      </c>
      <c r="C275" s="83" t="s">
        <v>10811</v>
      </c>
      <c r="D275" s="103"/>
      <c r="E275" s="1"/>
      <c r="F275" s="103"/>
      <c r="G275" s="1"/>
      <c r="H275" s="68"/>
      <c r="I275" s="70"/>
      <c r="J275" s="61"/>
      <c r="K275" s="62"/>
      <c r="L275" s="63"/>
      <c r="M275" s="85"/>
      <c r="N275" s="64"/>
      <c r="O275" s="65"/>
      <c r="P275" s="99"/>
      <c r="Q275" s="70"/>
      <c r="R275" s="74" t="s">
        <v>18098</v>
      </c>
      <c r="S275" s="62"/>
      <c r="T275" s="63"/>
      <c r="U275" s="75"/>
      <c r="V275" s="67"/>
      <c r="W275" s="68"/>
      <c r="X275" s="76"/>
      <c r="Y275" s="70"/>
      <c r="Z275" s="120">
        <f>+ROUND((ROUND((_15_同援日１．５＿１．５*(1+_15・B深夜)),0)*(1+_15・盲ろう)),0)</f>
        <v>356</v>
      </c>
      <c r="AA275" s="69"/>
    </row>
    <row r="276" spans="1:27" ht="16.5" customHeight="1" x14ac:dyDescent="0.3">
      <c r="A276" s="2">
        <v>15</v>
      </c>
      <c r="B276" s="2" t="s">
        <v>574</v>
      </c>
      <c r="C276" s="83" t="s">
        <v>10810</v>
      </c>
      <c r="D276" s="103"/>
      <c r="E276" s="1"/>
      <c r="F276" s="103"/>
      <c r="G276" s="1"/>
      <c r="H276" s="68"/>
      <c r="I276" s="70"/>
      <c r="J276" s="66"/>
      <c r="K276" s="57"/>
      <c r="L276" s="58"/>
      <c r="M276" s="83" t="s">
        <v>5895</v>
      </c>
      <c r="N276" s="64" t="s">
        <v>1</v>
      </c>
      <c r="O276" s="65">
        <v>1</v>
      </c>
      <c r="P276" s="99"/>
      <c r="Q276" s="70"/>
      <c r="R276" s="94" t="s">
        <v>18097</v>
      </c>
      <c r="S276" s="68"/>
      <c r="T276" s="76"/>
      <c r="U276" s="70"/>
      <c r="V276" s="67"/>
      <c r="W276" s="68"/>
      <c r="X276" s="76"/>
      <c r="Y276" s="70"/>
      <c r="Z276" s="120">
        <f>+ROUND((ROUND((ROUND((_15_同援日１．５＿１．５*_15・２人),0)*(1+_15・B深夜)),0)*(1+_15・盲ろう)),0)</f>
        <v>356</v>
      </c>
      <c r="AA276" s="69"/>
    </row>
    <row r="277" spans="1:27" ht="16.5" customHeight="1" x14ac:dyDescent="0.3">
      <c r="A277" s="2">
        <v>15</v>
      </c>
      <c r="B277" s="2" t="s">
        <v>575</v>
      </c>
      <c r="C277" s="83" t="s">
        <v>10809</v>
      </c>
      <c r="D277" s="103"/>
      <c r="E277" s="1"/>
      <c r="F277" s="103"/>
      <c r="G277" s="1"/>
      <c r="H277" s="68"/>
      <c r="I277" s="70"/>
      <c r="J277" s="74" t="s">
        <v>16912</v>
      </c>
      <c r="K277" s="62"/>
      <c r="L277" s="63"/>
      <c r="M277" s="85"/>
      <c r="N277" s="64"/>
      <c r="O277" s="65"/>
      <c r="P277" s="99"/>
      <c r="Q277" s="70"/>
      <c r="R277" s="67"/>
      <c r="S277" s="68" t="s">
        <v>1</v>
      </c>
      <c r="T277" s="76">
        <v>0.25</v>
      </c>
      <c r="U277" s="70" t="s">
        <v>422</v>
      </c>
      <c r="V277" s="67"/>
      <c r="W277" s="68"/>
      <c r="X277" s="76"/>
      <c r="Y277" s="70"/>
      <c r="Z277" s="120">
        <f>+ROUND((ROUND((ROUND((_15_同援日１．５＿１．５*_15・基礎２),0)*(1+_15・B深夜)),0)*(1+_15・盲ろう)),0)</f>
        <v>321</v>
      </c>
      <c r="AA277" s="69"/>
    </row>
    <row r="278" spans="1:27" ht="16.5" customHeight="1" x14ac:dyDescent="0.3">
      <c r="A278" s="2">
        <v>15</v>
      </c>
      <c r="B278" s="2" t="s">
        <v>576</v>
      </c>
      <c r="C278" s="83" t="s">
        <v>10808</v>
      </c>
      <c r="D278" s="103"/>
      <c r="E278" s="1"/>
      <c r="F278" s="103"/>
      <c r="G278" s="1"/>
      <c r="H278" s="68"/>
      <c r="I278" s="70"/>
      <c r="J278" s="106" t="s">
        <v>16916</v>
      </c>
      <c r="K278" s="57" t="s">
        <v>1</v>
      </c>
      <c r="L278" s="58">
        <v>0.9</v>
      </c>
      <c r="M278" s="83" t="s">
        <v>5895</v>
      </c>
      <c r="N278" s="64" t="s">
        <v>1</v>
      </c>
      <c r="O278" s="65">
        <v>1</v>
      </c>
      <c r="P278" s="99"/>
      <c r="Q278" s="70"/>
      <c r="R278" s="66"/>
      <c r="S278" s="57"/>
      <c r="T278" s="58"/>
      <c r="U278" s="77"/>
      <c r="V278" s="66"/>
      <c r="W278" s="57"/>
      <c r="X278" s="58"/>
      <c r="Y278" s="77"/>
      <c r="Z278" s="120">
        <f>+ROUND((ROUND((ROUND((ROUND((_15_同援日１．５＿１．５*_15・基礎２),0)*_15・２人),0)*(1+_15・B深夜)),0)*(1+_15・盲ろう)),0)</f>
        <v>321</v>
      </c>
      <c r="AA278" s="69"/>
    </row>
    <row r="279" spans="1:27" ht="16.5" customHeight="1" x14ac:dyDescent="0.3">
      <c r="A279" s="2">
        <v>15</v>
      </c>
      <c r="B279" s="2" t="s">
        <v>577</v>
      </c>
      <c r="C279" s="83" t="s">
        <v>10807</v>
      </c>
      <c r="D279" s="103"/>
      <c r="E279" s="1"/>
      <c r="F279" s="103"/>
      <c r="G279" s="1"/>
      <c r="H279" s="68"/>
      <c r="I279" s="70"/>
      <c r="J279" s="61"/>
      <c r="K279" s="62"/>
      <c r="L279" s="63"/>
      <c r="M279" s="85"/>
      <c r="N279" s="64"/>
      <c r="O279" s="65"/>
      <c r="P279" s="99"/>
      <c r="Q279" s="70"/>
      <c r="R279" s="61"/>
      <c r="S279" s="62"/>
      <c r="T279" s="63"/>
      <c r="U279" s="75"/>
      <c r="V279" s="61"/>
      <c r="W279" s="62"/>
      <c r="X279" s="63"/>
      <c r="Y279" s="75"/>
      <c r="Z279" s="120">
        <f>+ROUND((ROUND((_15_同援日１．５＿１．５*(1+_15・B深夜)),0)*(1+_15・区３)),0)</f>
        <v>342</v>
      </c>
      <c r="AA279" s="69"/>
    </row>
    <row r="280" spans="1:27" ht="16.5" customHeight="1" x14ac:dyDescent="0.3">
      <c r="A280" s="2">
        <v>15</v>
      </c>
      <c r="B280" s="2" t="s">
        <v>578</v>
      </c>
      <c r="C280" s="83" t="s">
        <v>10806</v>
      </c>
      <c r="D280" s="103"/>
      <c r="E280" s="1"/>
      <c r="F280" s="103"/>
      <c r="G280" s="1"/>
      <c r="H280" s="68"/>
      <c r="I280" s="70"/>
      <c r="J280" s="66"/>
      <c r="K280" s="57"/>
      <c r="L280" s="58"/>
      <c r="M280" s="83" t="s">
        <v>5895</v>
      </c>
      <c r="N280" s="64" t="s">
        <v>1</v>
      </c>
      <c r="O280" s="65">
        <v>1</v>
      </c>
      <c r="P280" s="99"/>
      <c r="Q280" s="70"/>
      <c r="R280" s="67"/>
      <c r="S280" s="68"/>
      <c r="T280" s="76"/>
      <c r="U280" s="70"/>
      <c r="V280" s="67"/>
      <c r="W280" s="68"/>
      <c r="X280" s="76"/>
      <c r="Y280" s="70"/>
      <c r="Z280" s="120">
        <f>+ROUND((ROUND((ROUND((_15_同援日１．５＿１．５*_15・２人),0)*(1+_15・B深夜)),0)*(1+_15・区３)),0)</f>
        <v>342</v>
      </c>
      <c r="AA280" s="69"/>
    </row>
    <row r="281" spans="1:27" ht="16.5" customHeight="1" x14ac:dyDescent="0.3">
      <c r="A281" s="2">
        <v>15</v>
      </c>
      <c r="B281" s="2" t="s">
        <v>579</v>
      </c>
      <c r="C281" s="83" t="s">
        <v>10805</v>
      </c>
      <c r="D281" s="103"/>
      <c r="E281" s="1"/>
      <c r="F281" s="103"/>
      <c r="G281" s="1"/>
      <c r="H281" s="68"/>
      <c r="I281" s="70"/>
      <c r="J281" s="74" t="s">
        <v>16912</v>
      </c>
      <c r="K281" s="62"/>
      <c r="L281" s="63"/>
      <c r="M281" s="85"/>
      <c r="N281" s="64"/>
      <c r="O281" s="65"/>
      <c r="P281" s="99"/>
      <c r="Q281" s="70"/>
      <c r="R281" s="67"/>
      <c r="S281" s="68"/>
      <c r="T281" s="76"/>
      <c r="U281" s="70"/>
      <c r="V281" s="1" t="s">
        <v>18101</v>
      </c>
      <c r="W281" s="68"/>
      <c r="X281" s="76"/>
      <c r="Y281" s="70"/>
      <c r="Z281" s="120">
        <f>+ROUND((ROUND((ROUND((_15_同援日１．５＿１．５*_15・基礎２),0)*(1+_15・B深夜)),0)*(1+_15・区３)),0)</f>
        <v>308</v>
      </c>
      <c r="AA281" s="69"/>
    </row>
    <row r="282" spans="1:27" ht="16.5" customHeight="1" x14ac:dyDescent="0.3">
      <c r="A282" s="2">
        <v>15</v>
      </c>
      <c r="B282" s="2" t="s">
        <v>580</v>
      </c>
      <c r="C282" s="83" t="s">
        <v>10804</v>
      </c>
      <c r="D282" s="103"/>
      <c r="E282" s="1"/>
      <c r="F282" s="103"/>
      <c r="G282" s="1"/>
      <c r="H282" s="68"/>
      <c r="I282" s="70"/>
      <c r="J282" s="106" t="s">
        <v>16916</v>
      </c>
      <c r="K282" s="57" t="s">
        <v>1</v>
      </c>
      <c r="L282" s="58">
        <v>0.9</v>
      </c>
      <c r="M282" s="83" t="s">
        <v>5895</v>
      </c>
      <c r="N282" s="64" t="s">
        <v>1</v>
      </c>
      <c r="O282" s="65">
        <v>1</v>
      </c>
      <c r="P282" s="99"/>
      <c r="Q282" s="70"/>
      <c r="R282" s="66"/>
      <c r="S282" s="57"/>
      <c r="T282" s="58"/>
      <c r="U282" s="77"/>
      <c r="V282" s="1" t="s">
        <v>18099</v>
      </c>
      <c r="W282" s="68"/>
      <c r="X282" s="76"/>
      <c r="Y282" s="70"/>
      <c r="Z282" s="120">
        <f>+ROUND((ROUND((ROUND((ROUND((_15_同援日１．５＿１．５*_15・基礎２),0)*_15・２人),0)*(1+_15・B深夜)),0)*(1+_15・区３)),0)</f>
        <v>308</v>
      </c>
      <c r="AA282" s="69"/>
    </row>
    <row r="283" spans="1:27" ht="16.5" customHeight="1" x14ac:dyDescent="0.3">
      <c r="A283" s="2">
        <v>15</v>
      </c>
      <c r="B283" s="2" t="s">
        <v>581</v>
      </c>
      <c r="C283" s="83" t="s">
        <v>10803</v>
      </c>
      <c r="D283" s="103"/>
      <c r="E283" s="1"/>
      <c r="F283" s="103"/>
      <c r="G283" s="1"/>
      <c r="H283" s="68"/>
      <c r="I283" s="70"/>
      <c r="J283" s="61"/>
      <c r="K283" s="62"/>
      <c r="L283" s="63"/>
      <c r="M283" s="85"/>
      <c r="N283" s="64"/>
      <c r="O283" s="65"/>
      <c r="P283" s="99"/>
      <c r="Q283" s="70"/>
      <c r="R283" s="74" t="s">
        <v>18098</v>
      </c>
      <c r="S283" s="62"/>
      <c r="T283" s="63"/>
      <c r="U283" s="75"/>
      <c r="V283" s="67"/>
      <c r="W283" s="68" t="s">
        <v>1</v>
      </c>
      <c r="X283" s="76">
        <v>0.2</v>
      </c>
      <c r="Y283" s="70" t="s">
        <v>422</v>
      </c>
      <c r="Z283" s="120">
        <f>+ROUND((ROUND((ROUND((_15_同援日１．５＿１．５*(1+_15・B深夜)),0)*(1+_15・盲ろう)),0)*(1+_15・区３)),0)</f>
        <v>427</v>
      </c>
      <c r="AA283" s="69"/>
    </row>
    <row r="284" spans="1:27" ht="16.5" customHeight="1" x14ac:dyDescent="0.3">
      <c r="A284" s="2">
        <v>15</v>
      </c>
      <c r="B284" s="2" t="s">
        <v>582</v>
      </c>
      <c r="C284" s="83" t="s">
        <v>10802</v>
      </c>
      <c r="D284" s="103"/>
      <c r="E284" s="1"/>
      <c r="F284" s="103"/>
      <c r="G284" s="1"/>
      <c r="H284" s="68"/>
      <c r="I284" s="70"/>
      <c r="J284" s="66"/>
      <c r="K284" s="57"/>
      <c r="L284" s="58"/>
      <c r="M284" s="83" t="s">
        <v>5895</v>
      </c>
      <c r="N284" s="64" t="s">
        <v>1</v>
      </c>
      <c r="O284" s="65">
        <v>1</v>
      </c>
      <c r="P284" s="99"/>
      <c r="Q284" s="70"/>
      <c r="R284" s="94" t="s">
        <v>18097</v>
      </c>
      <c r="S284" s="68"/>
      <c r="T284" s="76"/>
      <c r="U284" s="70"/>
      <c r="V284" s="67"/>
      <c r="W284" s="68"/>
      <c r="X284" s="76"/>
      <c r="Y284" s="70"/>
      <c r="Z284" s="120">
        <f>+ROUND((ROUND((ROUND((ROUND((_15_同援日１．５＿１．５*_15・２人),0)*(1+_15・B深夜)),0)*(1+_15・盲ろう)),0)*(1+_15・区３)),0)</f>
        <v>427</v>
      </c>
      <c r="AA284" s="69"/>
    </row>
    <row r="285" spans="1:27" ht="16.5" customHeight="1" x14ac:dyDescent="0.3">
      <c r="A285" s="2">
        <v>15</v>
      </c>
      <c r="B285" s="2" t="s">
        <v>583</v>
      </c>
      <c r="C285" s="83" t="s">
        <v>10801</v>
      </c>
      <c r="D285" s="103"/>
      <c r="E285" s="1"/>
      <c r="F285" s="103"/>
      <c r="G285" s="1"/>
      <c r="H285" s="68"/>
      <c r="I285" s="70"/>
      <c r="J285" s="74" t="s">
        <v>16912</v>
      </c>
      <c r="K285" s="62"/>
      <c r="L285" s="63"/>
      <c r="M285" s="85"/>
      <c r="N285" s="64"/>
      <c r="O285" s="65"/>
      <c r="P285" s="99"/>
      <c r="Q285" s="70"/>
      <c r="R285" s="67"/>
      <c r="S285" s="68" t="s">
        <v>1</v>
      </c>
      <c r="T285" s="76">
        <v>0.25</v>
      </c>
      <c r="U285" s="70" t="s">
        <v>422</v>
      </c>
      <c r="V285" s="67"/>
      <c r="W285" s="68"/>
      <c r="X285" s="76"/>
      <c r="Y285" s="70"/>
      <c r="Z285" s="120">
        <f>+ROUND((ROUND((ROUND((ROUND((_15_同援日１．５＿１．５*_15・基礎２),0)*(1+_15・B深夜)),0)*(1+_15・盲ろう)),0)*(1+_15・区３)),0)</f>
        <v>385</v>
      </c>
      <c r="AA285" s="69"/>
    </row>
    <row r="286" spans="1:27" ht="16.5" customHeight="1" x14ac:dyDescent="0.3">
      <c r="A286" s="2">
        <v>15</v>
      </c>
      <c r="B286" s="2" t="s">
        <v>584</v>
      </c>
      <c r="C286" s="83" t="s">
        <v>10800</v>
      </c>
      <c r="D286" s="103"/>
      <c r="E286" s="1"/>
      <c r="F286" s="103"/>
      <c r="G286" s="1"/>
      <c r="H286" s="68"/>
      <c r="I286" s="70"/>
      <c r="J286" s="106" t="s">
        <v>16916</v>
      </c>
      <c r="K286" s="57" t="s">
        <v>1</v>
      </c>
      <c r="L286" s="58">
        <v>0.9</v>
      </c>
      <c r="M286" s="83" t="s">
        <v>5895</v>
      </c>
      <c r="N286" s="64" t="s">
        <v>1</v>
      </c>
      <c r="O286" s="65">
        <v>1</v>
      </c>
      <c r="P286" s="99"/>
      <c r="Q286" s="70"/>
      <c r="R286" s="66"/>
      <c r="S286" s="57"/>
      <c r="T286" s="58"/>
      <c r="U286" s="77"/>
      <c r="V286" s="66"/>
      <c r="W286" s="57"/>
      <c r="X286" s="58"/>
      <c r="Y286" s="77"/>
      <c r="Z286" s="120">
        <f>+ROUND((ROUND((ROUND((ROUND((ROUND((_15_同援日１．５＿１．５*_15・基礎２),0)*_15・２人),0)*(1+_15・B深夜)),0)*(1+_15・盲ろう)),0)*(1+_15・区３)),0)</f>
        <v>385</v>
      </c>
      <c r="AA286" s="69"/>
    </row>
    <row r="287" spans="1:27" ht="16.5" customHeight="1" x14ac:dyDescent="0.3">
      <c r="A287" s="2">
        <v>15</v>
      </c>
      <c r="B287" s="2" t="s">
        <v>585</v>
      </c>
      <c r="C287" s="83" t="s">
        <v>10799</v>
      </c>
      <c r="D287" s="103"/>
      <c r="E287" s="1"/>
      <c r="F287" s="103"/>
      <c r="G287" s="1"/>
      <c r="H287" s="68"/>
      <c r="I287" s="70"/>
      <c r="J287" s="61"/>
      <c r="K287" s="62"/>
      <c r="L287" s="63"/>
      <c r="M287" s="85"/>
      <c r="N287" s="64"/>
      <c r="O287" s="65"/>
      <c r="P287" s="99"/>
      <c r="Q287" s="70"/>
      <c r="R287" s="61"/>
      <c r="S287" s="62"/>
      <c r="T287" s="63"/>
      <c r="U287" s="75"/>
      <c r="V287" s="61"/>
      <c r="W287" s="62"/>
      <c r="X287" s="63"/>
      <c r="Y287" s="75"/>
      <c r="Z287" s="120">
        <f>+ROUND((ROUND((_15_同援日１．５＿１．５*(1+_15・B深夜)),0)*(1+_15・区４)),0)</f>
        <v>399</v>
      </c>
      <c r="AA287" s="69"/>
    </row>
    <row r="288" spans="1:27" ht="16.5" customHeight="1" x14ac:dyDescent="0.3">
      <c r="A288" s="2">
        <v>15</v>
      </c>
      <c r="B288" s="2" t="s">
        <v>586</v>
      </c>
      <c r="C288" s="83" t="s">
        <v>10798</v>
      </c>
      <c r="D288" s="103"/>
      <c r="E288" s="1"/>
      <c r="F288" s="103"/>
      <c r="G288" s="1"/>
      <c r="H288" s="68"/>
      <c r="I288" s="70"/>
      <c r="J288" s="66"/>
      <c r="K288" s="57"/>
      <c r="L288" s="58"/>
      <c r="M288" s="83" t="s">
        <v>5895</v>
      </c>
      <c r="N288" s="64" t="s">
        <v>1</v>
      </c>
      <c r="O288" s="65">
        <v>1</v>
      </c>
      <c r="P288" s="99"/>
      <c r="Q288" s="70"/>
      <c r="R288" s="67"/>
      <c r="S288" s="68"/>
      <c r="T288" s="76"/>
      <c r="U288" s="70"/>
      <c r="V288" s="67"/>
      <c r="W288" s="68"/>
      <c r="X288" s="76"/>
      <c r="Y288" s="70"/>
      <c r="Z288" s="120">
        <f>+ROUND((ROUND((ROUND((_15_同援日１．５＿１．５*_15・２人),0)*(1+_15・B深夜)),0)*(1+_15・区４)),0)</f>
        <v>399</v>
      </c>
      <c r="AA288" s="69"/>
    </row>
    <row r="289" spans="1:27" ht="16.5" customHeight="1" x14ac:dyDescent="0.3">
      <c r="A289" s="2">
        <v>15</v>
      </c>
      <c r="B289" s="2" t="s">
        <v>587</v>
      </c>
      <c r="C289" s="83" t="s">
        <v>10797</v>
      </c>
      <c r="D289" s="103"/>
      <c r="E289" s="1"/>
      <c r="F289" s="103"/>
      <c r="G289" s="1"/>
      <c r="H289" s="68"/>
      <c r="I289" s="70"/>
      <c r="J289" s="74" t="s">
        <v>16912</v>
      </c>
      <c r="K289" s="62"/>
      <c r="L289" s="63"/>
      <c r="M289" s="85"/>
      <c r="N289" s="64"/>
      <c r="O289" s="65"/>
      <c r="P289" s="99"/>
      <c r="Q289" s="70"/>
      <c r="R289" s="67"/>
      <c r="S289" s="68"/>
      <c r="T289" s="76"/>
      <c r="U289" s="70"/>
      <c r="V289" s="1" t="s">
        <v>18100</v>
      </c>
      <c r="W289" s="68"/>
      <c r="X289" s="76"/>
      <c r="Y289" s="70"/>
      <c r="Z289" s="120">
        <f>+ROUND((ROUND((ROUND((_15_同援日１．５＿１．５*_15・基礎２),0)*(1+_15・B深夜)),0)*(1+_15・区４)),0)</f>
        <v>360</v>
      </c>
      <c r="AA289" s="69"/>
    </row>
    <row r="290" spans="1:27" ht="16.5" customHeight="1" x14ac:dyDescent="0.3">
      <c r="A290" s="2">
        <v>15</v>
      </c>
      <c r="B290" s="2" t="s">
        <v>588</v>
      </c>
      <c r="C290" s="83" t="s">
        <v>10796</v>
      </c>
      <c r="D290" s="103"/>
      <c r="E290" s="1"/>
      <c r="F290" s="103"/>
      <c r="G290" s="1"/>
      <c r="H290" s="68"/>
      <c r="I290" s="70"/>
      <c r="J290" s="106" t="s">
        <v>16916</v>
      </c>
      <c r="K290" s="57" t="s">
        <v>1</v>
      </c>
      <c r="L290" s="58">
        <v>0.9</v>
      </c>
      <c r="M290" s="83" t="s">
        <v>5895</v>
      </c>
      <c r="N290" s="64" t="s">
        <v>1</v>
      </c>
      <c r="O290" s="65">
        <v>1</v>
      </c>
      <c r="P290" s="99"/>
      <c r="Q290" s="70"/>
      <c r="R290" s="66"/>
      <c r="S290" s="57"/>
      <c r="T290" s="58"/>
      <c r="U290" s="77"/>
      <c r="V290" s="1" t="s">
        <v>18099</v>
      </c>
      <c r="W290" s="68"/>
      <c r="X290" s="76"/>
      <c r="Y290" s="70"/>
      <c r="Z290" s="120">
        <f>+ROUND((ROUND((ROUND((ROUND((_15_同援日１．５＿１．５*_15・基礎２),0)*_15・２人),0)*(1+_15・B深夜)),0)*(1+_15・区４)),0)</f>
        <v>360</v>
      </c>
      <c r="AA290" s="69"/>
    </row>
    <row r="291" spans="1:27" ht="16.5" customHeight="1" x14ac:dyDescent="0.3">
      <c r="A291" s="2">
        <v>15</v>
      </c>
      <c r="B291" s="2" t="s">
        <v>589</v>
      </c>
      <c r="C291" s="83" t="s">
        <v>10795</v>
      </c>
      <c r="D291" s="103"/>
      <c r="E291" s="1"/>
      <c r="F291" s="103"/>
      <c r="G291" s="1"/>
      <c r="H291" s="68"/>
      <c r="I291" s="70"/>
      <c r="J291" s="61"/>
      <c r="K291" s="62"/>
      <c r="L291" s="63"/>
      <c r="M291" s="85"/>
      <c r="N291" s="64"/>
      <c r="O291" s="65"/>
      <c r="P291" s="99"/>
      <c r="Q291" s="70"/>
      <c r="R291" s="74" t="s">
        <v>18098</v>
      </c>
      <c r="S291" s="62"/>
      <c r="T291" s="63"/>
      <c r="U291" s="75"/>
      <c r="V291" s="67"/>
      <c r="W291" s="68" t="s">
        <v>1</v>
      </c>
      <c r="X291" s="76">
        <v>0.4</v>
      </c>
      <c r="Y291" s="70" t="s">
        <v>422</v>
      </c>
      <c r="Z291" s="120">
        <f>+ROUND((ROUND((ROUND((_15_同援日１．５＿１．５*(1+_15・B深夜)),0)*(1+_15・盲ろう)),0)*(1+_15・区４)),0)</f>
        <v>498</v>
      </c>
      <c r="AA291" s="69"/>
    </row>
    <row r="292" spans="1:27" ht="16.5" customHeight="1" x14ac:dyDescent="0.3">
      <c r="A292" s="2">
        <v>15</v>
      </c>
      <c r="B292" s="2" t="s">
        <v>590</v>
      </c>
      <c r="C292" s="83" t="s">
        <v>10794</v>
      </c>
      <c r="D292" s="103"/>
      <c r="E292" s="1"/>
      <c r="F292" s="103"/>
      <c r="G292" s="1"/>
      <c r="H292" s="68"/>
      <c r="I292" s="70"/>
      <c r="J292" s="66"/>
      <c r="K292" s="57"/>
      <c r="L292" s="58"/>
      <c r="M292" s="83" t="s">
        <v>5895</v>
      </c>
      <c r="N292" s="64" t="s">
        <v>1</v>
      </c>
      <c r="O292" s="65">
        <v>1</v>
      </c>
      <c r="P292" s="99"/>
      <c r="Q292" s="70"/>
      <c r="R292" s="94" t="s">
        <v>18097</v>
      </c>
      <c r="S292" s="68"/>
      <c r="T292" s="76"/>
      <c r="U292" s="70"/>
      <c r="V292" s="67"/>
      <c r="W292" s="68"/>
      <c r="X292" s="76"/>
      <c r="Y292" s="70"/>
      <c r="Z292" s="120">
        <f>+ROUND((ROUND((ROUND((ROUND((_15_同援日１．５＿１．５*_15・２人),0)*(1+_15・B深夜)),0)*(1+_15・盲ろう)),0)*(1+_15・区４)),0)</f>
        <v>498</v>
      </c>
      <c r="AA292" s="69"/>
    </row>
    <row r="293" spans="1:27" ht="16.5" customHeight="1" x14ac:dyDescent="0.3">
      <c r="A293" s="2">
        <v>15</v>
      </c>
      <c r="B293" s="2" t="s">
        <v>591</v>
      </c>
      <c r="C293" s="83" t="s">
        <v>10793</v>
      </c>
      <c r="D293" s="103"/>
      <c r="E293" s="1"/>
      <c r="F293" s="103"/>
      <c r="G293" s="1"/>
      <c r="H293" s="68"/>
      <c r="I293" s="70"/>
      <c r="J293" s="74" t="s">
        <v>16912</v>
      </c>
      <c r="K293" s="62"/>
      <c r="L293" s="63"/>
      <c r="M293" s="85"/>
      <c r="N293" s="64"/>
      <c r="O293" s="65"/>
      <c r="P293" s="99"/>
      <c r="Q293" s="70"/>
      <c r="R293" s="67"/>
      <c r="S293" s="68" t="s">
        <v>1</v>
      </c>
      <c r="T293" s="76">
        <v>0.25</v>
      </c>
      <c r="U293" s="70" t="s">
        <v>422</v>
      </c>
      <c r="V293" s="67"/>
      <c r="W293" s="68"/>
      <c r="X293" s="76"/>
      <c r="Y293" s="70"/>
      <c r="Z293" s="120">
        <f>+ROUND((ROUND((ROUND((ROUND((_15_同援日１．５＿１．５*_15・基礎２),0)*(1+_15・B深夜)),0)*(1+_15・盲ろう)),0)*(1+_15・区４)),0)</f>
        <v>449</v>
      </c>
      <c r="AA293" s="69"/>
    </row>
    <row r="294" spans="1:27" ht="16.5" customHeight="1" x14ac:dyDescent="0.3">
      <c r="A294" s="2">
        <v>15</v>
      </c>
      <c r="B294" s="2" t="s">
        <v>592</v>
      </c>
      <c r="C294" s="83" t="s">
        <v>10792</v>
      </c>
      <c r="D294" s="103"/>
      <c r="E294" s="81"/>
      <c r="F294" s="103"/>
      <c r="G294" s="81"/>
      <c r="H294" s="57"/>
      <c r="I294" s="77"/>
      <c r="J294" s="106" t="s">
        <v>16916</v>
      </c>
      <c r="K294" s="57" t="s">
        <v>1</v>
      </c>
      <c r="L294" s="58">
        <v>0.9</v>
      </c>
      <c r="M294" s="83" t="s">
        <v>5895</v>
      </c>
      <c r="N294" s="64" t="s">
        <v>1</v>
      </c>
      <c r="O294" s="65">
        <v>1</v>
      </c>
      <c r="P294" s="99"/>
      <c r="Q294" s="70"/>
      <c r="R294" s="66"/>
      <c r="S294" s="57"/>
      <c r="T294" s="58"/>
      <c r="U294" s="77"/>
      <c r="V294" s="66"/>
      <c r="W294" s="57"/>
      <c r="X294" s="58"/>
      <c r="Y294" s="77"/>
      <c r="Z294" s="120">
        <f>+ROUND((ROUND((ROUND((ROUND((ROUND((_15_同援日１．５＿１．５*_15・基礎２),0)*_15・２人),0)*(1+_15・B深夜)),0)*(1+_15・盲ろう)),0)*(1+_15・区４)),0)</f>
        <v>449</v>
      </c>
      <c r="AA294" s="69"/>
    </row>
    <row r="295" spans="1:27" ht="16.5" customHeight="1" x14ac:dyDescent="0.3">
      <c r="A295" s="2">
        <v>15</v>
      </c>
      <c r="B295" s="2" t="s">
        <v>593</v>
      </c>
      <c r="C295" s="83" t="s">
        <v>10791</v>
      </c>
      <c r="D295" s="103"/>
      <c r="E295" s="233" t="s">
        <v>18103</v>
      </c>
      <c r="F295" s="103"/>
      <c r="G295" s="233" t="s">
        <v>16967</v>
      </c>
      <c r="H295" s="62"/>
      <c r="I295" s="75"/>
      <c r="J295" s="61"/>
      <c r="K295" s="62"/>
      <c r="L295" s="63"/>
      <c r="M295" s="85"/>
      <c r="N295" s="64"/>
      <c r="O295" s="65"/>
      <c r="P295" s="99"/>
      <c r="Q295" s="70"/>
      <c r="R295" s="61"/>
      <c r="S295" s="62"/>
      <c r="T295" s="63"/>
      <c r="U295" s="75"/>
      <c r="V295" s="61"/>
      <c r="W295" s="62"/>
      <c r="X295" s="63"/>
      <c r="Y295" s="75"/>
      <c r="Z295" s="120">
        <f>+ROUND((_15_同援日２．０＿０．５*(1+_15・B深夜)),0)</f>
        <v>95</v>
      </c>
      <c r="AA295" s="69"/>
    </row>
    <row r="296" spans="1:27" ht="16.5" customHeight="1" x14ac:dyDescent="0.3">
      <c r="A296" s="2">
        <v>15</v>
      </c>
      <c r="B296" s="2" t="s">
        <v>594</v>
      </c>
      <c r="C296" s="83" t="s">
        <v>10790</v>
      </c>
      <c r="D296" s="103"/>
      <c r="E296" s="1" t="s">
        <v>16940</v>
      </c>
      <c r="F296" s="103"/>
      <c r="G296" s="1" t="s">
        <v>7928</v>
      </c>
      <c r="H296" s="68"/>
      <c r="I296" s="70"/>
      <c r="J296" s="66"/>
      <c r="K296" s="57"/>
      <c r="L296" s="58"/>
      <c r="M296" s="83" t="s">
        <v>5895</v>
      </c>
      <c r="N296" s="64" t="s">
        <v>1</v>
      </c>
      <c r="O296" s="65">
        <v>1</v>
      </c>
      <c r="P296" s="99"/>
      <c r="Q296" s="70"/>
      <c r="R296" s="67"/>
      <c r="S296" s="68"/>
      <c r="T296" s="76"/>
      <c r="U296" s="70"/>
      <c r="V296" s="67"/>
      <c r="W296" s="68"/>
      <c r="X296" s="76"/>
      <c r="Y296" s="70"/>
      <c r="Z296" s="120">
        <f>+ROUND((ROUND((_15_同援日２．０＿０．５*_15・２人),0)*(1+_15・B深夜)),0)</f>
        <v>95</v>
      </c>
      <c r="AA296" s="69"/>
    </row>
    <row r="297" spans="1:27" ht="16.5" customHeight="1" x14ac:dyDescent="0.3">
      <c r="A297" s="2">
        <v>15</v>
      </c>
      <c r="B297" s="2" t="s">
        <v>595</v>
      </c>
      <c r="C297" s="83" t="s">
        <v>10789</v>
      </c>
      <c r="D297" s="103"/>
      <c r="E297" s="1" t="s">
        <v>6448</v>
      </c>
      <c r="F297" s="103"/>
      <c r="G297" s="1"/>
      <c r="H297" s="68"/>
      <c r="I297" s="70"/>
      <c r="J297" s="74" t="s">
        <v>16912</v>
      </c>
      <c r="K297" s="62"/>
      <c r="L297" s="63"/>
      <c r="M297" s="85"/>
      <c r="N297" s="64"/>
      <c r="O297" s="65"/>
      <c r="P297" s="99"/>
      <c r="Q297" s="70"/>
      <c r="R297" s="67"/>
      <c r="S297" s="68"/>
      <c r="T297" s="76"/>
      <c r="U297" s="70"/>
      <c r="V297" s="67"/>
      <c r="W297" s="68"/>
      <c r="X297" s="76"/>
      <c r="Y297" s="70"/>
      <c r="Z297" s="120">
        <f>+ROUND((ROUND((_15_同援日２．０＿０．５*_15・基礎２),0)*(1+_15・B深夜)),0)</f>
        <v>86</v>
      </c>
      <c r="AA297" s="69"/>
    </row>
    <row r="298" spans="1:27" ht="16.5" customHeight="1" x14ac:dyDescent="0.3">
      <c r="A298" s="2">
        <v>15</v>
      </c>
      <c r="B298" s="2" t="s">
        <v>596</v>
      </c>
      <c r="C298" s="83" t="s">
        <v>10788</v>
      </c>
      <c r="D298" s="103"/>
      <c r="E298" s="1"/>
      <c r="F298" s="103"/>
      <c r="G298" s="1"/>
      <c r="H298" s="119">
        <v>63</v>
      </c>
      <c r="I298" s="70" t="s">
        <v>0</v>
      </c>
      <c r="J298" s="106" t="s">
        <v>16916</v>
      </c>
      <c r="K298" s="57" t="s">
        <v>1</v>
      </c>
      <c r="L298" s="58">
        <v>0.9</v>
      </c>
      <c r="M298" s="83" t="s">
        <v>5895</v>
      </c>
      <c r="N298" s="64" t="s">
        <v>1</v>
      </c>
      <c r="O298" s="65">
        <v>1</v>
      </c>
      <c r="P298" s="99"/>
      <c r="Q298" s="70"/>
      <c r="R298" s="66"/>
      <c r="S298" s="57"/>
      <c r="T298" s="58"/>
      <c r="U298" s="77"/>
      <c r="V298" s="67"/>
      <c r="W298" s="68"/>
      <c r="X298" s="76"/>
      <c r="Y298" s="70"/>
      <c r="Z298" s="120">
        <f>+ROUND((ROUND((ROUND((_15_同援日２．０＿０．５*_15・基礎２),0)*_15・２人),0)*(1+_15・B深夜)),0)</f>
        <v>86</v>
      </c>
      <c r="AA298" s="69"/>
    </row>
    <row r="299" spans="1:27" ht="16.5" customHeight="1" x14ac:dyDescent="0.3">
      <c r="A299" s="2">
        <v>15</v>
      </c>
      <c r="B299" s="2" t="s">
        <v>597</v>
      </c>
      <c r="C299" s="83" t="s">
        <v>10787</v>
      </c>
      <c r="D299" s="103"/>
      <c r="E299" s="1"/>
      <c r="F299" s="103"/>
      <c r="G299" s="1"/>
      <c r="H299" s="68"/>
      <c r="I299" s="70"/>
      <c r="J299" s="61"/>
      <c r="K299" s="62"/>
      <c r="L299" s="63"/>
      <c r="M299" s="85"/>
      <c r="N299" s="64"/>
      <c r="O299" s="65"/>
      <c r="P299" s="99"/>
      <c r="Q299" s="70"/>
      <c r="R299" s="74" t="s">
        <v>18098</v>
      </c>
      <c r="S299" s="62"/>
      <c r="T299" s="63"/>
      <c r="U299" s="75"/>
      <c r="V299" s="67"/>
      <c r="W299" s="68"/>
      <c r="X299" s="76"/>
      <c r="Y299" s="70"/>
      <c r="Z299" s="120">
        <f>+ROUND((ROUND((_15_同援日２．０＿０．５*(1+_15・B深夜)),0)*(1+_15・盲ろう)),0)</f>
        <v>119</v>
      </c>
      <c r="AA299" s="69"/>
    </row>
    <row r="300" spans="1:27" ht="16.5" customHeight="1" x14ac:dyDescent="0.3">
      <c r="A300" s="2">
        <v>15</v>
      </c>
      <c r="B300" s="2" t="s">
        <v>598</v>
      </c>
      <c r="C300" s="83" t="s">
        <v>10786</v>
      </c>
      <c r="D300" s="103"/>
      <c r="E300" s="1"/>
      <c r="F300" s="103"/>
      <c r="G300" s="1"/>
      <c r="H300" s="68"/>
      <c r="I300" s="70"/>
      <c r="J300" s="66"/>
      <c r="K300" s="57"/>
      <c r="L300" s="58"/>
      <c r="M300" s="83" t="s">
        <v>5895</v>
      </c>
      <c r="N300" s="64" t="s">
        <v>1</v>
      </c>
      <c r="O300" s="65">
        <v>1</v>
      </c>
      <c r="P300" s="99"/>
      <c r="Q300" s="70"/>
      <c r="R300" s="94" t="s">
        <v>18097</v>
      </c>
      <c r="S300" s="68"/>
      <c r="T300" s="76"/>
      <c r="U300" s="70"/>
      <c r="V300" s="67"/>
      <c r="W300" s="68"/>
      <c r="X300" s="76"/>
      <c r="Y300" s="70"/>
      <c r="Z300" s="120">
        <f>+ROUND((ROUND((ROUND((_15_同援日２．０＿０．５*_15・２人),0)*(1+_15・B深夜)),0)*(1+_15・盲ろう)),0)</f>
        <v>119</v>
      </c>
      <c r="AA300" s="69"/>
    </row>
    <row r="301" spans="1:27" ht="16.5" customHeight="1" x14ac:dyDescent="0.3">
      <c r="A301" s="2">
        <v>15</v>
      </c>
      <c r="B301" s="2" t="s">
        <v>599</v>
      </c>
      <c r="C301" s="83" t="s">
        <v>10785</v>
      </c>
      <c r="D301" s="103"/>
      <c r="E301" s="1"/>
      <c r="F301" s="103"/>
      <c r="G301" s="1"/>
      <c r="H301" s="68"/>
      <c r="I301" s="70"/>
      <c r="J301" s="74" t="s">
        <v>5898</v>
      </c>
      <c r="K301" s="62"/>
      <c r="L301" s="63"/>
      <c r="M301" s="85"/>
      <c r="N301" s="64"/>
      <c r="O301" s="65"/>
      <c r="P301" s="99"/>
      <c r="Q301" s="70"/>
      <c r="R301" s="67"/>
      <c r="S301" s="68" t="s">
        <v>1</v>
      </c>
      <c r="T301" s="76">
        <v>0.25</v>
      </c>
      <c r="U301" s="70" t="s">
        <v>422</v>
      </c>
      <c r="V301" s="67"/>
      <c r="W301" s="68"/>
      <c r="X301" s="76"/>
      <c r="Y301" s="70"/>
      <c r="Z301" s="120">
        <f>+ROUND((ROUND((ROUND((_15_同援日２．０＿０．５*_15・基礎２),0)*(1+_15・B深夜)),0)*(1+_15・盲ろう)),0)</f>
        <v>108</v>
      </c>
      <c r="AA301" s="69"/>
    </row>
    <row r="302" spans="1:27" ht="16.5" customHeight="1" x14ac:dyDescent="0.3">
      <c r="A302" s="2">
        <v>15</v>
      </c>
      <c r="B302" s="2" t="s">
        <v>600</v>
      </c>
      <c r="C302" s="83" t="s">
        <v>10784</v>
      </c>
      <c r="D302" s="103"/>
      <c r="E302" s="1"/>
      <c r="F302" s="103"/>
      <c r="G302" s="1"/>
      <c r="H302" s="68"/>
      <c r="I302" s="70"/>
      <c r="J302" s="106" t="s">
        <v>16916</v>
      </c>
      <c r="K302" s="57" t="s">
        <v>1</v>
      </c>
      <c r="L302" s="58">
        <v>0.9</v>
      </c>
      <c r="M302" s="83" t="s">
        <v>5895</v>
      </c>
      <c r="N302" s="64" t="s">
        <v>1</v>
      </c>
      <c r="O302" s="65">
        <v>1</v>
      </c>
      <c r="P302" s="99"/>
      <c r="Q302" s="70"/>
      <c r="R302" s="66"/>
      <c r="S302" s="57"/>
      <c r="T302" s="58"/>
      <c r="U302" s="77"/>
      <c r="V302" s="66"/>
      <c r="W302" s="57"/>
      <c r="X302" s="58"/>
      <c r="Y302" s="77"/>
      <c r="Z302" s="120">
        <f>+ROUND((ROUND((ROUND((ROUND((_15_同援日２．０＿０．５*_15・基礎２),0)*_15・２人),0)*(1+_15・B深夜)),0)*(1+_15・盲ろう)),0)</f>
        <v>108</v>
      </c>
      <c r="AA302" s="69"/>
    </row>
    <row r="303" spans="1:27" ht="16.5" customHeight="1" x14ac:dyDescent="0.3">
      <c r="A303" s="2">
        <v>15</v>
      </c>
      <c r="B303" s="2" t="s">
        <v>601</v>
      </c>
      <c r="C303" s="83" t="s">
        <v>10783</v>
      </c>
      <c r="D303" s="103"/>
      <c r="E303" s="1"/>
      <c r="F303" s="103"/>
      <c r="G303" s="1"/>
      <c r="H303" s="68"/>
      <c r="I303" s="70"/>
      <c r="J303" s="61"/>
      <c r="K303" s="62"/>
      <c r="L303" s="63"/>
      <c r="M303" s="85"/>
      <c r="N303" s="64"/>
      <c r="O303" s="65"/>
      <c r="P303" s="99"/>
      <c r="Q303" s="70"/>
      <c r="R303" s="61"/>
      <c r="S303" s="62"/>
      <c r="T303" s="63"/>
      <c r="U303" s="75"/>
      <c r="V303" s="61"/>
      <c r="W303" s="62"/>
      <c r="X303" s="63"/>
      <c r="Y303" s="75"/>
      <c r="Z303" s="120">
        <f>+ROUND((ROUND((_15_同援日２．０＿０．５*(1+_15・B深夜)),0)*(1+_15・区３)),0)</f>
        <v>114</v>
      </c>
      <c r="AA303" s="69"/>
    </row>
    <row r="304" spans="1:27" ht="16.5" customHeight="1" x14ac:dyDescent="0.3">
      <c r="A304" s="2">
        <v>15</v>
      </c>
      <c r="B304" s="2" t="s">
        <v>602</v>
      </c>
      <c r="C304" s="83" t="s">
        <v>10782</v>
      </c>
      <c r="D304" s="103"/>
      <c r="E304" s="1"/>
      <c r="F304" s="103"/>
      <c r="G304" s="1"/>
      <c r="H304" s="68"/>
      <c r="I304" s="70"/>
      <c r="J304" s="66"/>
      <c r="K304" s="57"/>
      <c r="L304" s="58"/>
      <c r="M304" s="83" t="s">
        <v>5895</v>
      </c>
      <c r="N304" s="64" t="s">
        <v>1</v>
      </c>
      <c r="O304" s="65">
        <v>1</v>
      </c>
      <c r="P304" s="99"/>
      <c r="Q304" s="70"/>
      <c r="R304" s="67"/>
      <c r="S304" s="68"/>
      <c r="T304" s="76"/>
      <c r="U304" s="70"/>
      <c r="V304" s="67"/>
      <c r="W304" s="68"/>
      <c r="X304" s="76"/>
      <c r="Y304" s="70"/>
      <c r="Z304" s="120">
        <f>+ROUND((ROUND((ROUND((_15_同援日２．０＿０．５*_15・２人),0)*(1+_15・B深夜)),0)*(1+_15・区３)),0)</f>
        <v>114</v>
      </c>
      <c r="AA304" s="69"/>
    </row>
    <row r="305" spans="1:27" ht="16.5" customHeight="1" x14ac:dyDescent="0.3">
      <c r="A305" s="2">
        <v>15</v>
      </c>
      <c r="B305" s="2" t="s">
        <v>603</v>
      </c>
      <c r="C305" s="83" t="s">
        <v>10781</v>
      </c>
      <c r="D305" s="103"/>
      <c r="E305" s="1"/>
      <c r="F305" s="103"/>
      <c r="G305" s="1"/>
      <c r="H305" s="68"/>
      <c r="I305" s="70"/>
      <c r="J305" s="74" t="s">
        <v>16912</v>
      </c>
      <c r="K305" s="62"/>
      <c r="L305" s="63"/>
      <c r="M305" s="85"/>
      <c r="N305" s="64"/>
      <c r="O305" s="65"/>
      <c r="P305" s="99"/>
      <c r="Q305" s="70"/>
      <c r="R305" s="67"/>
      <c r="S305" s="68"/>
      <c r="T305" s="76"/>
      <c r="U305" s="70"/>
      <c r="V305" s="1" t="s">
        <v>18101</v>
      </c>
      <c r="W305" s="68"/>
      <c r="X305" s="76"/>
      <c r="Y305" s="70"/>
      <c r="Z305" s="120">
        <f>+ROUND((ROUND((ROUND((_15_同援日２．０＿０．５*_15・基礎２),0)*(1+_15・B深夜)),0)*(1+_15・区３)),0)</f>
        <v>103</v>
      </c>
      <c r="AA305" s="69"/>
    </row>
    <row r="306" spans="1:27" ht="16.5" customHeight="1" x14ac:dyDescent="0.3">
      <c r="A306" s="2">
        <v>15</v>
      </c>
      <c r="B306" s="2" t="s">
        <v>604</v>
      </c>
      <c r="C306" s="83" t="s">
        <v>10780</v>
      </c>
      <c r="D306" s="103"/>
      <c r="E306" s="1"/>
      <c r="F306" s="103"/>
      <c r="G306" s="1"/>
      <c r="H306" s="68"/>
      <c r="I306" s="70"/>
      <c r="J306" s="106" t="s">
        <v>16916</v>
      </c>
      <c r="K306" s="57" t="s">
        <v>1</v>
      </c>
      <c r="L306" s="58">
        <v>0.9</v>
      </c>
      <c r="M306" s="83" t="s">
        <v>5895</v>
      </c>
      <c r="N306" s="64" t="s">
        <v>1</v>
      </c>
      <c r="O306" s="65">
        <v>1</v>
      </c>
      <c r="P306" s="99"/>
      <c r="Q306" s="70"/>
      <c r="R306" s="66"/>
      <c r="S306" s="57"/>
      <c r="T306" s="58"/>
      <c r="U306" s="77"/>
      <c r="V306" s="1" t="s">
        <v>18099</v>
      </c>
      <c r="W306" s="68"/>
      <c r="X306" s="76"/>
      <c r="Y306" s="70"/>
      <c r="Z306" s="120">
        <f>+ROUND((ROUND((ROUND((ROUND((_15_同援日２．０＿０．５*_15・基礎２),0)*_15・２人),0)*(1+_15・B深夜)),0)*(1+_15・区３)),0)</f>
        <v>103</v>
      </c>
      <c r="AA306" s="69"/>
    </row>
    <row r="307" spans="1:27" ht="16.5" customHeight="1" x14ac:dyDescent="0.3">
      <c r="A307" s="2">
        <v>15</v>
      </c>
      <c r="B307" s="2" t="s">
        <v>605</v>
      </c>
      <c r="C307" s="83" t="s">
        <v>10779</v>
      </c>
      <c r="D307" s="103"/>
      <c r="E307" s="1"/>
      <c r="F307" s="103"/>
      <c r="G307" s="1"/>
      <c r="H307" s="68"/>
      <c r="I307" s="70"/>
      <c r="J307" s="61"/>
      <c r="K307" s="62"/>
      <c r="L307" s="63"/>
      <c r="M307" s="85"/>
      <c r="N307" s="64"/>
      <c r="O307" s="65"/>
      <c r="P307" s="99"/>
      <c r="Q307" s="70"/>
      <c r="R307" s="74" t="s">
        <v>18098</v>
      </c>
      <c r="S307" s="62"/>
      <c r="T307" s="63"/>
      <c r="U307" s="75"/>
      <c r="V307" s="67"/>
      <c r="W307" s="68" t="s">
        <v>1</v>
      </c>
      <c r="X307" s="76">
        <v>0.2</v>
      </c>
      <c r="Y307" s="70" t="s">
        <v>422</v>
      </c>
      <c r="Z307" s="120">
        <f>+ROUND((ROUND((ROUND((_15_同援日２．０＿０．５*(1+_15・B深夜)),0)*(1+_15・盲ろう)),0)*(1+_15・区３)),0)</f>
        <v>143</v>
      </c>
      <c r="AA307" s="69"/>
    </row>
    <row r="308" spans="1:27" ht="16.5" customHeight="1" x14ac:dyDescent="0.3">
      <c r="A308" s="2">
        <v>15</v>
      </c>
      <c r="B308" s="2" t="s">
        <v>606</v>
      </c>
      <c r="C308" s="83" t="s">
        <v>10778</v>
      </c>
      <c r="D308" s="103"/>
      <c r="E308" s="1"/>
      <c r="F308" s="103"/>
      <c r="G308" s="1"/>
      <c r="H308" s="68"/>
      <c r="I308" s="70"/>
      <c r="J308" s="66"/>
      <c r="K308" s="57"/>
      <c r="L308" s="58"/>
      <c r="M308" s="83" t="s">
        <v>5895</v>
      </c>
      <c r="N308" s="64" t="s">
        <v>1</v>
      </c>
      <c r="O308" s="65">
        <v>1</v>
      </c>
      <c r="P308" s="99"/>
      <c r="Q308" s="70"/>
      <c r="R308" s="94" t="s">
        <v>18097</v>
      </c>
      <c r="S308" s="68"/>
      <c r="T308" s="76"/>
      <c r="U308" s="70"/>
      <c r="V308" s="67"/>
      <c r="W308" s="68"/>
      <c r="X308" s="76"/>
      <c r="Y308" s="70"/>
      <c r="Z308" s="120">
        <f>+ROUND((ROUND((ROUND((ROUND((_15_同援日２．０＿０．５*_15・２人),0)*(1+_15・B深夜)),0)*(1+_15・盲ろう)),0)*(1+_15・区３)),0)</f>
        <v>143</v>
      </c>
      <c r="AA308" s="69"/>
    </row>
    <row r="309" spans="1:27" ht="16.5" customHeight="1" x14ac:dyDescent="0.3">
      <c r="A309" s="2">
        <v>15</v>
      </c>
      <c r="B309" s="2" t="s">
        <v>607</v>
      </c>
      <c r="C309" s="83" t="s">
        <v>10777</v>
      </c>
      <c r="D309" s="103"/>
      <c r="E309" s="1"/>
      <c r="F309" s="103"/>
      <c r="G309" s="1"/>
      <c r="H309" s="68"/>
      <c r="I309" s="70"/>
      <c r="J309" s="74" t="s">
        <v>16912</v>
      </c>
      <c r="K309" s="62"/>
      <c r="L309" s="63"/>
      <c r="M309" s="85"/>
      <c r="N309" s="64"/>
      <c r="O309" s="65"/>
      <c r="P309" s="99"/>
      <c r="Q309" s="70"/>
      <c r="R309" s="67"/>
      <c r="S309" s="68" t="s">
        <v>1</v>
      </c>
      <c r="T309" s="76">
        <v>0.25</v>
      </c>
      <c r="U309" s="70" t="s">
        <v>422</v>
      </c>
      <c r="V309" s="67"/>
      <c r="W309" s="68"/>
      <c r="X309" s="76"/>
      <c r="Y309" s="70"/>
      <c r="Z309" s="120">
        <f>+ROUND((ROUND((ROUND((ROUND((_15_同援日２．０＿０．５*_15・基礎２),0)*(1+_15・B深夜)),0)*(1+_15・盲ろう)),0)*(1+_15・区３)),0)</f>
        <v>130</v>
      </c>
      <c r="AA309" s="69"/>
    </row>
    <row r="310" spans="1:27" ht="16.5" customHeight="1" x14ac:dyDescent="0.3">
      <c r="A310" s="2">
        <v>15</v>
      </c>
      <c r="B310" s="2" t="s">
        <v>608</v>
      </c>
      <c r="C310" s="83" t="s">
        <v>10776</v>
      </c>
      <c r="D310" s="103"/>
      <c r="E310" s="1"/>
      <c r="F310" s="103"/>
      <c r="G310" s="1"/>
      <c r="H310" s="68"/>
      <c r="I310" s="70"/>
      <c r="J310" s="106" t="s">
        <v>16916</v>
      </c>
      <c r="K310" s="57" t="s">
        <v>1</v>
      </c>
      <c r="L310" s="58">
        <v>0.9</v>
      </c>
      <c r="M310" s="83" t="s">
        <v>5895</v>
      </c>
      <c r="N310" s="64" t="s">
        <v>1</v>
      </c>
      <c r="O310" s="65">
        <v>1</v>
      </c>
      <c r="P310" s="99"/>
      <c r="Q310" s="70"/>
      <c r="R310" s="66"/>
      <c r="S310" s="57"/>
      <c r="T310" s="58"/>
      <c r="U310" s="77"/>
      <c r="V310" s="66"/>
      <c r="W310" s="57"/>
      <c r="X310" s="58"/>
      <c r="Y310" s="77"/>
      <c r="Z310" s="120">
        <f>+ROUND((ROUND((ROUND((ROUND((ROUND((_15_同援日２．０＿０．５*_15・基礎２),0)*_15・２人),0)*(1+_15・B深夜)),0)*(1+_15・盲ろう)),0)*(1+_15・区３)),0)</f>
        <v>130</v>
      </c>
      <c r="AA310" s="69"/>
    </row>
    <row r="311" spans="1:27" ht="16.5" customHeight="1" x14ac:dyDescent="0.3">
      <c r="A311" s="2">
        <v>15</v>
      </c>
      <c r="B311" s="2" t="s">
        <v>609</v>
      </c>
      <c r="C311" s="83" t="s">
        <v>10775</v>
      </c>
      <c r="D311" s="103"/>
      <c r="E311" s="1"/>
      <c r="F311" s="103"/>
      <c r="G311" s="1"/>
      <c r="H311" s="68"/>
      <c r="I311" s="70"/>
      <c r="J311" s="61"/>
      <c r="K311" s="62"/>
      <c r="L311" s="63"/>
      <c r="M311" s="85"/>
      <c r="N311" s="64"/>
      <c r="O311" s="65"/>
      <c r="P311" s="99"/>
      <c r="Q311" s="70"/>
      <c r="R311" s="61"/>
      <c r="S311" s="62"/>
      <c r="T311" s="63"/>
      <c r="U311" s="75"/>
      <c r="V311" s="61"/>
      <c r="W311" s="62"/>
      <c r="X311" s="63"/>
      <c r="Y311" s="75"/>
      <c r="Z311" s="120">
        <f>+ROUND((ROUND((_15_同援日２．０＿０．５*(1+_15・B深夜)),0)*(1+_15・区４)),0)</f>
        <v>133</v>
      </c>
      <c r="AA311" s="69"/>
    </row>
    <row r="312" spans="1:27" ht="16.5" customHeight="1" x14ac:dyDescent="0.3">
      <c r="A312" s="2">
        <v>15</v>
      </c>
      <c r="B312" s="2" t="s">
        <v>610</v>
      </c>
      <c r="C312" s="83" t="s">
        <v>10774</v>
      </c>
      <c r="D312" s="103"/>
      <c r="E312" s="1"/>
      <c r="F312" s="103"/>
      <c r="G312" s="1"/>
      <c r="H312" s="68"/>
      <c r="I312" s="70"/>
      <c r="J312" s="66"/>
      <c r="K312" s="57"/>
      <c r="L312" s="58"/>
      <c r="M312" s="83" t="s">
        <v>5895</v>
      </c>
      <c r="N312" s="64" t="s">
        <v>1</v>
      </c>
      <c r="O312" s="65">
        <v>1</v>
      </c>
      <c r="P312" s="99"/>
      <c r="Q312" s="70"/>
      <c r="R312" s="67"/>
      <c r="S312" s="68"/>
      <c r="T312" s="76"/>
      <c r="U312" s="70"/>
      <c r="V312" s="67"/>
      <c r="W312" s="68"/>
      <c r="X312" s="76"/>
      <c r="Y312" s="70"/>
      <c r="Z312" s="120">
        <f>+ROUND((ROUND((ROUND((_15_同援日２．０＿０．５*_15・２人),0)*(1+_15・B深夜)),0)*(1+_15・区４)),0)</f>
        <v>133</v>
      </c>
      <c r="AA312" s="69"/>
    </row>
    <row r="313" spans="1:27" ht="16.5" customHeight="1" x14ac:dyDescent="0.3">
      <c r="A313" s="2">
        <v>15</v>
      </c>
      <c r="B313" s="2" t="s">
        <v>611</v>
      </c>
      <c r="C313" s="83" t="s">
        <v>10773</v>
      </c>
      <c r="D313" s="103"/>
      <c r="E313" s="1"/>
      <c r="F313" s="103"/>
      <c r="G313" s="1"/>
      <c r="H313" s="68"/>
      <c r="I313" s="70"/>
      <c r="J313" s="74" t="s">
        <v>16912</v>
      </c>
      <c r="K313" s="62"/>
      <c r="L313" s="63"/>
      <c r="M313" s="85"/>
      <c r="N313" s="64"/>
      <c r="O313" s="65"/>
      <c r="P313" s="99"/>
      <c r="Q313" s="70"/>
      <c r="R313" s="67"/>
      <c r="S313" s="68"/>
      <c r="T313" s="76"/>
      <c r="U313" s="70"/>
      <c r="V313" s="1" t="s">
        <v>18100</v>
      </c>
      <c r="W313" s="68"/>
      <c r="X313" s="76"/>
      <c r="Y313" s="70"/>
      <c r="Z313" s="120">
        <f>+ROUND((ROUND((ROUND((_15_同援日２．０＿０．５*_15・基礎２),0)*(1+_15・B深夜)),0)*(1+_15・区４)),0)</f>
        <v>120</v>
      </c>
      <c r="AA313" s="69"/>
    </row>
    <row r="314" spans="1:27" ht="16.5" customHeight="1" x14ac:dyDescent="0.3">
      <c r="A314" s="2">
        <v>15</v>
      </c>
      <c r="B314" s="2" t="s">
        <v>612</v>
      </c>
      <c r="C314" s="83" t="s">
        <v>10772</v>
      </c>
      <c r="D314" s="103"/>
      <c r="E314" s="1"/>
      <c r="F314" s="103"/>
      <c r="G314" s="1"/>
      <c r="H314" s="68"/>
      <c r="I314" s="70"/>
      <c r="J314" s="106" t="s">
        <v>16916</v>
      </c>
      <c r="K314" s="57" t="s">
        <v>1</v>
      </c>
      <c r="L314" s="58">
        <v>0.9</v>
      </c>
      <c r="M314" s="83" t="s">
        <v>5895</v>
      </c>
      <c r="N314" s="64" t="s">
        <v>1</v>
      </c>
      <c r="O314" s="65">
        <v>1</v>
      </c>
      <c r="P314" s="99"/>
      <c r="Q314" s="70"/>
      <c r="R314" s="66"/>
      <c r="S314" s="57"/>
      <c r="T314" s="58"/>
      <c r="U314" s="77"/>
      <c r="V314" s="1" t="s">
        <v>18099</v>
      </c>
      <c r="W314" s="68"/>
      <c r="X314" s="76"/>
      <c r="Y314" s="70"/>
      <c r="Z314" s="120">
        <f>+ROUND((ROUND((ROUND((ROUND((_15_同援日２．０＿０．５*_15・基礎２),0)*_15・２人),0)*(1+_15・B深夜)),0)*(1+_15・区４)),0)</f>
        <v>120</v>
      </c>
      <c r="AA314" s="69"/>
    </row>
    <row r="315" spans="1:27" ht="16.5" customHeight="1" x14ac:dyDescent="0.3">
      <c r="A315" s="2">
        <v>15</v>
      </c>
      <c r="B315" s="2" t="s">
        <v>613</v>
      </c>
      <c r="C315" s="83" t="s">
        <v>10771</v>
      </c>
      <c r="D315" s="103"/>
      <c r="E315" s="1"/>
      <c r="F315" s="103"/>
      <c r="G315" s="1"/>
      <c r="H315" s="68"/>
      <c r="I315" s="70"/>
      <c r="J315" s="61"/>
      <c r="K315" s="62"/>
      <c r="L315" s="63"/>
      <c r="M315" s="85"/>
      <c r="N315" s="64"/>
      <c r="O315" s="65"/>
      <c r="P315" s="99"/>
      <c r="Q315" s="70"/>
      <c r="R315" s="74" t="s">
        <v>18098</v>
      </c>
      <c r="S315" s="62"/>
      <c r="T315" s="63"/>
      <c r="U315" s="75"/>
      <c r="V315" s="67"/>
      <c r="W315" s="68" t="s">
        <v>1</v>
      </c>
      <c r="X315" s="76">
        <v>0.4</v>
      </c>
      <c r="Y315" s="70" t="s">
        <v>422</v>
      </c>
      <c r="Z315" s="120">
        <f>+ROUND((ROUND((ROUND((_15_同援日２．０＿０．５*(1+_15・B深夜)),0)*(1+_15・盲ろう)),0)*(1+_15・区４)),0)</f>
        <v>167</v>
      </c>
      <c r="AA315" s="69"/>
    </row>
    <row r="316" spans="1:27" ht="16.5" customHeight="1" x14ac:dyDescent="0.3">
      <c r="A316" s="2">
        <v>15</v>
      </c>
      <c r="B316" s="2" t="s">
        <v>614</v>
      </c>
      <c r="C316" s="83" t="s">
        <v>10770</v>
      </c>
      <c r="D316" s="103"/>
      <c r="E316" s="1"/>
      <c r="F316" s="103"/>
      <c r="G316" s="1"/>
      <c r="H316" s="68"/>
      <c r="I316" s="70"/>
      <c r="J316" s="66"/>
      <c r="K316" s="57"/>
      <c r="L316" s="58"/>
      <c r="M316" s="83" t="s">
        <v>5895</v>
      </c>
      <c r="N316" s="64" t="s">
        <v>1</v>
      </c>
      <c r="O316" s="65">
        <v>1</v>
      </c>
      <c r="P316" s="99"/>
      <c r="Q316" s="70"/>
      <c r="R316" s="94" t="s">
        <v>18097</v>
      </c>
      <c r="S316" s="68"/>
      <c r="T316" s="76"/>
      <c r="U316" s="70"/>
      <c r="V316" s="67"/>
      <c r="W316" s="68"/>
      <c r="X316" s="76"/>
      <c r="Y316" s="70"/>
      <c r="Z316" s="120">
        <f>+ROUND((ROUND((ROUND((ROUND((_15_同援日２．０＿０．５*_15・２人),0)*(1+_15・B深夜)),0)*(1+_15・盲ろう)),0)*(1+_15・区４)),0)</f>
        <v>167</v>
      </c>
      <c r="AA316" s="69"/>
    </row>
    <row r="317" spans="1:27" ht="16.5" customHeight="1" x14ac:dyDescent="0.3">
      <c r="A317" s="2">
        <v>15</v>
      </c>
      <c r="B317" s="2" t="s">
        <v>615</v>
      </c>
      <c r="C317" s="83" t="s">
        <v>10769</v>
      </c>
      <c r="D317" s="103"/>
      <c r="E317" s="1"/>
      <c r="F317" s="103"/>
      <c r="G317" s="1"/>
      <c r="H317" s="68"/>
      <c r="I317" s="70"/>
      <c r="J317" s="74" t="s">
        <v>16912</v>
      </c>
      <c r="K317" s="62"/>
      <c r="L317" s="63"/>
      <c r="M317" s="85"/>
      <c r="N317" s="64"/>
      <c r="O317" s="65"/>
      <c r="P317" s="99"/>
      <c r="Q317" s="70"/>
      <c r="R317" s="67"/>
      <c r="S317" s="68" t="s">
        <v>1</v>
      </c>
      <c r="T317" s="76">
        <v>0.25</v>
      </c>
      <c r="U317" s="70" t="s">
        <v>422</v>
      </c>
      <c r="V317" s="67"/>
      <c r="W317" s="68"/>
      <c r="X317" s="76"/>
      <c r="Y317" s="70"/>
      <c r="Z317" s="120">
        <f>+ROUND((ROUND((ROUND((ROUND((_15_同援日２．０＿０．５*_15・基礎２),0)*(1+_15・B深夜)),0)*(1+_15・盲ろう)),0)*(1+_15・区４)),0)</f>
        <v>151</v>
      </c>
      <c r="AA317" s="69"/>
    </row>
    <row r="318" spans="1:27" ht="16.5" customHeight="1" x14ac:dyDescent="0.3">
      <c r="A318" s="2">
        <v>15</v>
      </c>
      <c r="B318" s="2" t="s">
        <v>616</v>
      </c>
      <c r="C318" s="83" t="s">
        <v>10768</v>
      </c>
      <c r="D318" s="103"/>
      <c r="E318" s="1"/>
      <c r="F318" s="103"/>
      <c r="G318" s="81"/>
      <c r="H318" s="57"/>
      <c r="I318" s="77"/>
      <c r="J318" s="106" t="s">
        <v>16916</v>
      </c>
      <c r="K318" s="57" t="s">
        <v>1</v>
      </c>
      <c r="L318" s="58">
        <v>0.9</v>
      </c>
      <c r="M318" s="83" t="s">
        <v>5895</v>
      </c>
      <c r="N318" s="64" t="s">
        <v>1</v>
      </c>
      <c r="O318" s="65">
        <v>1</v>
      </c>
      <c r="P318" s="99"/>
      <c r="Q318" s="70"/>
      <c r="R318" s="66"/>
      <c r="S318" s="57"/>
      <c r="T318" s="58"/>
      <c r="U318" s="77"/>
      <c r="V318" s="66"/>
      <c r="W318" s="57"/>
      <c r="X318" s="58"/>
      <c r="Y318" s="77"/>
      <c r="Z318" s="120">
        <f>+ROUND((ROUND((ROUND((ROUND((ROUND((_15_同援日２．０＿０．５*_15・基礎２),0)*_15・２人),0)*(1+_15・B深夜)),0)*(1+_15・盲ろう)),0)*(1+_15・区４)),0)</f>
        <v>151</v>
      </c>
      <c r="AA318" s="69"/>
    </row>
    <row r="319" spans="1:27" ht="16.5" customHeight="1" x14ac:dyDescent="0.3">
      <c r="A319" s="2">
        <v>15</v>
      </c>
      <c r="B319" s="2" t="s">
        <v>617</v>
      </c>
      <c r="C319" s="83" t="s">
        <v>10767</v>
      </c>
      <c r="D319" s="103"/>
      <c r="E319" s="1"/>
      <c r="F319" s="103"/>
      <c r="G319" s="233" t="s">
        <v>16950</v>
      </c>
      <c r="H319" s="62"/>
      <c r="I319" s="75"/>
      <c r="J319" s="61"/>
      <c r="K319" s="62"/>
      <c r="L319" s="63"/>
      <c r="M319" s="85"/>
      <c r="N319" s="64"/>
      <c r="O319" s="65"/>
      <c r="P319" s="99"/>
      <c r="Q319" s="70"/>
      <c r="R319" s="61"/>
      <c r="S319" s="62"/>
      <c r="T319" s="63"/>
      <c r="U319" s="75"/>
      <c r="V319" s="61"/>
      <c r="W319" s="62"/>
      <c r="X319" s="63"/>
      <c r="Y319" s="75"/>
      <c r="Z319" s="120">
        <f>+ROUND((_15_同援日２．０＿１．０*(1+_15・B深夜)),0)</f>
        <v>189</v>
      </c>
      <c r="AA319" s="69"/>
    </row>
    <row r="320" spans="1:27" ht="16.5" customHeight="1" x14ac:dyDescent="0.3">
      <c r="A320" s="2">
        <v>15</v>
      </c>
      <c r="B320" s="2" t="s">
        <v>618</v>
      </c>
      <c r="C320" s="83" t="s">
        <v>10766</v>
      </c>
      <c r="D320" s="103"/>
      <c r="E320" s="1"/>
      <c r="F320" s="103"/>
      <c r="G320" s="1" t="s">
        <v>16949</v>
      </c>
      <c r="H320" s="68"/>
      <c r="I320" s="70"/>
      <c r="J320" s="66"/>
      <c r="K320" s="57"/>
      <c r="L320" s="58"/>
      <c r="M320" s="83" t="s">
        <v>5895</v>
      </c>
      <c r="N320" s="64" t="s">
        <v>1</v>
      </c>
      <c r="O320" s="65">
        <v>1</v>
      </c>
      <c r="P320" s="99"/>
      <c r="Q320" s="70"/>
      <c r="R320" s="67"/>
      <c r="S320" s="68"/>
      <c r="T320" s="76"/>
      <c r="U320" s="70"/>
      <c r="V320" s="67"/>
      <c r="W320" s="68"/>
      <c r="X320" s="76"/>
      <c r="Y320" s="70"/>
      <c r="Z320" s="120">
        <f>+ROUND((ROUND((_15_同援日２．０＿１．０*_15・２人),0)*(1+_15・B深夜)),0)</f>
        <v>189</v>
      </c>
      <c r="AA320" s="69"/>
    </row>
    <row r="321" spans="1:27" ht="16.5" customHeight="1" x14ac:dyDescent="0.3">
      <c r="A321" s="2">
        <v>15</v>
      </c>
      <c r="B321" s="2" t="s">
        <v>619</v>
      </c>
      <c r="C321" s="83" t="s">
        <v>10765</v>
      </c>
      <c r="D321" s="103"/>
      <c r="E321" s="1"/>
      <c r="F321" s="103"/>
      <c r="G321" s="1" t="s">
        <v>8572</v>
      </c>
      <c r="H321" s="68"/>
      <c r="I321" s="70"/>
      <c r="J321" s="74" t="s">
        <v>16912</v>
      </c>
      <c r="K321" s="62"/>
      <c r="L321" s="63"/>
      <c r="M321" s="85"/>
      <c r="N321" s="64"/>
      <c r="O321" s="65"/>
      <c r="P321" s="99"/>
      <c r="Q321" s="70"/>
      <c r="R321" s="67"/>
      <c r="S321" s="68"/>
      <c r="T321" s="76"/>
      <c r="U321" s="70"/>
      <c r="V321" s="67"/>
      <c r="W321" s="68"/>
      <c r="X321" s="76"/>
      <c r="Y321" s="70"/>
      <c r="Z321" s="120">
        <f>+ROUND((ROUND((_15_同援日２．０＿１．０*_15・基礎２),0)*(1+_15・B深夜)),0)</f>
        <v>170</v>
      </c>
      <c r="AA321" s="69"/>
    </row>
    <row r="322" spans="1:27" ht="16.5" customHeight="1" x14ac:dyDescent="0.3">
      <c r="A322" s="2">
        <v>15</v>
      </c>
      <c r="B322" s="2" t="s">
        <v>620</v>
      </c>
      <c r="C322" s="83" t="s">
        <v>10764</v>
      </c>
      <c r="D322" s="103"/>
      <c r="E322" s="1"/>
      <c r="F322" s="103"/>
      <c r="G322" s="1"/>
      <c r="H322" s="119">
        <v>126</v>
      </c>
      <c r="I322" s="70" t="s">
        <v>0</v>
      </c>
      <c r="J322" s="106" t="s">
        <v>16916</v>
      </c>
      <c r="K322" s="57" t="s">
        <v>1</v>
      </c>
      <c r="L322" s="58">
        <v>0.9</v>
      </c>
      <c r="M322" s="83" t="s">
        <v>5895</v>
      </c>
      <c r="N322" s="64" t="s">
        <v>1</v>
      </c>
      <c r="O322" s="65">
        <v>1</v>
      </c>
      <c r="P322" s="99"/>
      <c r="Q322" s="70"/>
      <c r="R322" s="66"/>
      <c r="S322" s="57"/>
      <c r="T322" s="58"/>
      <c r="U322" s="77"/>
      <c r="V322" s="67"/>
      <c r="W322" s="68"/>
      <c r="X322" s="76"/>
      <c r="Y322" s="70"/>
      <c r="Z322" s="120">
        <f>+ROUND((ROUND((ROUND((_15_同援日２．０＿１．０*_15・基礎２),0)*_15・２人),0)*(1+_15・B深夜)),0)</f>
        <v>170</v>
      </c>
      <c r="AA322" s="69"/>
    </row>
    <row r="323" spans="1:27" ht="16.5" customHeight="1" x14ac:dyDescent="0.3">
      <c r="A323" s="2">
        <v>15</v>
      </c>
      <c r="B323" s="2" t="s">
        <v>621</v>
      </c>
      <c r="C323" s="83" t="s">
        <v>10763</v>
      </c>
      <c r="D323" s="103"/>
      <c r="E323" s="1"/>
      <c r="F323" s="103"/>
      <c r="G323" s="1"/>
      <c r="H323" s="68"/>
      <c r="I323" s="70"/>
      <c r="J323" s="61"/>
      <c r="K323" s="62"/>
      <c r="L323" s="63"/>
      <c r="M323" s="85"/>
      <c r="N323" s="64"/>
      <c r="O323" s="65"/>
      <c r="P323" s="99"/>
      <c r="Q323" s="70"/>
      <c r="R323" s="74" t="s">
        <v>18098</v>
      </c>
      <c r="S323" s="62"/>
      <c r="T323" s="63"/>
      <c r="U323" s="75"/>
      <c r="V323" s="67"/>
      <c r="W323" s="68"/>
      <c r="X323" s="76"/>
      <c r="Y323" s="70"/>
      <c r="Z323" s="120">
        <f>+ROUND((ROUND((_15_同援日２．０＿１．０*(1+_15・B深夜)),0)*(1+_15・盲ろう)),0)</f>
        <v>236</v>
      </c>
      <c r="AA323" s="69"/>
    </row>
    <row r="324" spans="1:27" ht="16.5" customHeight="1" x14ac:dyDescent="0.3">
      <c r="A324" s="2">
        <v>15</v>
      </c>
      <c r="B324" s="2" t="s">
        <v>622</v>
      </c>
      <c r="C324" s="83" t="s">
        <v>10762</v>
      </c>
      <c r="D324" s="103"/>
      <c r="E324" s="1"/>
      <c r="F324" s="103"/>
      <c r="G324" s="1"/>
      <c r="H324" s="68"/>
      <c r="I324" s="70"/>
      <c r="J324" s="66"/>
      <c r="K324" s="57"/>
      <c r="L324" s="58"/>
      <c r="M324" s="83" t="s">
        <v>5895</v>
      </c>
      <c r="N324" s="64" t="s">
        <v>1</v>
      </c>
      <c r="O324" s="65">
        <v>1</v>
      </c>
      <c r="P324" s="99"/>
      <c r="Q324" s="70"/>
      <c r="R324" s="94" t="s">
        <v>18097</v>
      </c>
      <c r="S324" s="68"/>
      <c r="T324" s="76"/>
      <c r="U324" s="70"/>
      <c r="V324" s="67"/>
      <c r="W324" s="68"/>
      <c r="X324" s="76"/>
      <c r="Y324" s="70"/>
      <c r="Z324" s="120">
        <f>+ROUND((ROUND((ROUND((_15_同援日２．０＿１．０*_15・２人),0)*(1+_15・B深夜)),0)*(1+_15・盲ろう)),0)</f>
        <v>236</v>
      </c>
      <c r="AA324" s="69"/>
    </row>
    <row r="325" spans="1:27" ht="16.5" customHeight="1" x14ac:dyDescent="0.3">
      <c r="A325" s="2">
        <v>15</v>
      </c>
      <c r="B325" s="2" t="s">
        <v>623</v>
      </c>
      <c r="C325" s="83" t="s">
        <v>10761</v>
      </c>
      <c r="D325" s="103"/>
      <c r="E325" s="1"/>
      <c r="F325" s="103"/>
      <c r="G325" s="1"/>
      <c r="H325" s="68"/>
      <c r="I325" s="70"/>
      <c r="J325" s="74" t="s">
        <v>16912</v>
      </c>
      <c r="K325" s="62"/>
      <c r="L325" s="63"/>
      <c r="M325" s="85"/>
      <c r="N325" s="64"/>
      <c r="O325" s="65"/>
      <c r="P325" s="99"/>
      <c r="Q325" s="70"/>
      <c r="R325" s="67"/>
      <c r="S325" s="68" t="s">
        <v>1</v>
      </c>
      <c r="T325" s="76">
        <v>0.25</v>
      </c>
      <c r="U325" s="70" t="s">
        <v>422</v>
      </c>
      <c r="V325" s="67"/>
      <c r="W325" s="68"/>
      <c r="X325" s="76"/>
      <c r="Y325" s="70"/>
      <c r="Z325" s="120">
        <f>+ROUND((ROUND((ROUND((_15_同援日２．０＿１．０*_15・基礎２),0)*(1+_15・B深夜)),0)*(1+_15・盲ろう)),0)</f>
        <v>213</v>
      </c>
      <c r="AA325" s="69"/>
    </row>
    <row r="326" spans="1:27" ht="16.5" customHeight="1" x14ac:dyDescent="0.3">
      <c r="A326" s="2">
        <v>15</v>
      </c>
      <c r="B326" s="2" t="s">
        <v>624</v>
      </c>
      <c r="C326" s="83" t="s">
        <v>10760</v>
      </c>
      <c r="D326" s="103"/>
      <c r="E326" s="1"/>
      <c r="F326" s="103"/>
      <c r="G326" s="1"/>
      <c r="H326" s="68"/>
      <c r="I326" s="70"/>
      <c r="J326" s="106" t="s">
        <v>16916</v>
      </c>
      <c r="K326" s="57" t="s">
        <v>1</v>
      </c>
      <c r="L326" s="58">
        <v>0.9</v>
      </c>
      <c r="M326" s="83" t="s">
        <v>5895</v>
      </c>
      <c r="N326" s="64" t="s">
        <v>1</v>
      </c>
      <c r="O326" s="65">
        <v>1</v>
      </c>
      <c r="P326" s="99"/>
      <c r="Q326" s="70"/>
      <c r="R326" s="66"/>
      <c r="S326" s="57"/>
      <c r="T326" s="58"/>
      <c r="U326" s="77"/>
      <c r="V326" s="66"/>
      <c r="W326" s="57"/>
      <c r="X326" s="58"/>
      <c r="Y326" s="77"/>
      <c r="Z326" s="120">
        <f>+ROUND((ROUND((ROUND((ROUND((_15_同援日２．０＿１．０*_15・基礎２),0)*_15・２人),0)*(1+_15・B深夜)),0)*(1+_15・盲ろう)),0)</f>
        <v>213</v>
      </c>
      <c r="AA326" s="69"/>
    </row>
    <row r="327" spans="1:27" ht="16.5" customHeight="1" x14ac:dyDescent="0.3">
      <c r="A327" s="2">
        <v>15</v>
      </c>
      <c r="B327" s="2" t="s">
        <v>625</v>
      </c>
      <c r="C327" s="83" t="s">
        <v>10759</v>
      </c>
      <c r="D327" s="103"/>
      <c r="E327" s="1"/>
      <c r="F327" s="103"/>
      <c r="G327" s="1"/>
      <c r="H327" s="68"/>
      <c r="I327" s="70"/>
      <c r="J327" s="61"/>
      <c r="K327" s="62"/>
      <c r="L327" s="63"/>
      <c r="M327" s="85"/>
      <c r="N327" s="64"/>
      <c r="O327" s="65"/>
      <c r="P327" s="99"/>
      <c r="Q327" s="70"/>
      <c r="R327" s="61"/>
      <c r="S327" s="62"/>
      <c r="T327" s="63"/>
      <c r="U327" s="75"/>
      <c r="V327" s="61"/>
      <c r="W327" s="62"/>
      <c r="X327" s="63"/>
      <c r="Y327" s="75"/>
      <c r="Z327" s="120">
        <f>+ROUND((ROUND((_15_同援日２．０＿１．０*(1+_15・B深夜)),0)*(1+_15・区３)),0)</f>
        <v>227</v>
      </c>
      <c r="AA327" s="69"/>
    </row>
    <row r="328" spans="1:27" ht="16.5" customHeight="1" x14ac:dyDescent="0.3">
      <c r="A328" s="2">
        <v>15</v>
      </c>
      <c r="B328" s="2" t="s">
        <v>626</v>
      </c>
      <c r="C328" s="83" t="s">
        <v>10758</v>
      </c>
      <c r="D328" s="103"/>
      <c r="E328" s="1"/>
      <c r="F328" s="103"/>
      <c r="G328" s="1"/>
      <c r="H328" s="68"/>
      <c r="I328" s="70"/>
      <c r="J328" s="66"/>
      <c r="K328" s="57"/>
      <c r="L328" s="58"/>
      <c r="M328" s="83" t="s">
        <v>5895</v>
      </c>
      <c r="N328" s="64" t="s">
        <v>1</v>
      </c>
      <c r="O328" s="65">
        <v>1</v>
      </c>
      <c r="P328" s="99"/>
      <c r="Q328" s="70"/>
      <c r="R328" s="67"/>
      <c r="S328" s="68"/>
      <c r="T328" s="76"/>
      <c r="U328" s="70"/>
      <c r="V328" s="67"/>
      <c r="W328" s="68"/>
      <c r="X328" s="76"/>
      <c r="Y328" s="70"/>
      <c r="Z328" s="120">
        <f>+ROUND((ROUND((ROUND((_15_同援日２．０＿１．０*_15・２人),0)*(1+_15・B深夜)),0)*(1+_15・区３)),0)</f>
        <v>227</v>
      </c>
      <c r="AA328" s="69"/>
    </row>
    <row r="329" spans="1:27" ht="16.5" customHeight="1" x14ac:dyDescent="0.3">
      <c r="A329" s="2">
        <v>15</v>
      </c>
      <c r="B329" s="2" t="s">
        <v>627</v>
      </c>
      <c r="C329" s="83" t="s">
        <v>10757</v>
      </c>
      <c r="D329" s="103"/>
      <c r="E329" s="1"/>
      <c r="F329" s="103"/>
      <c r="G329" s="1"/>
      <c r="H329" s="68"/>
      <c r="I329" s="70"/>
      <c r="J329" s="74" t="s">
        <v>16912</v>
      </c>
      <c r="K329" s="62"/>
      <c r="L329" s="63"/>
      <c r="M329" s="85"/>
      <c r="N329" s="64"/>
      <c r="O329" s="65"/>
      <c r="P329" s="99"/>
      <c r="Q329" s="70"/>
      <c r="R329" s="67"/>
      <c r="S329" s="68"/>
      <c r="T329" s="76"/>
      <c r="U329" s="70"/>
      <c r="V329" s="1" t="s">
        <v>8098</v>
      </c>
      <c r="W329" s="68"/>
      <c r="X329" s="76"/>
      <c r="Y329" s="70"/>
      <c r="Z329" s="120">
        <f>+ROUND((ROUND((ROUND((_15_同援日２．０＿１．０*_15・基礎２),0)*(1+_15・B深夜)),0)*(1+_15・区３)),0)</f>
        <v>204</v>
      </c>
      <c r="AA329" s="69"/>
    </row>
    <row r="330" spans="1:27" ht="16.5" customHeight="1" x14ac:dyDescent="0.3">
      <c r="A330" s="2">
        <v>15</v>
      </c>
      <c r="B330" s="2" t="s">
        <v>628</v>
      </c>
      <c r="C330" s="83" t="s">
        <v>10756</v>
      </c>
      <c r="D330" s="103"/>
      <c r="E330" s="1"/>
      <c r="F330" s="103"/>
      <c r="G330" s="1"/>
      <c r="H330" s="68"/>
      <c r="I330" s="70"/>
      <c r="J330" s="106" t="s">
        <v>16916</v>
      </c>
      <c r="K330" s="57" t="s">
        <v>1</v>
      </c>
      <c r="L330" s="58">
        <v>0.9</v>
      </c>
      <c r="M330" s="83" t="s">
        <v>5895</v>
      </c>
      <c r="N330" s="64" t="s">
        <v>1</v>
      </c>
      <c r="O330" s="65">
        <v>1</v>
      </c>
      <c r="P330" s="99"/>
      <c r="Q330" s="70"/>
      <c r="R330" s="66"/>
      <c r="S330" s="57"/>
      <c r="T330" s="58"/>
      <c r="U330" s="77"/>
      <c r="V330" s="1" t="s">
        <v>18099</v>
      </c>
      <c r="W330" s="68"/>
      <c r="X330" s="76"/>
      <c r="Y330" s="70"/>
      <c r="Z330" s="120">
        <f>+ROUND((ROUND((ROUND((ROUND((_15_同援日２．０＿１．０*_15・基礎２),0)*_15・２人),0)*(1+_15・B深夜)),0)*(1+_15・区３)),0)</f>
        <v>204</v>
      </c>
      <c r="AA330" s="69"/>
    </row>
    <row r="331" spans="1:27" ht="16.5" customHeight="1" x14ac:dyDescent="0.3">
      <c r="A331" s="2">
        <v>15</v>
      </c>
      <c r="B331" s="2" t="s">
        <v>629</v>
      </c>
      <c r="C331" s="83" t="s">
        <v>10755</v>
      </c>
      <c r="D331" s="103"/>
      <c r="E331" s="1"/>
      <c r="F331" s="103"/>
      <c r="G331" s="1"/>
      <c r="H331" s="68"/>
      <c r="I331" s="70"/>
      <c r="J331" s="61"/>
      <c r="K331" s="62"/>
      <c r="L331" s="63"/>
      <c r="M331" s="85"/>
      <c r="N331" s="64"/>
      <c r="O331" s="65"/>
      <c r="P331" s="99"/>
      <c r="Q331" s="70"/>
      <c r="R331" s="74" t="s">
        <v>18098</v>
      </c>
      <c r="S331" s="62"/>
      <c r="T331" s="63"/>
      <c r="U331" s="75"/>
      <c r="V331" s="67"/>
      <c r="W331" s="68" t="s">
        <v>1</v>
      </c>
      <c r="X331" s="76">
        <v>0.2</v>
      </c>
      <c r="Y331" s="70" t="s">
        <v>422</v>
      </c>
      <c r="Z331" s="120">
        <f>+ROUND((ROUND((ROUND((_15_同援日２．０＿１．０*(1+_15・B深夜)),0)*(1+_15・盲ろう)),0)*(1+_15・区３)),0)</f>
        <v>283</v>
      </c>
      <c r="AA331" s="69"/>
    </row>
    <row r="332" spans="1:27" ht="16.5" customHeight="1" x14ac:dyDescent="0.3">
      <c r="A332" s="2">
        <v>15</v>
      </c>
      <c r="B332" s="2" t="s">
        <v>630</v>
      </c>
      <c r="C332" s="83" t="s">
        <v>10754</v>
      </c>
      <c r="D332" s="103"/>
      <c r="E332" s="1"/>
      <c r="F332" s="103"/>
      <c r="G332" s="1"/>
      <c r="H332" s="68"/>
      <c r="I332" s="70"/>
      <c r="J332" s="66"/>
      <c r="K332" s="57"/>
      <c r="L332" s="58"/>
      <c r="M332" s="83" t="s">
        <v>5895</v>
      </c>
      <c r="N332" s="64" t="s">
        <v>1</v>
      </c>
      <c r="O332" s="65">
        <v>1</v>
      </c>
      <c r="P332" s="99"/>
      <c r="Q332" s="70"/>
      <c r="R332" s="94" t="s">
        <v>18097</v>
      </c>
      <c r="S332" s="68"/>
      <c r="T332" s="76"/>
      <c r="U332" s="70"/>
      <c r="V332" s="67"/>
      <c r="W332" s="68"/>
      <c r="X332" s="76"/>
      <c r="Y332" s="70"/>
      <c r="Z332" s="120">
        <f>+ROUND((ROUND((ROUND((ROUND((_15_同援日２．０＿１．０*_15・２人),0)*(1+_15・B深夜)),0)*(1+_15・盲ろう)),0)*(1+_15・区３)),0)</f>
        <v>283</v>
      </c>
      <c r="AA332" s="69"/>
    </row>
    <row r="333" spans="1:27" ht="16.5" customHeight="1" x14ac:dyDescent="0.3">
      <c r="A333" s="2">
        <v>15</v>
      </c>
      <c r="B333" s="2" t="s">
        <v>631</v>
      </c>
      <c r="C333" s="83" t="s">
        <v>10753</v>
      </c>
      <c r="D333" s="103"/>
      <c r="E333" s="1"/>
      <c r="F333" s="103"/>
      <c r="G333" s="1"/>
      <c r="H333" s="68"/>
      <c r="I333" s="70"/>
      <c r="J333" s="74" t="s">
        <v>16912</v>
      </c>
      <c r="K333" s="62"/>
      <c r="L333" s="63"/>
      <c r="M333" s="85"/>
      <c r="N333" s="64"/>
      <c r="O333" s="65"/>
      <c r="P333" s="99"/>
      <c r="Q333" s="70"/>
      <c r="R333" s="67"/>
      <c r="S333" s="68" t="s">
        <v>1</v>
      </c>
      <c r="T333" s="76">
        <v>0.25</v>
      </c>
      <c r="U333" s="70" t="s">
        <v>422</v>
      </c>
      <c r="V333" s="67"/>
      <c r="W333" s="68"/>
      <c r="X333" s="76"/>
      <c r="Y333" s="70"/>
      <c r="Z333" s="120">
        <f>+ROUND((ROUND((ROUND((ROUND((_15_同援日２．０＿１．０*_15・基礎２),0)*(1+_15・B深夜)),0)*(1+_15・盲ろう)),0)*(1+_15・区３)),0)</f>
        <v>256</v>
      </c>
      <c r="AA333" s="69"/>
    </row>
    <row r="334" spans="1:27" ht="16.5" customHeight="1" x14ac:dyDescent="0.3">
      <c r="A334" s="2">
        <v>15</v>
      </c>
      <c r="B334" s="2" t="s">
        <v>632</v>
      </c>
      <c r="C334" s="83" t="s">
        <v>10752</v>
      </c>
      <c r="D334" s="103"/>
      <c r="E334" s="1"/>
      <c r="F334" s="103"/>
      <c r="G334" s="1"/>
      <c r="H334" s="68"/>
      <c r="I334" s="70"/>
      <c r="J334" s="106" t="s">
        <v>16916</v>
      </c>
      <c r="K334" s="57" t="s">
        <v>1</v>
      </c>
      <c r="L334" s="58">
        <v>0.9</v>
      </c>
      <c r="M334" s="83" t="s">
        <v>5895</v>
      </c>
      <c r="N334" s="64" t="s">
        <v>1</v>
      </c>
      <c r="O334" s="65">
        <v>1</v>
      </c>
      <c r="P334" s="99"/>
      <c r="Q334" s="70"/>
      <c r="R334" s="66"/>
      <c r="S334" s="57"/>
      <c r="T334" s="58"/>
      <c r="U334" s="77"/>
      <c r="V334" s="66"/>
      <c r="W334" s="57"/>
      <c r="X334" s="58"/>
      <c r="Y334" s="77"/>
      <c r="Z334" s="120">
        <f>+ROUND((ROUND((ROUND((ROUND((ROUND((_15_同援日２．０＿１．０*_15・基礎２),0)*_15・２人),0)*(1+_15・B深夜)),0)*(1+_15・盲ろう)),0)*(1+_15・区３)),0)</f>
        <v>256</v>
      </c>
      <c r="AA334" s="69"/>
    </row>
    <row r="335" spans="1:27" ht="16.5" customHeight="1" x14ac:dyDescent="0.3">
      <c r="A335" s="2">
        <v>15</v>
      </c>
      <c r="B335" s="2" t="s">
        <v>633</v>
      </c>
      <c r="C335" s="83" t="s">
        <v>10751</v>
      </c>
      <c r="D335" s="103"/>
      <c r="E335" s="1"/>
      <c r="F335" s="103"/>
      <c r="G335" s="1"/>
      <c r="H335" s="68"/>
      <c r="I335" s="70"/>
      <c r="J335" s="61"/>
      <c r="K335" s="62"/>
      <c r="L335" s="63"/>
      <c r="M335" s="85"/>
      <c r="N335" s="64"/>
      <c r="O335" s="65"/>
      <c r="P335" s="99"/>
      <c r="Q335" s="70"/>
      <c r="R335" s="61"/>
      <c r="S335" s="62"/>
      <c r="T335" s="63"/>
      <c r="U335" s="75"/>
      <c r="V335" s="61"/>
      <c r="W335" s="62"/>
      <c r="X335" s="63"/>
      <c r="Y335" s="75"/>
      <c r="Z335" s="120">
        <f>+ROUND((ROUND((_15_同援日２．０＿１．０*(1+_15・B深夜)),0)*(1+_15・区４)),0)</f>
        <v>265</v>
      </c>
      <c r="AA335" s="69"/>
    </row>
    <row r="336" spans="1:27" ht="16.5" customHeight="1" x14ac:dyDescent="0.3">
      <c r="A336" s="2">
        <v>15</v>
      </c>
      <c r="B336" s="2" t="s">
        <v>634</v>
      </c>
      <c r="C336" s="83" t="s">
        <v>10750</v>
      </c>
      <c r="D336" s="103"/>
      <c r="E336" s="1"/>
      <c r="F336" s="103"/>
      <c r="G336" s="1"/>
      <c r="H336" s="68"/>
      <c r="I336" s="70"/>
      <c r="J336" s="66"/>
      <c r="K336" s="57"/>
      <c r="L336" s="58"/>
      <c r="M336" s="83" t="s">
        <v>5895</v>
      </c>
      <c r="N336" s="64" t="s">
        <v>1</v>
      </c>
      <c r="O336" s="65">
        <v>1</v>
      </c>
      <c r="P336" s="99"/>
      <c r="Q336" s="70"/>
      <c r="R336" s="67"/>
      <c r="S336" s="68"/>
      <c r="T336" s="76"/>
      <c r="U336" s="70"/>
      <c r="V336" s="67"/>
      <c r="W336" s="68"/>
      <c r="X336" s="76"/>
      <c r="Y336" s="70"/>
      <c r="Z336" s="120">
        <f>+ROUND((ROUND((ROUND((_15_同援日２．０＿１．０*_15・２人),0)*(1+_15・B深夜)),0)*(1+_15・区４)),0)</f>
        <v>265</v>
      </c>
      <c r="AA336" s="69"/>
    </row>
    <row r="337" spans="1:27" ht="16.5" customHeight="1" x14ac:dyDescent="0.3">
      <c r="A337" s="2">
        <v>15</v>
      </c>
      <c r="B337" s="2" t="s">
        <v>635</v>
      </c>
      <c r="C337" s="83" t="s">
        <v>10749</v>
      </c>
      <c r="D337" s="103"/>
      <c r="E337" s="1"/>
      <c r="F337" s="103"/>
      <c r="G337" s="1"/>
      <c r="H337" s="68"/>
      <c r="I337" s="70"/>
      <c r="J337" s="74" t="s">
        <v>16912</v>
      </c>
      <c r="K337" s="62"/>
      <c r="L337" s="63"/>
      <c r="M337" s="85"/>
      <c r="N337" s="64"/>
      <c r="O337" s="65"/>
      <c r="P337" s="99"/>
      <c r="Q337" s="70"/>
      <c r="R337" s="67"/>
      <c r="S337" s="68"/>
      <c r="T337" s="76"/>
      <c r="U337" s="70"/>
      <c r="V337" s="1" t="s">
        <v>18100</v>
      </c>
      <c r="W337" s="68"/>
      <c r="X337" s="76"/>
      <c r="Y337" s="70"/>
      <c r="Z337" s="120">
        <f>+ROUND((ROUND((ROUND((_15_同援日２．０＿１．０*_15・基礎２),0)*(1+_15・B深夜)),0)*(1+_15・区４)),0)</f>
        <v>238</v>
      </c>
      <c r="AA337" s="69"/>
    </row>
    <row r="338" spans="1:27" ht="16.5" customHeight="1" x14ac:dyDescent="0.3">
      <c r="A338" s="2">
        <v>15</v>
      </c>
      <c r="B338" s="2" t="s">
        <v>636</v>
      </c>
      <c r="C338" s="83" t="s">
        <v>10748</v>
      </c>
      <c r="D338" s="103"/>
      <c r="E338" s="1"/>
      <c r="F338" s="103"/>
      <c r="G338" s="1"/>
      <c r="H338" s="68"/>
      <c r="I338" s="70"/>
      <c r="J338" s="106" t="s">
        <v>16916</v>
      </c>
      <c r="K338" s="57" t="s">
        <v>1</v>
      </c>
      <c r="L338" s="58">
        <v>0.9</v>
      </c>
      <c r="M338" s="83" t="s">
        <v>5895</v>
      </c>
      <c r="N338" s="64" t="s">
        <v>1</v>
      </c>
      <c r="O338" s="65">
        <v>1</v>
      </c>
      <c r="P338" s="99"/>
      <c r="Q338" s="70"/>
      <c r="R338" s="66"/>
      <c r="S338" s="57"/>
      <c r="T338" s="58"/>
      <c r="U338" s="77"/>
      <c r="V338" s="1" t="s">
        <v>18099</v>
      </c>
      <c r="W338" s="68"/>
      <c r="X338" s="76"/>
      <c r="Y338" s="70"/>
      <c r="Z338" s="120">
        <f>+ROUND((ROUND((ROUND((ROUND((_15_同援日２．０＿１．０*_15・基礎２),0)*_15・２人),0)*(1+_15・B深夜)),0)*(1+_15・区４)),0)</f>
        <v>238</v>
      </c>
      <c r="AA338" s="69"/>
    </row>
    <row r="339" spans="1:27" ht="16.5" customHeight="1" x14ac:dyDescent="0.3">
      <c r="A339" s="2">
        <v>15</v>
      </c>
      <c r="B339" s="2" t="s">
        <v>637</v>
      </c>
      <c r="C339" s="83" t="s">
        <v>10747</v>
      </c>
      <c r="D339" s="103"/>
      <c r="E339" s="1"/>
      <c r="F339" s="103"/>
      <c r="G339" s="1"/>
      <c r="H339" s="68"/>
      <c r="I339" s="70"/>
      <c r="J339" s="61"/>
      <c r="K339" s="62"/>
      <c r="L339" s="63"/>
      <c r="M339" s="85"/>
      <c r="N339" s="64"/>
      <c r="O339" s="65"/>
      <c r="P339" s="99"/>
      <c r="Q339" s="70"/>
      <c r="R339" s="74" t="s">
        <v>18098</v>
      </c>
      <c r="S339" s="62"/>
      <c r="T339" s="63"/>
      <c r="U339" s="75"/>
      <c r="V339" s="67"/>
      <c r="W339" s="68" t="s">
        <v>1</v>
      </c>
      <c r="X339" s="76">
        <v>0.4</v>
      </c>
      <c r="Y339" s="70" t="s">
        <v>422</v>
      </c>
      <c r="Z339" s="120">
        <f>+ROUND((ROUND((ROUND((_15_同援日２．０＿１．０*(1+_15・B深夜)),0)*(1+_15・盲ろう)),0)*(1+_15・区４)),0)</f>
        <v>330</v>
      </c>
      <c r="AA339" s="69"/>
    </row>
    <row r="340" spans="1:27" ht="16.5" customHeight="1" x14ac:dyDescent="0.3">
      <c r="A340" s="2">
        <v>15</v>
      </c>
      <c r="B340" s="2" t="s">
        <v>638</v>
      </c>
      <c r="C340" s="83" t="s">
        <v>10746</v>
      </c>
      <c r="D340" s="103"/>
      <c r="E340" s="1"/>
      <c r="F340" s="103"/>
      <c r="G340" s="1"/>
      <c r="H340" s="68"/>
      <c r="I340" s="70"/>
      <c r="J340" s="66"/>
      <c r="K340" s="57"/>
      <c r="L340" s="58"/>
      <c r="M340" s="83" t="s">
        <v>5895</v>
      </c>
      <c r="N340" s="64" t="s">
        <v>1</v>
      </c>
      <c r="O340" s="65">
        <v>1</v>
      </c>
      <c r="P340" s="99"/>
      <c r="Q340" s="70"/>
      <c r="R340" s="94" t="s">
        <v>18097</v>
      </c>
      <c r="S340" s="68"/>
      <c r="T340" s="76"/>
      <c r="U340" s="70"/>
      <c r="V340" s="67"/>
      <c r="W340" s="68"/>
      <c r="X340" s="76"/>
      <c r="Y340" s="70"/>
      <c r="Z340" s="120">
        <f>+ROUND((ROUND((ROUND((ROUND((_15_同援日２．０＿１．０*_15・２人),0)*(1+_15・B深夜)),0)*(1+_15・盲ろう)),0)*(1+_15・区４)),0)</f>
        <v>330</v>
      </c>
      <c r="AA340" s="69"/>
    </row>
    <row r="341" spans="1:27" ht="16.5" customHeight="1" x14ac:dyDescent="0.3">
      <c r="A341" s="2">
        <v>15</v>
      </c>
      <c r="B341" s="2" t="s">
        <v>639</v>
      </c>
      <c r="C341" s="83" t="s">
        <v>10745</v>
      </c>
      <c r="D341" s="103"/>
      <c r="E341" s="1"/>
      <c r="F341" s="103"/>
      <c r="G341" s="1"/>
      <c r="H341" s="68"/>
      <c r="I341" s="70"/>
      <c r="J341" s="74" t="s">
        <v>16912</v>
      </c>
      <c r="K341" s="62"/>
      <c r="L341" s="63"/>
      <c r="M341" s="85"/>
      <c r="N341" s="64"/>
      <c r="O341" s="65"/>
      <c r="P341" s="99"/>
      <c r="Q341" s="70"/>
      <c r="R341" s="67"/>
      <c r="S341" s="68" t="s">
        <v>1</v>
      </c>
      <c r="T341" s="76">
        <v>0.25</v>
      </c>
      <c r="U341" s="70" t="s">
        <v>422</v>
      </c>
      <c r="V341" s="67"/>
      <c r="W341" s="68"/>
      <c r="X341" s="76"/>
      <c r="Y341" s="70"/>
      <c r="Z341" s="120">
        <f>+ROUND((ROUND((ROUND((ROUND((_15_同援日２．０＿１．０*_15・基礎２),0)*(1+_15・B深夜)),0)*(1+_15・盲ろう)),0)*(1+_15・区４)),0)</f>
        <v>298</v>
      </c>
      <c r="AA341" s="69"/>
    </row>
    <row r="342" spans="1:27" ht="16.5" customHeight="1" x14ac:dyDescent="0.3">
      <c r="A342" s="2">
        <v>15</v>
      </c>
      <c r="B342" s="2" t="s">
        <v>640</v>
      </c>
      <c r="C342" s="83" t="s">
        <v>10744</v>
      </c>
      <c r="D342" s="103"/>
      <c r="E342" s="81"/>
      <c r="F342" s="103"/>
      <c r="G342" s="81"/>
      <c r="H342" s="57"/>
      <c r="I342" s="77"/>
      <c r="J342" s="106" t="s">
        <v>16916</v>
      </c>
      <c r="K342" s="57" t="s">
        <v>1</v>
      </c>
      <c r="L342" s="58">
        <v>0.9</v>
      </c>
      <c r="M342" s="83" t="s">
        <v>5895</v>
      </c>
      <c r="N342" s="64" t="s">
        <v>1</v>
      </c>
      <c r="O342" s="65">
        <v>1</v>
      </c>
      <c r="P342" s="99"/>
      <c r="Q342" s="70"/>
      <c r="R342" s="66"/>
      <c r="S342" s="57"/>
      <c r="T342" s="58"/>
      <c r="U342" s="77"/>
      <c r="V342" s="66"/>
      <c r="W342" s="57"/>
      <c r="X342" s="58"/>
      <c r="Y342" s="77"/>
      <c r="Z342" s="120">
        <f>+ROUND((ROUND((ROUND((ROUND((ROUND((_15_同援日２．０＿１．０*_15・基礎２),0)*_15・２人),0)*(1+_15・B深夜)),0)*(1+_15・盲ろう)),0)*(1+_15・区４)),0)</f>
        <v>298</v>
      </c>
      <c r="AA342" s="69"/>
    </row>
    <row r="343" spans="1:27" ht="16.5" customHeight="1" x14ac:dyDescent="0.3">
      <c r="A343" s="2">
        <v>15</v>
      </c>
      <c r="B343" s="2" t="s">
        <v>641</v>
      </c>
      <c r="C343" s="83" t="s">
        <v>10743</v>
      </c>
      <c r="D343" s="103"/>
      <c r="E343" s="233" t="s">
        <v>18102</v>
      </c>
      <c r="F343" s="103"/>
      <c r="G343" s="233" t="s">
        <v>16967</v>
      </c>
      <c r="H343" s="62"/>
      <c r="I343" s="75"/>
      <c r="J343" s="61"/>
      <c r="K343" s="62"/>
      <c r="L343" s="63"/>
      <c r="M343" s="85"/>
      <c r="N343" s="64"/>
      <c r="O343" s="65"/>
      <c r="P343" s="99"/>
      <c r="Q343" s="70"/>
      <c r="R343" s="61"/>
      <c r="S343" s="62"/>
      <c r="T343" s="63"/>
      <c r="U343" s="75"/>
      <c r="V343" s="61"/>
      <c r="W343" s="62"/>
      <c r="X343" s="63"/>
      <c r="Y343" s="75"/>
      <c r="Z343" s="120">
        <f>+ROUND((_15_同援日２．５＿０．５*(1+_15・B深夜)),0)</f>
        <v>95</v>
      </c>
      <c r="AA343" s="69"/>
    </row>
    <row r="344" spans="1:27" ht="16.5" customHeight="1" x14ac:dyDescent="0.3">
      <c r="A344" s="2">
        <v>15</v>
      </c>
      <c r="B344" s="2" t="s">
        <v>642</v>
      </c>
      <c r="C344" s="83" t="s">
        <v>10742</v>
      </c>
      <c r="D344" s="103"/>
      <c r="E344" s="1" t="s">
        <v>16937</v>
      </c>
      <c r="F344" s="103"/>
      <c r="G344" s="1" t="s">
        <v>7928</v>
      </c>
      <c r="H344" s="68"/>
      <c r="I344" s="70"/>
      <c r="J344" s="66"/>
      <c r="K344" s="57"/>
      <c r="L344" s="58"/>
      <c r="M344" s="83" t="s">
        <v>5895</v>
      </c>
      <c r="N344" s="64" t="s">
        <v>1</v>
      </c>
      <c r="O344" s="65">
        <v>1</v>
      </c>
      <c r="P344" s="99"/>
      <c r="Q344" s="70"/>
      <c r="R344" s="67"/>
      <c r="S344" s="68"/>
      <c r="T344" s="76"/>
      <c r="U344" s="70"/>
      <c r="V344" s="67"/>
      <c r="W344" s="68"/>
      <c r="X344" s="76"/>
      <c r="Y344" s="70"/>
      <c r="Z344" s="120">
        <f>+ROUND((ROUND((_15_同援日２．５＿０．５*_15・２人),0)*(1+_15・B深夜)),0)</f>
        <v>95</v>
      </c>
      <c r="AA344" s="69"/>
    </row>
    <row r="345" spans="1:27" ht="16.5" customHeight="1" x14ac:dyDescent="0.3">
      <c r="A345" s="2">
        <v>15</v>
      </c>
      <c r="B345" s="2" t="s">
        <v>643</v>
      </c>
      <c r="C345" s="83" t="s">
        <v>10741</v>
      </c>
      <c r="D345" s="103"/>
      <c r="E345" s="1" t="s">
        <v>8499</v>
      </c>
      <c r="F345" s="103"/>
      <c r="G345" s="1"/>
      <c r="H345" s="68"/>
      <c r="I345" s="70"/>
      <c r="J345" s="74" t="s">
        <v>16912</v>
      </c>
      <c r="K345" s="62"/>
      <c r="L345" s="63"/>
      <c r="M345" s="85"/>
      <c r="N345" s="64"/>
      <c r="O345" s="65"/>
      <c r="P345" s="99"/>
      <c r="Q345" s="70"/>
      <c r="R345" s="67"/>
      <c r="S345" s="68"/>
      <c r="T345" s="76"/>
      <c r="U345" s="70"/>
      <c r="V345" s="67"/>
      <c r="W345" s="68"/>
      <c r="X345" s="76"/>
      <c r="Y345" s="70"/>
      <c r="Z345" s="120">
        <f>+ROUND((ROUND((_15_同援日２．５＿０．５*_15・基礎２),0)*(1+_15・B深夜)),0)</f>
        <v>86</v>
      </c>
      <c r="AA345" s="69"/>
    </row>
    <row r="346" spans="1:27" ht="16.5" customHeight="1" x14ac:dyDescent="0.3">
      <c r="A346" s="2">
        <v>15</v>
      </c>
      <c r="B346" s="2" t="s">
        <v>644</v>
      </c>
      <c r="C346" s="83" t="s">
        <v>10740</v>
      </c>
      <c r="D346" s="103"/>
      <c r="E346" s="1"/>
      <c r="F346" s="103"/>
      <c r="G346" s="1"/>
      <c r="H346" s="119">
        <v>63</v>
      </c>
      <c r="I346" s="70" t="s">
        <v>0</v>
      </c>
      <c r="J346" s="106" t="s">
        <v>16916</v>
      </c>
      <c r="K346" s="57" t="s">
        <v>1</v>
      </c>
      <c r="L346" s="58">
        <v>0.9</v>
      </c>
      <c r="M346" s="83" t="s">
        <v>5895</v>
      </c>
      <c r="N346" s="64" t="s">
        <v>1</v>
      </c>
      <c r="O346" s="65">
        <v>1</v>
      </c>
      <c r="P346" s="99"/>
      <c r="Q346" s="70"/>
      <c r="R346" s="66"/>
      <c r="S346" s="57"/>
      <c r="T346" s="58"/>
      <c r="U346" s="77"/>
      <c r="V346" s="67"/>
      <c r="W346" s="68"/>
      <c r="X346" s="76"/>
      <c r="Y346" s="70"/>
      <c r="Z346" s="120">
        <f>+ROUND((ROUND((ROUND((_15_同援日２．５＿０．５*_15・基礎２),0)*_15・２人),0)*(1+_15・B深夜)),0)</f>
        <v>86</v>
      </c>
      <c r="AA346" s="69"/>
    </row>
    <row r="347" spans="1:27" ht="16.5" customHeight="1" x14ac:dyDescent="0.3">
      <c r="A347" s="2">
        <v>15</v>
      </c>
      <c r="B347" s="2" t="s">
        <v>645</v>
      </c>
      <c r="C347" s="83" t="s">
        <v>10739</v>
      </c>
      <c r="D347" s="103"/>
      <c r="E347" s="1"/>
      <c r="F347" s="103"/>
      <c r="G347" s="1"/>
      <c r="H347" s="68"/>
      <c r="I347" s="70"/>
      <c r="J347" s="61"/>
      <c r="K347" s="62"/>
      <c r="L347" s="63"/>
      <c r="M347" s="85"/>
      <c r="N347" s="64"/>
      <c r="O347" s="65"/>
      <c r="P347" s="99"/>
      <c r="Q347" s="70"/>
      <c r="R347" s="74" t="s">
        <v>8085</v>
      </c>
      <c r="S347" s="62"/>
      <c r="T347" s="63"/>
      <c r="U347" s="75"/>
      <c r="V347" s="67"/>
      <c r="W347" s="68"/>
      <c r="X347" s="76"/>
      <c r="Y347" s="70"/>
      <c r="Z347" s="120">
        <f>+ROUND((ROUND((_15_同援日２．５＿０．５*(1+_15・B深夜)),0)*(1+_15・盲ろう)),0)</f>
        <v>119</v>
      </c>
      <c r="AA347" s="69"/>
    </row>
    <row r="348" spans="1:27" ht="16.5" customHeight="1" x14ac:dyDescent="0.3">
      <c r="A348" s="2">
        <v>15</v>
      </c>
      <c r="B348" s="2" t="s">
        <v>646</v>
      </c>
      <c r="C348" s="83" t="s">
        <v>10738</v>
      </c>
      <c r="D348" s="103"/>
      <c r="E348" s="1"/>
      <c r="F348" s="103"/>
      <c r="G348" s="1"/>
      <c r="H348" s="68"/>
      <c r="I348" s="70"/>
      <c r="J348" s="66"/>
      <c r="K348" s="57"/>
      <c r="L348" s="58"/>
      <c r="M348" s="83" t="s">
        <v>5895</v>
      </c>
      <c r="N348" s="64" t="s">
        <v>1</v>
      </c>
      <c r="O348" s="65">
        <v>1</v>
      </c>
      <c r="P348" s="99"/>
      <c r="Q348" s="70"/>
      <c r="R348" s="94" t="s">
        <v>18097</v>
      </c>
      <c r="S348" s="68"/>
      <c r="T348" s="76"/>
      <c r="U348" s="70"/>
      <c r="V348" s="67"/>
      <c r="W348" s="68"/>
      <c r="X348" s="76"/>
      <c r="Y348" s="70"/>
      <c r="Z348" s="120">
        <f>+ROUND((ROUND((ROUND((_15_同援日２．５＿０．５*_15・２人),0)*(1+_15・B深夜)),0)*(1+_15・盲ろう)),0)</f>
        <v>119</v>
      </c>
      <c r="AA348" s="69"/>
    </row>
    <row r="349" spans="1:27" ht="16.5" customHeight="1" x14ac:dyDescent="0.3">
      <c r="A349" s="2">
        <v>15</v>
      </c>
      <c r="B349" s="2" t="s">
        <v>647</v>
      </c>
      <c r="C349" s="83" t="s">
        <v>10737</v>
      </c>
      <c r="D349" s="103"/>
      <c r="E349" s="1"/>
      <c r="F349" s="103"/>
      <c r="G349" s="1"/>
      <c r="H349" s="68"/>
      <c r="I349" s="70"/>
      <c r="J349" s="74" t="s">
        <v>16912</v>
      </c>
      <c r="K349" s="62"/>
      <c r="L349" s="63"/>
      <c r="M349" s="85"/>
      <c r="N349" s="64"/>
      <c r="O349" s="65"/>
      <c r="P349" s="99"/>
      <c r="Q349" s="70"/>
      <c r="R349" s="67"/>
      <c r="S349" s="68" t="s">
        <v>1</v>
      </c>
      <c r="T349" s="76">
        <v>0.25</v>
      </c>
      <c r="U349" s="70" t="s">
        <v>422</v>
      </c>
      <c r="V349" s="67"/>
      <c r="W349" s="68"/>
      <c r="X349" s="76"/>
      <c r="Y349" s="70"/>
      <c r="Z349" s="120">
        <f>+ROUND((ROUND((ROUND((_15_同援日２．５＿０．５*_15・基礎２),0)*(1+_15・B深夜)),0)*(1+_15・盲ろう)),0)</f>
        <v>108</v>
      </c>
      <c r="AA349" s="69"/>
    </row>
    <row r="350" spans="1:27" ht="16.5" customHeight="1" x14ac:dyDescent="0.3">
      <c r="A350" s="2">
        <v>15</v>
      </c>
      <c r="B350" s="2" t="s">
        <v>648</v>
      </c>
      <c r="C350" s="83" t="s">
        <v>10736</v>
      </c>
      <c r="D350" s="103"/>
      <c r="E350" s="1"/>
      <c r="F350" s="103"/>
      <c r="G350" s="1"/>
      <c r="H350" s="68"/>
      <c r="I350" s="70"/>
      <c r="J350" s="106" t="s">
        <v>16916</v>
      </c>
      <c r="K350" s="57" t="s">
        <v>1</v>
      </c>
      <c r="L350" s="58">
        <v>0.9</v>
      </c>
      <c r="M350" s="83" t="s">
        <v>5895</v>
      </c>
      <c r="N350" s="64" t="s">
        <v>1</v>
      </c>
      <c r="O350" s="65">
        <v>1</v>
      </c>
      <c r="P350" s="99"/>
      <c r="Q350" s="70"/>
      <c r="R350" s="66"/>
      <c r="S350" s="57"/>
      <c r="T350" s="58"/>
      <c r="U350" s="77"/>
      <c r="V350" s="66"/>
      <c r="W350" s="57"/>
      <c r="X350" s="58"/>
      <c r="Y350" s="77"/>
      <c r="Z350" s="120">
        <f>+ROUND((ROUND((ROUND((ROUND((_15_同援日２．５＿０．５*_15・基礎２),0)*_15・２人),0)*(1+_15・B深夜)),0)*(1+_15・盲ろう)),0)</f>
        <v>108</v>
      </c>
      <c r="AA350" s="69"/>
    </row>
    <row r="351" spans="1:27" ht="16.5" customHeight="1" x14ac:dyDescent="0.3">
      <c r="A351" s="2">
        <v>15</v>
      </c>
      <c r="B351" s="2" t="s">
        <v>649</v>
      </c>
      <c r="C351" s="83" t="s">
        <v>10735</v>
      </c>
      <c r="D351" s="103"/>
      <c r="E351" s="1"/>
      <c r="F351" s="103"/>
      <c r="G351" s="1"/>
      <c r="H351" s="68"/>
      <c r="I351" s="70"/>
      <c r="J351" s="61"/>
      <c r="K351" s="62"/>
      <c r="L351" s="63"/>
      <c r="M351" s="85"/>
      <c r="N351" s="64"/>
      <c r="O351" s="65"/>
      <c r="P351" s="99"/>
      <c r="Q351" s="70"/>
      <c r="R351" s="61"/>
      <c r="S351" s="62"/>
      <c r="T351" s="63"/>
      <c r="U351" s="75"/>
      <c r="V351" s="61"/>
      <c r="W351" s="62"/>
      <c r="X351" s="63"/>
      <c r="Y351" s="75"/>
      <c r="Z351" s="120">
        <f>+ROUND((ROUND((_15_同援日２．５＿０．５*(1+_15・B深夜)),0)*(1+_15・区３)),0)</f>
        <v>114</v>
      </c>
      <c r="AA351" s="69"/>
    </row>
    <row r="352" spans="1:27" ht="16.5" customHeight="1" x14ac:dyDescent="0.3">
      <c r="A352" s="2">
        <v>15</v>
      </c>
      <c r="B352" s="2" t="s">
        <v>650</v>
      </c>
      <c r="C352" s="83" t="s">
        <v>10734</v>
      </c>
      <c r="D352" s="103"/>
      <c r="E352" s="1"/>
      <c r="F352" s="103"/>
      <c r="G352" s="1"/>
      <c r="H352" s="68"/>
      <c r="I352" s="70"/>
      <c r="J352" s="66"/>
      <c r="K352" s="57"/>
      <c r="L352" s="58"/>
      <c r="M352" s="83" t="s">
        <v>5895</v>
      </c>
      <c r="N352" s="64" t="s">
        <v>1</v>
      </c>
      <c r="O352" s="65">
        <v>1</v>
      </c>
      <c r="P352" s="99"/>
      <c r="Q352" s="70"/>
      <c r="R352" s="67"/>
      <c r="S352" s="68"/>
      <c r="T352" s="76"/>
      <c r="U352" s="70"/>
      <c r="V352" s="67"/>
      <c r="W352" s="68"/>
      <c r="X352" s="76"/>
      <c r="Y352" s="70"/>
      <c r="Z352" s="120">
        <f>+ROUND((ROUND((ROUND((_15_同援日２．５＿０．５*_15・２人),0)*(1+_15・B深夜)),0)*(1+_15・区３)),0)</f>
        <v>114</v>
      </c>
      <c r="AA352" s="69"/>
    </row>
    <row r="353" spans="1:27" ht="16.5" customHeight="1" x14ac:dyDescent="0.3">
      <c r="A353" s="2">
        <v>15</v>
      </c>
      <c r="B353" s="2" t="s">
        <v>651</v>
      </c>
      <c r="C353" s="83" t="s">
        <v>10733</v>
      </c>
      <c r="D353" s="103"/>
      <c r="E353" s="1"/>
      <c r="F353" s="103"/>
      <c r="G353" s="1"/>
      <c r="H353" s="68"/>
      <c r="I353" s="70"/>
      <c r="J353" s="74" t="s">
        <v>16912</v>
      </c>
      <c r="K353" s="62"/>
      <c r="L353" s="63"/>
      <c r="M353" s="85"/>
      <c r="N353" s="64"/>
      <c r="O353" s="65"/>
      <c r="P353" s="99"/>
      <c r="Q353" s="70"/>
      <c r="R353" s="67"/>
      <c r="S353" s="68"/>
      <c r="T353" s="76"/>
      <c r="U353" s="70"/>
      <c r="V353" s="1" t="s">
        <v>18101</v>
      </c>
      <c r="W353" s="68"/>
      <c r="X353" s="76"/>
      <c r="Y353" s="70"/>
      <c r="Z353" s="120">
        <f>+ROUND((ROUND((ROUND((_15_同援日２．５＿０．５*_15・基礎２),0)*(1+_15・B深夜)),0)*(1+_15・区３)),0)</f>
        <v>103</v>
      </c>
      <c r="AA353" s="69"/>
    </row>
    <row r="354" spans="1:27" ht="16.5" customHeight="1" x14ac:dyDescent="0.3">
      <c r="A354" s="2">
        <v>15</v>
      </c>
      <c r="B354" s="2" t="s">
        <v>652</v>
      </c>
      <c r="C354" s="83" t="s">
        <v>10732</v>
      </c>
      <c r="D354" s="103"/>
      <c r="E354" s="1"/>
      <c r="F354" s="103"/>
      <c r="G354" s="1"/>
      <c r="H354" s="68"/>
      <c r="I354" s="70"/>
      <c r="J354" s="106" t="s">
        <v>16916</v>
      </c>
      <c r="K354" s="57" t="s">
        <v>1</v>
      </c>
      <c r="L354" s="58">
        <v>0.9</v>
      </c>
      <c r="M354" s="83" t="s">
        <v>5895</v>
      </c>
      <c r="N354" s="64" t="s">
        <v>1</v>
      </c>
      <c r="O354" s="65">
        <v>1</v>
      </c>
      <c r="P354" s="99"/>
      <c r="Q354" s="70"/>
      <c r="R354" s="66"/>
      <c r="S354" s="57"/>
      <c r="T354" s="58"/>
      <c r="U354" s="77"/>
      <c r="V354" s="1" t="s">
        <v>18099</v>
      </c>
      <c r="W354" s="68"/>
      <c r="X354" s="76"/>
      <c r="Y354" s="70"/>
      <c r="Z354" s="120">
        <f>+ROUND((ROUND((ROUND((ROUND((_15_同援日２．５＿０．５*_15・基礎２),0)*_15・２人),0)*(1+_15・B深夜)),0)*(1+_15・区３)),0)</f>
        <v>103</v>
      </c>
      <c r="AA354" s="69"/>
    </row>
    <row r="355" spans="1:27" ht="16.5" customHeight="1" x14ac:dyDescent="0.3">
      <c r="A355" s="2">
        <v>15</v>
      </c>
      <c r="B355" s="2" t="s">
        <v>653</v>
      </c>
      <c r="C355" s="83" t="s">
        <v>10731</v>
      </c>
      <c r="D355" s="103"/>
      <c r="E355" s="1"/>
      <c r="F355" s="103"/>
      <c r="G355" s="1"/>
      <c r="H355" s="68"/>
      <c r="I355" s="70"/>
      <c r="J355" s="61"/>
      <c r="K355" s="62"/>
      <c r="L355" s="63"/>
      <c r="M355" s="85"/>
      <c r="N355" s="64"/>
      <c r="O355" s="65"/>
      <c r="P355" s="99"/>
      <c r="Q355" s="70"/>
      <c r="R355" s="74" t="s">
        <v>18098</v>
      </c>
      <c r="S355" s="62"/>
      <c r="T355" s="63"/>
      <c r="U355" s="75"/>
      <c r="V355" s="67"/>
      <c r="W355" s="68" t="s">
        <v>1</v>
      </c>
      <c r="X355" s="76">
        <v>0.2</v>
      </c>
      <c r="Y355" s="70" t="s">
        <v>422</v>
      </c>
      <c r="Z355" s="120">
        <f>+ROUND((ROUND((ROUND((_15_同援日２．５＿０．５*(1+_15・B深夜)),0)*(1+_15・盲ろう)),0)*(1+_15・区３)),0)</f>
        <v>143</v>
      </c>
      <c r="AA355" s="69"/>
    </row>
    <row r="356" spans="1:27" ht="16.5" customHeight="1" x14ac:dyDescent="0.3">
      <c r="A356" s="2">
        <v>15</v>
      </c>
      <c r="B356" s="2" t="s">
        <v>654</v>
      </c>
      <c r="C356" s="83" t="s">
        <v>10730</v>
      </c>
      <c r="D356" s="103"/>
      <c r="E356" s="1"/>
      <c r="F356" s="103"/>
      <c r="G356" s="1"/>
      <c r="H356" s="68"/>
      <c r="I356" s="70"/>
      <c r="J356" s="66"/>
      <c r="K356" s="57"/>
      <c r="L356" s="58"/>
      <c r="M356" s="83" t="s">
        <v>5895</v>
      </c>
      <c r="N356" s="64" t="s">
        <v>1</v>
      </c>
      <c r="O356" s="65">
        <v>1</v>
      </c>
      <c r="P356" s="99"/>
      <c r="Q356" s="70"/>
      <c r="R356" s="94" t="s">
        <v>18097</v>
      </c>
      <c r="S356" s="68"/>
      <c r="T356" s="76"/>
      <c r="U356" s="70"/>
      <c r="V356" s="67"/>
      <c r="W356" s="68"/>
      <c r="X356" s="76"/>
      <c r="Y356" s="70"/>
      <c r="Z356" s="120">
        <f>+ROUND((ROUND((ROUND((ROUND((_15_同援日２．５＿０．５*_15・２人),0)*(1+_15・B深夜)),0)*(1+_15・盲ろう)),0)*(1+_15・区３)),0)</f>
        <v>143</v>
      </c>
      <c r="AA356" s="69"/>
    </row>
    <row r="357" spans="1:27" ht="16.5" customHeight="1" x14ac:dyDescent="0.3">
      <c r="A357" s="2">
        <v>15</v>
      </c>
      <c r="B357" s="2" t="s">
        <v>655</v>
      </c>
      <c r="C357" s="83" t="s">
        <v>10729</v>
      </c>
      <c r="D357" s="103"/>
      <c r="E357" s="1"/>
      <c r="F357" s="103"/>
      <c r="G357" s="1"/>
      <c r="H357" s="68"/>
      <c r="I357" s="70"/>
      <c r="J357" s="74" t="s">
        <v>5898</v>
      </c>
      <c r="K357" s="62"/>
      <c r="L357" s="63"/>
      <c r="M357" s="85"/>
      <c r="N357" s="64"/>
      <c r="O357" s="65"/>
      <c r="P357" s="99"/>
      <c r="Q357" s="70"/>
      <c r="R357" s="67"/>
      <c r="S357" s="68" t="s">
        <v>1</v>
      </c>
      <c r="T357" s="76">
        <v>0.25</v>
      </c>
      <c r="U357" s="70" t="s">
        <v>422</v>
      </c>
      <c r="V357" s="67"/>
      <c r="W357" s="68"/>
      <c r="X357" s="76"/>
      <c r="Y357" s="70"/>
      <c r="Z357" s="120">
        <f>+ROUND((ROUND((ROUND((ROUND((_15_同援日２．５＿０．５*_15・基礎２),0)*(1+_15・B深夜)),0)*(1+_15・盲ろう)),0)*(1+_15・区３)),0)</f>
        <v>130</v>
      </c>
      <c r="AA357" s="69"/>
    </row>
    <row r="358" spans="1:27" ht="16.5" customHeight="1" x14ac:dyDescent="0.3">
      <c r="A358" s="2">
        <v>15</v>
      </c>
      <c r="B358" s="2" t="s">
        <v>656</v>
      </c>
      <c r="C358" s="83" t="s">
        <v>10728</v>
      </c>
      <c r="D358" s="103"/>
      <c r="E358" s="1"/>
      <c r="F358" s="103"/>
      <c r="G358" s="1"/>
      <c r="H358" s="68"/>
      <c r="I358" s="70"/>
      <c r="J358" s="106" t="s">
        <v>16916</v>
      </c>
      <c r="K358" s="57" t="s">
        <v>1</v>
      </c>
      <c r="L358" s="58">
        <v>0.9</v>
      </c>
      <c r="M358" s="83" t="s">
        <v>5895</v>
      </c>
      <c r="N358" s="64" t="s">
        <v>1</v>
      </c>
      <c r="O358" s="65">
        <v>1</v>
      </c>
      <c r="P358" s="99"/>
      <c r="Q358" s="70"/>
      <c r="R358" s="66"/>
      <c r="S358" s="57"/>
      <c r="T358" s="58"/>
      <c r="U358" s="77"/>
      <c r="V358" s="66"/>
      <c r="W358" s="57"/>
      <c r="X358" s="58"/>
      <c r="Y358" s="77"/>
      <c r="Z358" s="120">
        <f>+ROUND((ROUND((ROUND((ROUND((ROUND((_15_同援日２．５＿０．５*_15・基礎２),0)*_15・２人),0)*(1+_15・B深夜)),0)*(1+_15・盲ろう)),0)*(1+_15・区３)),0)</f>
        <v>130</v>
      </c>
      <c r="AA358" s="69"/>
    </row>
    <row r="359" spans="1:27" ht="16.5" customHeight="1" x14ac:dyDescent="0.3">
      <c r="A359" s="2">
        <v>15</v>
      </c>
      <c r="B359" s="2" t="s">
        <v>657</v>
      </c>
      <c r="C359" s="83" t="s">
        <v>10727</v>
      </c>
      <c r="D359" s="103"/>
      <c r="E359" s="1"/>
      <c r="F359" s="103"/>
      <c r="G359" s="1"/>
      <c r="H359" s="68"/>
      <c r="I359" s="70"/>
      <c r="J359" s="61"/>
      <c r="K359" s="62"/>
      <c r="L359" s="63"/>
      <c r="M359" s="85"/>
      <c r="N359" s="64"/>
      <c r="O359" s="65"/>
      <c r="P359" s="99"/>
      <c r="Q359" s="70"/>
      <c r="R359" s="61"/>
      <c r="S359" s="62"/>
      <c r="T359" s="63"/>
      <c r="U359" s="75"/>
      <c r="V359" s="61"/>
      <c r="W359" s="62"/>
      <c r="X359" s="63"/>
      <c r="Y359" s="75"/>
      <c r="Z359" s="120">
        <f>+ROUND((ROUND((_15_同援日２．５＿０．５*(1+_15・B深夜)),0)*(1+_15・区４)),0)</f>
        <v>133</v>
      </c>
      <c r="AA359" s="69"/>
    </row>
    <row r="360" spans="1:27" ht="16.5" customHeight="1" x14ac:dyDescent="0.3">
      <c r="A360" s="2">
        <v>15</v>
      </c>
      <c r="B360" s="2" t="s">
        <v>658</v>
      </c>
      <c r="C360" s="83" t="s">
        <v>10726</v>
      </c>
      <c r="D360" s="103"/>
      <c r="E360" s="1"/>
      <c r="F360" s="103"/>
      <c r="G360" s="1"/>
      <c r="H360" s="68"/>
      <c r="I360" s="70"/>
      <c r="J360" s="66"/>
      <c r="K360" s="57"/>
      <c r="L360" s="58"/>
      <c r="M360" s="83" t="s">
        <v>5895</v>
      </c>
      <c r="N360" s="64" t="s">
        <v>1</v>
      </c>
      <c r="O360" s="65">
        <v>1</v>
      </c>
      <c r="P360" s="99"/>
      <c r="Q360" s="70"/>
      <c r="R360" s="67"/>
      <c r="S360" s="68"/>
      <c r="T360" s="76"/>
      <c r="U360" s="70"/>
      <c r="V360" s="67"/>
      <c r="W360" s="68"/>
      <c r="X360" s="76"/>
      <c r="Y360" s="70"/>
      <c r="Z360" s="120">
        <f>+ROUND((ROUND((ROUND((_15_同援日２．５＿０．５*_15・２人),0)*(1+_15・B深夜)),0)*(1+_15・区４)),0)</f>
        <v>133</v>
      </c>
      <c r="AA360" s="69"/>
    </row>
    <row r="361" spans="1:27" ht="16.5" customHeight="1" x14ac:dyDescent="0.3">
      <c r="A361" s="2">
        <v>15</v>
      </c>
      <c r="B361" s="2" t="s">
        <v>659</v>
      </c>
      <c r="C361" s="83" t="s">
        <v>10725</v>
      </c>
      <c r="D361" s="103"/>
      <c r="E361" s="1"/>
      <c r="F361" s="103"/>
      <c r="G361" s="1"/>
      <c r="H361" s="68"/>
      <c r="I361" s="70"/>
      <c r="J361" s="74" t="s">
        <v>16912</v>
      </c>
      <c r="K361" s="62"/>
      <c r="L361" s="63"/>
      <c r="M361" s="85"/>
      <c r="N361" s="64"/>
      <c r="O361" s="65"/>
      <c r="P361" s="99"/>
      <c r="Q361" s="70"/>
      <c r="R361" s="67"/>
      <c r="S361" s="68"/>
      <c r="T361" s="76"/>
      <c r="U361" s="70"/>
      <c r="V361" s="1" t="s">
        <v>18100</v>
      </c>
      <c r="W361" s="68"/>
      <c r="X361" s="76"/>
      <c r="Y361" s="70"/>
      <c r="Z361" s="120">
        <f>+ROUND((ROUND((ROUND((_15_同援日２．５＿０．５*_15・基礎２),0)*(1+_15・B深夜)),0)*(1+_15・区４)),0)</f>
        <v>120</v>
      </c>
      <c r="AA361" s="69"/>
    </row>
    <row r="362" spans="1:27" ht="16.5" customHeight="1" x14ac:dyDescent="0.3">
      <c r="A362" s="2">
        <v>15</v>
      </c>
      <c r="B362" s="2" t="s">
        <v>660</v>
      </c>
      <c r="C362" s="83" t="s">
        <v>10724</v>
      </c>
      <c r="D362" s="103"/>
      <c r="E362" s="1"/>
      <c r="F362" s="103"/>
      <c r="G362" s="1"/>
      <c r="H362" s="68"/>
      <c r="I362" s="70"/>
      <c r="J362" s="106" t="s">
        <v>16916</v>
      </c>
      <c r="K362" s="57" t="s">
        <v>1</v>
      </c>
      <c r="L362" s="58">
        <v>0.9</v>
      </c>
      <c r="M362" s="83" t="s">
        <v>5895</v>
      </c>
      <c r="N362" s="64" t="s">
        <v>1</v>
      </c>
      <c r="O362" s="65">
        <v>1</v>
      </c>
      <c r="P362" s="99"/>
      <c r="Q362" s="70"/>
      <c r="R362" s="66"/>
      <c r="S362" s="57"/>
      <c r="T362" s="58"/>
      <c r="U362" s="77"/>
      <c r="V362" s="1" t="s">
        <v>18099</v>
      </c>
      <c r="W362" s="68"/>
      <c r="X362" s="76"/>
      <c r="Y362" s="70"/>
      <c r="Z362" s="120">
        <f>+ROUND((ROUND((ROUND((ROUND((_15_同援日２．５＿０．５*_15・基礎２),0)*_15・２人),0)*(1+_15・B深夜)),0)*(1+_15・区４)),0)</f>
        <v>120</v>
      </c>
      <c r="AA362" s="69"/>
    </row>
    <row r="363" spans="1:27" ht="16.5" customHeight="1" x14ac:dyDescent="0.3">
      <c r="A363" s="2">
        <v>15</v>
      </c>
      <c r="B363" s="2" t="s">
        <v>661</v>
      </c>
      <c r="C363" s="83" t="s">
        <v>10723</v>
      </c>
      <c r="D363" s="103"/>
      <c r="E363" s="1"/>
      <c r="F363" s="103"/>
      <c r="G363" s="1"/>
      <c r="H363" s="68"/>
      <c r="I363" s="70"/>
      <c r="J363" s="61"/>
      <c r="K363" s="62"/>
      <c r="L363" s="63"/>
      <c r="M363" s="85"/>
      <c r="N363" s="64"/>
      <c r="O363" s="65"/>
      <c r="P363" s="99"/>
      <c r="Q363" s="70"/>
      <c r="R363" s="74" t="s">
        <v>18098</v>
      </c>
      <c r="S363" s="62"/>
      <c r="T363" s="63"/>
      <c r="U363" s="75"/>
      <c r="V363" s="67"/>
      <c r="W363" s="68" t="s">
        <v>1</v>
      </c>
      <c r="X363" s="76">
        <v>0.4</v>
      </c>
      <c r="Y363" s="70" t="s">
        <v>422</v>
      </c>
      <c r="Z363" s="120">
        <f>+ROUND((ROUND((ROUND((_15_同援日２．５＿０．５*(1+_15・B深夜)),0)*(1+_15・盲ろう)),0)*(1+_15・区４)),0)</f>
        <v>167</v>
      </c>
      <c r="AA363" s="69"/>
    </row>
    <row r="364" spans="1:27" ht="16.5" customHeight="1" x14ac:dyDescent="0.3">
      <c r="A364" s="2">
        <v>15</v>
      </c>
      <c r="B364" s="2" t="s">
        <v>662</v>
      </c>
      <c r="C364" s="83" t="s">
        <v>10722</v>
      </c>
      <c r="D364" s="103"/>
      <c r="E364" s="1"/>
      <c r="F364" s="103"/>
      <c r="G364" s="1"/>
      <c r="H364" s="68"/>
      <c r="I364" s="70"/>
      <c r="J364" s="66"/>
      <c r="K364" s="57"/>
      <c r="L364" s="58"/>
      <c r="M364" s="83" t="s">
        <v>5895</v>
      </c>
      <c r="N364" s="64" t="s">
        <v>1</v>
      </c>
      <c r="O364" s="65">
        <v>1</v>
      </c>
      <c r="P364" s="99"/>
      <c r="Q364" s="70"/>
      <c r="R364" s="94" t="s">
        <v>18097</v>
      </c>
      <c r="S364" s="68"/>
      <c r="T364" s="76"/>
      <c r="U364" s="70"/>
      <c r="V364" s="67"/>
      <c r="W364" s="68"/>
      <c r="X364" s="76"/>
      <c r="Y364" s="70"/>
      <c r="Z364" s="120">
        <f>+ROUND((ROUND((ROUND((ROUND((_15_同援日２．５＿０．５*_15・２人),0)*(1+_15・B深夜)),0)*(1+_15・盲ろう)),0)*(1+_15・区４)),0)</f>
        <v>167</v>
      </c>
      <c r="AA364" s="69"/>
    </row>
    <row r="365" spans="1:27" ht="16.5" customHeight="1" x14ac:dyDescent="0.3">
      <c r="A365" s="2">
        <v>15</v>
      </c>
      <c r="B365" s="2" t="s">
        <v>663</v>
      </c>
      <c r="C365" s="83" t="s">
        <v>10721</v>
      </c>
      <c r="D365" s="103"/>
      <c r="E365" s="1"/>
      <c r="F365" s="103"/>
      <c r="G365" s="1"/>
      <c r="H365" s="68"/>
      <c r="I365" s="70"/>
      <c r="J365" s="74" t="s">
        <v>16912</v>
      </c>
      <c r="K365" s="62"/>
      <c r="L365" s="63"/>
      <c r="M365" s="85"/>
      <c r="N365" s="64"/>
      <c r="O365" s="65"/>
      <c r="P365" s="99"/>
      <c r="Q365" s="70"/>
      <c r="R365" s="67"/>
      <c r="S365" s="68" t="s">
        <v>1</v>
      </c>
      <c r="T365" s="76">
        <v>0.25</v>
      </c>
      <c r="U365" s="70" t="s">
        <v>422</v>
      </c>
      <c r="V365" s="67"/>
      <c r="W365" s="68"/>
      <c r="X365" s="76"/>
      <c r="Y365" s="70"/>
      <c r="Z365" s="120">
        <f>+ROUND((ROUND((ROUND((ROUND((_15_同援日２．５＿０．５*_15・基礎２),0)*(1+_15・B深夜)),0)*(1+_15・盲ろう)),0)*(1+_15・区４)),0)</f>
        <v>151</v>
      </c>
      <c r="AA365" s="69"/>
    </row>
    <row r="366" spans="1:27" ht="16.5" customHeight="1" x14ac:dyDescent="0.3">
      <c r="A366" s="2">
        <v>15</v>
      </c>
      <c r="B366" s="2" t="s">
        <v>664</v>
      </c>
      <c r="C366" s="83" t="s">
        <v>10720</v>
      </c>
      <c r="D366" s="104"/>
      <c r="E366" s="81"/>
      <c r="F366" s="104"/>
      <c r="G366" s="81"/>
      <c r="H366" s="57"/>
      <c r="I366" s="77"/>
      <c r="J366" s="106" t="s">
        <v>16916</v>
      </c>
      <c r="K366" s="57" t="s">
        <v>1</v>
      </c>
      <c r="L366" s="58">
        <v>0.9</v>
      </c>
      <c r="M366" s="83" t="s">
        <v>5895</v>
      </c>
      <c r="N366" s="64" t="s">
        <v>1</v>
      </c>
      <c r="O366" s="65">
        <v>1</v>
      </c>
      <c r="P366" s="101"/>
      <c r="Q366" s="77"/>
      <c r="R366" s="66"/>
      <c r="S366" s="57"/>
      <c r="T366" s="58"/>
      <c r="U366" s="77"/>
      <c r="V366" s="66"/>
      <c r="W366" s="57"/>
      <c r="X366" s="58"/>
      <c r="Y366" s="77"/>
      <c r="Z366" s="120">
        <f>+ROUND((ROUND((ROUND((ROUND((ROUND((_15_同援日２．５＿０．５*_15・基礎２),0)*_15・２人),0)*(1+_15・B深夜)),0)*(1+_15・盲ろう)),0)*(1+_15・区４)),0)</f>
        <v>151</v>
      </c>
      <c r="AA366" s="71"/>
    </row>
    <row r="367" spans="1:27" ht="16.5" customHeight="1" x14ac:dyDescent="0.3"/>
    <row r="368" spans="1:27" ht="16.5" customHeight="1" x14ac:dyDescent="0.3"/>
  </sheetData>
  <mergeCells count="2">
    <mergeCell ref="D7:D10"/>
    <mergeCell ref="F7:F10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2" manualBreakCount="2">
    <brk id="110" max="16383" man="1"/>
    <brk id="33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0000"/>
    <pageSetUpPr fitToPage="1"/>
  </sheetPr>
  <dimension ref="A1:AF464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4.62890625" style="45" customWidth="1"/>
    <col min="11" max="11" width="4.1015625" style="46" bestFit="1" customWidth="1"/>
    <col min="12" max="12" width="4.734375" style="46" bestFit="1" customWidth="1"/>
    <col min="13" max="13" width="14.62890625" style="46" customWidth="1"/>
    <col min="14" max="14" width="3.1015625" style="46" bestFit="1" customWidth="1"/>
    <col min="15" max="15" width="4.1015625" style="47" bestFit="1" customWidth="1"/>
    <col min="16" max="16" width="25.62890625" style="46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bestFit="1" customWidth="1"/>
    <col min="21" max="21" width="4.1015625" style="47" bestFit="1" customWidth="1"/>
    <col min="22" max="22" width="4.734375" style="46" bestFit="1" customWidth="1"/>
    <col min="23" max="23" width="10.62890625" style="46" customWidth="1"/>
    <col min="24" max="24" width="3.1015625" style="46" bestFit="1" customWidth="1"/>
    <col min="25" max="25" width="4.1015625" style="47" bestFit="1" customWidth="1"/>
    <col min="26" max="26" width="4.734375" style="46" bestFit="1" customWidth="1"/>
    <col min="27" max="27" width="7.62890625" style="46" customWidth="1"/>
    <col min="28" max="28" width="3.1015625" style="46" bestFit="1" customWidth="1"/>
    <col min="29" max="29" width="4.1015625" style="47" bestFit="1" customWidth="1"/>
    <col min="30" max="30" width="4.734375" style="46" bestFit="1" customWidth="1"/>
    <col min="31" max="31" width="6.3671875" style="84" bestFit="1" customWidth="1"/>
    <col min="32" max="32" width="7.734375" style="48" bestFit="1" customWidth="1"/>
    <col min="33" max="16384" width="9" style="49"/>
  </cols>
  <sheetData>
    <row r="1" spans="1:32" ht="16.5" customHeight="1" x14ac:dyDescent="0.3"/>
    <row r="2" spans="1:32" ht="16.5" customHeight="1" x14ac:dyDescent="0.3"/>
    <row r="3" spans="1:32" ht="16.5" customHeight="1" x14ac:dyDescent="0.3"/>
    <row r="4" spans="1:32" ht="16.5" customHeight="1" x14ac:dyDescent="0.3">
      <c r="B4" s="229" t="s">
        <v>18126</v>
      </c>
      <c r="C4" s="131"/>
      <c r="D4" s="230"/>
      <c r="E4" s="231"/>
      <c r="F4" s="231"/>
      <c r="G4" s="131"/>
      <c r="H4" s="231"/>
      <c r="I4" s="231"/>
    </row>
    <row r="5" spans="1:3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79"/>
      <c r="K5" s="53"/>
      <c r="L5" s="53"/>
      <c r="M5" s="53"/>
      <c r="N5" s="53"/>
      <c r="O5" s="54"/>
      <c r="P5" s="53"/>
      <c r="Q5" s="53"/>
      <c r="R5" s="54"/>
      <c r="S5" s="54"/>
      <c r="T5" s="53"/>
      <c r="U5" s="54"/>
      <c r="V5" s="53"/>
      <c r="W5" s="53"/>
      <c r="X5" s="53"/>
      <c r="Y5" s="54"/>
      <c r="Z5" s="53"/>
      <c r="AA5" s="53"/>
      <c r="AB5" s="53"/>
      <c r="AC5" s="54"/>
      <c r="AD5" s="53"/>
      <c r="AE5" s="55" t="s">
        <v>5869</v>
      </c>
      <c r="AF5" s="55" t="s">
        <v>5871</v>
      </c>
    </row>
    <row r="6" spans="1:32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80" t="s">
        <v>18125</v>
      </c>
      <c r="H6" s="86"/>
      <c r="I6" s="87"/>
      <c r="J6" s="73"/>
      <c r="K6" s="57"/>
      <c r="L6" s="57"/>
      <c r="M6" s="57"/>
      <c r="N6" s="57"/>
      <c r="O6" s="58"/>
      <c r="P6" s="57"/>
      <c r="Q6" s="57"/>
      <c r="R6" s="58"/>
      <c r="S6" s="58"/>
      <c r="T6" s="57"/>
      <c r="U6" s="58"/>
      <c r="V6" s="57"/>
      <c r="W6" s="57"/>
      <c r="X6" s="57"/>
      <c r="Y6" s="58"/>
      <c r="Z6" s="57"/>
      <c r="AA6" s="57"/>
      <c r="AB6" s="57"/>
      <c r="AC6" s="58"/>
      <c r="AD6" s="57"/>
      <c r="AE6" s="59" t="s">
        <v>5870</v>
      </c>
      <c r="AF6" s="59" t="s">
        <v>0</v>
      </c>
    </row>
    <row r="7" spans="1:32" ht="16.5" customHeight="1" x14ac:dyDescent="0.3">
      <c r="A7" s="2">
        <v>15</v>
      </c>
      <c r="B7" s="2" t="s">
        <v>665</v>
      </c>
      <c r="C7" s="60" t="s">
        <v>11538</v>
      </c>
      <c r="D7" s="233" t="s">
        <v>18022</v>
      </c>
      <c r="E7" s="235"/>
      <c r="F7" s="75"/>
      <c r="G7" s="233" t="s">
        <v>17370</v>
      </c>
      <c r="H7" s="62"/>
      <c r="I7" s="75"/>
      <c r="J7" s="74" t="s">
        <v>17358</v>
      </c>
      <c r="K7" s="62"/>
      <c r="L7" s="75"/>
      <c r="M7" s="61"/>
      <c r="N7" s="62"/>
      <c r="O7" s="63"/>
      <c r="P7" s="83"/>
      <c r="Q7" s="64"/>
      <c r="R7" s="65"/>
      <c r="S7" s="98"/>
      <c r="T7" s="75"/>
      <c r="U7" s="98"/>
      <c r="V7" s="75"/>
      <c r="W7" s="61"/>
      <c r="X7" s="62"/>
      <c r="Y7" s="63"/>
      <c r="Z7" s="75"/>
      <c r="AA7" s="61"/>
      <c r="AB7" s="62"/>
      <c r="AC7" s="63"/>
      <c r="AD7" s="75"/>
      <c r="AE7" s="228">
        <f>ROUND((_15_同援日０．５*(1+_15・A深夜)),0)+ROUND((_15_同援日０．５＿０．５*(1+_15・B早朝)),0)+_15_同援日０．５＿０．５＿０．５</f>
        <v>540</v>
      </c>
      <c r="AF7" s="52" t="s">
        <v>5863</v>
      </c>
    </row>
    <row r="8" spans="1:32" ht="16.5" customHeight="1" x14ac:dyDescent="0.3">
      <c r="A8" s="2">
        <v>15</v>
      </c>
      <c r="B8" s="2" t="s">
        <v>666</v>
      </c>
      <c r="C8" s="60" t="s">
        <v>11537</v>
      </c>
      <c r="D8" s="1" t="s">
        <v>7928</v>
      </c>
      <c r="E8" s="68"/>
      <c r="F8" s="70"/>
      <c r="G8" s="1" t="s">
        <v>7928</v>
      </c>
      <c r="H8" s="68"/>
      <c r="I8" s="70"/>
      <c r="J8" s="1" t="s">
        <v>7928</v>
      </c>
      <c r="K8" s="68"/>
      <c r="L8" s="70"/>
      <c r="M8" s="66"/>
      <c r="N8" s="57"/>
      <c r="O8" s="58"/>
      <c r="P8" s="83" t="s">
        <v>5895</v>
      </c>
      <c r="Q8" s="64" t="s">
        <v>1</v>
      </c>
      <c r="R8" s="65">
        <v>1</v>
      </c>
      <c r="S8" s="99"/>
      <c r="T8" s="70"/>
      <c r="U8" s="99"/>
      <c r="V8" s="70"/>
      <c r="W8" s="67"/>
      <c r="X8" s="68"/>
      <c r="Y8" s="76"/>
      <c r="Z8" s="70"/>
      <c r="AA8" s="67"/>
      <c r="AB8" s="68"/>
      <c r="AC8" s="76"/>
      <c r="AD8" s="70"/>
      <c r="AE8" s="228">
        <f>ROUND((ROUND((_15_同援日０．５*_15・２人),0)*(1+_15・A深夜)),0)+ROUND((ROUND((_15_同援日０．５＿０．５*_15・２人),0)*(1+_15・B早朝)),0)+ROUND((_15_同援日０．５＿０．５＿０．５*_15・２人),0)</f>
        <v>540</v>
      </c>
      <c r="AF8" s="69"/>
    </row>
    <row r="9" spans="1:32" ht="16.5" customHeight="1" x14ac:dyDescent="0.3">
      <c r="A9" s="2">
        <v>15</v>
      </c>
      <c r="B9" s="2" t="s">
        <v>667</v>
      </c>
      <c r="C9" s="60" t="s">
        <v>11536</v>
      </c>
      <c r="D9" s="1"/>
      <c r="E9" s="68"/>
      <c r="F9" s="70"/>
      <c r="G9" s="1"/>
      <c r="H9" s="68"/>
      <c r="I9" s="70"/>
      <c r="J9" s="1"/>
      <c r="K9" s="68"/>
      <c r="L9" s="70"/>
      <c r="M9" s="74" t="s">
        <v>16823</v>
      </c>
      <c r="N9" s="62"/>
      <c r="O9" s="63"/>
      <c r="P9" s="83"/>
      <c r="Q9" s="64"/>
      <c r="R9" s="65"/>
      <c r="S9" s="99"/>
      <c r="T9" s="70"/>
      <c r="U9" s="99"/>
      <c r="V9" s="70"/>
      <c r="W9" s="67"/>
      <c r="X9" s="68"/>
      <c r="Y9" s="76"/>
      <c r="Z9" s="70"/>
      <c r="AA9" s="67"/>
      <c r="AB9" s="68"/>
      <c r="AC9" s="76"/>
      <c r="AD9" s="70"/>
      <c r="AE9" s="228">
        <f>ROUND((ROUND((_15_同援日０．５*_15・基礎２),0)*(1+_15・A深夜)),0)+ROUND((ROUND((_15_同援日０．５＿０．５*_15・基礎２),0)*(1+_15・B早朝)),0)+ROUND((_15_同援日０．５＿０．５＿０．５*_15・基礎２),0)</f>
        <v>486</v>
      </c>
      <c r="AF9" s="69"/>
    </row>
    <row r="10" spans="1:32" ht="16.5" customHeight="1" x14ac:dyDescent="0.3">
      <c r="A10" s="2">
        <v>15</v>
      </c>
      <c r="B10" s="2" t="s">
        <v>668</v>
      </c>
      <c r="C10" s="60" t="s">
        <v>11535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"/>
      <c r="K10" s="227">
        <v>129</v>
      </c>
      <c r="L10" s="70" t="s">
        <v>0</v>
      </c>
      <c r="M10" s="106" t="s">
        <v>16812</v>
      </c>
      <c r="N10" s="57" t="s">
        <v>1</v>
      </c>
      <c r="O10" s="58">
        <v>0.9</v>
      </c>
      <c r="P10" s="83" t="s">
        <v>5895</v>
      </c>
      <c r="Q10" s="64" t="s">
        <v>1</v>
      </c>
      <c r="R10" s="65">
        <v>1</v>
      </c>
      <c r="S10" s="99"/>
      <c r="T10" s="70"/>
      <c r="U10" s="99"/>
      <c r="V10" s="70"/>
      <c r="W10" s="66"/>
      <c r="X10" s="57"/>
      <c r="Y10" s="58"/>
      <c r="Z10" s="77"/>
      <c r="AA10" s="67"/>
      <c r="AB10" s="68"/>
      <c r="AC10" s="76"/>
      <c r="AD10" s="70"/>
      <c r="AE10" s="228">
        <f>ROUND((ROUND((ROUND((_15_同援日０．５*_15・基礎２),0)*_15・２人),0)*(1+_15・A深夜)),0)+ROUND((ROUND((ROUND((_15_同援日０．５＿０．５*_15・基礎２),0)*_15・２人),0)*(1+_15・B早朝)),0)+ROUND((ROUND((_15_同援日０．５＿０．５＿０．５*_15・基礎２),0)*_15・２人),0)</f>
        <v>486</v>
      </c>
      <c r="AF10" s="69"/>
    </row>
    <row r="11" spans="1:32" ht="16.5" customHeight="1" x14ac:dyDescent="0.3">
      <c r="A11" s="2">
        <v>15</v>
      </c>
      <c r="B11" s="2" t="s">
        <v>669</v>
      </c>
      <c r="C11" s="60" t="s">
        <v>11534</v>
      </c>
      <c r="D11" s="1"/>
      <c r="E11" s="68"/>
      <c r="F11" s="70"/>
      <c r="G11" s="1"/>
      <c r="H11" s="68"/>
      <c r="I11" s="70"/>
      <c r="J11" s="1"/>
      <c r="K11" s="68"/>
      <c r="L11" s="70"/>
      <c r="M11" s="74"/>
      <c r="N11" s="62"/>
      <c r="O11" s="63"/>
      <c r="P11" s="83"/>
      <c r="Q11" s="64"/>
      <c r="R11" s="65"/>
      <c r="S11" s="99"/>
      <c r="T11" s="70"/>
      <c r="U11" s="99"/>
      <c r="V11" s="70"/>
      <c r="W11" s="74" t="s">
        <v>17969</v>
      </c>
      <c r="X11" s="62"/>
      <c r="Y11" s="63"/>
      <c r="Z11" s="75"/>
      <c r="AA11" s="67"/>
      <c r="AB11" s="68"/>
      <c r="AC11" s="76"/>
      <c r="AD11" s="70"/>
      <c r="AE11" s="228">
        <f>ROUND((ROUND((_15_同援日０．５*(1+_15・A深夜)),0)*(1+_15・盲ろう)),0)+ROUND((ROUND((_15_同援日０．５＿０．５*(1+_15・B早朝)),0)*(1+_15・盲ろう)),0)+ROUND((_15_同援日０．５＿０．５＿０．５*(1+_15・盲ろう)),0)</f>
        <v>675</v>
      </c>
      <c r="AF11" s="69"/>
    </row>
    <row r="12" spans="1:32" ht="16.5" customHeight="1" x14ac:dyDescent="0.3">
      <c r="A12" s="2">
        <v>15</v>
      </c>
      <c r="B12" s="2" t="s">
        <v>670</v>
      </c>
      <c r="C12" s="60" t="s">
        <v>11533</v>
      </c>
      <c r="D12" s="1"/>
      <c r="E12" s="68"/>
      <c r="F12" s="70"/>
      <c r="G12" s="1"/>
      <c r="H12" s="68"/>
      <c r="I12" s="70"/>
      <c r="J12" s="1"/>
      <c r="K12" s="68"/>
      <c r="L12" s="70"/>
      <c r="M12" s="106"/>
      <c r="N12" s="57"/>
      <c r="O12" s="58"/>
      <c r="P12" s="83" t="s">
        <v>5895</v>
      </c>
      <c r="Q12" s="64" t="s">
        <v>1</v>
      </c>
      <c r="R12" s="65">
        <v>1</v>
      </c>
      <c r="S12" s="99" t="s">
        <v>7920</v>
      </c>
      <c r="T12" s="70"/>
      <c r="U12" s="99" t="s">
        <v>7895</v>
      </c>
      <c r="V12" s="70"/>
      <c r="W12" s="94" t="s">
        <v>17968</v>
      </c>
      <c r="X12" s="68"/>
      <c r="Y12" s="76"/>
      <c r="Z12" s="70"/>
      <c r="AA12" s="67"/>
      <c r="AB12" s="68"/>
      <c r="AC12" s="76"/>
      <c r="AD12" s="70"/>
      <c r="AE12" s="228">
        <f>ROUND((ROUND((ROUND((_15_同援日０．５*_15・２人),0)*(1+_15・A深夜)),0)*(1+_15・盲ろう)),0)+ROUND((ROUND((ROUND((_15_同援日０．５＿０．５*_15・２人),0)*(1+_15・B早朝)),0)*(1+_15・盲ろう)),0)+ROUND((ROUND((_15_同援日０．５＿０．５＿０．５*_15・２人),0)*(1+_15・盲ろう)),0)</f>
        <v>675</v>
      </c>
      <c r="AF12" s="69"/>
    </row>
    <row r="13" spans="1:32" ht="16.5" customHeight="1" x14ac:dyDescent="0.3">
      <c r="A13" s="2">
        <v>15</v>
      </c>
      <c r="B13" s="2" t="s">
        <v>671</v>
      </c>
      <c r="C13" s="60" t="s">
        <v>11532</v>
      </c>
      <c r="D13" s="1"/>
      <c r="E13" s="68"/>
      <c r="F13" s="70"/>
      <c r="G13" s="1"/>
      <c r="H13" s="68"/>
      <c r="I13" s="70"/>
      <c r="J13" s="1"/>
      <c r="K13" s="68"/>
      <c r="L13" s="70"/>
      <c r="M13" s="74" t="s">
        <v>16823</v>
      </c>
      <c r="N13" s="62"/>
      <c r="O13" s="63"/>
      <c r="P13" s="83"/>
      <c r="Q13" s="64"/>
      <c r="R13" s="65"/>
      <c r="S13" s="99"/>
      <c r="T13" s="100" t="s">
        <v>7948</v>
      </c>
      <c r="U13" s="99"/>
      <c r="V13" s="100" t="s">
        <v>11531</v>
      </c>
      <c r="W13" s="94"/>
      <c r="X13" s="68" t="s">
        <v>1</v>
      </c>
      <c r="Y13" s="76">
        <v>0.25</v>
      </c>
      <c r="Z13" s="70" t="s">
        <v>422</v>
      </c>
      <c r="AA13" s="67"/>
      <c r="AB13" s="68"/>
      <c r="AC13" s="76"/>
      <c r="AD13" s="70"/>
      <c r="AE13" s="228">
        <f>ROUND((ROUND((ROUND((_15_同援日０．５*_15・基礎２),0)*(1+_15・A深夜)),0)*(1+_15・盲ろう)),0)+ROUND((ROUND((ROUND((_15_同援日０．５＿０．５*_15・基礎２),0)*(1+_15・B早朝)),0)*(1+_15・盲ろう)),0)+ROUND((ROUND((_15_同援日０．５＿０．５＿０．５*_15・基礎２),0)*(1+_15・盲ろう)),0)</f>
        <v>607</v>
      </c>
      <c r="AF13" s="69"/>
    </row>
    <row r="14" spans="1:32" ht="16.5" customHeight="1" x14ac:dyDescent="0.3">
      <c r="A14" s="2">
        <v>15</v>
      </c>
      <c r="B14" s="2" t="s">
        <v>672</v>
      </c>
      <c r="C14" s="60" t="s">
        <v>11530</v>
      </c>
      <c r="D14" s="1"/>
      <c r="E14" s="68"/>
      <c r="F14" s="70"/>
      <c r="G14" s="1"/>
      <c r="H14" s="68"/>
      <c r="I14" s="70"/>
      <c r="J14" s="1"/>
      <c r="K14" s="68"/>
      <c r="L14" s="70"/>
      <c r="M14" s="106" t="s">
        <v>16812</v>
      </c>
      <c r="N14" s="57" t="s">
        <v>1</v>
      </c>
      <c r="O14" s="58">
        <v>0.9</v>
      </c>
      <c r="P14" s="83" t="s">
        <v>5895</v>
      </c>
      <c r="Q14" s="64" t="s">
        <v>1</v>
      </c>
      <c r="R14" s="65">
        <v>1</v>
      </c>
      <c r="S14" s="99"/>
      <c r="T14" s="70"/>
      <c r="U14" s="99"/>
      <c r="V14" s="70"/>
      <c r="W14" s="106"/>
      <c r="X14" s="57"/>
      <c r="Y14" s="58"/>
      <c r="Z14" s="77"/>
      <c r="AA14" s="66"/>
      <c r="AB14" s="57"/>
      <c r="AC14" s="58"/>
      <c r="AD14" s="77"/>
      <c r="AE14" s="228">
        <f>ROUND((ROUND((ROUND((ROUND((_15_同援日０．５*_15・基礎２),0)*_15・２人),0)*(1+_15・A深夜)),0)*(1+_15・盲ろう)),0)+ROUND((ROUND((ROUND((ROUND((_15_同援日０．５＿０．５*_15・基礎２),0)*_15・２人),0)*(1+_15・B早朝)),0)*(1+_15・盲ろう)),0)+ROUND((ROUND((ROUND((_15_同援日０．５＿０．５＿０．５*_15・基礎２),0)*_15・２人),0)*(1+_15・盲ろう)),0)</f>
        <v>607</v>
      </c>
      <c r="AF14" s="69"/>
    </row>
    <row r="15" spans="1:32" ht="16.5" customHeight="1" x14ac:dyDescent="0.3">
      <c r="A15" s="2">
        <v>15</v>
      </c>
      <c r="B15" s="2" t="s">
        <v>673</v>
      </c>
      <c r="C15" s="60" t="s">
        <v>11529</v>
      </c>
      <c r="D15" s="1"/>
      <c r="E15" s="68"/>
      <c r="F15" s="70"/>
      <c r="G15" s="1"/>
      <c r="H15" s="68"/>
      <c r="I15" s="70"/>
      <c r="J15" s="1"/>
      <c r="K15" s="68"/>
      <c r="L15" s="70"/>
      <c r="M15" s="74"/>
      <c r="N15" s="62"/>
      <c r="O15" s="63"/>
      <c r="P15" s="83"/>
      <c r="Q15" s="64"/>
      <c r="R15" s="65"/>
      <c r="S15" s="67" t="s">
        <v>1</v>
      </c>
      <c r="T15" s="93">
        <v>0.5</v>
      </c>
      <c r="U15" s="67" t="s">
        <v>1</v>
      </c>
      <c r="V15" s="93">
        <v>0.25</v>
      </c>
      <c r="W15" s="74"/>
      <c r="X15" s="62"/>
      <c r="Y15" s="63"/>
      <c r="Z15" s="75"/>
      <c r="AA15" s="61"/>
      <c r="AB15" s="62"/>
      <c r="AC15" s="63"/>
      <c r="AD15" s="75"/>
      <c r="AE15" s="228">
        <f>ROUND((ROUND((_15_同援日０．５*(1+_15・A深夜)),0)*(1+_15・区３)),0)+ROUND((ROUND((_15_同援日０．５＿０．５*(1+_15・B早朝)),0)*(1+_15・区３)),0)+ROUND((_15_同援日０．５＿０．５＿０．５*(1+_15・区３)),0)</f>
        <v>648</v>
      </c>
      <c r="AF15" s="69"/>
    </row>
    <row r="16" spans="1:32" ht="16.5" customHeight="1" x14ac:dyDescent="0.3">
      <c r="A16" s="2">
        <v>15</v>
      </c>
      <c r="B16" s="2" t="s">
        <v>674</v>
      </c>
      <c r="C16" s="60" t="s">
        <v>11528</v>
      </c>
      <c r="D16" s="1"/>
      <c r="E16" s="68"/>
      <c r="F16" s="70"/>
      <c r="G16" s="1"/>
      <c r="H16" s="68"/>
      <c r="I16" s="70"/>
      <c r="J16" s="1"/>
      <c r="K16" s="68"/>
      <c r="L16" s="70"/>
      <c r="M16" s="106"/>
      <c r="N16" s="57"/>
      <c r="O16" s="58"/>
      <c r="P16" s="83" t="s">
        <v>5895</v>
      </c>
      <c r="Q16" s="64" t="s">
        <v>1</v>
      </c>
      <c r="R16" s="65">
        <v>1</v>
      </c>
      <c r="S16" s="99"/>
      <c r="T16" s="100" t="s">
        <v>422</v>
      </c>
      <c r="U16" s="99"/>
      <c r="V16" s="100" t="s">
        <v>422</v>
      </c>
      <c r="W16" s="94"/>
      <c r="X16" s="68"/>
      <c r="Y16" s="76"/>
      <c r="Z16" s="70"/>
      <c r="AA16" s="67"/>
      <c r="AB16" s="68"/>
      <c r="AC16" s="76"/>
      <c r="AD16" s="70"/>
      <c r="AE16" s="228">
        <f>ROUND((ROUND((ROUND((_15_同援日０．５*_15・２人),0)*(1+_15・A深夜)),0)*(1+_15・区３)),0)+ROUND((ROUND((ROUND((_15_同援日０．５＿０．５*_15・２人),0)*(1+_15・B早朝)),0)*(1+_15・区３)),0)+ROUND((ROUND((_15_同援日０．５＿０．５＿０．５*_15・２人),0)*(1+_15・区３)),0)</f>
        <v>648</v>
      </c>
      <c r="AF16" s="69"/>
    </row>
    <row r="17" spans="1:32" ht="16.5" customHeight="1" x14ac:dyDescent="0.3">
      <c r="A17" s="2">
        <v>15</v>
      </c>
      <c r="B17" s="2" t="s">
        <v>675</v>
      </c>
      <c r="C17" s="60" t="s">
        <v>11527</v>
      </c>
      <c r="D17" s="1"/>
      <c r="E17" s="68"/>
      <c r="F17" s="70"/>
      <c r="G17" s="1"/>
      <c r="H17" s="68"/>
      <c r="I17" s="70"/>
      <c r="J17" s="1"/>
      <c r="K17" s="68"/>
      <c r="L17" s="70"/>
      <c r="M17" s="74" t="s">
        <v>16823</v>
      </c>
      <c r="N17" s="62"/>
      <c r="O17" s="63"/>
      <c r="P17" s="83"/>
      <c r="Q17" s="64"/>
      <c r="R17" s="65"/>
      <c r="S17" s="99"/>
      <c r="T17" s="70"/>
      <c r="U17" s="99"/>
      <c r="V17" s="70"/>
      <c r="W17" s="94"/>
      <c r="X17" s="68"/>
      <c r="Y17" s="76"/>
      <c r="Z17" s="70"/>
      <c r="AA17" s="1" t="s">
        <v>17974</v>
      </c>
      <c r="AB17" s="68"/>
      <c r="AC17" s="76"/>
      <c r="AD17" s="70"/>
      <c r="AE17" s="228">
        <f>ROUND((ROUND((ROUND((_15_同援日０．５*_15・基礎２),0)*(1+_15・A深夜)),0)*(1+_15・区３)),0)+ROUND((ROUND((ROUND((_15_同援日０．５＿０．５*_15・基礎２),0)*(1+_15・B早朝)),0)*(1+_15・区３)),0)+ROUND((ROUND((_15_同援日０．５＿０．５＿０．５*_15・基礎２),0)*(1+_15・区３)),0)</f>
        <v>583</v>
      </c>
      <c r="AF17" s="69"/>
    </row>
    <row r="18" spans="1:32" ht="16.5" customHeight="1" x14ac:dyDescent="0.3">
      <c r="A18" s="2">
        <v>15</v>
      </c>
      <c r="B18" s="2" t="s">
        <v>676</v>
      </c>
      <c r="C18" s="60" t="s">
        <v>11526</v>
      </c>
      <c r="D18" s="1"/>
      <c r="E18" s="68"/>
      <c r="F18" s="70"/>
      <c r="G18" s="1"/>
      <c r="H18" s="68"/>
      <c r="I18" s="70"/>
      <c r="J18" s="1"/>
      <c r="K18" s="68"/>
      <c r="L18" s="70"/>
      <c r="M18" s="106" t="s">
        <v>16812</v>
      </c>
      <c r="N18" s="57" t="s">
        <v>1</v>
      </c>
      <c r="O18" s="58">
        <v>0.9</v>
      </c>
      <c r="P18" s="83" t="s">
        <v>5895</v>
      </c>
      <c r="Q18" s="64" t="s">
        <v>1</v>
      </c>
      <c r="R18" s="65">
        <v>1</v>
      </c>
      <c r="S18" s="99"/>
      <c r="T18" s="70"/>
      <c r="U18" s="99"/>
      <c r="V18" s="70"/>
      <c r="W18" s="106"/>
      <c r="X18" s="57"/>
      <c r="Y18" s="58"/>
      <c r="Z18" s="77"/>
      <c r="AA18" s="1" t="s">
        <v>17970</v>
      </c>
      <c r="AB18" s="68"/>
      <c r="AC18" s="76"/>
      <c r="AD18" s="70"/>
      <c r="AE18" s="228">
        <f>ROUND((ROUND((ROUND((ROUND((_15_同援日０．５*_15・基礎２),0)*_15・２人),0)*(1+_15・A深夜)),0)*(1+_15・区３)),0)+ROUND((ROUND((ROUND((ROUND((_15_同援日０．５＿０．５*_15・基礎２),0)*_15・２人),0)*(1+_15・B早朝)),0)*(1+_15・区３)),0)+ROUND((ROUND((ROUND((_15_同援日０．５＿０．５＿０．５*_15・基礎２),0)*_15・２人),0)*(1+_15・区３)),0)</f>
        <v>583</v>
      </c>
      <c r="AF18" s="69"/>
    </row>
    <row r="19" spans="1:32" ht="16.5" customHeight="1" x14ac:dyDescent="0.3">
      <c r="A19" s="2">
        <v>15</v>
      </c>
      <c r="B19" s="2" t="s">
        <v>677</v>
      </c>
      <c r="C19" s="60" t="s">
        <v>11525</v>
      </c>
      <c r="D19" s="1"/>
      <c r="E19" s="68"/>
      <c r="F19" s="70"/>
      <c r="G19" s="1"/>
      <c r="H19" s="68"/>
      <c r="I19" s="70"/>
      <c r="J19" s="1"/>
      <c r="K19" s="68"/>
      <c r="L19" s="70"/>
      <c r="M19" s="74"/>
      <c r="N19" s="62"/>
      <c r="O19" s="63"/>
      <c r="P19" s="83"/>
      <c r="Q19" s="64"/>
      <c r="R19" s="65"/>
      <c r="S19" s="99"/>
      <c r="T19" s="70"/>
      <c r="U19" s="99"/>
      <c r="V19" s="70"/>
      <c r="W19" s="74" t="s">
        <v>17969</v>
      </c>
      <c r="X19" s="62"/>
      <c r="Y19" s="63"/>
      <c r="Z19" s="75"/>
      <c r="AA19" s="1"/>
      <c r="AB19" s="68" t="s">
        <v>1</v>
      </c>
      <c r="AC19" s="76">
        <v>0.2</v>
      </c>
      <c r="AD19" s="70" t="s">
        <v>422</v>
      </c>
      <c r="AE19" s="228">
        <f>ROUND((ROUND((ROUND((_15_同援日０．５*(1+_15・A深夜)),0)*(1+_15・盲ろう)),0)*(1+_15・区３)),0)+ROUND((ROUND((ROUND((_15_同援日０．５＿０．５*(1+_15・B早朝)),0)*(1+_15・盲ろう)),0)*(1+_15・区３)),0)+ROUND((ROUND((_15_同援日０．５＿０．５＿０．５*(1+_15・盲ろう)),0)*(1+_15・区３)),0)</f>
        <v>810</v>
      </c>
      <c r="AF19" s="69"/>
    </row>
    <row r="20" spans="1:32" ht="16.5" customHeight="1" x14ac:dyDescent="0.3">
      <c r="A20" s="2">
        <v>15</v>
      </c>
      <c r="B20" s="2" t="s">
        <v>678</v>
      </c>
      <c r="C20" s="60" t="s">
        <v>11524</v>
      </c>
      <c r="D20" s="1"/>
      <c r="E20" s="68"/>
      <c r="F20" s="70"/>
      <c r="G20" s="1"/>
      <c r="H20" s="68"/>
      <c r="I20" s="70"/>
      <c r="J20" s="1"/>
      <c r="K20" s="68"/>
      <c r="L20" s="70"/>
      <c r="M20" s="106"/>
      <c r="N20" s="57"/>
      <c r="O20" s="58"/>
      <c r="P20" s="83" t="s">
        <v>5895</v>
      </c>
      <c r="Q20" s="64" t="s">
        <v>1</v>
      </c>
      <c r="R20" s="65">
        <v>1</v>
      </c>
      <c r="S20" s="99"/>
      <c r="T20" s="70"/>
      <c r="U20" s="99"/>
      <c r="V20" s="70"/>
      <c r="W20" s="94" t="s">
        <v>17968</v>
      </c>
      <c r="X20" s="68"/>
      <c r="Y20" s="76"/>
      <c r="Z20" s="70"/>
      <c r="AA20" s="1"/>
      <c r="AB20" s="68"/>
      <c r="AC20" s="76"/>
      <c r="AD20" s="70"/>
      <c r="AE20" s="228">
        <f>ROUND((ROUND((ROUND((ROUND((_15_同援日０．５*_15・２人),0)*(1+_15・A深夜)),0)*(1+_15・盲ろう)),0)*(1+_15・区３)),0)+ROUND((ROUND((ROUND((ROUND((_15_同援日０．５＿０．５*_15・２人),0)*(1+_15・B早朝)),0)*(1+_15・盲ろう)),0)*(1+_15・区３)),0)+ROUND((ROUND((ROUND((_15_同援日０．５＿０．５＿０．５*_15・２人),0)*(1+_15・盲ろう)),0)*(1+_15・区３)),0)</f>
        <v>810</v>
      </c>
      <c r="AF20" s="69"/>
    </row>
    <row r="21" spans="1:32" ht="16.5" customHeight="1" x14ac:dyDescent="0.3">
      <c r="A21" s="2">
        <v>15</v>
      </c>
      <c r="B21" s="2" t="s">
        <v>679</v>
      </c>
      <c r="C21" s="60" t="s">
        <v>11523</v>
      </c>
      <c r="D21" s="1"/>
      <c r="E21" s="68"/>
      <c r="F21" s="70"/>
      <c r="G21" s="1"/>
      <c r="H21" s="68"/>
      <c r="I21" s="70"/>
      <c r="J21" s="1"/>
      <c r="K21" s="68"/>
      <c r="L21" s="70"/>
      <c r="M21" s="74" t="s">
        <v>16823</v>
      </c>
      <c r="N21" s="62"/>
      <c r="O21" s="63"/>
      <c r="P21" s="83"/>
      <c r="Q21" s="64"/>
      <c r="R21" s="65"/>
      <c r="S21" s="99"/>
      <c r="T21" s="70"/>
      <c r="U21" s="99"/>
      <c r="V21" s="70"/>
      <c r="W21" s="94"/>
      <c r="X21" s="68" t="s">
        <v>1</v>
      </c>
      <c r="Y21" s="76">
        <v>0.25</v>
      </c>
      <c r="Z21" s="70" t="s">
        <v>422</v>
      </c>
      <c r="AA21" s="1"/>
      <c r="AB21" s="68"/>
      <c r="AC21" s="76"/>
      <c r="AD21" s="70"/>
      <c r="AE21" s="228">
        <f>ROUND((ROUND((ROUND((ROUND((_15_同援日０．５*_15・基礎２),0)*(1+_15・A深夜)),0)*(1+_15・盲ろう)),0)*(1+_15・区３)),0)+ROUND((ROUND((ROUND((ROUND((_15_同援日０．５＿０．５*_15・基礎２),0)*(1+_15・B早朝)),0)*(1+_15・盲ろう)),0)*(1+_15・区３)),0)+ROUND((ROUND((ROUND((_15_同援日０．５＿０．５＿０．５*_15・基礎２),0)*(1+_15・盲ろう)),0)*(1+_15・区３)),0)</f>
        <v>728</v>
      </c>
      <c r="AF21" s="69"/>
    </row>
    <row r="22" spans="1:32" ht="16.5" customHeight="1" x14ac:dyDescent="0.3">
      <c r="A22" s="2">
        <v>15</v>
      </c>
      <c r="B22" s="2" t="s">
        <v>680</v>
      </c>
      <c r="C22" s="60" t="s">
        <v>11522</v>
      </c>
      <c r="D22" s="1"/>
      <c r="E22" s="68"/>
      <c r="F22" s="70"/>
      <c r="G22" s="1"/>
      <c r="H22" s="68"/>
      <c r="I22" s="70"/>
      <c r="J22" s="1"/>
      <c r="K22" s="68"/>
      <c r="L22" s="70"/>
      <c r="M22" s="106" t="s">
        <v>16812</v>
      </c>
      <c r="N22" s="57" t="s">
        <v>1</v>
      </c>
      <c r="O22" s="58">
        <v>0.9</v>
      </c>
      <c r="P22" s="83" t="s">
        <v>5895</v>
      </c>
      <c r="Q22" s="64" t="s">
        <v>1</v>
      </c>
      <c r="R22" s="65">
        <v>1</v>
      </c>
      <c r="S22" s="99"/>
      <c r="T22" s="70"/>
      <c r="U22" s="99"/>
      <c r="V22" s="70"/>
      <c r="W22" s="106"/>
      <c r="X22" s="57"/>
      <c r="Y22" s="58"/>
      <c r="Z22" s="77"/>
      <c r="AA22" s="106"/>
      <c r="AB22" s="57"/>
      <c r="AC22" s="58"/>
      <c r="AD22" s="77"/>
      <c r="AE22" s="228">
        <f>ROUND((ROUND((ROUND((ROUND((ROUND((_15_同援日０．５*_15・基礎２),0)*_15・２人),0)*(1+_15・A深夜)),0)*(1+_15・盲ろう)),0)*(1+_15・区３)),0)+ROUND((ROUND((ROUND((ROUND((ROUND((_15_同援日０．５＿０．５*_15・基礎２),0)*_15・２人),0)*(1+_15・B早朝)),0)*(1+_15・盲ろう)),0)*(1+_15・区３)),0)+ROUND((ROUND((ROUND((ROUND((_15_同援日０．５＿０．５＿０．５*_15・基礎２),0)*_15・２人),0)*(1+_15・盲ろう)),0)*(1+_15・区３)),0)</f>
        <v>728</v>
      </c>
      <c r="AF22" s="69"/>
    </row>
    <row r="23" spans="1:32" ht="16.5" customHeight="1" x14ac:dyDescent="0.3">
      <c r="A23" s="2">
        <v>15</v>
      </c>
      <c r="B23" s="2" t="s">
        <v>681</v>
      </c>
      <c r="C23" s="60" t="s">
        <v>11521</v>
      </c>
      <c r="D23" s="1"/>
      <c r="E23" s="68"/>
      <c r="F23" s="70"/>
      <c r="G23" s="1"/>
      <c r="H23" s="68"/>
      <c r="I23" s="70"/>
      <c r="J23" s="1"/>
      <c r="K23" s="68"/>
      <c r="L23" s="70"/>
      <c r="M23" s="74"/>
      <c r="N23" s="62"/>
      <c r="O23" s="63"/>
      <c r="P23" s="83"/>
      <c r="Q23" s="64"/>
      <c r="R23" s="65"/>
      <c r="S23" s="99"/>
      <c r="T23" s="70"/>
      <c r="U23" s="99"/>
      <c r="V23" s="70"/>
      <c r="W23" s="74"/>
      <c r="X23" s="62"/>
      <c r="Y23" s="63"/>
      <c r="Z23" s="75"/>
      <c r="AA23" s="78"/>
      <c r="AB23" s="62"/>
      <c r="AC23" s="63"/>
      <c r="AD23" s="75"/>
      <c r="AE23" s="228">
        <f>ROUND((ROUND((_15_同援日０．５*(1+_15・A深夜)),0)*(1+_15・区４)),0)+ROUND((ROUND((_15_同援日０．５＿０．５*(1+_15・B早朝)),0)*(1+_15・区４)),0)+ROUND((_15_同援日０．５＿０．５＿０．５*(1+_15・区４)),0)</f>
        <v>756</v>
      </c>
      <c r="AF23" s="69"/>
    </row>
    <row r="24" spans="1:32" ht="16.5" customHeight="1" x14ac:dyDescent="0.3">
      <c r="A24" s="2">
        <v>15</v>
      </c>
      <c r="B24" s="2" t="s">
        <v>682</v>
      </c>
      <c r="C24" s="60" t="s">
        <v>11520</v>
      </c>
      <c r="D24" s="1"/>
      <c r="E24" s="68"/>
      <c r="F24" s="70"/>
      <c r="G24" s="1"/>
      <c r="H24" s="68"/>
      <c r="I24" s="70"/>
      <c r="J24" s="1"/>
      <c r="K24" s="68"/>
      <c r="L24" s="70"/>
      <c r="M24" s="106"/>
      <c r="N24" s="57"/>
      <c r="O24" s="58"/>
      <c r="P24" s="83" t="s">
        <v>5895</v>
      </c>
      <c r="Q24" s="64" t="s">
        <v>1</v>
      </c>
      <c r="R24" s="65">
        <v>1</v>
      </c>
      <c r="S24" s="99"/>
      <c r="T24" s="70"/>
      <c r="U24" s="99"/>
      <c r="V24" s="70"/>
      <c r="W24" s="94"/>
      <c r="X24" s="68"/>
      <c r="Y24" s="76"/>
      <c r="Z24" s="70"/>
      <c r="AA24" s="1"/>
      <c r="AB24" s="68"/>
      <c r="AC24" s="76"/>
      <c r="AD24" s="70"/>
      <c r="AE24" s="228">
        <f>ROUND((ROUND((ROUND((_15_同援日０．５*_15・２人),0)*(1+_15・A深夜)),0)*(1+_15・区４)),0)+ROUND((ROUND((ROUND((_15_同援日０．５＿０．５*_15・２人),0)*(1+_15・B早朝)),0)*(1+_15・区４)),0)+ROUND((ROUND((_15_同援日０．５＿０．５＿０．５*_15・２人),0)*(1+_15・区４)),0)</f>
        <v>756</v>
      </c>
      <c r="AF24" s="69"/>
    </row>
    <row r="25" spans="1:32" ht="16.5" customHeight="1" x14ac:dyDescent="0.3">
      <c r="A25" s="2">
        <v>15</v>
      </c>
      <c r="B25" s="2" t="s">
        <v>683</v>
      </c>
      <c r="C25" s="60" t="s">
        <v>11519</v>
      </c>
      <c r="D25" s="1"/>
      <c r="E25" s="68"/>
      <c r="F25" s="70"/>
      <c r="G25" s="1"/>
      <c r="H25" s="68"/>
      <c r="I25" s="70"/>
      <c r="J25" s="1"/>
      <c r="K25" s="68"/>
      <c r="L25" s="70"/>
      <c r="M25" s="74" t="s">
        <v>16823</v>
      </c>
      <c r="N25" s="62"/>
      <c r="O25" s="63"/>
      <c r="P25" s="83"/>
      <c r="Q25" s="64"/>
      <c r="R25" s="65"/>
      <c r="S25" s="99"/>
      <c r="T25" s="70"/>
      <c r="U25" s="99"/>
      <c r="V25" s="70"/>
      <c r="W25" s="94"/>
      <c r="X25" s="68"/>
      <c r="Y25" s="76"/>
      <c r="Z25" s="70"/>
      <c r="AA25" s="1" t="s">
        <v>17971</v>
      </c>
      <c r="AB25" s="68"/>
      <c r="AC25" s="76"/>
      <c r="AD25" s="70"/>
      <c r="AE25" s="228">
        <f>ROUND((ROUND((ROUND((_15_同援日０．５*_15・基礎２),0)*(1+_15・A深夜)),0)*(1+_15・区４)),0)+ROUND((ROUND((ROUND((_15_同援日０．５＿０．５*_15・基礎２),0)*(1+_15・B早朝)),0)*(1+_15・区４)),0)+ROUND((ROUND((_15_同援日０．５＿０．５＿０．５*_15・基礎２),0)*(1+_15・区４)),0)</f>
        <v>680</v>
      </c>
      <c r="AF25" s="69"/>
    </row>
    <row r="26" spans="1:32" ht="16.5" customHeight="1" x14ac:dyDescent="0.3">
      <c r="A26" s="2">
        <v>15</v>
      </c>
      <c r="B26" s="2" t="s">
        <v>684</v>
      </c>
      <c r="C26" s="60" t="s">
        <v>11518</v>
      </c>
      <c r="D26" s="1"/>
      <c r="E26" s="68"/>
      <c r="F26" s="70"/>
      <c r="G26" s="1"/>
      <c r="H26" s="68"/>
      <c r="I26" s="70"/>
      <c r="J26" s="1"/>
      <c r="K26" s="68"/>
      <c r="L26" s="70"/>
      <c r="M26" s="106" t="s">
        <v>16812</v>
      </c>
      <c r="N26" s="57" t="s">
        <v>1</v>
      </c>
      <c r="O26" s="58">
        <v>0.9</v>
      </c>
      <c r="P26" s="83" t="s">
        <v>5895</v>
      </c>
      <c r="Q26" s="64" t="s">
        <v>1</v>
      </c>
      <c r="R26" s="65">
        <v>1</v>
      </c>
      <c r="S26" s="99"/>
      <c r="T26" s="70"/>
      <c r="U26" s="99"/>
      <c r="V26" s="70"/>
      <c r="W26" s="106"/>
      <c r="X26" s="57"/>
      <c r="Y26" s="58"/>
      <c r="Z26" s="77"/>
      <c r="AA26" s="1" t="s">
        <v>17970</v>
      </c>
      <c r="AB26" s="68"/>
      <c r="AC26" s="76"/>
      <c r="AD26" s="70"/>
      <c r="AE26" s="228">
        <f>ROUND((ROUND((ROUND((ROUND((_15_同援日０．５*_15・基礎２),0)*_15・２人),0)*(1+_15・A深夜)),0)*(1+_15・区４)),0)+ROUND((ROUND((ROUND((ROUND((_15_同援日０．５＿０．５*_15・基礎２),0)*_15・２人),0)*(1+_15・B早朝)),0)*(1+_15・区４)),0)+ROUND((ROUND((ROUND((_15_同援日０．５＿０．５＿０．５*_15・基礎２),0)*_15・２人),0)*(1+_15・区４)),0)</f>
        <v>680</v>
      </c>
      <c r="AF26" s="69"/>
    </row>
    <row r="27" spans="1:32" ht="16.5" customHeight="1" x14ac:dyDescent="0.3">
      <c r="A27" s="2">
        <v>15</v>
      </c>
      <c r="B27" s="2" t="s">
        <v>685</v>
      </c>
      <c r="C27" s="60" t="s">
        <v>11517</v>
      </c>
      <c r="D27" s="1"/>
      <c r="E27" s="68"/>
      <c r="F27" s="70"/>
      <c r="G27" s="1"/>
      <c r="H27" s="68"/>
      <c r="I27" s="70"/>
      <c r="J27" s="1"/>
      <c r="K27" s="68"/>
      <c r="L27" s="70"/>
      <c r="M27" s="74"/>
      <c r="N27" s="62"/>
      <c r="O27" s="63"/>
      <c r="P27" s="83"/>
      <c r="Q27" s="64"/>
      <c r="R27" s="65"/>
      <c r="S27" s="99"/>
      <c r="T27" s="70"/>
      <c r="U27" s="99"/>
      <c r="V27" s="70"/>
      <c r="W27" s="74" t="s">
        <v>17969</v>
      </c>
      <c r="X27" s="62"/>
      <c r="Y27" s="63"/>
      <c r="Z27" s="75"/>
      <c r="AA27" s="1"/>
      <c r="AB27" s="68" t="s">
        <v>1</v>
      </c>
      <c r="AC27" s="76">
        <v>0.4</v>
      </c>
      <c r="AD27" s="70" t="s">
        <v>422</v>
      </c>
      <c r="AE27" s="228">
        <f>ROUND((ROUND((ROUND((_15_同援日０．５*(1+_15・A深夜)),0)*(1+_15・盲ろう)),0)*(1+_15・区４)),0)+ROUND((ROUND((ROUND((_15_同援日０．５＿０．５*(1+_15・B早朝)),0)*(1+_15・盲ろう)),0)*(1+_15・区４)),0)+ROUND((ROUND((_15_同援日０．５＿０．５＿０．５*(1+_15・盲ろう)),0)*(1+_15・区４)),0)</f>
        <v>945</v>
      </c>
      <c r="AF27" s="69"/>
    </row>
    <row r="28" spans="1:32" ht="16.5" customHeight="1" x14ac:dyDescent="0.3">
      <c r="A28" s="2">
        <v>15</v>
      </c>
      <c r="B28" s="2" t="s">
        <v>686</v>
      </c>
      <c r="C28" s="60" t="s">
        <v>11516</v>
      </c>
      <c r="D28" s="1"/>
      <c r="E28" s="68"/>
      <c r="F28" s="70"/>
      <c r="G28" s="1"/>
      <c r="H28" s="68"/>
      <c r="I28" s="70"/>
      <c r="J28" s="1"/>
      <c r="K28" s="68"/>
      <c r="L28" s="70"/>
      <c r="M28" s="106"/>
      <c r="N28" s="57"/>
      <c r="O28" s="58"/>
      <c r="P28" s="83" t="s">
        <v>5895</v>
      </c>
      <c r="Q28" s="64" t="s">
        <v>1</v>
      </c>
      <c r="R28" s="65">
        <v>1</v>
      </c>
      <c r="S28" s="99"/>
      <c r="T28" s="70"/>
      <c r="U28" s="99"/>
      <c r="V28" s="70"/>
      <c r="W28" s="94" t="s">
        <v>17968</v>
      </c>
      <c r="X28" s="68"/>
      <c r="Y28" s="76"/>
      <c r="Z28" s="70"/>
      <c r="AA28" s="1"/>
      <c r="AB28" s="68"/>
      <c r="AC28" s="76"/>
      <c r="AD28" s="70"/>
      <c r="AE28" s="228">
        <f>ROUND((ROUND((ROUND((ROUND((_15_同援日０．５*_15・２人),0)*(1+_15・A深夜)),0)*(1+_15・盲ろう)),0)*(1+_15・区４)),0)+ROUND((ROUND((ROUND((ROUND((_15_同援日０．５＿０．５*_15・２人),0)*(1+_15・B早朝)),0)*(1+_15・盲ろう)),0)*(1+_15・区４)),0)+ROUND((ROUND((ROUND((_15_同援日０．５＿０．５＿０．５*_15・２人),0)*(1+_15・盲ろう)),0)*(1+_15・区４)),0)</f>
        <v>945</v>
      </c>
      <c r="AF28" s="69"/>
    </row>
    <row r="29" spans="1:32" ht="16.5" customHeight="1" x14ac:dyDescent="0.3">
      <c r="A29" s="2">
        <v>15</v>
      </c>
      <c r="B29" s="2" t="s">
        <v>687</v>
      </c>
      <c r="C29" s="60" t="s">
        <v>11515</v>
      </c>
      <c r="D29" s="1"/>
      <c r="E29" s="68"/>
      <c r="F29" s="70"/>
      <c r="G29" s="1"/>
      <c r="H29" s="68"/>
      <c r="I29" s="70"/>
      <c r="J29" s="1"/>
      <c r="K29" s="68"/>
      <c r="L29" s="70"/>
      <c r="M29" s="74" t="s">
        <v>16823</v>
      </c>
      <c r="N29" s="62"/>
      <c r="O29" s="63"/>
      <c r="P29" s="83"/>
      <c r="Q29" s="64"/>
      <c r="R29" s="65"/>
      <c r="S29" s="99"/>
      <c r="T29" s="70"/>
      <c r="U29" s="99"/>
      <c r="V29" s="70"/>
      <c r="W29" s="94"/>
      <c r="X29" s="68" t="s">
        <v>1</v>
      </c>
      <c r="Y29" s="76">
        <v>0.25</v>
      </c>
      <c r="Z29" s="70" t="s">
        <v>422</v>
      </c>
      <c r="AA29" s="1"/>
      <c r="AB29" s="68"/>
      <c r="AC29" s="76"/>
      <c r="AD29" s="70"/>
      <c r="AE29" s="228">
        <f>ROUND((ROUND((ROUND((ROUND((_15_同援日０．５*_15・基礎２),0)*(1+_15・A深夜)),0)*(1+_15・盲ろう)),0)*(1+_15・区４)),0)+ROUND((ROUND((ROUND((ROUND((_15_同援日０．５＿０．５*_15・基礎２),0)*(1+_15・B早朝)),0)*(1+_15・盲ろう)),0)*(1+_15・区４)),0)+ROUND((ROUND((ROUND((_15_同援日０．５＿０．５＿０．５*_15・基礎２),0)*(1+_15・盲ろう)),0)*(1+_15・区４)),0)</f>
        <v>849</v>
      </c>
      <c r="AF29" s="69"/>
    </row>
    <row r="30" spans="1:32" ht="16.5" customHeight="1" x14ac:dyDescent="0.3">
      <c r="A30" s="2">
        <v>15</v>
      </c>
      <c r="B30" s="2" t="s">
        <v>688</v>
      </c>
      <c r="C30" s="60" t="s">
        <v>11514</v>
      </c>
      <c r="D30" s="1"/>
      <c r="E30" s="68"/>
      <c r="F30" s="70"/>
      <c r="G30" s="1"/>
      <c r="H30" s="68"/>
      <c r="I30" s="70"/>
      <c r="J30" s="81"/>
      <c r="K30" s="57"/>
      <c r="L30" s="77"/>
      <c r="M30" s="106" t="s">
        <v>16812</v>
      </c>
      <c r="N30" s="57" t="s">
        <v>1</v>
      </c>
      <c r="O30" s="58">
        <v>0.9</v>
      </c>
      <c r="P30" s="83" t="s">
        <v>5895</v>
      </c>
      <c r="Q30" s="64" t="s">
        <v>1</v>
      </c>
      <c r="R30" s="65">
        <v>1</v>
      </c>
      <c r="S30" s="99"/>
      <c r="T30" s="70"/>
      <c r="U30" s="99"/>
      <c r="V30" s="70"/>
      <c r="W30" s="106"/>
      <c r="X30" s="57"/>
      <c r="Y30" s="58"/>
      <c r="Z30" s="77"/>
      <c r="AA30" s="106"/>
      <c r="AB30" s="57"/>
      <c r="AC30" s="58"/>
      <c r="AD30" s="77"/>
      <c r="AE30" s="228">
        <f>ROUND((ROUND((ROUND((ROUND((ROUND((_15_同援日０．５*_15・基礎２),0)*_15・２人),0)*(1+_15・A深夜)),0)*(1+_15・盲ろう)),0)*(1+_15・区４)),0)+ROUND((ROUND((ROUND((ROUND((ROUND((_15_同援日０．５＿０．５*_15・基礎２),0)*_15・２人),0)*(1+_15・B早朝)),0)*(1+_15・盲ろう)),0)*(1+_15・区４)),0)+ROUND((ROUND((ROUND((ROUND((_15_同援日０．５＿０．５＿０．５*_15・基礎２),0)*_15・２人),0)*(1+_15・盲ろう)),0)*(1+_15・区４)),0)</f>
        <v>849</v>
      </c>
      <c r="AF30" s="69"/>
    </row>
    <row r="31" spans="1:32" ht="16.5" customHeight="1" x14ac:dyDescent="0.3">
      <c r="A31" s="2">
        <v>15</v>
      </c>
      <c r="B31" s="2" t="s">
        <v>689</v>
      </c>
      <c r="C31" s="60" t="s">
        <v>11513</v>
      </c>
      <c r="D31" s="1"/>
      <c r="E31" s="68"/>
      <c r="F31" s="70"/>
      <c r="G31" s="1"/>
      <c r="H31" s="68"/>
      <c r="I31" s="70"/>
      <c r="J31" s="74" t="s">
        <v>17363</v>
      </c>
      <c r="K31" s="62"/>
      <c r="L31" s="75"/>
      <c r="M31" s="74"/>
      <c r="N31" s="62"/>
      <c r="O31" s="63"/>
      <c r="P31" s="83"/>
      <c r="Q31" s="64"/>
      <c r="R31" s="65"/>
      <c r="S31" s="99"/>
      <c r="T31" s="70"/>
      <c r="U31" s="99"/>
      <c r="V31" s="70"/>
      <c r="W31" s="74"/>
      <c r="X31" s="62"/>
      <c r="Y31" s="63"/>
      <c r="Z31" s="75"/>
      <c r="AA31" s="78"/>
      <c r="AB31" s="62"/>
      <c r="AC31" s="63"/>
      <c r="AD31" s="75"/>
      <c r="AE31" s="228">
        <f>ROUND((_15_同援日０．５*(1+_15・A深夜)),0)+ROUND((_15_同援日０．５＿０．５*(1+_15・B早朝)),0)+_15_同援日０．５＿０．５＿１．０</f>
        <v>604</v>
      </c>
      <c r="AF31" s="69"/>
    </row>
    <row r="32" spans="1:32" ht="16.5" customHeight="1" x14ac:dyDescent="0.3">
      <c r="A32" s="2">
        <v>15</v>
      </c>
      <c r="B32" s="2" t="s">
        <v>690</v>
      </c>
      <c r="C32" s="60" t="s">
        <v>11512</v>
      </c>
      <c r="D32" s="1"/>
      <c r="E32" s="68"/>
      <c r="F32" s="70"/>
      <c r="G32" s="1"/>
      <c r="H32" s="68"/>
      <c r="I32" s="70"/>
      <c r="J32" s="1" t="s">
        <v>16874</v>
      </c>
      <c r="K32" s="68"/>
      <c r="L32" s="70"/>
      <c r="M32" s="106"/>
      <c r="N32" s="57"/>
      <c r="O32" s="58"/>
      <c r="P32" s="83" t="s">
        <v>5895</v>
      </c>
      <c r="Q32" s="64" t="s">
        <v>1</v>
      </c>
      <c r="R32" s="65">
        <v>1</v>
      </c>
      <c r="S32" s="99"/>
      <c r="T32" s="70"/>
      <c r="U32" s="99"/>
      <c r="V32" s="70"/>
      <c r="W32" s="94"/>
      <c r="X32" s="68"/>
      <c r="Y32" s="76"/>
      <c r="Z32" s="70"/>
      <c r="AA32" s="1"/>
      <c r="AB32" s="68"/>
      <c r="AC32" s="76"/>
      <c r="AD32" s="70"/>
      <c r="AE32" s="228">
        <f>ROUND((ROUND((_15_同援日０．５*_15・２人),0)*(1+_15・A深夜)),0)+ROUND((ROUND((_15_同援日０．５＿０．５*_15・２人),0)*(1+_15・B早朝)),0)+ROUND((_15_同援日０．５＿０．５＿１．０*_15・２人),0)</f>
        <v>604</v>
      </c>
      <c r="AF32" s="69"/>
    </row>
    <row r="33" spans="1:32" ht="16.5" customHeight="1" x14ac:dyDescent="0.3">
      <c r="A33" s="2">
        <v>15</v>
      </c>
      <c r="B33" s="2" t="s">
        <v>691</v>
      </c>
      <c r="C33" s="60" t="s">
        <v>11511</v>
      </c>
      <c r="D33" s="1"/>
      <c r="E33" s="68"/>
      <c r="F33" s="70"/>
      <c r="G33" s="1"/>
      <c r="H33" s="68"/>
      <c r="I33" s="70"/>
      <c r="J33" s="1" t="s">
        <v>8572</v>
      </c>
      <c r="K33" s="68"/>
      <c r="L33" s="70"/>
      <c r="M33" s="74" t="s">
        <v>16823</v>
      </c>
      <c r="N33" s="62"/>
      <c r="O33" s="63"/>
      <c r="P33" s="83"/>
      <c r="Q33" s="64"/>
      <c r="R33" s="65"/>
      <c r="S33" s="99"/>
      <c r="T33" s="70"/>
      <c r="U33" s="99"/>
      <c r="V33" s="70"/>
      <c r="W33" s="94"/>
      <c r="X33" s="68"/>
      <c r="Y33" s="76"/>
      <c r="Z33" s="70"/>
      <c r="AA33" s="1"/>
      <c r="AB33" s="68"/>
      <c r="AC33" s="76"/>
      <c r="AD33" s="70"/>
      <c r="AE33" s="228">
        <f>ROUND((ROUND((_15_同援日０．５*_15・基礎２),0)*(1+_15・A深夜)),0)+ROUND((ROUND((_15_同援日０．５＿０．５*_15・基礎２),0)*(1+_15・B早朝)),0)+ROUND((_15_同援日０．５＿０．５＿１．０*_15・基礎２),0)</f>
        <v>544</v>
      </c>
      <c r="AF33" s="69"/>
    </row>
    <row r="34" spans="1:32" ht="16.5" customHeight="1" x14ac:dyDescent="0.3">
      <c r="A34" s="2">
        <v>15</v>
      </c>
      <c r="B34" s="2" t="s">
        <v>692</v>
      </c>
      <c r="C34" s="60" t="s">
        <v>11510</v>
      </c>
      <c r="D34" s="1"/>
      <c r="E34" s="68"/>
      <c r="F34" s="70"/>
      <c r="G34" s="1"/>
      <c r="H34" s="68"/>
      <c r="I34" s="70"/>
      <c r="J34" s="1"/>
      <c r="K34" s="227">
        <v>193</v>
      </c>
      <c r="L34" s="70" t="s">
        <v>0</v>
      </c>
      <c r="M34" s="106" t="s">
        <v>16812</v>
      </c>
      <c r="N34" s="57" t="s">
        <v>1</v>
      </c>
      <c r="O34" s="58">
        <v>0.9</v>
      </c>
      <c r="P34" s="83" t="s">
        <v>5895</v>
      </c>
      <c r="Q34" s="64" t="s">
        <v>1</v>
      </c>
      <c r="R34" s="65">
        <v>1</v>
      </c>
      <c r="S34" s="99"/>
      <c r="T34" s="70"/>
      <c r="U34" s="99"/>
      <c r="V34" s="70"/>
      <c r="W34" s="106"/>
      <c r="X34" s="57"/>
      <c r="Y34" s="58"/>
      <c r="Z34" s="77"/>
      <c r="AA34" s="1"/>
      <c r="AB34" s="68"/>
      <c r="AC34" s="76"/>
      <c r="AD34" s="70"/>
      <c r="AE34" s="228">
        <f>ROUND((ROUND((ROUND((_15_同援日０．５*_15・基礎２),0)*_15・２人),0)*(1+_15・A深夜)),0)+ROUND((ROUND((ROUND((_15_同援日０．５＿０．５*_15・基礎２),0)*_15・２人),0)*(1+_15・B早朝)),0)+ROUND((ROUND((_15_同援日０．５＿０．５＿１．０*_15・基礎２),0)*_15・２人),0)</f>
        <v>544</v>
      </c>
      <c r="AF34" s="69"/>
    </row>
    <row r="35" spans="1:32" ht="16.5" customHeight="1" x14ac:dyDescent="0.3">
      <c r="A35" s="2">
        <v>15</v>
      </c>
      <c r="B35" s="2" t="s">
        <v>693</v>
      </c>
      <c r="C35" s="60" t="s">
        <v>11509</v>
      </c>
      <c r="D35" s="1"/>
      <c r="E35" s="68"/>
      <c r="F35" s="70"/>
      <c r="G35" s="1"/>
      <c r="H35" s="68"/>
      <c r="I35" s="70"/>
      <c r="J35" s="1"/>
      <c r="K35" s="68"/>
      <c r="L35" s="70"/>
      <c r="M35" s="74"/>
      <c r="N35" s="62"/>
      <c r="O35" s="63"/>
      <c r="P35" s="83"/>
      <c r="Q35" s="64"/>
      <c r="R35" s="65"/>
      <c r="S35" s="99"/>
      <c r="T35" s="70"/>
      <c r="U35" s="99"/>
      <c r="V35" s="70"/>
      <c r="W35" s="74" t="s">
        <v>17969</v>
      </c>
      <c r="X35" s="62"/>
      <c r="Y35" s="63"/>
      <c r="Z35" s="75"/>
      <c r="AA35" s="1"/>
      <c r="AB35" s="68"/>
      <c r="AC35" s="76"/>
      <c r="AD35" s="70"/>
      <c r="AE35" s="228">
        <f>ROUND((ROUND((_15_同援日０．５*(1+_15・A深夜)),0)*(1+_15・盲ろう)),0)+ROUND((ROUND((_15_同援日０．５＿０．５*(1+_15・B早朝)),0)*(1+_15・盲ろう)),0)+ROUND((_15_同援日０．５＿０．５＿１．０*(1+_15・盲ろう)),0)</f>
        <v>755</v>
      </c>
      <c r="AF35" s="69"/>
    </row>
    <row r="36" spans="1:32" ht="16.5" customHeight="1" x14ac:dyDescent="0.3">
      <c r="A36" s="2">
        <v>15</v>
      </c>
      <c r="B36" s="2" t="s">
        <v>694</v>
      </c>
      <c r="C36" s="60" t="s">
        <v>11508</v>
      </c>
      <c r="D36" s="1"/>
      <c r="E36" s="68"/>
      <c r="F36" s="70"/>
      <c r="G36" s="1"/>
      <c r="H36" s="68"/>
      <c r="I36" s="70"/>
      <c r="J36" s="1"/>
      <c r="K36" s="68"/>
      <c r="L36" s="70"/>
      <c r="M36" s="106"/>
      <c r="N36" s="57"/>
      <c r="O36" s="58"/>
      <c r="P36" s="83" t="s">
        <v>5895</v>
      </c>
      <c r="Q36" s="64" t="s">
        <v>1</v>
      </c>
      <c r="R36" s="65">
        <v>1</v>
      </c>
      <c r="S36" s="99"/>
      <c r="T36" s="70"/>
      <c r="U36" s="99"/>
      <c r="V36" s="70"/>
      <c r="W36" s="94" t="s">
        <v>17968</v>
      </c>
      <c r="X36" s="68"/>
      <c r="Y36" s="76"/>
      <c r="Z36" s="70"/>
      <c r="AA36" s="1"/>
      <c r="AB36" s="68"/>
      <c r="AC36" s="76"/>
      <c r="AD36" s="70"/>
      <c r="AE36" s="228">
        <f>ROUND((ROUND((ROUND((_15_同援日０．５*_15・２人),0)*(1+_15・A深夜)),0)*(1+_15・盲ろう)),0)+ROUND((ROUND((ROUND((_15_同援日０．５＿０．５*_15・２人),0)*(1+_15・B早朝)),0)*(1+_15・盲ろう)),0)+ROUND((ROUND((_15_同援日０．５＿０．５＿１．０*_15・２人),0)*(1+_15・盲ろう)),0)</f>
        <v>755</v>
      </c>
      <c r="AF36" s="69"/>
    </row>
    <row r="37" spans="1:32" ht="16.5" customHeight="1" x14ac:dyDescent="0.3">
      <c r="A37" s="2">
        <v>15</v>
      </c>
      <c r="B37" s="2" t="s">
        <v>695</v>
      </c>
      <c r="C37" s="60" t="s">
        <v>11507</v>
      </c>
      <c r="D37" s="1"/>
      <c r="E37" s="68"/>
      <c r="F37" s="70"/>
      <c r="G37" s="1"/>
      <c r="H37" s="68"/>
      <c r="I37" s="70"/>
      <c r="J37" s="1"/>
      <c r="K37" s="68"/>
      <c r="L37" s="70"/>
      <c r="M37" s="74" t="s">
        <v>16823</v>
      </c>
      <c r="N37" s="62"/>
      <c r="O37" s="63"/>
      <c r="P37" s="83"/>
      <c r="Q37" s="64"/>
      <c r="R37" s="65"/>
      <c r="S37" s="99"/>
      <c r="T37" s="70"/>
      <c r="U37" s="99"/>
      <c r="V37" s="70"/>
      <c r="W37" s="94"/>
      <c r="X37" s="68" t="s">
        <v>1</v>
      </c>
      <c r="Y37" s="76">
        <v>0.25</v>
      </c>
      <c r="Z37" s="70" t="s">
        <v>422</v>
      </c>
      <c r="AA37" s="1"/>
      <c r="AB37" s="68"/>
      <c r="AC37" s="76"/>
      <c r="AD37" s="70"/>
      <c r="AE37" s="228">
        <f>ROUND((ROUND((ROUND((_15_同援日０．５*_15・基礎２),0)*(1+_15・A深夜)),0)*(1+_15・盲ろう)),0)+ROUND((ROUND((ROUND((_15_同援日０．５＿０．５*_15・基礎２),0)*(1+_15・B早朝)),0)*(1+_15・盲ろう)),0)+ROUND((ROUND((_15_同援日０．５＿０．５＿１．０*_15・基礎２),0)*(1+_15・盲ろう)),0)</f>
        <v>680</v>
      </c>
      <c r="AF37" s="69"/>
    </row>
    <row r="38" spans="1:32" ht="16.5" customHeight="1" x14ac:dyDescent="0.3">
      <c r="A38" s="2">
        <v>15</v>
      </c>
      <c r="B38" s="2" t="s">
        <v>696</v>
      </c>
      <c r="C38" s="60" t="s">
        <v>11506</v>
      </c>
      <c r="D38" s="1"/>
      <c r="E38" s="68"/>
      <c r="F38" s="70"/>
      <c r="G38" s="1"/>
      <c r="H38" s="68"/>
      <c r="I38" s="70"/>
      <c r="J38" s="1"/>
      <c r="K38" s="68"/>
      <c r="L38" s="70"/>
      <c r="M38" s="106" t="s">
        <v>16812</v>
      </c>
      <c r="N38" s="57" t="s">
        <v>1</v>
      </c>
      <c r="O38" s="58">
        <v>0.9</v>
      </c>
      <c r="P38" s="83" t="s">
        <v>5895</v>
      </c>
      <c r="Q38" s="64" t="s">
        <v>1</v>
      </c>
      <c r="R38" s="65">
        <v>1</v>
      </c>
      <c r="S38" s="99"/>
      <c r="T38" s="70"/>
      <c r="U38" s="99"/>
      <c r="V38" s="70"/>
      <c r="W38" s="106"/>
      <c r="X38" s="57"/>
      <c r="Y38" s="58"/>
      <c r="Z38" s="77"/>
      <c r="AA38" s="106"/>
      <c r="AB38" s="57"/>
      <c r="AC38" s="58"/>
      <c r="AD38" s="77"/>
      <c r="AE38" s="228">
        <f>ROUND((ROUND((ROUND((ROUND((_15_同援日０．５*_15・基礎２),0)*_15・２人),0)*(1+_15・A深夜)),0)*(1+_15・盲ろう)),0)+ROUND((ROUND((ROUND((ROUND((_15_同援日０．５＿０．５*_15・基礎２),0)*_15・２人),0)*(1+_15・B早朝)),0)*(1+_15・盲ろう)),0)+ROUND((ROUND((ROUND((_15_同援日０．５＿０．５＿１．０*_15・基礎２),0)*_15・２人),0)*(1+_15・盲ろう)),0)</f>
        <v>680</v>
      </c>
      <c r="AF38" s="69"/>
    </row>
    <row r="39" spans="1:32" ht="16.5" customHeight="1" x14ac:dyDescent="0.3">
      <c r="A39" s="2">
        <v>15</v>
      </c>
      <c r="B39" s="2" t="s">
        <v>697</v>
      </c>
      <c r="C39" s="60" t="s">
        <v>11505</v>
      </c>
      <c r="D39" s="1"/>
      <c r="E39" s="68"/>
      <c r="F39" s="70"/>
      <c r="G39" s="1"/>
      <c r="H39" s="68"/>
      <c r="I39" s="70"/>
      <c r="J39" s="1"/>
      <c r="K39" s="68"/>
      <c r="L39" s="70"/>
      <c r="M39" s="74"/>
      <c r="N39" s="62"/>
      <c r="O39" s="63"/>
      <c r="P39" s="83"/>
      <c r="Q39" s="64"/>
      <c r="R39" s="65"/>
      <c r="S39" s="99"/>
      <c r="T39" s="70"/>
      <c r="U39" s="99"/>
      <c r="V39" s="70"/>
      <c r="W39" s="74"/>
      <c r="X39" s="62"/>
      <c r="Y39" s="63"/>
      <c r="Z39" s="75"/>
      <c r="AA39" s="78"/>
      <c r="AB39" s="62"/>
      <c r="AC39" s="63"/>
      <c r="AD39" s="75"/>
      <c r="AE39" s="228">
        <f>ROUND((ROUND((_15_同援日０．５*(1+_15・A深夜)),0)*(1+_15・区３)),0)+ROUND((ROUND((_15_同援日０．５＿０．５*(1+_15・B早朝)),0)*(1+_15・区３)),0)+ROUND((_15_同援日０．５＿０．５＿１．０*(1+_15・区３)),0)</f>
        <v>725</v>
      </c>
      <c r="AF39" s="69"/>
    </row>
    <row r="40" spans="1:32" ht="16.5" customHeight="1" x14ac:dyDescent="0.3">
      <c r="A40" s="2">
        <v>15</v>
      </c>
      <c r="B40" s="2" t="s">
        <v>698</v>
      </c>
      <c r="C40" s="60" t="s">
        <v>11504</v>
      </c>
      <c r="D40" s="1"/>
      <c r="E40" s="68"/>
      <c r="F40" s="70"/>
      <c r="G40" s="1"/>
      <c r="H40" s="68"/>
      <c r="I40" s="70"/>
      <c r="J40" s="1"/>
      <c r="K40" s="68"/>
      <c r="L40" s="70"/>
      <c r="M40" s="106"/>
      <c r="N40" s="57"/>
      <c r="O40" s="58"/>
      <c r="P40" s="83" t="s">
        <v>5895</v>
      </c>
      <c r="Q40" s="64" t="s">
        <v>1</v>
      </c>
      <c r="R40" s="65">
        <v>1</v>
      </c>
      <c r="S40" s="99"/>
      <c r="T40" s="70"/>
      <c r="U40" s="99"/>
      <c r="V40" s="70"/>
      <c r="W40" s="94"/>
      <c r="X40" s="68"/>
      <c r="Y40" s="76"/>
      <c r="Z40" s="70"/>
      <c r="AA40" s="1"/>
      <c r="AB40" s="68"/>
      <c r="AC40" s="76"/>
      <c r="AD40" s="70"/>
      <c r="AE40" s="228">
        <f>ROUND((ROUND((ROUND((_15_同援日０．５*_15・２人),0)*(1+_15・A深夜)),0)*(1+_15・区３)),0)+ROUND((ROUND((ROUND((_15_同援日０．５＿０．５*_15・２人),0)*(1+_15・B早朝)),0)*(1+_15・区３)),0)+ROUND((ROUND((_15_同援日０．５＿０．５＿１．０*_15・２人),0)*(1+_15・区３)),0)</f>
        <v>725</v>
      </c>
      <c r="AF40" s="69"/>
    </row>
    <row r="41" spans="1:32" ht="16.5" customHeight="1" x14ac:dyDescent="0.3">
      <c r="A41" s="2">
        <v>15</v>
      </c>
      <c r="B41" s="2" t="s">
        <v>699</v>
      </c>
      <c r="C41" s="60" t="s">
        <v>11503</v>
      </c>
      <c r="D41" s="1"/>
      <c r="E41" s="68"/>
      <c r="F41" s="70"/>
      <c r="G41" s="1"/>
      <c r="H41" s="68"/>
      <c r="I41" s="70"/>
      <c r="J41" s="1"/>
      <c r="K41" s="68"/>
      <c r="L41" s="70"/>
      <c r="M41" s="74" t="s">
        <v>16823</v>
      </c>
      <c r="N41" s="62"/>
      <c r="O41" s="63"/>
      <c r="P41" s="83"/>
      <c r="Q41" s="64"/>
      <c r="R41" s="65"/>
      <c r="S41" s="99"/>
      <c r="T41" s="70"/>
      <c r="U41" s="99"/>
      <c r="V41" s="70"/>
      <c r="W41" s="94"/>
      <c r="X41" s="68"/>
      <c r="Y41" s="76"/>
      <c r="Z41" s="70"/>
      <c r="AA41" s="1" t="s">
        <v>17974</v>
      </c>
      <c r="AB41" s="68"/>
      <c r="AC41" s="76"/>
      <c r="AD41" s="70"/>
      <c r="AE41" s="228">
        <f>ROUND((ROUND((ROUND((_15_同援日０．５*_15・基礎２),0)*(1+_15・A深夜)),0)*(1+_15・区３)),0)+ROUND((ROUND((ROUND((_15_同援日０．５＿０．５*_15・基礎２),0)*(1+_15・B早朝)),0)*(1+_15・区３)),0)+ROUND((ROUND((_15_同援日０．５＿０．５＿１．０*_15・基礎２),0)*(1+_15・区３)),0)</f>
        <v>653</v>
      </c>
      <c r="AF41" s="69"/>
    </row>
    <row r="42" spans="1:32" ht="16.5" customHeight="1" x14ac:dyDescent="0.3">
      <c r="A42" s="2">
        <v>15</v>
      </c>
      <c r="B42" s="2" t="s">
        <v>700</v>
      </c>
      <c r="C42" s="60" t="s">
        <v>11502</v>
      </c>
      <c r="D42" s="1"/>
      <c r="E42" s="68"/>
      <c r="F42" s="70"/>
      <c r="G42" s="1"/>
      <c r="H42" s="68"/>
      <c r="I42" s="70"/>
      <c r="J42" s="1"/>
      <c r="K42" s="68"/>
      <c r="L42" s="70"/>
      <c r="M42" s="106" t="s">
        <v>16812</v>
      </c>
      <c r="N42" s="57" t="s">
        <v>1</v>
      </c>
      <c r="O42" s="58">
        <v>0.9</v>
      </c>
      <c r="P42" s="83" t="s">
        <v>5895</v>
      </c>
      <c r="Q42" s="64" t="s">
        <v>1</v>
      </c>
      <c r="R42" s="65">
        <v>1</v>
      </c>
      <c r="S42" s="99"/>
      <c r="T42" s="70"/>
      <c r="U42" s="99"/>
      <c r="V42" s="70"/>
      <c r="W42" s="106"/>
      <c r="X42" s="57"/>
      <c r="Y42" s="58"/>
      <c r="Z42" s="77"/>
      <c r="AA42" s="1" t="s">
        <v>17970</v>
      </c>
      <c r="AB42" s="68"/>
      <c r="AC42" s="76"/>
      <c r="AD42" s="70"/>
      <c r="AE42" s="228">
        <f>ROUND((ROUND((ROUND((ROUND((_15_同援日０．５*_15・基礎２),0)*_15・２人),0)*(1+_15・A深夜)),0)*(1+_15・区３)),0)+ROUND((ROUND((ROUND((ROUND((_15_同援日０．５＿０．５*_15・基礎２),0)*_15・２人),0)*(1+_15・B早朝)),0)*(1+_15・区３)),0)+ROUND((ROUND((ROUND((_15_同援日０．５＿０．５＿１．０*_15・基礎２),0)*_15・２人),0)*(1+_15・区３)),0)</f>
        <v>653</v>
      </c>
      <c r="AF42" s="69"/>
    </row>
    <row r="43" spans="1:32" ht="16.5" customHeight="1" x14ac:dyDescent="0.3">
      <c r="A43" s="2">
        <v>15</v>
      </c>
      <c r="B43" s="2" t="s">
        <v>701</v>
      </c>
      <c r="C43" s="60" t="s">
        <v>11501</v>
      </c>
      <c r="D43" s="1"/>
      <c r="E43" s="68"/>
      <c r="F43" s="70"/>
      <c r="G43" s="1"/>
      <c r="H43" s="68"/>
      <c r="I43" s="70"/>
      <c r="J43" s="1"/>
      <c r="K43" s="68"/>
      <c r="L43" s="70"/>
      <c r="M43" s="74"/>
      <c r="N43" s="62"/>
      <c r="O43" s="63"/>
      <c r="P43" s="83"/>
      <c r="Q43" s="64"/>
      <c r="R43" s="65"/>
      <c r="S43" s="99"/>
      <c r="T43" s="70"/>
      <c r="U43" s="99"/>
      <c r="V43" s="70"/>
      <c r="W43" s="74" t="s">
        <v>17969</v>
      </c>
      <c r="X43" s="62"/>
      <c r="Y43" s="63"/>
      <c r="Z43" s="75"/>
      <c r="AA43" s="1"/>
      <c r="AB43" s="68" t="s">
        <v>1</v>
      </c>
      <c r="AC43" s="76">
        <v>0.2</v>
      </c>
      <c r="AD43" s="70" t="s">
        <v>422</v>
      </c>
      <c r="AE43" s="228">
        <f>ROUND((ROUND((ROUND((_15_同援日０．５*(1+_15・A深夜)),0)*(1+_15・盲ろう)),0)*(1+_15・区３)),0)+ROUND((ROUND((ROUND((_15_同援日０．５＿０．５*(1+_15・B早朝)),0)*(1+_15・盲ろう)),0)*(1+_15・区３)),0)+ROUND((ROUND((_15_同援日０．５＿０．５＿１．０*(1+_15・盲ろう)),0)*(1+_15・区３)),0)</f>
        <v>906</v>
      </c>
      <c r="AF43" s="69"/>
    </row>
    <row r="44" spans="1:32" ht="16.5" customHeight="1" x14ac:dyDescent="0.3">
      <c r="A44" s="2">
        <v>15</v>
      </c>
      <c r="B44" s="2" t="s">
        <v>702</v>
      </c>
      <c r="C44" s="60" t="s">
        <v>11500</v>
      </c>
      <c r="D44" s="1"/>
      <c r="E44" s="68"/>
      <c r="F44" s="70"/>
      <c r="G44" s="1"/>
      <c r="H44" s="68"/>
      <c r="I44" s="70"/>
      <c r="J44" s="1"/>
      <c r="K44" s="68"/>
      <c r="L44" s="70"/>
      <c r="M44" s="106"/>
      <c r="N44" s="57"/>
      <c r="O44" s="58"/>
      <c r="P44" s="83" t="s">
        <v>5895</v>
      </c>
      <c r="Q44" s="64" t="s">
        <v>1</v>
      </c>
      <c r="R44" s="65">
        <v>1</v>
      </c>
      <c r="S44" s="99"/>
      <c r="T44" s="70"/>
      <c r="U44" s="99"/>
      <c r="V44" s="70"/>
      <c r="W44" s="94" t="s">
        <v>17968</v>
      </c>
      <c r="X44" s="68"/>
      <c r="Y44" s="76"/>
      <c r="Z44" s="70"/>
      <c r="AA44" s="1"/>
      <c r="AB44" s="68"/>
      <c r="AC44" s="76"/>
      <c r="AD44" s="70"/>
      <c r="AE44" s="228">
        <f>ROUND((ROUND((ROUND((ROUND((_15_同援日０．５*_15・２人),0)*(1+_15・A深夜)),0)*(1+_15・盲ろう)),0)*(1+_15・区３)),0)+ROUND((ROUND((ROUND((ROUND((_15_同援日０．５＿０．５*_15・２人),0)*(1+_15・B早朝)),0)*(1+_15・盲ろう)),0)*(1+_15・区３)),0)+ROUND((ROUND((ROUND((_15_同援日０．５＿０．５＿１．０*_15・２人),0)*(1+_15・盲ろう)),0)*(1+_15・区３)),0)</f>
        <v>906</v>
      </c>
      <c r="AF44" s="69"/>
    </row>
    <row r="45" spans="1:32" ht="16.5" customHeight="1" x14ac:dyDescent="0.3">
      <c r="A45" s="2">
        <v>15</v>
      </c>
      <c r="B45" s="2" t="s">
        <v>703</v>
      </c>
      <c r="C45" s="60" t="s">
        <v>11499</v>
      </c>
      <c r="D45" s="1"/>
      <c r="E45" s="68"/>
      <c r="F45" s="70"/>
      <c r="G45" s="1"/>
      <c r="H45" s="68"/>
      <c r="I45" s="70"/>
      <c r="J45" s="1"/>
      <c r="K45" s="68"/>
      <c r="L45" s="70"/>
      <c r="M45" s="74" t="s">
        <v>16823</v>
      </c>
      <c r="N45" s="62"/>
      <c r="O45" s="63"/>
      <c r="P45" s="83"/>
      <c r="Q45" s="64"/>
      <c r="R45" s="65"/>
      <c r="S45" s="99"/>
      <c r="T45" s="70"/>
      <c r="U45" s="99"/>
      <c r="V45" s="70"/>
      <c r="W45" s="94"/>
      <c r="X45" s="68" t="s">
        <v>1</v>
      </c>
      <c r="Y45" s="76">
        <v>0.25</v>
      </c>
      <c r="Z45" s="70" t="s">
        <v>422</v>
      </c>
      <c r="AA45" s="1"/>
      <c r="AB45" s="68"/>
      <c r="AC45" s="76"/>
      <c r="AD45" s="70"/>
      <c r="AE45" s="228">
        <f>ROUND((ROUND((ROUND((ROUND((_15_同援日０．５*_15・基礎２),0)*(1+_15・A深夜)),0)*(1+_15・盲ろう)),0)*(1+_15・区３)),0)+ROUND((ROUND((ROUND((ROUND((_15_同援日０．５＿０．５*_15・基礎２),0)*(1+_15・B早朝)),0)*(1+_15・盲ろう)),0)*(1+_15・区３)),0)+ROUND((ROUND((ROUND((_15_同援日０．５＿０．５＿１．０*_15・基礎２),0)*(1+_15・盲ろう)),0)*(1+_15・区３)),0)</f>
        <v>816</v>
      </c>
      <c r="AF45" s="69"/>
    </row>
    <row r="46" spans="1:32" ht="16.5" customHeight="1" x14ac:dyDescent="0.3">
      <c r="A46" s="2">
        <v>15</v>
      </c>
      <c r="B46" s="2" t="s">
        <v>704</v>
      </c>
      <c r="C46" s="60" t="s">
        <v>11498</v>
      </c>
      <c r="D46" s="1"/>
      <c r="E46" s="68"/>
      <c r="F46" s="70"/>
      <c r="G46" s="1"/>
      <c r="H46" s="68"/>
      <c r="I46" s="70"/>
      <c r="J46" s="1"/>
      <c r="K46" s="68"/>
      <c r="L46" s="70"/>
      <c r="M46" s="106" t="s">
        <v>16812</v>
      </c>
      <c r="N46" s="57" t="s">
        <v>1</v>
      </c>
      <c r="O46" s="58">
        <v>0.9</v>
      </c>
      <c r="P46" s="83" t="s">
        <v>5895</v>
      </c>
      <c r="Q46" s="64" t="s">
        <v>1</v>
      </c>
      <c r="R46" s="65">
        <v>1</v>
      </c>
      <c r="S46" s="99"/>
      <c r="T46" s="70"/>
      <c r="U46" s="99"/>
      <c r="V46" s="70"/>
      <c r="W46" s="106"/>
      <c r="X46" s="57"/>
      <c r="Y46" s="58"/>
      <c r="Z46" s="77"/>
      <c r="AA46" s="106"/>
      <c r="AB46" s="57"/>
      <c r="AC46" s="58"/>
      <c r="AD46" s="77"/>
      <c r="AE46" s="228">
        <f>ROUND((ROUND((ROUND((ROUND((ROUND((_15_同援日０．５*_15・基礎２),0)*_15・２人),0)*(1+_15・A深夜)),0)*(1+_15・盲ろう)),0)*(1+_15・区３)),0)+ROUND((ROUND((ROUND((ROUND((ROUND((_15_同援日０．５＿０．５*_15・基礎２),0)*_15・２人),0)*(1+_15・B早朝)),0)*(1+_15・盲ろう)),0)*(1+_15・区３)),0)+ROUND((ROUND((ROUND((ROUND((_15_同援日０．５＿０．５＿１．０*_15・基礎２),0)*_15・２人),0)*(1+_15・盲ろう)),0)*(1+_15・区３)),0)</f>
        <v>816</v>
      </c>
      <c r="AF46" s="69"/>
    </row>
    <row r="47" spans="1:32" ht="16.5" customHeight="1" x14ac:dyDescent="0.3">
      <c r="A47" s="2">
        <v>15</v>
      </c>
      <c r="B47" s="2" t="s">
        <v>705</v>
      </c>
      <c r="C47" s="60" t="s">
        <v>11497</v>
      </c>
      <c r="D47" s="1"/>
      <c r="E47" s="68"/>
      <c r="F47" s="70"/>
      <c r="G47" s="1"/>
      <c r="H47" s="68"/>
      <c r="I47" s="70"/>
      <c r="J47" s="1"/>
      <c r="K47" s="68"/>
      <c r="L47" s="70"/>
      <c r="M47" s="74"/>
      <c r="N47" s="62"/>
      <c r="O47" s="63"/>
      <c r="P47" s="83"/>
      <c r="Q47" s="64"/>
      <c r="R47" s="65"/>
      <c r="S47" s="99"/>
      <c r="T47" s="70"/>
      <c r="U47" s="99"/>
      <c r="V47" s="70"/>
      <c r="W47" s="74"/>
      <c r="X47" s="62"/>
      <c r="Y47" s="63"/>
      <c r="Z47" s="75"/>
      <c r="AA47" s="78"/>
      <c r="AB47" s="62"/>
      <c r="AC47" s="63"/>
      <c r="AD47" s="75"/>
      <c r="AE47" s="228">
        <f>ROUND((ROUND((_15_同援日０．５*(1+_15・A深夜)),0)*(1+_15・区４)),0)+ROUND((ROUND((_15_同援日０．５＿０．５*(1+_15・B早朝)),0)*(1+_15・区４)),0)+ROUND((_15_同援日０．５＿０．５＿１．０*(1+_15・区４)),0)</f>
        <v>845</v>
      </c>
      <c r="AF47" s="69"/>
    </row>
    <row r="48" spans="1:32" ht="16.5" customHeight="1" x14ac:dyDescent="0.3">
      <c r="A48" s="2">
        <v>15</v>
      </c>
      <c r="B48" s="2" t="s">
        <v>706</v>
      </c>
      <c r="C48" s="60" t="s">
        <v>11496</v>
      </c>
      <c r="D48" s="1"/>
      <c r="E48" s="68"/>
      <c r="F48" s="70"/>
      <c r="G48" s="1"/>
      <c r="H48" s="68"/>
      <c r="I48" s="70"/>
      <c r="J48" s="1"/>
      <c r="K48" s="68"/>
      <c r="L48" s="70"/>
      <c r="M48" s="106"/>
      <c r="N48" s="57"/>
      <c r="O48" s="58"/>
      <c r="P48" s="83" t="s">
        <v>5895</v>
      </c>
      <c r="Q48" s="64" t="s">
        <v>1</v>
      </c>
      <c r="R48" s="65">
        <v>1</v>
      </c>
      <c r="S48" s="99"/>
      <c r="T48" s="70"/>
      <c r="U48" s="99"/>
      <c r="V48" s="70"/>
      <c r="W48" s="94"/>
      <c r="X48" s="68"/>
      <c r="Y48" s="76"/>
      <c r="Z48" s="70"/>
      <c r="AA48" s="1"/>
      <c r="AB48" s="68"/>
      <c r="AC48" s="76"/>
      <c r="AD48" s="70"/>
      <c r="AE48" s="228">
        <f>ROUND((ROUND((ROUND((_15_同援日０．５*_15・２人),0)*(1+_15・A深夜)),0)*(1+_15・区４)),0)+ROUND((ROUND((ROUND((_15_同援日０．５＿０．５*_15・２人),0)*(1+_15・B早朝)),0)*(1+_15・区４)),0)+ROUND((ROUND((_15_同援日０．５＿０．５＿１．０*_15・２人),0)*(1+_15・区４)),0)</f>
        <v>845</v>
      </c>
      <c r="AF48" s="69"/>
    </row>
    <row r="49" spans="1:32" ht="16.5" customHeight="1" x14ac:dyDescent="0.3">
      <c r="A49" s="2">
        <v>15</v>
      </c>
      <c r="B49" s="2" t="s">
        <v>707</v>
      </c>
      <c r="C49" s="60" t="s">
        <v>11495</v>
      </c>
      <c r="D49" s="1"/>
      <c r="E49" s="68"/>
      <c r="F49" s="70"/>
      <c r="G49" s="1"/>
      <c r="H49" s="68"/>
      <c r="I49" s="70"/>
      <c r="J49" s="1"/>
      <c r="K49" s="68"/>
      <c r="L49" s="70"/>
      <c r="M49" s="74" t="s">
        <v>16823</v>
      </c>
      <c r="N49" s="62"/>
      <c r="O49" s="63"/>
      <c r="P49" s="83"/>
      <c r="Q49" s="64"/>
      <c r="R49" s="65"/>
      <c r="S49" s="99"/>
      <c r="T49" s="70"/>
      <c r="U49" s="99"/>
      <c r="V49" s="70"/>
      <c r="W49" s="94"/>
      <c r="X49" s="68"/>
      <c r="Y49" s="76"/>
      <c r="Z49" s="70"/>
      <c r="AA49" s="1" t="s">
        <v>17971</v>
      </c>
      <c r="AB49" s="68"/>
      <c r="AC49" s="76"/>
      <c r="AD49" s="70"/>
      <c r="AE49" s="228">
        <f>ROUND((ROUND((ROUND((_15_同援日０．５*_15・基礎２),0)*(1+_15・A深夜)),0)*(1+_15・区４)),0)+ROUND((ROUND((ROUND((_15_同援日０．５＿０．５*_15・基礎２),0)*(1+_15・B早朝)),0)*(1+_15・区４)),0)+ROUND((ROUND((_15_同援日０．５＿０．５＿１．０*_15・基礎２),0)*(1+_15・区４)),0)</f>
        <v>762</v>
      </c>
      <c r="AF49" s="69"/>
    </row>
    <row r="50" spans="1:32" ht="16.5" customHeight="1" x14ac:dyDescent="0.3">
      <c r="A50" s="2">
        <v>15</v>
      </c>
      <c r="B50" s="2" t="s">
        <v>708</v>
      </c>
      <c r="C50" s="60" t="s">
        <v>11494</v>
      </c>
      <c r="D50" s="1"/>
      <c r="E50" s="68"/>
      <c r="F50" s="70"/>
      <c r="G50" s="1"/>
      <c r="H50" s="68"/>
      <c r="I50" s="70"/>
      <c r="J50" s="1"/>
      <c r="K50" s="68"/>
      <c r="L50" s="70"/>
      <c r="M50" s="106" t="s">
        <v>16812</v>
      </c>
      <c r="N50" s="57" t="s">
        <v>1</v>
      </c>
      <c r="O50" s="58">
        <v>0.9</v>
      </c>
      <c r="P50" s="83" t="s">
        <v>5895</v>
      </c>
      <c r="Q50" s="64" t="s">
        <v>1</v>
      </c>
      <c r="R50" s="65">
        <v>1</v>
      </c>
      <c r="S50" s="99"/>
      <c r="T50" s="70"/>
      <c r="U50" s="99"/>
      <c r="V50" s="70"/>
      <c r="W50" s="106"/>
      <c r="X50" s="57"/>
      <c r="Y50" s="58"/>
      <c r="Z50" s="77"/>
      <c r="AA50" s="1" t="s">
        <v>17970</v>
      </c>
      <c r="AB50" s="68"/>
      <c r="AC50" s="76"/>
      <c r="AD50" s="70"/>
      <c r="AE50" s="228">
        <f>ROUND((ROUND((ROUND((ROUND((_15_同援日０．５*_15・基礎２),0)*_15・２人),0)*(1+_15・A深夜)),0)*(1+_15・区４)),0)+ROUND((ROUND((ROUND((ROUND((_15_同援日０．５＿０．５*_15・基礎２),0)*_15・２人),0)*(1+_15・B早朝)),0)*(1+_15・区４)),0)+ROUND((ROUND((ROUND((_15_同援日０．５＿０．５＿１．０*_15・基礎２),0)*_15・２人),0)*(1+_15・区４)),0)</f>
        <v>762</v>
      </c>
      <c r="AF50" s="69"/>
    </row>
    <row r="51" spans="1:32" ht="16.5" customHeight="1" x14ac:dyDescent="0.3">
      <c r="A51" s="2">
        <v>15</v>
      </c>
      <c r="B51" s="2" t="s">
        <v>709</v>
      </c>
      <c r="C51" s="60" t="s">
        <v>11493</v>
      </c>
      <c r="D51" s="1"/>
      <c r="E51" s="68"/>
      <c r="F51" s="70"/>
      <c r="G51" s="1"/>
      <c r="H51" s="68"/>
      <c r="I51" s="70"/>
      <c r="J51" s="1"/>
      <c r="K51" s="68"/>
      <c r="L51" s="70"/>
      <c r="M51" s="74"/>
      <c r="N51" s="62"/>
      <c r="O51" s="63"/>
      <c r="P51" s="83"/>
      <c r="Q51" s="64"/>
      <c r="R51" s="65"/>
      <c r="S51" s="99"/>
      <c r="T51" s="70"/>
      <c r="U51" s="99"/>
      <c r="V51" s="70"/>
      <c r="W51" s="74" t="s">
        <v>17969</v>
      </c>
      <c r="X51" s="62"/>
      <c r="Y51" s="63"/>
      <c r="Z51" s="75"/>
      <c r="AA51" s="1"/>
      <c r="AB51" s="68" t="s">
        <v>1</v>
      </c>
      <c r="AC51" s="76">
        <v>0.4</v>
      </c>
      <c r="AD51" s="70" t="s">
        <v>422</v>
      </c>
      <c r="AE51" s="228">
        <f>ROUND((ROUND((ROUND((_15_同援日０．５*(1+_15・A深夜)),0)*(1+_15・盲ろう)),0)*(1+_15・区４)),0)+ROUND((ROUND((ROUND((_15_同援日０．５＿０．５*(1+_15・B早朝)),0)*(1+_15・盲ろう)),0)*(1+_15・区４)),0)+ROUND((ROUND((_15_同援日０．５＿０．５＿１．０*(1+_15・盲ろう)),0)*(1+_15・区４)),0)</f>
        <v>1057</v>
      </c>
      <c r="AF51" s="69"/>
    </row>
    <row r="52" spans="1:32" ht="16.5" customHeight="1" x14ac:dyDescent="0.3">
      <c r="A52" s="2">
        <v>15</v>
      </c>
      <c r="B52" s="2" t="s">
        <v>710</v>
      </c>
      <c r="C52" s="60" t="s">
        <v>11492</v>
      </c>
      <c r="D52" s="1"/>
      <c r="E52" s="68"/>
      <c r="F52" s="70"/>
      <c r="G52" s="1"/>
      <c r="H52" s="68"/>
      <c r="I52" s="70"/>
      <c r="J52" s="1"/>
      <c r="K52" s="68"/>
      <c r="L52" s="70"/>
      <c r="M52" s="106"/>
      <c r="N52" s="57"/>
      <c r="O52" s="58"/>
      <c r="P52" s="83" t="s">
        <v>5895</v>
      </c>
      <c r="Q52" s="64" t="s">
        <v>1</v>
      </c>
      <c r="R52" s="65">
        <v>1</v>
      </c>
      <c r="S52" s="99"/>
      <c r="T52" s="70"/>
      <c r="U52" s="99"/>
      <c r="V52" s="70"/>
      <c r="W52" s="94" t="s">
        <v>17968</v>
      </c>
      <c r="X52" s="68"/>
      <c r="Y52" s="76"/>
      <c r="Z52" s="70"/>
      <c r="AA52" s="1"/>
      <c r="AB52" s="68"/>
      <c r="AC52" s="76"/>
      <c r="AD52" s="70"/>
      <c r="AE52" s="228">
        <f>ROUND((ROUND((ROUND((ROUND((_15_同援日０．５*_15・２人),0)*(1+_15・A深夜)),0)*(1+_15・盲ろう)),0)*(1+_15・区４)),0)+ROUND((ROUND((ROUND((ROUND((_15_同援日０．５＿０．５*_15・２人),0)*(1+_15・B早朝)),0)*(1+_15・盲ろう)),0)*(1+_15・区４)),0)+ROUND((ROUND((ROUND((_15_同援日０．５＿０．５＿１．０*_15・２人),0)*(1+_15・盲ろう)),0)*(1+_15・区４)),0)</f>
        <v>1057</v>
      </c>
      <c r="AF52" s="69"/>
    </row>
    <row r="53" spans="1:32" ht="16.5" customHeight="1" x14ac:dyDescent="0.3">
      <c r="A53" s="2">
        <v>15</v>
      </c>
      <c r="B53" s="2" t="s">
        <v>711</v>
      </c>
      <c r="C53" s="60" t="s">
        <v>11491</v>
      </c>
      <c r="D53" s="1"/>
      <c r="E53" s="68"/>
      <c r="F53" s="70"/>
      <c r="G53" s="1"/>
      <c r="H53" s="68"/>
      <c r="I53" s="70"/>
      <c r="J53" s="1"/>
      <c r="K53" s="68"/>
      <c r="L53" s="70"/>
      <c r="M53" s="74" t="s">
        <v>16823</v>
      </c>
      <c r="N53" s="62"/>
      <c r="O53" s="63"/>
      <c r="P53" s="83"/>
      <c r="Q53" s="64"/>
      <c r="R53" s="65"/>
      <c r="S53" s="99"/>
      <c r="T53" s="70"/>
      <c r="U53" s="99"/>
      <c r="V53" s="70"/>
      <c r="W53" s="94"/>
      <c r="X53" s="68" t="s">
        <v>1</v>
      </c>
      <c r="Y53" s="76">
        <v>0.25</v>
      </c>
      <c r="Z53" s="70" t="s">
        <v>422</v>
      </c>
      <c r="AA53" s="1"/>
      <c r="AB53" s="68"/>
      <c r="AC53" s="76"/>
      <c r="AD53" s="70"/>
      <c r="AE53" s="228">
        <f>ROUND((ROUND((ROUND((ROUND((_15_同援日０．５*_15・基礎２),0)*(1+_15・A深夜)),0)*(1+_15・盲ろう)),0)*(1+_15・区４)),0)+ROUND((ROUND((ROUND((ROUND((_15_同援日０．５＿０．５*_15・基礎２),0)*(1+_15・B早朝)),0)*(1+_15・盲ろう)),0)*(1+_15・区４)),0)+ROUND((ROUND((ROUND((_15_同援日０．５＿０．５＿１．０*_15・基礎２),0)*(1+_15・盲ろう)),0)*(1+_15・区４)),0)</f>
        <v>951</v>
      </c>
      <c r="AF53" s="69"/>
    </row>
    <row r="54" spans="1:32" ht="16.5" customHeight="1" x14ac:dyDescent="0.3">
      <c r="A54" s="2">
        <v>15</v>
      </c>
      <c r="B54" s="2" t="s">
        <v>712</v>
      </c>
      <c r="C54" s="60" t="s">
        <v>11490</v>
      </c>
      <c r="D54" s="1"/>
      <c r="E54" s="68"/>
      <c r="F54" s="70"/>
      <c r="G54" s="1"/>
      <c r="H54" s="68"/>
      <c r="I54" s="70"/>
      <c r="J54" s="81"/>
      <c r="K54" s="57"/>
      <c r="L54" s="77"/>
      <c r="M54" s="106" t="s">
        <v>16812</v>
      </c>
      <c r="N54" s="57" t="s">
        <v>1</v>
      </c>
      <c r="O54" s="58">
        <v>0.9</v>
      </c>
      <c r="P54" s="83" t="s">
        <v>5895</v>
      </c>
      <c r="Q54" s="64" t="s">
        <v>1</v>
      </c>
      <c r="R54" s="65">
        <v>1</v>
      </c>
      <c r="S54" s="99"/>
      <c r="T54" s="70"/>
      <c r="U54" s="99"/>
      <c r="V54" s="70"/>
      <c r="W54" s="106"/>
      <c r="X54" s="57"/>
      <c r="Y54" s="58"/>
      <c r="Z54" s="77"/>
      <c r="AA54" s="106"/>
      <c r="AB54" s="57"/>
      <c r="AC54" s="58"/>
      <c r="AD54" s="77"/>
      <c r="AE54" s="228">
        <f>ROUND((ROUND((ROUND((ROUND((ROUND((_15_同援日０．５*_15・基礎２),0)*_15・２人),0)*(1+_15・A深夜)),0)*(1+_15・盲ろう)),0)*(1+_15・区４)),0)+ROUND((ROUND((ROUND((ROUND((ROUND((_15_同援日０．５＿０．５*_15・基礎２),0)*_15・２人),0)*(1+_15・B早朝)),0)*(1+_15・盲ろう)),0)*(1+_15・区４)),0)+ROUND((ROUND((ROUND((ROUND((_15_同援日０．５＿０．５＿１．０*_15・基礎２),0)*_15・２人),0)*(1+_15・盲ろう)),0)*(1+_15・区４)),0)</f>
        <v>951</v>
      </c>
      <c r="AF54" s="69"/>
    </row>
    <row r="55" spans="1:32" ht="16.5" customHeight="1" x14ac:dyDescent="0.3">
      <c r="A55" s="2">
        <v>15</v>
      </c>
      <c r="B55" s="2" t="s">
        <v>713</v>
      </c>
      <c r="C55" s="60" t="s">
        <v>11489</v>
      </c>
      <c r="D55" s="1"/>
      <c r="E55" s="68"/>
      <c r="F55" s="70"/>
      <c r="G55" s="1"/>
      <c r="H55" s="68"/>
      <c r="I55" s="70"/>
      <c r="J55" s="74" t="s">
        <v>18123</v>
      </c>
      <c r="K55" s="62"/>
      <c r="L55" s="75"/>
      <c r="M55" s="74"/>
      <c r="N55" s="62"/>
      <c r="O55" s="63"/>
      <c r="P55" s="83"/>
      <c r="Q55" s="64"/>
      <c r="R55" s="65"/>
      <c r="S55" s="99"/>
      <c r="T55" s="70"/>
      <c r="U55" s="99"/>
      <c r="V55" s="70"/>
      <c r="W55" s="74"/>
      <c r="X55" s="62"/>
      <c r="Y55" s="63"/>
      <c r="Z55" s="75"/>
      <c r="AA55" s="78"/>
      <c r="AB55" s="62"/>
      <c r="AC55" s="63"/>
      <c r="AD55" s="75"/>
      <c r="AE55" s="228">
        <f>ROUND((_15_同援日０．５*(1+_15・A深夜)),0)+ROUND((_15_同援日０．５＿０．５*(1+_15・B早朝)),0)+_15_同援日０．５＿０．５＿１．５</f>
        <v>667</v>
      </c>
      <c r="AF55" s="69"/>
    </row>
    <row r="56" spans="1:32" ht="16.5" customHeight="1" x14ac:dyDescent="0.3">
      <c r="A56" s="2">
        <v>15</v>
      </c>
      <c r="B56" s="2" t="s">
        <v>714</v>
      </c>
      <c r="C56" s="60" t="s">
        <v>11488</v>
      </c>
      <c r="D56" s="1"/>
      <c r="E56" s="68"/>
      <c r="F56" s="70"/>
      <c r="G56" s="1"/>
      <c r="H56" s="68"/>
      <c r="I56" s="70"/>
      <c r="J56" s="1" t="s">
        <v>16871</v>
      </c>
      <c r="K56" s="68"/>
      <c r="L56" s="70"/>
      <c r="M56" s="106"/>
      <c r="N56" s="57"/>
      <c r="O56" s="58"/>
      <c r="P56" s="83" t="s">
        <v>5895</v>
      </c>
      <c r="Q56" s="64" t="s">
        <v>1</v>
      </c>
      <c r="R56" s="65">
        <v>1</v>
      </c>
      <c r="S56" s="99"/>
      <c r="T56" s="70"/>
      <c r="U56" s="99"/>
      <c r="V56" s="70"/>
      <c r="W56" s="94"/>
      <c r="X56" s="68"/>
      <c r="Y56" s="76"/>
      <c r="Z56" s="70"/>
      <c r="AA56" s="1"/>
      <c r="AB56" s="68"/>
      <c r="AC56" s="76"/>
      <c r="AD56" s="70"/>
      <c r="AE56" s="228">
        <f>ROUND((ROUND((_15_同援日０．５*_15・２人),0)*(1+_15・A深夜)),0)+ROUND((ROUND((_15_同援日０．５＿０．５*_15・２人),0)*(1+_15・B早朝)),0)+ROUND((_15_同援日０．５＿０．５＿１．５*_15・２人),0)</f>
        <v>667</v>
      </c>
      <c r="AF56" s="69"/>
    </row>
    <row r="57" spans="1:32" ht="16.5" customHeight="1" x14ac:dyDescent="0.3">
      <c r="A57" s="2">
        <v>15</v>
      </c>
      <c r="B57" s="2" t="s">
        <v>715</v>
      </c>
      <c r="C57" s="60" t="s">
        <v>11487</v>
      </c>
      <c r="D57" s="1"/>
      <c r="E57" s="68"/>
      <c r="F57" s="70"/>
      <c r="G57" s="1"/>
      <c r="H57" s="68"/>
      <c r="I57" s="70"/>
      <c r="J57" s="1" t="s">
        <v>16870</v>
      </c>
      <c r="K57" s="68"/>
      <c r="L57" s="70"/>
      <c r="M57" s="74" t="s">
        <v>16823</v>
      </c>
      <c r="N57" s="62"/>
      <c r="O57" s="63"/>
      <c r="P57" s="83"/>
      <c r="Q57" s="64"/>
      <c r="R57" s="65"/>
      <c r="S57" s="99"/>
      <c r="T57" s="70"/>
      <c r="U57" s="99"/>
      <c r="V57" s="70"/>
      <c r="W57" s="94"/>
      <c r="X57" s="68"/>
      <c r="Y57" s="76"/>
      <c r="Z57" s="70"/>
      <c r="AA57" s="1"/>
      <c r="AB57" s="68"/>
      <c r="AC57" s="76"/>
      <c r="AD57" s="70"/>
      <c r="AE57" s="228">
        <f>ROUND((ROUND((_15_同援日０．５*_15・基礎２),0)*(1+_15・A深夜)),0)+ROUND((ROUND((_15_同援日０．５＿０．５*_15・基礎２),0)*(1+_15・B早朝)),0)+ROUND((_15_同援日０．５＿０．５＿１．５*_15・基礎２),0)</f>
        <v>600</v>
      </c>
      <c r="AF57" s="69"/>
    </row>
    <row r="58" spans="1:32" ht="16.5" customHeight="1" x14ac:dyDescent="0.3">
      <c r="A58" s="2">
        <v>15</v>
      </c>
      <c r="B58" s="2" t="s">
        <v>716</v>
      </c>
      <c r="C58" s="60" t="s">
        <v>11486</v>
      </c>
      <c r="D58" s="1"/>
      <c r="E58" s="68"/>
      <c r="F58" s="70"/>
      <c r="G58" s="1"/>
      <c r="H58" s="68"/>
      <c r="I58" s="70"/>
      <c r="J58" s="1"/>
      <c r="K58" s="119">
        <v>256</v>
      </c>
      <c r="L58" s="70" t="s">
        <v>0</v>
      </c>
      <c r="M58" s="106" t="s">
        <v>16812</v>
      </c>
      <c r="N58" s="57" t="s">
        <v>1</v>
      </c>
      <c r="O58" s="58">
        <v>0.9</v>
      </c>
      <c r="P58" s="83" t="s">
        <v>5895</v>
      </c>
      <c r="Q58" s="64" t="s">
        <v>1</v>
      </c>
      <c r="R58" s="65">
        <v>1</v>
      </c>
      <c r="S58" s="99"/>
      <c r="T58" s="70"/>
      <c r="U58" s="99"/>
      <c r="V58" s="70"/>
      <c r="W58" s="106"/>
      <c r="X58" s="57"/>
      <c r="Y58" s="58"/>
      <c r="Z58" s="77"/>
      <c r="AA58" s="1"/>
      <c r="AB58" s="68"/>
      <c r="AC58" s="76"/>
      <c r="AD58" s="70"/>
      <c r="AE58" s="228">
        <f>ROUND((ROUND((ROUND((_15_同援日０．５*_15・基礎２),0)*_15・２人),0)*(1+_15・A深夜)),0)+ROUND((ROUND((ROUND((_15_同援日０．５＿０．５*_15・基礎２),0)*_15・２人),0)*(1+_15・B早朝)),0)+ROUND((ROUND((_15_同援日０．５＿０．５＿１．５*_15・基礎２),0)*_15・２人),0)</f>
        <v>600</v>
      </c>
      <c r="AF58" s="69"/>
    </row>
    <row r="59" spans="1:32" ht="16.5" customHeight="1" x14ac:dyDescent="0.3">
      <c r="A59" s="2">
        <v>15</v>
      </c>
      <c r="B59" s="2" t="s">
        <v>717</v>
      </c>
      <c r="C59" s="60" t="s">
        <v>11485</v>
      </c>
      <c r="D59" s="1"/>
      <c r="E59" s="68"/>
      <c r="F59" s="70"/>
      <c r="G59" s="1"/>
      <c r="H59" s="68"/>
      <c r="I59" s="70"/>
      <c r="J59" s="1"/>
      <c r="K59" s="68"/>
      <c r="L59" s="70"/>
      <c r="M59" s="74"/>
      <c r="N59" s="62"/>
      <c r="O59" s="63"/>
      <c r="P59" s="83"/>
      <c r="Q59" s="64"/>
      <c r="R59" s="65"/>
      <c r="S59" s="99"/>
      <c r="T59" s="70"/>
      <c r="U59" s="99"/>
      <c r="V59" s="70"/>
      <c r="W59" s="74" t="s">
        <v>17969</v>
      </c>
      <c r="X59" s="62"/>
      <c r="Y59" s="63"/>
      <c r="Z59" s="75"/>
      <c r="AA59" s="1"/>
      <c r="AB59" s="68"/>
      <c r="AC59" s="76"/>
      <c r="AD59" s="70"/>
      <c r="AE59" s="228">
        <f>ROUND((ROUND((_15_同援日０．５*(1+_15・A深夜)),0)*(1+_15・盲ろう)),0)+ROUND((ROUND((_15_同援日０．５＿０．５*(1+_15・B早朝)),0)*(1+_15・盲ろう)),0)+ROUND((_15_同援日０．５＿０．５＿１．５*(1+_15・盲ろう)),0)</f>
        <v>834</v>
      </c>
      <c r="AF59" s="69"/>
    </row>
    <row r="60" spans="1:32" ht="16.5" customHeight="1" x14ac:dyDescent="0.3">
      <c r="A60" s="2">
        <v>15</v>
      </c>
      <c r="B60" s="2" t="s">
        <v>718</v>
      </c>
      <c r="C60" s="60" t="s">
        <v>11484</v>
      </c>
      <c r="D60" s="1"/>
      <c r="E60" s="68"/>
      <c r="F60" s="70"/>
      <c r="G60" s="1"/>
      <c r="H60" s="68"/>
      <c r="I60" s="70"/>
      <c r="J60" s="1"/>
      <c r="K60" s="68"/>
      <c r="L60" s="70"/>
      <c r="M60" s="106"/>
      <c r="N60" s="57"/>
      <c r="O60" s="58"/>
      <c r="P60" s="83" t="s">
        <v>5895</v>
      </c>
      <c r="Q60" s="64" t="s">
        <v>1</v>
      </c>
      <c r="R60" s="65">
        <v>1</v>
      </c>
      <c r="S60" s="99"/>
      <c r="T60" s="70"/>
      <c r="U60" s="99"/>
      <c r="V60" s="70"/>
      <c r="W60" s="94" t="s">
        <v>17968</v>
      </c>
      <c r="X60" s="68"/>
      <c r="Y60" s="76"/>
      <c r="Z60" s="70"/>
      <c r="AA60" s="1"/>
      <c r="AB60" s="68"/>
      <c r="AC60" s="76"/>
      <c r="AD60" s="70"/>
      <c r="AE60" s="228">
        <f>ROUND((ROUND((ROUND((_15_同援日０．５*_15・２人),0)*(1+_15・A深夜)),0)*(1+_15・盲ろう)),0)+ROUND((ROUND((ROUND((_15_同援日０．５＿０．５*_15・２人),0)*(1+_15・B早朝)),0)*(1+_15・盲ろう)),0)+ROUND((ROUND((_15_同援日０．５＿０．５＿１．５*_15・２人),0)*(1+_15・盲ろう)),0)</f>
        <v>834</v>
      </c>
      <c r="AF60" s="69"/>
    </row>
    <row r="61" spans="1:32" ht="16.5" customHeight="1" x14ac:dyDescent="0.3">
      <c r="A61" s="2">
        <v>15</v>
      </c>
      <c r="B61" s="2" t="s">
        <v>719</v>
      </c>
      <c r="C61" s="60" t="s">
        <v>11483</v>
      </c>
      <c r="D61" s="1"/>
      <c r="E61" s="68"/>
      <c r="F61" s="70"/>
      <c r="G61" s="1"/>
      <c r="H61" s="68"/>
      <c r="I61" s="70"/>
      <c r="J61" s="1"/>
      <c r="K61" s="68"/>
      <c r="L61" s="70"/>
      <c r="M61" s="74" t="s">
        <v>16823</v>
      </c>
      <c r="N61" s="62"/>
      <c r="O61" s="63"/>
      <c r="P61" s="83"/>
      <c r="Q61" s="64"/>
      <c r="R61" s="65"/>
      <c r="S61" s="99"/>
      <c r="T61" s="70"/>
      <c r="U61" s="99"/>
      <c r="V61" s="70"/>
      <c r="W61" s="94"/>
      <c r="X61" s="68" t="s">
        <v>1</v>
      </c>
      <c r="Y61" s="76">
        <v>0.25</v>
      </c>
      <c r="Z61" s="70" t="s">
        <v>422</v>
      </c>
      <c r="AA61" s="1"/>
      <c r="AB61" s="68"/>
      <c r="AC61" s="76"/>
      <c r="AD61" s="70"/>
      <c r="AE61" s="228">
        <f>ROUND((ROUND((ROUND((_15_同援日０．５*_15・基礎２),0)*(1+_15・A深夜)),0)*(1+_15・盲ろう)),0)+ROUND((ROUND((ROUND((_15_同援日０．５＿０．５*_15・基礎２),0)*(1+_15・B早朝)),0)*(1+_15・盲ろう)),0)+ROUND((ROUND((_15_同援日０．５＿０．５＿１．５*_15・基礎２),0)*(1+_15・盲ろう)),0)</f>
        <v>750</v>
      </c>
      <c r="AF61" s="69"/>
    </row>
    <row r="62" spans="1:32" ht="16.5" customHeight="1" x14ac:dyDescent="0.3">
      <c r="A62" s="2">
        <v>15</v>
      </c>
      <c r="B62" s="2" t="s">
        <v>720</v>
      </c>
      <c r="C62" s="60" t="s">
        <v>11482</v>
      </c>
      <c r="D62" s="1"/>
      <c r="E62" s="68"/>
      <c r="F62" s="70"/>
      <c r="G62" s="1"/>
      <c r="H62" s="68"/>
      <c r="I62" s="70"/>
      <c r="J62" s="1"/>
      <c r="K62" s="68"/>
      <c r="L62" s="70"/>
      <c r="M62" s="106" t="s">
        <v>16812</v>
      </c>
      <c r="N62" s="57" t="s">
        <v>1</v>
      </c>
      <c r="O62" s="58">
        <v>0.9</v>
      </c>
      <c r="P62" s="83" t="s">
        <v>5895</v>
      </c>
      <c r="Q62" s="64" t="s">
        <v>1</v>
      </c>
      <c r="R62" s="65">
        <v>1</v>
      </c>
      <c r="S62" s="99"/>
      <c r="T62" s="70"/>
      <c r="U62" s="99"/>
      <c r="V62" s="70"/>
      <c r="W62" s="106"/>
      <c r="X62" s="57"/>
      <c r="Y62" s="58"/>
      <c r="Z62" s="77"/>
      <c r="AA62" s="106"/>
      <c r="AB62" s="57"/>
      <c r="AC62" s="58"/>
      <c r="AD62" s="77"/>
      <c r="AE62" s="228">
        <f>ROUND((ROUND((ROUND((ROUND((_15_同援日０．５*_15・基礎２),0)*_15・２人),0)*(1+_15・A深夜)),0)*(1+_15・盲ろう)),0)+ROUND((ROUND((ROUND((ROUND((_15_同援日０．５＿０．５*_15・基礎２),0)*_15・２人),0)*(1+_15・B早朝)),0)*(1+_15・盲ろう)),0)+ROUND((ROUND((ROUND((_15_同援日０．５＿０．５＿１．５*_15・基礎２),0)*_15・２人),0)*(1+_15・盲ろう)),0)</f>
        <v>750</v>
      </c>
      <c r="AF62" s="69"/>
    </row>
    <row r="63" spans="1:32" ht="16.5" customHeight="1" x14ac:dyDescent="0.3">
      <c r="A63" s="2">
        <v>15</v>
      </c>
      <c r="B63" s="2" t="s">
        <v>721</v>
      </c>
      <c r="C63" s="60" t="s">
        <v>11481</v>
      </c>
      <c r="D63" s="1"/>
      <c r="E63" s="68"/>
      <c r="F63" s="70"/>
      <c r="G63" s="1"/>
      <c r="H63" s="68"/>
      <c r="I63" s="70"/>
      <c r="J63" s="1"/>
      <c r="K63" s="68"/>
      <c r="L63" s="70"/>
      <c r="M63" s="74"/>
      <c r="N63" s="62"/>
      <c r="O63" s="63"/>
      <c r="P63" s="83"/>
      <c r="Q63" s="64"/>
      <c r="R63" s="65"/>
      <c r="S63" s="99"/>
      <c r="T63" s="70"/>
      <c r="U63" s="99"/>
      <c r="V63" s="70"/>
      <c r="W63" s="74"/>
      <c r="X63" s="62"/>
      <c r="Y63" s="63"/>
      <c r="Z63" s="75"/>
      <c r="AA63" s="78"/>
      <c r="AB63" s="62"/>
      <c r="AC63" s="63"/>
      <c r="AD63" s="75"/>
      <c r="AE63" s="228">
        <f>ROUND((ROUND((_15_同援日０．５*(1+_15・A深夜)),0)*(1+_15・区３)),0)+ROUND((ROUND((_15_同援日０．５＿０．５*(1+_15・B早朝)),0)*(1+_15・区３)),0)+ROUND((_15_同援日０．５＿０．５＿１．５*(1+_15・区３)),0)</f>
        <v>800</v>
      </c>
      <c r="AF63" s="69"/>
    </row>
    <row r="64" spans="1:32" ht="16.5" customHeight="1" x14ac:dyDescent="0.3">
      <c r="A64" s="2">
        <v>15</v>
      </c>
      <c r="B64" s="2" t="s">
        <v>722</v>
      </c>
      <c r="C64" s="60" t="s">
        <v>11480</v>
      </c>
      <c r="D64" s="1"/>
      <c r="E64" s="68"/>
      <c r="F64" s="70"/>
      <c r="G64" s="1"/>
      <c r="H64" s="68"/>
      <c r="I64" s="70"/>
      <c r="J64" s="1"/>
      <c r="K64" s="68"/>
      <c r="L64" s="70"/>
      <c r="M64" s="106"/>
      <c r="N64" s="57"/>
      <c r="O64" s="58"/>
      <c r="P64" s="83" t="s">
        <v>5895</v>
      </c>
      <c r="Q64" s="64" t="s">
        <v>1</v>
      </c>
      <c r="R64" s="65">
        <v>1</v>
      </c>
      <c r="S64" s="99"/>
      <c r="T64" s="70"/>
      <c r="U64" s="99"/>
      <c r="V64" s="70"/>
      <c r="W64" s="94"/>
      <c r="X64" s="68"/>
      <c r="Y64" s="76"/>
      <c r="Z64" s="70"/>
      <c r="AA64" s="1"/>
      <c r="AB64" s="68"/>
      <c r="AC64" s="76"/>
      <c r="AD64" s="70"/>
      <c r="AE64" s="228">
        <f>ROUND((ROUND((ROUND((_15_同援日０．５*_15・２人),0)*(1+_15・A深夜)),0)*(1+_15・区３)),0)+ROUND((ROUND((ROUND((_15_同援日０．５＿０．５*_15・２人),0)*(1+_15・B早朝)),0)*(1+_15・区３)),0)+ROUND((ROUND((_15_同援日０．５＿０．５＿１．５*_15・２人),0)*(1+_15・区３)),0)</f>
        <v>800</v>
      </c>
      <c r="AF64" s="69"/>
    </row>
    <row r="65" spans="1:32" ht="16.5" customHeight="1" x14ac:dyDescent="0.3">
      <c r="A65" s="2">
        <v>15</v>
      </c>
      <c r="B65" s="2" t="s">
        <v>723</v>
      </c>
      <c r="C65" s="60" t="s">
        <v>11479</v>
      </c>
      <c r="D65" s="1"/>
      <c r="E65" s="68"/>
      <c r="F65" s="70"/>
      <c r="G65" s="1"/>
      <c r="H65" s="68"/>
      <c r="I65" s="70"/>
      <c r="J65" s="1"/>
      <c r="K65" s="68"/>
      <c r="L65" s="70"/>
      <c r="M65" s="74" t="s">
        <v>16823</v>
      </c>
      <c r="N65" s="62"/>
      <c r="O65" s="63"/>
      <c r="P65" s="83"/>
      <c r="Q65" s="64"/>
      <c r="R65" s="65"/>
      <c r="S65" s="99"/>
      <c r="T65" s="70"/>
      <c r="U65" s="99"/>
      <c r="V65" s="70"/>
      <c r="W65" s="94"/>
      <c r="X65" s="68"/>
      <c r="Y65" s="76"/>
      <c r="Z65" s="70"/>
      <c r="AA65" s="1" t="s">
        <v>17974</v>
      </c>
      <c r="AB65" s="68"/>
      <c r="AC65" s="76"/>
      <c r="AD65" s="70"/>
      <c r="AE65" s="228">
        <f>ROUND((ROUND((ROUND((_15_同援日０．５*_15・基礎２),0)*(1+_15・A深夜)),0)*(1+_15・区３)),0)+ROUND((ROUND((ROUND((_15_同援日０．５＿０．５*_15・基礎２),0)*(1+_15・B早朝)),0)*(1+_15・区３)),0)+ROUND((ROUND((_15_同援日０．５＿０．５＿１．５*_15・基礎２),0)*(1+_15・区３)),0)</f>
        <v>720</v>
      </c>
      <c r="AF65" s="69"/>
    </row>
    <row r="66" spans="1:32" ht="16.5" customHeight="1" x14ac:dyDescent="0.3">
      <c r="A66" s="2">
        <v>15</v>
      </c>
      <c r="B66" s="2" t="s">
        <v>724</v>
      </c>
      <c r="C66" s="60" t="s">
        <v>11478</v>
      </c>
      <c r="D66" s="1"/>
      <c r="E66" s="68"/>
      <c r="F66" s="70"/>
      <c r="G66" s="1"/>
      <c r="H66" s="68"/>
      <c r="I66" s="70"/>
      <c r="J66" s="1"/>
      <c r="K66" s="68"/>
      <c r="L66" s="70"/>
      <c r="M66" s="106" t="s">
        <v>16812</v>
      </c>
      <c r="N66" s="57" t="s">
        <v>1</v>
      </c>
      <c r="O66" s="58">
        <v>0.9</v>
      </c>
      <c r="P66" s="83" t="s">
        <v>5895</v>
      </c>
      <c r="Q66" s="64" t="s">
        <v>1</v>
      </c>
      <c r="R66" s="65">
        <v>1</v>
      </c>
      <c r="S66" s="99"/>
      <c r="T66" s="70"/>
      <c r="U66" s="99"/>
      <c r="V66" s="70"/>
      <c r="W66" s="106"/>
      <c r="X66" s="57"/>
      <c r="Y66" s="58"/>
      <c r="Z66" s="77"/>
      <c r="AA66" s="1" t="s">
        <v>17970</v>
      </c>
      <c r="AB66" s="68"/>
      <c r="AC66" s="76"/>
      <c r="AD66" s="70"/>
      <c r="AE66" s="228">
        <f>ROUND((ROUND((ROUND((ROUND((_15_同援日０．５*_15・基礎２),0)*_15・２人),0)*(1+_15・A深夜)),0)*(1+_15・区３)),0)+ROUND((ROUND((ROUND((ROUND((_15_同援日０．５＿０．５*_15・基礎２),0)*_15・２人),0)*(1+_15・B早朝)),0)*(1+_15・区３)),0)+ROUND((ROUND((ROUND((_15_同援日０．５＿０．５＿１．５*_15・基礎２),0)*_15・２人),0)*(1+_15・区３)),0)</f>
        <v>720</v>
      </c>
      <c r="AF66" s="69"/>
    </row>
    <row r="67" spans="1:32" ht="16.5" customHeight="1" x14ac:dyDescent="0.3">
      <c r="A67" s="2">
        <v>15</v>
      </c>
      <c r="B67" s="2" t="s">
        <v>725</v>
      </c>
      <c r="C67" s="60" t="s">
        <v>11477</v>
      </c>
      <c r="D67" s="1"/>
      <c r="E67" s="68"/>
      <c r="F67" s="70"/>
      <c r="G67" s="1"/>
      <c r="H67" s="68"/>
      <c r="I67" s="70"/>
      <c r="J67" s="1"/>
      <c r="K67" s="68"/>
      <c r="L67" s="70"/>
      <c r="M67" s="74"/>
      <c r="N67" s="62"/>
      <c r="O67" s="63"/>
      <c r="P67" s="83"/>
      <c r="Q67" s="64"/>
      <c r="R67" s="65"/>
      <c r="S67" s="99"/>
      <c r="T67" s="70"/>
      <c r="U67" s="99"/>
      <c r="V67" s="70"/>
      <c r="W67" s="74" t="s">
        <v>17969</v>
      </c>
      <c r="X67" s="62"/>
      <c r="Y67" s="63"/>
      <c r="Z67" s="75"/>
      <c r="AA67" s="1"/>
      <c r="AB67" s="68" t="s">
        <v>1</v>
      </c>
      <c r="AC67" s="76">
        <v>0.2</v>
      </c>
      <c r="AD67" s="70" t="s">
        <v>422</v>
      </c>
      <c r="AE67" s="228">
        <f>ROUND((ROUND((ROUND((_15_同援日０．５*(1+_15・A深夜)),0)*(1+_15・盲ろう)),0)*(1+_15・区３)),0)+ROUND((ROUND((ROUND((_15_同援日０．５＿０．５*(1+_15・B早朝)),0)*(1+_15・盲ろう)),0)*(1+_15・区３)),0)+ROUND((ROUND((_15_同援日０．５＿０．５＿１．５*(1+_15・盲ろう)),0)*(1+_15・区３)),0)</f>
        <v>1001</v>
      </c>
      <c r="AF67" s="69"/>
    </row>
    <row r="68" spans="1:32" ht="16.5" customHeight="1" x14ac:dyDescent="0.3">
      <c r="A68" s="2">
        <v>15</v>
      </c>
      <c r="B68" s="2" t="s">
        <v>726</v>
      </c>
      <c r="C68" s="60" t="s">
        <v>11476</v>
      </c>
      <c r="D68" s="1"/>
      <c r="E68" s="68"/>
      <c r="F68" s="70"/>
      <c r="G68" s="1"/>
      <c r="H68" s="68"/>
      <c r="I68" s="70"/>
      <c r="J68" s="1"/>
      <c r="K68" s="68"/>
      <c r="L68" s="70"/>
      <c r="M68" s="106"/>
      <c r="N68" s="57"/>
      <c r="O68" s="58"/>
      <c r="P68" s="83" t="s">
        <v>5895</v>
      </c>
      <c r="Q68" s="64" t="s">
        <v>1</v>
      </c>
      <c r="R68" s="65">
        <v>1</v>
      </c>
      <c r="S68" s="99"/>
      <c r="T68" s="70"/>
      <c r="U68" s="99"/>
      <c r="V68" s="70"/>
      <c r="W68" s="94" t="s">
        <v>17968</v>
      </c>
      <c r="X68" s="68"/>
      <c r="Y68" s="76"/>
      <c r="Z68" s="70"/>
      <c r="AA68" s="1"/>
      <c r="AB68" s="68"/>
      <c r="AC68" s="76"/>
      <c r="AD68" s="70"/>
      <c r="AE68" s="228">
        <f>ROUND((ROUND((ROUND((ROUND((_15_同援日０．５*_15・２人),0)*(1+_15・A深夜)),0)*(1+_15・盲ろう)),0)*(1+_15・区３)),0)+ROUND((ROUND((ROUND((ROUND((_15_同援日０．５＿０．５*_15・２人),0)*(1+_15・B早朝)),0)*(1+_15・盲ろう)),0)*(1+_15・区３)),0)+ROUND((ROUND((ROUND((_15_同援日０．５＿０．５＿１．５*_15・２人),0)*(1+_15・盲ろう)),0)*(1+_15・区３)),0)</f>
        <v>1001</v>
      </c>
      <c r="AF68" s="69"/>
    </row>
    <row r="69" spans="1:32" ht="16.5" customHeight="1" x14ac:dyDescent="0.3">
      <c r="A69" s="2">
        <v>15</v>
      </c>
      <c r="B69" s="2" t="s">
        <v>727</v>
      </c>
      <c r="C69" s="60" t="s">
        <v>11475</v>
      </c>
      <c r="D69" s="1"/>
      <c r="E69" s="68"/>
      <c r="F69" s="70"/>
      <c r="G69" s="1"/>
      <c r="H69" s="68"/>
      <c r="I69" s="70"/>
      <c r="J69" s="1"/>
      <c r="K69" s="68"/>
      <c r="L69" s="70"/>
      <c r="M69" s="74" t="s">
        <v>16823</v>
      </c>
      <c r="N69" s="62"/>
      <c r="O69" s="63"/>
      <c r="P69" s="83"/>
      <c r="Q69" s="64"/>
      <c r="R69" s="65"/>
      <c r="S69" s="99"/>
      <c r="T69" s="70"/>
      <c r="U69" s="99"/>
      <c r="V69" s="70"/>
      <c r="W69" s="94"/>
      <c r="X69" s="68" t="s">
        <v>1</v>
      </c>
      <c r="Y69" s="76">
        <v>0.25</v>
      </c>
      <c r="Z69" s="70" t="s">
        <v>422</v>
      </c>
      <c r="AA69" s="1"/>
      <c r="AB69" s="68"/>
      <c r="AC69" s="76"/>
      <c r="AD69" s="70"/>
      <c r="AE69" s="228">
        <f>ROUND((ROUND((ROUND((ROUND((_15_同援日０．５*_15・基礎２),0)*(1+_15・A深夜)),0)*(1+_15・盲ろう)),0)*(1+_15・区３)),0)+ROUND((ROUND((ROUND((ROUND((_15_同援日０．５＿０．５*_15・基礎２),0)*(1+_15・B早朝)),0)*(1+_15・盲ろう)),0)*(1+_15・区３)),0)+ROUND((ROUND((ROUND((_15_同援日０．５＿０．５＿１．５*_15・基礎２),0)*(1+_15・盲ろう)),0)*(1+_15・区３)),0)</f>
        <v>900</v>
      </c>
      <c r="AF69" s="69"/>
    </row>
    <row r="70" spans="1:32" ht="16.5" customHeight="1" x14ac:dyDescent="0.3">
      <c r="A70" s="2">
        <v>15</v>
      </c>
      <c r="B70" s="2" t="s">
        <v>728</v>
      </c>
      <c r="C70" s="60" t="s">
        <v>11474</v>
      </c>
      <c r="D70" s="1"/>
      <c r="E70" s="68"/>
      <c r="F70" s="70"/>
      <c r="G70" s="1"/>
      <c r="H70" s="68"/>
      <c r="I70" s="70"/>
      <c r="J70" s="1"/>
      <c r="K70" s="68"/>
      <c r="L70" s="70"/>
      <c r="M70" s="106" t="s">
        <v>16812</v>
      </c>
      <c r="N70" s="57" t="s">
        <v>1</v>
      </c>
      <c r="O70" s="58">
        <v>0.9</v>
      </c>
      <c r="P70" s="83" t="s">
        <v>5895</v>
      </c>
      <c r="Q70" s="64" t="s">
        <v>1</v>
      </c>
      <c r="R70" s="65">
        <v>1</v>
      </c>
      <c r="S70" s="99"/>
      <c r="T70" s="70"/>
      <c r="U70" s="99"/>
      <c r="V70" s="70"/>
      <c r="W70" s="106"/>
      <c r="X70" s="57"/>
      <c r="Y70" s="58"/>
      <c r="Z70" s="77"/>
      <c r="AA70" s="106"/>
      <c r="AB70" s="57"/>
      <c r="AC70" s="58"/>
      <c r="AD70" s="77"/>
      <c r="AE70" s="228">
        <f>ROUND((ROUND((ROUND((ROUND((ROUND((_15_同援日０．５*_15・基礎２),0)*_15・２人),0)*(1+_15・A深夜)),0)*(1+_15・盲ろう)),0)*(1+_15・区３)),0)+ROUND((ROUND((ROUND((ROUND((ROUND((_15_同援日０．５＿０．５*_15・基礎２),0)*_15・２人),0)*(1+_15・B早朝)),0)*(1+_15・盲ろう)),0)*(1+_15・区３)),0)+ROUND((ROUND((ROUND((ROUND((_15_同援日０．５＿０．５＿１．５*_15・基礎２),0)*_15・２人),0)*(1+_15・盲ろう)),0)*(1+_15・区３)),0)</f>
        <v>900</v>
      </c>
      <c r="AF70" s="69"/>
    </row>
    <row r="71" spans="1:32" ht="16.5" customHeight="1" x14ac:dyDescent="0.3">
      <c r="A71" s="2">
        <v>15</v>
      </c>
      <c r="B71" s="2" t="s">
        <v>729</v>
      </c>
      <c r="C71" s="60" t="s">
        <v>11473</v>
      </c>
      <c r="D71" s="1"/>
      <c r="E71" s="68"/>
      <c r="F71" s="70"/>
      <c r="G71" s="1"/>
      <c r="H71" s="68"/>
      <c r="I71" s="70"/>
      <c r="J71" s="1"/>
      <c r="K71" s="68"/>
      <c r="L71" s="70"/>
      <c r="M71" s="74"/>
      <c r="N71" s="62"/>
      <c r="O71" s="63"/>
      <c r="P71" s="83"/>
      <c r="Q71" s="64"/>
      <c r="R71" s="65"/>
      <c r="S71" s="99"/>
      <c r="T71" s="70"/>
      <c r="U71" s="99"/>
      <c r="V71" s="70"/>
      <c r="W71" s="74"/>
      <c r="X71" s="62"/>
      <c r="Y71" s="63"/>
      <c r="Z71" s="75"/>
      <c r="AA71" s="78"/>
      <c r="AB71" s="62"/>
      <c r="AC71" s="63"/>
      <c r="AD71" s="75"/>
      <c r="AE71" s="228">
        <f>ROUND((ROUND((_15_同援日０．５*(1+_15・A深夜)),0)*(1+_15・区４)),0)+ROUND((ROUND((_15_同援日０．５＿０．５*(1+_15・B早朝)),0)*(1+_15・区４)),0)+ROUND((_15_同援日０．５＿０．５＿１．５*(1+_15・区４)),0)</f>
        <v>933</v>
      </c>
      <c r="AF71" s="69"/>
    </row>
    <row r="72" spans="1:32" ht="16.5" customHeight="1" x14ac:dyDescent="0.3">
      <c r="A72" s="2">
        <v>15</v>
      </c>
      <c r="B72" s="2" t="s">
        <v>730</v>
      </c>
      <c r="C72" s="60" t="s">
        <v>11472</v>
      </c>
      <c r="D72" s="1"/>
      <c r="E72" s="68"/>
      <c r="F72" s="70"/>
      <c r="G72" s="1"/>
      <c r="H72" s="68"/>
      <c r="I72" s="70"/>
      <c r="J72" s="1"/>
      <c r="K72" s="68"/>
      <c r="L72" s="70"/>
      <c r="M72" s="106"/>
      <c r="N72" s="57"/>
      <c r="O72" s="58"/>
      <c r="P72" s="83" t="s">
        <v>5895</v>
      </c>
      <c r="Q72" s="64" t="s">
        <v>1</v>
      </c>
      <c r="R72" s="65">
        <v>1</v>
      </c>
      <c r="S72" s="99"/>
      <c r="T72" s="70"/>
      <c r="U72" s="99"/>
      <c r="V72" s="70"/>
      <c r="W72" s="94"/>
      <c r="X72" s="68"/>
      <c r="Y72" s="76"/>
      <c r="Z72" s="70"/>
      <c r="AA72" s="1"/>
      <c r="AB72" s="68"/>
      <c r="AC72" s="76"/>
      <c r="AD72" s="70"/>
      <c r="AE72" s="228">
        <f>ROUND((ROUND((ROUND((_15_同援日０．５*_15・２人),0)*(1+_15・A深夜)),0)*(1+_15・区４)),0)+ROUND((ROUND((ROUND((_15_同援日０．５＿０．５*_15・２人),0)*(1+_15・B早朝)),0)*(1+_15・区４)),0)+ROUND((ROUND((_15_同援日０．５＿０．５＿１．５*_15・２人),0)*(1+_15・区４)),0)</f>
        <v>933</v>
      </c>
      <c r="AF72" s="69"/>
    </row>
    <row r="73" spans="1:32" ht="16.5" customHeight="1" x14ac:dyDescent="0.3">
      <c r="A73" s="2">
        <v>15</v>
      </c>
      <c r="B73" s="2" t="s">
        <v>731</v>
      </c>
      <c r="C73" s="60" t="s">
        <v>11471</v>
      </c>
      <c r="D73" s="1"/>
      <c r="E73" s="68"/>
      <c r="F73" s="70"/>
      <c r="G73" s="1"/>
      <c r="H73" s="68"/>
      <c r="I73" s="70"/>
      <c r="J73" s="1"/>
      <c r="K73" s="68"/>
      <c r="L73" s="70"/>
      <c r="M73" s="74" t="s">
        <v>16823</v>
      </c>
      <c r="N73" s="62"/>
      <c r="O73" s="63"/>
      <c r="P73" s="83"/>
      <c r="Q73" s="64"/>
      <c r="R73" s="65"/>
      <c r="S73" s="99"/>
      <c r="T73" s="70"/>
      <c r="U73" s="99"/>
      <c r="V73" s="70"/>
      <c r="W73" s="94"/>
      <c r="X73" s="68"/>
      <c r="Y73" s="76"/>
      <c r="Z73" s="70"/>
      <c r="AA73" s="1" t="s">
        <v>17971</v>
      </c>
      <c r="AB73" s="68"/>
      <c r="AC73" s="76"/>
      <c r="AD73" s="70"/>
      <c r="AE73" s="228">
        <f>ROUND((ROUND((ROUND((_15_同援日０．５*_15・基礎２),0)*(1+_15・A深夜)),0)*(1+_15・区４)),0)+ROUND((ROUND((ROUND((_15_同援日０．５＿０．５*_15・基礎２),0)*(1+_15・B早朝)),0)*(1+_15・区４)),0)+ROUND((ROUND((_15_同援日０．５＿０．５＿１．５*_15・基礎２),0)*(1+_15・区４)),0)</f>
        <v>840</v>
      </c>
      <c r="AF73" s="69"/>
    </row>
    <row r="74" spans="1:32" ht="16.5" customHeight="1" x14ac:dyDescent="0.3">
      <c r="A74" s="2">
        <v>15</v>
      </c>
      <c r="B74" s="2" t="s">
        <v>732</v>
      </c>
      <c r="C74" s="60" t="s">
        <v>11470</v>
      </c>
      <c r="D74" s="1"/>
      <c r="E74" s="68"/>
      <c r="F74" s="70"/>
      <c r="G74" s="1"/>
      <c r="H74" s="68"/>
      <c r="I74" s="70"/>
      <c r="J74" s="1"/>
      <c r="K74" s="68"/>
      <c r="L74" s="70"/>
      <c r="M74" s="106" t="s">
        <v>16812</v>
      </c>
      <c r="N74" s="57" t="s">
        <v>1</v>
      </c>
      <c r="O74" s="58">
        <v>0.9</v>
      </c>
      <c r="P74" s="83" t="s">
        <v>5895</v>
      </c>
      <c r="Q74" s="64" t="s">
        <v>1</v>
      </c>
      <c r="R74" s="65">
        <v>1</v>
      </c>
      <c r="S74" s="99"/>
      <c r="T74" s="70"/>
      <c r="U74" s="99"/>
      <c r="V74" s="70"/>
      <c r="W74" s="106"/>
      <c r="X74" s="57"/>
      <c r="Y74" s="58"/>
      <c r="Z74" s="77"/>
      <c r="AA74" s="1" t="s">
        <v>17970</v>
      </c>
      <c r="AB74" s="68"/>
      <c r="AC74" s="76"/>
      <c r="AD74" s="70"/>
      <c r="AE74" s="228">
        <f>ROUND((ROUND((ROUND((ROUND((_15_同援日０．５*_15・基礎２),0)*_15・２人),0)*(1+_15・A深夜)),0)*(1+_15・区４)),0)+ROUND((ROUND((ROUND((ROUND((_15_同援日０．５＿０．５*_15・基礎２),0)*_15・２人),0)*(1+_15・B早朝)),0)*(1+_15・区４)),0)+ROUND((ROUND((ROUND((_15_同援日０．５＿０．５＿１．５*_15・基礎２),0)*_15・２人),0)*(1+_15・区４)),0)</f>
        <v>840</v>
      </c>
      <c r="AF74" s="69"/>
    </row>
    <row r="75" spans="1:32" ht="16.5" customHeight="1" x14ac:dyDescent="0.3">
      <c r="A75" s="2">
        <v>15</v>
      </c>
      <c r="B75" s="2" t="s">
        <v>733</v>
      </c>
      <c r="C75" s="60" t="s">
        <v>11469</v>
      </c>
      <c r="D75" s="1"/>
      <c r="E75" s="68"/>
      <c r="F75" s="70"/>
      <c r="G75" s="1"/>
      <c r="H75" s="68"/>
      <c r="I75" s="70"/>
      <c r="J75" s="1"/>
      <c r="K75" s="68"/>
      <c r="L75" s="70"/>
      <c r="M75" s="74"/>
      <c r="N75" s="62"/>
      <c r="O75" s="63"/>
      <c r="P75" s="83"/>
      <c r="Q75" s="64"/>
      <c r="R75" s="65"/>
      <c r="S75" s="99"/>
      <c r="T75" s="70"/>
      <c r="U75" s="99"/>
      <c r="V75" s="70"/>
      <c r="W75" s="74" t="s">
        <v>17969</v>
      </c>
      <c r="X75" s="62"/>
      <c r="Y75" s="63"/>
      <c r="Z75" s="75"/>
      <c r="AA75" s="1"/>
      <c r="AB75" s="68" t="s">
        <v>1</v>
      </c>
      <c r="AC75" s="76">
        <v>0.4</v>
      </c>
      <c r="AD75" s="70" t="s">
        <v>422</v>
      </c>
      <c r="AE75" s="228">
        <f>ROUND((ROUND((ROUND((_15_同援日０．５*(1+_15・A深夜)),0)*(1+_15・盲ろう)),0)*(1+_15・区４)),0)+ROUND((ROUND((ROUND((_15_同援日０．５＿０．５*(1+_15・B早朝)),0)*(1+_15・盲ろう)),0)*(1+_15・区４)),0)+ROUND((ROUND((_15_同援日０．５＿０．５＿１．５*(1+_15・盲ろう)),0)*(1+_15・区４)),0)</f>
        <v>1168</v>
      </c>
      <c r="AF75" s="69"/>
    </row>
    <row r="76" spans="1:32" ht="16.5" customHeight="1" x14ac:dyDescent="0.3">
      <c r="A76" s="2">
        <v>15</v>
      </c>
      <c r="B76" s="2" t="s">
        <v>734</v>
      </c>
      <c r="C76" s="60" t="s">
        <v>11468</v>
      </c>
      <c r="D76" s="1"/>
      <c r="E76" s="68"/>
      <c r="F76" s="70"/>
      <c r="G76" s="1"/>
      <c r="H76" s="68"/>
      <c r="I76" s="70"/>
      <c r="J76" s="1"/>
      <c r="K76" s="68"/>
      <c r="L76" s="70"/>
      <c r="M76" s="106"/>
      <c r="N76" s="57"/>
      <c r="O76" s="58"/>
      <c r="P76" s="83" t="s">
        <v>5895</v>
      </c>
      <c r="Q76" s="64" t="s">
        <v>1</v>
      </c>
      <c r="R76" s="65">
        <v>1</v>
      </c>
      <c r="S76" s="99"/>
      <c r="T76" s="70"/>
      <c r="U76" s="99"/>
      <c r="V76" s="70"/>
      <c r="W76" s="94" t="s">
        <v>17968</v>
      </c>
      <c r="X76" s="68"/>
      <c r="Y76" s="76"/>
      <c r="Z76" s="70"/>
      <c r="AA76" s="1"/>
      <c r="AB76" s="68"/>
      <c r="AC76" s="76"/>
      <c r="AD76" s="70"/>
      <c r="AE76" s="228">
        <f>ROUND((ROUND((ROUND((ROUND((_15_同援日０．５*_15・２人),0)*(1+_15・A深夜)),0)*(1+_15・盲ろう)),0)*(1+_15・区４)),0)+ROUND((ROUND((ROUND((ROUND((_15_同援日０．５＿０．５*_15・２人),0)*(1+_15・B早朝)),0)*(1+_15・盲ろう)),0)*(1+_15・区４)),0)+ROUND((ROUND((ROUND((_15_同援日０．５＿０．５＿１．５*_15・２人),0)*(1+_15・盲ろう)),0)*(1+_15・区４)),0)</f>
        <v>1168</v>
      </c>
      <c r="AF76" s="69"/>
    </row>
    <row r="77" spans="1:32" ht="16.5" customHeight="1" x14ac:dyDescent="0.3">
      <c r="A77" s="2">
        <v>15</v>
      </c>
      <c r="B77" s="2" t="s">
        <v>735</v>
      </c>
      <c r="C77" s="60" t="s">
        <v>11467</v>
      </c>
      <c r="D77" s="1"/>
      <c r="E77" s="68"/>
      <c r="F77" s="70"/>
      <c r="G77" s="1"/>
      <c r="H77" s="68"/>
      <c r="I77" s="70"/>
      <c r="J77" s="1"/>
      <c r="K77" s="68"/>
      <c r="L77" s="70"/>
      <c r="M77" s="74" t="s">
        <v>16823</v>
      </c>
      <c r="N77" s="62"/>
      <c r="O77" s="63"/>
      <c r="P77" s="83"/>
      <c r="Q77" s="64"/>
      <c r="R77" s="65"/>
      <c r="S77" s="99"/>
      <c r="T77" s="70"/>
      <c r="U77" s="99"/>
      <c r="V77" s="70"/>
      <c r="W77" s="94"/>
      <c r="X77" s="68" t="s">
        <v>1</v>
      </c>
      <c r="Y77" s="76">
        <v>0.25</v>
      </c>
      <c r="Z77" s="70" t="s">
        <v>422</v>
      </c>
      <c r="AA77" s="1"/>
      <c r="AB77" s="68"/>
      <c r="AC77" s="76"/>
      <c r="AD77" s="70"/>
      <c r="AE77" s="228">
        <f>ROUND((ROUND((ROUND((ROUND((_15_同援日０．５*_15・基礎２),0)*(1+_15・A深夜)),0)*(1+_15・盲ろう)),0)*(1+_15・区４)),0)+ROUND((ROUND((ROUND((ROUND((_15_同援日０．５＿０．５*_15・基礎２),0)*(1+_15・B早朝)),0)*(1+_15・盲ろう)),0)*(1+_15・区４)),0)+ROUND((ROUND((ROUND((_15_同援日０．５＿０．５＿１．５*_15・基礎２),0)*(1+_15・盲ろう)),0)*(1+_15・区４)),0)</f>
        <v>1049</v>
      </c>
      <c r="AF77" s="69"/>
    </row>
    <row r="78" spans="1:32" ht="16.5" customHeight="1" x14ac:dyDescent="0.3">
      <c r="A78" s="2">
        <v>15</v>
      </c>
      <c r="B78" s="2" t="s">
        <v>736</v>
      </c>
      <c r="C78" s="60" t="s">
        <v>11466</v>
      </c>
      <c r="D78" s="1"/>
      <c r="E78" s="68"/>
      <c r="F78" s="70"/>
      <c r="G78" s="1"/>
      <c r="H78" s="68"/>
      <c r="I78" s="70"/>
      <c r="J78" s="81"/>
      <c r="K78" s="57"/>
      <c r="L78" s="77"/>
      <c r="M78" s="106" t="s">
        <v>16812</v>
      </c>
      <c r="N78" s="57" t="s">
        <v>1</v>
      </c>
      <c r="O78" s="58">
        <v>0.9</v>
      </c>
      <c r="P78" s="83" t="s">
        <v>5895</v>
      </c>
      <c r="Q78" s="64" t="s">
        <v>1</v>
      </c>
      <c r="R78" s="65">
        <v>1</v>
      </c>
      <c r="S78" s="99"/>
      <c r="T78" s="70"/>
      <c r="U78" s="99"/>
      <c r="V78" s="70"/>
      <c r="W78" s="106"/>
      <c r="X78" s="57"/>
      <c r="Y78" s="58"/>
      <c r="Z78" s="77"/>
      <c r="AA78" s="106"/>
      <c r="AB78" s="57"/>
      <c r="AC78" s="58"/>
      <c r="AD78" s="77"/>
      <c r="AE78" s="228">
        <f>ROUND((ROUND((ROUND((ROUND((ROUND((_15_同援日０．５*_15・基礎２),0)*_15・２人),0)*(1+_15・A深夜)),0)*(1+_15・盲ろう)),0)*(1+_15・区４)),0)+ROUND((ROUND((ROUND((ROUND((ROUND((_15_同援日０．５＿０．５*_15・基礎２),0)*_15・２人),0)*(1+_15・B早朝)),0)*(1+_15・盲ろう)),0)*(1+_15・区４)),0)+ROUND((ROUND((ROUND((ROUND((_15_同援日０．５＿０．５＿１．５*_15・基礎２),0)*_15・２人),0)*(1+_15・盲ろう)),0)*(1+_15・区４)),0)</f>
        <v>1049</v>
      </c>
      <c r="AF78" s="69"/>
    </row>
    <row r="79" spans="1:32" ht="16.5" customHeight="1" x14ac:dyDescent="0.3">
      <c r="A79" s="2">
        <v>15</v>
      </c>
      <c r="B79" s="2" t="s">
        <v>737</v>
      </c>
      <c r="C79" s="60" t="s">
        <v>11465</v>
      </c>
      <c r="D79" s="1"/>
      <c r="E79" s="68"/>
      <c r="F79" s="70"/>
      <c r="G79" s="1"/>
      <c r="H79" s="68"/>
      <c r="I79" s="70"/>
      <c r="J79" s="74" t="s">
        <v>18124</v>
      </c>
      <c r="K79" s="62"/>
      <c r="L79" s="75"/>
      <c r="M79" s="74"/>
      <c r="N79" s="62"/>
      <c r="O79" s="63"/>
      <c r="P79" s="83"/>
      <c r="Q79" s="64"/>
      <c r="R79" s="65"/>
      <c r="S79" s="99"/>
      <c r="T79" s="70"/>
      <c r="U79" s="99"/>
      <c r="V79" s="70"/>
      <c r="W79" s="74"/>
      <c r="X79" s="62"/>
      <c r="Y79" s="63"/>
      <c r="Z79" s="75"/>
      <c r="AA79" s="78"/>
      <c r="AB79" s="62"/>
      <c r="AC79" s="63"/>
      <c r="AD79" s="75"/>
      <c r="AE79" s="228">
        <f>ROUND((_15_同援日０．５*(1+_15・A深夜)),0)+ROUND((_15_同援日０．５＿０．５*(1+_15・B早朝)),0)+_15_同援日０．５＿０．５＿２．０</f>
        <v>730</v>
      </c>
      <c r="AF79" s="69"/>
    </row>
    <row r="80" spans="1:32" ht="16.5" customHeight="1" x14ac:dyDescent="0.3">
      <c r="A80" s="2">
        <v>15</v>
      </c>
      <c r="B80" s="2" t="s">
        <v>738</v>
      </c>
      <c r="C80" s="60" t="s">
        <v>11464</v>
      </c>
      <c r="D80" s="1"/>
      <c r="E80" s="68"/>
      <c r="F80" s="70"/>
      <c r="G80" s="1"/>
      <c r="H80" s="68"/>
      <c r="I80" s="70"/>
      <c r="J80" s="1" t="s">
        <v>16868</v>
      </c>
      <c r="K80" s="68"/>
      <c r="L80" s="70"/>
      <c r="M80" s="106"/>
      <c r="N80" s="57"/>
      <c r="O80" s="58"/>
      <c r="P80" s="83" t="s">
        <v>5895</v>
      </c>
      <c r="Q80" s="64" t="s">
        <v>1</v>
      </c>
      <c r="R80" s="65">
        <v>1</v>
      </c>
      <c r="S80" s="99"/>
      <c r="T80" s="70"/>
      <c r="U80" s="99"/>
      <c r="V80" s="70"/>
      <c r="W80" s="94"/>
      <c r="X80" s="68"/>
      <c r="Y80" s="76"/>
      <c r="Z80" s="70"/>
      <c r="AA80" s="1"/>
      <c r="AB80" s="68"/>
      <c r="AC80" s="76"/>
      <c r="AD80" s="70"/>
      <c r="AE80" s="228">
        <f>ROUND((ROUND((_15_同援日０．５*_15・２人),0)*(1+_15・A深夜)),0)+ROUND((ROUND((_15_同援日０．５＿０．５*_15・２人),0)*(1+_15・B早朝)),0)+ROUND((_15_同援日０．５＿０．５＿２．０*_15・２人),0)</f>
        <v>730</v>
      </c>
      <c r="AF80" s="69"/>
    </row>
    <row r="81" spans="1:32" ht="16.5" customHeight="1" x14ac:dyDescent="0.3">
      <c r="A81" s="2">
        <v>15</v>
      </c>
      <c r="B81" s="2" t="s">
        <v>739</v>
      </c>
      <c r="C81" s="60" t="s">
        <v>11463</v>
      </c>
      <c r="D81" s="1"/>
      <c r="E81" s="68"/>
      <c r="F81" s="70"/>
      <c r="G81" s="1"/>
      <c r="H81" s="68"/>
      <c r="I81" s="70"/>
      <c r="J81" s="1" t="s">
        <v>6448</v>
      </c>
      <c r="K81" s="68"/>
      <c r="L81" s="70"/>
      <c r="M81" s="74" t="s">
        <v>16823</v>
      </c>
      <c r="N81" s="62"/>
      <c r="O81" s="63"/>
      <c r="P81" s="83"/>
      <c r="Q81" s="64"/>
      <c r="R81" s="65"/>
      <c r="S81" s="99"/>
      <c r="T81" s="70"/>
      <c r="U81" s="99"/>
      <c r="V81" s="70"/>
      <c r="W81" s="94"/>
      <c r="X81" s="68"/>
      <c r="Y81" s="76"/>
      <c r="Z81" s="70"/>
      <c r="AA81" s="1"/>
      <c r="AB81" s="68"/>
      <c r="AC81" s="76"/>
      <c r="AD81" s="70"/>
      <c r="AE81" s="228">
        <f>ROUND((ROUND((_15_同援日０．５*_15・基礎２),0)*(1+_15・A深夜)),0)+ROUND((ROUND((_15_同援日０．５＿０．５*_15・基礎２),0)*(1+_15・B早朝)),0)+ROUND((_15_同援日０．５＿０．５＿２．０*_15・基礎２),0)</f>
        <v>657</v>
      </c>
      <c r="AF81" s="69"/>
    </row>
    <row r="82" spans="1:32" ht="16.5" customHeight="1" x14ac:dyDescent="0.3">
      <c r="A82" s="2">
        <v>15</v>
      </c>
      <c r="B82" s="2" t="s">
        <v>740</v>
      </c>
      <c r="C82" s="60" t="s">
        <v>11462</v>
      </c>
      <c r="D82" s="1"/>
      <c r="E82" s="68"/>
      <c r="F82" s="70"/>
      <c r="G82" s="1"/>
      <c r="H82" s="68"/>
      <c r="I82" s="70"/>
      <c r="J82" s="1"/>
      <c r="K82" s="119">
        <v>319</v>
      </c>
      <c r="L82" s="70" t="s">
        <v>0</v>
      </c>
      <c r="M82" s="106" t="s">
        <v>16812</v>
      </c>
      <c r="N82" s="57" t="s">
        <v>1</v>
      </c>
      <c r="O82" s="58">
        <v>0.9</v>
      </c>
      <c r="P82" s="83" t="s">
        <v>5895</v>
      </c>
      <c r="Q82" s="64" t="s">
        <v>1</v>
      </c>
      <c r="R82" s="65">
        <v>1</v>
      </c>
      <c r="S82" s="99"/>
      <c r="T82" s="70"/>
      <c r="U82" s="99"/>
      <c r="V82" s="70"/>
      <c r="W82" s="106"/>
      <c r="X82" s="57"/>
      <c r="Y82" s="58"/>
      <c r="Z82" s="77"/>
      <c r="AA82" s="1"/>
      <c r="AB82" s="68"/>
      <c r="AC82" s="76"/>
      <c r="AD82" s="70"/>
      <c r="AE82" s="228">
        <f>ROUND((ROUND((ROUND((_15_同援日０．５*_15・基礎２),0)*_15・２人),0)*(1+_15・A深夜)),0)+ROUND((ROUND((ROUND((_15_同援日０．５＿０．５*_15・基礎２),0)*_15・２人),0)*(1+_15・B早朝)),0)+ROUND((ROUND((_15_同援日０．５＿０．５＿２．０*_15・基礎２),0)*_15・２人),0)</f>
        <v>657</v>
      </c>
      <c r="AF82" s="69"/>
    </row>
    <row r="83" spans="1:32" ht="16.5" customHeight="1" x14ac:dyDescent="0.3">
      <c r="A83" s="2">
        <v>15</v>
      </c>
      <c r="B83" s="2" t="s">
        <v>741</v>
      </c>
      <c r="C83" s="60" t="s">
        <v>11461</v>
      </c>
      <c r="D83" s="1"/>
      <c r="E83" s="68"/>
      <c r="F83" s="70"/>
      <c r="G83" s="1"/>
      <c r="H83" s="68"/>
      <c r="I83" s="70"/>
      <c r="J83" s="1"/>
      <c r="K83" s="68"/>
      <c r="L83" s="70"/>
      <c r="M83" s="74"/>
      <c r="N83" s="62"/>
      <c r="O83" s="63"/>
      <c r="P83" s="83"/>
      <c r="Q83" s="64"/>
      <c r="R83" s="65"/>
      <c r="S83" s="99"/>
      <c r="T83" s="70"/>
      <c r="U83" s="99"/>
      <c r="V83" s="70"/>
      <c r="W83" s="74" t="s">
        <v>17969</v>
      </c>
      <c r="X83" s="62"/>
      <c r="Y83" s="63"/>
      <c r="Z83" s="75"/>
      <c r="AA83" s="1"/>
      <c r="AB83" s="68"/>
      <c r="AC83" s="76"/>
      <c r="AD83" s="70"/>
      <c r="AE83" s="228">
        <f>ROUND((ROUND((_15_同援日０．５*(1+_15・A深夜)),0)*(1+_15・盲ろう)),0)+ROUND((ROUND((_15_同援日０．５＿０．５*(1+_15・B早朝)),0)*(1+_15・盲ろう)),0)+ROUND((_15_同援日０．５＿０．５＿２．０*(1+_15・盲ろう)),0)</f>
        <v>913</v>
      </c>
      <c r="AF83" s="69"/>
    </row>
    <row r="84" spans="1:32" ht="16.5" customHeight="1" x14ac:dyDescent="0.3">
      <c r="A84" s="2">
        <v>15</v>
      </c>
      <c r="B84" s="2" t="s">
        <v>742</v>
      </c>
      <c r="C84" s="60" t="s">
        <v>11460</v>
      </c>
      <c r="D84" s="1"/>
      <c r="E84" s="68"/>
      <c r="F84" s="70"/>
      <c r="G84" s="1"/>
      <c r="H84" s="68"/>
      <c r="I84" s="70"/>
      <c r="J84" s="1"/>
      <c r="K84" s="68"/>
      <c r="L84" s="70"/>
      <c r="M84" s="106"/>
      <c r="N84" s="57"/>
      <c r="O84" s="58"/>
      <c r="P84" s="83" t="s">
        <v>5895</v>
      </c>
      <c r="Q84" s="64" t="s">
        <v>1</v>
      </c>
      <c r="R84" s="65">
        <v>1</v>
      </c>
      <c r="S84" s="99"/>
      <c r="T84" s="70"/>
      <c r="U84" s="99"/>
      <c r="V84" s="70"/>
      <c r="W84" s="94" t="s">
        <v>17968</v>
      </c>
      <c r="X84" s="68"/>
      <c r="Y84" s="76"/>
      <c r="Z84" s="70"/>
      <c r="AA84" s="1"/>
      <c r="AB84" s="68"/>
      <c r="AC84" s="76"/>
      <c r="AD84" s="70"/>
      <c r="AE84" s="228">
        <f>ROUND((ROUND((ROUND((_15_同援日０．５*_15・２人),0)*(1+_15・A深夜)),0)*(1+_15・盲ろう)),0)+ROUND((ROUND((ROUND((_15_同援日０．５＿０．５*_15・２人),0)*(1+_15・B早朝)),0)*(1+_15・盲ろう)),0)+ROUND((ROUND((_15_同援日０．５＿０．５＿２．０*_15・２人),0)*(1+_15・盲ろう)),0)</f>
        <v>913</v>
      </c>
      <c r="AF84" s="69"/>
    </row>
    <row r="85" spans="1:32" ht="16.5" customHeight="1" x14ac:dyDescent="0.3">
      <c r="A85" s="2">
        <v>15</v>
      </c>
      <c r="B85" s="2" t="s">
        <v>743</v>
      </c>
      <c r="C85" s="60" t="s">
        <v>11459</v>
      </c>
      <c r="D85" s="1"/>
      <c r="E85" s="68"/>
      <c r="F85" s="70"/>
      <c r="G85" s="1"/>
      <c r="H85" s="68"/>
      <c r="I85" s="70"/>
      <c r="J85" s="1"/>
      <c r="K85" s="68"/>
      <c r="L85" s="70"/>
      <c r="M85" s="74" t="s">
        <v>16823</v>
      </c>
      <c r="N85" s="62"/>
      <c r="O85" s="63"/>
      <c r="P85" s="83"/>
      <c r="Q85" s="64"/>
      <c r="R85" s="65"/>
      <c r="S85" s="99"/>
      <c r="T85" s="70"/>
      <c r="U85" s="99"/>
      <c r="V85" s="70"/>
      <c r="W85" s="94"/>
      <c r="X85" s="68" t="s">
        <v>1</v>
      </c>
      <c r="Y85" s="76">
        <v>0.25</v>
      </c>
      <c r="Z85" s="70" t="s">
        <v>422</v>
      </c>
      <c r="AA85" s="1"/>
      <c r="AB85" s="68"/>
      <c r="AC85" s="76"/>
      <c r="AD85" s="70"/>
      <c r="AE85" s="228">
        <f>ROUND((ROUND((ROUND((_15_同援日０．５*_15・基礎２),0)*(1+_15・A深夜)),0)*(1+_15・盲ろう)),0)+ROUND((ROUND((ROUND((_15_同援日０．５＿０．５*_15・基礎２),0)*(1+_15・B早朝)),0)*(1+_15・盲ろう)),0)+ROUND((ROUND((_15_同援日０．５＿０．５＿２．０*_15・基礎２),0)*(1+_15・盲ろう)),0)</f>
        <v>821</v>
      </c>
      <c r="AF85" s="69"/>
    </row>
    <row r="86" spans="1:32" ht="16.5" customHeight="1" x14ac:dyDescent="0.3">
      <c r="A86" s="2">
        <v>15</v>
      </c>
      <c r="B86" s="2" t="s">
        <v>744</v>
      </c>
      <c r="C86" s="60" t="s">
        <v>11458</v>
      </c>
      <c r="D86" s="1"/>
      <c r="E86" s="68"/>
      <c r="F86" s="70"/>
      <c r="G86" s="1"/>
      <c r="H86" s="68"/>
      <c r="I86" s="70"/>
      <c r="J86" s="1"/>
      <c r="K86" s="68"/>
      <c r="L86" s="70"/>
      <c r="M86" s="106" t="s">
        <v>16812</v>
      </c>
      <c r="N86" s="57" t="s">
        <v>1</v>
      </c>
      <c r="O86" s="58">
        <v>0.9</v>
      </c>
      <c r="P86" s="83" t="s">
        <v>5895</v>
      </c>
      <c r="Q86" s="64" t="s">
        <v>1</v>
      </c>
      <c r="R86" s="65">
        <v>1</v>
      </c>
      <c r="S86" s="99"/>
      <c r="T86" s="70"/>
      <c r="U86" s="99"/>
      <c r="V86" s="70"/>
      <c r="W86" s="106"/>
      <c r="X86" s="57"/>
      <c r="Y86" s="58"/>
      <c r="Z86" s="77"/>
      <c r="AA86" s="106"/>
      <c r="AB86" s="57"/>
      <c r="AC86" s="58"/>
      <c r="AD86" s="77"/>
      <c r="AE86" s="228">
        <f>ROUND((ROUND((ROUND((ROUND((_15_同援日０．５*_15・基礎２),0)*_15・２人),0)*(1+_15・A深夜)),0)*(1+_15・盲ろう)),0)+ROUND((ROUND((ROUND((ROUND((_15_同援日０．５＿０．５*_15・基礎２),0)*_15・２人),0)*(1+_15・B早朝)),0)*(1+_15・盲ろう)),0)+ROUND((ROUND((ROUND((_15_同援日０．５＿０．５＿２．０*_15・基礎２),0)*_15・２人),0)*(1+_15・盲ろう)),0)</f>
        <v>821</v>
      </c>
      <c r="AF86" s="69"/>
    </row>
    <row r="87" spans="1:32" ht="16.5" customHeight="1" x14ac:dyDescent="0.3">
      <c r="A87" s="2">
        <v>15</v>
      </c>
      <c r="B87" s="2" t="s">
        <v>745</v>
      </c>
      <c r="C87" s="60" t="s">
        <v>11457</v>
      </c>
      <c r="D87" s="1"/>
      <c r="E87" s="68"/>
      <c r="F87" s="70"/>
      <c r="G87" s="1"/>
      <c r="H87" s="68"/>
      <c r="I87" s="70"/>
      <c r="J87" s="1"/>
      <c r="K87" s="68"/>
      <c r="L87" s="70"/>
      <c r="M87" s="74"/>
      <c r="N87" s="62"/>
      <c r="O87" s="63"/>
      <c r="P87" s="83"/>
      <c r="Q87" s="64"/>
      <c r="R87" s="65"/>
      <c r="S87" s="99"/>
      <c r="T87" s="70"/>
      <c r="U87" s="99"/>
      <c r="V87" s="70"/>
      <c r="W87" s="74"/>
      <c r="X87" s="62"/>
      <c r="Y87" s="63"/>
      <c r="Z87" s="75"/>
      <c r="AA87" s="78"/>
      <c r="AB87" s="62"/>
      <c r="AC87" s="63"/>
      <c r="AD87" s="75"/>
      <c r="AE87" s="228">
        <f>ROUND((ROUND((_15_同援日０．５*(1+_15・A深夜)),0)*(1+_15・区３)),0)+ROUND((ROUND((_15_同援日０．５＿０．５*(1+_15・B早朝)),0)*(1+_15・区３)),0)+ROUND((_15_同援日０．５＿０．５＿２．０*(1+_15・区３)),0)</f>
        <v>876</v>
      </c>
      <c r="AF87" s="69"/>
    </row>
    <row r="88" spans="1:32" ht="16.5" customHeight="1" x14ac:dyDescent="0.3">
      <c r="A88" s="2">
        <v>15</v>
      </c>
      <c r="B88" s="2" t="s">
        <v>746</v>
      </c>
      <c r="C88" s="60" t="s">
        <v>11456</v>
      </c>
      <c r="D88" s="1"/>
      <c r="E88" s="68"/>
      <c r="F88" s="70"/>
      <c r="G88" s="1"/>
      <c r="H88" s="68"/>
      <c r="I88" s="70"/>
      <c r="J88" s="1"/>
      <c r="K88" s="68"/>
      <c r="L88" s="70"/>
      <c r="M88" s="106"/>
      <c r="N88" s="57"/>
      <c r="O88" s="58"/>
      <c r="P88" s="83" t="s">
        <v>5895</v>
      </c>
      <c r="Q88" s="64" t="s">
        <v>1</v>
      </c>
      <c r="R88" s="65">
        <v>1</v>
      </c>
      <c r="S88" s="99"/>
      <c r="T88" s="70"/>
      <c r="U88" s="99"/>
      <c r="V88" s="70"/>
      <c r="W88" s="94"/>
      <c r="X88" s="68"/>
      <c r="Y88" s="76"/>
      <c r="Z88" s="70"/>
      <c r="AA88" s="1"/>
      <c r="AB88" s="68"/>
      <c r="AC88" s="76"/>
      <c r="AD88" s="70"/>
      <c r="AE88" s="228">
        <f>ROUND((ROUND((ROUND((_15_同援日０．５*_15・２人),0)*(1+_15・A深夜)),0)*(1+_15・区３)),0)+ROUND((ROUND((ROUND((_15_同援日０．５＿０．５*_15・２人),0)*(1+_15・B早朝)),0)*(1+_15・区３)),0)+ROUND((ROUND((_15_同援日０．５＿０．５＿２．０*_15・２人),0)*(1+_15・区３)),0)</f>
        <v>876</v>
      </c>
      <c r="AF88" s="69"/>
    </row>
    <row r="89" spans="1:32" ht="16.5" customHeight="1" x14ac:dyDescent="0.3">
      <c r="A89" s="2">
        <v>15</v>
      </c>
      <c r="B89" s="2" t="s">
        <v>747</v>
      </c>
      <c r="C89" s="60" t="s">
        <v>11455</v>
      </c>
      <c r="D89" s="1"/>
      <c r="E89" s="68"/>
      <c r="F89" s="70"/>
      <c r="G89" s="1"/>
      <c r="H89" s="68"/>
      <c r="I89" s="70"/>
      <c r="J89" s="1"/>
      <c r="K89" s="68"/>
      <c r="L89" s="70"/>
      <c r="M89" s="74" t="s">
        <v>16823</v>
      </c>
      <c r="N89" s="62"/>
      <c r="O89" s="63"/>
      <c r="P89" s="83"/>
      <c r="Q89" s="64"/>
      <c r="R89" s="65"/>
      <c r="S89" s="99"/>
      <c r="T89" s="70"/>
      <c r="U89" s="99"/>
      <c r="V89" s="70"/>
      <c r="W89" s="94"/>
      <c r="X89" s="68"/>
      <c r="Y89" s="76"/>
      <c r="Z89" s="70"/>
      <c r="AA89" s="1" t="s">
        <v>17974</v>
      </c>
      <c r="AB89" s="68"/>
      <c r="AC89" s="76"/>
      <c r="AD89" s="70"/>
      <c r="AE89" s="228">
        <f>ROUND((ROUND((ROUND((_15_同援日０．５*_15・基礎２),0)*(1+_15・A深夜)),0)*(1+_15・区３)),0)+ROUND((ROUND((ROUND((_15_同援日０．５＿０．５*_15・基礎２),0)*(1+_15・B早朝)),0)*(1+_15・区３)),0)+ROUND((ROUND((_15_同援日０．５＿０．５＿２．０*_15・基礎２),0)*(1+_15・区３)),0)</f>
        <v>788</v>
      </c>
      <c r="AF89" s="69"/>
    </row>
    <row r="90" spans="1:32" ht="16.5" customHeight="1" x14ac:dyDescent="0.3">
      <c r="A90" s="2">
        <v>15</v>
      </c>
      <c r="B90" s="2" t="s">
        <v>748</v>
      </c>
      <c r="C90" s="60" t="s">
        <v>11454</v>
      </c>
      <c r="D90" s="1"/>
      <c r="E90" s="68"/>
      <c r="F90" s="70"/>
      <c r="G90" s="1"/>
      <c r="H90" s="68"/>
      <c r="I90" s="70"/>
      <c r="J90" s="1"/>
      <c r="K90" s="68"/>
      <c r="L90" s="70"/>
      <c r="M90" s="106" t="s">
        <v>16812</v>
      </c>
      <c r="N90" s="57" t="s">
        <v>1</v>
      </c>
      <c r="O90" s="58">
        <v>0.9</v>
      </c>
      <c r="P90" s="83" t="s">
        <v>5895</v>
      </c>
      <c r="Q90" s="64" t="s">
        <v>1</v>
      </c>
      <c r="R90" s="65">
        <v>1</v>
      </c>
      <c r="S90" s="99"/>
      <c r="T90" s="70"/>
      <c r="U90" s="99"/>
      <c r="V90" s="70"/>
      <c r="W90" s="106"/>
      <c r="X90" s="57"/>
      <c r="Y90" s="58"/>
      <c r="Z90" s="77"/>
      <c r="AA90" s="1" t="s">
        <v>17970</v>
      </c>
      <c r="AB90" s="68"/>
      <c r="AC90" s="76"/>
      <c r="AD90" s="70"/>
      <c r="AE90" s="228">
        <f>ROUND((ROUND((ROUND((ROUND((_15_同援日０．５*_15・基礎２),0)*_15・２人),0)*(1+_15・A深夜)),0)*(1+_15・区３)),0)+ROUND((ROUND((ROUND((ROUND((_15_同援日０．５＿０．５*_15・基礎２),0)*_15・２人),0)*(1+_15・B早朝)),0)*(1+_15・区３)),0)+ROUND((ROUND((ROUND((_15_同援日０．５＿０．５＿２．０*_15・基礎２),0)*_15・２人),0)*(1+_15・区３)),0)</f>
        <v>788</v>
      </c>
      <c r="AF90" s="69"/>
    </row>
    <row r="91" spans="1:32" ht="16.5" customHeight="1" x14ac:dyDescent="0.3">
      <c r="A91" s="2">
        <v>15</v>
      </c>
      <c r="B91" s="2" t="s">
        <v>749</v>
      </c>
      <c r="C91" s="60" t="s">
        <v>11453</v>
      </c>
      <c r="D91" s="1"/>
      <c r="E91" s="68"/>
      <c r="F91" s="70"/>
      <c r="G91" s="1"/>
      <c r="H91" s="68"/>
      <c r="I91" s="70"/>
      <c r="J91" s="1"/>
      <c r="K91" s="68"/>
      <c r="L91" s="70"/>
      <c r="M91" s="74"/>
      <c r="N91" s="62"/>
      <c r="O91" s="63"/>
      <c r="P91" s="83"/>
      <c r="Q91" s="64"/>
      <c r="R91" s="65"/>
      <c r="S91" s="99"/>
      <c r="T91" s="70"/>
      <c r="U91" s="99"/>
      <c r="V91" s="70"/>
      <c r="W91" s="74" t="s">
        <v>17969</v>
      </c>
      <c r="X91" s="62"/>
      <c r="Y91" s="63"/>
      <c r="Z91" s="75"/>
      <c r="AA91" s="1"/>
      <c r="AB91" s="68" t="s">
        <v>1</v>
      </c>
      <c r="AC91" s="76">
        <v>0.2</v>
      </c>
      <c r="AD91" s="70" t="s">
        <v>422</v>
      </c>
      <c r="AE91" s="228">
        <f>ROUND((ROUND((ROUND((_15_同援日０．５*(1+_15・A深夜)),0)*(1+_15・盲ろう)),0)*(1+_15・区３)),0)+ROUND((ROUND((ROUND((_15_同援日０．５＿０．５*(1+_15・B早朝)),0)*(1+_15・盲ろう)),0)*(1+_15・区３)),0)+ROUND((ROUND((_15_同援日０．５＿０．５＿２．０*(1+_15・盲ろう)),0)*(1+_15・区３)),0)</f>
        <v>1096</v>
      </c>
      <c r="AF91" s="69"/>
    </row>
    <row r="92" spans="1:32" ht="16.5" customHeight="1" x14ac:dyDescent="0.3">
      <c r="A92" s="2">
        <v>15</v>
      </c>
      <c r="B92" s="2" t="s">
        <v>750</v>
      </c>
      <c r="C92" s="60" t="s">
        <v>11452</v>
      </c>
      <c r="D92" s="1"/>
      <c r="E92" s="68"/>
      <c r="F92" s="70"/>
      <c r="G92" s="1"/>
      <c r="H92" s="68"/>
      <c r="I92" s="70"/>
      <c r="J92" s="1"/>
      <c r="K92" s="68"/>
      <c r="L92" s="70"/>
      <c r="M92" s="106"/>
      <c r="N92" s="57"/>
      <c r="O92" s="58"/>
      <c r="P92" s="83" t="s">
        <v>5895</v>
      </c>
      <c r="Q92" s="64" t="s">
        <v>1</v>
      </c>
      <c r="R92" s="65">
        <v>1</v>
      </c>
      <c r="S92" s="99"/>
      <c r="T92" s="70"/>
      <c r="U92" s="99"/>
      <c r="V92" s="70"/>
      <c r="W92" s="94" t="s">
        <v>17968</v>
      </c>
      <c r="X92" s="68"/>
      <c r="Y92" s="76"/>
      <c r="Z92" s="70"/>
      <c r="AA92" s="1"/>
      <c r="AB92" s="68"/>
      <c r="AC92" s="76"/>
      <c r="AD92" s="70"/>
      <c r="AE92" s="228">
        <f>ROUND((ROUND((ROUND((ROUND((_15_同援日０．５*_15・２人),0)*(1+_15・A深夜)),0)*(1+_15・盲ろう)),0)*(1+_15・区３)),0)+ROUND((ROUND((ROUND((ROUND((_15_同援日０．５＿０．５*_15・２人),0)*(1+_15・B早朝)),0)*(1+_15・盲ろう)),0)*(1+_15・区３)),0)+ROUND((ROUND((ROUND((_15_同援日０．５＿０．５＿２．０*_15・２人),0)*(1+_15・盲ろう)),0)*(1+_15・区３)),0)</f>
        <v>1096</v>
      </c>
      <c r="AF92" s="69"/>
    </row>
    <row r="93" spans="1:32" ht="16.5" customHeight="1" x14ac:dyDescent="0.3">
      <c r="A93" s="2">
        <v>15</v>
      </c>
      <c r="B93" s="2" t="s">
        <v>751</v>
      </c>
      <c r="C93" s="60" t="s">
        <v>11451</v>
      </c>
      <c r="D93" s="1"/>
      <c r="E93" s="68"/>
      <c r="F93" s="70"/>
      <c r="G93" s="1"/>
      <c r="H93" s="68"/>
      <c r="I93" s="70"/>
      <c r="J93" s="1"/>
      <c r="K93" s="68"/>
      <c r="L93" s="70"/>
      <c r="M93" s="74" t="s">
        <v>16823</v>
      </c>
      <c r="N93" s="62"/>
      <c r="O93" s="63"/>
      <c r="P93" s="83"/>
      <c r="Q93" s="64"/>
      <c r="R93" s="65"/>
      <c r="S93" s="99"/>
      <c r="T93" s="70"/>
      <c r="U93" s="99"/>
      <c r="V93" s="70"/>
      <c r="W93" s="94"/>
      <c r="X93" s="68" t="s">
        <v>1</v>
      </c>
      <c r="Y93" s="76">
        <v>0.25</v>
      </c>
      <c r="Z93" s="70" t="s">
        <v>422</v>
      </c>
      <c r="AA93" s="1"/>
      <c r="AB93" s="68"/>
      <c r="AC93" s="76"/>
      <c r="AD93" s="70"/>
      <c r="AE93" s="228">
        <f>ROUND((ROUND((ROUND((ROUND((_15_同援日０．５*_15・基礎２),0)*(1+_15・A深夜)),0)*(1+_15・盲ろう)),0)*(1+_15・区３)),0)+ROUND((ROUND((ROUND((ROUND((_15_同援日０．５＿０．５*_15・基礎２),0)*(1+_15・B早朝)),0)*(1+_15・盲ろう)),0)*(1+_15・区３)),0)+ROUND((ROUND((ROUND((_15_同援日０．５＿０．５＿２．０*_15・基礎２),0)*(1+_15・盲ろう)),0)*(1+_15・区３)),0)</f>
        <v>985</v>
      </c>
      <c r="AF93" s="69"/>
    </row>
    <row r="94" spans="1:32" ht="16.5" customHeight="1" x14ac:dyDescent="0.3">
      <c r="A94" s="2">
        <v>15</v>
      </c>
      <c r="B94" s="2" t="s">
        <v>752</v>
      </c>
      <c r="C94" s="60" t="s">
        <v>11450</v>
      </c>
      <c r="D94" s="1"/>
      <c r="E94" s="68"/>
      <c r="F94" s="70"/>
      <c r="G94" s="1"/>
      <c r="H94" s="68"/>
      <c r="I94" s="70"/>
      <c r="J94" s="1"/>
      <c r="K94" s="68"/>
      <c r="L94" s="70"/>
      <c r="M94" s="106" t="s">
        <v>16812</v>
      </c>
      <c r="N94" s="57" t="s">
        <v>1</v>
      </c>
      <c r="O94" s="58">
        <v>0.9</v>
      </c>
      <c r="P94" s="83" t="s">
        <v>5895</v>
      </c>
      <c r="Q94" s="64" t="s">
        <v>1</v>
      </c>
      <c r="R94" s="65">
        <v>1</v>
      </c>
      <c r="S94" s="99"/>
      <c r="T94" s="70"/>
      <c r="U94" s="99"/>
      <c r="V94" s="70"/>
      <c r="W94" s="106"/>
      <c r="X94" s="57"/>
      <c r="Y94" s="58"/>
      <c r="Z94" s="77"/>
      <c r="AA94" s="106"/>
      <c r="AB94" s="57"/>
      <c r="AC94" s="58"/>
      <c r="AD94" s="77"/>
      <c r="AE94" s="228">
        <f>ROUND((ROUND((ROUND((ROUND((ROUND((_15_同援日０．５*_15・基礎２),0)*_15・２人),0)*(1+_15・A深夜)),0)*(1+_15・盲ろう)),0)*(1+_15・区３)),0)+ROUND((ROUND((ROUND((ROUND((ROUND((_15_同援日０．５＿０．５*_15・基礎２),0)*_15・２人),0)*(1+_15・B早朝)),0)*(1+_15・盲ろう)),0)*(1+_15・区３)),0)+ROUND((ROUND((ROUND((ROUND((_15_同援日０．５＿０．５＿２．０*_15・基礎２),0)*_15・２人),0)*(1+_15・盲ろう)),0)*(1+_15・区３)),0)</f>
        <v>985</v>
      </c>
      <c r="AF94" s="69"/>
    </row>
    <row r="95" spans="1:32" ht="16.5" customHeight="1" x14ac:dyDescent="0.3">
      <c r="A95" s="2">
        <v>15</v>
      </c>
      <c r="B95" s="2" t="s">
        <v>753</v>
      </c>
      <c r="C95" s="60" t="s">
        <v>11449</v>
      </c>
      <c r="D95" s="1"/>
      <c r="E95" s="68"/>
      <c r="F95" s="70"/>
      <c r="G95" s="1"/>
      <c r="H95" s="68"/>
      <c r="I95" s="70"/>
      <c r="J95" s="1"/>
      <c r="K95" s="68"/>
      <c r="L95" s="70"/>
      <c r="M95" s="74"/>
      <c r="N95" s="62"/>
      <c r="O95" s="63"/>
      <c r="P95" s="83"/>
      <c r="Q95" s="64"/>
      <c r="R95" s="65"/>
      <c r="S95" s="99"/>
      <c r="T95" s="70"/>
      <c r="U95" s="99"/>
      <c r="V95" s="70"/>
      <c r="W95" s="74"/>
      <c r="X95" s="62"/>
      <c r="Y95" s="63"/>
      <c r="Z95" s="75"/>
      <c r="AA95" s="78"/>
      <c r="AB95" s="62"/>
      <c r="AC95" s="63"/>
      <c r="AD95" s="75"/>
      <c r="AE95" s="228">
        <f>ROUND((ROUND((_15_同援日０．５*(1+_15・A深夜)),0)*(1+_15・区４)),0)+ROUND((ROUND((_15_同援日０．５＿０．５*(1+_15・B早朝)),0)*(1+_15・区４)),0)+ROUND((_15_同援日０．５＿０．５＿２．０*(1+_15・区４)),0)</f>
        <v>1022</v>
      </c>
      <c r="AF95" s="69"/>
    </row>
    <row r="96" spans="1:32" ht="16.5" customHeight="1" x14ac:dyDescent="0.3">
      <c r="A96" s="2">
        <v>15</v>
      </c>
      <c r="B96" s="2" t="s">
        <v>754</v>
      </c>
      <c r="C96" s="60" t="s">
        <v>11448</v>
      </c>
      <c r="D96" s="1"/>
      <c r="E96" s="68"/>
      <c r="F96" s="70"/>
      <c r="G96" s="1"/>
      <c r="H96" s="68"/>
      <c r="I96" s="70"/>
      <c r="J96" s="1"/>
      <c r="K96" s="68"/>
      <c r="L96" s="70"/>
      <c r="M96" s="106"/>
      <c r="N96" s="57"/>
      <c r="O96" s="58"/>
      <c r="P96" s="83" t="s">
        <v>5895</v>
      </c>
      <c r="Q96" s="64" t="s">
        <v>1</v>
      </c>
      <c r="R96" s="65">
        <v>1</v>
      </c>
      <c r="S96" s="99"/>
      <c r="T96" s="70"/>
      <c r="U96" s="99"/>
      <c r="V96" s="70"/>
      <c r="W96" s="94"/>
      <c r="X96" s="68"/>
      <c r="Y96" s="76"/>
      <c r="Z96" s="70"/>
      <c r="AA96" s="1"/>
      <c r="AB96" s="68"/>
      <c r="AC96" s="76"/>
      <c r="AD96" s="70"/>
      <c r="AE96" s="228">
        <f>ROUND((ROUND((ROUND((_15_同援日０．５*_15・２人),0)*(1+_15・A深夜)),0)*(1+_15・区４)),0)+ROUND((ROUND((ROUND((_15_同援日０．５＿０．５*_15・２人),0)*(1+_15・B早朝)),0)*(1+_15・区４)),0)+ROUND((ROUND((_15_同援日０．５＿０．５＿２．０*_15・２人),0)*(1+_15・区４)),0)</f>
        <v>1022</v>
      </c>
      <c r="AF96" s="69"/>
    </row>
    <row r="97" spans="1:32" ht="16.5" customHeight="1" x14ac:dyDescent="0.3">
      <c r="A97" s="2">
        <v>15</v>
      </c>
      <c r="B97" s="2" t="s">
        <v>755</v>
      </c>
      <c r="C97" s="60" t="s">
        <v>11447</v>
      </c>
      <c r="D97" s="1"/>
      <c r="E97" s="68"/>
      <c r="F97" s="70"/>
      <c r="G97" s="1"/>
      <c r="H97" s="68"/>
      <c r="I97" s="70"/>
      <c r="J97" s="1"/>
      <c r="K97" s="68"/>
      <c r="L97" s="70"/>
      <c r="M97" s="74" t="s">
        <v>16823</v>
      </c>
      <c r="N97" s="62"/>
      <c r="O97" s="63"/>
      <c r="P97" s="83"/>
      <c r="Q97" s="64"/>
      <c r="R97" s="65"/>
      <c r="S97" s="99"/>
      <c r="T97" s="70"/>
      <c r="U97" s="99"/>
      <c r="V97" s="70"/>
      <c r="W97" s="94"/>
      <c r="X97" s="68"/>
      <c r="Y97" s="76"/>
      <c r="Z97" s="70"/>
      <c r="AA97" s="1" t="s">
        <v>17971</v>
      </c>
      <c r="AB97" s="68"/>
      <c r="AC97" s="76"/>
      <c r="AD97" s="70"/>
      <c r="AE97" s="228">
        <f>ROUND((ROUND((ROUND((_15_同援日０．５*_15・基礎２),0)*(1+_15・A深夜)),0)*(1+_15・区４)),0)+ROUND((ROUND((ROUND((_15_同援日０．５＿０．５*_15・基礎２),0)*(1+_15・B早朝)),0)*(1+_15・区４)),0)+ROUND((ROUND((_15_同援日０．５＿０．５＿２．０*_15・基礎２),0)*(1+_15・区４)),0)</f>
        <v>920</v>
      </c>
      <c r="AF97" s="69"/>
    </row>
    <row r="98" spans="1:32" ht="16.5" customHeight="1" x14ac:dyDescent="0.3">
      <c r="A98" s="2">
        <v>15</v>
      </c>
      <c r="B98" s="2" t="s">
        <v>756</v>
      </c>
      <c r="C98" s="60" t="s">
        <v>11446</v>
      </c>
      <c r="D98" s="1"/>
      <c r="E98" s="68"/>
      <c r="F98" s="70"/>
      <c r="G98" s="1"/>
      <c r="H98" s="68"/>
      <c r="I98" s="70"/>
      <c r="J98" s="1"/>
      <c r="K98" s="68"/>
      <c r="L98" s="70"/>
      <c r="M98" s="106" t="s">
        <v>16812</v>
      </c>
      <c r="N98" s="57" t="s">
        <v>1</v>
      </c>
      <c r="O98" s="58">
        <v>0.9</v>
      </c>
      <c r="P98" s="83" t="s">
        <v>5895</v>
      </c>
      <c r="Q98" s="64" t="s">
        <v>1</v>
      </c>
      <c r="R98" s="65">
        <v>1</v>
      </c>
      <c r="S98" s="99"/>
      <c r="T98" s="70"/>
      <c r="U98" s="99"/>
      <c r="V98" s="70"/>
      <c r="W98" s="106"/>
      <c r="X98" s="57"/>
      <c r="Y98" s="58"/>
      <c r="Z98" s="77"/>
      <c r="AA98" s="1" t="s">
        <v>17970</v>
      </c>
      <c r="AB98" s="68"/>
      <c r="AC98" s="76"/>
      <c r="AD98" s="70"/>
      <c r="AE98" s="228">
        <f>ROUND((ROUND((ROUND((ROUND((_15_同援日０．５*_15・基礎２),0)*_15・２人),0)*(1+_15・A深夜)),0)*(1+_15・区４)),0)+ROUND((ROUND((ROUND((ROUND((_15_同援日０．５＿０．５*_15・基礎２),0)*_15・２人),0)*(1+_15・B早朝)),0)*(1+_15・区４)),0)+ROUND((ROUND((ROUND((_15_同援日０．５＿０．５＿２．０*_15・基礎２),0)*_15・２人),0)*(1+_15・区４)),0)</f>
        <v>920</v>
      </c>
      <c r="AF98" s="69"/>
    </row>
    <row r="99" spans="1:32" ht="16.5" customHeight="1" x14ac:dyDescent="0.3">
      <c r="A99" s="2">
        <v>15</v>
      </c>
      <c r="B99" s="2" t="s">
        <v>757</v>
      </c>
      <c r="C99" s="60" t="s">
        <v>11445</v>
      </c>
      <c r="D99" s="1"/>
      <c r="E99" s="68"/>
      <c r="F99" s="70"/>
      <c r="G99" s="1"/>
      <c r="H99" s="68"/>
      <c r="I99" s="70"/>
      <c r="J99" s="1"/>
      <c r="K99" s="68"/>
      <c r="L99" s="70"/>
      <c r="M99" s="74"/>
      <c r="N99" s="62"/>
      <c r="O99" s="63"/>
      <c r="P99" s="83"/>
      <c r="Q99" s="64"/>
      <c r="R99" s="65"/>
      <c r="S99" s="99"/>
      <c r="T99" s="70"/>
      <c r="U99" s="99"/>
      <c r="V99" s="70"/>
      <c r="W99" s="74" t="s">
        <v>17969</v>
      </c>
      <c r="X99" s="62"/>
      <c r="Y99" s="63"/>
      <c r="Z99" s="75"/>
      <c r="AA99" s="1"/>
      <c r="AB99" s="68" t="s">
        <v>1</v>
      </c>
      <c r="AC99" s="76">
        <v>0.4</v>
      </c>
      <c r="AD99" s="70" t="s">
        <v>422</v>
      </c>
      <c r="AE99" s="228">
        <f>ROUND((ROUND((ROUND((_15_同援日０．５*(1+_15・A深夜)),0)*(1+_15・盲ろう)),0)*(1+_15・区４)),0)+ROUND((ROUND((ROUND((_15_同援日０．５＿０．５*(1+_15・B早朝)),0)*(1+_15・盲ろう)),0)*(1+_15・区４)),0)+ROUND((ROUND((_15_同援日０．５＿０．５＿２．０*(1+_15・盲ろう)),0)*(1+_15・区４)),0)</f>
        <v>1279</v>
      </c>
      <c r="AF99" s="69"/>
    </row>
    <row r="100" spans="1:32" ht="16.5" customHeight="1" x14ac:dyDescent="0.3">
      <c r="A100" s="2">
        <v>15</v>
      </c>
      <c r="B100" s="2" t="s">
        <v>758</v>
      </c>
      <c r="C100" s="60" t="s">
        <v>11444</v>
      </c>
      <c r="D100" s="1"/>
      <c r="E100" s="68"/>
      <c r="F100" s="70"/>
      <c r="G100" s="1"/>
      <c r="H100" s="68"/>
      <c r="I100" s="70"/>
      <c r="J100" s="1"/>
      <c r="K100" s="68"/>
      <c r="L100" s="70"/>
      <c r="M100" s="106"/>
      <c r="N100" s="57"/>
      <c r="O100" s="58"/>
      <c r="P100" s="83" t="s">
        <v>5895</v>
      </c>
      <c r="Q100" s="64" t="s">
        <v>1</v>
      </c>
      <c r="R100" s="65">
        <v>1</v>
      </c>
      <c r="S100" s="99"/>
      <c r="T100" s="70"/>
      <c r="U100" s="99"/>
      <c r="V100" s="70"/>
      <c r="W100" s="94" t="s">
        <v>17968</v>
      </c>
      <c r="X100" s="68"/>
      <c r="Y100" s="76"/>
      <c r="Z100" s="70"/>
      <c r="AA100" s="1"/>
      <c r="AB100" s="68"/>
      <c r="AC100" s="76"/>
      <c r="AD100" s="70"/>
      <c r="AE100" s="228">
        <f>ROUND((ROUND((ROUND((ROUND((_15_同援日０．５*_15・２人),0)*(1+_15・A深夜)),0)*(1+_15・盲ろう)),0)*(1+_15・区４)),0)+ROUND((ROUND((ROUND((ROUND((_15_同援日０．５＿０．５*_15・２人),0)*(1+_15・B早朝)),0)*(1+_15・盲ろう)),0)*(1+_15・区４)),0)+ROUND((ROUND((ROUND((_15_同援日０．５＿０．５＿２．０*_15・２人),0)*(1+_15・盲ろう)),0)*(1+_15・区４)),0)</f>
        <v>1279</v>
      </c>
      <c r="AF100" s="69"/>
    </row>
    <row r="101" spans="1:32" ht="16.5" customHeight="1" x14ac:dyDescent="0.3">
      <c r="A101" s="2">
        <v>15</v>
      </c>
      <c r="B101" s="2" t="s">
        <v>759</v>
      </c>
      <c r="C101" s="60" t="s">
        <v>11443</v>
      </c>
      <c r="D101" s="1"/>
      <c r="E101" s="68"/>
      <c r="F101" s="70"/>
      <c r="G101" s="1"/>
      <c r="H101" s="68"/>
      <c r="I101" s="70"/>
      <c r="J101" s="1"/>
      <c r="K101" s="68"/>
      <c r="L101" s="70"/>
      <c r="M101" s="74" t="s">
        <v>16823</v>
      </c>
      <c r="N101" s="62"/>
      <c r="O101" s="63"/>
      <c r="P101" s="83"/>
      <c r="Q101" s="64"/>
      <c r="R101" s="65"/>
      <c r="S101" s="99"/>
      <c r="T101" s="70"/>
      <c r="U101" s="99"/>
      <c r="V101" s="70"/>
      <c r="W101" s="94"/>
      <c r="X101" s="68" t="s">
        <v>1</v>
      </c>
      <c r="Y101" s="76">
        <v>0.25</v>
      </c>
      <c r="Z101" s="70" t="s">
        <v>422</v>
      </c>
      <c r="AA101" s="1"/>
      <c r="AB101" s="68"/>
      <c r="AC101" s="76"/>
      <c r="AD101" s="70"/>
      <c r="AE101" s="228">
        <f>ROUND((ROUND((ROUND((ROUND((_15_同援日０．５*_15・基礎２),0)*(1+_15・A深夜)),0)*(1+_15・盲ろう)),0)*(1+_15・区４)),0)+ROUND((ROUND((ROUND((ROUND((_15_同援日０．５＿０．５*_15・基礎２),0)*(1+_15・B早朝)),0)*(1+_15・盲ろう)),0)*(1+_15・区４)),0)+ROUND((ROUND((ROUND((_15_同援日０．５＿０．５＿２．０*_15・基礎２),0)*(1+_15・盲ろう)),0)*(1+_15・区４)),0)</f>
        <v>1149</v>
      </c>
      <c r="AF101" s="69"/>
    </row>
    <row r="102" spans="1:32" ht="16.5" customHeight="1" x14ac:dyDescent="0.3">
      <c r="A102" s="2">
        <v>15</v>
      </c>
      <c r="B102" s="2" t="s">
        <v>760</v>
      </c>
      <c r="C102" s="60" t="s">
        <v>11442</v>
      </c>
      <c r="D102" s="1"/>
      <c r="E102" s="68"/>
      <c r="F102" s="70"/>
      <c r="G102" s="81"/>
      <c r="H102" s="57"/>
      <c r="I102" s="77"/>
      <c r="J102" s="81"/>
      <c r="K102" s="57"/>
      <c r="L102" s="77"/>
      <c r="M102" s="106" t="s">
        <v>16812</v>
      </c>
      <c r="N102" s="57" t="s">
        <v>1</v>
      </c>
      <c r="O102" s="58">
        <v>0.9</v>
      </c>
      <c r="P102" s="83" t="s">
        <v>5895</v>
      </c>
      <c r="Q102" s="64" t="s">
        <v>1</v>
      </c>
      <c r="R102" s="65">
        <v>1</v>
      </c>
      <c r="S102" s="99"/>
      <c r="T102" s="70"/>
      <c r="U102" s="99"/>
      <c r="V102" s="70"/>
      <c r="W102" s="106"/>
      <c r="X102" s="57"/>
      <c r="Y102" s="58"/>
      <c r="Z102" s="77"/>
      <c r="AA102" s="106"/>
      <c r="AB102" s="57"/>
      <c r="AC102" s="58"/>
      <c r="AD102" s="77"/>
      <c r="AE102" s="228">
        <f>ROUND((ROUND((ROUND((ROUND((ROUND((_15_同援日０．５*_15・基礎２),0)*_15・２人),0)*(1+_15・A深夜)),0)*(1+_15・盲ろう)),0)*(1+_15・区４)),0)+ROUND((ROUND((ROUND((ROUND((ROUND((_15_同援日０．５＿０．５*_15・基礎２),0)*_15・２人),0)*(1+_15・B早朝)),0)*(1+_15・盲ろう)),0)*(1+_15・区４)),0)+ROUND((ROUND((ROUND((ROUND((_15_同援日０．５＿０．５＿２．０*_15・基礎２),0)*_15・２人),0)*(1+_15・盲ろう)),0)*(1+_15・区４)),0)</f>
        <v>1149</v>
      </c>
      <c r="AF102" s="69"/>
    </row>
    <row r="103" spans="1:32" ht="16.5" customHeight="1" x14ac:dyDescent="0.3">
      <c r="A103" s="2">
        <v>15</v>
      </c>
      <c r="B103" s="2" t="s">
        <v>761</v>
      </c>
      <c r="C103" s="60" t="s">
        <v>11441</v>
      </c>
      <c r="D103" s="1"/>
      <c r="E103" s="68"/>
      <c r="F103" s="70"/>
      <c r="G103" s="233" t="s">
        <v>18114</v>
      </c>
      <c r="H103" s="62"/>
      <c r="I103" s="75"/>
      <c r="J103" s="74" t="s">
        <v>17358</v>
      </c>
      <c r="K103" s="62"/>
      <c r="L103" s="75"/>
      <c r="M103" s="74"/>
      <c r="N103" s="62"/>
      <c r="O103" s="63"/>
      <c r="P103" s="83"/>
      <c r="Q103" s="64"/>
      <c r="R103" s="65"/>
      <c r="S103" s="99"/>
      <c r="T103" s="70"/>
      <c r="U103" s="99"/>
      <c r="V103" s="70"/>
      <c r="W103" s="74"/>
      <c r="X103" s="62"/>
      <c r="Y103" s="63"/>
      <c r="Z103" s="75"/>
      <c r="AA103" s="78"/>
      <c r="AB103" s="62"/>
      <c r="AC103" s="63"/>
      <c r="AD103" s="75"/>
      <c r="AE103" s="228">
        <f>ROUND((_15_同援日０．５*(1+_15・A深夜)),0)+ROUND((_15_同援日０．５＿１．０*(1+_15・B早朝)),0)+_15_同援日０．５＿１．０＿０．５</f>
        <v>636</v>
      </c>
      <c r="AF103" s="69"/>
    </row>
    <row r="104" spans="1:32" ht="16.5" customHeight="1" x14ac:dyDescent="0.3">
      <c r="A104" s="2">
        <v>15</v>
      </c>
      <c r="B104" s="2" t="s">
        <v>762</v>
      </c>
      <c r="C104" s="60" t="s">
        <v>11440</v>
      </c>
      <c r="D104" s="1"/>
      <c r="E104" s="68"/>
      <c r="F104" s="70"/>
      <c r="G104" s="1" t="s">
        <v>16874</v>
      </c>
      <c r="H104" s="68"/>
      <c r="I104" s="70"/>
      <c r="J104" s="1" t="s">
        <v>7928</v>
      </c>
      <c r="K104" s="68"/>
      <c r="L104" s="70"/>
      <c r="M104" s="106"/>
      <c r="N104" s="57"/>
      <c r="O104" s="58"/>
      <c r="P104" s="83" t="s">
        <v>5895</v>
      </c>
      <c r="Q104" s="64" t="s">
        <v>1</v>
      </c>
      <c r="R104" s="65">
        <v>1</v>
      </c>
      <c r="S104" s="99"/>
      <c r="T104" s="70"/>
      <c r="U104" s="99"/>
      <c r="V104" s="70"/>
      <c r="W104" s="94"/>
      <c r="X104" s="68"/>
      <c r="Y104" s="76"/>
      <c r="Z104" s="70"/>
      <c r="AA104" s="1"/>
      <c r="AB104" s="68"/>
      <c r="AC104" s="76"/>
      <c r="AD104" s="70"/>
      <c r="AE104" s="228">
        <f>ROUND((ROUND((_15_同援日０．５*_15・２人),0)*(1+_15・A深夜)),0)+ROUND((ROUND((_15_同援日０．５＿１．０*_15・２人),0)*(1+_15・B早朝)),0)+ROUND((_15_同援日０．５＿１．０＿０．５*_15・２人),0)</f>
        <v>636</v>
      </c>
      <c r="AF104" s="69"/>
    </row>
    <row r="105" spans="1:32" ht="16.5" customHeight="1" x14ac:dyDescent="0.3">
      <c r="A105" s="2">
        <v>15</v>
      </c>
      <c r="B105" s="2" t="s">
        <v>763</v>
      </c>
      <c r="C105" s="60" t="s">
        <v>11439</v>
      </c>
      <c r="D105" s="1"/>
      <c r="E105" s="68"/>
      <c r="F105" s="70"/>
      <c r="G105" s="1" t="s">
        <v>8572</v>
      </c>
      <c r="H105" s="68"/>
      <c r="I105" s="70"/>
      <c r="J105" s="1"/>
      <c r="K105" s="68"/>
      <c r="L105" s="70"/>
      <c r="M105" s="74" t="s">
        <v>16823</v>
      </c>
      <c r="N105" s="62"/>
      <c r="O105" s="63"/>
      <c r="P105" s="83"/>
      <c r="Q105" s="64"/>
      <c r="R105" s="65"/>
      <c r="S105" s="99"/>
      <c r="T105" s="70"/>
      <c r="U105" s="99"/>
      <c r="V105" s="70"/>
      <c r="W105" s="94"/>
      <c r="X105" s="68"/>
      <c r="Y105" s="76"/>
      <c r="Z105" s="70"/>
      <c r="AA105" s="1"/>
      <c r="AB105" s="68"/>
      <c r="AC105" s="76"/>
      <c r="AD105" s="70"/>
      <c r="AE105" s="228">
        <f>ROUND((ROUND((_15_同援日０．５*_15・基礎２),0)*(1+_15・A深夜)),0)+ROUND((ROUND((_15_同援日０．５＿１．０*_15・基礎２),0)*(1+_15・B早朝)),0)+ROUND((_15_同援日０．５＿１．０＿０．５*_15・基礎２),0)</f>
        <v>573</v>
      </c>
      <c r="AF105" s="69"/>
    </row>
    <row r="106" spans="1:32" ht="16.5" customHeight="1" x14ac:dyDescent="0.3">
      <c r="A106" s="2">
        <v>15</v>
      </c>
      <c r="B106" s="2" t="s">
        <v>764</v>
      </c>
      <c r="C106" s="60" t="s">
        <v>11438</v>
      </c>
      <c r="D106" s="1"/>
      <c r="E106" s="68"/>
      <c r="F106" s="70"/>
      <c r="G106" s="1"/>
      <c r="H106" s="227">
        <v>237</v>
      </c>
      <c r="I106" s="70" t="s">
        <v>0</v>
      </c>
      <c r="J106" s="1"/>
      <c r="K106" s="227">
        <v>64</v>
      </c>
      <c r="L106" s="70" t="s">
        <v>0</v>
      </c>
      <c r="M106" s="106" t="s">
        <v>16812</v>
      </c>
      <c r="N106" s="57" t="s">
        <v>1</v>
      </c>
      <c r="O106" s="58">
        <v>0.9</v>
      </c>
      <c r="P106" s="83" t="s">
        <v>5895</v>
      </c>
      <c r="Q106" s="64" t="s">
        <v>1</v>
      </c>
      <c r="R106" s="65">
        <v>1</v>
      </c>
      <c r="S106" s="99"/>
      <c r="T106" s="70"/>
      <c r="U106" s="99"/>
      <c r="V106" s="70"/>
      <c r="W106" s="106"/>
      <c r="X106" s="57"/>
      <c r="Y106" s="58"/>
      <c r="Z106" s="77"/>
      <c r="AA106" s="1"/>
      <c r="AB106" s="68"/>
      <c r="AC106" s="76"/>
      <c r="AD106" s="70"/>
      <c r="AE106" s="228">
        <f>ROUND((ROUND((ROUND((_15_同援日０．５*_15・基礎２),0)*_15・２人),0)*(1+_15・A深夜)),0)+ROUND((ROUND((ROUND((_15_同援日０．５＿１．０*_15・基礎２),0)*_15・２人),0)*(1+_15・B早朝)),0)+ROUND((ROUND((_15_同援日０．５＿１．０＿０．５*_15・基礎２),0)*_15・２人),0)</f>
        <v>573</v>
      </c>
      <c r="AF106" s="69"/>
    </row>
    <row r="107" spans="1:32" ht="16.5" customHeight="1" x14ac:dyDescent="0.3">
      <c r="A107" s="2">
        <v>15</v>
      </c>
      <c r="B107" s="2" t="s">
        <v>765</v>
      </c>
      <c r="C107" s="60" t="s">
        <v>11437</v>
      </c>
      <c r="D107" s="1"/>
      <c r="E107" s="68"/>
      <c r="F107" s="70"/>
      <c r="G107" s="1"/>
      <c r="H107" s="68"/>
      <c r="I107" s="70"/>
      <c r="J107" s="1"/>
      <c r="K107" s="68"/>
      <c r="L107" s="70"/>
      <c r="M107" s="74"/>
      <c r="N107" s="62"/>
      <c r="O107" s="63"/>
      <c r="P107" s="83"/>
      <c r="Q107" s="64"/>
      <c r="R107" s="65"/>
      <c r="S107" s="99"/>
      <c r="T107" s="70"/>
      <c r="U107" s="99"/>
      <c r="V107" s="70"/>
      <c r="W107" s="74" t="s">
        <v>17969</v>
      </c>
      <c r="X107" s="62"/>
      <c r="Y107" s="63"/>
      <c r="Z107" s="75"/>
      <c r="AA107" s="1"/>
      <c r="AB107" s="68"/>
      <c r="AC107" s="76"/>
      <c r="AD107" s="70"/>
      <c r="AE107" s="228">
        <f>ROUND((ROUND((_15_同援日０．５*(1+_15・A深夜)),0)*(1+_15・盲ろう)),0)+ROUND((ROUND((_15_同援日０．５＿１．０*(1+_15・B早朝)),0)*(1+_15・盲ろう)),0)+ROUND((_15_同援日０．５＿１．０＿０．５*(1+_15・盲ろう)),0)</f>
        <v>795</v>
      </c>
      <c r="AF107" s="69"/>
    </row>
    <row r="108" spans="1:32" ht="16.5" customHeight="1" x14ac:dyDescent="0.3">
      <c r="A108" s="2">
        <v>15</v>
      </c>
      <c r="B108" s="2" t="s">
        <v>766</v>
      </c>
      <c r="C108" s="60" t="s">
        <v>11436</v>
      </c>
      <c r="D108" s="1"/>
      <c r="E108" s="68"/>
      <c r="F108" s="70"/>
      <c r="G108" s="1"/>
      <c r="H108" s="68"/>
      <c r="I108" s="70"/>
      <c r="J108" s="1"/>
      <c r="K108" s="68"/>
      <c r="L108" s="70"/>
      <c r="M108" s="106"/>
      <c r="N108" s="57"/>
      <c r="O108" s="58"/>
      <c r="P108" s="83" t="s">
        <v>5895</v>
      </c>
      <c r="Q108" s="64" t="s">
        <v>1</v>
      </c>
      <c r="R108" s="65">
        <v>1</v>
      </c>
      <c r="S108" s="99"/>
      <c r="T108" s="70"/>
      <c r="U108" s="99"/>
      <c r="V108" s="70"/>
      <c r="W108" s="94" t="s">
        <v>17968</v>
      </c>
      <c r="X108" s="68"/>
      <c r="Y108" s="76"/>
      <c r="Z108" s="70"/>
      <c r="AA108" s="1"/>
      <c r="AB108" s="68"/>
      <c r="AC108" s="76"/>
      <c r="AD108" s="70"/>
      <c r="AE108" s="228">
        <f>ROUND((ROUND((ROUND((_15_同援日０．５*_15・２人),0)*(1+_15・A深夜)),0)*(1+_15・盲ろう)),0)+ROUND((ROUND((ROUND((_15_同援日０．５＿１．０*_15・２人),0)*(1+_15・B早朝)),0)*(1+_15・盲ろう)),0)+ROUND((ROUND((_15_同援日０．５＿１．０＿０．５*_15・２人),0)*(1+_15・盲ろう)),0)</f>
        <v>795</v>
      </c>
      <c r="AF108" s="69"/>
    </row>
    <row r="109" spans="1:32" ht="16.5" customHeight="1" x14ac:dyDescent="0.3">
      <c r="A109" s="2">
        <v>15</v>
      </c>
      <c r="B109" s="2" t="s">
        <v>767</v>
      </c>
      <c r="C109" s="60" t="s">
        <v>11435</v>
      </c>
      <c r="D109" s="1"/>
      <c r="E109" s="68"/>
      <c r="F109" s="70"/>
      <c r="G109" s="1"/>
      <c r="H109" s="68"/>
      <c r="I109" s="70"/>
      <c r="J109" s="1"/>
      <c r="K109" s="68"/>
      <c r="L109" s="70"/>
      <c r="M109" s="74" t="s">
        <v>16823</v>
      </c>
      <c r="N109" s="62"/>
      <c r="O109" s="63"/>
      <c r="P109" s="83"/>
      <c r="Q109" s="64"/>
      <c r="R109" s="65"/>
      <c r="S109" s="99"/>
      <c r="T109" s="70"/>
      <c r="U109" s="99"/>
      <c r="V109" s="70"/>
      <c r="W109" s="94"/>
      <c r="X109" s="68" t="s">
        <v>1</v>
      </c>
      <c r="Y109" s="76">
        <v>0.25</v>
      </c>
      <c r="Z109" s="70" t="s">
        <v>422</v>
      </c>
      <c r="AA109" s="1"/>
      <c r="AB109" s="68"/>
      <c r="AC109" s="76"/>
      <c r="AD109" s="70"/>
      <c r="AE109" s="228">
        <f>ROUND((ROUND((ROUND((_15_同援日０．５*_15・基礎２),0)*(1+_15・A深夜)),0)*(1+_15・盲ろう)),0)+ROUND((ROUND((ROUND((_15_同援日０．５＿１．０*_15・基礎２),0)*(1+_15・B早朝)),0)*(1+_15・盲ろう)),0)+ROUND((ROUND((_15_同援日０．５＿１．０＿０．５*_15・基礎２),0)*(1+_15・盲ろう)),0)</f>
        <v>717</v>
      </c>
      <c r="AF109" s="69"/>
    </row>
    <row r="110" spans="1:32" ht="16.5" customHeight="1" x14ac:dyDescent="0.3">
      <c r="A110" s="2">
        <v>15</v>
      </c>
      <c r="B110" s="2" t="s">
        <v>768</v>
      </c>
      <c r="C110" s="60" t="s">
        <v>11434</v>
      </c>
      <c r="D110" s="1"/>
      <c r="E110" s="68"/>
      <c r="F110" s="70"/>
      <c r="G110" s="1"/>
      <c r="H110" s="68"/>
      <c r="I110" s="70"/>
      <c r="J110" s="1"/>
      <c r="K110" s="68"/>
      <c r="L110" s="70"/>
      <c r="M110" s="106" t="s">
        <v>16812</v>
      </c>
      <c r="N110" s="57" t="s">
        <v>1</v>
      </c>
      <c r="O110" s="58">
        <v>0.9</v>
      </c>
      <c r="P110" s="83" t="s">
        <v>5895</v>
      </c>
      <c r="Q110" s="64" t="s">
        <v>1</v>
      </c>
      <c r="R110" s="65">
        <v>1</v>
      </c>
      <c r="S110" s="99"/>
      <c r="T110" s="70"/>
      <c r="U110" s="99"/>
      <c r="V110" s="70"/>
      <c r="W110" s="106"/>
      <c r="X110" s="57"/>
      <c r="Y110" s="58"/>
      <c r="Z110" s="77"/>
      <c r="AA110" s="106"/>
      <c r="AB110" s="57"/>
      <c r="AC110" s="58"/>
      <c r="AD110" s="77"/>
      <c r="AE110" s="228">
        <f>ROUND((ROUND((ROUND((ROUND((_15_同援日０．５*_15・基礎２),0)*_15・２人),0)*(1+_15・A深夜)),0)*(1+_15・盲ろう)),0)+ROUND((ROUND((ROUND((ROUND((_15_同援日０．５＿１．０*_15・基礎２),0)*_15・２人),0)*(1+_15・B早朝)),0)*(1+_15・盲ろう)),0)+ROUND((ROUND((ROUND((_15_同援日０．５＿１．０＿０．５*_15・基礎２),0)*_15・２人),0)*(1+_15・盲ろう)),0)</f>
        <v>717</v>
      </c>
      <c r="AF110" s="69"/>
    </row>
    <row r="111" spans="1:32" ht="16.5" customHeight="1" x14ac:dyDescent="0.3">
      <c r="A111" s="2">
        <v>15</v>
      </c>
      <c r="B111" s="2" t="s">
        <v>769</v>
      </c>
      <c r="C111" s="60" t="s">
        <v>11433</v>
      </c>
      <c r="D111" s="1"/>
      <c r="E111" s="68"/>
      <c r="F111" s="70"/>
      <c r="G111" s="1"/>
      <c r="H111" s="68"/>
      <c r="I111" s="70"/>
      <c r="J111" s="1"/>
      <c r="K111" s="68"/>
      <c r="L111" s="70"/>
      <c r="M111" s="74"/>
      <c r="N111" s="62"/>
      <c r="O111" s="63"/>
      <c r="P111" s="83"/>
      <c r="Q111" s="64"/>
      <c r="R111" s="65"/>
      <c r="S111" s="99"/>
      <c r="T111" s="70"/>
      <c r="U111" s="99"/>
      <c r="V111" s="70"/>
      <c r="W111" s="74"/>
      <c r="X111" s="62"/>
      <c r="Y111" s="63"/>
      <c r="Z111" s="75"/>
      <c r="AA111" s="78"/>
      <c r="AB111" s="62"/>
      <c r="AC111" s="63"/>
      <c r="AD111" s="75"/>
      <c r="AE111" s="228">
        <f>ROUND((ROUND((_15_同援日０．５*(1+_15・A深夜)),0)*(1+_15・区３)),0)+ROUND((ROUND((_15_同援日０．５＿１．０*(1+_15・B早朝)),0)*(1+_15・区３)),0)+ROUND((_15_同援日０．５＿１．０＿０．５*(1+_15・区３)),0)</f>
        <v>763</v>
      </c>
      <c r="AF111" s="69"/>
    </row>
    <row r="112" spans="1:32" ht="16.5" customHeight="1" x14ac:dyDescent="0.3">
      <c r="A112" s="2">
        <v>15</v>
      </c>
      <c r="B112" s="2" t="s">
        <v>770</v>
      </c>
      <c r="C112" s="60" t="s">
        <v>11432</v>
      </c>
      <c r="D112" s="1"/>
      <c r="E112" s="68"/>
      <c r="F112" s="70"/>
      <c r="G112" s="1"/>
      <c r="H112" s="68"/>
      <c r="I112" s="70"/>
      <c r="J112" s="1"/>
      <c r="K112" s="68"/>
      <c r="L112" s="70"/>
      <c r="M112" s="106"/>
      <c r="N112" s="57"/>
      <c r="O112" s="58"/>
      <c r="P112" s="83" t="s">
        <v>5895</v>
      </c>
      <c r="Q112" s="64" t="s">
        <v>1</v>
      </c>
      <c r="R112" s="65">
        <v>1</v>
      </c>
      <c r="S112" s="99"/>
      <c r="T112" s="70"/>
      <c r="U112" s="99"/>
      <c r="V112" s="70"/>
      <c r="W112" s="94"/>
      <c r="X112" s="68"/>
      <c r="Y112" s="76"/>
      <c r="Z112" s="70"/>
      <c r="AA112" s="1"/>
      <c r="AB112" s="68"/>
      <c r="AC112" s="76"/>
      <c r="AD112" s="70"/>
      <c r="AE112" s="228">
        <f>ROUND((ROUND((ROUND((_15_同援日０．５*_15・２人),0)*(1+_15・A深夜)),0)*(1+_15・区３)),0)+ROUND((ROUND((ROUND((_15_同援日０．５＿１．０*_15・２人),0)*(1+_15・B早朝)),0)*(1+_15・区３)),0)+ROUND((ROUND((_15_同援日０．５＿１．０＿０．５*_15・２人),0)*(1+_15・区３)),0)</f>
        <v>763</v>
      </c>
      <c r="AF112" s="69"/>
    </row>
    <row r="113" spans="1:32" ht="16.5" customHeight="1" x14ac:dyDescent="0.3">
      <c r="A113" s="2">
        <v>15</v>
      </c>
      <c r="B113" s="2" t="s">
        <v>771</v>
      </c>
      <c r="C113" s="60" t="s">
        <v>11431</v>
      </c>
      <c r="D113" s="1"/>
      <c r="E113" s="68"/>
      <c r="F113" s="70"/>
      <c r="G113" s="1"/>
      <c r="H113" s="68"/>
      <c r="I113" s="70"/>
      <c r="J113" s="1"/>
      <c r="K113" s="68"/>
      <c r="L113" s="70"/>
      <c r="M113" s="74" t="s">
        <v>16823</v>
      </c>
      <c r="N113" s="62"/>
      <c r="O113" s="63"/>
      <c r="P113" s="83"/>
      <c r="Q113" s="64"/>
      <c r="R113" s="65"/>
      <c r="S113" s="99"/>
      <c r="T113" s="70"/>
      <c r="U113" s="99"/>
      <c r="V113" s="70"/>
      <c r="W113" s="94"/>
      <c r="X113" s="68"/>
      <c r="Y113" s="76"/>
      <c r="Z113" s="70"/>
      <c r="AA113" s="1" t="s">
        <v>17974</v>
      </c>
      <c r="AB113" s="68"/>
      <c r="AC113" s="76"/>
      <c r="AD113" s="70"/>
      <c r="AE113" s="228">
        <f>ROUND((ROUND((ROUND((_15_同援日０．５*_15・基礎２),0)*(1+_15・A深夜)),0)*(1+_15・区３)),0)+ROUND((ROUND((ROUND((_15_同援日０．５＿１．０*_15・基礎２),0)*(1+_15・B早朝)),0)*(1+_15・区３)),0)+ROUND((ROUND((_15_同援日０．５＿１．０＿０．５*_15・基礎２),0)*(1+_15・区３)),0)</f>
        <v>688</v>
      </c>
      <c r="AF113" s="69"/>
    </row>
    <row r="114" spans="1:32" ht="16.5" customHeight="1" x14ac:dyDescent="0.3">
      <c r="A114" s="2">
        <v>15</v>
      </c>
      <c r="B114" s="2" t="s">
        <v>772</v>
      </c>
      <c r="C114" s="60" t="s">
        <v>11430</v>
      </c>
      <c r="D114" s="1"/>
      <c r="E114" s="68"/>
      <c r="F114" s="70"/>
      <c r="G114" s="1"/>
      <c r="H114" s="68"/>
      <c r="I114" s="70"/>
      <c r="J114" s="1"/>
      <c r="K114" s="68"/>
      <c r="L114" s="70"/>
      <c r="M114" s="106" t="s">
        <v>16812</v>
      </c>
      <c r="N114" s="57" t="s">
        <v>1</v>
      </c>
      <c r="O114" s="58">
        <v>0.9</v>
      </c>
      <c r="P114" s="83" t="s">
        <v>5895</v>
      </c>
      <c r="Q114" s="64" t="s">
        <v>1</v>
      </c>
      <c r="R114" s="65">
        <v>1</v>
      </c>
      <c r="S114" s="99"/>
      <c r="T114" s="70"/>
      <c r="U114" s="99"/>
      <c r="V114" s="70"/>
      <c r="W114" s="106"/>
      <c r="X114" s="57"/>
      <c r="Y114" s="58"/>
      <c r="Z114" s="77"/>
      <c r="AA114" s="1" t="s">
        <v>17970</v>
      </c>
      <c r="AB114" s="68"/>
      <c r="AC114" s="76"/>
      <c r="AD114" s="70"/>
      <c r="AE114" s="228">
        <f>ROUND((ROUND((ROUND((ROUND((_15_同援日０．５*_15・基礎２),0)*_15・２人),0)*(1+_15・A深夜)),0)*(1+_15・区３)),0)+ROUND((ROUND((ROUND((ROUND((_15_同援日０．５＿１．０*_15・基礎２),0)*_15・２人),0)*(1+_15・B早朝)),0)*(1+_15・区３)),0)+ROUND((ROUND((ROUND((_15_同援日０．５＿１．０＿０．５*_15・基礎２),0)*_15・２人),0)*(1+_15・区３)),0)</f>
        <v>688</v>
      </c>
      <c r="AF114" s="69"/>
    </row>
    <row r="115" spans="1:32" ht="16.5" customHeight="1" x14ac:dyDescent="0.3">
      <c r="A115" s="2">
        <v>15</v>
      </c>
      <c r="B115" s="2" t="s">
        <v>773</v>
      </c>
      <c r="C115" s="60" t="s">
        <v>11429</v>
      </c>
      <c r="D115" s="1"/>
      <c r="E115" s="68"/>
      <c r="F115" s="70"/>
      <c r="G115" s="1"/>
      <c r="H115" s="68"/>
      <c r="I115" s="70"/>
      <c r="J115" s="1"/>
      <c r="K115" s="68"/>
      <c r="L115" s="70"/>
      <c r="M115" s="74"/>
      <c r="N115" s="62"/>
      <c r="O115" s="63"/>
      <c r="P115" s="83"/>
      <c r="Q115" s="64"/>
      <c r="R115" s="65"/>
      <c r="S115" s="99"/>
      <c r="T115" s="70"/>
      <c r="U115" s="99"/>
      <c r="V115" s="70"/>
      <c r="W115" s="74" t="s">
        <v>17969</v>
      </c>
      <c r="X115" s="62"/>
      <c r="Y115" s="63"/>
      <c r="Z115" s="75"/>
      <c r="AA115" s="1"/>
      <c r="AB115" s="68" t="s">
        <v>1</v>
      </c>
      <c r="AC115" s="76">
        <v>0.2</v>
      </c>
      <c r="AD115" s="70" t="s">
        <v>422</v>
      </c>
      <c r="AE115" s="228">
        <f>ROUND((ROUND((ROUND((_15_同援日０．５*(1+_15・A深夜)),0)*(1+_15・盲ろう)),0)*(1+_15・区３)),0)+ROUND((ROUND((ROUND((_15_同援日０．５＿１．０*(1+_15・B早朝)),0)*(1+_15・盲ろう)),0)*(1+_15・区３)),0)+ROUND((ROUND((_15_同援日０．５＿１．０＿０．５*(1+_15・盲ろう)),0)*(1+_15・区３)),0)</f>
        <v>954</v>
      </c>
      <c r="AF115" s="69"/>
    </row>
    <row r="116" spans="1:32" ht="16.5" customHeight="1" x14ac:dyDescent="0.3">
      <c r="A116" s="2">
        <v>15</v>
      </c>
      <c r="B116" s="2" t="s">
        <v>774</v>
      </c>
      <c r="C116" s="60" t="s">
        <v>11428</v>
      </c>
      <c r="D116" s="1"/>
      <c r="E116" s="68"/>
      <c r="F116" s="70"/>
      <c r="G116" s="1"/>
      <c r="H116" s="68"/>
      <c r="I116" s="70"/>
      <c r="J116" s="1"/>
      <c r="K116" s="68"/>
      <c r="L116" s="70"/>
      <c r="M116" s="106"/>
      <c r="N116" s="57"/>
      <c r="O116" s="58"/>
      <c r="P116" s="83" t="s">
        <v>5895</v>
      </c>
      <c r="Q116" s="64" t="s">
        <v>1</v>
      </c>
      <c r="R116" s="65">
        <v>1</v>
      </c>
      <c r="S116" s="99"/>
      <c r="T116" s="70"/>
      <c r="U116" s="99"/>
      <c r="V116" s="70"/>
      <c r="W116" s="94" t="s">
        <v>17968</v>
      </c>
      <c r="X116" s="68"/>
      <c r="Y116" s="76"/>
      <c r="Z116" s="70"/>
      <c r="AA116" s="1"/>
      <c r="AB116" s="68"/>
      <c r="AC116" s="76"/>
      <c r="AD116" s="70"/>
      <c r="AE116" s="228">
        <f>ROUND((ROUND((ROUND((ROUND((_15_同援日０．５*_15・２人),0)*(1+_15・A深夜)),0)*(1+_15・盲ろう)),0)*(1+_15・区３)),0)+ROUND((ROUND((ROUND((ROUND((_15_同援日０．５＿１．０*_15・２人),0)*(1+_15・B早朝)),0)*(1+_15・盲ろう)),0)*(1+_15・区３)),0)+ROUND((ROUND((ROUND((_15_同援日０．５＿１．０＿０．５*_15・２人),0)*(1+_15・盲ろう)),0)*(1+_15・区３)),0)</f>
        <v>954</v>
      </c>
      <c r="AF116" s="69"/>
    </row>
    <row r="117" spans="1:32" ht="16.5" customHeight="1" x14ac:dyDescent="0.3">
      <c r="A117" s="2">
        <v>15</v>
      </c>
      <c r="B117" s="2" t="s">
        <v>775</v>
      </c>
      <c r="C117" s="60" t="s">
        <v>11427</v>
      </c>
      <c r="D117" s="1"/>
      <c r="E117" s="68"/>
      <c r="F117" s="70"/>
      <c r="G117" s="1"/>
      <c r="H117" s="68"/>
      <c r="I117" s="70"/>
      <c r="J117" s="1"/>
      <c r="K117" s="68"/>
      <c r="L117" s="70"/>
      <c r="M117" s="74" t="s">
        <v>16823</v>
      </c>
      <c r="N117" s="62"/>
      <c r="O117" s="63"/>
      <c r="P117" s="83"/>
      <c r="Q117" s="64"/>
      <c r="R117" s="65"/>
      <c r="S117" s="99"/>
      <c r="T117" s="70"/>
      <c r="U117" s="99"/>
      <c r="V117" s="70"/>
      <c r="W117" s="94"/>
      <c r="X117" s="68" t="s">
        <v>1</v>
      </c>
      <c r="Y117" s="76">
        <v>0.25</v>
      </c>
      <c r="Z117" s="70" t="s">
        <v>422</v>
      </c>
      <c r="AA117" s="1"/>
      <c r="AB117" s="68"/>
      <c r="AC117" s="76"/>
      <c r="AD117" s="70"/>
      <c r="AE117" s="228">
        <f>ROUND((ROUND((ROUND((ROUND((_15_同援日０．５*_15・基礎２),0)*(1+_15・A深夜)),0)*(1+_15・盲ろう)),0)*(1+_15・区３)),0)+ROUND((ROUND((ROUND((ROUND((_15_同援日０．５＿１．０*_15・基礎２),0)*(1+_15・B早朝)),0)*(1+_15・盲ろう)),0)*(1+_15・区３)),0)+ROUND((ROUND((ROUND((_15_同援日０．５＿１．０＿０．５*_15・基礎２),0)*(1+_15・盲ろう)),0)*(1+_15・区３)),0)</f>
        <v>861</v>
      </c>
      <c r="AF117" s="69"/>
    </row>
    <row r="118" spans="1:32" ht="16.5" customHeight="1" x14ac:dyDescent="0.3">
      <c r="A118" s="2">
        <v>15</v>
      </c>
      <c r="B118" s="2" t="s">
        <v>776</v>
      </c>
      <c r="C118" s="60" t="s">
        <v>11426</v>
      </c>
      <c r="D118" s="1"/>
      <c r="E118" s="68"/>
      <c r="F118" s="70"/>
      <c r="G118" s="1"/>
      <c r="H118" s="68"/>
      <c r="I118" s="70"/>
      <c r="J118" s="1"/>
      <c r="K118" s="68"/>
      <c r="L118" s="70"/>
      <c r="M118" s="106" t="s">
        <v>16812</v>
      </c>
      <c r="N118" s="57" t="s">
        <v>1</v>
      </c>
      <c r="O118" s="58">
        <v>0.9</v>
      </c>
      <c r="P118" s="83" t="s">
        <v>5895</v>
      </c>
      <c r="Q118" s="64" t="s">
        <v>1</v>
      </c>
      <c r="R118" s="65">
        <v>1</v>
      </c>
      <c r="S118" s="99"/>
      <c r="T118" s="70"/>
      <c r="U118" s="99"/>
      <c r="V118" s="70"/>
      <c r="W118" s="106"/>
      <c r="X118" s="57"/>
      <c r="Y118" s="58"/>
      <c r="Z118" s="77"/>
      <c r="AA118" s="106"/>
      <c r="AB118" s="57"/>
      <c r="AC118" s="58"/>
      <c r="AD118" s="77"/>
      <c r="AE118" s="228">
        <f>ROUND((ROUND((ROUND((ROUND((ROUND((_15_同援日０．５*_15・基礎２),0)*_15・２人),0)*(1+_15・A深夜)),0)*(1+_15・盲ろう)),0)*(1+_15・区３)),0)+ROUND((ROUND((ROUND((ROUND((ROUND((_15_同援日０．５＿１．０*_15・基礎２),0)*_15・２人),0)*(1+_15・B早朝)),0)*(1+_15・盲ろう)),0)*(1+_15・区３)),0)+ROUND((ROUND((ROUND((ROUND((_15_同援日０．５＿１．０＿０．５*_15・基礎２),0)*_15・２人),0)*(1+_15・盲ろう)),0)*(1+_15・区３)),0)</f>
        <v>861</v>
      </c>
      <c r="AF118" s="69"/>
    </row>
    <row r="119" spans="1:32" ht="16.5" customHeight="1" x14ac:dyDescent="0.3">
      <c r="A119" s="2">
        <v>15</v>
      </c>
      <c r="B119" s="2" t="s">
        <v>777</v>
      </c>
      <c r="C119" s="60" t="s">
        <v>11425</v>
      </c>
      <c r="D119" s="1"/>
      <c r="E119" s="68"/>
      <c r="F119" s="70"/>
      <c r="G119" s="1"/>
      <c r="H119" s="68"/>
      <c r="I119" s="70"/>
      <c r="J119" s="1"/>
      <c r="K119" s="68"/>
      <c r="L119" s="70"/>
      <c r="M119" s="74"/>
      <c r="N119" s="62"/>
      <c r="O119" s="63"/>
      <c r="P119" s="83"/>
      <c r="Q119" s="64"/>
      <c r="R119" s="65"/>
      <c r="S119" s="99"/>
      <c r="T119" s="70"/>
      <c r="U119" s="99"/>
      <c r="V119" s="70"/>
      <c r="W119" s="74"/>
      <c r="X119" s="62"/>
      <c r="Y119" s="63"/>
      <c r="Z119" s="75"/>
      <c r="AA119" s="78"/>
      <c r="AB119" s="62"/>
      <c r="AC119" s="63"/>
      <c r="AD119" s="75"/>
      <c r="AE119" s="228">
        <f>ROUND((ROUND((_15_同援日０．５*(1+_15・A深夜)),0)*(1+_15・区４)),0)+ROUND((ROUND((_15_同援日０．５＿１．０*(1+_15・B早朝)),0)*(1+_15・区４)),0)+ROUND((_15_同援日０．５＿１．０＿０．５*(1+_15・区４)),0)</f>
        <v>890</v>
      </c>
      <c r="AF119" s="69"/>
    </row>
    <row r="120" spans="1:32" ht="16.5" customHeight="1" x14ac:dyDescent="0.3">
      <c r="A120" s="2">
        <v>15</v>
      </c>
      <c r="B120" s="2" t="s">
        <v>778</v>
      </c>
      <c r="C120" s="60" t="s">
        <v>11424</v>
      </c>
      <c r="D120" s="1"/>
      <c r="E120" s="68"/>
      <c r="F120" s="70"/>
      <c r="G120" s="1"/>
      <c r="H120" s="68"/>
      <c r="I120" s="70"/>
      <c r="J120" s="1"/>
      <c r="K120" s="68"/>
      <c r="L120" s="70"/>
      <c r="M120" s="106"/>
      <c r="N120" s="57"/>
      <c r="O120" s="58"/>
      <c r="P120" s="83" t="s">
        <v>5895</v>
      </c>
      <c r="Q120" s="64" t="s">
        <v>1</v>
      </c>
      <c r="R120" s="65">
        <v>1</v>
      </c>
      <c r="S120" s="99"/>
      <c r="T120" s="70"/>
      <c r="U120" s="99"/>
      <c r="V120" s="70"/>
      <c r="W120" s="94"/>
      <c r="X120" s="68"/>
      <c r="Y120" s="76"/>
      <c r="Z120" s="70"/>
      <c r="AA120" s="1"/>
      <c r="AB120" s="68"/>
      <c r="AC120" s="76"/>
      <c r="AD120" s="70"/>
      <c r="AE120" s="228">
        <f>ROUND((ROUND((ROUND((_15_同援日０．５*_15・２人),0)*(1+_15・A深夜)),0)*(1+_15・区４)),0)+ROUND((ROUND((ROUND((_15_同援日０．５＿１．０*_15・２人),0)*(1+_15・B早朝)),0)*(1+_15・区４)),0)+ROUND((ROUND((_15_同援日０．５＿１．０＿０．５*_15・２人),0)*(1+_15・区４)),0)</f>
        <v>890</v>
      </c>
      <c r="AF120" s="69"/>
    </row>
    <row r="121" spans="1:32" ht="16.5" customHeight="1" x14ac:dyDescent="0.3">
      <c r="A121" s="2">
        <v>15</v>
      </c>
      <c r="B121" s="2" t="s">
        <v>779</v>
      </c>
      <c r="C121" s="60" t="s">
        <v>11423</v>
      </c>
      <c r="D121" s="1"/>
      <c r="E121" s="68"/>
      <c r="F121" s="70"/>
      <c r="G121" s="1"/>
      <c r="H121" s="68"/>
      <c r="I121" s="70"/>
      <c r="J121" s="1"/>
      <c r="K121" s="68"/>
      <c r="L121" s="70"/>
      <c r="M121" s="74" t="s">
        <v>16823</v>
      </c>
      <c r="N121" s="62"/>
      <c r="O121" s="63"/>
      <c r="P121" s="83"/>
      <c r="Q121" s="64"/>
      <c r="R121" s="65"/>
      <c r="S121" s="99"/>
      <c r="T121" s="70"/>
      <c r="U121" s="99"/>
      <c r="V121" s="70"/>
      <c r="W121" s="94"/>
      <c r="X121" s="68"/>
      <c r="Y121" s="76"/>
      <c r="Z121" s="70"/>
      <c r="AA121" s="1" t="s">
        <v>17971</v>
      </c>
      <c r="AB121" s="68"/>
      <c r="AC121" s="76"/>
      <c r="AD121" s="70"/>
      <c r="AE121" s="228">
        <f>ROUND((ROUND((ROUND((_15_同援日０．５*_15・基礎２),0)*(1+_15・A深夜)),0)*(1+_15・区４)),0)+ROUND((ROUND((ROUND((_15_同援日０．５＿１．０*_15・基礎２),0)*(1+_15・B早朝)),0)*(1+_15・区４)),0)+ROUND((ROUND((_15_同援日０．５＿１．０＿０．５*_15・基礎２),0)*(1+_15・区４)),0)</f>
        <v>802</v>
      </c>
      <c r="AF121" s="69"/>
    </row>
    <row r="122" spans="1:32" ht="16.5" customHeight="1" x14ac:dyDescent="0.3">
      <c r="A122" s="2">
        <v>15</v>
      </c>
      <c r="B122" s="2" t="s">
        <v>780</v>
      </c>
      <c r="C122" s="60" t="s">
        <v>11422</v>
      </c>
      <c r="D122" s="1"/>
      <c r="E122" s="68"/>
      <c r="F122" s="70"/>
      <c r="G122" s="1"/>
      <c r="H122" s="68"/>
      <c r="I122" s="70"/>
      <c r="J122" s="1"/>
      <c r="K122" s="68"/>
      <c r="L122" s="70"/>
      <c r="M122" s="106" t="s">
        <v>16812</v>
      </c>
      <c r="N122" s="57" t="s">
        <v>1</v>
      </c>
      <c r="O122" s="58">
        <v>0.9</v>
      </c>
      <c r="P122" s="83" t="s">
        <v>5895</v>
      </c>
      <c r="Q122" s="64" t="s">
        <v>1</v>
      </c>
      <c r="R122" s="65">
        <v>1</v>
      </c>
      <c r="S122" s="99"/>
      <c r="T122" s="70"/>
      <c r="U122" s="99"/>
      <c r="V122" s="70"/>
      <c r="W122" s="106"/>
      <c r="X122" s="57"/>
      <c r="Y122" s="58"/>
      <c r="Z122" s="77"/>
      <c r="AA122" s="1" t="s">
        <v>17970</v>
      </c>
      <c r="AB122" s="68"/>
      <c r="AC122" s="76"/>
      <c r="AD122" s="70"/>
      <c r="AE122" s="228">
        <f>ROUND((ROUND((ROUND((ROUND((_15_同援日０．５*_15・基礎２),0)*_15・２人),0)*(1+_15・A深夜)),0)*(1+_15・区４)),0)+ROUND((ROUND((ROUND((ROUND((_15_同援日０．５＿１．０*_15・基礎２),0)*_15・２人),0)*(1+_15・B早朝)),0)*(1+_15・区４)),0)+ROUND((ROUND((ROUND((_15_同援日０．５＿１．０＿０．５*_15・基礎２),0)*_15・２人),0)*(1+_15・区４)),0)</f>
        <v>802</v>
      </c>
      <c r="AF122" s="69"/>
    </row>
    <row r="123" spans="1:32" ht="16.5" customHeight="1" x14ac:dyDescent="0.3">
      <c r="A123" s="2">
        <v>15</v>
      </c>
      <c r="B123" s="2" t="s">
        <v>781</v>
      </c>
      <c r="C123" s="60" t="s">
        <v>11421</v>
      </c>
      <c r="D123" s="1"/>
      <c r="E123" s="68"/>
      <c r="F123" s="70"/>
      <c r="G123" s="1"/>
      <c r="H123" s="68"/>
      <c r="I123" s="70"/>
      <c r="J123" s="1"/>
      <c r="K123" s="68"/>
      <c r="L123" s="70"/>
      <c r="M123" s="74"/>
      <c r="N123" s="62"/>
      <c r="O123" s="63"/>
      <c r="P123" s="83"/>
      <c r="Q123" s="64"/>
      <c r="R123" s="65"/>
      <c r="S123" s="99"/>
      <c r="T123" s="70"/>
      <c r="U123" s="99"/>
      <c r="V123" s="70"/>
      <c r="W123" s="74" t="s">
        <v>17969</v>
      </c>
      <c r="X123" s="62"/>
      <c r="Y123" s="63"/>
      <c r="Z123" s="75"/>
      <c r="AA123" s="1"/>
      <c r="AB123" s="68" t="s">
        <v>1</v>
      </c>
      <c r="AC123" s="76">
        <v>0.4</v>
      </c>
      <c r="AD123" s="70" t="s">
        <v>422</v>
      </c>
      <c r="AE123" s="228">
        <f>ROUND((ROUND((ROUND((_15_同援日０．５*(1+_15・A深夜)),0)*(1+_15・盲ろう)),0)*(1+_15・区４)),0)+ROUND((ROUND((ROUND((_15_同援日０．５＿１．０*(1+_15・B早朝)),0)*(1+_15・盲ろう)),0)*(1+_15・区４)),0)+ROUND((ROUND((_15_同援日０．５＿１．０＿０．５*(1+_15・盲ろう)),0)*(1+_15・区４)),0)</f>
        <v>1113</v>
      </c>
      <c r="AF123" s="69"/>
    </row>
    <row r="124" spans="1:32" ht="16.5" customHeight="1" x14ac:dyDescent="0.3">
      <c r="A124" s="2">
        <v>15</v>
      </c>
      <c r="B124" s="2" t="s">
        <v>782</v>
      </c>
      <c r="C124" s="60" t="s">
        <v>11420</v>
      </c>
      <c r="D124" s="1"/>
      <c r="E124" s="68"/>
      <c r="F124" s="70"/>
      <c r="G124" s="1"/>
      <c r="H124" s="68"/>
      <c r="I124" s="70"/>
      <c r="J124" s="1"/>
      <c r="K124" s="68"/>
      <c r="L124" s="70"/>
      <c r="M124" s="106"/>
      <c r="N124" s="57"/>
      <c r="O124" s="58"/>
      <c r="P124" s="83" t="s">
        <v>5895</v>
      </c>
      <c r="Q124" s="64" t="s">
        <v>1</v>
      </c>
      <c r="R124" s="65">
        <v>1</v>
      </c>
      <c r="S124" s="99"/>
      <c r="T124" s="70"/>
      <c r="U124" s="99"/>
      <c r="V124" s="70"/>
      <c r="W124" s="94" t="s">
        <v>17968</v>
      </c>
      <c r="X124" s="68"/>
      <c r="Y124" s="76"/>
      <c r="Z124" s="70"/>
      <c r="AA124" s="1"/>
      <c r="AB124" s="68"/>
      <c r="AC124" s="76"/>
      <c r="AD124" s="70"/>
      <c r="AE124" s="228">
        <f>ROUND((ROUND((ROUND((ROUND((_15_同援日０．５*_15・２人),0)*(1+_15・A深夜)),0)*(1+_15・盲ろう)),0)*(1+_15・区４)),0)+ROUND((ROUND((ROUND((ROUND((_15_同援日０．５＿１．０*_15・２人),0)*(1+_15・B早朝)),0)*(1+_15・盲ろう)),0)*(1+_15・区４)),0)+ROUND((ROUND((ROUND((_15_同援日０．５＿１．０＿０．５*_15・２人),0)*(1+_15・盲ろう)),0)*(1+_15・区４)),0)</f>
        <v>1113</v>
      </c>
      <c r="AF124" s="69"/>
    </row>
    <row r="125" spans="1:32" ht="16.5" customHeight="1" x14ac:dyDescent="0.3">
      <c r="A125" s="2">
        <v>15</v>
      </c>
      <c r="B125" s="2" t="s">
        <v>783</v>
      </c>
      <c r="C125" s="60" t="s">
        <v>11419</v>
      </c>
      <c r="D125" s="1"/>
      <c r="E125" s="68"/>
      <c r="F125" s="70"/>
      <c r="G125" s="1"/>
      <c r="H125" s="68"/>
      <c r="I125" s="70"/>
      <c r="J125" s="1"/>
      <c r="K125" s="68"/>
      <c r="L125" s="70"/>
      <c r="M125" s="74" t="s">
        <v>16823</v>
      </c>
      <c r="N125" s="62"/>
      <c r="O125" s="63"/>
      <c r="P125" s="83"/>
      <c r="Q125" s="64"/>
      <c r="R125" s="65"/>
      <c r="S125" s="99"/>
      <c r="T125" s="70"/>
      <c r="U125" s="99"/>
      <c r="V125" s="70"/>
      <c r="W125" s="94"/>
      <c r="X125" s="68" t="s">
        <v>1</v>
      </c>
      <c r="Y125" s="76">
        <v>0.25</v>
      </c>
      <c r="Z125" s="70" t="s">
        <v>422</v>
      </c>
      <c r="AA125" s="1"/>
      <c r="AB125" s="68"/>
      <c r="AC125" s="76"/>
      <c r="AD125" s="70"/>
      <c r="AE125" s="228">
        <f>ROUND((ROUND((ROUND((ROUND((_15_同援日０．５*_15・基礎２),0)*(1+_15・A深夜)),0)*(1+_15・盲ろう)),0)*(1+_15・区４)),0)+ROUND((ROUND((ROUND((ROUND((_15_同援日０．５＿１．０*_15・基礎２),0)*(1+_15・B早朝)),0)*(1+_15・盲ろう)),0)*(1+_15・区４)),0)+ROUND((ROUND((ROUND((_15_同援日０．５＿１．０＿０．５*_15・基礎２),0)*(1+_15・盲ろう)),0)*(1+_15・区４)),0)</f>
        <v>1003</v>
      </c>
      <c r="AF125" s="69"/>
    </row>
    <row r="126" spans="1:32" ht="16.5" customHeight="1" x14ac:dyDescent="0.3">
      <c r="A126" s="2">
        <v>15</v>
      </c>
      <c r="B126" s="2" t="s">
        <v>784</v>
      </c>
      <c r="C126" s="60" t="s">
        <v>11418</v>
      </c>
      <c r="D126" s="1"/>
      <c r="E126" s="68"/>
      <c r="F126" s="70"/>
      <c r="G126" s="1"/>
      <c r="H126" s="68"/>
      <c r="I126" s="70"/>
      <c r="J126" s="81"/>
      <c r="K126" s="57"/>
      <c r="L126" s="77"/>
      <c r="M126" s="106" t="s">
        <v>16812</v>
      </c>
      <c r="N126" s="57" t="s">
        <v>1</v>
      </c>
      <c r="O126" s="58">
        <v>0.9</v>
      </c>
      <c r="P126" s="83" t="s">
        <v>5895</v>
      </c>
      <c r="Q126" s="64" t="s">
        <v>1</v>
      </c>
      <c r="R126" s="65">
        <v>1</v>
      </c>
      <c r="S126" s="99"/>
      <c r="T126" s="70"/>
      <c r="U126" s="99"/>
      <c r="V126" s="70"/>
      <c r="W126" s="106"/>
      <c r="X126" s="57"/>
      <c r="Y126" s="58"/>
      <c r="Z126" s="77"/>
      <c r="AA126" s="106"/>
      <c r="AB126" s="57"/>
      <c r="AC126" s="58"/>
      <c r="AD126" s="77"/>
      <c r="AE126" s="228">
        <f>ROUND((ROUND((ROUND((ROUND((ROUND((_15_同援日０．５*_15・基礎２),0)*_15・２人),0)*(1+_15・A深夜)),0)*(1+_15・盲ろう)),0)*(1+_15・区４)),0)+ROUND((ROUND((ROUND((ROUND((ROUND((_15_同援日０．５＿１．０*_15・基礎２),0)*_15・２人),0)*(1+_15・B早朝)),0)*(1+_15・盲ろう)),0)*(1+_15・区４)),0)+ROUND((ROUND((ROUND((ROUND((_15_同援日０．５＿１．０＿０．５*_15・基礎２),0)*_15・２人),0)*(1+_15・盲ろう)),0)*(1+_15・区４)),0)</f>
        <v>1003</v>
      </c>
      <c r="AF126" s="69"/>
    </row>
    <row r="127" spans="1:32" ht="16.5" customHeight="1" x14ac:dyDescent="0.3">
      <c r="A127" s="2">
        <v>15</v>
      </c>
      <c r="B127" s="2" t="s">
        <v>785</v>
      </c>
      <c r="C127" s="60" t="s">
        <v>11417</v>
      </c>
      <c r="D127" s="1"/>
      <c r="E127" s="68"/>
      <c r="F127" s="70"/>
      <c r="G127" s="1"/>
      <c r="H127" s="68"/>
      <c r="I127" s="70"/>
      <c r="J127" s="74" t="s">
        <v>17363</v>
      </c>
      <c r="K127" s="62"/>
      <c r="L127" s="75"/>
      <c r="M127" s="74"/>
      <c r="N127" s="62"/>
      <c r="O127" s="63"/>
      <c r="P127" s="83"/>
      <c r="Q127" s="64"/>
      <c r="R127" s="65"/>
      <c r="S127" s="99"/>
      <c r="T127" s="70"/>
      <c r="U127" s="99"/>
      <c r="V127" s="70"/>
      <c r="W127" s="74"/>
      <c r="X127" s="62"/>
      <c r="Y127" s="63"/>
      <c r="Z127" s="75"/>
      <c r="AA127" s="78"/>
      <c r="AB127" s="62"/>
      <c r="AC127" s="63"/>
      <c r="AD127" s="75"/>
      <c r="AE127" s="228">
        <f>ROUND((_15_同援日０．５*(1+_15・A深夜)),0)+ROUND((_15_同援日０．５＿１．０*(1+_15・B早朝)),0)+_15_同援日０．５＿１．０＿１．０</f>
        <v>699</v>
      </c>
      <c r="AF127" s="69"/>
    </row>
    <row r="128" spans="1:32" ht="16.5" customHeight="1" x14ac:dyDescent="0.3">
      <c r="A128" s="2">
        <v>15</v>
      </c>
      <c r="B128" s="2" t="s">
        <v>786</v>
      </c>
      <c r="C128" s="60" t="s">
        <v>11416</v>
      </c>
      <c r="D128" s="1"/>
      <c r="E128" s="68"/>
      <c r="F128" s="70"/>
      <c r="G128" s="1"/>
      <c r="H128" s="68"/>
      <c r="I128" s="70"/>
      <c r="J128" s="1" t="s">
        <v>16874</v>
      </c>
      <c r="K128" s="68"/>
      <c r="L128" s="70"/>
      <c r="M128" s="106"/>
      <c r="N128" s="57"/>
      <c r="O128" s="58"/>
      <c r="P128" s="83" t="s">
        <v>5895</v>
      </c>
      <c r="Q128" s="64" t="s">
        <v>1</v>
      </c>
      <c r="R128" s="65">
        <v>1</v>
      </c>
      <c r="S128" s="99"/>
      <c r="T128" s="70"/>
      <c r="U128" s="99"/>
      <c r="V128" s="70"/>
      <c r="W128" s="94"/>
      <c r="X128" s="68"/>
      <c r="Y128" s="76"/>
      <c r="Z128" s="70"/>
      <c r="AA128" s="1"/>
      <c r="AB128" s="68"/>
      <c r="AC128" s="76"/>
      <c r="AD128" s="70"/>
      <c r="AE128" s="228">
        <f>ROUND((ROUND((_15_同援日０．５*_15・２人),0)*(1+_15・A深夜)),0)+ROUND((ROUND((_15_同援日０．５＿１．０*_15・２人),0)*(1+_15・B早朝)),0)+ROUND((_15_同援日０．５＿１．０＿１．０*_15・２人),0)</f>
        <v>699</v>
      </c>
      <c r="AF128" s="69"/>
    </row>
    <row r="129" spans="1:32" ht="16.5" customHeight="1" x14ac:dyDescent="0.3">
      <c r="A129" s="2">
        <v>15</v>
      </c>
      <c r="B129" s="2" t="s">
        <v>787</v>
      </c>
      <c r="C129" s="60" t="s">
        <v>11415</v>
      </c>
      <c r="D129" s="1"/>
      <c r="E129" s="68"/>
      <c r="F129" s="70"/>
      <c r="G129" s="1"/>
      <c r="H129" s="68"/>
      <c r="I129" s="70"/>
      <c r="J129" s="1" t="s">
        <v>8572</v>
      </c>
      <c r="K129" s="68"/>
      <c r="L129" s="70"/>
      <c r="M129" s="74" t="s">
        <v>16823</v>
      </c>
      <c r="N129" s="62"/>
      <c r="O129" s="63"/>
      <c r="P129" s="83"/>
      <c r="Q129" s="64"/>
      <c r="R129" s="65"/>
      <c r="S129" s="99"/>
      <c r="T129" s="70"/>
      <c r="U129" s="99"/>
      <c r="V129" s="70"/>
      <c r="W129" s="94"/>
      <c r="X129" s="68"/>
      <c r="Y129" s="76"/>
      <c r="Z129" s="70"/>
      <c r="AA129" s="1"/>
      <c r="AB129" s="68"/>
      <c r="AC129" s="76"/>
      <c r="AD129" s="70"/>
      <c r="AE129" s="228">
        <f>ROUND((ROUND((_15_同援日０．５*_15・基礎２),0)*(1+_15・A深夜)),0)+ROUND((ROUND((_15_同援日０．５＿１．０*_15・基礎２),0)*(1+_15・B早朝)),0)+ROUND((_15_同援日０．５＿１．０＿１．０*_15・基礎２),0)</f>
        <v>629</v>
      </c>
      <c r="AF129" s="69"/>
    </row>
    <row r="130" spans="1:32" ht="16.5" customHeight="1" x14ac:dyDescent="0.3">
      <c r="A130" s="2">
        <v>15</v>
      </c>
      <c r="B130" s="2" t="s">
        <v>788</v>
      </c>
      <c r="C130" s="60" t="s">
        <v>11414</v>
      </c>
      <c r="D130" s="1"/>
      <c r="E130" s="68"/>
      <c r="F130" s="70"/>
      <c r="G130" s="1"/>
      <c r="H130" s="68"/>
      <c r="I130" s="70"/>
      <c r="J130" s="1"/>
      <c r="K130" s="227">
        <v>127</v>
      </c>
      <c r="L130" s="70" t="s">
        <v>0</v>
      </c>
      <c r="M130" s="106" t="s">
        <v>16812</v>
      </c>
      <c r="N130" s="57" t="s">
        <v>1</v>
      </c>
      <c r="O130" s="58">
        <v>0.9</v>
      </c>
      <c r="P130" s="83" t="s">
        <v>5895</v>
      </c>
      <c r="Q130" s="64" t="s">
        <v>1</v>
      </c>
      <c r="R130" s="65">
        <v>1</v>
      </c>
      <c r="S130" s="99"/>
      <c r="T130" s="70"/>
      <c r="U130" s="99"/>
      <c r="V130" s="70"/>
      <c r="W130" s="106"/>
      <c r="X130" s="57"/>
      <c r="Y130" s="58"/>
      <c r="Z130" s="77"/>
      <c r="AA130" s="1"/>
      <c r="AB130" s="68"/>
      <c r="AC130" s="76"/>
      <c r="AD130" s="70"/>
      <c r="AE130" s="228">
        <f>ROUND((ROUND((ROUND((_15_同援日０．５*_15・基礎２),0)*_15・２人),0)*(1+_15・A深夜)),0)+ROUND((ROUND((ROUND((_15_同援日０．５＿１．０*_15・基礎２),0)*_15・２人),0)*(1+_15・B早朝)),0)+ROUND((ROUND((_15_同援日０．５＿１．０＿１．０*_15・基礎２),0)*_15・２人),0)</f>
        <v>629</v>
      </c>
      <c r="AF130" s="69"/>
    </row>
    <row r="131" spans="1:32" ht="16.5" customHeight="1" x14ac:dyDescent="0.3">
      <c r="A131" s="2">
        <v>15</v>
      </c>
      <c r="B131" s="2" t="s">
        <v>789</v>
      </c>
      <c r="C131" s="60" t="s">
        <v>11413</v>
      </c>
      <c r="D131" s="1"/>
      <c r="E131" s="68"/>
      <c r="F131" s="70"/>
      <c r="G131" s="1"/>
      <c r="H131" s="68"/>
      <c r="I131" s="70"/>
      <c r="J131" s="1"/>
      <c r="K131" s="68"/>
      <c r="L131" s="70"/>
      <c r="M131" s="74"/>
      <c r="N131" s="62"/>
      <c r="O131" s="63"/>
      <c r="P131" s="83"/>
      <c r="Q131" s="64"/>
      <c r="R131" s="65"/>
      <c r="S131" s="99"/>
      <c r="T131" s="70"/>
      <c r="U131" s="99"/>
      <c r="V131" s="70"/>
      <c r="W131" s="74" t="s">
        <v>17969</v>
      </c>
      <c r="X131" s="62"/>
      <c r="Y131" s="63"/>
      <c r="Z131" s="75"/>
      <c r="AA131" s="1"/>
      <c r="AB131" s="68"/>
      <c r="AC131" s="76"/>
      <c r="AD131" s="70"/>
      <c r="AE131" s="228">
        <f>ROUND((ROUND((_15_同援日０．５*(1+_15・A深夜)),0)*(1+_15・盲ろう)),0)+ROUND((ROUND((_15_同援日０．５＿１．０*(1+_15・B早朝)),0)*(1+_15・盲ろう)),0)+ROUND((_15_同援日０．５＿１．０＿１．０*(1+_15・盲ろう)),0)</f>
        <v>874</v>
      </c>
      <c r="AF131" s="69"/>
    </row>
    <row r="132" spans="1:32" ht="16.5" customHeight="1" x14ac:dyDescent="0.3">
      <c r="A132" s="2">
        <v>15</v>
      </c>
      <c r="B132" s="2" t="s">
        <v>790</v>
      </c>
      <c r="C132" s="60" t="s">
        <v>11412</v>
      </c>
      <c r="D132" s="1"/>
      <c r="E132" s="68"/>
      <c r="F132" s="70"/>
      <c r="G132" s="1"/>
      <c r="H132" s="68"/>
      <c r="I132" s="70"/>
      <c r="J132" s="1"/>
      <c r="K132" s="68"/>
      <c r="L132" s="70"/>
      <c r="M132" s="106"/>
      <c r="N132" s="57"/>
      <c r="O132" s="58"/>
      <c r="P132" s="83" t="s">
        <v>5895</v>
      </c>
      <c r="Q132" s="64" t="s">
        <v>1</v>
      </c>
      <c r="R132" s="65">
        <v>1</v>
      </c>
      <c r="S132" s="99"/>
      <c r="T132" s="70"/>
      <c r="U132" s="99"/>
      <c r="V132" s="70"/>
      <c r="W132" s="94" t="s">
        <v>17968</v>
      </c>
      <c r="X132" s="68"/>
      <c r="Y132" s="76"/>
      <c r="Z132" s="70"/>
      <c r="AA132" s="1"/>
      <c r="AB132" s="68"/>
      <c r="AC132" s="76"/>
      <c r="AD132" s="70"/>
      <c r="AE132" s="228">
        <f>ROUND((ROUND((ROUND((_15_同援日０．５*_15・２人),0)*(1+_15・A深夜)),0)*(1+_15・盲ろう)),0)+ROUND((ROUND((ROUND((_15_同援日０．５＿１．０*_15・２人),0)*(1+_15・B早朝)),0)*(1+_15・盲ろう)),0)+ROUND((ROUND((_15_同援日０．５＿１．０＿１．０*_15・２人),0)*(1+_15・盲ろう)),0)</f>
        <v>874</v>
      </c>
      <c r="AF132" s="69"/>
    </row>
    <row r="133" spans="1:32" ht="16.5" customHeight="1" x14ac:dyDescent="0.3">
      <c r="A133" s="2">
        <v>15</v>
      </c>
      <c r="B133" s="2" t="s">
        <v>791</v>
      </c>
      <c r="C133" s="60" t="s">
        <v>11411</v>
      </c>
      <c r="D133" s="1"/>
      <c r="E133" s="68"/>
      <c r="F133" s="70"/>
      <c r="G133" s="1"/>
      <c r="H133" s="68"/>
      <c r="I133" s="70"/>
      <c r="J133" s="1"/>
      <c r="K133" s="68"/>
      <c r="L133" s="70"/>
      <c r="M133" s="74" t="s">
        <v>16823</v>
      </c>
      <c r="N133" s="62"/>
      <c r="O133" s="63"/>
      <c r="P133" s="83"/>
      <c r="Q133" s="64"/>
      <c r="R133" s="65"/>
      <c r="S133" s="99"/>
      <c r="T133" s="70"/>
      <c r="U133" s="99"/>
      <c r="V133" s="70"/>
      <c r="W133" s="94"/>
      <c r="X133" s="68" t="s">
        <v>1</v>
      </c>
      <c r="Y133" s="76">
        <v>0.25</v>
      </c>
      <c r="Z133" s="70" t="s">
        <v>422</v>
      </c>
      <c r="AA133" s="1"/>
      <c r="AB133" s="68"/>
      <c r="AC133" s="76"/>
      <c r="AD133" s="70"/>
      <c r="AE133" s="228">
        <f>ROUND((ROUND((ROUND((_15_同援日０．５*_15・基礎２),0)*(1+_15・A深夜)),0)*(1+_15・盲ろう)),0)+ROUND((ROUND((ROUND((_15_同援日０．５＿１．０*_15・基礎２),0)*(1+_15・B早朝)),0)*(1+_15・盲ろう)),0)+ROUND((ROUND((_15_同援日０．５＿１．０＿１．０*_15・基礎２),0)*(1+_15・盲ろう)),0)</f>
        <v>787</v>
      </c>
      <c r="AF133" s="69"/>
    </row>
    <row r="134" spans="1:32" ht="16.5" customHeight="1" x14ac:dyDescent="0.3">
      <c r="A134" s="2">
        <v>15</v>
      </c>
      <c r="B134" s="2" t="s">
        <v>792</v>
      </c>
      <c r="C134" s="60" t="s">
        <v>11410</v>
      </c>
      <c r="D134" s="1"/>
      <c r="E134" s="68"/>
      <c r="F134" s="70"/>
      <c r="G134" s="1"/>
      <c r="H134" s="68"/>
      <c r="I134" s="70"/>
      <c r="J134" s="1"/>
      <c r="K134" s="68"/>
      <c r="L134" s="70"/>
      <c r="M134" s="106" t="s">
        <v>16812</v>
      </c>
      <c r="N134" s="57" t="s">
        <v>1</v>
      </c>
      <c r="O134" s="58">
        <v>0.9</v>
      </c>
      <c r="P134" s="83" t="s">
        <v>5895</v>
      </c>
      <c r="Q134" s="64" t="s">
        <v>1</v>
      </c>
      <c r="R134" s="65">
        <v>1</v>
      </c>
      <c r="S134" s="99"/>
      <c r="T134" s="70"/>
      <c r="U134" s="99"/>
      <c r="V134" s="70"/>
      <c r="W134" s="106"/>
      <c r="X134" s="57"/>
      <c r="Y134" s="58"/>
      <c r="Z134" s="77"/>
      <c r="AA134" s="106"/>
      <c r="AB134" s="57"/>
      <c r="AC134" s="58"/>
      <c r="AD134" s="77"/>
      <c r="AE134" s="228">
        <f>ROUND((ROUND((ROUND((ROUND((_15_同援日０．５*_15・基礎２),0)*_15・２人),0)*(1+_15・A深夜)),0)*(1+_15・盲ろう)),0)+ROUND((ROUND((ROUND((ROUND((_15_同援日０．５＿１．０*_15・基礎２),0)*_15・２人),0)*(1+_15・B早朝)),0)*(1+_15・盲ろう)),0)+ROUND((ROUND((ROUND((_15_同援日０．５＿１．０＿１．０*_15・基礎２),0)*_15・２人),0)*(1+_15・盲ろう)),0)</f>
        <v>787</v>
      </c>
      <c r="AF134" s="69"/>
    </row>
    <row r="135" spans="1:32" ht="16.5" customHeight="1" x14ac:dyDescent="0.3">
      <c r="A135" s="2">
        <v>15</v>
      </c>
      <c r="B135" s="2" t="s">
        <v>793</v>
      </c>
      <c r="C135" s="60" t="s">
        <v>11409</v>
      </c>
      <c r="D135" s="1"/>
      <c r="E135" s="68"/>
      <c r="F135" s="70"/>
      <c r="G135" s="1"/>
      <c r="H135" s="68"/>
      <c r="I135" s="70"/>
      <c r="J135" s="1"/>
      <c r="K135" s="68"/>
      <c r="L135" s="70"/>
      <c r="M135" s="74"/>
      <c r="N135" s="62"/>
      <c r="O135" s="63"/>
      <c r="P135" s="83"/>
      <c r="Q135" s="64"/>
      <c r="R135" s="65"/>
      <c r="S135" s="99"/>
      <c r="T135" s="70"/>
      <c r="U135" s="99"/>
      <c r="V135" s="70"/>
      <c r="W135" s="74"/>
      <c r="X135" s="62"/>
      <c r="Y135" s="63"/>
      <c r="Z135" s="75"/>
      <c r="AA135" s="78"/>
      <c r="AB135" s="62"/>
      <c r="AC135" s="63"/>
      <c r="AD135" s="75"/>
      <c r="AE135" s="228">
        <f>ROUND((ROUND((_15_同援日０．５*(1+_15・A深夜)),0)*(1+_15・区３)),0)+ROUND((ROUND((_15_同援日０．５＿１．０*(1+_15・B早朝)),0)*(1+_15・区３)),0)+ROUND((_15_同援日０．５＿１．０＿１．０*(1+_15・区３)),0)</f>
        <v>838</v>
      </c>
      <c r="AF135" s="69"/>
    </row>
    <row r="136" spans="1:32" ht="16.5" customHeight="1" x14ac:dyDescent="0.3">
      <c r="A136" s="2">
        <v>15</v>
      </c>
      <c r="B136" s="2" t="s">
        <v>794</v>
      </c>
      <c r="C136" s="60" t="s">
        <v>11408</v>
      </c>
      <c r="D136" s="1"/>
      <c r="E136" s="68"/>
      <c r="F136" s="70"/>
      <c r="G136" s="1"/>
      <c r="H136" s="68"/>
      <c r="I136" s="70"/>
      <c r="J136" s="1"/>
      <c r="K136" s="68"/>
      <c r="L136" s="70"/>
      <c r="M136" s="106"/>
      <c r="N136" s="57"/>
      <c r="O136" s="58"/>
      <c r="P136" s="83" t="s">
        <v>5895</v>
      </c>
      <c r="Q136" s="64" t="s">
        <v>1</v>
      </c>
      <c r="R136" s="65">
        <v>1</v>
      </c>
      <c r="S136" s="99"/>
      <c r="T136" s="70"/>
      <c r="U136" s="99"/>
      <c r="V136" s="70"/>
      <c r="W136" s="94"/>
      <c r="X136" s="68"/>
      <c r="Y136" s="76"/>
      <c r="Z136" s="70"/>
      <c r="AA136" s="1"/>
      <c r="AB136" s="68"/>
      <c r="AC136" s="76"/>
      <c r="AD136" s="70"/>
      <c r="AE136" s="228">
        <f>ROUND((ROUND((ROUND((_15_同援日０．５*_15・２人),0)*(1+_15・A深夜)),0)*(1+_15・区３)),0)+ROUND((ROUND((ROUND((_15_同援日０．５＿１．０*_15・２人),0)*(1+_15・B早朝)),0)*(1+_15・区３)),0)+ROUND((ROUND((_15_同援日０．５＿１．０＿１．０*_15・２人),0)*(1+_15・区３)),0)</f>
        <v>838</v>
      </c>
      <c r="AF136" s="69"/>
    </row>
    <row r="137" spans="1:32" ht="16.5" customHeight="1" x14ac:dyDescent="0.3">
      <c r="A137" s="2">
        <v>15</v>
      </c>
      <c r="B137" s="2" t="s">
        <v>795</v>
      </c>
      <c r="C137" s="60" t="s">
        <v>11407</v>
      </c>
      <c r="D137" s="1"/>
      <c r="E137" s="68"/>
      <c r="F137" s="70"/>
      <c r="G137" s="1"/>
      <c r="H137" s="68"/>
      <c r="I137" s="70"/>
      <c r="J137" s="1"/>
      <c r="K137" s="68"/>
      <c r="L137" s="70"/>
      <c r="M137" s="74" t="s">
        <v>16823</v>
      </c>
      <c r="N137" s="62"/>
      <c r="O137" s="63"/>
      <c r="P137" s="83"/>
      <c r="Q137" s="64"/>
      <c r="R137" s="65"/>
      <c r="S137" s="99"/>
      <c r="T137" s="70"/>
      <c r="U137" s="99"/>
      <c r="V137" s="70"/>
      <c r="W137" s="94"/>
      <c r="X137" s="68"/>
      <c r="Y137" s="76"/>
      <c r="Z137" s="70"/>
      <c r="AA137" s="1" t="s">
        <v>17974</v>
      </c>
      <c r="AB137" s="68"/>
      <c r="AC137" s="76"/>
      <c r="AD137" s="70"/>
      <c r="AE137" s="228">
        <f>ROUND((ROUND((ROUND((_15_同援日０．５*_15・基礎２),0)*(1+_15・A深夜)),0)*(1+_15・区３)),0)+ROUND((ROUND((ROUND((_15_同援日０．５＿１．０*_15・基礎２),0)*(1+_15・B早朝)),0)*(1+_15・区３)),0)+ROUND((ROUND((_15_同援日０．５＿１．０＿１．０*_15・基礎２),0)*(1+_15・区３)),0)</f>
        <v>755</v>
      </c>
      <c r="AF137" s="69"/>
    </row>
    <row r="138" spans="1:32" ht="16.5" customHeight="1" x14ac:dyDescent="0.3">
      <c r="A138" s="2">
        <v>15</v>
      </c>
      <c r="B138" s="2" t="s">
        <v>796</v>
      </c>
      <c r="C138" s="60" t="s">
        <v>11406</v>
      </c>
      <c r="D138" s="1"/>
      <c r="E138" s="68"/>
      <c r="F138" s="70"/>
      <c r="G138" s="1"/>
      <c r="H138" s="68"/>
      <c r="I138" s="70"/>
      <c r="J138" s="1"/>
      <c r="K138" s="68"/>
      <c r="L138" s="70"/>
      <c r="M138" s="106" t="s">
        <v>16812</v>
      </c>
      <c r="N138" s="57" t="s">
        <v>1</v>
      </c>
      <c r="O138" s="58">
        <v>0.9</v>
      </c>
      <c r="P138" s="83" t="s">
        <v>5895</v>
      </c>
      <c r="Q138" s="64" t="s">
        <v>1</v>
      </c>
      <c r="R138" s="65">
        <v>1</v>
      </c>
      <c r="S138" s="99"/>
      <c r="T138" s="70"/>
      <c r="U138" s="99"/>
      <c r="V138" s="70"/>
      <c r="W138" s="106"/>
      <c r="X138" s="57"/>
      <c r="Y138" s="58"/>
      <c r="Z138" s="77"/>
      <c r="AA138" s="1" t="s">
        <v>17970</v>
      </c>
      <c r="AB138" s="68"/>
      <c r="AC138" s="76"/>
      <c r="AD138" s="70"/>
      <c r="AE138" s="228">
        <f>ROUND((ROUND((ROUND((ROUND((_15_同援日０．５*_15・基礎２),0)*_15・２人),0)*(1+_15・A深夜)),0)*(1+_15・区３)),0)+ROUND((ROUND((ROUND((ROUND((_15_同援日０．５＿１．０*_15・基礎２),0)*_15・２人),0)*(1+_15・B早朝)),0)*(1+_15・区３)),0)+ROUND((ROUND((ROUND((_15_同援日０．５＿１．０＿１．０*_15・基礎２),0)*_15・２人),0)*(1+_15・区３)),0)</f>
        <v>755</v>
      </c>
      <c r="AF138" s="69"/>
    </row>
    <row r="139" spans="1:32" ht="16.5" customHeight="1" x14ac:dyDescent="0.3">
      <c r="A139" s="2">
        <v>15</v>
      </c>
      <c r="B139" s="2" t="s">
        <v>797</v>
      </c>
      <c r="C139" s="60" t="s">
        <v>11405</v>
      </c>
      <c r="D139" s="1"/>
      <c r="E139" s="68"/>
      <c r="F139" s="70"/>
      <c r="G139" s="1"/>
      <c r="H139" s="68"/>
      <c r="I139" s="70"/>
      <c r="J139" s="1"/>
      <c r="K139" s="68"/>
      <c r="L139" s="70"/>
      <c r="M139" s="74"/>
      <c r="N139" s="62"/>
      <c r="O139" s="63"/>
      <c r="P139" s="83"/>
      <c r="Q139" s="64"/>
      <c r="R139" s="65"/>
      <c r="S139" s="99"/>
      <c r="T139" s="70"/>
      <c r="U139" s="99"/>
      <c r="V139" s="70"/>
      <c r="W139" s="74" t="s">
        <v>17969</v>
      </c>
      <c r="X139" s="62"/>
      <c r="Y139" s="63"/>
      <c r="Z139" s="75"/>
      <c r="AA139" s="1"/>
      <c r="AB139" s="68" t="s">
        <v>1</v>
      </c>
      <c r="AC139" s="76">
        <v>0.2</v>
      </c>
      <c r="AD139" s="70" t="s">
        <v>422</v>
      </c>
      <c r="AE139" s="228">
        <f>ROUND((ROUND((ROUND((_15_同援日０．５*(1+_15・A深夜)),0)*(1+_15・盲ろう)),0)*(1+_15・区３)),0)+ROUND((ROUND((ROUND((_15_同援日０．５＿１．０*(1+_15・B早朝)),0)*(1+_15・盲ろう)),0)*(1+_15・区３)),0)+ROUND((ROUND((_15_同援日０．５＿１．０＿１．０*(1+_15・盲ろう)),0)*(1+_15・区３)),0)</f>
        <v>1049</v>
      </c>
      <c r="AF139" s="69"/>
    </row>
    <row r="140" spans="1:32" ht="16.5" customHeight="1" x14ac:dyDescent="0.3">
      <c r="A140" s="2">
        <v>15</v>
      </c>
      <c r="B140" s="2" t="s">
        <v>798</v>
      </c>
      <c r="C140" s="60" t="s">
        <v>11404</v>
      </c>
      <c r="D140" s="1"/>
      <c r="E140" s="68"/>
      <c r="F140" s="70"/>
      <c r="G140" s="1"/>
      <c r="H140" s="68"/>
      <c r="I140" s="70"/>
      <c r="J140" s="1"/>
      <c r="K140" s="68"/>
      <c r="L140" s="70"/>
      <c r="M140" s="106"/>
      <c r="N140" s="57"/>
      <c r="O140" s="58"/>
      <c r="P140" s="83" t="s">
        <v>5895</v>
      </c>
      <c r="Q140" s="64" t="s">
        <v>1</v>
      </c>
      <c r="R140" s="65">
        <v>1</v>
      </c>
      <c r="S140" s="99"/>
      <c r="T140" s="70"/>
      <c r="U140" s="99"/>
      <c r="V140" s="70"/>
      <c r="W140" s="94" t="s">
        <v>17968</v>
      </c>
      <c r="X140" s="68"/>
      <c r="Y140" s="76"/>
      <c r="Z140" s="70"/>
      <c r="AA140" s="1"/>
      <c r="AB140" s="68"/>
      <c r="AC140" s="76"/>
      <c r="AD140" s="70"/>
      <c r="AE140" s="228">
        <f>ROUND((ROUND((ROUND((ROUND((_15_同援日０．５*_15・２人),0)*(1+_15・A深夜)),0)*(1+_15・盲ろう)),0)*(1+_15・区３)),0)+ROUND((ROUND((ROUND((ROUND((_15_同援日０．５＿１．０*_15・２人),0)*(1+_15・B早朝)),0)*(1+_15・盲ろう)),0)*(1+_15・区３)),0)+ROUND((ROUND((ROUND((_15_同援日０．５＿１．０＿１．０*_15・２人),0)*(1+_15・盲ろう)),0)*(1+_15・区３)),0)</f>
        <v>1049</v>
      </c>
      <c r="AF140" s="69"/>
    </row>
    <row r="141" spans="1:32" ht="16.5" customHeight="1" x14ac:dyDescent="0.3">
      <c r="A141" s="2">
        <v>15</v>
      </c>
      <c r="B141" s="2" t="s">
        <v>799</v>
      </c>
      <c r="C141" s="60" t="s">
        <v>11403</v>
      </c>
      <c r="D141" s="1"/>
      <c r="E141" s="68"/>
      <c r="F141" s="70"/>
      <c r="G141" s="1"/>
      <c r="H141" s="68"/>
      <c r="I141" s="70"/>
      <c r="J141" s="1"/>
      <c r="K141" s="68"/>
      <c r="L141" s="70"/>
      <c r="M141" s="74" t="s">
        <v>16823</v>
      </c>
      <c r="N141" s="62"/>
      <c r="O141" s="63"/>
      <c r="P141" s="83"/>
      <c r="Q141" s="64"/>
      <c r="R141" s="65"/>
      <c r="S141" s="99"/>
      <c r="T141" s="70"/>
      <c r="U141" s="99"/>
      <c r="V141" s="70"/>
      <c r="W141" s="94"/>
      <c r="X141" s="68" t="s">
        <v>1</v>
      </c>
      <c r="Y141" s="76">
        <v>0.25</v>
      </c>
      <c r="Z141" s="70" t="s">
        <v>422</v>
      </c>
      <c r="AA141" s="1"/>
      <c r="AB141" s="68"/>
      <c r="AC141" s="76"/>
      <c r="AD141" s="70"/>
      <c r="AE141" s="228">
        <f>ROUND((ROUND((ROUND((ROUND((_15_同援日０．５*_15・基礎２),0)*(1+_15・A深夜)),0)*(1+_15・盲ろう)),0)*(1+_15・区３)),0)+ROUND((ROUND((ROUND((ROUND((_15_同援日０．５＿１．０*_15・基礎２),0)*(1+_15・B早朝)),0)*(1+_15・盲ろう)),0)*(1+_15・区３)),0)+ROUND((ROUND((ROUND((_15_同援日０．５＿１．０＿１．０*_15・基礎２),0)*(1+_15・盲ろう)),0)*(1+_15・区３)),0)</f>
        <v>945</v>
      </c>
      <c r="AF141" s="69"/>
    </row>
    <row r="142" spans="1:32" ht="16.5" customHeight="1" x14ac:dyDescent="0.3">
      <c r="A142" s="2">
        <v>15</v>
      </c>
      <c r="B142" s="2" t="s">
        <v>800</v>
      </c>
      <c r="C142" s="60" t="s">
        <v>11402</v>
      </c>
      <c r="D142" s="1"/>
      <c r="E142" s="68"/>
      <c r="F142" s="70"/>
      <c r="G142" s="1"/>
      <c r="H142" s="68"/>
      <c r="I142" s="70"/>
      <c r="J142" s="1"/>
      <c r="K142" s="68"/>
      <c r="L142" s="70"/>
      <c r="M142" s="106" t="s">
        <v>16812</v>
      </c>
      <c r="N142" s="57" t="s">
        <v>1</v>
      </c>
      <c r="O142" s="58">
        <v>0.9</v>
      </c>
      <c r="P142" s="83" t="s">
        <v>5895</v>
      </c>
      <c r="Q142" s="64" t="s">
        <v>1</v>
      </c>
      <c r="R142" s="65">
        <v>1</v>
      </c>
      <c r="S142" s="99"/>
      <c r="T142" s="70"/>
      <c r="U142" s="99"/>
      <c r="V142" s="70"/>
      <c r="W142" s="106"/>
      <c r="X142" s="57"/>
      <c r="Y142" s="58"/>
      <c r="Z142" s="77"/>
      <c r="AA142" s="106"/>
      <c r="AB142" s="57"/>
      <c r="AC142" s="58"/>
      <c r="AD142" s="77"/>
      <c r="AE142" s="228">
        <f>ROUND((ROUND((ROUND((ROUND((ROUND((_15_同援日０．５*_15・基礎２),0)*_15・２人),0)*(1+_15・A深夜)),0)*(1+_15・盲ろう)),0)*(1+_15・区３)),0)+ROUND((ROUND((ROUND((ROUND((ROUND((_15_同援日０．５＿１．０*_15・基礎２),0)*_15・２人),0)*(1+_15・B早朝)),0)*(1+_15・盲ろう)),0)*(1+_15・区３)),0)+ROUND((ROUND((ROUND((ROUND((_15_同援日０．５＿１．０＿１．０*_15・基礎２),0)*_15・２人),0)*(1+_15・盲ろう)),0)*(1+_15・区３)),0)</f>
        <v>945</v>
      </c>
      <c r="AF142" s="69"/>
    </row>
    <row r="143" spans="1:32" ht="16.5" customHeight="1" x14ac:dyDescent="0.3">
      <c r="A143" s="2">
        <v>15</v>
      </c>
      <c r="B143" s="2" t="s">
        <v>801</v>
      </c>
      <c r="C143" s="60" t="s">
        <v>11401</v>
      </c>
      <c r="D143" s="1"/>
      <c r="E143" s="68"/>
      <c r="F143" s="70"/>
      <c r="G143" s="1"/>
      <c r="H143" s="68"/>
      <c r="I143" s="70"/>
      <c r="J143" s="1"/>
      <c r="K143" s="68"/>
      <c r="L143" s="70"/>
      <c r="M143" s="74"/>
      <c r="N143" s="62"/>
      <c r="O143" s="63"/>
      <c r="P143" s="83"/>
      <c r="Q143" s="64"/>
      <c r="R143" s="65"/>
      <c r="S143" s="99"/>
      <c r="T143" s="70"/>
      <c r="U143" s="99"/>
      <c r="V143" s="70"/>
      <c r="W143" s="74"/>
      <c r="X143" s="62"/>
      <c r="Y143" s="63"/>
      <c r="Z143" s="75"/>
      <c r="AA143" s="78"/>
      <c r="AB143" s="62"/>
      <c r="AC143" s="63"/>
      <c r="AD143" s="75"/>
      <c r="AE143" s="228">
        <f>ROUND((ROUND((_15_同援日０．５*(1+_15・A深夜)),0)*(1+_15・区４)),0)+ROUND((ROUND((_15_同援日０．５＿１．０*(1+_15・B早朝)),0)*(1+_15・区４)),0)+ROUND((_15_同援日０．５＿１．０＿１．０*(1+_15・区４)),0)</f>
        <v>978</v>
      </c>
      <c r="AF143" s="69"/>
    </row>
    <row r="144" spans="1:32" ht="16.5" customHeight="1" x14ac:dyDescent="0.3">
      <c r="A144" s="2">
        <v>15</v>
      </c>
      <c r="B144" s="2" t="s">
        <v>802</v>
      </c>
      <c r="C144" s="60" t="s">
        <v>11400</v>
      </c>
      <c r="D144" s="1"/>
      <c r="E144" s="68"/>
      <c r="F144" s="70"/>
      <c r="G144" s="1"/>
      <c r="H144" s="68"/>
      <c r="I144" s="70"/>
      <c r="J144" s="1"/>
      <c r="K144" s="68"/>
      <c r="L144" s="70"/>
      <c r="M144" s="106"/>
      <c r="N144" s="57"/>
      <c r="O144" s="58"/>
      <c r="P144" s="83" t="s">
        <v>5895</v>
      </c>
      <c r="Q144" s="64" t="s">
        <v>1</v>
      </c>
      <c r="R144" s="65">
        <v>1</v>
      </c>
      <c r="S144" s="99"/>
      <c r="T144" s="70"/>
      <c r="U144" s="99"/>
      <c r="V144" s="70"/>
      <c r="W144" s="94"/>
      <c r="X144" s="68"/>
      <c r="Y144" s="76"/>
      <c r="Z144" s="70"/>
      <c r="AA144" s="1"/>
      <c r="AB144" s="68"/>
      <c r="AC144" s="76"/>
      <c r="AD144" s="70"/>
      <c r="AE144" s="228">
        <f>ROUND((ROUND((ROUND((_15_同援日０．５*_15・２人),0)*(1+_15・A深夜)),0)*(1+_15・区４)),0)+ROUND((ROUND((ROUND((_15_同援日０．５＿１．０*_15・２人),0)*(1+_15・B早朝)),0)*(1+_15・区４)),0)+ROUND((ROUND((_15_同援日０．５＿１．０＿１．０*_15・２人),0)*(1+_15・区４)),0)</f>
        <v>978</v>
      </c>
      <c r="AF144" s="69"/>
    </row>
    <row r="145" spans="1:32" ht="16.5" customHeight="1" x14ac:dyDescent="0.3">
      <c r="A145" s="2">
        <v>15</v>
      </c>
      <c r="B145" s="2" t="s">
        <v>803</v>
      </c>
      <c r="C145" s="60" t="s">
        <v>11399</v>
      </c>
      <c r="D145" s="1"/>
      <c r="E145" s="68"/>
      <c r="F145" s="70"/>
      <c r="G145" s="1"/>
      <c r="H145" s="68"/>
      <c r="I145" s="70"/>
      <c r="J145" s="1"/>
      <c r="K145" s="68"/>
      <c r="L145" s="70"/>
      <c r="M145" s="74" t="s">
        <v>16823</v>
      </c>
      <c r="N145" s="62"/>
      <c r="O145" s="63"/>
      <c r="P145" s="83"/>
      <c r="Q145" s="64"/>
      <c r="R145" s="65"/>
      <c r="S145" s="99"/>
      <c r="T145" s="70"/>
      <c r="U145" s="99"/>
      <c r="V145" s="70"/>
      <c r="W145" s="94"/>
      <c r="X145" s="68"/>
      <c r="Y145" s="76"/>
      <c r="Z145" s="70"/>
      <c r="AA145" s="1" t="s">
        <v>17971</v>
      </c>
      <c r="AB145" s="68"/>
      <c r="AC145" s="76"/>
      <c r="AD145" s="70"/>
      <c r="AE145" s="228">
        <f>ROUND((ROUND((ROUND((_15_同援日０．５*_15・基礎２),0)*(1+_15・A深夜)),0)*(1+_15・区４)),0)+ROUND((ROUND((ROUND((_15_同援日０．５＿１．０*_15・基礎２),0)*(1+_15・B早朝)),0)*(1+_15・区４)),0)+ROUND((ROUND((_15_同援日０．５＿１．０＿１．０*_15・基礎２),0)*(1+_15・区４)),0)</f>
        <v>881</v>
      </c>
      <c r="AF145" s="69"/>
    </row>
    <row r="146" spans="1:32" ht="16.5" customHeight="1" x14ac:dyDescent="0.3">
      <c r="A146" s="2">
        <v>15</v>
      </c>
      <c r="B146" s="2" t="s">
        <v>804</v>
      </c>
      <c r="C146" s="60" t="s">
        <v>11398</v>
      </c>
      <c r="D146" s="1"/>
      <c r="E146" s="68"/>
      <c r="F146" s="70"/>
      <c r="G146" s="1"/>
      <c r="H146" s="68"/>
      <c r="I146" s="70"/>
      <c r="J146" s="1"/>
      <c r="K146" s="68"/>
      <c r="L146" s="70"/>
      <c r="M146" s="106" t="s">
        <v>16812</v>
      </c>
      <c r="N146" s="57" t="s">
        <v>1</v>
      </c>
      <c r="O146" s="58">
        <v>0.9</v>
      </c>
      <c r="P146" s="83" t="s">
        <v>5895</v>
      </c>
      <c r="Q146" s="64" t="s">
        <v>1</v>
      </c>
      <c r="R146" s="65">
        <v>1</v>
      </c>
      <c r="S146" s="99"/>
      <c r="T146" s="70"/>
      <c r="U146" s="99"/>
      <c r="V146" s="70"/>
      <c r="W146" s="106"/>
      <c r="X146" s="57"/>
      <c r="Y146" s="58"/>
      <c r="Z146" s="77"/>
      <c r="AA146" s="1" t="s">
        <v>17970</v>
      </c>
      <c r="AB146" s="68"/>
      <c r="AC146" s="76"/>
      <c r="AD146" s="70"/>
      <c r="AE146" s="228">
        <f>ROUND((ROUND((ROUND((ROUND((_15_同援日０．５*_15・基礎２),0)*_15・２人),0)*(1+_15・A深夜)),0)*(1+_15・区４)),0)+ROUND((ROUND((ROUND((ROUND((_15_同援日０．５＿１．０*_15・基礎２),0)*_15・２人),0)*(1+_15・B早朝)),0)*(1+_15・区４)),0)+ROUND((ROUND((ROUND((_15_同援日０．５＿１．０＿１．０*_15・基礎２),0)*_15・２人),0)*(1+_15・区４)),0)</f>
        <v>881</v>
      </c>
      <c r="AF146" s="69"/>
    </row>
    <row r="147" spans="1:32" ht="16.5" customHeight="1" x14ac:dyDescent="0.3">
      <c r="A147" s="2">
        <v>15</v>
      </c>
      <c r="B147" s="2" t="s">
        <v>805</v>
      </c>
      <c r="C147" s="60" t="s">
        <v>11397</v>
      </c>
      <c r="D147" s="1"/>
      <c r="E147" s="68"/>
      <c r="F147" s="70"/>
      <c r="G147" s="1"/>
      <c r="H147" s="68"/>
      <c r="I147" s="70"/>
      <c r="J147" s="1"/>
      <c r="K147" s="68"/>
      <c r="L147" s="70"/>
      <c r="M147" s="74"/>
      <c r="N147" s="62"/>
      <c r="O147" s="63"/>
      <c r="P147" s="83"/>
      <c r="Q147" s="64"/>
      <c r="R147" s="65"/>
      <c r="S147" s="99"/>
      <c r="T147" s="70"/>
      <c r="U147" s="99"/>
      <c r="V147" s="70"/>
      <c r="W147" s="74" t="s">
        <v>17969</v>
      </c>
      <c r="X147" s="62"/>
      <c r="Y147" s="63"/>
      <c r="Z147" s="75"/>
      <c r="AA147" s="1"/>
      <c r="AB147" s="68" t="s">
        <v>1</v>
      </c>
      <c r="AC147" s="76">
        <v>0.4</v>
      </c>
      <c r="AD147" s="70" t="s">
        <v>422</v>
      </c>
      <c r="AE147" s="228">
        <f>ROUND((ROUND((ROUND((_15_同援日０．５*(1+_15・A深夜)),0)*(1+_15・盲ろう)),0)*(1+_15・区４)),0)+ROUND((ROUND((ROUND((_15_同援日０．５＿１．０*(1+_15・B早朝)),0)*(1+_15・盲ろう)),0)*(1+_15・区４)),0)+ROUND((ROUND((_15_同援日０．５＿１．０＿１．０*(1+_15・盲ろう)),0)*(1+_15・区４)),0)</f>
        <v>1224</v>
      </c>
      <c r="AF147" s="69"/>
    </row>
    <row r="148" spans="1:32" ht="16.5" customHeight="1" x14ac:dyDescent="0.3">
      <c r="A148" s="2">
        <v>15</v>
      </c>
      <c r="B148" s="2" t="s">
        <v>806</v>
      </c>
      <c r="C148" s="60" t="s">
        <v>11396</v>
      </c>
      <c r="D148" s="1"/>
      <c r="E148" s="68"/>
      <c r="F148" s="70"/>
      <c r="G148" s="1"/>
      <c r="H148" s="68"/>
      <c r="I148" s="70"/>
      <c r="J148" s="1"/>
      <c r="K148" s="68"/>
      <c r="L148" s="70"/>
      <c r="M148" s="106"/>
      <c r="N148" s="57"/>
      <c r="O148" s="58"/>
      <c r="P148" s="83" t="s">
        <v>5895</v>
      </c>
      <c r="Q148" s="64" t="s">
        <v>1</v>
      </c>
      <c r="R148" s="65">
        <v>1</v>
      </c>
      <c r="S148" s="99"/>
      <c r="T148" s="70"/>
      <c r="U148" s="99"/>
      <c r="V148" s="70"/>
      <c r="W148" s="94" t="s">
        <v>17968</v>
      </c>
      <c r="X148" s="68"/>
      <c r="Y148" s="76"/>
      <c r="Z148" s="70"/>
      <c r="AA148" s="1"/>
      <c r="AB148" s="68"/>
      <c r="AC148" s="76"/>
      <c r="AD148" s="70"/>
      <c r="AE148" s="228">
        <f>ROUND((ROUND((ROUND((ROUND((_15_同援日０．５*_15・２人),0)*(1+_15・A深夜)),0)*(1+_15・盲ろう)),0)*(1+_15・区４)),0)+ROUND((ROUND((ROUND((ROUND((_15_同援日０．５＿１．０*_15・２人),0)*(1+_15・B早朝)),0)*(1+_15・盲ろう)),0)*(1+_15・区４)),0)+ROUND((ROUND((ROUND((_15_同援日０．５＿１．０＿１．０*_15・２人),0)*(1+_15・盲ろう)),0)*(1+_15・区４)),0)</f>
        <v>1224</v>
      </c>
      <c r="AF148" s="69"/>
    </row>
    <row r="149" spans="1:32" ht="16.5" customHeight="1" x14ac:dyDescent="0.3">
      <c r="A149" s="2">
        <v>15</v>
      </c>
      <c r="B149" s="2" t="s">
        <v>807</v>
      </c>
      <c r="C149" s="60" t="s">
        <v>11395</v>
      </c>
      <c r="D149" s="1"/>
      <c r="E149" s="68"/>
      <c r="F149" s="70"/>
      <c r="G149" s="1"/>
      <c r="H149" s="68"/>
      <c r="I149" s="70"/>
      <c r="J149" s="1"/>
      <c r="K149" s="68"/>
      <c r="L149" s="70"/>
      <c r="M149" s="74" t="s">
        <v>16823</v>
      </c>
      <c r="N149" s="62"/>
      <c r="O149" s="63"/>
      <c r="P149" s="83"/>
      <c r="Q149" s="64"/>
      <c r="R149" s="65"/>
      <c r="S149" s="99"/>
      <c r="T149" s="70"/>
      <c r="U149" s="99"/>
      <c r="V149" s="70"/>
      <c r="W149" s="94"/>
      <c r="X149" s="68" t="s">
        <v>1</v>
      </c>
      <c r="Y149" s="76">
        <v>0.25</v>
      </c>
      <c r="Z149" s="70" t="s">
        <v>422</v>
      </c>
      <c r="AA149" s="1"/>
      <c r="AB149" s="68"/>
      <c r="AC149" s="76"/>
      <c r="AD149" s="70"/>
      <c r="AE149" s="228">
        <f>ROUND((ROUND((ROUND((ROUND((_15_同援日０．５*_15・基礎２),0)*(1+_15・A深夜)),0)*(1+_15・盲ろう)),0)*(1+_15・区４)),0)+ROUND((ROUND((ROUND((ROUND((_15_同援日０．５＿１．０*_15・基礎２),0)*(1+_15・B早朝)),0)*(1+_15・盲ろう)),0)*(1+_15・区４)),0)+ROUND((ROUND((ROUND((_15_同援日０．５＿１．０＿１．０*_15・基礎２),0)*(1+_15・盲ろう)),0)*(1+_15・区４)),0)</f>
        <v>1101</v>
      </c>
      <c r="AF149" s="69"/>
    </row>
    <row r="150" spans="1:32" ht="16.5" customHeight="1" x14ac:dyDescent="0.3">
      <c r="A150" s="2">
        <v>15</v>
      </c>
      <c r="B150" s="2" t="s">
        <v>808</v>
      </c>
      <c r="C150" s="60" t="s">
        <v>11394</v>
      </c>
      <c r="D150" s="1"/>
      <c r="E150" s="68"/>
      <c r="F150" s="70"/>
      <c r="G150" s="1"/>
      <c r="H150" s="68"/>
      <c r="I150" s="70"/>
      <c r="J150" s="81"/>
      <c r="K150" s="57"/>
      <c r="L150" s="77"/>
      <c r="M150" s="106" t="s">
        <v>16812</v>
      </c>
      <c r="N150" s="57" t="s">
        <v>1</v>
      </c>
      <c r="O150" s="58">
        <v>0.9</v>
      </c>
      <c r="P150" s="83" t="s">
        <v>5895</v>
      </c>
      <c r="Q150" s="64" t="s">
        <v>1</v>
      </c>
      <c r="R150" s="65">
        <v>1</v>
      </c>
      <c r="S150" s="99"/>
      <c r="T150" s="70"/>
      <c r="U150" s="99"/>
      <c r="V150" s="70"/>
      <c r="W150" s="106"/>
      <c r="X150" s="57"/>
      <c r="Y150" s="58"/>
      <c r="Z150" s="77"/>
      <c r="AA150" s="106"/>
      <c r="AB150" s="57"/>
      <c r="AC150" s="58"/>
      <c r="AD150" s="77"/>
      <c r="AE150" s="228">
        <f>ROUND((ROUND((ROUND((ROUND((ROUND((_15_同援日０．５*_15・基礎２),0)*_15・２人),0)*(1+_15・A深夜)),0)*(1+_15・盲ろう)),0)*(1+_15・区４)),0)+ROUND((ROUND((ROUND((ROUND((ROUND((_15_同援日０．５＿１．０*_15・基礎２),0)*_15・２人),0)*(1+_15・B早朝)),0)*(1+_15・盲ろう)),0)*(1+_15・区４)),0)+ROUND((ROUND((ROUND((ROUND((_15_同援日０．５＿１．０＿１．０*_15・基礎２),0)*_15・２人),0)*(1+_15・盲ろう)),0)*(1+_15・区４)),0)</f>
        <v>1101</v>
      </c>
      <c r="AF150" s="69"/>
    </row>
    <row r="151" spans="1:32" ht="16.5" customHeight="1" x14ac:dyDescent="0.3">
      <c r="A151" s="2">
        <v>15</v>
      </c>
      <c r="B151" s="2" t="s">
        <v>809</v>
      </c>
      <c r="C151" s="60" t="s">
        <v>11393</v>
      </c>
      <c r="D151" s="1"/>
      <c r="E151" s="68"/>
      <c r="F151" s="70"/>
      <c r="G151" s="1"/>
      <c r="H151" s="68"/>
      <c r="I151" s="70"/>
      <c r="J151" s="74" t="s">
        <v>18123</v>
      </c>
      <c r="K151" s="62"/>
      <c r="L151" s="75"/>
      <c r="M151" s="74"/>
      <c r="N151" s="62"/>
      <c r="O151" s="63"/>
      <c r="P151" s="83"/>
      <c r="Q151" s="64"/>
      <c r="R151" s="65"/>
      <c r="S151" s="99"/>
      <c r="T151" s="70"/>
      <c r="U151" s="99"/>
      <c r="V151" s="70"/>
      <c r="W151" s="74"/>
      <c r="X151" s="62"/>
      <c r="Y151" s="63"/>
      <c r="Z151" s="75"/>
      <c r="AA151" s="78"/>
      <c r="AB151" s="62"/>
      <c r="AC151" s="63"/>
      <c r="AD151" s="75"/>
      <c r="AE151" s="228">
        <f>ROUND((_15_同援日０．５*(1+_15・A深夜)),0)+ROUND((_15_同援日０．５＿１．０*(1+_15・B早朝)),0)+_15_同援日０．５＿１．０＿１．５</f>
        <v>762</v>
      </c>
      <c r="AF151" s="69"/>
    </row>
    <row r="152" spans="1:32" ht="16.5" customHeight="1" x14ac:dyDescent="0.3">
      <c r="A152" s="2">
        <v>15</v>
      </c>
      <c r="B152" s="2" t="s">
        <v>810</v>
      </c>
      <c r="C152" s="60" t="s">
        <v>11392</v>
      </c>
      <c r="D152" s="1"/>
      <c r="E152" s="68"/>
      <c r="F152" s="70"/>
      <c r="G152" s="1"/>
      <c r="H152" s="68"/>
      <c r="I152" s="70"/>
      <c r="J152" s="1" t="s">
        <v>16871</v>
      </c>
      <c r="K152" s="68"/>
      <c r="L152" s="70"/>
      <c r="M152" s="106"/>
      <c r="N152" s="57"/>
      <c r="O152" s="58"/>
      <c r="P152" s="83" t="s">
        <v>5895</v>
      </c>
      <c r="Q152" s="64" t="s">
        <v>1</v>
      </c>
      <c r="R152" s="65">
        <v>1</v>
      </c>
      <c r="S152" s="99"/>
      <c r="T152" s="70"/>
      <c r="U152" s="99"/>
      <c r="V152" s="70"/>
      <c r="W152" s="94"/>
      <c r="X152" s="68"/>
      <c r="Y152" s="76"/>
      <c r="Z152" s="70"/>
      <c r="AA152" s="1"/>
      <c r="AB152" s="68"/>
      <c r="AC152" s="76"/>
      <c r="AD152" s="70"/>
      <c r="AE152" s="228">
        <f>ROUND((ROUND((_15_同援日０．５*_15・２人),0)*(1+_15・A深夜)),0)+ROUND((ROUND((_15_同援日０．５＿１．０*_15・２人),0)*(1+_15・B早朝)),0)+ROUND((_15_同援日０．５＿１．０＿１．５*_15・２人),0)</f>
        <v>762</v>
      </c>
      <c r="AF152" s="69"/>
    </row>
    <row r="153" spans="1:32" ht="16.5" customHeight="1" x14ac:dyDescent="0.3">
      <c r="A153" s="2">
        <v>15</v>
      </c>
      <c r="B153" s="2" t="s">
        <v>811</v>
      </c>
      <c r="C153" s="60" t="s">
        <v>11391</v>
      </c>
      <c r="D153" s="1"/>
      <c r="E153" s="68"/>
      <c r="F153" s="70"/>
      <c r="G153" s="1"/>
      <c r="H153" s="68"/>
      <c r="I153" s="70"/>
      <c r="J153" s="1" t="s">
        <v>8767</v>
      </c>
      <c r="K153" s="68"/>
      <c r="L153" s="70"/>
      <c r="M153" s="74" t="s">
        <v>16823</v>
      </c>
      <c r="N153" s="62"/>
      <c r="O153" s="63"/>
      <c r="P153" s="83"/>
      <c r="Q153" s="64"/>
      <c r="R153" s="65"/>
      <c r="S153" s="99"/>
      <c r="T153" s="70"/>
      <c r="U153" s="99"/>
      <c r="V153" s="70"/>
      <c r="W153" s="94"/>
      <c r="X153" s="68"/>
      <c r="Y153" s="76"/>
      <c r="Z153" s="70"/>
      <c r="AA153" s="1"/>
      <c r="AB153" s="68"/>
      <c r="AC153" s="76"/>
      <c r="AD153" s="70"/>
      <c r="AE153" s="228">
        <f>ROUND((ROUND((_15_同援日０．５*_15・基礎２),0)*(1+_15・A深夜)),0)+ROUND((ROUND((_15_同援日０．５＿１．０*_15・基礎２),0)*(1+_15・B早朝)),0)+ROUND((_15_同援日０．５＿１．０＿１．５*_15・基礎２),0)</f>
        <v>686</v>
      </c>
      <c r="AF153" s="69"/>
    </row>
    <row r="154" spans="1:32" ht="16.5" customHeight="1" x14ac:dyDescent="0.3">
      <c r="A154" s="2">
        <v>15</v>
      </c>
      <c r="B154" s="2" t="s">
        <v>812</v>
      </c>
      <c r="C154" s="60" t="s">
        <v>11390</v>
      </c>
      <c r="D154" s="1"/>
      <c r="E154" s="68"/>
      <c r="F154" s="70"/>
      <c r="G154" s="1"/>
      <c r="H154" s="68"/>
      <c r="I154" s="70"/>
      <c r="J154" s="1"/>
      <c r="K154" s="119">
        <v>190</v>
      </c>
      <c r="L154" s="70" t="s">
        <v>0</v>
      </c>
      <c r="M154" s="106" t="s">
        <v>16812</v>
      </c>
      <c r="N154" s="57" t="s">
        <v>1</v>
      </c>
      <c r="O154" s="58">
        <v>0.9</v>
      </c>
      <c r="P154" s="83" t="s">
        <v>5895</v>
      </c>
      <c r="Q154" s="64" t="s">
        <v>1</v>
      </c>
      <c r="R154" s="65">
        <v>1</v>
      </c>
      <c r="S154" s="99"/>
      <c r="T154" s="70"/>
      <c r="U154" s="99"/>
      <c r="V154" s="70"/>
      <c r="W154" s="106"/>
      <c r="X154" s="57"/>
      <c r="Y154" s="58"/>
      <c r="Z154" s="77"/>
      <c r="AA154" s="1"/>
      <c r="AB154" s="68"/>
      <c r="AC154" s="76"/>
      <c r="AD154" s="70"/>
      <c r="AE154" s="228">
        <f>ROUND((ROUND((ROUND((_15_同援日０．５*_15・基礎２),0)*_15・２人),0)*(1+_15・A深夜)),0)+ROUND((ROUND((ROUND((_15_同援日０．５＿１．０*_15・基礎２),0)*_15・２人),0)*(1+_15・B早朝)),0)+ROUND((ROUND((_15_同援日０．５＿１．０＿１．５*_15・基礎２),0)*_15・２人),0)</f>
        <v>686</v>
      </c>
      <c r="AF154" s="69"/>
    </row>
    <row r="155" spans="1:32" ht="16.5" customHeight="1" x14ac:dyDescent="0.3">
      <c r="A155" s="2">
        <v>15</v>
      </c>
      <c r="B155" s="2" t="s">
        <v>813</v>
      </c>
      <c r="C155" s="60" t="s">
        <v>11389</v>
      </c>
      <c r="D155" s="1"/>
      <c r="E155" s="68"/>
      <c r="F155" s="70"/>
      <c r="G155" s="1"/>
      <c r="H155" s="68"/>
      <c r="I155" s="70"/>
      <c r="J155" s="1"/>
      <c r="K155" s="68"/>
      <c r="L155" s="70"/>
      <c r="M155" s="74"/>
      <c r="N155" s="62"/>
      <c r="O155" s="63"/>
      <c r="P155" s="83"/>
      <c r="Q155" s="64"/>
      <c r="R155" s="65"/>
      <c r="S155" s="99"/>
      <c r="T155" s="70"/>
      <c r="U155" s="99"/>
      <c r="V155" s="70"/>
      <c r="W155" s="74" t="s">
        <v>17969</v>
      </c>
      <c r="X155" s="62"/>
      <c r="Y155" s="63"/>
      <c r="Z155" s="75"/>
      <c r="AA155" s="1"/>
      <c r="AB155" s="68"/>
      <c r="AC155" s="76"/>
      <c r="AD155" s="70"/>
      <c r="AE155" s="228">
        <f>ROUND((ROUND((_15_同援日０．５*(1+_15・A深夜)),0)*(1+_15・盲ろう)),0)+ROUND((ROUND((_15_同援日０．５＿１．０*(1+_15・B早朝)),0)*(1+_15・盲ろう)),0)+ROUND((_15_同援日０．５＿１．０＿１．５*(1+_15・盲ろう)),0)</f>
        <v>953</v>
      </c>
      <c r="AF155" s="69"/>
    </row>
    <row r="156" spans="1:32" ht="16.5" customHeight="1" x14ac:dyDescent="0.3">
      <c r="A156" s="2">
        <v>15</v>
      </c>
      <c r="B156" s="2" t="s">
        <v>814</v>
      </c>
      <c r="C156" s="60" t="s">
        <v>11388</v>
      </c>
      <c r="D156" s="1"/>
      <c r="E156" s="68"/>
      <c r="F156" s="70"/>
      <c r="G156" s="1"/>
      <c r="H156" s="68"/>
      <c r="I156" s="70"/>
      <c r="J156" s="1"/>
      <c r="K156" s="68"/>
      <c r="L156" s="70"/>
      <c r="M156" s="106"/>
      <c r="N156" s="57"/>
      <c r="O156" s="58"/>
      <c r="P156" s="83" t="s">
        <v>5895</v>
      </c>
      <c r="Q156" s="64" t="s">
        <v>1</v>
      </c>
      <c r="R156" s="65">
        <v>1</v>
      </c>
      <c r="S156" s="99"/>
      <c r="T156" s="70"/>
      <c r="U156" s="99"/>
      <c r="V156" s="70"/>
      <c r="W156" s="94" t="s">
        <v>17968</v>
      </c>
      <c r="X156" s="68"/>
      <c r="Y156" s="76"/>
      <c r="Z156" s="70"/>
      <c r="AA156" s="1"/>
      <c r="AB156" s="68"/>
      <c r="AC156" s="76"/>
      <c r="AD156" s="70"/>
      <c r="AE156" s="228">
        <f>ROUND((ROUND((ROUND((_15_同援日０．５*_15・２人),0)*(1+_15・A深夜)),0)*(1+_15・盲ろう)),0)+ROUND((ROUND((ROUND((_15_同援日０．５＿１．０*_15・２人),0)*(1+_15・B早朝)),0)*(1+_15・盲ろう)),0)+ROUND((ROUND((_15_同援日０．５＿１．０＿１．５*_15・２人),0)*(1+_15・盲ろう)),0)</f>
        <v>953</v>
      </c>
      <c r="AF156" s="69"/>
    </row>
    <row r="157" spans="1:32" ht="16.5" customHeight="1" x14ac:dyDescent="0.3">
      <c r="A157" s="2">
        <v>15</v>
      </c>
      <c r="B157" s="2" t="s">
        <v>815</v>
      </c>
      <c r="C157" s="60" t="s">
        <v>11387</v>
      </c>
      <c r="D157" s="1"/>
      <c r="E157" s="68"/>
      <c r="F157" s="70"/>
      <c r="G157" s="1"/>
      <c r="H157" s="68"/>
      <c r="I157" s="70"/>
      <c r="J157" s="1"/>
      <c r="K157" s="68"/>
      <c r="L157" s="70"/>
      <c r="M157" s="74" t="s">
        <v>16823</v>
      </c>
      <c r="N157" s="62"/>
      <c r="O157" s="63"/>
      <c r="P157" s="83"/>
      <c r="Q157" s="64"/>
      <c r="R157" s="65"/>
      <c r="S157" s="99"/>
      <c r="T157" s="70"/>
      <c r="U157" s="99"/>
      <c r="V157" s="70"/>
      <c r="W157" s="94"/>
      <c r="X157" s="68" t="s">
        <v>1</v>
      </c>
      <c r="Y157" s="76">
        <v>0.25</v>
      </c>
      <c r="Z157" s="70" t="s">
        <v>422</v>
      </c>
      <c r="AA157" s="1"/>
      <c r="AB157" s="68"/>
      <c r="AC157" s="76"/>
      <c r="AD157" s="70"/>
      <c r="AE157" s="228">
        <f>ROUND((ROUND((ROUND((_15_同援日０．５*_15・基礎２),0)*(1+_15・A深夜)),0)*(1+_15・盲ろう)),0)+ROUND((ROUND((ROUND((_15_同援日０．５＿１．０*_15・基礎２),0)*(1+_15・B早朝)),0)*(1+_15・盲ろう)),0)+ROUND((ROUND((_15_同援日０．５＿１．０＿１．５*_15・基礎２),0)*(1+_15・盲ろう)),0)</f>
        <v>858</v>
      </c>
      <c r="AF157" s="69"/>
    </row>
    <row r="158" spans="1:32" ht="16.5" customHeight="1" x14ac:dyDescent="0.3">
      <c r="A158" s="2">
        <v>15</v>
      </c>
      <c r="B158" s="2" t="s">
        <v>816</v>
      </c>
      <c r="C158" s="60" t="s">
        <v>11386</v>
      </c>
      <c r="D158" s="1"/>
      <c r="E158" s="68"/>
      <c r="F158" s="70"/>
      <c r="G158" s="1"/>
      <c r="H158" s="68"/>
      <c r="I158" s="70"/>
      <c r="J158" s="1"/>
      <c r="K158" s="68"/>
      <c r="L158" s="70"/>
      <c r="M158" s="106" t="s">
        <v>16812</v>
      </c>
      <c r="N158" s="57" t="s">
        <v>1</v>
      </c>
      <c r="O158" s="58">
        <v>0.9</v>
      </c>
      <c r="P158" s="83" t="s">
        <v>5895</v>
      </c>
      <c r="Q158" s="64" t="s">
        <v>1</v>
      </c>
      <c r="R158" s="65">
        <v>1</v>
      </c>
      <c r="S158" s="99"/>
      <c r="T158" s="70"/>
      <c r="U158" s="99"/>
      <c r="V158" s="70"/>
      <c r="W158" s="106"/>
      <c r="X158" s="57"/>
      <c r="Y158" s="58"/>
      <c r="Z158" s="77"/>
      <c r="AA158" s="106"/>
      <c r="AB158" s="57"/>
      <c r="AC158" s="58"/>
      <c r="AD158" s="77"/>
      <c r="AE158" s="228">
        <f>ROUND((ROUND((ROUND((ROUND((_15_同援日０．５*_15・基礎２),0)*_15・２人),0)*(1+_15・A深夜)),0)*(1+_15・盲ろう)),0)+ROUND((ROUND((ROUND((ROUND((_15_同援日０．５＿１．０*_15・基礎２),0)*_15・２人),0)*(1+_15・B早朝)),0)*(1+_15・盲ろう)),0)+ROUND((ROUND((ROUND((_15_同援日０．５＿１．０＿１．５*_15・基礎２),0)*_15・２人),0)*(1+_15・盲ろう)),0)</f>
        <v>858</v>
      </c>
      <c r="AF158" s="69"/>
    </row>
    <row r="159" spans="1:32" ht="16.5" customHeight="1" x14ac:dyDescent="0.3">
      <c r="A159" s="2">
        <v>15</v>
      </c>
      <c r="B159" s="2" t="s">
        <v>817</v>
      </c>
      <c r="C159" s="60" t="s">
        <v>11385</v>
      </c>
      <c r="D159" s="1"/>
      <c r="E159" s="68"/>
      <c r="F159" s="70"/>
      <c r="G159" s="1"/>
      <c r="H159" s="68"/>
      <c r="I159" s="70"/>
      <c r="J159" s="1"/>
      <c r="K159" s="68"/>
      <c r="L159" s="70"/>
      <c r="M159" s="74"/>
      <c r="N159" s="62"/>
      <c r="O159" s="63"/>
      <c r="P159" s="83"/>
      <c r="Q159" s="64"/>
      <c r="R159" s="65"/>
      <c r="S159" s="99"/>
      <c r="T159" s="70"/>
      <c r="U159" s="99"/>
      <c r="V159" s="70"/>
      <c r="W159" s="74"/>
      <c r="X159" s="62"/>
      <c r="Y159" s="63"/>
      <c r="Z159" s="75"/>
      <c r="AA159" s="78"/>
      <c r="AB159" s="62"/>
      <c r="AC159" s="63"/>
      <c r="AD159" s="75"/>
      <c r="AE159" s="228">
        <f>ROUND((ROUND((_15_同援日０．５*(1+_15・A深夜)),0)*(1+_15・区３)),0)+ROUND((ROUND((_15_同援日０．５＿１．０*(1+_15・B早朝)),0)*(1+_15・区３)),0)+ROUND((_15_同援日０．５＿１．０＿１．５*(1+_15・区３)),0)</f>
        <v>914</v>
      </c>
      <c r="AF159" s="69"/>
    </row>
    <row r="160" spans="1:32" ht="16.5" customHeight="1" x14ac:dyDescent="0.3">
      <c r="A160" s="2">
        <v>15</v>
      </c>
      <c r="B160" s="2" t="s">
        <v>818</v>
      </c>
      <c r="C160" s="60" t="s">
        <v>11384</v>
      </c>
      <c r="D160" s="1"/>
      <c r="E160" s="68"/>
      <c r="F160" s="70"/>
      <c r="G160" s="1"/>
      <c r="H160" s="68"/>
      <c r="I160" s="70"/>
      <c r="J160" s="1"/>
      <c r="K160" s="68"/>
      <c r="L160" s="70"/>
      <c r="M160" s="106"/>
      <c r="N160" s="57"/>
      <c r="O160" s="58"/>
      <c r="P160" s="83" t="s">
        <v>5895</v>
      </c>
      <c r="Q160" s="64" t="s">
        <v>1</v>
      </c>
      <c r="R160" s="65">
        <v>1</v>
      </c>
      <c r="S160" s="99"/>
      <c r="T160" s="70"/>
      <c r="U160" s="99"/>
      <c r="V160" s="70"/>
      <c r="W160" s="94"/>
      <c r="X160" s="68"/>
      <c r="Y160" s="76"/>
      <c r="Z160" s="70"/>
      <c r="AA160" s="1"/>
      <c r="AB160" s="68"/>
      <c r="AC160" s="76"/>
      <c r="AD160" s="70"/>
      <c r="AE160" s="228">
        <f>ROUND((ROUND((ROUND((_15_同援日０．５*_15・２人),0)*(1+_15・A深夜)),0)*(1+_15・区３)),0)+ROUND((ROUND((ROUND((_15_同援日０．５＿１．０*_15・２人),0)*(1+_15・B早朝)),0)*(1+_15・区３)),0)+ROUND((ROUND((_15_同援日０．５＿１．０＿１．５*_15・２人),0)*(1+_15・区３)),0)</f>
        <v>914</v>
      </c>
      <c r="AF160" s="69"/>
    </row>
    <row r="161" spans="1:32" ht="16.5" customHeight="1" x14ac:dyDescent="0.3">
      <c r="A161" s="2">
        <v>15</v>
      </c>
      <c r="B161" s="2" t="s">
        <v>819</v>
      </c>
      <c r="C161" s="60" t="s">
        <v>11383</v>
      </c>
      <c r="D161" s="1"/>
      <c r="E161" s="68"/>
      <c r="F161" s="70"/>
      <c r="G161" s="1"/>
      <c r="H161" s="68"/>
      <c r="I161" s="70"/>
      <c r="J161" s="1"/>
      <c r="K161" s="68"/>
      <c r="L161" s="70"/>
      <c r="M161" s="74" t="s">
        <v>16823</v>
      </c>
      <c r="N161" s="62"/>
      <c r="O161" s="63"/>
      <c r="P161" s="83"/>
      <c r="Q161" s="64"/>
      <c r="R161" s="65"/>
      <c r="S161" s="99"/>
      <c r="T161" s="70"/>
      <c r="U161" s="99"/>
      <c r="V161" s="70"/>
      <c r="W161" s="94"/>
      <c r="X161" s="68"/>
      <c r="Y161" s="76"/>
      <c r="Z161" s="70"/>
      <c r="AA161" s="1" t="s">
        <v>17974</v>
      </c>
      <c r="AB161" s="68"/>
      <c r="AC161" s="76"/>
      <c r="AD161" s="70"/>
      <c r="AE161" s="228">
        <f>ROUND((ROUND((ROUND((_15_同援日０．５*_15・基礎２),0)*(1+_15・A深夜)),0)*(1+_15・区３)),0)+ROUND((ROUND((ROUND((_15_同援日０．５＿１．０*_15・基礎２),0)*(1+_15・B早朝)),0)*(1+_15・区３)),0)+ROUND((ROUND((_15_同援日０．５＿１．０＿１．５*_15・基礎２),0)*(1+_15・区３)),0)</f>
        <v>823</v>
      </c>
      <c r="AF161" s="69"/>
    </row>
    <row r="162" spans="1:32" ht="16.5" customHeight="1" x14ac:dyDescent="0.3">
      <c r="A162" s="2">
        <v>15</v>
      </c>
      <c r="B162" s="2" t="s">
        <v>820</v>
      </c>
      <c r="C162" s="60" t="s">
        <v>11382</v>
      </c>
      <c r="D162" s="1"/>
      <c r="E162" s="68"/>
      <c r="F162" s="70"/>
      <c r="G162" s="1"/>
      <c r="H162" s="68"/>
      <c r="I162" s="70"/>
      <c r="J162" s="1"/>
      <c r="K162" s="68"/>
      <c r="L162" s="70"/>
      <c r="M162" s="106" t="s">
        <v>16812</v>
      </c>
      <c r="N162" s="57" t="s">
        <v>1</v>
      </c>
      <c r="O162" s="58">
        <v>0.9</v>
      </c>
      <c r="P162" s="83" t="s">
        <v>5895</v>
      </c>
      <c r="Q162" s="64" t="s">
        <v>1</v>
      </c>
      <c r="R162" s="65">
        <v>1</v>
      </c>
      <c r="S162" s="99"/>
      <c r="T162" s="70"/>
      <c r="U162" s="99"/>
      <c r="V162" s="70"/>
      <c r="W162" s="106"/>
      <c r="X162" s="57"/>
      <c r="Y162" s="58"/>
      <c r="Z162" s="77"/>
      <c r="AA162" s="1" t="s">
        <v>17970</v>
      </c>
      <c r="AB162" s="68"/>
      <c r="AC162" s="76"/>
      <c r="AD162" s="70"/>
      <c r="AE162" s="228">
        <f>ROUND((ROUND((ROUND((ROUND((_15_同援日０．５*_15・基礎２),0)*_15・２人),0)*(1+_15・A深夜)),0)*(1+_15・区３)),0)+ROUND((ROUND((ROUND((ROUND((_15_同援日０．５＿１．０*_15・基礎２),0)*_15・２人),0)*(1+_15・B早朝)),0)*(1+_15・区３)),0)+ROUND((ROUND((ROUND((_15_同援日０．５＿１．０＿１．５*_15・基礎２),0)*_15・２人),0)*(1+_15・区３)),0)</f>
        <v>823</v>
      </c>
      <c r="AF162" s="69"/>
    </row>
    <row r="163" spans="1:32" ht="16.5" customHeight="1" x14ac:dyDescent="0.3">
      <c r="A163" s="2">
        <v>15</v>
      </c>
      <c r="B163" s="2" t="s">
        <v>821</v>
      </c>
      <c r="C163" s="60" t="s">
        <v>11381</v>
      </c>
      <c r="D163" s="1"/>
      <c r="E163" s="68"/>
      <c r="F163" s="70"/>
      <c r="G163" s="1"/>
      <c r="H163" s="68"/>
      <c r="I163" s="70"/>
      <c r="J163" s="1"/>
      <c r="K163" s="68"/>
      <c r="L163" s="70"/>
      <c r="M163" s="74"/>
      <c r="N163" s="62"/>
      <c r="O163" s="63"/>
      <c r="P163" s="83"/>
      <c r="Q163" s="64"/>
      <c r="R163" s="65"/>
      <c r="S163" s="99"/>
      <c r="T163" s="70"/>
      <c r="U163" s="99"/>
      <c r="V163" s="70"/>
      <c r="W163" s="74" t="s">
        <v>17969</v>
      </c>
      <c r="X163" s="62"/>
      <c r="Y163" s="63"/>
      <c r="Z163" s="75"/>
      <c r="AA163" s="1"/>
      <c r="AB163" s="68" t="s">
        <v>1</v>
      </c>
      <c r="AC163" s="76">
        <v>0.2</v>
      </c>
      <c r="AD163" s="70" t="s">
        <v>422</v>
      </c>
      <c r="AE163" s="228">
        <f>ROUND((ROUND((ROUND((_15_同援日０．５*(1+_15・A深夜)),0)*(1+_15・盲ろう)),0)*(1+_15・区３)),0)+ROUND((ROUND((ROUND((_15_同援日０．５＿１．０*(1+_15・B早朝)),0)*(1+_15・盲ろう)),0)*(1+_15・区３)),0)+ROUND((ROUND((_15_同援日０．５＿１．０＿１．５*(1+_15・盲ろう)),0)*(1+_15・区３)),0)</f>
        <v>1144</v>
      </c>
      <c r="AF163" s="69"/>
    </row>
    <row r="164" spans="1:32" ht="16.5" customHeight="1" x14ac:dyDescent="0.3">
      <c r="A164" s="2">
        <v>15</v>
      </c>
      <c r="B164" s="2" t="s">
        <v>822</v>
      </c>
      <c r="C164" s="60" t="s">
        <v>11380</v>
      </c>
      <c r="D164" s="1"/>
      <c r="E164" s="68"/>
      <c r="F164" s="70"/>
      <c r="G164" s="1"/>
      <c r="H164" s="68"/>
      <c r="I164" s="70"/>
      <c r="J164" s="1"/>
      <c r="K164" s="68"/>
      <c r="L164" s="70"/>
      <c r="M164" s="106"/>
      <c r="N164" s="57"/>
      <c r="O164" s="58"/>
      <c r="P164" s="83" t="s">
        <v>5895</v>
      </c>
      <c r="Q164" s="64" t="s">
        <v>1</v>
      </c>
      <c r="R164" s="65">
        <v>1</v>
      </c>
      <c r="S164" s="99"/>
      <c r="T164" s="70"/>
      <c r="U164" s="99"/>
      <c r="V164" s="70"/>
      <c r="W164" s="94" t="s">
        <v>17968</v>
      </c>
      <c r="X164" s="68"/>
      <c r="Y164" s="76"/>
      <c r="Z164" s="70"/>
      <c r="AA164" s="1"/>
      <c r="AB164" s="68"/>
      <c r="AC164" s="76"/>
      <c r="AD164" s="70"/>
      <c r="AE164" s="228">
        <f>ROUND((ROUND((ROUND((ROUND((_15_同援日０．５*_15・２人),0)*(1+_15・A深夜)),0)*(1+_15・盲ろう)),0)*(1+_15・区３)),0)+ROUND((ROUND((ROUND((ROUND((_15_同援日０．５＿１．０*_15・２人),0)*(1+_15・B早朝)),0)*(1+_15・盲ろう)),0)*(1+_15・区３)),0)+ROUND((ROUND((ROUND((_15_同援日０．５＿１．０＿１．５*_15・２人),0)*(1+_15・盲ろう)),0)*(1+_15・区３)),0)</f>
        <v>1144</v>
      </c>
      <c r="AF164" s="69"/>
    </row>
    <row r="165" spans="1:32" ht="16.5" customHeight="1" x14ac:dyDescent="0.3">
      <c r="A165" s="2">
        <v>15</v>
      </c>
      <c r="B165" s="2" t="s">
        <v>823</v>
      </c>
      <c r="C165" s="60" t="s">
        <v>11379</v>
      </c>
      <c r="D165" s="1"/>
      <c r="E165" s="68"/>
      <c r="F165" s="70"/>
      <c r="G165" s="1"/>
      <c r="H165" s="68"/>
      <c r="I165" s="70"/>
      <c r="J165" s="1"/>
      <c r="K165" s="68"/>
      <c r="L165" s="70"/>
      <c r="M165" s="74" t="s">
        <v>16823</v>
      </c>
      <c r="N165" s="62"/>
      <c r="O165" s="63"/>
      <c r="P165" s="83"/>
      <c r="Q165" s="64"/>
      <c r="R165" s="65"/>
      <c r="S165" s="99"/>
      <c r="T165" s="70"/>
      <c r="U165" s="99"/>
      <c r="V165" s="70"/>
      <c r="W165" s="94"/>
      <c r="X165" s="68" t="s">
        <v>1</v>
      </c>
      <c r="Y165" s="76">
        <v>0.25</v>
      </c>
      <c r="Z165" s="70" t="s">
        <v>422</v>
      </c>
      <c r="AA165" s="1"/>
      <c r="AB165" s="68"/>
      <c r="AC165" s="76"/>
      <c r="AD165" s="70"/>
      <c r="AE165" s="228">
        <f>ROUND((ROUND((ROUND((ROUND((_15_同援日０．５*_15・基礎２),0)*(1+_15・A深夜)),0)*(1+_15・盲ろう)),0)*(1+_15・区３)),0)+ROUND((ROUND((ROUND((ROUND((_15_同援日０．５＿１．０*_15・基礎２),0)*(1+_15・B早朝)),0)*(1+_15・盲ろう)),0)*(1+_15・区３)),0)+ROUND((ROUND((ROUND((_15_同援日０．５＿１．０＿１．５*_15・基礎２),0)*(1+_15・盲ろう)),0)*(1+_15・区３)),0)</f>
        <v>1030</v>
      </c>
      <c r="AF165" s="69"/>
    </row>
    <row r="166" spans="1:32" ht="16.5" customHeight="1" x14ac:dyDescent="0.3">
      <c r="A166" s="2">
        <v>15</v>
      </c>
      <c r="B166" s="2" t="s">
        <v>824</v>
      </c>
      <c r="C166" s="60" t="s">
        <v>11378</v>
      </c>
      <c r="D166" s="1"/>
      <c r="E166" s="68"/>
      <c r="F166" s="70"/>
      <c r="G166" s="1"/>
      <c r="H166" s="68"/>
      <c r="I166" s="70"/>
      <c r="J166" s="1"/>
      <c r="K166" s="68"/>
      <c r="L166" s="70"/>
      <c r="M166" s="106" t="s">
        <v>16812</v>
      </c>
      <c r="N166" s="57" t="s">
        <v>1</v>
      </c>
      <c r="O166" s="58">
        <v>0.9</v>
      </c>
      <c r="P166" s="83" t="s">
        <v>5895</v>
      </c>
      <c r="Q166" s="64" t="s">
        <v>1</v>
      </c>
      <c r="R166" s="65">
        <v>1</v>
      </c>
      <c r="S166" s="99"/>
      <c r="T166" s="70"/>
      <c r="U166" s="99"/>
      <c r="V166" s="70"/>
      <c r="W166" s="106"/>
      <c r="X166" s="57"/>
      <c r="Y166" s="58"/>
      <c r="Z166" s="77"/>
      <c r="AA166" s="106"/>
      <c r="AB166" s="57"/>
      <c r="AC166" s="58"/>
      <c r="AD166" s="77"/>
      <c r="AE166" s="228">
        <f>ROUND((ROUND((ROUND((ROUND((ROUND((_15_同援日０．５*_15・基礎２),0)*_15・２人),0)*(1+_15・A深夜)),0)*(1+_15・盲ろう)),0)*(1+_15・区３)),0)+ROUND((ROUND((ROUND((ROUND((ROUND((_15_同援日０．５＿１．０*_15・基礎２),0)*_15・２人),0)*(1+_15・B早朝)),0)*(1+_15・盲ろう)),0)*(1+_15・区３)),0)+ROUND((ROUND((ROUND((ROUND((_15_同援日０．５＿１．０＿１．５*_15・基礎２),0)*_15・２人),0)*(1+_15・盲ろう)),0)*(1+_15・区３)),0)</f>
        <v>1030</v>
      </c>
      <c r="AF166" s="69"/>
    </row>
    <row r="167" spans="1:32" ht="16.5" customHeight="1" x14ac:dyDescent="0.3">
      <c r="A167" s="2">
        <v>15</v>
      </c>
      <c r="B167" s="2" t="s">
        <v>825</v>
      </c>
      <c r="C167" s="60" t="s">
        <v>11377</v>
      </c>
      <c r="D167" s="1"/>
      <c r="E167" s="68"/>
      <c r="F167" s="70"/>
      <c r="G167" s="1"/>
      <c r="H167" s="68"/>
      <c r="I167" s="70"/>
      <c r="J167" s="1"/>
      <c r="K167" s="68"/>
      <c r="L167" s="70"/>
      <c r="M167" s="74"/>
      <c r="N167" s="62"/>
      <c r="O167" s="63"/>
      <c r="P167" s="83"/>
      <c r="Q167" s="64"/>
      <c r="R167" s="65"/>
      <c r="S167" s="99"/>
      <c r="T167" s="70"/>
      <c r="U167" s="99"/>
      <c r="V167" s="70"/>
      <c r="W167" s="74"/>
      <c r="X167" s="62"/>
      <c r="Y167" s="63"/>
      <c r="Z167" s="75"/>
      <c r="AA167" s="78"/>
      <c r="AB167" s="62"/>
      <c r="AC167" s="63"/>
      <c r="AD167" s="75"/>
      <c r="AE167" s="228">
        <f>ROUND((ROUND((_15_同援日０．５*(1+_15・A深夜)),0)*(1+_15・区４)),0)+ROUND((ROUND((_15_同援日０．５＿１．０*(1+_15・B早朝)),0)*(1+_15・区４)),0)+ROUND((_15_同援日０．５＿１．０＿１．５*(1+_15・区４)),0)</f>
        <v>1066</v>
      </c>
      <c r="AF167" s="69"/>
    </row>
    <row r="168" spans="1:32" ht="16.5" customHeight="1" x14ac:dyDescent="0.3">
      <c r="A168" s="2">
        <v>15</v>
      </c>
      <c r="B168" s="2" t="s">
        <v>826</v>
      </c>
      <c r="C168" s="60" t="s">
        <v>11376</v>
      </c>
      <c r="D168" s="1"/>
      <c r="E168" s="68"/>
      <c r="F168" s="70"/>
      <c r="G168" s="1"/>
      <c r="H168" s="68"/>
      <c r="I168" s="70"/>
      <c r="J168" s="1"/>
      <c r="K168" s="68"/>
      <c r="L168" s="70"/>
      <c r="M168" s="106"/>
      <c r="N168" s="57"/>
      <c r="O168" s="58"/>
      <c r="P168" s="83" t="s">
        <v>5895</v>
      </c>
      <c r="Q168" s="64" t="s">
        <v>1</v>
      </c>
      <c r="R168" s="65">
        <v>1</v>
      </c>
      <c r="S168" s="99"/>
      <c r="T168" s="70"/>
      <c r="U168" s="99"/>
      <c r="V168" s="70"/>
      <c r="W168" s="94"/>
      <c r="X168" s="68"/>
      <c r="Y168" s="76"/>
      <c r="Z168" s="70"/>
      <c r="AA168" s="1"/>
      <c r="AB168" s="68"/>
      <c r="AC168" s="76"/>
      <c r="AD168" s="70"/>
      <c r="AE168" s="228">
        <f>ROUND((ROUND((ROUND((_15_同援日０．５*_15・２人),0)*(1+_15・A深夜)),0)*(1+_15・区４)),0)+ROUND((ROUND((ROUND((_15_同援日０．５＿１．０*_15・２人),0)*(1+_15・B早朝)),0)*(1+_15・区４)),0)+ROUND((ROUND((_15_同援日０．５＿１．０＿１．５*_15・２人),0)*(1+_15・区４)),0)</f>
        <v>1066</v>
      </c>
      <c r="AF168" s="69"/>
    </row>
    <row r="169" spans="1:32" ht="16.5" customHeight="1" x14ac:dyDescent="0.3">
      <c r="A169" s="2">
        <v>15</v>
      </c>
      <c r="B169" s="2" t="s">
        <v>827</v>
      </c>
      <c r="C169" s="60" t="s">
        <v>11375</v>
      </c>
      <c r="D169" s="1"/>
      <c r="E169" s="68"/>
      <c r="F169" s="70"/>
      <c r="G169" s="1"/>
      <c r="H169" s="68"/>
      <c r="I169" s="70"/>
      <c r="J169" s="1"/>
      <c r="K169" s="68"/>
      <c r="L169" s="70"/>
      <c r="M169" s="74" t="s">
        <v>16823</v>
      </c>
      <c r="N169" s="62"/>
      <c r="O169" s="63"/>
      <c r="P169" s="83"/>
      <c r="Q169" s="64"/>
      <c r="R169" s="65"/>
      <c r="S169" s="99"/>
      <c r="T169" s="70"/>
      <c r="U169" s="99"/>
      <c r="V169" s="70"/>
      <c r="W169" s="94"/>
      <c r="X169" s="68"/>
      <c r="Y169" s="76"/>
      <c r="Z169" s="70"/>
      <c r="AA169" s="1" t="s">
        <v>17971</v>
      </c>
      <c r="AB169" s="68"/>
      <c r="AC169" s="76"/>
      <c r="AD169" s="70"/>
      <c r="AE169" s="228">
        <f>ROUND((ROUND((ROUND((_15_同援日０．５*_15・基礎２),0)*(1+_15・A深夜)),0)*(1+_15・区４)),0)+ROUND((ROUND((ROUND((_15_同援日０．５＿１．０*_15・基礎２),0)*(1+_15・B早朝)),0)*(1+_15・区４)),0)+ROUND((ROUND((_15_同援日０．５＿１．０＿１．５*_15・基礎２),0)*(1+_15・区４)),0)</f>
        <v>960</v>
      </c>
      <c r="AF169" s="69"/>
    </row>
    <row r="170" spans="1:32" ht="16.5" customHeight="1" x14ac:dyDescent="0.3">
      <c r="A170" s="2">
        <v>15</v>
      </c>
      <c r="B170" s="2" t="s">
        <v>828</v>
      </c>
      <c r="C170" s="60" t="s">
        <v>11374</v>
      </c>
      <c r="D170" s="1"/>
      <c r="E170" s="68"/>
      <c r="F170" s="70"/>
      <c r="G170" s="1"/>
      <c r="H170" s="68"/>
      <c r="I170" s="70"/>
      <c r="J170" s="1"/>
      <c r="K170" s="68"/>
      <c r="L170" s="70"/>
      <c r="M170" s="106" t="s">
        <v>16812</v>
      </c>
      <c r="N170" s="57" t="s">
        <v>1</v>
      </c>
      <c r="O170" s="58">
        <v>0.9</v>
      </c>
      <c r="P170" s="83" t="s">
        <v>5895</v>
      </c>
      <c r="Q170" s="64" t="s">
        <v>1</v>
      </c>
      <c r="R170" s="65">
        <v>1</v>
      </c>
      <c r="S170" s="99"/>
      <c r="T170" s="70"/>
      <c r="U170" s="99"/>
      <c r="V170" s="70"/>
      <c r="W170" s="106"/>
      <c r="X170" s="57"/>
      <c r="Y170" s="58"/>
      <c r="Z170" s="77"/>
      <c r="AA170" s="1" t="s">
        <v>17970</v>
      </c>
      <c r="AB170" s="68"/>
      <c r="AC170" s="76"/>
      <c r="AD170" s="70"/>
      <c r="AE170" s="228">
        <f>ROUND((ROUND((ROUND((ROUND((_15_同援日０．５*_15・基礎２),0)*_15・２人),0)*(1+_15・A深夜)),0)*(1+_15・区４)),0)+ROUND((ROUND((ROUND((ROUND((_15_同援日０．５＿１．０*_15・基礎２),0)*_15・２人),0)*(1+_15・B早朝)),0)*(1+_15・区４)),0)+ROUND((ROUND((ROUND((_15_同援日０．５＿１．０＿１．５*_15・基礎２),0)*_15・２人),0)*(1+_15・区４)),0)</f>
        <v>960</v>
      </c>
      <c r="AF170" s="69"/>
    </row>
    <row r="171" spans="1:32" ht="16.5" customHeight="1" x14ac:dyDescent="0.3">
      <c r="A171" s="2">
        <v>15</v>
      </c>
      <c r="B171" s="2" t="s">
        <v>829</v>
      </c>
      <c r="C171" s="60" t="s">
        <v>11373</v>
      </c>
      <c r="D171" s="1"/>
      <c r="E171" s="68"/>
      <c r="F171" s="70"/>
      <c r="G171" s="1"/>
      <c r="H171" s="68"/>
      <c r="I171" s="70"/>
      <c r="J171" s="1"/>
      <c r="K171" s="68"/>
      <c r="L171" s="70"/>
      <c r="M171" s="74"/>
      <c r="N171" s="62"/>
      <c r="O171" s="63"/>
      <c r="P171" s="83"/>
      <c r="Q171" s="64"/>
      <c r="R171" s="65"/>
      <c r="S171" s="99"/>
      <c r="T171" s="70"/>
      <c r="U171" s="99"/>
      <c r="V171" s="70"/>
      <c r="W171" s="74" t="s">
        <v>17969</v>
      </c>
      <c r="X171" s="62"/>
      <c r="Y171" s="63"/>
      <c r="Z171" s="75"/>
      <c r="AA171" s="1"/>
      <c r="AB171" s="68" t="s">
        <v>1</v>
      </c>
      <c r="AC171" s="76">
        <v>0.4</v>
      </c>
      <c r="AD171" s="70" t="s">
        <v>422</v>
      </c>
      <c r="AE171" s="228">
        <f>ROUND((ROUND((ROUND((_15_同援日０．５*(1+_15・A深夜)),0)*(1+_15・盲ろう)),0)*(1+_15・区４)),0)+ROUND((ROUND((ROUND((_15_同援日０．５＿１．０*(1+_15・B早朝)),0)*(1+_15・盲ろう)),0)*(1+_15・区４)),0)+ROUND((ROUND((_15_同援日０．５＿１．０＿１．５*(1+_15・盲ろう)),0)*(1+_15・区４)),0)</f>
        <v>1334</v>
      </c>
      <c r="AF171" s="69"/>
    </row>
    <row r="172" spans="1:32" ht="16.5" customHeight="1" x14ac:dyDescent="0.3">
      <c r="A172" s="2">
        <v>15</v>
      </c>
      <c r="B172" s="2" t="s">
        <v>830</v>
      </c>
      <c r="C172" s="60" t="s">
        <v>11372</v>
      </c>
      <c r="D172" s="1"/>
      <c r="E172" s="68"/>
      <c r="F172" s="70"/>
      <c r="G172" s="1"/>
      <c r="H172" s="68"/>
      <c r="I172" s="70"/>
      <c r="J172" s="1"/>
      <c r="K172" s="68"/>
      <c r="L172" s="70"/>
      <c r="M172" s="106"/>
      <c r="N172" s="57"/>
      <c r="O172" s="58"/>
      <c r="P172" s="83" t="s">
        <v>5895</v>
      </c>
      <c r="Q172" s="64" t="s">
        <v>1</v>
      </c>
      <c r="R172" s="65">
        <v>1</v>
      </c>
      <c r="S172" s="99"/>
      <c r="T172" s="70"/>
      <c r="U172" s="99"/>
      <c r="V172" s="70"/>
      <c r="W172" s="94" t="s">
        <v>17968</v>
      </c>
      <c r="X172" s="68"/>
      <c r="Y172" s="76"/>
      <c r="Z172" s="70"/>
      <c r="AA172" s="1"/>
      <c r="AB172" s="68"/>
      <c r="AC172" s="76"/>
      <c r="AD172" s="70"/>
      <c r="AE172" s="228">
        <f>ROUND((ROUND((ROUND((ROUND((_15_同援日０．５*_15・２人),0)*(1+_15・A深夜)),0)*(1+_15・盲ろう)),0)*(1+_15・区４)),0)+ROUND((ROUND((ROUND((ROUND((_15_同援日０．５＿１．０*_15・２人),0)*(1+_15・B早朝)),0)*(1+_15・盲ろう)),0)*(1+_15・区４)),0)+ROUND((ROUND((ROUND((_15_同援日０．５＿１．０＿１．５*_15・２人),0)*(1+_15・盲ろう)),0)*(1+_15・区４)),0)</f>
        <v>1334</v>
      </c>
      <c r="AF172" s="69"/>
    </row>
    <row r="173" spans="1:32" ht="16.5" customHeight="1" x14ac:dyDescent="0.3">
      <c r="A173" s="2">
        <v>15</v>
      </c>
      <c r="B173" s="2" t="s">
        <v>831</v>
      </c>
      <c r="C173" s="60" t="s">
        <v>11371</v>
      </c>
      <c r="D173" s="1"/>
      <c r="E173" s="68"/>
      <c r="F173" s="70"/>
      <c r="G173" s="1"/>
      <c r="H173" s="68"/>
      <c r="I173" s="70"/>
      <c r="J173" s="1"/>
      <c r="K173" s="68"/>
      <c r="L173" s="70"/>
      <c r="M173" s="74" t="s">
        <v>16823</v>
      </c>
      <c r="N173" s="62"/>
      <c r="O173" s="63"/>
      <c r="P173" s="83"/>
      <c r="Q173" s="64"/>
      <c r="R173" s="65"/>
      <c r="S173" s="99"/>
      <c r="T173" s="70"/>
      <c r="U173" s="99"/>
      <c r="V173" s="70"/>
      <c r="W173" s="94"/>
      <c r="X173" s="68" t="s">
        <v>1</v>
      </c>
      <c r="Y173" s="76">
        <v>0.25</v>
      </c>
      <c r="Z173" s="70" t="s">
        <v>422</v>
      </c>
      <c r="AA173" s="1"/>
      <c r="AB173" s="68"/>
      <c r="AC173" s="76"/>
      <c r="AD173" s="70"/>
      <c r="AE173" s="228">
        <f>ROUND((ROUND((ROUND((ROUND((_15_同援日０．５*_15・基礎２),0)*(1+_15・A深夜)),0)*(1+_15・盲ろう)),0)*(1+_15・区４)),0)+ROUND((ROUND((ROUND((ROUND((_15_同援日０．５＿１．０*_15・基礎２),0)*(1+_15・B早朝)),0)*(1+_15・盲ろう)),0)*(1+_15・区４)),0)+ROUND((ROUND((ROUND((_15_同援日０．５＿１．０＿１．５*_15・基礎２),0)*(1+_15・盲ろう)),0)*(1+_15・区４)),0)</f>
        <v>1201</v>
      </c>
      <c r="AF173" s="69"/>
    </row>
    <row r="174" spans="1:32" ht="16.5" customHeight="1" x14ac:dyDescent="0.3">
      <c r="A174" s="2">
        <v>15</v>
      </c>
      <c r="B174" s="2" t="s">
        <v>832</v>
      </c>
      <c r="C174" s="60" t="s">
        <v>11370</v>
      </c>
      <c r="D174" s="1"/>
      <c r="E174" s="68"/>
      <c r="F174" s="70"/>
      <c r="G174" s="81"/>
      <c r="H174" s="57"/>
      <c r="I174" s="77"/>
      <c r="J174" s="81"/>
      <c r="K174" s="57"/>
      <c r="L174" s="77"/>
      <c r="M174" s="106" t="s">
        <v>16812</v>
      </c>
      <c r="N174" s="57" t="s">
        <v>1</v>
      </c>
      <c r="O174" s="58">
        <v>0.9</v>
      </c>
      <c r="P174" s="83" t="s">
        <v>5895</v>
      </c>
      <c r="Q174" s="64" t="s">
        <v>1</v>
      </c>
      <c r="R174" s="65">
        <v>1</v>
      </c>
      <c r="S174" s="99"/>
      <c r="T174" s="70"/>
      <c r="U174" s="99"/>
      <c r="V174" s="70"/>
      <c r="W174" s="106"/>
      <c r="X174" s="57"/>
      <c r="Y174" s="58"/>
      <c r="Z174" s="77"/>
      <c r="AA174" s="106"/>
      <c r="AB174" s="57"/>
      <c r="AC174" s="58"/>
      <c r="AD174" s="77"/>
      <c r="AE174" s="228">
        <f>ROUND((ROUND((ROUND((ROUND((ROUND((_15_同援日０．５*_15・基礎２),0)*_15・２人),0)*(1+_15・A深夜)),0)*(1+_15・盲ろう)),0)*(1+_15・区４)),0)+ROUND((ROUND((ROUND((ROUND((ROUND((_15_同援日０．５＿１．０*_15・基礎２),0)*_15・２人),0)*(1+_15・B早朝)),0)*(1+_15・盲ろう)),0)*(1+_15・区４)),0)+ROUND((ROUND((ROUND((ROUND((_15_同援日０．５＿１．０＿１．５*_15・基礎２),0)*_15・２人),0)*(1+_15・盲ろう)),0)*(1+_15・区４)),0)</f>
        <v>1201</v>
      </c>
      <c r="AF174" s="69"/>
    </row>
    <row r="175" spans="1:32" ht="16.5" customHeight="1" x14ac:dyDescent="0.3">
      <c r="A175" s="2">
        <v>15</v>
      </c>
      <c r="B175" s="2" t="s">
        <v>833</v>
      </c>
      <c r="C175" s="60" t="s">
        <v>11369</v>
      </c>
      <c r="D175" s="1"/>
      <c r="E175" s="68"/>
      <c r="F175" s="70"/>
      <c r="G175" s="233" t="s">
        <v>18122</v>
      </c>
      <c r="H175" s="62"/>
      <c r="I175" s="75"/>
      <c r="J175" s="74" t="s">
        <v>18121</v>
      </c>
      <c r="K175" s="62"/>
      <c r="L175" s="75"/>
      <c r="M175" s="74"/>
      <c r="N175" s="62"/>
      <c r="O175" s="63"/>
      <c r="P175" s="83"/>
      <c r="Q175" s="64"/>
      <c r="R175" s="65"/>
      <c r="S175" s="99"/>
      <c r="T175" s="70"/>
      <c r="U175" s="99"/>
      <c r="V175" s="70"/>
      <c r="W175" s="74"/>
      <c r="X175" s="62"/>
      <c r="Y175" s="63"/>
      <c r="Z175" s="75"/>
      <c r="AA175" s="78"/>
      <c r="AB175" s="62"/>
      <c r="AC175" s="63"/>
      <c r="AD175" s="75"/>
      <c r="AE175" s="228">
        <f>ROUND((_15_同援日０．５*(1+_15・A深夜)),0)+ROUND((_15_同援日０．５＿１．５*(1+_15・B早朝)),0)+_15_同援日０．５＿１．５＿０．５</f>
        <v>715</v>
      </c>
      <c r="AF175" s="69"/>
    </row>
    <row r="176" spans="1:32" ht="16.5" customHeight="1" x14ac:dyDescent="0.3">
      <c r="A176" s="2">
        <v>15</v>
      </c>
      <c r="B176" s="2" t="s">
        <v>834</v>
      </c>
      <c r="C176" s="60" t="s">
        <v>11368</v>
      </c>
      <c r="D176" s="1"/>
      <c r="E176" s="68"/>
      <c r="F176" s="70"/>
      <c r="G176" s="1" t="s">
        <v>18120</v>
      </c>
      <c r="H176" s="68"/>
      <c r="I176" s="70"/>
      <c r="J176" s="1" t="s">
        <v>7928</v>
      </c>
      <c r="K176" s="68"/>
      <c r="L176" s="70"/>
      <c r="M176" s="106"/>
      <c r="N176" s="57"/>
      <c r="O176" s="58"/>
      <c r="P176" s="83" t="s">
        <v>5895</v>
      </c>
      <c r="Q176" s="64" t="s">
        <v>1</v>
      </c>
      <c r="R176" s="65">
        <v>1</v>
      </c>
      <c r="S176" s="99"/>
      <c r="T176" s="70"/>
      <c r="U176" s="99"/>
      <c r="V176" s="70"/>
      <c r="W176" s="94"/>
      <c r="X176" s="68"/>
      <c r="Y176" s="76"/>
      <c r="Z176" s="70"/>
      <c r="AA176" s="1"/>
      <c r="AB176" s="68"/>
      <c r="AC176" s="76"/>
      <c r="AD176" s="70"/>
      <c r="AE176" s="228">
        <f>ROUND((ROUND((_15_同援日０．５*_15・２人),0)*(1+_15・A深夜)),0)+ROUND((ROUND((_15_同援日０．５＿１．５*_15・２人),0)*(1+_15・B早朝)),0)+ROUND((_15_同援日０．５＿１．５＿０．５*_15・２人),0)</f>
        <v>715</v>
      </c>
      <c r="AF176" s="69"/>
    </row>
    <row r="177" spans="1:32" ht="16.5" customHeight="1" x14ac:dyDescent="0.3">
      <c r="A177" s="2">
        <v>15</v>
      </c>
      <c r="B177" s="2" t="s">
        <v>835</v>
      </c>
      <c r="C177" s="60" t="s">
        <v>11367</v>
      </c>
      <c r="D177" s="1"/>
      <c r="E177" s="68"/>
      <c r="F177" s="70"/>
      <c r="G177" s="1" t="s">
        <v>8767</v>
      </c>
      <c r="H177" s="68"/>
      <c r="I177" s="70"/>
      <c r="J177" s="1"/>
      <c r="K177" s="68"/>
      <c r="L177" s="70"/>
      <c r="M177" s="74" t="s">
        <v>18111</v>
      </c>
      <c r="N177" s="62"/>
      <c r="O177" s="63"/>
      <c r="P177" s="83"/>
      <c r="Q177" s="64"/>
      <c r="R177" s="65"/>
      <c r="S177" s="99"/>
      <c r="T177" s="70"/>
      <c r="U177" s="99"/>
      <c r="V177" s="70"/>
      <c r="W177" s="94"/>
      <c r="X177" s="68"/>
      <c r="Y177" s="76"/>
      <c r="Z177" s="70"/>
      <c r="AA177" s="1"/>
      <c r="AB177" s="68"/>
      <c r="AC177" s="76"/>
      <c r="AD177" s="70"/>
      <c r="AE177" s="228">
        <f>ROUND((ROUND((_15_同援日０．５*_15・基礎２),0)*(1+_15・A深夜)),0)+ROUND((ROUND((_15_同援日０．５＿１．５*_15・基礎２),0)*(1+_15・B早朝)),0)+ROUND((_15_同援日０．５＿１．５＿０．５*_15・基礎２),0)</f>
        <v>645</v>
      </c>
      <c r="AF177" s="69"/>
    </row>
    <row r="178" spans="1:32" ht="16.5" customHeight="1" x14ac:dyDescent="0.3">
      <c r="A178" s="2">
        <v>15</v>
      </c>
      <c r="B178" s="2" t="s">
        <v>836</v>
      </c>
      <c r="C178" s="60" t="s">
        <v>11366</v>
      </c>
      <c r="D178" s="1"/>
      <c r="E178" s="68"/>
      <c r="F178" s="70"/>
      <c r="G178" s="1"/>
      <c r="H178" s="227">
        <v>301</v>
      </c>
      <c r="I178" s="70" t="s">
        <v>0</v>
      </c>
      <c r="J178" s="1"/>
      <c r="K178" s="119">
        <v>63</v>
      </c>
      <c r="L178" s="70" t="s">
        <v>0</v>
      </c>
      <c r="M178" s="106" t="s">
        <v>18109</v>
      </c>
      <c r="N178" s="57" t="s">
        <v>1</v>
      </c>
      <c r="O178" s="58">
        <v>0.9</v>
      </c>
      <c r="P178" s="83" t="s">
        <v>5895</v>
      </c>
      <c r="Q178" s="64" t="s">
        <v>1</v>
      </c>
      <c r="R178" s="65">
        <v>1</v>
      </c>
      <c r="S178" s="99"/>
      <c r="T178" s="70"/>
      <c r="U178" s="99"/>
      <c r="V178" s="70"/>
      <c r="W178" s="106"/>
      <c r="X178" s="57"/>
      <c r="Y178" s="58"/>
      <c r="Z178" s="77"/>
      <c r="AA178" s="1"/>
      <c r="AB178" s="68"/>
      <c r="AC178" s="76"/>
      <c r="AD178" s="70"/>
      <c r="AE178" s="228">
        <f>ROUND((ROUND((ROUND((_15_同援日０．５*_15・基礎２),0)*_15・２人),0)*(1+_15・A深夜)),0)+ROUND((ROUND((ROUND((_15_同援日０．５＿１．５*_15・基礎２),0)*_15・２人),0)*(1+_15・B早朝)),0)+ROUND((ROUND((_15_同援日０．５＿１．５＿０．５*_15・基礎２),0)*_15・２人),0)</f>
        <v>645</v>
      </c>
      <c r="AF178" s="69"/>
    </row>
    <row r="179" spans="1:32" ht="16.5" customHeight="1" x14ac:dyDescent="0.3">
      <c r="A179" s="2">
        <v>15</v>
      </c>
      <c r="B179" s="2" t="s">
        <v>837</v>
      </c>
      <c r="C179" s="60" t="s">
        <v>11365</v>
      </c>
      <c r="D179" s="1"/>
      <c r="E179" s="68"/>
      <c r="F179" s="70"/>
      <c r="G179" s="1"/>
      <c r="H179" s="68"/>
      <c r="I179" s="70"/>
      <c r="J179" s="1"/>
      <c r="K179" s="68"/>
      <c r="L179" s="70"/>
      <c r="M179" s="74"/>
      <c r="N179" s="62"/>
      <c r="O179" s="63"/>
      <c r="P179" s="83"/>
      <c r="Q179" s="64"/>
      <c r="R179" s="65"/>
      <c r="S179" s="99"/>
      <c r="T179" s="70"/>
      <c r="U179" s="99"/>
      <c r="V179" s="70"/>
      <c r="W179" s="74" t="s">
        <v>18118</v>
      </c>
      <c r="X179" s="62"/>
      <c r="Y179" s="63"/>
      <c r="Z179" s="75"/>
      <c r="AA179" s="1"/>
      <c r="AB179" s="68"/>
      <c r="AC179" s="76"/>
      <c r="AD179" s="70"/>
      <c r="AE179" s="228">
        <f>ROUND((ROUND((_15_同援日０．５*(1+_15・A深夜)),0)*(1+_15・盲ろう)),0)+ROUND((ROUND((_15_同援日０．５＿１．５*(1+_15・B早朝)),0)*(1+_15・盲ろう)),0)+ROUND((_15_同援日０．５＿１．５＿０．５*(1+_15・盲ろう)),0)</f>
        <v>894</v>
      </c>
      <c r="AF179" s="69"/>
    </row>
    <row r="180" spans="1:32" ht="16.5" customHeight="1" x14ac:dyDescent="0.3">
      <c r="A180" s="2">
        <v>15</v>
      </c>
      <c r="B180" s="2" t="s">
        <v>838</v>
      </c>
      <c r="C180" s="60" t="s">
        <v>11364</v>
      </c>
      <c r="D180" s="1"/>
      <c r="E180" s="68"/>
      <c r="F180" s="70"/>
      <c r="G180" s="1"/>
      <c r="H180" s="68"/>
      <c r="I180" s="70"/>
      <c r="J180" s="1"/>
      <c r="K180" s="68"/>
      <c r="L180" s="70"/>
      <c r="M180" s="106"/>
      <c r="N180" s="57"/>
      <c r="O180" s="58"/>
      <c r="P180" s="83" t="s">
        <v>5895</v>
      </c>
      <c r="Q180" s="64" t="s">
        <v>1</v>
      </c>
      <c r="R180" s="65">
        <v>1</v>
      </c>
      <c r="S180" s="99"/>
      <c r="T180" s="70"/>
      <c r="U180" s="99"/>
      <c r="V180" s="70"/>
      <c r="W180" s="94" t="s">
        <v>18115</v>
      </c>
      <c r="X180" s="68"/>
      <c r="Y180" s="76"/>
      <c r="Z180" s="70"/>
      <c r="AA180" s="1"/>
      <c r="AB180" s="68"/>
      <c r="AC180" s="76"/>
      <c r="AD180" s="70"/>
      <c r="AE180" s="228">
        <f>ROUND((ROUND((ROUND((_15_同援日０．５*_15・２人),0)*(1+_15・A深夜)),0)*(1+_15・盲ろう)),0)+ROUND((ROUND((ROUND((_15_同援日０．５＿１．５*_15・２人),0)*(1+_15・B早朝)),0)*(1+_15・盲ろう)),0)+ROUND((ROUND((_15_同援日０．５＿１．５＿０．５*_15・２人),0)*(1+_15・盲ろう)),0)</f>
        <v>894</v>
      </c>
      <c r="AF180" s="69"/>
    </row>
    <row r="181" spans="1:32" ht="16.5" customHeight="1" x14ac:dyDescent="0.3">
      <c r="A181" s="2">
        <v>15</v>
      </c>
      <c r="B181" s="2" t="s">
        <v>839</v>
      </c>
      <c r="C181" s="60" t="s">
        <v>11363</v>
      </c>
      <c r="D181" s="1"/>
      <c r="E181" s="68"/>
      <c r="F181" s="70"/>
      <c r="G181" s="1"/>
      <c r="H181" s="68"/>
      <c r="I181" s="70"/>
      <c r="J181" s="1"/>
      <c r="K181" s="68"/>
      <c r="L181" s="70"/>
      <c r="M181" s="74" t="s">
        <v>18111</v>
      </c>
      <c r="N181" s="62"/>
      <c r="O181" s="63"/>
      <c r="P181" s="83"/>
      <c r="Q181" s="64"/>
      <c r="R181" s="65"/>
      <c r="S181" s="99"/>
      <c r="T181" s="70"/>
      <c r="U181" s="99"/>
      <c r="V181" s="70"/>
      <c r="W181" s="94"/>
      <c r="X181" s="68" t="s">
        <v>1</v>
      </c>
      <c r="Y181" s="76">
        <v>0.25</v>
      </c>
      <c r="Z181" s="70" t="s">
        <v>422</v>
      </c>
      <c r="AA181" s="1"/>
      <c r="AB181" s="68"/>
      <c r="AC181" s="76"/>
      <c r="AD181" s="70"/>
      <c r="AE181" s="228">
        <f>ROUND((ROUND((ROUND((_15_同援日０．５*_15・基礎２),0)*(1+_15・A深夜)),0)*(1+_15・盲ろう)),0)+ROUND((ROUND((ROUND((_15_同援日０．５＿１．５*_15・基礎２),0)*(1+_15・B早朝)),0)*(1+_15・盲ろう)),0)+ROUND((ROUND((_15_同援日０．５＿１．５＿０．５*_15・基礎２),0)*(1+_15・盲ろう)),0)</f>
        <v>806</v>
      </c>
      <c r="AF181" s="69"/>
    </row>
    <row r="182" spans="1:32" ht="16.5" customHeight="1" x14ac:dyDescent="0.3">
      <c r="A182" s="2">
        <v>15</v>
      </c>
      <c r="B182" s="2" t="s">
        <v>840</v>
      </c>
      <c r="C182" s="60" t="s">
        <v>11362</v>
      </c>
      <c r="D182" s="1"/>
      <c r="E182" s="68"/>
      <c r="F182" s="70"/>
      <c r="G182" s="1"/>
      <c r="H182" s="68"/>
      <c r="I182" s="70"/>
      <c r="J182" s="1"/>
      <c r="K182" s="68"/>
      <c r="L182" s="70"/>
      <c r="M182" s="106" t="s">
        <v>18109</v>
      </c>
      <c r="N182" s="57" t="s">
        <v>1</v>
      </c>
      <c r="O182" s="58">
        <v>0.9</v>
      </c>
      <c r="P182" s="83" t="s">
        <v>5895</v>
      </c>
      <c r="Q182" s="64" t="s">
        <v>1</v>
      </c>
      <c r="R182" s="65">
        <v>1</v>
      </c>
      <c r="S182" s="99"/>
      <c r="T182" s="70"/>
      <c r="U182" s="99"/>
      <c r="V182" s="70"/>
      <c r="W182" s="106"/>
      <c r="X182" s="57"/>
      <c r="Y182" s="58"/>
      <c r="Z182" s="77"/>
      <c r="AA182" s="106"/>
      <c r="AB182" s="57"/>
      <c r="AC182" s="58"/>
      <c r="AD182" s="77"/>
      <c r="AE182" s="228">
        <f>ROUND((ROUND((ROUND((ROUND((_15_同援日０．５*_15・基礎２),0)*_15・２人),0)*(1+_15・A深夜)),0)*(1+_15・盲ろう)),0)+ROUND((ROUND((ROUND((ROUND((_15_同援日０．５＿１．５*_15・基礎２),0)*_15・２人),0)*(1+_15・B早朝)),0)*(1+_15・盲ろう)),0)+ROUND((ROUND((ROUND((_15_同援日０．５＿１．５＿０．５*_15・基礎２),0)*_15・２人),0)*(1+_15・盲ろう)),0)</f>
        <v>806</v>
      </c>
      <c r="AF182" s="69"/>
    </row>
    <row r="183" spans="1:32" ht="16.5" customHeight="1" x14ac:dyDescent="0.3">
      <c r="A183" s="2">
        <v>15</v>
      </c>
      <c r="B183" s="2" t="s">
        <v>841</v>
      </c>
      <c r="C183" s="60" t="s">
        <v>11361</v>
      </c>
      <c r="D183" s="1"/>
      <c r="E183" s="68"/>
      <c r="F183" s="70"/>
      <c r="G183" s="1"/>
      <c r="H183" s="68"/>
      <c r="I183" s="70"/>
      <c r="J183" s="1"/>
      <c r="K183" s="68"/>
      <c r="L183" s="70"/>
      <c r="M183" s="74"/>
      <c r="N183" s="62"/>
      <c r="O183" s="63"/>
      <c r="P183" s="83"/>
      <c r="Q183" s="64"/>
      <c r="R183" s="65"/>
      <c r="S183" s="99"/>
      <c r="T183" s="70"/>
      <c r="U183" s="99"/>
      <c r="V183" s="70"/>
      <c r="W183" s="74"/>
      <c r="X183" s="62"/>
      <c r="Y183" s="63"/>
      <c r="Z183" s="75"/>
      <c r="AA183" s="78"/>
      <c r="AB183" s="62"/>
      <c r="AC183" s="63"/>
      <c r="AD183" s="75"/>
      <c r="AE183" s="228">
        <f>ROUND((ROUND((_15_同援日０．５*(1+_15・A深夜)),0)*(1+_15・区３)),0)+ROUND((ROUND((_15_同援日０．５＿１．５*(1+_15・B早朝)),0)*(1+_15・区３)),0)+ROUND((_15_同援日０．５＿１．５＿０．５*(1+_15・区３)),0)</f>
        <v>858</v>
      </c>
      <c r="AF183" s="69"/>
    </row>
    <row r="184" spans="1:32" ht="16.5" customHeight="1" x14ac:dyDescent="0.3">
      <c r="A184" s="2">
        <v>15</v>
      </c>
      <c r="B184" s="2" t="s">
        <v>842</v>
      </c>
      <c r="C184" s="60" t="s">
        <v>11360</v>
      </c>
      <c r="D184" s="1"/>
      <c r="E184" s="68"/>
      <c r="F184" s="70"/>
      <c r="G184" s="1"/>
      <c r="H184" s="68"/>
      <c r="I184" s="70"/>
      <c r="J184" s="1"/>
      <c r="K184" s="68"/>
      <c r="L184" s="70"/>
      <c r="M184" s="106"/>
      <c r="N184" s="57"/>
      <c r="O184" s="58"/>
      <c r="P184" s="83" t="s">
        <v>5895</v>
      </c>
      <c r="Q184" s="64" t="s">
        <v>1</v>
      </c>
      <c r="R184" s="65">
        <v>1</v>
      </c>
      <c r="S184" s="99"/>
      <c r="T184" s="70"/>
      <c r="U184" s="99"/>
      <c r="V184" s="70"/>
      <c r="W184" s="94"/>
      <c r="X184" s="68"/>
      <c r="Y184" s="76"/>
      <c r="Z184" s="70"/>
      <c r="AA184" s="1"/>
      <c r="AB184" s="68"/>
      <c r="AC184" s="76"/>
      <c r="AD184" s="70"/>
      <c r="AE184" s="228">
        <f>ROUND((ROUND((ROUND((_15_同援日０．５*_15・２人),0)*(1+_15・A深夜)),0)*(1+_15・区３)),0)+ROUND((ROUND((ROUND((_15_同援日０．５＿１．５*_15・２人),0)*(1+_15・B早朝)),0)*(1+_15・区３)),0)+ROUND((ROUND((_15_同援日０．５＿１．５＿０．５*_15・２人),0)*(1+_15・区３)),0)</f>
        <v>858</v>
      </c>
      <c r="AF184" s="69"/>
    </row>
    <row r="185" spans="1:32" ht="16.5" customHeight="1" x14ac:dyDescent="0.3">
      <c r="A185" s="2">
        <v>15</v>
      </c>
      <c r="B185" s="2" t="s">
        <v>843</v>
      </c>
      <c r="C185" s="60" t="s">
        <v>11359</v>
      </c>
      <c r="D185" s="1"/>
      <c r="E185" s="68"/>
      <c r="F185" s="70"/>
      <c r="G185" s="1"/>
      <c r="H185" s="68"/>
      <c r="I185" s="70"/>
      <c r="J185" s="1"/>
      <c r="K185" s="68"/>
      <c r="L185" s="70"/>
      <c r="M185" s="74" t="s">
        <v>18111</v>
      </c>
      <c r="N185" s="62"/>
      <c r="O185" s="63"/>
      <c r="P185" s="83"/>
      <c r="Q185" s="64"/>
      <c r="R185" s="65"/>
      <c r="S185" s="99"/>
      <c r="T185" s="70"/>
      <c r="U185" s="99"/>
      <c r="V185" s="70"/>
      <c r="W185" s="94"/>
      <c r="X185" s="68"/>
      <c r="Y185" s="76"/>
      <c r="Z185" s="70"/>
      <c r="AA185" s="1" t="s">
        <v>18116</v>
      </c>
      <c r="AB185" s="68"/>
      <c r="AC185" s="76"/>
      <c r="AD185" s="70"/>
      <c r="AE185" s="228">
        <f>ROUND((ROUND((ROUND((_15_同援日０．５*_15・基礎２),0)*(1+_15・A深夜)),0)*(1+_15・区３)),0)+ROUND((ROUND((ROUND((_15_同援日０．５＿１．５*_15・基礎２),0)*(1+_15・B早朝)),0)*(1+_15・区３)),0)+ROUND((ROUND((_15_同援日０．５＿１．５＿０．５*_15・基礎２),0)*(1+_15・区３)),0)</f>
        <v>774</v>
      </c>
      <c r="AF185" s="69"/>
    </row>
    <row r="186" spans="1:32" ht="16.5" customHeight="1" x14ac:dyDescent="0.3">
      <c r="A186" s="2">
        <v>15</v>
      </c>
      <c r="B186" s="2" t="s">
        <v>844</v>
      </c>
      <c r="C186" s="60" t="s">
        <v>11358</v>
      </c>
      <c r="D186" s="1"/>
      <c r="E186" s="68"/>
      <c r="F186" s="70"/>
      <c r="G186" s="1"/>
      <c r="H186" s="68"/>
      <c r="I186" s="70"/>
      <c r="J186" s="1"/>
      <c r="K186" s="68"/>
      <c r="L186" s="70"/>
      <c r="M186" s="106" t="s">
        <v>18109</v>
      </c>
      <c r="N186" s="57" t="s">
        <v>1</v>
      </c>
      <c r="O186" s="58">
        <v>0.9</v>
      </c>
      <c r="P186" s="83" t="s">
        <v>5895</v>
      </c>
      <c r="Q186" s="64" t="s">
        <v>1</v>
      </c>
      <c r="R186" s="65">
        <v>1</v>
      </c>
      <c r="S186" s="99"/>
      <c r="T186" s="70"/>
      <c r="U186" s="99"/>
      <c r="V186" s="70"/>
      <c r="W186" s="106"/>
      <c r="X186" s="57"/>
      <c r="Y186" s="58"/>
      <c r="Z186" s="77"/>
      <c r="AA186" s="1" t="s">
        <v>18112</v>
      </c>
      <c r="AB186" s="68"/>
      <c r="AC186" s="76"/>
      <c r="AD186" s="70"/>
      <c r="AE186" s="228">
        <f>ROUND((ROUND((ROUND((ROUND((_15_同援日０．５*_15・基礎２),0)*_15・２人),0)*(1+_15・A深夜)),0)*(1+_15・区３)),0)+ROUND((ROUND((ROUND((ROUND((_15_同援日０．５＿１．５*_15・基礎２),0)*_15・２人),0)*(1+_15・B早朝)),0)*(1+_15・区３)),0)+ROUND((ROUND((ROUND((_15_同援日０．５＿１．５＿０．５*_15・基礎２),0)*_15・２人),0)*(1+_15・区３)),0)</f>
        <v>774</v>
      </c>
      <c r="AF186" s="69"/>
    </row>
    <row r="187" spans="1:32" ht="16.5" customHeight="1" x14ac:dyDescent="0.3">
      <c r="A187" s="2">
        <v>15</v>
      </c>
      <c r="B187" s="2" t="s">
        <v>845</v>
      </c>
      <c r="C187" s="60" t="s">
        <v>11357</v>
      </c>
      <c r="D187" s="1"/>
      <c r="E187" s="68"/>
      <c r="F187" s="70"/>
      <c r="G187" s="1"/>
      <c r="H187" s="68"/>
      <c r="I187" s="70"/>
      <c r="J187" s="1"/>
      <c r="K187" s="68"/>
      <c r="L187" s="70"/>
      <c r="M187" s="74"/>
      <c r="N187" s="62"/>
      <c r="O187" s="63"/>
      <c r="P187" s="83"/>
      <c r="Q187" s="64"/>
      <c r="R187" s="65"/>
      <c r="S187" s="99"/>
      <c r="T187" s="70"/>
      <c r="U187" s="99"/>
      <c r="V187" s="70"/>
      <c r="W187" s="74" t="s">
        <v>17969</v>
      </c>
      <c r="X187" s="62"/>
      <c r="Y187" s="63"/>
      <c r="Z187" s="75"/>
      <c r="AA187" s="1"/>
      <c r="AB187" s="68" t="s">
        <v>1</v>
      </c>
      <c r="AC187" s="76">
        <v>0.2</v>
      </c>
      <c r="AD187" s="70" t="s">
        <v>422</v>
      </c>
      <c r="AE187" s="228">
        <f>ROUND((ROUND((ROUND((_15_同援日０．５*(1+_15・A深夜)),0)*(1+_15・盲ろう)),0)*(1+_15・区３)),0)+ROUND((ROUND((ROUND((_15_同援日０．５＿１．５*(1+_15・B早朝)),0)*(1+_15・盲ろう)),0)*(1+_15・区３)),0)+ROUND((ROUND((_15_同援日０．５＿１．５＿０．５*(1+_15・盲ろう)),0)*(1+_15・区３)),0)</f>
        <v>1073</v>
      </c>
      <c r="AF187" s="69"/>
    </row>
    <row r="188" spans="1:32" ht="16.5" customHeight="1" x14ac:dyDescent="0.3">
      <c r="A188" s="2">
        <v>15</v>
      </c>
      <c r="B188" s="2" t="s">
        <v>846</v>
      </c>
      <c r="C188" s="60" t="s">
        <v>11356</v>
      </c>
      <c r="D188" s="1"/>
      <c r="E188" s="68"/>
      <c r="F188" s="70"/>
      <c r="G188" s="1"/>
      <c r="H188" s="68"/>
      <c r="I188" s="70"/>
      <c r="J188" s="1"/>
      <c r="K188" s="68"/>
      <c r="L188" s="70"/>
      <c r="M188" s="106"/>
      <c r="N188" s="57"/>
      <c r="O188" s="58"/>
      <c r="P188" s="83" t="s">
        <v>5895</v>
      </c>
      <c r="Q188" s="64" t="s">
        <v>1</v>
      </c>
      <c r="R188" s="65">
        <v>1</v>
      </c>
      <c r="S188" s="99"/>
      <c r="T188" s="70"/>
      <c r="U188" s="99"/>
      <c r="V188" s="70"/>
      <c r="W188" s="94" t="s">
        <v>18115</v>
      </c>
      <c r="X188" s="68"/>
      <c r="Y188" s="76"/>
      <c r="Z188" s="70"/>
      <c r="AA188" s="1"/>
      <c r="AB188" s="68"/>
      <c r="AC188" s="76"/>
      <c r="AD188" s="70"/>
      <c r="AE188" s="228">
        <f>ROUND((ROUND((ROUND((ROUND((_15_同援日０．５*_15・２人),0)*(1+_15・A深夜)),0)*(1+_15・盲ろう)),0)*(1+_15・区３)),0)+ROUND((ROUND((ROUND((ROUND((_15_同援日０．５＿１．５*_15・２人),0)*(1+_15・B早朝)),0)*(1+_15・盲ろう)),0)*(1+_15・区３)),0)+ROUND((ROUND((ROUND((_15_同援日０．５＿１．５＿０．５*_15・２人),0)*(1+_15・盲ろう)),0)*(1+_15・区３)),0)</f>
        <v>1073</v>
      </c>
      <c r="AF188" s="69"/>
    </row>
    <row r="189" spans="1:32" ht="16.5" customHeight="1" x14ac:dyDescent="0.3">
      <c r="A189" s="2">
        <v>15</v>
      </c>
      <c r="B189" s="2" t="s">
        <v>847</v>
      </c>
      <c r="C189" s="60" t="s">
        <v>11355</v>
      </c>
      <c r="D189" s="1"/>
      <c r="E189" s="68"/>
      <c r="F189" s="70"/>
      <c r="G189" s="1"/>
      <c r="H189" s="68"/>
      <c r="I189" s="70"/>
      <c r="J189" s="1"/>
      <c r="K189" s="68"/>
      <c r="L189" s="70"/>
      <c r="M189" s="74" t="s">
        <v>18111</v>
      </c>
      <c r="N189" s="62"/>
      <c r="O189" s="63"/>
      <c r="P189" s="83"/>
      <c r="Q189" s="64"/>
      <c r="R189" s="65"/>
      <c r="S189" s="99"/>
      <c r="T189" s="70"/>
      <c r="U189" s="99"/>
      <c r="V189" s="70"/>
      <c r="W189" s="94"/>
      <c r="X189" s="68" t="s">
        <v>1</v>
      </c>
      <c r="Y189" s="76">
        <v>0.25</v>
      </c>
      <c r="Z189" s="70" t="s">
        <v>422</v>
      </c>
      <c r="AA189" s="1"/>
      <c r="AB189" s="68"/>
      <c r="AC189" s="76"/>
      <c r="AD189" s="70"/>
      <c r="AE189" s="228">
        <f>ROUND((ROUND((ROUND((ROUND((_15_同援日０．５*_15・基礎２),0)*(1+_15・A深夜)),0)*(1+_15・盲ろう)),0)*(1+_15・区３)),0)+ROUND((ROUND((ROUND((ROUND((_15_同援日０．５＿１．５*_15・基礎２),0)*(1+_15・B早朝)),0)*(1+_15・盲ろう)),0)*(1+_15・区３)),0)+ROUND((ROUND((ROUND((_15_同援日０．５＿１．５＿０．５*_15・基礎２),0)*(1+_15・盲ろう)),0)*(1+_15・区３)),0)</f>
        <v>967</v>
      </c>
      <c r="AF189" s="69"/>
    </row>
    <row r="190" spans="1:32" ht="16.5" customHeight="1" x14ac:dyDescent="0.3">
      <c r="A190" s="2">
        <v>15</v>
      </c>
      <c r="B190" s="2" t="s">
        <v>848</v>
      </c>
      <c r="C190" s="60" t="s">
        <v>11354</v>
      </c>
      <c r="D190" s="1"/>
      <c r="E190" s="68"/>
      <c r="F190" s="70"/>
      <c r="G190" s="1"/>
      <c r="H190" s="68"/>
      <c r="I190" s="70"/>
      <c r="J190" s="1"/>
      <c r="K190" s="68"/>
      <c r="L190" s="70"/>
      <c r="M190" s="106" t="s">
        <v>18109</v>
      </c>
      <c r="N190" s="57" t="s">
        <v>1</v>
      </c>
      <c r="O190" s="58">
        <v>0.9</v>
      </c>
      <c r="P190" s="83" t="s">
        <v>5895</v>
      </c>
      <c r="Q190" s="64" t="s">
        <v>1</v>
      </c>
      <c r="R190" s="65">
        <v>1</v>
      </c>
      <c r="S190" s="99"/>
      <c r="T190" s="70"/>
      <c r="U190" s="99"/>
      <c r="V190" s="70"/>
      <c r="W190" s="106"/>
      <c r="X190" s="57"/>
      <c r="Y190" s="58"/>
      <c r="Z190" s="77"/>
      <c r="AA190" s="106"/>
      <c r="AB190" s="57"/>
      <c r="AC190" s="58"/>
      <c r="AD190" s="77"/>
      <c r="AE190" s="228">
        <f>ROUND((ROUND((ROUND((ROUND((ROUND((_15_同援日０．５*_15・基礎２),0)*_15・２人),0)*(1+_15・A深夜)),0)*(1+_15・盲ろう)),0)*(1+_15・区３)),0)+ROUND((ROUND((ROUND((ROUND((ROUND((_15_同援日０．５＿１．５*_15・基礎２),0)*_15・２人),0)*(1+_15・B早朝)),0)*(1+_15・盲ろう)),0)*(1+_15・区３)),0)+ROUND((ROUND((ROUND((ROUND((_15_同援日０．５＿１．５＿０．５*_15・基礎２),0)*_15・２人),0)*(1+_15・盲ろう)),0)*(1+_15・区３)),0)</f>
        <v>967</v>
      </c>
      <c r="AF190" s="69"/>
    </row>
    <row r="191" spans="1:32" ht="16.5" customHeight="1" x14ac:dyDescent="0.3">
      <c r="A191" s="2">
        <v>15</v>
      </c>
      <c r="B191" s="2" t="s">
        <v>849</v>
      </c>
      <c r="C191" s="60" t="s">
        <v>11353</v>
      </c>
      <c r="D191" s="1"/>
      <c r="E191" s="68"/>
      <c r="F191" s="70"/>
      <c r="G191" s="1"/>
      <c r="H191" s="68"/>
      <c r="I191" s="70"/>
      <c r="J191" s="1"/>
      <c r="K191" s="68"/>
      <c r="L191" s="70"/>
      <c r="M191" s="74"/>
      <c r="N191" s="62"/>
      <c r="O191" s="63"/>
      <c r="P191" s="83"/>
      <c r="Q191" s="64"/>
      <c r="R191" s="65"/>
      <c r="S191" s="99"/>
      <c r="T191" s="70"/>
      <c r="U191" s="99"/>
      <c r="V191" s="70"/>
      <c r="W191" s="74"/>
      <c r="X191" s="62"/>
      <c r="Y191" s="63"/>
      <c r="Z191" s="75"/>
      <c r="AA191" s="78"/>
      <c r="AB191" s="62"/>
      <c r="AC191" s="63"/>
      <c r="AD191" s="75"/>
      <c r="AE191" s="228">
        <f>ROUND((ROUND((_15_同援日０．５*(1+_15・A深夜)),0)*(1+_15・区４)),0)+ROUND((ROUND((_15_同援日０．５＿１．５*(1+_15・B早朝)),0)*(1+_15・区４)),0)+ROUND((_15_同援日０．５＿１．５＿０．５*(1+_15・区４)),0)</f>
        <v>1000</v>
      </c>
      <c r="AF191" s="69"/>
    </row>
    <row r="192" spans="1:32" ht="16.5" customHeight="1" x14ac:dyDescent="0.3">
      <c r="A192" s="2">
        <v>15</v>
      </c>
      <c r="B192" s="2" t="s">
        <v>850</v>
      </c>
      <c r="C192" s="60" t="s">
        <v>11352</v>
      </c>
      <c r="D192" s="1"/>
      <c r="E192" s="68"/>
      <c r="F192" s="70"/>
      <c r="G192" s="1"/>
      <c r="H192" s="68"/>
      <c r="I192" s="70"/>
      <c r="J192" s="1"/>
      <c r="K192" s="68"/>
      <c r="L192" s="70"/>
      <c r="M192" s="106"/>
      <c r="N192" s="57"/>
      <c r="O192" s="58"/>
      <c r="P192" s="83" t="s">
        <v>5895</v>
      </c>
      <c r="Q192" s="64" t="s">
        <v>1</v>
      </c>
      <c r="R192" s="65">
        <v>1</v>
      </c>
      <c r="S192" s="99"/>
      <c r="T192" s="70"/>
      <c r="U192" s="99"/>
      <c r="V192" s="70"/>
      <c r="W192" s="94"/>
      <c r="X192" s="68"/>
      <c r="Y192" s="76"/>
      <c r="Z192" s="70"/>
      <c r="AA192" s="1"/>
      <c r="AB192" s="68"/>
      <c r="AC192" s="76"/>
      <c r="AD192" s="70"/>
      <c r="AE192" s="228">
        <f>ROUND((ROUND((ROUND((_15_同援日０．５*_15・２人),0)*(1+_15・A深夜)),0)*(1+_15・区４)),0)+ROUND((ROUND((ROUND((_15_同援日０．５＿１．５*_15・２人),0)*(1+_15・B早朝)),0)*(1+_15・区４)),0)+ROUND((ROUND((_15_同援日０．５＿１．５＿０．５*_15・２人),0)*(1+_15・区４)),0)</f>
        <v>1000</v>
      </c>
      <c r="AF192" s="69"/>
    </row>
    <row r="193" spans="1:32" ht="16.5" customHeight="1" x14ac:dyDescent="0.3">
      <c r="A193" s="2">
        <v>15</v>
      </c>
      <c r="B193" s="2" t="s">
        <v>851</v>
      </c>
      <c r="C193" s="60" t="s">
        <v>11351</v>
      </c>
      <c r="D193" s="1"/>
      <c r="E193" s="68"/>
      <c r="F193" s="70"/>
      <c r="G193" s="1"/>
      <c r="H193" s="68"/>
      <c r="I193" s="70"/>
      <c r="J193" s="1"/>
      <c r="K193" s="68"/>
      <c r="L193" s="70"/>
      <c r="M193" s="74" t="s">
        <v>18111</v>
      </c>
      <c r="N193" s="62"/>
      <c r="O193" s="63"/>
      <c r="P193" s="83"/>
      <c r="Q193" s="64"/>
      <c r="R193" s="65"/>
      <c r="S193" s="99"/>
      <c r="T193" s="70"/>
      <c r="U193" s="99"/>
      <c r="V193" s="70"/>
      <c r="W193" s="94"/>
      <c r="X193" s="68"/>
      <c r="Y193" s="76"/>
      <c r="Z193" s="70"/>
      <c r="AA193" s="1" t="s">
        <v>18119</v>
      </c>
      <c r="AB193" s="68"/>
      <c r="AC193" s="76"/>
      <c r="AD193" s="70"/>
      <c r="AE193" s="228">
        <f>ROUND((ROUND((ROUND((_15_同援日０．５*_15・基礎２),0)*(1+_15・A深夜)),0)*(1+_15・区４)),0)+ROUND((ROUND((ROUND((_15_同援日０．５＿１．５*_15・基礎２),0)*(1+_15・B早朝)),0)*(1+_15・区４)),0)+ROUND((ROUND((_15_同援日０．５＿１．５＿０．５*_15・基礎２),0)*(1+_15・区４)),0)</f>
        <v>904</v>
      </c>
      <c r="AF193" s="69"/>
    </row>
    <row r="194" spans="1:32" ht="16.5" customHeight="1" x14ac:dyDescent="0.3">
      <c r="A194" s="2">
        <v>15</v>
      </c>
      <c r="B194" s="2" t="s">
        <v>852</v>
      </c>
      <c r="C194" s="60" t="s">
        <v>11350</v>
      </c>
      <c r="D194" s="1"/>
      <c r="E194" s="68"/>
      <c r="F194" s="70"/>
      <c r="G194" s="1"/>
      <c r="H194" s="68"/>
      <c r="I194" s="70"/>
      <c r="J194" s="1"/>
      <c r="K194" s="68"/>
      <c r="L194" s="70"/>
      <c r="M194" s="106" t="s">
        <v>18109</v>
      </c>
      <c r="N194" s="57" t="s">
        <v>1</v>
      </c>
      <c r="O194" s="58">
        <v>0.9</v>
      </c>
      <c r="P194" s="83" t="s">
        <v>5895</v>
      </c>
      <c r="Q194" s="64" t="s">
        <v>1</v>
      </c>
      <c r="R194" s="65">
        <v>1</v>
      </c>
      <c r="S194" s="99"/>
      <c r="T194" s="70"/>
      <c r="U194" s="99"/>
      <c r="V194" s="70"/>
      <c r="W194" s="106"/>
      <c r="X194" s="57"/>
      <c r="Y194" s="58"/>
      <c r="Z194" s="77"/>
      <c r="AA194" s="1" t="s">
        <v>18112</v>
      </c>
      <c r="AB194" s="68"/>
      <c r="AC194" s="76"/>
      <c r="AD194" s="70"/>
      <c r="AE194" s="228">
        <f>ROUND((ROUND((ROUND((ROUND((_15_同援日０．５*_15・基礎２),0)*_15・２人),0)*(1+_15・A深夜)),0)*(1+_15・区４)),0)+ROUND((ROUND((ROUND((ROUND((_15_同援日０．５＿１．５*_15・基礎２),0)*_15・２人),0)*(1+_15・B早朝)),0)*(1+_15・区４)),0)+ROUND((ROUND((ROUND((_15_同援日０．５＿１．５＿０．５*_15・基礎２),0)*_15・２人),0)*(1+_15・区４)),0)</f>
        <v>904</v>
      </c>
      <c r="AF194" s="69"/>
    </row>
    <row r="195" spans="1:32" ht="16.5" customHeight="1" x14ac:dyDescent="0.3">
      <c r="A195" s="2">
        <v>15</v>
      </c>
      <c r="B195" s="2" t="s">
        <v>853</v>
      </c>
      <c r="C195" s="60" t="s">
        <v>11349</v>
      </c>
      <c r="D195" s="1"/>
      <c r="E195" s="68"/>
      <c r="F195" s="70"/>
      <c r="G195" s="1"/>
      <c r="H195" s="68"/>
      <c r="I195" s="70"/>
      <c r="J195" s="1"/>
      <c r="K195" s="68"/>
      <c r="L195" s="70"/>
      <c r="M195" s="74"/>
      <c r="N195" s="62"/>
      <c r="O195" s="63"/>
      <c r="P195" s="83"/>
      <c r="Q195" s="64"/>
      <c r="R195" s="65"/>
      <c r="S195" s="99"/>
      <c r="T195" s="70"/>
      <c r="U195" s="99"/>
      <c r="V195" s="70"/>
      <c r="W195" s="74" t="s">
        <v>18118</v>
      </c>
      <c r="X195" s="62"/>
      <c r="Y195" s="63"/>
      <c r="Z195" s="75"/>
      <c r="AA195" s="1"/>
      <c r="AB195" s="68" t="s">
        <v>1</v>
      </c>
      <c r="AC195" s="76">
        <v>0.4</v>
      </c>
      <c r="AD195" s="70" t="s">
        <v>422</v>
      </c>
      <c r="AE195" s="228">
        <f>ROUND((ROUND((ROUND((_15_同援日０．５*(1+_15・A深夜)),0)*(1+_15・盲ろう)),0)*(1+_15・区４)),0)+ROUND((ROUND((ROUND((_15_同援日０．５＿１．５*(1+_15・B早朝)),0)*(1+_15・盲ろう)),0)*(1+_15・区４)),0)+ROUND((ROUND((_15_同援日０．５＿１．５＿０．５*(1+_15・盲ろう)),0)*(1+_15・区４)),0)</f>
        <v>1252</v>
      </c>
      <c r="AF195" s="69"/>
    </row>
    <row r="196" spans="1:32" ht="16.5" customHeight="1" x14ac:dyDescent="0.3">
      <c r="A196" s="2">
        <v>15</v>
      </c>
      <c r="B196" s="2" t="s">
        <v>854</v>
      </c>
      <c r="C196" s="60" t="s">
        <v>11348</v>
      </c>
      <c r="D196" s="1"/>
      <c r="E196" s="68"/>
      <c r="F196" s="70"/>
      <c r="G196" s="1"/>
      <c r="H196" s="68"/>
      <c r="I196" s="70"/>
      <c r="J196" s="1"/>
      <c r="K196" s="68"/>
      <c r="L196" s="70"/>
      <c r="M196" s="106"/>
      <c r="N196" s="57"/>
      <c r="O196" s="58"/>
      <c r="P196" s="83" t="s">
        <v>5895</v>
      </c>
      <c r="Q196" s="64" t="s">
        <v>1</v>
      </c>
      <c r="R196" s="65">
        <v>1</v>
      </c>
      <c r="S196" s="99"/>
      <c r="T196" s="70"/>
      <c r="U196" s="99"/>
      <c r="V196" s="70"/>
      <c r="W196" s="94" t="s">
        <v>18115</v>
      </c>
      <c r="X196" s="68"/>
      <c r="Y196" s="76"/>
      <c r="Z196" s="70"/>
      <c r="AA196" s="1"/>
      <c r="AB196" s="68"/>
      <c r="AC196" s="76"/>
      <c r="AD196" s="70"/>
      <c r="AE196" s="228">
        <f>ROUND((ROUND((ROUND((ROUND((_15_同援日０．５*_15・２人),0)*(1+_15・A深夜)),0)*(1+_15・盲ろう)),0)*(1+_15・区４)),0)+ROUND((ROUND((ROUND((ROUND((_15_同援日０．５＿１．５*_15・２人),0)*(1+_15・B早朝)),0)*(1+_15・盲ろう)),0)*(1+_15・区４)),0)+ROUND((ROUND((ROUND((_15_同援日０．５＿１．５＿０．５*_15・２人),0)*(1+_15・盲ろう)),0)*(1+_15・区４)),0)</f>
        <v>1252</v>
      </c>
      <c r="AF196" s="69"/>
    </row>
    <row r="197" spans="1:32" ht="16.5" customHeight="1" x14ac:dyDescent="0.3">
      <c r="A197" s="2">
        <v>15</v>
      </c>
      <c r="B197" s="2" t="s">
        <v>855</v>
      </c>
      <c r="C197" s="60" t="s">
        <v>11347</v>
      </c>
      <c r="D197" s="1"/>
      <c r="E197" s="68"/>
      <c r="F197" s="70"/>
      <c r="G197" s="1"/>
      <c r="H197" s="68"/>
      <c r="I197" s="70"/>
      <c r="J197" s="1"/>
      <c r="K197" s="68"/>
      <c r="L197" s="70"/>
      <c r="M197" s="74" t="s">
        <v>18111</v>
      </c>
      <c r="N197" s="62"/>
      <c r="O197" s="63"/>
      <c r="P197" s="83"/>
      <c r="Q197" s="64"/>
      <c r="R197" s="65"/>
      <c r="S197" s="99"/>
      <c r="T197" s="70"/>
      <c r="U197" s="99"/>
      <c r="V197" s="70"/>
      <c r="W197" s="94"/>
      <c r="X197" s="68" t="s">
        <v>1</v>
      </c>
      <c r="Y197" s="76">
        <v>0.25</v>
      </c>
      <c r="Z197" s="70" t="s">
        <v>422</v>
      </c>
      <c r="AA197" s="1"/>
      <c r="AB197" s="68"/>
      <c r="AC197" s="76"/>
      <c r="AD197" s="70"/>
      <c r="AE197" s="228">
        <f>ROUND((ROUND((ROUND((ROUND((_15_同援日０．５*_15・基礎２),0)*(1+_15・A深夜)),0)*(1+_15・盲ろう)),0)*(1+_15・区４)),0)+ROUND((ROUND((ROUND((ROUND((_15_同援日０．５＿１．５*_15・基礎２),0)*(1+_15・B早朝)),0)*(1+_15・盲ろう)),0)*(1+_15・区４)),0)+ROUND((ROUND((ROUND((_15_同援日０．５＿１．５＿０．５*_15・基礎２),0)*(1+_15・盲ろう)),0)*(1+_15・区４)),0)</f>
        <v>1128</v>
      </c>
      <c r="AF197" s="69"/>
    </row>
    <row r="198" spans="1:32" ht="16.5" customHeight="1" x14ac:dyDescent="0.3">
      <c r="A198" s="2">
        <v>15</v>
      </c>
      <c r="B198" s="2" t="s">
        <v>856</v>
      </c>
      <c r="C198" s="60" t="s">
        <v>11346</v>
      </c>
      <c r="D198" s="1"/>
      <c r="E198" s="68"/>
      <c r="F198" s="70"/>
      <c r="G198" s="1"/>
      <c r="H198" s="68"/>
      <c r="I198" s="70"/>
      <c r="J198" s="81"/>
      <c r="K198" s="57"/>
      <c r="L198" s="77"/>
      <c r="M198" s="106" t="s">
        <v>18109</v>
      </c>
      <c r="N198" s="57" t="s">
        <v>1</v>
      </c>
      <c r="O198" s="58">
        <v>0.9</v>
      </c>
      <c r="P198" s="83" t="s">
        <v>5895</v>
      </c>
      <c r="Q198" s="64" t="s">
        <v>1</v>
      </c>
      <c r="R198" s="65">
        <v>1</v>
      </c>
      <c r="S198" s="99"/>
      <c r="T198" s="70"/>
      <c r="U198" s="99"/>
      <c r="V198" s="70"/>
      <c r="W198" s="106"/>
      <c r="X198" s="57"/>
      <c r="Y198" s="58"/>
      <c r="Z198" s="77"/>
      <c r="AA198" s="106"/>
      <c r="AB198" s="57"/>
      <c r="AC198" s="58"/>
      <c r="AD198" s="77"/>
      <c r="AE198" s="228">
        <f>ROUND((ROUND((ROUND((ROUND((ROUND((_15_同援日０．５*_15・基礎２),0)*_15・２人),0)*(1+_15・A深夜)),0)*(1+_15・盲ろう)),0)*(1+_15・区４)),0)+ROUND((ROUND((ROUND((ROUND((ROUND((_15_同援日０．５＿１．５*_15・基礎２),0)*_15・２人),0)*(1+_15・B早朝)),0)*(1+_15・盲ろう)),0)*(1+_15・区４)),0)+ROUND((ROUND((ROUND((ROUND((_15_同援日０．５＿１．５＿０．５*_15・基礎２),0)*_15・２人),0)*(1+_15・盲ろう)),0)*(1+_15・区４)),0)</f>
        <v>1128</v>
      </c>
      <c r="AF198" s="69"/>
    </row>
    <row r="199" spans="1:32" ht="16.5" customHeight="1" x14ac:dyDescent="0.3">
      <c r="A199" s="2">
        <v>15</v>
      </c>
      <c r="B199" s="2" t="s">
        <v>857</v>
      </c>
      <c r="C199" s="60" t="s">
        <v>11345</v>
      </c>
      <c r="D199" s="1"/>
      <c r="E199" s="68"/>
      <c r="F199" s="70"/>
      <c r="G199" s="1"/>
      <c r="H199" s="68"/>
      <c r="I199" s="70"/>
      <c r="J199" s="74" t="s">
        <v>17363</v>
      </c>
      <c r="K199" s="62"/>
      <c r="L199" s="75"/>
      <c r="M199" s="74"/>
      <c r="N199" s="62"/>
      <c r="O199" s="63"/>
      <c r="P199" s="83"/>
      <c r="Q199" s="64"/>
      <c r="R199" s="65"/>
      <c r="S199" s="99"/>
      <c r="T199" s="70"/>
      <c r="U199" s="99"/>
      <c r="V199" s="70"/>
      <c r="W199" s="74"/>
      <c r="X199" s="62"/>
      <c r="Y199" s="63"/>
      <c r="Z199" s="75"/>
      <c r="AA199" s="78"/>
      <c r="AB199" s="62"/>
      <c r="AC199" s="63"/>
      <c r="AD199" s="75"/>
      <c r="AE199" s="228">
        <f>ROUND((_15_同援日０．５*(1+_15・A深夜)),0)+ROUND((_15_同援日０．５＿１．５*(1+_15・B早朝)),0)+_15_同援日０．５＿１．５＿１．０</f>
        <v>778</v>
      </c>
      <c r="AF199" s="69"/>
    </row>
    <row r="200" spans="1:32" ht="16.5" customHeight="1" x14ac:dyDescent="0.3">
      <c r="A200" s="2">
        <v>15</v>
      </c>
      <c r="B200" s="2" t="s">
        <v>858</v>
      </c>
      <c r="C200" s="60" t="s">
        <v>11344</v>
      </c>
      <c r="D200" s="1"/>
      <c r="E200" s="68"/>
      <c r="F200" s="70"/>
      <c r="G200" s="1"/>
      <c r="H200" s="68"/>
      <c r="I200" s="70"/>
      <c r="J200" s="1" t="s">
        <v>16874</v>
      </c>
      <c r="K200" s="68"/>
      <c r="L200" s="70"/>
      <c r="M200" s="106"/>
      <c r="N200" s="57"/>
      <c r="O200" s="58"/>
      <c r="P200" s="83" t="s">
        <v>5895</v>
      </c>
      <c r="Q200" s="64" t="s">
        <v>1</v>
      </c>
      <c r="R200" s="65">
        <v>1</v>
      </c>
      <c r="S200" s="99"/>
      <c r="T200" s="70"/>
      <c r="U200" s="99"/>
      <c r="V200" s="70"/>
      <c r="W200" s="94"/>
      <c r="X200" s="68"/>
      <c r="Y200" s="76"/>
      <c r="Z200" s="70"/>
      <c r="AA200" s="1"/>
      <c r="AB200" s="68"/>
      <c r="AC200" s="76"/>
      <c r="AD200" s="70"/>
      <c r="AE200" s="228">
        <f>ROUND((ROUND((_15_同援日０．５*_15・２人),0)*(1+_15・A深夜)),0)+ROUND((ROUND((_15_同援日０．５＿１．５*_15・２人),0)*(1+_15・B早朝)),0)+ROUND((_15_同援日０．５＿１．５＿１．０*_15・２人),0)</f>
        <v>778</v>
      </c>
      <c r="AF200" s="69"/>
    </row>
    <row r="201" spans="1:32" ht="16.5" customHeight="1" x14ac:dyDescent="0.3">
      <c r="A201" s="2">
        <v>15</v>
      </c>
      <c r="B201" s="2" t="s">
        <v>859</v>
      </c>
      <c r="C201" s="60" t="s">
        <v>11343</v>
      </c>
      <c r="D201" s="1"/>
      <c r="E201" s="68"/>
      <c r="F201" s="70"/>
      <c r="G201" s="1"/>
      <c r="H201" s="68"/>
      <c r="I201" s="70"/>
      <c r="J201" s="1" t="s">
        <v>8572</v>
      </c>
      <c r="K201" s="68"/>
      <c r="L201" s="70"/>
      <c r="M201" s="74" t="s">
        <v>16823</v>
      </c>
      <c r="N201" s="62"/>
      <c r="O201" s="63"/>
      <c r="P201" s="83"/>
      <c r="Q201" s="64"/>
      <c r="R201" s="65"/>
      <c r="S201" s="99"/>
      <c r="T201" s="70"/>
      <c r="U201" s="99"/>
      <c r="V201" s="70"/>
      <c r="W201" s="94"/>
      <c r="X201" s="68"/>
      <c r="Y201" s="76"/>
      <c r="Z201" s="70"/>
      <c r="AA201" s="1"/>
      <c r="AB201" s="68"/>
      <c r="AC201" s="76"/>
      <c r="AD201" s="70"/>
      <c r="AE201" s="228">
        <f>ROUND((ROUND((_15_同援日０．５*_15・基礎２),0)*(1+_15・A深夜)),0)+ROUND((ROUND((_15_同援日０．５＿１．５*_15・基礎２),0)*(1+_15・B早朝)),0)+ROUND((_15_同援日０．５＿１．５＿１．０*_15・基礎２),0)</f>
        <v>701</v>
      </c>
      <c r="AF201" s="69"/>
    </row>
    <row r="202" spans="1:32" ht="16.5" customHeight="1" x14ac:dyDescent="0.3">
      <c r="A202" s="2">
        <v>15</v>
      </c>
      <c r="B202" s="2" t="s">
        <v>860</v>
      </c>
      <c r="C202" s="60" t="s">
        <v>11342</v>
      </c>
      <c r="D202" s="1"/>
      <c r="E202" s="68"/>
      <c r="F202" s="70"/>
      <c r="G202" s="1"/>
      <c r="H202" s="68"/>
      <c r="I202" s="70"/>
      <c r="J202" s="1"/>
      <c r="K202" s="119">
        <v>126</v>
      </c>
      <c r="L202" s="70" t="s">
        <v>0</v>
      </c>
      <c r="M202" s="106" t="s">
        <v>16812</v>
      </c>
      <c r="N202" s="57" t="s">
        <v>1</v>
      </c>
      <c r="O202" s="58">
        <v>0.9</v>
      </c>
      <c r="P202" s="83" t="s">
        <v>5895</v>
      </c>
      <c r="Q202" s="64" t="s">
        <v>1</v>
      </c>
      <c r="R202" s="65">
        <v>1</v>
      </c>
      <c r="S202" s="99"/>
      <c r="T202" s="70"/>
      <c r="U202" s="99"/>
      <c r="V202" s="70"/>
      <c r="W202" s="106"/>
      <c r="X202" s="57"/>
      <c r="Y202" s="58"/>
      <c r="Z202" s="77"/>
      <c r="AA202" s="1"/>
      <c r="AB202" s="68"/>
      <c r="AC202" s="76"/>
      <c r="AD202" s="70"/>
      <c r="AE202" s="228">
        <f>ROUND((ROUND((ROUND((_15_同援日０．５*_15・基礎２),0)*_15・２人),0)*(1+_15・A深夜)),0)+ROUND((ROUND((ROUND((_15_同援日０．５＿１．５*_15・基礎２),0)*_15・２人),0)*(1+_15・B早朝)),0)+ROUND((ROUND((_15_同援日０．５＿１．５＿１．０*_15・基礎２),0)*_15・２人),0)</f>
        <v>701</v>
      </c>
      <c r="AF202" s="69"/>
    </row>
    <row r="203" spans="1:32" ht="16.5" customHeight="1" x14ac:dyDescent="0.3">
      <c r="A203" s="2">
        <v>15</v>
      </c>
      <c r="B203" s="2" t="s">
        <v>861</v>
      </c>
      <c r="C203" s="60" t="s">
        <v>11341</v>
      </c>
      <c r="D203" s="1"/>
      <c r="E203" s="68"/>
      <c r="F203" s="70"/>
      <c r="G203" s="1"/>
      <c r="H203" s="68"/>
      <c r="I203" s="70"/>
      <c r="J203" s="1"/>
      <c r="K203" s="68"/>
      <c r="L203" s="70"/>
      <c r="M203" s="74"/>
      <c r="N203" s="62"/>
      <c r="O203" s="63"/>
      <c r="P203" s="83"/>
      <c r="Q203" s="64"/>
      <c r="R203" s="65"/>
      <c r="S203" s="99"/>
      <c r="T203" s="70"/>
      <c r="U203" s="99"/>
      <c r="V203" s="70"/>
      <c r="W203" s="74" t="s">
        <v>17969</v>
      </c>
      <c r="X203" s="62"/>
      <c r="Y203" s="63"/>
      <c r="Z203" s="75"/>
      <c r="AA203" s="1"/>
      <c r="AB203" s="68"/>
      <c r="AC203" s="76"/>
      <c r="AD203" s="70"/>
      <c r="AE203" s="228">
        <f>ROUND((ROUND((_15_同援日０．５*(1+_15・A深夜)),0)*(1+_15・盲ろう)),0)+ROUND((ROUND((_15_同援日０．５＿１．５*(1+_15・B早朝)),0)*(1+_15・盲ろう)),0)+ROUND((_15_同援日０．５＿１．５＿１．０*(1+_15・盲ろう)),0)</f>
        <v>973</v>
      </c>
      <c r="AF203" s="69"/>
    </row>
    <row r="204" spans="1:32" ht="16.5" customHeight="1" x14ac:dyDescent="0.3">
      <c r="A204" s="2">
        <v>15</v>
      </c>
      <c r="B204" s="2" t="s">
        <v>862</v>
      </c>
      <c r="C204" s="60" t="s">
        <v>11340</v>
      </c>
      <c r="D204" s="1"/>
      <c r="E204" s="68"/>
      <c r="F204" s="70"/>
      <c r="G204" s="1"/>
      <c r="H204" s="68"/>
      <c r="I204" s="70"/>
      <c r="J204" s="1"/>
      <c r="K204" s="68"/>
      <c r="L204" s="70"/>
      <c r="M204" s="106"/>
      <c r="N204" s="57"/>
      <c r="O204" s="58"/>
      <c r="P204" s="83" t="s">
        <v>5895</v>
      </c>
      <c r="Q204" s="64" t="s">
        <v>1</v>
      </c>
      <c r="R204" s="65">
        <v>1</v>
      </c>
      <c r="S204" s="99"/>
      <c r="T204" s="70"/>
      <c r="U204" s="99"/>
      <c r="V204" s="70"/>
      <c r="W204" s="94" t="s">
        <v>17968</v>
      </c>
      <c r="X204" s="68"/>
      <c r="Y204" s="76"/>
      <c r="Z204" s="70"/>
      <c r="AA204" s="1"/>
      <c r="AB204" s="68"/>
      <c r="AC204" s="76"/>
      <c r="AD204" s="70"/>
      <c r="AE204" s="228">
        <f>ROUND((ROUND((ROUND((_15_同援日０．５*_15・２人),0)*(1+_15・A深夜)),0)*(1+_15・盲ろう)),0)+ROUND((ROUND((ROUND((_15_同援日０．５＿１．５*_15・２人),0)*(1+_15・B早朝)),0)*(1+_15・盲ろう)),0)+ROUND((ROUND((_15_同援日０．５＿１．５＿１．０*_15・２人),0)*(1+_15・盲ろう)),0)</f>
        <v>973</v>
      </c>
      <c r="AF204" s="69"/>
    </row>
    <row r="205" spans="1:32" ht="16.5" customHeight="1" x14ac:dyDescent="0.3">
      <c r="A205" s="2">
        <v>15</v>
      </c>
      <c r="B205" s="2" t="s">
        <v>863</v>
      </c>
      <c r="C205" s="60" t="s">
        <v>11339</v>
      </c>
      <c r="D205" s="1"/>
      <c r="E205" s="68"/>
      <c r="F205" s="70"/>
      <c r="G205" s="1"/>
      <c r="H205" s="68"/>
      <c r="I205" s="70"/>
      <c r="J205" s="1"/>
      <c r="K205" s="68"/>
      <c r="L205" s="70"/>
      <c r="M205" s="74" t="s">
        <v>16823</v>
      </c>
      <c r="N205" s="62"/>
      <c r="O205" s="63"/>
      <c r="P205" s="83"/>
      <c r="Q205" s="64"/>
      <c r="R205" s="65"/>
      <c r="S205" s="99"/>
      <c r="T205" s="70"/>
      <c r="U205" s="99"/>
      <c r="V205" s="70"/>
      <c r="W205" s="94"/>
      <c r="X205" s="68" t="s">
        <v>1</v>
      </c>
      <c r="Y205" s="76">
        <v>0.25</v>
      </c>
      <c r="Z205" s="70" t="s">
        <v>422</v>
      </c>
      <c r="AA205" s="1"/>
      <c r="AB205" s="68"/>
      <c r="AC205" s="76"/>
      <c r="AD205" s="70"/>
      <c r="AE205" s="228">
        <f>ROUND((ROUND((ROUND((_15_同援日０．５*_15・基礎２),0)*(1+_15・A深夜)),0)*(1+_15・盲ろう)),0)+ROUND((ROUND((ROUND((_15_同援日０．５＿１．５*_15・基礎２),0)*(1+_15・B早朝)),0)*(1+_15・盲ろう)),0)+ROUND((ROUND((_15_同援日０．５＿１．５＿１．０*_15・基礎２),0)*(1+_15・盲ろう)),0)</f>
        <v>876</v>
      </c>
      <c r="AF205" s="69"/>
    </row>
    <row r="206" spans="1:32" ht="16.5" customHeight="1" x14ac:dyDescent="0.3">
      <c r="A206" s="2">
        <v>15</v>
      </c>
      <c r="B206" s="2" t="s">
        <v>864</v>
      </c>
      <c r="C206" s="60" t="s">
        <v>11338</v>
      </c>
      <c r="D206" s="1"/>
      <c r="E206" s="68"/>
      <c r="F206" s="70"/>
      <c r="G206" s="1"/>
      <c r="H206" s="68"/>
      <c r="I206" s="70"/>
      <c r="J206" s="1"/>
      <c r="K206" s="68"/>
      <c r="L206" s="70"/>
      <c r="M206" s="106" t="s">
        <v>16916</v>
      </c>
      <c r="N206" s="57" t="s">
        <v>1</v>
      </c>
      <c r="O206" s="58">
        <v>0.9</v>
      </c>
      <c r="P206" s="83" t="s">
        <v>5895</v>
      </c>
      <c r="Q206" s="64" t="s">
        <v>1</v>
      </c>
      <c r="R206" s="65">
        <v>1</v>
      </c>
      <c r="S206" s="99"/>
      <c r="T206" s="70"/>
      <c r="U206" s="99"/>
      <c r="V206" s="70"/>
      <c r="W206" s="106"/>
      <c r="X206" s="57"/>
      <c r="Y206" s="58"/>
      <c r="Z206" s="77"/>
      <c r="AA206" s="106"/>
      <c r="AB206" s="57"/>
      <c r="AC206" s="58"/>
      <c r="AD206" s="77"/>
      <c r="AE206" s="228">
        <f>ROUND((ROUND((ROUND((ROUND((_15_同援日０．５*_15・基礎２),0)*_15・２人),0)*(1+_15・A深夜)),0)*(1+_15・盲ろう)),0)+ROUND((ROUND((ROUND((ROUND((_15_同援日０．５＿１．５*_15・基礎２),0)*_15・２人),0)*(1+_15・B早朝)),0)*(1+_15・盲ろう)),0)+ROUND((ROUND((ROUND((_15_同援日０．５＿１．５＿１．０*_15・基礎２),0)*_15・２人),0)*(1+_15・盲ろう)),0)</f>
        <v>876</v>
      </c>
      <c r="AF206" s="69"/>
    </row>
    <row r="207" spans="1:32" ht="16.5" customHeight="1" x14ac:dyDescent="0.3">
      <c r="A207" s="2">
        <v>15</v>
      </c>
      <c r="B207" s="2" t="s">
        <v>865</v>
      </c>
      <c r="C207" s="60" t="s">
        <v>11337</v>
      </c>
      <c r="D207" s="1"/>
      <c r="E207" s="68"/>
      <c r="F207" s="70"/>
      <c r="G207" s="1"/>
      <c r="H207" s="68"/>
      <c r="I207" s="70"/>
      <c r="J207" s="1"/>
      <c r="K207" s="68"/>
      <c r="L207" s="70"/>
      <c r="M207" s="74"/>
      <c r="N207" s="62"/>
      <c r="O207" s="63"/>
      <c r="P207" s="83"/>
      <c r="Q207" s="64"/>
      <c r="R207" s="65"/>
      <c r="S207" s="99"/>
      <c r="T207" s="70"/>
      <c r="U207" s="99"/>
      <c r="V207" s="70"/>
      <c r="W207" s="74"/>
      <c r="X207" s="62"/>
      <c r="Y207" s="63"/>
      <c r="Z207" s="75"/>
      <c r="AA207" s="78"/>
      <c r="AB207" s="62"/>
      <c r="AC207" s="63"/>
      <c r="AD207" s="75"/>
      <c r="AE207" s="228">
        <f>ROUND((ROUND((_15_同援日０．５*(1+_15・A深夜)),0)*(1+_15・区３)),0)+ROUND((ROUND((_15_同援日０．５＿１．５*(1+_15・B早朝)),0)*(1+_15・区３)),0)+ROUND((_15_同援日０．５＿１．５＿１．０*(1+_15・区３)),0)</f>
        <v>933</v>
      </c>
      <c r="AF207" s="69"/>
    </row>
    <row r="208" spans="1:32" ht="16.5" customHeight="1" x14ac:dyDescent="0.3">
      <c r="A208" s="2">
        <v>15</v>
      </c>
      <c r="B208" s="2" t="s">
        <v>866</v>
      </c>
      <c r="C208" s="60" t="s">
        <v>11336</v>
      </c>
      <c r="D208" s="1"/>
      <c r="E208" s="68"/>
      <c r="F208" s="70"/>
      <c r="G208" s="1"/>
      <c r="H208" s="68"/>
      <c r="I208" s="70"/>
      <c r="J208" s="1"/>
      <c r="K208" s="68"/>
      <c r="L208" s="70"/>
      <c r="M208" s="106"/>
      <c r="N208" s="57"/>
      <c r="O208" s="58"/>
      <c r="P208" s="83" t="s">
        <v>5895</v>
      </c>
      <c r="Q208" s="64" t="s">
        <v>1</v>
      </c>
      <c r="R208" s="65">
        <v>1</v>
      </c>
      <c r="S208" s="99"/>
      <c r="T208" s="70"/>
      <c r="U208" s="99"/>
      <c r="V208" s="70"/>
      <c r="W208" s="94"/>
      <c r="X208" s="68"/>
      <c r="Y208" s="76"/>
      <c r="Z208" s="70"/>
      <c r="AA208" s="1"/>
      <c r="AB208" s="68"/>
      <c r="AC208" s="76"/>
      <c r="AD208" s="70"/>
      <c r="AE208" s="228">
        <f>ROUND((ROUND((ROUND((_15_同援日０．５*_15・２人),0)*(1+_15・A深夜)),0)*(1+_15・区３)),0)+ROUND((ROUND((ROUND((_15_同援日０．５＿１．５*_15・２人),0)*(1+_15・B早朝)),0)*(1+_15・区３)),0)+ROUND((ROUND((_15_同援日０．５＿１．５＿１．０*_15・２人),0)*(1+_15・区３)),0)</f>
        <v>933</v>
      </c>
      <c r="AF208" s="69"/>
    </row>
    <row r="209" spans="1:32" ht="16.5" customHeight="1" x14ac:dyDescent="0.3">
      <c r="A209" s="2">
        <v>15</v>
      </c>
      <c r="B209" s="2" t="s">
        <v>867</v>
      </c>
      <c r="C209" s="60" t="s">
        <v>11335</v>
      </c>
      <c r="D209" s="1"/>
      <c r="E209" s="68"/>
      <c r="F209" s="70"/>
      <c r="G209" s="1"/>
      <c r="H209" s="68"/>
      <c r="I209" s="70"/>
      <c r="J209" s="1"/>
      <c r="K209" s="68"/>
      <c r="L209" s="70"/>
      <c r="M209" s="74" t="s">
        <v>16823</v>
      </c>
      <c r="N209" s="62"/>
      <c r="O209" s="63"/>
      <c r="P209" s="83"/>
      <c r="Q209" s="64"/>
      <c r="R209" s="65"/>
      <c r="S209" s="99"/>
      <c r="T209" s="70"/>
      <c r="U209" s="99"/>
      <c r="V209" s="70"/>
      <c r="W209" s="94"/>
      <c r="X209" s="68"/>
      <c r="Y209" s="76"/>
      <c r="Z209" s="70"/>
      <c r="AA209" s="1" t="s">
        <v>17974</v>
      </c>
      <c r="AB209" s="68"/>
      <c r="AC209" s="76"/>
      <c r="AD209" s="70"/>
      <c r="AE209" s="228">
        <f>ROUND((ROUND((ROUND((_15_同援日０．５*_15・基礎２),0)*(1+_15・A深夜)),0)*(1+_15・区３)),0)+ROUND((ROUND((ROUND((_15_同援日０．５＿１．５*_15・基礎２),0)*(1+_15・B早朝)),0)*(1+_15・区３)),0)+ROUND((ROUND((_15_同援日０．５＿１．５＿１．０*_15・基礎２),0)*(1+_15・区３)),0)</f>
        <v>842</v>
      </c>
      <c r="AF209" s="69"/>
    </row>
    <row r="210" spans="1:32" ht="16.5" customHeight="1" x14ac:dyDescent="0.3">
      <c r="A210" s="2">
        <v>15</v>
      </c>
      <c r="B210" s="2" t="s">
        <v>868</v>
      </c>
      <c r="C210" s="60" t="s">
        <v>11334</v>
      </c>
      <c r="D210" s="1"/>
      <c r="E210" s="68"/>
      <c r="F210" s="70"/>
      <c r="G210" s="1"/>
      <c r="H210" s="68"/>
      <c r="I210" s="70"/>
      <c r="J210" s="1"/>
      <c r="K210" s="68"/>
      <c r="L210" s="70"/>
      <c r="M210" s="106" t="s">
        <v>16812</v>
      </c>
      <c r="N210" s="57" t="s">
        <v>1</v>
      </c>
      <c r="O210" s="58">
        <v>0.9</v>
      </c>
      <c r="P210" s="83" t="s">
        <v>5895</v>
      </c>
      <c r="Q210" s="64" t="s">
        <v>1</v>
      </c>
      <c r="R210" s="65">
        <v>1</v>
      </c>
      <c r="S210" s="99"/>
      <c r="T210" s="70"/>
      <c r="U210" s="99"/>
      <c r="V210" s="70"/>
      <c r="W210" s="106"/>
      <c r="X210" s="57"/>
      <c r="Y210" s="58"/>
      <c r="Z210" s="77"/>
      <c r="AA210" s="1" t="s">
        <v>18112</v>
      </c>
      <c r="AB210" s="68"/>
      <c r="AC210" s="76"/>
      <c r="AD210" s="70"/>
      <c r="AE210" s="228">
        <f>ROUND((ROUND((ROUND((ROUND((_15_同援日０．５*_15・基礎２),0)*_15・２人),0)*(1+_15・A深夜)),0)*(1+_15・区３)),0)+ROUND((ROUND((ROUND((ROUND((_15_同援日０．５＿１．５*_15・基礎２),0)*_15・２人),0)*(1+_15・B早朝)),0)*(1+_15・区３)),0)+ROUND((ROUND((ROUND((_15_同援日０．５＿１．５＿１．０*_15・基礎２),0)*_15・２人),0)*(1+_15・区３)),0)</f>
        <v>842</v>
      </c>
      <c r="AF210" s="69"/>
    </row>
    <row r="211" spans="1:32" ht="16.5" customHeight="1" x14ac:dyDescent="0.3">
      <c r="A211" s="2">
        <v>15</v>
      </c>
      <c r="B211" s="2" t="s">
        <v>869</v>
      </c>
      <c r="C211" s="60" t="s">
        <v>11333</v>
      </c>
      <c r="D211" s="1"/>
      <c r="E211" s="68"/>
      <c r="F211" s="70"/>
      <c r="G211" s="1"/>
      <c r="H211" s="68"/>
      <c r="I211" s="70"/>
      <c r="J211" s="1"/>
      <c r="K211" s="68"/>
      <c r="L211" s="70"/>
      <c r="M211" s="74"/>
      <c r="N211" s="62"/>
      <c r="O211" s="63"/>
      <c r="P211" s="83"/>
      <c r="Q211" s="64"/>
      <c r="R211" s="65"/>
      <c r="S211" s="99"/>
      <c r="T211" s="70"/>
      <c r="U211" s="99"/>
      <c r="V211" s="70"/>
      <c r="W211" s="74" t="s">
        <v>17969</v>
      </c>
      <c r="X211" s="62"/>
      <c r="Y211" s="63"/>
      <c r="Z211" s="75"/>
      <c r="AA211" s="1"/>
      <c r="AB211" s="68" t="s">
        <v>1</v>
      </c>
      <c r="AC211" s="76">
        <v>0.2</v>
      </c>
      <c r="AD211" s="70" t="s">
        <v>422</v>
      </c>
      <c r="AE211" s="228">
        <f>ROUND((ROUND((ROUND((_15_同援日０．５*(1+_15・A深夜)),0)*(1+_15・盲ろう)),0)*(1+_15・区３)),0)+ROUND((ROUND((ROUND((_15_同援日０．５＿１．５*(1+_15・B早朝)),0)*(1+_15・盲ろう)),0)*(1+_15・区３)),0)+ROUND((ROUND((_15_同援日０．５＿１．５＿１．０*(1+_15・盲ろう)),0)*(1+_15・区３)),0)</f>
        <v>1168</v>
      </c>
      <c r="AF211" s="69"/>
    </row>
    <row r="212" spans="1:32" ht="16.5" customHeight="1" x14ac:dyDescent="0.3">
      <c r="A212" s="2">
        <v>15</v>
      </c>
      <c r="B212" s="2" t="s">
        <v>870</v>
      </c>
      <c r="C212" s="60" t="s">
        <v>11332</v>
      </c>
      <c r="D212" s="1"/>
      <c r="E212" s="68"/>
      <c r="F212" s="70"/>
      <c r="G212" s="1"/>
      <c r="H212" s="68"/>
      <c r="I212" s="70"/>
      <c r="J212" s="1"/>
      <c r="K212" s="68"/>
      <c r="L212" s="70"/>
      <c r="M212" s="106"/>
      <c r="N212" s="57"/>
      <c r="O212" s="58"/>
      <c r="P212" s="83" t="s">
        <v>5895</v>
      </c>
      <c r="Q212" s="64" t="s">
        <v>1</v>
      </c>
      <c r="R212" s="65">
        <v>1</v>
      </c>
      <c r="S212" s="99"/>
      <c r="T212" s="70"/>
      <c r="U212" s="99"/>
      <c r="V212" s="70"/>
      <c r="W212" s="94" t="s">
        <v>17968</v>
      </c>
      <c r="X212" s="68"/>
      <c r="Y212" s="76"/>
      <c r="Z212" s="70"/>
      <c r="AA212" s="1"/>
      <c r="AB212" s="68"/>
      <c r="AC212" s="76"/>
      <c r="AD212" s="70"/>
      <c r="AE212" s="228">
        <f>ROUND((ROUND((ROUND((ROUND((_15_同援日０．５*_15・２人),0)*(1+_15・A深夜)),0)*(1+_15・盲ろう)),0)*(1+_15・区３)),0)+ROUND((ROUND((ROUND((ROUND((_15_同援日０．５＿１．５*_15・２人),0)*(1+_15・B早朝)),0)*(1+_15・盲ろう)),0)*(1+_15・区３)),0)+ROUND((ROUND((ROUND((_15_同援日０．５＿１．５＿１．０*_15・２人),0)*(1+_15・盲ろう)),0)*(1+_15・区３)),0)</f>
        <v>1168</v>
      </c>
      <c r="AF212" s="69"/>
    </row>
    <row r="213" spans="1:32" ht="16.5" customHeight="1" x14ac:dyDescent="0.3">
      <c r="A213" s="2">
        <v>15</v>
      </c>
      <c r="B213" s="2" t="s">
        <v>871</v>
      </c>
      <c r="C213" s="60" t="s">
        <v>11331</v>
      </c>
      <c r="D213" s="1"/>
      <c r="E213" s="68"/>
      <c r="F213" s="70"/>
      <c r="G213" s="1"/>
      <c r="H213" s="68"/>
      <c r="I213" s="70"/>
      <c r="J213" s="1"/>
      <c r="K213" s="68"/>
      <c r="L213" s="70"/>
      <c r="M213" s="74" t="s">
        <v>16823</v>
      </c>
      <c r="N213" s="62"/>
      <c r="O213" s="63"/>
      <c r="P213" s="83"/>
      <c r="Q213" s="64"/>
      <c r="R213" s="65"/>
      <c r="S213" s="99"/>
      <c r="T213" s="70"/>
      <c r="U213" s="99"/>
      <c r="V213" s="70"/>
      <c r="W213" s="94"/>
      <c r="X213" s="68" t="s">
        <v>1</v>
      </c>
      <c r="Y213" s="76">
        <v>0.25</v>
      </c>
      <c r="Z213" s="70" t="s">
        <v>422</v>
      </c>
      <c r="AA213" s="1"/>
      <c r="AB213" s="68"/>
      <c r="AC213" s="76"/>
      <c r="AD213" s="70"/>
      <c r="AE213" s="228">
        <f>ROUND((ROUND((ROUND((ROUND((_15_同援日０．５*_15・基礎２),0)*(1+_15・A深夜)),0)*(1+_15・盲ろう)),0)*(1+_15・区３)),0)+ROUND((ROUND((ROUND((ROUND((_15_同援日０．５＿１．５*_15・基礎２),0)*(1+_15・B早朝)),0)*(1+_15・盲ろう)),0)*(1+_15・区３)),0)+ROUND((ROUND((ROUND((_15_同援日０．５＿１．５＿１．０*_15・基礎２),0)*(1+_15・盲ろう)),0)*(1+_15・区３)),0)</f>
        <v>1051</v>
      </c>
      <c r="AF213" s="69"/>
    </row>
    <row r="214" spans="1:32" ht="16.5" customHeight="1" x14ac:dyDescent="0.3">
      <c r="A214" s="2">
        <v>15</v>
      </c>
      <c r="B214" s="2" t="s">
        <v>872</v>
      </c>
      <c r="C214" s="60" t="s">
        <v>11330</v>
      </c>
      <c r="D214" s="1"/>
      <c r="E214" s="68"/>
      <c r="F214" s="70"/>
      <c r="G214" s="1"/>
      <c r="H214" s="68"/>
      <c r="I214" s="70"/>
      <c r="J214" s="1"/>
      <c r="K214" s="68"/>
      <c r="L214" s="70"/>
      <c r="M214" s="106" t="s">
        <v>16812</v>
      </c>
      <c r="N214" s="57" t="s">
        <v>1</v>
      </c>
      <c r="O214" s="58">
        <v>0.9</v>
      </c>
      <c r="P214" s="83" t="s">
        <v>5895</v>
      </c>
      <c r="Q214" s="64" t="s">
        <v>1</v>
      </c>
      <c r="R214" s="65">
        <v>1</v>
      </c>
      <c r="S214" s="99"/>
      <c r="T214" s="70"/>
      <c r="U214" s="99"/>
      <c r="V214" s="70"/>
      <c r="W214" s="106"/>
      <c r="X214" s="57"/>
      <c r="Y214" s="58"/>
      <c r="Z214" s="77"/>
      <c r="AA214" s="106"/>
      <c r="AB214" s="57"/>
      <c r="AC214" s="58"/>
      <c r="AD214" s="77"/>
      <c r="AE214" s="228">
        <f>ROUND((ROUND((ROUND((ROUND((ROUND((_15_同援日０．５*_15・基礎２),0)*_15・２人),0)*(1+_15・A深夜)),0)*(1+_15・盲ろう)),0)*(1+_15・区３)),0)+ROUND((ROUND((ROUND((ROUND((ROUND((_15_同援日０．５＿１．５*_15・基礎２),0)*_15・２人),0)*(1+_15・B早朝)),0)*(1+_15・盲ろう)),0)*(1+_15・区３)),0)+ROUND((ROUND((ROUND((ROUND((_15_同援日０．５＿１．５＿１．０*_15・基礎２),0)*_15・２人),0)*(1+_15・盲ろう)),0)*(1+_15・区３)),0)</f>
        <v>1051</v>
      </c>
      <c r="AF214" s="69"/>
    </row>
    <row r="215" spans="1:32" ht="16.5" customHeight="1" x14ac:dyDescent="0.3">
      <c r="A215" s="2">
        <v>15</v>
      </c>
      <c r="B215" s="2" t="s">
        <v>873</v>
      </c>
      <c r="C215" s="60" t="s">
        <v>11329</v>
      </c>
      <c r="D215" s="1"/>
      <c r="E215" s="68"/>
      <c r="F215" s="70"/>
      <c r="G215" s="1"/>
      <c r="H215" s="68"/>
      <c r="I215" s="70"/>
      <c r="J215" s="1"/>
      <c r="K215" s="68"/>
      <c r="L215" s="70"/>
      <c r="M215" s="74"/>
      <c r="N215" s="62"/>
      <c r="O215" s="63"/>
      <c r="P215" s="83"/>
      <c r="Q215" s="64"/>
      <c r="R215" s="65"/>
      <c r="S215" s="99"/>
      <c r="T215" s="70"/>
      <c r="U215" s="99"/>
      <c r="V215" s="70"/>
      <c r="W215" s="74"/>
      <c r="X215" s="62"/>
      <c r="Y215" s="63"/>
      <c r="Z215" s="75"/>
      <c r="AA215" s="78"/>
      <c r="AB215" s="62"/>
      <c r="AC215" s="63"/>
      <c r="AD215" s="75"/>
      <c r="AE215" s="228">
        <f>ROUND((ROUND((_15_同援日０．５*(1+_15・A深夜)),0)*(1+_15・区４)),0)+ROUND((ROUND((_15_同援日０．５＿１．５*(1+_15・B早朝)),0)*(1+_15・区４)),0)+ROUND((_15_同援日０．５＿１．５＿１．０*(1+_15・区４)),0)</f>
        <v>1088</v>
      </c>
      <c r="AF215" s="69"/>
    </row>
    <row r="216" spans="1:32" ht="16.5" customHeight="1" x14ac:dyDescent="0.3">
      <c r="A216" s="2">
        <v>15</v>
      </c>
      <c r="B216" s="2" t="s">
        <v>874</v>
      </c>
      <c r="C216" s="60" t="s">
        <v>11328</v>
      </c>
      <c r="D216" s="1"/>
      <c r="E216" s="68"/>
      <c r="F216" s="70"/>
      <c r="G216" s="1"/>
      <c r="H216" s="68"/>
      <c r="I216" s="70"/>
      <c r="J216" s="1"/>
      <c r="K216" s="68"/>
      <c r="L216" s="70"/>
      <c r="M216" s="106"/>
      <c r="N216" s="57"/>
      <c r="O216" s="58"/>
      <c r="P216" s="83" t="s">
        <v>5895</v>
      </c>
      <c r="Q216" s="64" t="s">
        <v>1</v>
      </c>
      <c r="R216" s="65">
        <v>1</v>
      </c>
      <c r="S216" s="99"/>
      <c r="T216" s="70"/>
      <c r="U216" s="99"/>
      <c r="V216" s="70"/>
      <c r="W216" s="94"/>
      <c r="X216" s="68"/>
      <c r="Y216" s="76"/>
      <c r="Z216" s="70"/>
      <c r="AA216" s="1"/>
      <c r="AB216" s="68"/>
      <c r="AC216" s="76"/>
      <c r="AD216" s="70"/>
      <c r="AE216" s="228">
        <f>ROUND((ROUND((ROUND((_15_同援日０．５*_15・２人),0)*(1+_15・A深夜)),0)*(1+_15・区４)),0)+ROUND((ROUND((ROUND((_15_同援日０．５＿１．５*_15・２人),0)*(1+_15・B早朝)),0)*(1+_15・区４)),0)+ROUND((ROUND((_15_同援日０．５＿１．５＿１．０*_15・２人),0)*(1+_15・区４)),0)</f>
        <v>1088</v>
      </c>
      <c r="AF216" s="69"/>
    </row>
    <row r="217" spans="1:32" ht="16.5" customHeight="1" x14ac:dyDescent="0.3">
      <c r="A217" s="2">
        <v>15</v>
      </c>
      <c r="B217" s="2" t="s">
        <v>875</v>
      </c>
      <c r="C217" s="60" t="s">
        <v>11327</v>
      </c>
      <c r="D217" s="1"/>
      <c r="E217" s="68"/>
      <c r="F217" s="70"/>
      <c r="G217" s="1"/>
      <c r="H217" s="68"/>
      <c r="I217" s="70"/>
      <c r="J217" s="1"/>
      <c r="K217" s="68"/>
      <c r="L217" s="70"/>
      <c r="M217" s="74" t="s">
        <v>16823</v>
      </c>
      <c r="N217" s="62"/>
      <c r="O217" s="63"/>
      <c r="P217" s="83"/>
      <c r="Q217" s="64"/>
      <c r="R217" s="65"/>
      <c r="S217" s="99"/>
      <c r="T217" s="70"/>
      <c r="U217" s="99"/>
      <c r="V217" s="70"/>
      <c r="W217" s="94"/>
      <c r="X217" s="68"/>
      <c r="Y217" s="76"/>
      <c r="Z217" s="70"/>
      <c r="AA217" s="1" t="s">
        <v>17971</v>
      </c>
      <c r="AB217" s="68"/>
      <c r="AC217" s="76"/>
      <c r="AD217" s="70"/>
      <c r="AE217" s="228">
        <f>ROUND((ROUND((ROUND((_15_同援日０．５*_15・基礎２),0)*(1+_15・A深夜)),0)*(1+_15・区４)),0)+ROUND((ROUND((ROUND((_15_同援日０．５＿１．５*_15・基礎２),0)*(1+_15・B早朝)),0)*(1+_15・区４)),0)+ROUND((ROUND((_15_同援日０．５＿１．５＿１．０*_15・基礎２),0)*(1+_15・区４)),0)</f>
        <v>982</v>
      </c>
      <c r="AF217" s="69"/>
    </row>
    <row r="218" spans="1:32" ht="16.5" customHeight="1" x14ac:dyDescent="0.3">
      <c r="A218" s="2">
        <v>15</v>
      </c>
      <c r="B218" s="2" t="s">
        <v>876</v>
      </c>
      <c r="C218" s="60" t="s">
        <v>11326</v>
      </c>
      <c r="D218" s="1"/>
      <c r="E218" s="68"/>
      <c r="F218" s="70"/>
      <c r="G218" s="1"/>
      <c r="H218" s="68"/>
      <c r="I218" s="70"/>
      <c r="J218" s="1"/>
      <c r="K218" s="68"/>
      <c r="L218" s="70"/>
      <c r="M218" s="106" t="s">
        <v>16812</v>
      </c>
      <c r="N218" s="57" t="s">
        <v>1</v>
      </c>
      <c r="O218" s="58">
        <v>0.9</v>
      </c>
      <c r="P218" s="83" t="s">
        <v>5895</v>
      </c>
      <c r="Q218" s="64" t="s">
        <v>1</v>
      </c>
      <c r="R218" s="65">
        <v>1</v>
      </c>
      <c r="S218" s="99"/>
      <c r="T218" s="70"/>
      <c r="U218" s="99"/>
      <c r="V218" s="70"/>
      <c r="W218" s="106"/>
      <c r="X218" s="57"/>
      <c r="Y218" s="58"/>
      <c r="Z218" s="77"/>
      <c r="AA218" s="1" t="s">
        <v>17970</v>
      </c>
      <c r="AB218" s="68"/>
      <c r="AC218" s="76"/>
      <c r="AD218" s="70"/>
      <c r="AE218" s="228">
        <f>ROUND((ROUND((ROUND((ROUND((_15_同援日０．５*_15・基礎２),0)*_15・２人),0)*(1+_15・A深夜)),0)*(1+_15・区４)),0)+ROUND((ROUND((ROUND((ROUND((_15_同援日０．５＿１．５*_15・基礎２),0)*_15・２人),0)*(1+_15・B早朝)),0)*(1+_15・区４)),0)+ROUND((ROUND((ROUND((_15_同援日０．５＿１．５＿１．０*_15・基礎２),0)*_15・２人),0)*(1+_15・区４)),0)</f>
        <v>982</v>
      </c>
      <c r="AF218" s="69"/>
    </row>
    <row r="219" spans="1:32" ht="16.5" customHeight="1" x14ac:dyDescent="0.3">
      <c r="A219" s="2">
        <v>15</v>
      </c>
      <c r="B219" s="2" t="s">
        <v>877</v>
      </c>
      <c r="C219" s="60" t="s">
        <v>11325</v>
      </c>
      <c r="D219" s="1"/>
      <c r="E219" s="68"/>
      <c r="F219" s="70"/>
      <c r="G219" s="1"/>
      <c r="H219" s="68"/>
      <c r="I219" s="70"/>
      <c r="J219" s="1"/>
      <c r="K219" s="68"/>
      <c r="L219" s="70"/>
      <c r="M219" s="74"/>
      <c r="N219" s="62"/>
      <c r="O219" s="63"/>
      <c r="P219" s="83"/>
      <c r="Q219" s="64"/>
      <c r="R219" s="65"/>
      <c r="S219" s="99"/>
      <c r="T219" s="70"/>
      <c r="U219" s="99"/>
      <c r="V219" s="70"/>
      <c r="W219" s="74" t="s">
        <v>17969</v>
      </c>
      <c r="X219" s="62"/>
      <c r="Y219" s="63"/>
      <c r="Z219" s="75"/>
      <c r="AA219" s="1"/>
      <c r="AB219" s="68" t="s">
        <v>1</v>
      </c>
      <c r="AC219" s="76">
        <v>0.4</v>
      </c>
      <c r="AD219" s="70" t="s">
        <v>422</v>
      </c>
      <c r="AE219" s="228">
        <f>ROUND((ROUND((ROUND((_15_同援日０．５*(1+_15・A深夜)),0)*(1+_15・盲ろう)),0)*(1+_15・区４)),0)+ROUND((ROUND((ROUND((_15_同援日０．５＿１．５*(1+_15・B早朝)),0)*(1+_15・盲ろう)),0)*(1+_15・区４)),0)+ROUND((ROUND((_15_同援日０．５＿１．５＿１．０*(1+_15・盲ろう)),0)*(1+_15・区４)),0)</f>
        <v>1362</v>
      </c>
      <c r="AF219" s="69"/>
    </row>
    <row r="220" spans="1:32" ht="16.5" customHeight="1" x14ac:dyDescent="0.3">
      <c r="A220" s="2">
        <v>15</v>
      </c>
      <c r="B220" s="2" t="s">
        <v>878</v>
      </c>
      <c r="C220" s="60" t="s">
        <v>11324</v>
      </c>
      <c r="D220" s="1"/>
      <c r="E220" s="68"/>
      <c r="F220" s="70"/>
      <c r="G220" s="1"/>
      <c r="H220" s="68"/>
      <c r="I220" s="70"/>
      <c r="J220" s="1"/>
      <c r="K220" s="68"/>
      <c r="L220" s="70"/>
      <c r="M220" s="106"/>
      <c r="N220" s="57"/>
      <c r="O220" s="58"/>
      <c r="P220" s="83" t="s">
        <v>5895</v>
      </c>
      <c r="Q220" s="64" t="s">
        <v>1</v>
      </c>
      <c r="R220" s="65">
        <v>1</v>
      </c>
      <c r="S220" s="99"/>
      <c r="T220" s="70"/>
      <c r="U220" s="99"/>
      <c r="V220" s="70"/>
      <c r="W220" s="94" t="s">
        <v>17968</v>
      </c>
      <c r="X220" s="68"/>
      <c r="Y220" s="76"/>
      <c r="Z220" s="70"/>
      <c r="AA220" s="1"/>
      <c r="AB220" s="68"/>
      <c r="AC220" s="76"/>
      <c r="AD220" s="70"/>
      <c r="AE220" s="228">
        <f>ROUND((ROUND((ROUND((ROUND((_15_同援日０．５*_15・２人),0)*(1+_15・A深夜)),0)*(1+_15・盲ろう)),0)*(1+_15・区４)),0)+ROUND((ROUND((ROUND((ROUND((_15_同援日０．５＿１．５*_15・２人),0)*(1+_15・B早朝)),0)*(1+_15・盲ろう)),0)*(1+_15・区４)),0)+ROUND((ROUND((ROUND((_15_同援日０．５＿１．５＿１．０*_15・２人),0)*(1+_15・盲ろう)),0)*(1+_15・区４)),0)</f>
        <v>1362</v>
      </c>
      <c r="AF220" s="69"/>
    </row>
    <row r="221" spans="1:32" ht="16.5" customHeight="1" x14ac:dyDescent="0.3">
      <c r="A221" s="2">
        <v>15</v>
      </c>
      <c r="B221" s="2" t="s">
        <v>879</v>
      </c>
      <c r="C221" s="60" t="s">
        <v>11323</v>
      </c>
      <c r="D221" s="1"/>
      <c r="E221" s="68"/>
      <c r="F221" s="70"/>
      <c r="G221" s="1"/>
      <c r="H221" s="68"/>
      <c r="I221" s="70"/>
      <c r="J221" s="1"/>
      <c r="K221" s="68"/>
      <c r="L221" s="70"/>
      <c r="M221" s="74" t="s">
        <v>16823</v>
      </c>
      <c r="N221" s="62"/>
      <c r="O221" s="63"/>
      <c r="P221" s="83"/>
      <c r="Q221" s="64"/>
      <c r="R221" s="65"/>
      <c r="S221" s="99"/>
      <c r="T221" s="70"/>
      <c r="U221" s="99"/>
      <c r="V221" s="70"/>
      <c r="W221" s="94"/>
      <c r="X221" s="68" t="s">
        <v>1</v>
      </c>
      <c r="Y221" s="76">
        <v>0.25</v>
      </c>
      <c r="Z221" s="70" t="s">
        <v>422</v>
      </c>
      <c r="AA221" s="1"/>
      <c r="AB221" s="68"/>
      <c r="AC221" s="76"/>
      <c r="AD221" s="70"/>
      <c r="AE221" s="228">
        <f>ROUND((ROUND((ROUND((ROUND((_15_同援日０．５*_15・基礎２),0)*(1+_15・A深夜)),0)*(1+_15・盲ろう)),0)*(1+_15・区４)),0)+ROUND((ROUND((ROUND((ROUND((_15_同援日０．５＿１．５*_15・基礎２),0)*(1+_15・B早朝)),0)*(1+_15・盲ろう)),0)*(1+_15・区４)),0)+ROUND((ROUND((ROUND((_15_同援日０．５＿１．５＿１．０*_15・基礎２),0)*(1+_15・盲ろう)),0)*(1+_15・区４)),0)</f>
        <v>1226</v>
      </c>
      <c r="AF221" s="69"/>
    </row>
    <row r="222" spans="1:32" ht="16.5" customHeight="1" x14ac:dyDescent="0.3">
      <c r="A222" s="2">
        <v>15</v>
      </c>
      <c r="B222" s="2" t="s">
        <v>880</v>
      </c>
      <c r="C222" s="60" t="s">
        <v>11322</v>
      </c>
      <c r="D222" s="81"/>
      <c r="E222" s="57"/>
      <c r="F222" s="77"/>
      <c r="G222" s="81"/>
      <c r="H222" s="57"/>
      <c r="I222" s="77"/>
      <c r="J222" s="81"/>
      <c r="K222" s="57"/>
      <c r="L222" s="77"/>
      <c r="M222" s="106" t="s">
        <v>16812</v>
      </c>
      <c r="N222" s="57" t="s">
        <v>1</v>
      </c>
      <c r="O222" s="58">
        <v>0.9</v>
      </c>
      <c r="P222" s="83" t="s">
        <v>5895</v>
      </c>
      <c r="Q222" s="64" t="s">
        <v>1</v>
      </c>
      <c r="R222" s="65">
        <v>1</v>
      </c>
      <c r="S222" s="99"/>
      <c r="T222" s="70"/>
      <c r="U222" s="99"/>
      <c r="V222" s="70"/>
      <c r="W222" s="106"/>
      <c r="X222" s="57"/>
      <c r="Y222" s="58"/>
      <c r="Z222" s="77"/>
      <c r="AA222" s="106"/>
      <c r="AB222" s="57"/>
      <c r="AC222" s="58"/>
      <c r="AD222" s="77"/>
      <c r="AE222" s="228">
        <f>ROUND((ROUND((ROUND((ROUND((ROUND((_15_同援日０．５*_15・基礎２),0)*_15・２人),0)*(1+_15・A深夜)),0)*(1+_15・盲ろう)),0)*(1+_15・区４)),0)+ROUND((ROUND((ROUND((ROUND((ROUND((_15_同援日０．５＿１．５*_15・基礎２),0)*_15・２人),0)*(1+_15・B早朝)),0)*(1+_15・盲ろう)),0)*(1+_15・区４)),0)+ROUND((ROUND((ROUND((ROUND((_15_同援日０．５＿１．５＿１．０*_15・基礎２),0)*_15・２人),0)*(1+_15・盲ろう)),0)*(1+_15・区４)),0)</f>
        <v>1226</v>
      </c>
      <c r="AF222" s="69"/>
    </row>
    <row r="223" spans="1:32" ht="16.5" customHeight="1" x14ac:dyDescent="0.3">
      <c r="A223" s="2">
        <v>15</v>
      </c>
      <c r="B223" s="2" t="s">
        <v>881</v>
      </c>
      <c r="C223" s="60" t="s">
        <v>11321</v>
      </c>
      <c r="D223" s="233" t="s">
        <v>18117</v>
      </c>
      <c r="E223" s="235"/>
      <c r="F223" s="75"/>
      <c r="G223" s="233" t="s">
        <v>17370</v>
      </c>
      <c r="H223" s="62"/>
      <c r="I223" s="75"/>
      <c r="J223" s="74" t="s">
        <v>18113</v>
      </c>
      <c r="K223" s="62"/>
      <c r="L223" s="75"/>
      <c r="M223" s="74"/>
      <c r="N223" s="62"/>
      <c r="O223" s="63"/>
      <c r="P223" s="83"/>
      <c r="Q223" s="64"/>
      <c r="R223" s="65"/>
      <c r="S223" s="99"/>
      <c r="T223" s="70"/>
      <c r="U223" s="99"/>
      <c r="V223" s="70"/>
      <c r="W223" s="74"/>
      <c r="X223" s="62"/>
      <c r="Y223" s="63"/>
      <c r="Z223" s="75"/>
      <c r="AA223" s="78"/>
      <c r="AB223" s="62"/>
      <c r="AC223" s="63"/>
      <c r="AD223" s="75"/>
      <c r="AE223" s="228">
        <f>ROUND((_15_同援日１．０*(1+_15・A深夜)),0)+ROUND((_15_同援日１．０＿０．５*(1+_15・B早朝)),0)+_15_同援日１．０＿０．５＿０．５</f>
        <v>663</v>
      </c>
      <c r="AF223" s="69"/>
    </row>
    <row r="224" spans="1:32" ht="16.5" customHeight="1" x14ac:dyDescent="0.3">
      <c r="A224" s="2">
        <v>15</v>
      </c>
      <c r="B224" s="2" t="s">
        <v>882</v>
      </c>
      <c r="C224" s="60" t="s">
        <v>11320</v>
      </c>
      <c r="D224" s="1" t="s">
        <v>16949</v>
      </c>
      <c r="E224" s="68"/>
      <c r="F224" s="70"/>
      <c r="G224" s="1" t="s">
        <v>7928</v>
      </c>
      <c r="H224" s="68"/>
      <c r="I224" s="70"/>
      <c r="J224" s="1" t="s">
        <v>7928</v>
      </c>
      <c r="K224" s="68"/>
      <c r="L224" s="70"/>
      <c r="M224" s="106"/>
      <c r="N224" s="57"/>
      <c r="O224" s="58"/>
      <c r="P224" s="83" t="s">
        <v>5895</v>
      </c>
      <c r="Q224" s="64" t="s">
        <v>1</v>
      </c>
      <c r="R224" s="65">
        <v>1</v>
      </c>
      <c r="S224" s="99"/>
      <c r="T224" s="70"/>
      <c r="U224" s="99"/>
      <c r="V224" s="70"/>
      <c r="W224" s="94"/>
      <c r="X224" s="68"/>
      <c r="Y224" s="76"/>
      <c r="Z224" s="70"/>
      <c r="AA224" s="1"/>
      <c r="AB224" s="68"/>
      <c r="AC224" s="76"/>
      <c r="AD224" s="70"/>
      <c r="AE224" s="228">
        <f>ROUND((ROUND((_15_同援日１．０*_15・２人),0)*(1+_15・A深夜)),0)+ROUND((ROUND((_15_同援日１．０＿０．５*_15・２人),0)*(1+_15・B早朝)),0)+ROUND((_15_同援日１．０＿０．５＿０．５*_15・２人),0)</f>
        <v>663</v>
      </c>
      <c r="AF224" s="69"/>
    </row>
    <row r="225" spans="1:32" ht="16.5" customHeight="1" x14ac:dyDescent="0.3">
      <c r="A225" s="2">
        <v>15</v>
      </c>
      <c r="B225" s="2" t="s">
        <v>883</v>
      </c>
      <c r="C225" s="60" t="s">
        <v>11319</v>
      </c>
      <c r="D225" s="1" t="s">
        <v>8572</v>
      </c>
      <c r="E225" s="68"/>
      <c r="F225" s="70"/>
      <c r="G225" s="1"/>
      <c r="H225" s="68"/>
      <c r="I225" s="70"/>
      <c r="J225" s="1"/>
      <c r="K225" s="68"/>
      <c r="L225" s="70"/>
      <c r="M225" s="74" t="s">
        <v>5898</v>
      </c>
      <c r="N225" s="62"/>
      <c r="O225" s="63"/>
      <c r="P225" s="83"/>
      <c r="Q225" s="64"/>
      <c r="R225" s="65"/>
      <c r="S225" s="99"/>
      <c r="T225" s="70"/>
      <c r="U225" s="99"/>
      <c r="V225" s="70"/>
      <c r="W225" s="94"/>
      <c r="X225" s="68"/>
      <c r="Y225" s="76"/>
      <c r="Z225" s="70"/>
      <c r="AA225" s="1"/>
      <c r="AB225" s="68"/>
      <c r="AC225" s="76"/>
      <c r="AD225" s="70"/>
      <c r="AE225" s="228">
        <f>ROUND((ROUND((_15_同援日１．０*_15・基礎２),0)*(1+_15・A深夜)),0)+ROUND((ROUND((_15_同援日１．０＿０．５*_15・基礎２),0)*(1+_15・B早朝)),0)+ROUND((_15_同援日１．０＿０．５＿０．５*_15・基礎２),0)</f>
        <v>598</v>
      </c>
      <c r="AF225" s="69"/>
    </row>
    <row r="226" spans="1:32" ht="16.5" customHeight="1" x14ac:dyDescent="0.3">
      <c r="A226" s="2">
        <v>15</v>
      </c>
      <c r="B226" s="2" t="s">
        <v>884</v>
      </c>
      <c r="C226" s="60" t="s">
        <v>11318</v>
      </c>
      <c r="D226" s="1"/>
      <c r="E226" s="227">
        <v>292</v>
      </c>
      <c r="F226" s="70" t="s">
        <v>0</v>
      </c>
      <c r="G226" s="1"/>
      <c r="H226" s="227">
        <v>129</v>
      </c>
      <c r="I226" s="70" t="s">
        <v>0</v>
      </c>
      <c r="J226" s="1"/>
      <c r="K226" s="227">
        <v>64</v>
      </c>
      <c r="L226" s="70" t="s">
        <v>0</v>
      </c>
      <c r="M226" s="106" t="s">
        <v>16812</v>
      </c>
      <c r="N226" s="57" t="s">
        <v>1</v>
      </c>
      <c r="O226" s="58">
        <v>0.9</v>
      </c>
      <c r="P226" s="83" t="s">
        <v>5895</v>
      </c>
      <c r="Q226" s="64" t="s">
        <v>1</v>
      </c>
      <c r="R226" s="65">
        <v>1</v>
      </c>
      <c r="S226" s="99"/>
      <c r="T226" s="70"/>
      <c r="U226" s="99"/>
      <c r="V226" s="70"/>
      <c r="W226" s="106"/>
      <c r="X226" s="57"/>
      <c r="Y226" s="58"/>
      <c r="Z226" s="77"/>
      <c r="AA226" s="1"/>
      <c r="AB226" s="68"/>
      <c r="AC226" s="76"/>
      <c r="AD226" s="70"/>
      <c r="AE226" s="228">
        <f>ROUND((ROUND((ROUND((_15_同援日１．０*_15・基礎２),0)*_15・２人),0)*(1+_15・A深夜)),0)+ROUND((ROUND((ROUND((_15_同援日１．０＿０．５*_15・基礎２),0)*_15・２人),0)*(1+_15・B早朝)),0)+ROUND((ROUND((_15_同援日１．０＿０．５＿０．５*_15・基礎２),0)*_15・２人),0)</f>
        <v>598</v>
      </c>
      <c r="AF226" s="69"/>
    </row>
    <row r="227" spans="1:32" ht="16.5" customHeight="1" x14ac:dyDescent="0.3">
      <c r="A227" s="2">
        <v>15</v>
      </c>
      <c r="B227" s="2" t="s">
        <v>885</v>
      </c>
      <c r="C227" s="60" t="s">
        <v>11317</v>
      </c>
      <c r="D227" s="1"/>
      <c r="E227" s="68"/>
      <c r="F227" s="70"/>
      <c r="G227" s="1"/>
      <c r="H227" s="68"/>
      <c r="I227" s="70"/>
      <c r="J227" s="1"/>
      <c r="K227" s="68"/>
      <c r="L227" s="70"/>
      <c r="M227" s="74"/>
      <c r="N227" s="62"/>
      <c r="O227" s="63"/>
      <c r="P227" s="83"/>
      <c r="Q227" s="64"/>
      <c r="R227" s="65"/>
      <c r="S227" s="99"/>
      <c r="T227" s="70"/>
      <c r="U227" s="99"/>
      <c r="V227" s="70"/>
      <c r="W227" s="74" t="s">
        <v>17969</v>
      </c>
      <c r="X227" s="62"/>
      <c r="Y227" s="63"/>
      <c r="Z227" s="75"/>
      <c r="AA227" s="1"/>
      <c r="AB227" s="68"/>
      <c r="AC227" s="76"/>
      <c r="AD227" s="70"/>
      <c r="AE227" s="228">
        <f>ROUND((ROUND((_15_同援日１．０*(1+_15・A深夜)),0)*(1+_15・盲ろう)),0)+ROUND((ROUND((_15_同援日１．０＿０．５*(1+_15・B早朝)),0)*(1+_15・盲ろう)),0)+ROUND((_15_同援日１．０＿０．５＿０．５*(1+_15・盲ろう)),0)</f>
        <v>829</v>
      </c>
      <c r="AF227" s="69"/>
    </row>
    <row r="228" spans="1:32" ht="16.5" customHeight="1" x14ac:dyDescent="0.3">
      <c r="A228" s="2">
        <v>15</v>
      </c>
      <c r="B228" s="2" t="s">
        <v>886</v>
      </c>
      <c r="C228" s="60" t="s">
        <v>11316</v>
      </c>
      <c r="D228" s="1"/>
      <c r="E228" s="68"/>
      <c r="F228" s="70"/>
      <c r="G228" s="1"/>
      <c r="H228" s="68"/>
      <c r="I228" s="70"/>
      <c r="J228" s="1"/>
      <c r="K228" s="68"/>
      <c r="L228" s="70"/>
      <c r="M228" s="106"/>
      <c r="N228" s="57"/>
      <c r="O228" s="58"/>
      <c r="P228" s="83" t="s">
        <v>5895</v>
      </c>
      <c r="Q228" s="64" t="s">
        <v>1</v>
      </c>
      <c r="R228" s="65">
        <v>1</v>
      </c>
      <c r="S228" s="99"/>
      <c r="T228" s="70"/>
      <c r="U228" s="99"/>
      <c r="V228" s="70"/>
      <c r="W228" s="94" t="s">
        <v>17968</v>
      </c>
      <c r="X228" s="68"/>
      <c r="Y228" s="76"/>
      <c r="Z228" s="70"/>
      <c r="AA228" s="1"/>
      <c r="AB228" s="68"/>
      <c r="AC228" s="76"/>
      <c r="AD228" s="70"/>
      <c r="AE228" s="228">
        <f>ROUND((ROUND((ROUND((_15_同援日１．０*_15・２人),0)*(1+_15・A深夜)),0)*(1+_15・盲ろう)),0)+ROUND((ROUND((ROUND((_15_同援日１．０＿０．５*_15・２人),0)*(1+_15・B早朝)),0)*(1+_15・盲ろう)),0)+ROUND((ROUND((_15_同援日１．０＿０．５＿０．５*_15・２人),0)*(1+_15・盲ろう)),0)</f>
        <v>829</v>
      </c>
      <c r="AF228" s="69"/>
    </row>
    <row r="229" spans="1:32" ht="16.5" customHeight="1" x14ac:dyDescent="0.3">
      <c r="A229" s="2">
        <v>15</v>
      </c>
      <c r="B229" s="2" t="s">
        <v>887</v>
      </c>
      <c r="C229" s="60" t="s">
        <v>11315</v>
      </c>
      <c r="D229" s="1"/>
      <c r="E229" s="68"/>
      <c r="F229" s="70"/>
      <c r="G229" s="1"/>
      <c r="H229" s="68"/>
      <c r="I229" s="70"/>
      <c r="J229" s="1"/>
      <c r="K229" s="68"/>
      <c r="L229" s="70"/>
      <c r="M229" s="74" t="s">
        <v>16823</v>
      </c>
      <c r="N229" s="62"/>
      <c r="O229" s="63"/>
      <c r="P229" s="83"/>
      <c r="Q229" s="64"/>
      <c r="R229" s="65"/>
      <c r="S229" s="99"/>
      <c r="T229" s="70"/>
      <c r="U229" s="99"/>
      <c r="V229" s="70"/>
      <c r="W229" s="94"/>
      <c r="X229" s="68" t="s">
        <v>1</v>
      </c>
      <c r="Y229" s="76">
        <v>0.25</v>
      </c>
      <c r="Z229" s="70" t="s">
        <v>422</v>
      </c>
      <c r="AA229" s="1"/>
      <c r="AB229" s="68"/>
      <c r="AC229" s="76"/>
      <c r="AD229" s="70"/>
      <c r="AE229" s="228">
        <f>ROUND((ROUND((ROUND((_15_同援日１．０*_15・基礎２),0)*(1+_15・A深夜)),0)*(1+_15・盲ろう)),0)+ROUND((ROUND((ROUND((_15_同援日１．０＿０．５*_15・基礎２),0)*(1+_15・B早朝)),0)*(1+_15・盲ろう)),0)+ROUND((ROUND((_15_同援日１．０＿０．５＿０．５*_15・基礎２),0)*(1+_15・盲ろう)),0)</f>
        <v>748</v>
      </c>
      <c r="AF229" s="69"/>
    </row>
    <row r="230" spans="1:32" ht="16.5" customHeight="1" x14ac:dyDescent="0.3">
      <c r="A230" s="2">
        <v>15</v>
      </c>
      <c r="B230" s="2" t="s">
        <v>888</v>
      </c>
      <c r="C230" s="60" t="s">
        <v>11314</v>
      </c>
      <c r="D230" s="1"/>
      <c r="E230" s="68"/>
      <c r="F230" s="70"/>
      <c r="G230" s="1"/>
      <c r="H230" s="68"/>
      <c r="I230" s="70"/>
      <c r="J230" s="1"/>
      <c r="K230" s="68"/>
      <c r="L230" s="70"/>
      <c r="M230" s="106" t="s">
        <v>5896</v>
      </c>
      <c r="N230" s="57" t="s">
        <v>1</v>
      </c>
      <c r="O230" s="58">
        <v>0.9</v>
      </c>
      <c r="P230" s="83" t="s">
        <v>5895</v>
      </c>
      <c r="Q230" s="64" t="s">
        <v>1</v>
      </c>
      <c r="R230" s="65">
        <v>1</v>
      </c>
      <c r="S230" s="99"/>
      <c r="T230" s="70"/>
      <c r="U230" s="99"/>
      <c r="V230" s="70"/>
      <c r="W230" s="106"/>
      <c r="X230" s="57"/>
      <c r="Y230" s="58"/>
      <c r="Z230" s="77"/>
      <c r="AA230" s="106"/>
      <c r="AB230" s="57"/>
      <c r="AC230" s="58"/>
      <c r="AD230" s="77"/>
      <c r="AE230" s="228">
        <f>ROUND((ROUND((ROUND((ROUND((_15_同援日１．０*_15・基礎２),0)*_15・２人),0)*(1+_15・A深夜)),0)*(1+_15・盲ろう)),0)+ROUND((ROUND((ROUND((ROUND((_15_同援日１．０＿０．５*_15・基礎２),0)*_15・２人),0)*(1+_15・B早朝)),0)*(1+_15・盲ろう)),0)+ROUND((ROUND((ROUND((_15_同援日１．０＿０．５＿０．５*_15・基礎２),0)*_15・２人),0)*(1+_15・盲ろう)),0)</f>
        <v>748</v>
      </c>
      <c r="AF230" s="69"/>
    </row>
    <row r="231" spans="1:32" ht="16.5" customHeight="1" x14ac:dyDescent="0.3">
      <c r="A231" s="2">
        <v>15</v>
      </c>
      <c r="B231" s="2" t="s">
        <v>889</v>
      </c>
      <c r="C231" s="60" t="s">
        <v>11313</v>
      </c>
      <c r="D231" s="1"/>
      <c r="E231" s="68"/>
      <c r="F231" s="70"/>
      <c r="G231" s="1"/>
      <c r="H231" s="68"/>
      <c r="I231" s="70"/>
      <c r="J231" s="1"/>
      <c r="K231" s="68"/>
      <c r="L231" s="70"/>
      <c r="M231" s="74"/>
      <c r="N231" s="62"/>
      <c r="O231" s="63"/>
      <c r="P231" s="83"/>
      <c r="Q231" s="64"/>
      <c r="R231" s="65"/>
      <c r="S231" s="99"/>
      <c r="T231" s="70"/>
      <c r="U231" s="99"/>
      <c r="V231" s="70"/>
      <c r="W231" s="74"/>
      <c r="X231" s="62"/>
      <c r="Y231" s="63"/>
      <c r="Z231" s="75"/>
      <c r="AA231" s="78"/>
      <c r="AB231" s="62"/>
      <c r="AC231" s="63"/>
      <c r="AD231" s="75"/>
      <c r="AE231" s="228">
        <f>ROUND((ROUND((_15_同援日１．０*(1+_15・A深夜)),0)*(1+_15・区３)),0)+ROUND((ROUND((_15_同援日１．０＿０．５*(1+_15・B早朝)),0)*(1+_15・区３)),0)+ROUND((_15_同援日１．０＿０．５＿０．５*(1+_15・区３)),0)</f>
        <v>796</v>
      </c>
      <c r="AF231" s="69"/>
    </row>
    <row r="232" spans="1:32" ht="16.5" customHeight="1" x14ac:dyDescent="0.3">
      <c r="A232" s="2">
        <v>15</v>
      </c>
      <c r="B232" s="2" t="s">
        <v>890</v>
      </c>
      <c r="C232" s="60" t="s">
        <v>11312</v>
      </c>
      <c r="D232" s="1"/>
      <c r="E232" s="68"/>
      <c r="F232" s="70"/>
      <c r="G232" s="1"/>
      <c r="H232" s="68"/>
      <c r="I232" s="70"/>
      <c r="J232" s="1"/>
      <c r="K232" s="68"/>
      <c r="L232" s="70"/>
      <c r="M232" s="106"/>
      <c r="N232" s="57"/>
      <c r="O232" s="58"/>
      <c r="P232" s="83" t="s">
        <v>5895</v>
      </c>
      <c r="Q232" s="64" t="s">
        <v>1</v>
      </c>
      <c r="R232" s="65">
        <v>1</v>
      </c>
      <c r="S232" s="99"/>
      <c r="T232" s="70"/>
      <c r="U232" s="99"/>
      <c r="V232" s="70"/>
      <c r="W232" s="94"/>
      <c r="X232" s="68"/>
      <c r="Y232" s="76"/>
      <c r="Z232" s="70"/>
      <c r="AA232" s="1"/>
      <c r="AB232" s="68"/>
      <c r="AC232" s="76"/>
      <c r="AD232" s="70"/>
      <c r="AE232" s="228">
        <f>ROUND((ROUND((ROUND((_15_同援日１．０*_15・２人),0)*(1+_15・A深夜)),0)*(1+_15・区３)),0)+ROUND((ROUND((ROUND((_15_同援日１．０＿０．５*_15・２人),0)*(1+_15・B早朝)),0)*(1+_15・区３)),0)+ROUND((ROUND((_15_同援日１．０＿０．５＿０．５*_15・２人),0)*(1+_15・区３)),0)</f>
        <v>796</v>
      </c>
      <c r="AF232" s="69"/>
    </row>
    <row r="233" spans="1:32" ht="16.5" customHeight="1" x14ac:dyDescent="0.3">
      <c r="A233" s="2">
        <v>15</v>
      </c>
      <c r="B233" s="2" t="s">
        <v>891</v>
      </c>
      <c r="C233" s="60" t="s">
        <v>11311</v>
      </c>
      <c r="D233" s="1"/>
      <c r="E233" s="68"/>
      <c r="F233" s="70"/>
      <c r="G233" s="1"/>
      <c r="H233" s="68"/>
      <c r="I233" s="70"/>
      <c r="J233" s="1"/>
      <c r="K233" s="68"/>
      <c r="L233" s="70"/>
      <c r="M233" s="74" t="s">
        <v>16823</v>
      </c>
      <c r="N233" s="62"/>
      <c r="O233" s="63"/>
      <c r="P233" s="83"/>
      <c r="Q233" s="64"/>
      <c r="R233" s="65"/>
      <c r="S233" s="99"/>
      <c r="T233" s="70"/>
      <c r="U233" s="99"/>
      <c r="V233" s="70"/>
      <c r="W233" s="94"/>
      <c r="X233" s="68"/>
      <c r="Y233" s="76"/>
      <c r="Z233" s="70"/>
      <c r="AA233" s="1" t="s">
        <v>17974</v>
      </c>
      <c r="AB233" s="68"/>
      <c r="AC233" s="76"/>
      <c r="AD233" s="70"/>
      <c r="AE233" s="228">
        <f>ROUND((ROUND((ROUND((_15_同援日１．０*_15・基礎２),0)*(1+_15・A深夜)),0)*(1+_15・区３)),0)+ROUND((ROUND((ROUND((_15_同援日１．０＿０．５*_15・基礎２),0)*(1+_15・B早朝)),0)*(1+_15・区３)),0)+ROUND((ROUND((_15_同援日１．０＿０．５＿０．５*_15・基礎２),0)*(1+_15・区３)),0)</f>
        <v>718</v>
      </c>
      <c r="AF233" s="69"/>
    </row>
    <row r="234" spans="1:32" ht="16.5" customHeight="1" x14ac:dyDescent="0.3">
      <c r="A234" s="2">
        <v>15</v>
      </c>
      <c r="B234" s="2" t="s">
        <v>892</v>
      </c>
      <c r="C234" s="60" t="s">
        <v>11310</v>
      </c>
      <c r="D234" s="1"/>
      <c r="E234" s="68"/>
      <c r="F234" s="70"/>
      <c r="G234" s="1"/>
      <c r="H234" s="68"/>
      <c r="I234" s="70"/>
      <c r="J234" s="1"/>
      <c r="K234" s="68"/>
      <c r="L234" s="70"/>
      <c r="M234" s="106" t="s">
        <v>16812</v>
      </c>
      <c r="N234" s="57" t="s">
        <v>1</v>
      </c>
      <c r="O234" s="58">
        <v>0.9</v>
      </c>
      <c r="P234" s="83" t="s">
        <v>5895</v>
      </c>
      <c r="Q234" s="64" t="s">
        <v>1</v>
      </c>
      <c r="R234" s="65">
        <v>1</v>
      </c>
      <c r="S234" s="99"/>
      <c r="T234" s="70"/>
      <c r="U234" s="99"/>
      <c r="V234" s="70"/>
      <c r="W234" s="106"/>
      <c r="X234" s="57"/>
      <c r="Y234" s="58"/>
      <c r="Z234" s="77"/>
      <c r="AA234" s="1" t="s">
        <v>17970</v>
      </c>
      <c r="AB234" s="68"/>
      <c r="AC234" s="76"/>
      <c r="AD234" s="70"/>
      <c r="AE234" s="228">
        <f>ROUND((ROUND((ROUND((ROUND((_15_同援日１．０*_15・基礎２),0)*_15・２人),0)*(1+_15・A深夜)),0)*(1+_15・区３)),0)+ROUND((ROUND((ROUND((ROUND((_15_同援日１．０＿０．５*_15・基礎２),0)*_15・２人),0)*(1+_15・B早朝)),0)*(1+_15・区３)),0)+ROUND((ROUND((ROUND((_15_同援日１．０＿０．５＿０．５*_15・基礎２),0)*_15・２人),0)*(1+_15・区３)),0)</f>
        <v>718</v>
      </c>
      <c r="AF234" s="69"/>
    </row>
    <row r="235" spans="1:32" ht="16.5" customHeight="1" x14ac:dyDescent="0.3">
      <c r="A235" s="2">
        <v>15</v>
      </c>
      <c r="B235" s="2" t="s">
        <v>893</v>
      </c>
      <c r="C235" s="60" t="s">
        <v>11309</v>
      </c>
      <c r="D235" s="1"/>
      <c r="E235" s="68"/>
      <c r="F235" s="70"/>
      <c r="G235" s="1"/>
      <c r="H235" s="68"/>
      <c r="I235" s="70"/>
      <c r="J235" s="1"/>
      <c r="K235" s="68"/>
      <c r="L235" s="70"/>
      <c r="M235" s="74"/>
      <c r="N235" s="62"/>
      <c r="O235" s="63"/>
      <c r="P235" s="83"/>
      <c r="Q235" s="64"/>
      <c r="R235" s="65"/>
      <c r="S235" s="99"/>
      <c r="T235" s="70"/>
      <c r="U235" s="99"/>
      <c r="V235" s="70"/>
      <c r="W235" s="74" t="s">
        <v>8085</v>
      </c>
      <c r="X235" s="62"/>
      <c r="Y235" s="63"/>
      <c r="Z235" s="75"/>
      <c r="AA235" s="1"/>
      <c r="AB235" s="68" t="s">
        <v>1</v>
      </c>
      <c r="AC235" s="76">
        <v>0.2</v>
      </c>
      <c r="AD235" s="70" t="s">
        <v>422</v>
      </c>
      <c r="AE235" s="228">
        <f>ROUND((ROUND((ROUND((_15_同援日１．０*(1+_15・A深夜)),0)*(1+_15・盲ろう)),0)*(1+_15・区３)),0)+ROUND((ROUND((ROUND((_15_同援日１．０＿０．５*(1+_15・B早朝)),0)*(1+_15・盲ろう)),0)*(1+_15・区３)),0)+ROUND((ROUND((_15_同援日１．０＿０．５＿０．５*(1+_15・盲ろう)),0)*(1+_15・区３)),0)</f>
        <v>995</v>
      </c>
      <c r="AF235" s="69"/>
    </row>
    <row r="236" spans="1:32" ht="16.5" customHeight="1" x14ac:dyDescent="0.3">
      <c r="A236" s="2">
        <v>15</v>
      </c>
      <c r="B236" s="2" t="s">
        <v>894</v>
      </c>
      <c r="C236" s="60" t="s">
        <v>11308</v>
      </c>
      <c r="D236" s="1"/>
      <c r="E236" s="68"/>
      <c r="F236" s="70"/>
      <c r="G236" s="1"/>
      <c r="H236" s="68"/>
      <c r="I236" s="70"/>
      <c r="J236" s="1"/>
      <c r="K236" s="68"/>
      <c r="L236" s="70"/>
      <c r="M236" s="106"/>
      <c r="N236" s="57"/>
      <c r="O236" s="58"/>
      <c r="P236" s="83" t="s">
        <v>5895</v>
      </c>
      <c r="Q236" s="64" t="s">
        <v>1</v>
      </c>
      <c r="R236" s="65">
        <v>1</v>
      </c>
      <c r="S236" s="99"/>
      <c r="T236" s="70"/>
      <c r="U236" s="99"/>
      <c r="V236" s="70"/>
      <c r="W236" s="94" t="s">
        <v>17968</v>
      </c>
      <c r="X236" s="68"/>
      <c r="Y236" s="76"/>
      <c r="Z236" s="70"/>
      <c r="AA236" s="1"/>
      <c r="AB236" s="68"/>
      <c r="AC236" s="76"/>
      <c r="AD236" s="70"/>
      <c r="AE236" s="228">
        <f>ROUND((ROUND((ROUND((ROUND((_15_同援日１．０*_15・２人),0)*(1+_15・A深夜)),0)*(1+_15・盲ろう)),0)*(1+_15・区３)),0)+ROUND((ROUND((ROUND((ROUND((_15_同援日１．０＿０．５*_15・２人),0)*(1+_15・B早朝)),0)*(1+_15・盲ろう)),0)*(1+_15・区３)),0)+ROUND((ROUND((ROUND((_15_同援日１．０＿０．５＿０．５*_15・２人),0)*(1+_15・盲ろう)),0)*(1+_15・区３)),0)</f>
        <v>995</v>
      </c>
      <c r="AF236" s="69"/>
    </row>
    <row r="237" spans="1:32" ht="16.5" customHeight="1" x14ac:dyDescent="0.3">
      <c r="A237" s="2">
        <v>15</v>
      </c>
      <c r="B237" s="2" t="s">
        <v>895</v>
      </c>
      <c r="C237" s="60" t="s">
        <v>11307</v>
      </c>
      <c r="D237" s="1"/>
      <c r="E237" s="68"/>
      <c r="F237" s="70"/>
      <c r="G237" s="1"/>
      <c r="H237" s="68"/>
      <c r="I237" s="70"/>
      <c r="J237" s="1"/>
      <c r="K237" s="68"/>
      <c r="L237" s="70"/>
      <c r="M237" s="74" t="s">
        <v>16823</v>
      </c>
      <c r="N237" s="62"/>
      <c r="O237" s="63"/>
      <c r="P237" s="83"/>
      <c r="Q237" s="64"/>
      <c r="R237" s="65"/>
      <c r="S237" s="99"/>
      <c r="T237" s="70"/>
      <c r="U237" s="99"/>
      <c r="V237" s="70"/>
      <c r="W237" s="94"/>
      <c r="X237" s="68" t="s">
        <v>1</v>
      </c>
      <c r="Y237" s="76">
        <v>0.25</v>
      </c>
      <c r="Z237" s="70" t="s">
        <v>422</v>
      </c>
      <c r="AA237" s="1"/>
      <c r="AB237" s="68"/>
      <c r="AC237" s="76"/>
      <c r="AD237" s="70"/>
      <c r="AE237" s="228">
        <f>ROUND((ROUND((ROUND((ROUND((_15_同援日１．０*_15・基礎２),0)*(1+_15・A深夜)),0)*(1+_15・盲ろう)),0)*(1+_15・区３)),0)+ROUND((ROUND((ROUND((ROUND((_15_同援日１．０＿０．５*_15・基礎２),0)*(1+_15・B早朝)),0)*(1+_15・盲ろう)),0)*(1+_15・区３)),0)+ROUND((ROUND((ROUND((_15_同援日１．０＿０．５＿０．５*_15・基礎２),0)*(1+_15・盲ろう)),0)*(1+_15・区３)),0)</f>
        <v>898</v>
      </c>
      <c r="AF237" s="69"/>
    </row>
    <row r="238" spans="1:32" ht="16.5" customHeight="1" x14ac:dyDescent="0.3">
      <c r="A238" s="2">
        <v>15</v>
      </c>
      <c r="B238" s="2" t="s">
        <v>896</v>
      </c>
      <c r="C238" s="60" t="s">
        <v>11306</v>
      </c>
      <c r="D238" s="1"/>
      <c r="E238" s="68"/>
      <c r="F238" s="70"/>
      <c r="G238" s="1"/>
      <c r="H238" s="68"/>
      <c r="I238" s="70"/>
      <c r="J238" s="1"/>
      <c r="K238" s="68"/>
      <c r="L238" s="70"/>
      <c r="M238" s="106" t="s">
        <v>16812</v>
      </c>
      <c r="N238" s="57" t="s">
        <v>1</v>
      </c>
      <c r="O238" s="58">
        <v>0.9</v>
      </c>
      <c r="P238" s="83" t="s">
        <v>5895</v>
      </c>
      <c r="Q238" s="64" t="s">
        <v>1</v>
      </c>
      <c r="R238" s="65">
        <v>1</v>
      </c>
      <c r="S238" s="99"/>
      <c r="T238" s="70"/>
      <c r="U238" s="99"/>
      <c r="V238" s="70"/>
      <c r="W238" s="106"/>
      <c r="X238" s="57"/>
      <c r="Y238" s="58"/>
      <c r="Z238" s="77"/>
      <c r="AA238" s="106"/>
      <c r="AB238" s="57"/>
      <c r="AC238" s="58"/>
      <c r="AD238" s="77"/>
      <c r="AE238" s="228">
        <f>ROUND((ROUND((ROUND((ROUND((ROUND((_15_同援日１．０*_15・基礎２),0)*_15・２人),0)*(1+_15・A深夜)),0)*(1+_15・盲ろう)),0)*(1+_15・区３)),0)+ROUND((ROUND((ROUND((ROUND((ROUND((_15_同援日１．０＿０．５*_15・基礎２),0)*_15・２人),0)*(1+_15・B早朝)),0)*(1+_15・盲ろう)),0)*(1+_15・区３)),0)+ROUND((ROUND((ROUND((ROUND((_15_同援日１．０＿０．５＿０．５*_15・基礎２),0)*_15・２人),0)*(1+_15・盲ろう)),0)*(1+_15・区３)),0)</f>
        <v>898</v>
      </c>
      <c r="AF238" s="69"/>
    </row>
    <row r="239" spans="1:32" ht="16.5" customHeight="1" x14ac:dyDescent="0.3">
      <c r="A239" s="2">
        <v>15</v>
      </c>
      <c r="B239" s="2" t="s">
        <v>897</v>
      </c>
      <c r="C239" s="60" t="s">
        <v>11305</v>
      </c>
      <c r="D239" s="1"/>
      <c r="E239" s="68"/>
      <c r="F239" s="70"/>
      <c r="G239" s="1"/>
      <c r="H239" s="68"/>
      <c r="I239" s="70"/>
      <c r="J239" s="1"/>
      <c r="K239" s="68"/>
      <c r="L239" s="70"/>
      <c r="M239" s="74"/>
      <c r="N239" s="62"/>
      <c r="O239" s="63"/>
      <c r="P239" s="83"/>
      <c r="Q239" s="64"/>
      <c r="R239" s="65"/>
      <c r="S239" s="99"/>
      <c r="T239" s="70"/>
      <c r="U239" s="99"/>
      <c r="V239" s="70"/>
      <c r="W239" s="74"/>
      <c r="X239" s="62"/>
      <c r="Y239" s="63"/>
      <c r="Z239" s="75"/>
      <c r="AA239" s="78"/>
      <c r="AB239" s="62"/>
      <c r="AC239" s="63"/>
      <c r="AD239" s="75"/>
      <c r="AE239" s="228">
        <f>ROUND((ROUND((_15_同援日１．０*(1+_15・A深夜)),0)*(1+_15・区４)),0)+ROUND((ROUND((_15_同援日１．０＿０．５*(1+_15・B早朝)),0)*(1+_15・区４)),0)+ROUND((_15_同援日１．０＿０．５＿０．５*(1+_15・区４)),0)</f>
        <v>928</v>
      </c>
      <c r="AF239" s="69"/>
    </row>
    <row r="240" spans="1:32" ht="16.5" customHeight="1" x14ac:dyDescent="0.3">
      <c r="A240" s="2">
        <v>15</v>
      </c>
      <c r="B240" s="2" t="s">
        <v>898</v>
      </c>
      <c r="C240" s="60" t="s">
        <v>11304</v>
      </c>
      <c r="D240" s="1"/>
      <c r="E240" s="68"/>
      <c r="F240" s="70"/>
      <c r="G240" s="1"/>
      <c r="H240" s="68"/>
      <c r="I240" s="70"/>
      <c r="J240" s="1"/>
      <c r="K240" s="68"/>
      <c r="L240" s="70"/>
      <c r="M240" s="106"/>
      <c r="N240" s="57"/>
      <c r="O240" s="58"/>
      <c r="P240" s="83" t="s">
        <v>5895</v>
      </c>
      <c r="Q240" s="64" t="s">
        <v>1</v>
      </c>
      <c r="R240" s="65">
        <v>1</v>
      </c>
      <c r="S240" s="99"/>
      <c r="T240" s="70"/>
      <c r="U240" s="99"/>
      <c r="V240" s="70"/>
      <c r="W240" s="94"/>
      <c r="X240" s="68"/>
      <c r="Y240" s="76"/>
      <c r="Z240" s="70"/>
      <c r="AA240" s="1"/>
      <c r="AB240" s="68"/>
      <c r="AC240" s="76"/>
      <c r="AD240" s="70"/>
      <c r="AE240" s="228">
        <f>ROUND((ROUND((ROUND((_15_同援日１．０*_15・２人),0)*(1+_15・A深夜)),0)*(1+_15・区４)),0)+ROUND((ROUND((ROUND((_15_同援日１．０＿０．５*_15・２人),0)*(1+_15・B早朝)),0)*(1+_15・区４)),0)+ROUND((ROUND((_15_同援日１．０＿０．５＿０．５*_15・２人),0)*(1+_15・区４)),0)</f>
        <v>928</v>
      </c>
      <c r="AF240" s="69"/>
    </row>
    <row r="241" spans="1:32" ht="16.5" customHeight="1" x14ac:dyDescent="0.3">
      <c r="A241" s="2">
        <v>15</v>
      </c>
      <c r="B241" s="2" t="s">
        <v>899</v>
      </c>
      <c r="C241" s="60" t="s">
        <v>11303</v>
      </c>
      <c r="D241" s="1"/>
      <c r="E241" s="68"/>
      <c r="F241" s="70"/>
      <c r="G241" s="1"/>
      <c r="H241" s="68"/>
      <c r="I241" s="70"/>
      <c r="J241" s="1"/>
      <c r="K241" s="68"/>
      <c r="L241" s="70"/>
      <c r="M241" s="74" t="s">
        <v>16912</v>
      </c>
      <c r="N241" s="62"/>
      <c r="O241" s="63"/>
      <c r="P241" s="83"/>
      <c r="Q241" s="64"/>
      <c r="R241" s="65"/>
      <c r="S241" s="99"/>
      <c r="T241" s="70"/>
      <c r="U241" s="99"/>
      <c r="V241" s="70"/>
      <c r="W241" s="94"/>
      <c r="X241" s="68"/>
      <c r="Y241" s="76"/>
      <c r="Z241" s="70"/>
      <c r="AA241" s="1" t="s">
        <v>17971</v>
      </c>
      <c r="AB241" s="68"/>
      <c r="AC241" s="76"/>
      <c r="AD241" s="70"/>
      <c r="AE241" s="228">
        <f>ROUND((ROUND((ROUND((_15_同援日１．０*_15・基礎２),0)*(1+_15・A深夜)),0)*(1+_15・区４)),0)+ROUND((ROUND((ROUND((_15_同援日１．０＿０．５*_15・基礎２),0)*(1+_15・B早朝)),0)*(1+_15・区４)),0)+ROUND((ROUND((_15_同援日１．０＿０．５＿０．５*_15・基礎２),0)*(1+_15・区４)),0)</f>
        <v>837</v>
      </c>
      <c r="AF241" s="69"/>
    </row>
    <row r="242" spans="1:32" ht="16.5" customHeight="1" x14ac:dyDescent="0.3">
      <c r="A242" s="2">
        <v>15</v>
      </c>
      <c r="B242" s="2" t="s">
        <v>900</v>
      </c>
      <c r="C242" s="60" t="s">
        <v>11302</v>
      </c>
      <c r="D242" s="1"/>
      <c r="E242" s="68"/>
      <c r="F242" s="70"/>
      <c r="G242" s="1"/>
      <c r="H242" s="68"/>
      <c r="I242" s="70"/>
      <c r="J242" s="1"/>
      <c r="K242" s="68"/>
      <c r="L242" s="70"/>
      <c r="M242" s="106" t="s">
        <v>5896</v>
      </c>
      <c r="N242" s="57" t="s">
        <v>1</v>
      </c>
      <c r="O242" s="58">
        <v>0.9</v>
      </c>
      <c r="P242" s="83" t="s">
        <v>5895</v>
      </c>
      <c r="Q242" s="64" t="s">
        <v>1</v>
      </c>
      <c r="R242" s="65">
        <v>1</v>
      </c>
      <c r="S242" s="99"/>
      <c r="T242" s="70"/>
      <c r="U242" s="99"/>
      <c r="V242" s="70"/>
      <c r="W242" s="106"/>
      <c r="X242" s="57"/>
      <c r="Y242" s="58"/>
      <c r="Z242" s="77"/>
      <c r="AA242" s="1" t="s">
        <v>18099</v>
      </c>
      <c r="AB242" s="68"/>
      <c r="AC242" s="76"/>
      <c r="AD242" s="70"/>
      <c r="AE242" s="228">
        <f>ROUND((ROUND((ROUND((ROUND((_15_同援日１．０*_15・基礎２),0)*_15・２人),0)*(1+_15・A深夜)),0)*(1+_15・区４)),0)+ROUND((ROUND((ROUND((ROUND((_15_同援日１．０＿０．５*_15・基礎２),0)*_15・２人),0)*(1+_15・B早朝)),0)*(1+_15・区４)),0)+ROUND((ROUND((ROUND((_15_同援日１．０＿０．５＿０．５*_15・基礎２),0)*_15・２人),0)*(1+_15・区４)),0)</f>
        <v>837</v>
      </c>
      <c r="AF242" s="69"/>
    </row>
    <row r="243" spans="1:32" ht="16.5" customHeight="1" x14ac:dyDescent="0.3">
      <c r="A243" s="2">
        <v>15</v>
      </c>
      <c r="B243" s="2" t="s">
        <v>901</v>
      </c>
      <c r="C243" s="60" t="s">
        <v>11301</v>
      </c>
      <c r="D243" s="1"/>
      <c r="E243" s="68"/>
      <c r="F243" s="70"/>
      <c r="G243" s="1"/>
      <c r="H243" s="68"/>
      <c r="I243" s="70"/>
      <c r="J243" s="1"/>
      <c r="K243" s="68"/>
      <c r="L243" s="70"/>
      <c r="M243" s="74"/>
      <c r="N243" s="62"/>
      <c r="O243" s="63"/>
      <c r="P243" s="83"/>
      <c r="Q243" s="64"/>
      <c r="R243" s="65"/>
      <c r="S243" s="99"/>
      <c r="T243" s="70"/>
      <c r="U243" s="99"/>
      <c r="V243" s="70"/>
      <c r="W243" s="74" t="s">
        <v>17969</v>
      </c>
      <c r="X243" s="62"/>
      <c r="Y243" s="63"/>
      <c r="Z243" s="75"/>
      <c r="AA243" s="1"/>
      <c r="AB243" s="68" t="s">
        <v>1</v>
      </c>
      <c r="AC243" s="76">
        <v>0.4</v>
      </c>
      <c r="AD243" s="70" t="s">
        <v>422</v>
      </c>
      <c r="AE243" s="228">
        <f>ROUND((ROUND((ROUND((_15_同援日１．０*(1+_15・A深夜)),0)*(1+_15・盲ろう)),0)*(1+_15・区４)),0)+ROUND((ROUND((ROUND((_15_同援日１．０＿０．５*(1+_15・B早朝)),0)*(1+_15・盲ろう)),0)*(1+_15・区４)),0)+ROUND((ROUND((_15_同援日１．０＿０．５＿０．５*(1+_15・盲ろう)),0)*(1+_15・区４)),0)</f>
        <v>1160</v>
      </c>
      <c r="AF243" s="69"/>
    </row>
    <row r="244" spans="1:32" ht="16.5" customHeight="1" x14ac:dyDescent="0.3">
      <c r="A244" s="2">
        <v>15</v>
      </c>
      <c r="B244" s="2" t="s">
        <v>902</v>
      </c>
      <c r="C244" s="60" t="s">
        <v>11300</v>
      </c>
      <c r="D244" s="1"/>
      <c r="E244" s="68"/>
      <c r="F244" s="70"/>
      <c r="G244" s="1"/>
      <c r="H244" s="68"/>
      <c r="I244" s="70"/>
      <c r="J244" s="1"/>
      <c r="K244" s="68"/>
      <c r="L244" s="70"/>
      <c r="M244" s="106"/>
      <c r="N244" s="57"/>
      <c r="O244" s="58"/>
      <c r="P244" s="83" t="s">
        <v>5895</v>
      </c>
      <c r="Q244" s="64" t="s">
        <v>1</v>
      </c>
      <c r="R244" s="65">
        <v>1</v>
      </c>
      <c r="S244" s="99"/>
      <c r="T244" s="70"/>
      <c r="U244" s="99"/>
      <c r="V244" s="70"/>
      <c r="W244" s="94" t="s">
        <v>17968</v>
      </c>
      <c r="X244" s="68"/>
      <c r="Y244" s="76"/>
      <c r="Z244" s="70"/>
      <c r="AA244" s="1"/>
      <c r="AB244" s="68"/>
      <c r="AC244" s="76"/>
      <c r="AD244" s="70"/>
      <c r="AE244" s="228">
        <f>ROUND((ROUND((ROUND((ROUND((_15_同援日１．０*_15・２人),0)*(1+_15・A深夜)),0)*(1+_15・盲ろう)),0)*(1+_15・区４)),0)+ROUND((ROUND((ROUND((ROUND((_15_同援日１．０＿０．５*_15・２人),0)*(1+_15・B早朝)),0)*(1+_15・盲ろう)),0)*(1+_15・区４)),0)+ROUND((ROUND((ROUND((_15_同援日１．０＿０．５＿０．５*_15・２人),0)*(1+_15・盲ろう)),0)*(1+_15・区４)),0)</f>
        <v>1160</v>
      </c>
      <c r="AF244" s="69"/>
    </row>
    <row r="245" spans="1:32" ht="16.5" customHeight="1" x14ac:dyDescent="0.3">
      <c r="A245" s="2">
        <v>15</v>
      </c>
      <c r="B245" s="2" t="s">
        <v>903</v>
      </c>
      <c r="C245" s="60" t="s">
        <v>11299</v>
      </c>
      <c r="D245" s="1"/>
      <c r="E245" s="68"/>
      <c r="F245" s="70"/>
      <c r="G245" s="1"/>
      <c r="H245" s="68"/>
      <c r="I245" s="70"/>
      <c r="J245" s="1"/>
      <c r="K245" s="68"/>
      <c r="L245" s="70"/>
      <c r="M245" s="74" t="s">
        <v>16912</v>
      </c>
      <c r="N245" s="62"/>
      <c r="O245" s="63"/>
      <c r="P245" s="83"/>
      <c r="Q245" s="64"/>
      <c r="R245" s="65"/>
      <c r="S245" s="99"/>
      <c r="T245" s="70"/>
      <c r="U245" s="99"/>
      <c r="V245" s="70"/>
      <c r="W245" s="94"/>
      <c r="X245" s="68" t="s">
        <v>1</v>
      </c>
      <c r="Y245" s="76">
        <v>0.25</v>
      </c>
      <c r="Z245" s="70" t="s">
        <v>422</v>
      </c>
      <c r="AA245" s="1"/>
      <c r="AB245" s="68"/>
      <c r="AC245" s="76"/>
      <c r="AD245" s="70"/>
      <c r="AE245" s="228">
        <f>ROUND((ROUND((ROUND((ROUND((_15_同援日１．０*_15・基礎２),0)*(1+_15・A深夜)),0)*(1+_15・盲ろう)),0)*(1+_15・区４)),0)+ROUND((ROUND((ROUND((ROUND((_15_同援日１．０＿０．５*_15・基礎２),0)*(1+_15・B早朝)),0)*(1+_15・盲ろう)),0)*(1+_15・区４)),0)+ROUND((ROUND((ROUND((_15_同援日１．０＿０．５＿０．５*_15・基礎２),0)*(1+_15・盲ろう)),0)*(1+_15・区４)),0)</f>
        <v>1047</v>
      </c>
      <c r="AF245" s="69"/>
    </row>
    <row r="246" spans="1:32" ht="16.5" customHeight="1" x14ac:dyDescent="0.3">
      <c r="A246" s="2">
        <v>15</v>
      </c>
      <c r="B246" s="2" t="s">
        <v>904</v>
      </c>
      <c r="C246" s="60" t="s">
        <v>11298</v>
      </c>
      <c r="D246" s="1"/>
      <c r="E246" s="68"/>
      <c r="F246" s="70"/>
      <c r="G246" s="1"/>
      <c r="H246" s="68"/>
      <c r="I246" s="70"/>
      <c r="J246" s="81"/>
      <c r="K246" s="57"/>
      <c r="L246" s="77"/>
      <c r="M246" s="106" t="s">
        <v>16812</v>
      </c>
      <c r="N246" s="57" t="s">
        <v>1</v>
      </c>
      <c r="O246" s="58">
        <v>0.9</v>
      </c>
      <c r="P246" s="83" t="s">
        <v>5895</v>
      </c>
      <c r="Q246" s="64" t="s">
        <v>1</v>
      </c>
      <c r="R246" s="65">
        <v>1</v>
      </c>
      <c r="S246" s="99"/>
      <c r="T246" s="70"/>
      <c r="U246" s="99"/>
      <c r="V246" s="70"/>
      <c r="W246" s="106"/>
      <c r="X246" s="57"/>
      <c r="Y246" s="58"/>
      <c r="Z246" s="77"/>
      <c r="AA246" s="106"/>
      <c r="AB246" s="57"/>
      <c r="AC246" s="58"/>
      <c r="AD246" s="77"/>
      <c r="AE246" s="228">
        <f>ROUND((ROUND((ROUND((ROUND((ROUND((_15_同援日１．０*_15・基礎２),0)*_15・２人),0)*(1+_15・A深夜)),0)*(1+_15・盲ろう)),0)*(1+_15・区４)),0)+ROUND((ROUND((ROUND((ROUND((ROUND((_15_同援日１．０＿０．５*_15・基礎２),0)*_15・２人),0)*(1+_15・B早朝)),0)*(1+_15・盲ろう)),0)*(1+_15・区４)),0)+ROUND((ROUND((ROUND((ROUND((_15_同援日１．０＿０．５＿０．５*_15・基礎２),0)*_15・２人),0)*(1+_15・盲ろう)),0)*(1+_15・区４)),0)</f>
        <v>1047</v>
      </c>
      <c r="AF246" s="69"/>
    </row>
    <row r="247" spans="1:32" ht="16.5" customHeight="1" x14ac:dyDescent="0.3">
      <c r="A247" s="2">
        <v>15</v>
      </c>
      <c r="B247" s="2" t="s">
        <v>905</v>
      </c>
      <c r="C247" s="60" t="s">
        <v>11297</v>
      </c>
      <c r="D247" s="1"/>
      <c r="E247" s="68"/>
      <c r="F247" s="70"/>
      <c r="G247" s="1"/>
      <c r="H247" s="68"/>
      <c r="I247" s="70"/>
      <c r="J247" s="74" t="s">
        <v>6198</v>
      </c>
      <c r="K247" s="62"/>
      <c r="L247" s="75"/>
      <c r="M247" s="74"/>
      <c r="N247" s="62"/>
      <c r="O247" s="63"/>
      <c r="P247" s="83"/>
      <c r="Q247" s="64"/>
      <c r="R247" s="65"/>
      <c r="S247" s="99"/>
      <c r="T247" s="70"/>
      <c r="U247" s="99"/>
      <c r="V247" s="70"/>
      <c r="W247" s="74"/>
      <c r="X247" s="62"/>
      <c r="Y247" s="63"/>
      <c r="Z247" s="75"/>
      <c r="AA247" s="78"/>
      <c r="AB247" s="62"/>
      <c r="AC247" s="63"/>
      <c r="AD247" s="75"/>
      <c r="AE247" s="228">
        <f>ROUND((_15_同援日１．０*(1+_15・A深夜)),0)+ROUND((_15_同援日１．０＿０．５*(1+_15・B早朝)),0)+_15_同援日１．０＿０．５＿１．０</f>
        <v>726</v>
      </c>
      <c r="AF247" s="69"/>
    </row>
    <row r="248" spans="1:32" ht="16.5" customHeight="1" x14ac:dyDescent="0.3">
      <c r="A248" s="2">
        <v>15</v>
      </c>
      <c r="B248" s="2" t="s">
        <v>906</v>
      </c>
      <c r="C248" s="60" t="s">
        <v>11296</v>
      </c>
      <c r="D248" s="1"/>
      <c r="E248" s="68"/>
      <c r="F248" s="70"/>
      <c r="G248" s="1"/>
      <c r="H248" s="68"/>
      <c r="I248" s="70"/>
      <c r="J248" s="1" t="s">
        <v>16874</v>
      </c>
      <c r="K248" s="68"/>
      <c r="L248" s="70"/>
      <c r="M248" s="106"/>
      <c r="N248" s="57"/>
      <c r="O248" s="58"/>
      <c r="P248" s="83" t="s">
        <v>5895</v>
      </c>
      <c r="Q248" s="64" t="s">
        <v>1</v>
      </c>
      <c r="R248" s="65">
        <v>1</v>
      </c>
      <c r="S248" s="99"/>
      <c r="T248" s="70"/>
      <c r="U248" s="99"/>
      <c r="V248" s="70"/>
      <c r="W248" s="94"/>
      <c r="X248" s="68"/>
      <c r="Y248" s="76"/>
      <c r="Z248" s="70"/>
      <c r="AA248" s="1"/>
      <c r="AB248" s="68"/>
      <c r="AC248" s="76"/>
      <c r="AD248" s="70"/>
      <c r="AE248" s="228">
        <f>ROUND((ROUND((_15_同援日１．０*_15・２人),0)*(1+_15・A深夜)),0)+ROUND((ROUND((_15_同援日１．０＿０．５*_15・２人),0)*(1+_15・B早朝)),0)+ROUND((_15_同援日１．０＿０．５＿１．０*_15・２人),0)</f>
        <v>726</v>
      </c>
      <c r="AF248" s="69"/>
    </row>
    <row r="249" spans="1:32" ht="16.5" customHeight="1" x14ac:dyDescent="0.3">
      <c r="A249" s="2">
        <v>15</v>
      </c>
      <c r="B249" s="2" t="s">
        <v>907</v>
      </c>
      <c r="C249" s="60" t="s">
        <v>11295</v>
      </c>
      <c r="D249" s="1"/>
      <c r="E249" s="68"/>
      <c r="F249" s="70"/>
      <c r="G249" s="1"/>
      <c r="H249" s="68"/>
      <c r="I249" s="70"/>
      <c r="J249" s="1" t="s">
        <v>8572</v>
      </c>
      <c r="K249" s="68"/>
      <c r="L249" s="70"/>
      <c r="M249" s="74" t="s">
        <v>18111</v>
      </c>
      <c r="N249" s="62"/>
      <c r="O249" s="63"/>
      <c r="P249" s="83"/>
      <c r="Q249" s="64"/>
      <c r="R249" s="65"/>
      <c r="S249" s="99"/>
      <c r="T249" s="70"/>
      <c r="U249" s="99"/>
      <c r="V249" s="70"/>
      <c r="W249" s="94"/>
      <c r="X249" s="68"/>
      <c r="Y249" s="76"/>
      <c r="Z249" s="70"/>
      <c r="AA249" s="1"/>
      <c r="AB249" s="68"/>
      <c r="AC249" s="76"/>
      <c r="AD249" s="70"/>
      <c r="AE249" s="228">
        <f>ROUND((ROUND((_15_同援日１．０*_15・基礎２),0)*(1+_15・A深夜)),0)+ROUND((ROUND((_15_同援日１．０＿０．５*_15・基礎２),0)*(1+_15・B早朝)),0)+ROUND((_15_同援日１．０＿０．５＿１．０*_15・基礎２),0)</f>
        <v>654</v>
      </c>
      <c r="AF249" s="69"/>
    </row>
    <row r="250" spans="1:32" ht="16.5" customHeight="1" x14ac:dyDescent="0.3">
      <c r="A250" s="2">
        <v>15</v>
      </c>
      <c r="B250" s="2" t="s">
        <v>908</v>
      </c>
      <c r="C250" s="60" t="s">
        <v>11294</v>
      </c>
      <c r="D250" s="1"/>
      <c r="E250" s="68"/>
      <c r="F250" s="70"/>
      <c r="G250" s="1"/>
      <c r="H250" s="68"/>
      <c r="I250" s="70"/>
      <c r="J250" s="1"/>
      <c r="K250" s="227">
        <v>127</v>
      </c>
      <c r="L250" s="70" t="s">
        <v>0</v>
      </c>
      <c r="M250" s="106" t="s">
        <v>16812</v>
      </c>
      <c r="N250" s="57" t="s">
        <v>1</v>
      </c>
      <c r="O250" s="58">
        <v>0.9</v>
      </c>
      <c r="P250" s="83" t="s">
        <v>5895</v>
      </c>
      <c r="Q250" s="64" t="s">
        <v>1</v>
      </c>
      <c r="R250" s="65">
        <v>1</v>
      </c>
      <c r="S250" s="99"/>
      <c r="T250" s="70"/>
      <c r="U250" s="99"/>
      <c r="V250" s="70"/>
      <c r="W250" s="106"/>
      <c r="X250" s="57"/>
      <c r="Y250" s="58"/>
      <c r="Z250" s="77"/>
      <c r="AA250" s="1"/>
      <c r="AB250" s="68"/>
      <c r="AC250" s="76"/>
      <c r="AD250" s="70"/>
      <c r="AE250" s="228">
        <f>ROUND((ROUND((ROUND((_15_同援日１．０*_15・基礎２),0)*_15・２人),0)*(1+_15・A深夜)),0)+ROUND((ROUND((ROUND((_15_同援日１．０＿０．５*_15・基礎２),0)*_15・２人),0)*(1+_15・B早朝)),0)+ROUND((ROUND((_15_同援日１．０＿０．５＿１．０*_15・基礎２),0)*_15・２人),0)</f>
        <v>654</v>
      </c>
      <c r="AF250" s="69"/>
    </row>
    <row r="251" spans="1:32" ht="16.5" customHeight="1" x14ac:dyDescent="0.3">
      <c r="A251" s="2">
        <v>15</v>
      </c>
      <c r="B251" s="2" t="s">
        <v>909</v>
      </c>
      <c r="C251" s="60" t="s">
        <v>11293</v>
      </c>
      <c r="D251" s="1"/>
      <c r="E251" s="68"/>
      <c r="F251" s="70"/>
      <c r="G251" s="1"/>
      <c r="H251" s="68"/>
      <c r="I251" s="70"/>
      <c r="J251" s="1"/>
      <c r="K251" s="68"/>
      <c r="L251" s="70"/>
      <c r="M251" s="74"/>
      <c r="N251" s="62"/>
      <c r="O251" s="63"/>
      <c r="P251" s="83"/>
      <c r="Q251" s="64"/>
      <c r="R251" s="65"/>
      <c r="S251" s="99"/>
      <c r="T251" s="70"/>
      <c r="U251" s="99"/>
      <c r="V251" s="70"/>
      <c r="W251" s="74" t="s">
        <v>17969</v>
      </c>
      <c r="X251" s="62"/>
      <c r="Y251" s="63"/>
      <c r="Z251" s="75"/>
      <c r="AA251" s="1"/>
      <c r="AB251" s="68"/>
      <c r="AC251" s="76"/>
      <c r="AD251" s="70"/>
      <c r="AE251" s="228">
        <f>ROUND((ROUND((_15_同援日１．０*(1+_15・A深夜)),0)*(1+_15・盲ろう)),0)+ROUND((ROUND((_15_同援日１．０＿０．５*(1+_15・B早朝)),0)*(1+_15・盲ろう)),0)+ROUND((_15_同援日１．０＿０．５＿１．０*(1+_15・盲ろう)),0)</f>
        <v>908</v>
      </c>
      <c r="AF251" s="69"/>
    </row>
    <row r="252" spans="1:32" ht="16.5" customHeight="1" x14ac:dyDescent="0.3">
      <c r="A252" s="2">
        <v>15</v>
      </c>
      <c r="B252" s="2" t="s">
        <v>910</v>
      </c>
      <c r="C252" s="60" t="s">
        <v>11292</v>
      </c>
      <c r="D252" s="1"/>
      <c r="E252" s="68"/>
      <c r="F252" s="70"/>
      <c r="G252" s="1"/>
      <c r="H252" s="68"/>
      <c r="I252" s="70"/>
      <c r="J252" s="1"/>
      <c r="K252" s="68"/>
      <c r="L252" s="70"/>
      <c r="M252" s="106"/>
      <c r="N252" s="57"/>
      <c r="O252" s="58"/>
      <c r="P252" s="83" t="s">
        <v>5895</v>
      </c>
      <c r="Q252" s="64" t="s">
        <v>1</v>
      </c>
      <c r="R252" s="65">
        <v>1</v>
      </c>
      <c r="S252" s="99"/>
      <c r="T252" s="70"/>
      <c r="U252" s="99"/>
      <c r="V252" s="70"/>
      <c r="W252" s="94" t="s">
        <v>18115</v>
      </c>
      <c r="X252" s="68"/>
      <c r="Y252" s="76"/>
      <c r="Z252" s="70"/>
      <c r="AA252" s="1"/>
      <c r="AB252" s="68"/>
      <c r="AC252" s="76"/>
      <c r="AD252" s="70"/>
      <c r="AE252" s="228">
        <f>ROUND((ROUND((ROUND((_15_同援日１．０*_15・２人),0)*(1+_15・A深夜)),0)*(1+_15・盲ろう)),0)+ROUND((ROUND((ROUND((_15_同援日１．０＿０．５*_15・２人),0)*(1+_15・B早朝)),0)*(1+_15・盲ろう)),0)+ROUND((ROUND((_15_同援日１．０＿０．５＿１．０*_15・２人),0)*(1+_15・盲ろう)),0)</f>
        <v>908</v>
      </c>
      <c r="AF252" s="69"/>
    </row>
    <row r="253" spans="1:32" ht="16.5" customHeight="1" x14ac:dyDescent="0.3">
      <c r="A253" s="2">
        <v>15</v>
      </c>
      <c r="B253" s="2" t="s">
        <v>911</v>
      </c>
      <c r="C253" s="60" t="s">
        <v>11291</v>
      </c>
      <c r="D253" s="1"/>
      <c r="E253" s="68"/>
      <c r="F253" s="70"/>
      <c r="G253" s="1"/>
      <c r="H253" s="68"/>
      <c r="I253" s="70"/>
      <c r="J253" s="1"/>
      <c r="K253" s="68"/>
      <c r="L253" s="70"/>
      <c r="M253" s="74" t="s">
        <v>16823</v>
      </c>
      <c r="N253" s="62"/>
      <c r="O253" s="63"/>
      <c r="P253" s="83"/>
      <c r="Q253" s="64"/>
      <c r="R253" s="65"/>
      <c r="S253" s="99"/>
      <c r="T253" s="70"/>
      <c r="U253" s="99"/>
      <c r="V253" s="70"/>
      <c r="W253" s="94"/>
      <c r="X253" s="68" t="s">
        <v>1</v>
      </c>
      <c r="Y253" s="76">
        <v>0.25</v>
      </c>
      <c r="Z253" s="70" t="s">
        <v>422</v>
      </c>
      <c r="AA253" s="1"/>
      <c r="AB253" s="68"/>
      <c r="AC253" s="76"/>
      <c r="AD253" s="70"/>
      <c r="AE253" s="228">
        <f>ROUND((ROUND((ROUND((_15_同援日１．０*_15・基礎２),0)*(1+_15・A深夜)),0)*(1+_15・盲ろう)),0)+ROUND((ROUND((ROUND((_15_同援日１．０＿０．５*_15・基礎２),0)*(1+_15・B早朝)),0)*(1+_15・盲ろう)),0)+ROUND((ROUND((_15_同援日１．０＿０．５＿１．０*_15・基礎２),0)*(1+_15・盲ろう)),0)</f>
        <v>818</v>
      </c>
      <c r="AF253" s="69"/>
    </row>
    <row r="254" spans="1:32" ht="16.5" customHeight="1" x14ac:dyDescent="0.3">
      <c r="A254" s="2">
        <v>15</v>
      </c>
      <c r="B254" s="2" t="s">
        <v>912</v>
      </c>
      <c r="C254" s="60" t="s">
        <v>11290</v>
      </c>
      <c r="D254" s="1"/>
      <c r="E254" s="68"/>
      <c r="F254" s="70"/>
      <c r="G254" s="1"/>
      <c r="H254" s="68"/>
      <c r="I254" s="70"/>
      <c r="J254" s="1"/>
      <c r="K254" s="68"/>
      <c r="L254" s="70"/>
      <c r="M254" s="106" t="s">
        <v>16812</v>
      </c>
      <c r="N254" s="57" t="s">
        <v>1</v>
      </c>
      <c r="O254" s="58">
        <v>0.9</v>
      </c>
      <c r="P254" s="83" t="s">
        <v>5895</v>
      </c>
      <c r="Q254" s="64" t="s">
        <v>1</v>
      </c>
      <c r="R254" s="65">
        <v>1</v>
      </c>
      <c r="S254" s="99"/>
      <c r="T254" s="70"/>
      <c r="U254" s="99"/>
      <c r="V254" s="70"/>
      <c r="W254" s="106"/>
      <c r="X254" s="57"/>
      <c r="Y254" s="58"/>
      <c r="Z254" s="77"/>
      <c r="AA254" s="106"/>
      <c r="AB254" s="57"/>
      <c r="AC254" s="58"/>
      <c r="AD254" s="77"/>
      <c r="AE254" s="228">
        <f>ROUND((ROUND((ROUND((ROUND((_15_同援日１．０*_15・基礎２),0)*_15・２人),0)*(1+_15・A深夜)),0)*(1+_15・盲ろう)),0)+ROUND((ROUND((ROUND((ROUND((_15_同援日１．０＿０．５*_15・基礎２),0)*_15・２人),0)*(1+_15・B早朝)),0)*(1+_15・盲ろう)),0)+ROUND((ROUND((ROUND((_15_同援日１．０＿０．５＿１．０*_15・基礎２),0)*_15・２人),0)*(1+_15・盲ろう)),0)</f>
        <v>818</v>
      </c>
      <c r="AF254" s="69"/>
    </row>
    <row r="255" spans="1:32" ht="16.5" customHeight="1" x14ac:dyDescent="0.3">
      <c r="A255" s="2">
        <v>15</v>
      </c>
      <c r="B255" s="2" t="s">
        <v>913</v>
      </c>
      <c r="C255" s="60" t="s">
        <v>11289</v>
      </c>
      <c r="D255" s="1"/>
      <c r="E255" s="68"/>
      <c r="F255" s="70"/>
      <c r="G255" s="1"/>
      <c r="H255" s="68"/>
      <c r="I255" s="70"/>
      <c r="J255" s="1"/>
      <c r="K255" s="68"/>
      <c r="L255" s="70"/>
      <c r="M255" s="74"/>
      <c r="N255" s="62"/>
      <c r="O255" s="63"/>
      <c r="P255" s="83"/>
      <c r="Q255" s="64"/>
      <c r="R255" s="65"/>
      <c r="S255" s="99"/>
      <c r="T255" s="70"/>
      <c r="U255" s="99"/>
      <c r="V255" s="70"/>
      <c r="W255" s="74"/>
      <c r="X255" s="62"/>
      <c r="Y255" s="63"/>
      <c r="Z255" s="75"/>
      <c r="AA255" s="78"/>
      <c r="AB255" s="62"/>
      <c r="AC255" s="63"/>
      <c r="AD255" s="75"/>
      <c r="AE255" s="228">
        <f>ROUND((ROUND((_15_同援日１．０*(1+_15・A深夜)),0)*(1+_15・区３)),0)+ROUND((ROUND((_15_同援日１．０＿０．５*(1+_15・B早朝)),0)*(1+_15・区３)),0)+ROUND((_15_同援日１．０＿０．５＿１．０*(1+_15・区３)),0)</f>
        <v>871</v>
      </c>
      <c r="AF255" s="69"/>
    </row>
    <row r="256" spans="1:32" ht="16.5" customHeight="1" x14ac:dyDescent="0.3">
      <c r="A256" s="2">
        <v>15</v>
      </c>
      <c r="B256" s="2" t="s">
        <v>914</v>
      </c>
      <c r="C256" s="60" t="s">
        <v>11288</v>
      </c>
      <c r="D256" s="1"/>
      <c r="E256" s="68"/>
      <c r="F256" s="70"/>
      <c r="G256" s="1"/>
      <c r="H256" s="68"/>
      <c r="I256" s="70"/>
      <c r="J256" s="1"/>
      <c r="K256" s="68"/>
      <c r="L256" s="70"/>
      <c r="M256" s="106"/>
      <c r="N256" s="57"/>
      <c r="O256" s="58"/>
      <c r="P256" s="83" t="s">
        <v>5895</v>
      </c>
      <c r="Q256" s="64" t="s">
        <v>1</v>
      </c>
      <c r="R256" s="65">
        <v>1</v>
      </c>
      <c r="S256" s="99"/>
      <c r="T256" s="70"/>
      <c r="U256" s="99"/>
      <c r="V256" s="70"/>
      <c r="W256" s="94"/>
      <c r="X256" s="68"/>
      <c r="Y256" s="76"/>
      <c r="Z256" s="70"/>
      <c r="AA256" s="1"/>
      <c r="AB256" s="68"/>
      <c r="AC256" s="76"/>
      <c r="AD256" s="70"/>
      <c r="AE256" s="228">
        <f>ROUND((ROUND((ROUND((_15_同援日１．０*_15・２人),0)*(1+_15・A深夜)),0)*(1+_15・区３)),0)+ROUND((ROUND((ROUND((_15_同援日１．０＿０．５*_15・２人),0)*(1+_15・B早朝)),0)*(1+_15・区３)),0)+ROUND((ROUND((_15_同援日１．０＿０．５＿１．０*_15・２人),0)*(1+_15・区３)),0)</f>
        <v>871</v>
      </c>
      <c r="AF256" s="69"/>
    </row>
    <row r="257" spans="1:32" ht="16.5" customHeight="1" x14ac:dyDescent="0.3">
      <c r="A257" s="2">
        <v>15</v>
      </c>
      <c r="B257" s="2" t="s">
        <v>915</v>
      </c>
      <c r="C257" s="60" t="s">
        <v>11287</v>
      </c>
      <c r="D257" s="1"/>
      <c r="E257" s="68"/>
      <c r="F257" s="70"/>
      <c r="G257" s="1"/>
      <c r="H257" s="68"/>
      <c r="I257" s="70"/>
      <c r="J257" s="1"/>
      <c r="K257" s="68"/>
      <c r="L257" s="70"/>
      <c r="M257" s="74" t="s">
        <v>18111</v>
      </c>
      <c r="N257" s="62"/>
      <c r="O257" s="63"/>
      <c r="P257" s="83"/>
      <c r="Q257" s="64"/>
      <c r="R257" s="65"/>
      <c r="S257" s="99"/>
      <c r="T257" s="70"/>
      <c r="U257" s="99"/>
      <c r="V257" s="70"/>
      <c r="W257" s="94"/>
      <c r="X257" s="68"/>
      <c r="Y257" s="76"/>
      <c r="Z257" s="70"/>
      <c r="AA257" s="1" t="s">
        <v>18116</v>
      </c>
      <c r="AB257" s="68"/>
      <c r="AC257" s="76"/>
      <c r="AD257" s="70"/>
      <c r="AE257" s="228">
        <f>ROUND((ROUND((ROUND((_15_同援日１．０*_15・基礎２),0)*(1+_15・A深夜)),0)*(1+_15・区３)),0)+ROUND((ROUND((ROUND((_15_同援日１．０＿０．５*_15・基礎２),0)*(1+_15・B早朝)),0)*(1+_15・区３)),0)+ROUND((ROUND((_15_同援日１．０＿０．５＿１．０*_15・基礎２),0)*(1+_15・区３)),0)</f>
        <v>785</v>
      </c>
      <c r="AF257" s="69"/>
    </row>
    <row r="258" spans="1:32" ht="16.5" customHeight="1" x14ac:dyDescent="0.3">
      <c r="A258" s="2">
        <v>15</v>
      </c>
      <c r="B258" s="2" t="s">
        <v>916</v>
      </c>
      <c r="C258" s="60" t="s">
        <v>11286</v>
      </c>
      <c r="D258" s="1"/>
      <c r="E258" s="68"/>
      <c r="F258" s="70"/>
      <c r="G258" s="1"/>
      <c r="H258" s="68"/>
      <c r="I258" s="70"/>
      <c r="J258" s="1"/>
      <c r="K258" s="68"/>
      <c r="L258" s="70"/>
      <c r="M258" s="106" t="s">
        <v>18109</v>
      </c>
      <c r="N258" s="57" t="s">
        <v>1</v>
      </c>
      <c r="O258" s="58">
        <v>0.9</v>
      </c>
      <c r="P258" s="83" t="s">
        <v>5895</v>
      </c>
      <c r="Q258" s="64" t="s">
        <v>1</v>
      </c>
      <c r="R258" s="65">
        <v>1</v>
      </c>
      <c r="S258" s="99"/>
      <c r="T258" s="70"/>
      <c r="U258" s="99"/>
      <c r="V258" s="70"/>
      <c r="W258" s="106"/>
      <c r="X258" s="57"/>
      <c r="Y258" s="58"/>
      <c r="Z258" s="77"/>
      <c r="AA258" s="1" t="s">
        <v>17970</v>
      </c>
      <c r="AB258" s="68"/>
      <c r="AC258" s="76"/>
      <c r="AD258" s="70"/>
      <c r="AE258" s="228">
        <f>ROUND((ROUND((ROUND((ROUND((_15_同援日１．０*_15・基礎２),0)*_15・２人),0)*(1+_15・A深夜)),0)*(1+_15・区３)),0)+ROUND((ROUND((ROUND((ROUND((_15_同援日１．０＿０．５*_15・基礎２),0)*_15・２人),0)*(1+_15・B早朝)),0)*(1+_15・区３)),0)+ROUND((ROUND((ROUND((_15_同援日１．０＿０．５＿１．０*_15・基礎２),0)*_15・２人),0)*(1+_15・区３)),0)</f>
        <v>785</v>
      </c>
      <c r="AF258" s="69"/>
    </row>
    <row r="259" spans="1:32" ht="16.5" customHeight="1" x14ac:dyDescent="0.3">
      <c r="A259" s="2">
        <v>15</v>
      </c>
      <c r="B259" s="2" t="s">
        <v>917</v>
      </c>
      <c r="C259" s="60" t="s">
        <v>11285</v>
      </c>
      <c r="D259" s="1"/>
      <c r="E259" s="68"/>
      <c r="F259" s="70"/>
      <c r="G259" s="1"/>
      <c r="H259" s="68"/>
      <c r="I259" s="70"/>
      <c r="J259" s="1"/>
      <c r="K259" s="68"/>
      <c r="L259" s="70"/>
      <c r="M259" s="74"/>
      <c r="N259" s="62"/>
      <c r="O259" s="63"/>
      <c r="P259" s="83"/>
      <c r="Q259" s="64"/>
      <c r="R259" s="65"/>
      <c r="S259" s="99"/>
      <c r="T259" s="70"/>
      <c r="U259" s="99"/>
      <c r="V259" s="70"/>
      <c r="W259" s="74" t="s">
        <v>17969</v>
      </c>
      <c r="X259" s="62"/>
      <c r="Y259" s="63"/>
      <c r="Z259" s="75"/>
      <c r="AA259" s="1"/>
      <c r="AB259" s="68" t="s">
        <v>1</v>
      </c>
      <c r="AC259" s="76">
        <v>0.2</v>
      </c>
      <c r="AD259" s="70" t="s">
        <v>422</v>
      </c>
      <c r="AE259" s="228">
        <f>ROUND((ROUND((ROUND((_15_同援日１．０*(1+_15・A深夜)),0)*(1+_15・盲ろう)),0)*(1+_15・区３)),0)+ROUND((ROUND((ROUND((_15_同援日１．０＿０．５*(1+_15・B早朝)),0)*(1+_15・盲ろう)),0)*(1+_15・区３)),0)+ROUND((ROUND((_15_同援日１．０＿０．５＿１．０*(1+_15・盲ろう)),0)*(1+_15・区３)),0)</f>
        <v>1090</v>
      </c>
      <c r="AF259" s="69"/>
    </row>
    <row r="260" spans="1:32" ht="16.5" customHeight="1" x14ac:dyDescent="0.3">
      <c r="A260" s="2">
        <v>15</v>
      </c>
      <c r="B260" s="2" t="s">
        <v>918</v>
      </c>
      <c r="C260" s="60" t="s">
        <v>11284</v>
      </c>
      <c r="D260" s="1"/>
      <c r="E260" s="68"/>
      <c r="F260" s="70"/>
      <c r="G260" s="1"/>
      <c r="H260" s="68"/>
      <c r="I260" s="70"/>
      <c r="J260" s="1"/>
      <c r="K260" s="68"/>
      <c r="L260" s="70"/>
      <c r="M260" s="106"/>
      <c r="N260" s="57"/>
      <c r="O260" s="58"/>
      <c r="P260" s="83" t="s">
        <v>5895</v>
      </c>
      <c r="Q260" s="64" t="s">
        <v>1</v>
      </c>
      <c r="R260" s="65">
        <v>1</v>
      </c>
      <c r="S260" s="99"/>
      <c r="T260" s="70"/>
      <c r="U260" s="99"/>
      <c r="V260" s="70"/>
      <c r="W260" s="94" t="s">
        <v>18115</v>
      </c>
      <c r="X260" s="68"/>
      <c r="Y260" s="76"/>
      <c r="Z260" s="70"/>
      <c r="AA260" s="1"/>
      <c r="AB260" s="68"/>
      <c r="AC260" s="76"/>
      <c r="AD260" s="70"/>
      <c r="AE260" s="228">
        <f>ROUND((ROUND((ROUND((ROUND((_15_同援日１．０*_15・２人),0)*(1+_15・A深夜)),0)*(1+_15・盲ろう)),0)*(1+_15・区３)),0)+ROUND((ROUND((ROUND((ROUND((_15_同援日１．０＿０．５*_15・２人),0)*(1+_15・B早朝)),0)*(1+_15・盲ろう)),0)*(1+_15・区３)),0)+ROUND((ROUND((ROUND((_15_同援日１．０＿０．５＿１．０*_15・２人),0)*(1+_15・盲ろう)),0)*(1+_15・区３)),0)</f>
        <v>1090</v>
      </c>
      <c r="AF260" s="69"/>
    </row>
    <row r="261" spans="1:32" ht="16.5" customHeight="1" x14ac:dyDescent="0.3">
      <c r="A261" s="2">
        <v>15</v>
      </c>
      <c r="B261" s="2" t="s">
        <v>919</v>
      </c>
      <c r="C261" s="60" t="s">
        <v>11283</v>
      </c>
      <c r="D261" s="1"/>
      <c r="E261" s="68"/>
      <c r="F261" s="70"/>
      <c r="G261" s="1"/>
      <c r="H261" s="68"/>
      <c r="I261" s="70"/>
      <c r="J261" s="1"/>
      <c r="K261" s="68"/>
      <c r="L261" s="70"/>
      <c r="M261" s="74" t="s">
        <v>16912</v>
      </c>
      <c r="N261" s="62"/>
      <c r="O261" s="63"/>
      <c r="P261" s="83"/>
      <c r="Q261" s="64"/>
      <c r="R261" s="65"/>
      <c r="S261" s="99"/>
      <c r="T261" s="70"/>
      <c r="U261" s="99"/>
      <c r="V261" s="70"/>
      <c r="W261" s="94"/>
      <c r="X261" s="68" t="s">
        <v>1</v>
      </c>
      <c r="Y261" s="76">
        <v>0.25</v>
      </c>
      <c r="Z261" s="70" t="s">
        <v>422</v>
      </c>
      <c r="AA261" s="1"/>
      <c r="AB261" s="68"/>
      <c r="AC261" s="76"/>
      <c r="AD261" s="70"/>
      <c r="AE261" s="228">
        <f>ROUND((ROUND((ROUND((ROUND((_15_同援日１．０*_15・基礎２),0)*(1+_15・A深夜)),0)*(1+_15・盲ろう)),0)*(1+_15・区３)),0)+ROUND((ROUND((ROUND((ROUND((_15_同援日１．０＿０．５*_15・基礎２),0)*(1+_15・B早朝)),0)*(1+_15・盲ろう)),0)*(1+_15・区３)),0)+ROUND((ROUND((ROUND((_15_同援日１．０＿０．５＿１．０*_15・基礎２),0)*(1+_15・盲ろう)),0)*(1+_15・区３)),0)</f>
        <v>982</v>
      </c>
      <c r="AF261" s="69"/>
    </row>
    <row r="262" spans="1:32" ht="16.5" customHeight="1" x14ac:dyDescent="0.3">
      <c r="A262" s="2">
        <v>15</v>
      </c>
      <c r="B262" s="2" t="s">
        <v>920</v>
      </c>
      <c r="C262" s="60" t="s">
        <v>11282</v>
      </c>
      <c r="D262" s="1"/>
      <c r="E262" s="68"/>
      <c r="F262" s="70"/>
      <c r="G262" s="1"/>
      <c r="H262" s="68"/>
      <c r="I262" s="70"/>
      <c r="J262" s="1"/>
      <c r="K262" s="68"/>
      <c r="L262" s="70"/>
      <c r="M262" s="106" t="s">
        <v>18109</v>
      </c>
      <c r="N262" s="57" t="s">
        <v>1</v>
      </c>
      <c r="O262" s="58">
        <v>0.9</v>
      </c>
      <c r="P262" s="83" t="s">
        <v>5895</v>
      </c>
      <c r="Q262" s="64" t="s">
        <v>1</v>
      </c>
      <c r="R262" s="65">
        <v>1</v>
      </c>
      <c r="S262" s="99"/>
      <c r="T262" s="70"/>
      <c r="U262" s="99"/>
      <c r="V262" s="70"/>
      <c r="W262" s="106"/>
      <c r="X262" s="57"/>
      <c r="Y262" s="58"/>
      <c r="Z262" s="77"/>
      <c r="AA262" s="106"/>
      <c r="AB262" s="57"/>
      <c r="AC262" s="58"/>
      <c r="AD262" s="77"/>
      <c r="AE262" s="228">
        <f>ROUND((ROUND((ROUND((ROUND((ROUND((_15_同援日１．０*_15・基礎２),0)*_15・２人),0)*(1+_15・A深夜)),0)*(1+_15・盲ろう)),0)*(1+_15・区３)),0)+ROUND((ROUND((ROUND((ROUND((ROUND((_15_同援日１．０＿０．５*_15・基礎２),0)*_15・２人),0)*(1+_15・B早朝)),0)*(1+_15・盲ろう)),0)*(1+_15・区３)),0)+ROUND((ROUND((ROUND((ROUND((_15_同援日１．０＿０．５＿１．０*_15・基礎２),0)*_15・２人),0)*(1+_15・盲ろう)),0)*(1+_15・区３)),0)</f>
        <v>982</v>
      </c>
      <c r="AF262" s="69"/>
    </row>
    <row r="263" spans="1:32" ht="16.5" customHeight="1" x14ac:dyDescent="0.3">
      <c r="A263" s="2">
        <v>15</v>
      </c>
      <c r="B263" s="2" t="s">
        <v>921</v>
      </c>
      <c r="C263" s="60" t="s">
        <v>11281</v>
      </c>
      <c r="D263" s="1"/>
      <c r="E263" s="68"/>
      <c r="F263" s="70"/>
      <c r="G263" s="1"/>
      <c r="H263" s="68"/>
      <c r="I263" s="70"/>
      <c r="J263" s="1"/>
      <c r="K263" s="68"/>
      <c r="L263" s="70"/>
      <c r="M263" s="74"/>
      <c r="N263" s="62"/>
      <c r="O263" s="63"/>
      <c r="P263" s="83"/>
      <c r="Q263" s="64"/>
      <c r="R263" s="65"/>
      <c r="S263" s="99"/>
      <c r="T263" s="70"/>
      <c r="U263" s="99"/>
      <c r="V263" s="70"/>
      <c r="W263" s="74"/>
      <c r="X263" s="62"/>
      <c r="Y263" s="63"/>
      <c r="Z263" s="75"/>
      <c r="AA263" s="78"/>
      <c r="AB263" s="62"/>
      <c r="AC263" s="63"/>
      <c r="AD263" s="75"/>
      <c r="AE263" s="228">
        <f>ROUND((ROUND((_15_同援日１．０*(1+_15・A深夜)),0)*(1+_15・区４)),0)+ROUND((ROUND((_15_同援日１．０＿０．５*(1+_15・B早朝)),0)*(1+_15・区４)),0)+ROUND((_15_同援日１．０＿０．５＿１．０*(1+_15・区４)),0)</f>
        <v>1016</v>
      </c>
      <c r="AF263" s="69"/>
    </row>
    <row r="264" spans="1:32" ht="16.5" customHeight="1" x14ac:dyDescent="0.3">
      <c r="A264" s="2">
        <v>15</v>
      </c>
      <c r="B264" s="2" t="s">
        <v>922</v>
      </c>
      <c r="C264" s="60" t="s">
        <v>11280</v>
      </c>
      <c r="D264" s="1"/>
      <c r="E264" s="68"/>
      <c r="F264" s="70"/>
      <c r="G264" s="1"/>
      <c r="H264" s="68"/>
      <c r="I264" s="70"/>
      <c r="J264" s="1"/>
      <c r="K264" s="68"/>
      <c r="L264" s="70"/>
      <c r="M264" s="106"/>
      <c r="N264" s="57"/>
      <c r="O264" s="58"/>
      <c r="P264" s="83" t="s">
        <v>5895</v>
      </c>
      <c r="Q264" s="64" t="s">
        <v>1</v>
      </c>
      <c r="R264" s="65">
        <v>1</v>
      </c>
      <c r="S264" s="99"/>
      <c r="T264" s="70"/>
      <c r="U264" s="99"/>
      <c r="V264" s="70"/>
      <c r="W264" s="94"/>
      <c r="X264" s="68"/>
      <c r="Y264" s="76"/>
      <c r="Z264" s="70"/>
      <c r="AA264" s="1"/>
      <c r="AB264" s="68"/>
      <c r="AC264" s="76"/>
      <c r="AD264" s="70"/>
      <c r="AE264" s="228">
        <f>ROUND((ROUND((ROUND((_15_同援日１．０*_15・２人),0)*(1+_15・A深夜)),0)*(1+_15・区４)),0)+ROUND((ROUND((ROUND((_15_同援日１．０＿０．５*_15・２人),0)*(1+_15・B早朝)),0)*(1+_15・区４)),0)+ROUND((ROUND((_15_同援日１．０＿０．５＿１．０*_15・２人),0)*(1+_15・区４)),0)</f>
        <v>1016</v>
      </c>
      <c r="AF264" s="69"/>
    </row>
    <row r="265" spans="1:32" ht="16.5" customHeight="1" x14ac:dyDescent="0.3">
      <c r="A265" s="2">
        <v>15</v>
      </c>
      <c r="B265" s="2" t="s">
        <v>923</v>
      </c>
      <c r="C265" s="60" t="s">
        <v>11279</v>
      </c>
      <c r="D265" s="1"/>
      <c r="E265" s="68"/>
      <c r="F265" s="70"/>
      <c r="G265" s="1"/>
      <c r="H265" s="68"/>
      <c r="I265" s="70"/>
      <c r="J265" s="1"/>
      <c r="K265" s="68"/>
      <c r="L265" s="70"/>
      <c r="M265" s="74" t="s">
        <v>18111</v>
      </c>
      <c r="N265" s="62"/>
      <c r="O265" s="63"/>
      <c r="P265" s="83"/>
      <c r="Q265" s="64"/>
      <c r="R265" s="65"/>
      <c r="S265" s="99"/>
      <c r="T265" s="70"/>
      <c r="U265" s="99"/>
      <c r="V265" s="70"/>
      <c r="W265" s="94"/>
      <c r="X265" s="68"/>
      <c r="Y265" s="76"/>
      <c r="Z265" s="70"/>
      <c r="AA265" s="1" t="s">
        <v>17971</v>
      </c>
      <c r="AB265" s="68"/>
      <c r="AC265" s="76"/>
      <c r="AD265" s="70"/>
      <c r="AE265" s="228">
        <f>ROUND((ROUND((ROUND((_15_同援日１．０*_15・基礎２),0)*(1+_15・A深夜)),0)*(1+_15・区４)),0)+ROUND((ROUND((ROUND((_15_同援日１．０＿０．５*_15・基礎２),0)*(1+_15・B早朝)),0)*(1+_15・区４)),0)+ROUND((ROUND((_15_同援日１．０＿０．５＿１．０*_15・基礎２),0)*(1+_15・区４)),0)</f>
        <v>916</v>
      </c>
      <c r="AF265" s="69"/>
    </row>
    <row r="266" spans="1:32" ht="16.5" customHeight="1" x14ac:dyDescent="0.3">
      <c r="A266" s="2">
        <v>15</v>
      </c>
      <c r="B266" s="2" t="s">
        <v>924</v>
      </c>
      <c r="C266" s="60" t="s">
        <v>11278</v>
      </c>
      <c r="D266" s="1"/>
      <c r="E266" s="68"/>
      <c r="F266" s="70"/>
      <c r="G266" s="1"/>
      <c r="H266" s="68"/>
      <c r="I266" s="70"/>
      <c r="J266" s="1"/>
      <c r="K266" s="68"/>
      <c r="L266" s="70"/>
      <c r="M266" s="106" t="s">
        <v>18109</v>
      </c>
      <c r="N266" s="57" t="s">
        <v>1</v>
      </c>
      <c r="O266" s="58">
        <v>0.9</v>
      </c>
      <c r="P266" s="83" t="s">
        <v>5895</v>
      </c>
      <c r="Q266" s="64" t="s">
        <v>1</v>
      </c>
      <c r="R266" s="65">
        <v>1</v>
      </c>
      <c r="S266" s="99"/>
      <c r="T266" s="70"/>
      <c r="U266" s="99"/>
      <c r="V266" s="70"/>
      <c r="W266" s="106"/>
      <c r="X266" s="57"/>
      <c r="Y266" s="58"/>
      <c r="Z266" s="77"/>
      <c r="AA266" s="1" t="s">
        <v>17970</v>
      </c>
      <c r="AB266" s="68"/>
      <c r="AC266" s="76"/>
      <c r="AD266" s="70"/>
      <c r="AE266" s="228">
        <f>ROUND((ROUND((ROUND((ROUND((_15_同援日１．０*_15・基礎２),0)*_15・２人),0)*(1+_15・A深夜)),0)*(1+_15・区４)),0)+ROUND((ROUND((ROUND((ROUND((_15_同援日１．０＿０．５*_15・基礎２),0)*_15・２人),0)*(1+_15・B早朝)),0)*(1+_15・区４)),0)+ROUND((ROUND((ROUND((_15_同援日１．０＿０．５＿１．０*_15・基礎２),0)*_15・２人),0)*(1+_15・区４)),0)</f>
        <v>916</v>
      </c>
      <c r="AF266" s="69"/>
    </row>
    <row r="267" spans="1:32" ht="16.5" customHeight="1" x14ac:dyDescent="0.3">
      <c r="A267" s="2">
        <v>15</v>
      </c>
      <c r="B267" s="2" t="s">
        <v>925</v>
      </c>
      <c r="C267" s="60" t="s">
        <v>11277</v>
      </c>
      <c r="D267" s="1"/>
      <c r="E267" s="68"/>
      <c r="F267" s="70"/>
      <c r="G267" s="1"/>
      <c r="H267" s="68"/>
      <c r="I267" s="70"/>
      <c r="J267" s="1"/>
      <c r="K267" s="68"/>
      <c r="L267" s="70"/>
      <c r="M267" s="74"/>
      <c r="N267" s="62"/>
      <c r="O267" s="63"/>
      <c r="P267" s="83"/>
      <c r="Q267" s="64"/>
      <c r="R267" s="65"/>
      <c r="S267" s="99"/>
      <c r="T267" s="70"/>
      <c r="U267" s="99"/>
      <c r="V267" s="70"/>
      <c r="W267" s="74" t="s">
        <v>17969</v>
      </c>
      <c r="X267" s="62"/>
      <c r="Y267" s="63"/>
      <c r="Z267" s="75"/>
      <c r="AA267" s="1"/>
      <c r="AB267" s="68" t="s">
        <v>1</v>
      </c>
      <c r="AC267" s="76">
        <v>0.4</v>
      </c>
      <c r="AD267" s="70" t="s">
        <v>422</v>
      </c>
      <c r="AE267" s="228">
        <f>ROUND((ROUND((ROUND((_15_同援日１．０*(1+_15・A深夜)),0)*(1+_15・盲ろう)),0)*(1+_15・区４)),0)+ROUND((ROUND((ROUND((_15_同援日１．０＿０．５*(1+_15・B早朝)),0)*(1+_15・盲ろう)),0)*(1+_15・区４)),0)+ROUND((ROUND((_15_同援日１．０＿０．５＿１．０*(1+_15・盲ろう)),0)*(1+_15・区４)),0)</f>
        <v>1271</v>
      </c>
      <c r="AF267" s="69"/>
    </row>
    <row r="268" spans="1:32" ht="16.5" customHeight="1" x14ac:dyDescent="0.3">
      <c r="A268" s="2">
        <v>15</v>
      </c>
      <c r="B268" s="2" t="s">
        <v>926</v>
      </c>
      <c r="C268" s="60" t="s">
        <v>11276</v>
      </c>
      <c r="D268" s="1"/>
      <c r="E268" s="68"/>
      <c r="F268" s="70"/>
      <c r="G268" s="1"/>
      <c r="H268" s="68"/>
      <c r="I268" s="70"/>
      <c r="J268" s="1"/>
      <c r="K268" s="68"/>
      <c r="L268" s="70"/>
      <c r="M268" s="106"/>
      <c r="N268" s="57"/>
      <c r="O268" s="58"/>
      <c r="P268" s="83" t="s">
        <v>5895</v>
      </c>
      <c r="Q268" s="64" t="s">
        <v>1</v>
      </c>
      <c r="R268" s="65">
        <v>1</v>
      </c>
      <c r="S268" s="99"/>
      <c r="T268" s="70"/>
      <c r="U268" s="99"/>
      <c r="V268" s="70"/>
      <c r="W268" s="94" t="s">
        <v>17968</v>
      </c>
      <c r="X268" s="68"/>
      <c r="Y268" s="76"/>
      <c r="Z268" s="70"/>
      <c r="AA268" s="1"/>
      <c r="AB268" s="68"/>
      <c r="AC268" s="76"/>
      <c r="AD268" s="70"/>
      <c r="AE268" s="228">
        <f>ROUND((ROUND((ROUND((ROUND((_15_同援日１．０*_15・２人),0)*(1+_15・A深夜)),0)*(1+_15・盲ろう)),0)*(1+_15・区４)),0)+ROUND((ROUND((ROUND((ROUND((_15_同援日１．０＿０．５*_15・２人),0)*(1+_15・B早朝)),0)*(1+_15・盲ろう)),0)*(1+_15・区４)),0)+ROUND((ROUND((ROUND((_15_同援日１．０＿０．５＿１．０*_15・２人),0)*(1+_15・盲ろう)),0)*(1+_15・区４)),0)</f>
        <v>1271</v>
      </c>
      <c r="AF268" s="69"/>
    </row>
    <row r="269" spans="1:32" ht="16.5" customHeight="1" x14ac:dyDescent="0.3">
      <c r="A269" s="2">
        <v>15</v>
      </c>
      <c r="B269" s="2" t="s">
        <v>927</v>
      </c>
      <c r="C269" s="60" t="s">
        <v>11275</v>
      </c>
      <c r="D269" s="1"/>
      <c r="E269" s="68"/>
      <c r="F269" s="70"/>
      <c r="G269" s="1"/>
      <c r="H269" s="68"/>
      <c r="I269" s="70"/>
      <c r="J269" s="1"/>
      <c r="K269" s="68"/>
      <c r="L269" s="70"/>
      <c r="M269" s="74" t="s">
        <v>16823</v>
      </c>
      <c r="N269" s="62"/>
      <c r="O269" s="63"/>
      <c r="P269" s="83"/>
      <c r="Q269" s="64"/>
      <c r="R269" s="65"/>
      <c r="S269" s="99"/>
      <c r="T269" s="70"/>
      <c r="U269" s="99"/>
      <c r="V269" s="70"/>
      <c r="W269" s="94"/>
      <c r="X269" s="68" t="s">
        <v>1</v>
      </c>
      <c r="Y269" s="76">
        <v>0.25</v>
      </c>
      <c r="Z269" s="70" t="s">
        <v>422</v>
      </c>
      <c r="AA269" s="1"/>
      <c r="AB269" s="68"/>
      <c r="AC269" s="76"/>
      <c r="AD269" s="70"/>
      <c r="AE269" s="228">
        <f>ROUND((ROUND((ROUND((ROUND((_15_同援日１．０*_15・基礎２),0)*(1+_15・A深夜)),0)*(1+_15・盲ろう)),0)*(1+_15・区４)),0)+ROUND((ROUND((ROUND((ROUND((_15_同援日１．０＿０．５*_15・基礎２),0)*(1+_15・B早朝)),0)*(1+_15・盲ろう)),0)*(1+_15・区４)),0)+ROUND((ROUND((ROUND((_15_同援日１．０＿０．５＿１．０*_15・基礎２),0)*(1+_15・盲ろう)),0)*(1+_15・区４)),0)</f>
        <v>1145</v>
      </c>
      <c r="AF269" s="69"/>
    </row>
    <row r="270" spans="1:32" ht="16.5" customHeight="1" x14ac:dyDescent="0.3">
      <c r="A270" s="2">
        <v>15</v>
      </c>
      <c r="B270" s="2" t="s">
        <v>928</v>
      </c>
      <c r="C270" s="60" t="s">
        <v>11274</v>
      </c>
      <c r="D270" s="1"/>
      <c r="E270" s="68"/>
      <c r="F270" s="70"/>
      <c r="G270" s="1"/>
      <c r="H270" s="68"/>
      <c r="I270" s="70"/>
      <c r="J270" s="81"/>
      <c r="K270" s="57"/>
      <c r="L270" s="77"/>
      <c r="M270" s="106" t="s">
        <v>5896</v>
      </c>
      <c r="N270" s="57" t="s">
        <v>1</v>
      </c>
      <c r="O270" s="58">
        <v>0.9</v>
      </c>
      <c r="P270" s="83" t="s">
        <v>5895</v>
      </c>
      <c r="Q270" s="64" t="s">
        <v>1</v>
      </c>
      <c r="R270" s="65">
        <v>1</v>
      </c>
      <c r="S270" s="99"/>
      <c r="T270" s="70"/>
      <c r="U270" s="99"/>
      <c r="V270" s="70"/>
      <c r="W270" s="106"/>
      <c r="X270" s="57"/>
      <c r="Y270" s="58"/>
      <c r="Z270" s="77"/>
      <c r="AA270" s="106"/>
      <c r="AB270" s="57"/>
      <c r="AC270" s="58"/>
      <c r="AD270" s="77"/>
      <c r="AE270" s="228">
        <f>ROUND((ROUND((ROUND((ROUND((ROUND((_15_同援日１．０*_15・基礎２),0)*_15・２人),0)*(1+_15・A深夜)),0)*(1+_15・盲ろう)),0)*(1+_15・区４)),0)+ROUND((ROUND((ROUND((ROUND((ROUND((_15_同援日１．０＿０．５*_15・基礎２),0)*_15・２人),0)*(1+_15・B早朝)),0)*(1+_15・盲ろう)),0)*(1+_15・区４)),0)+ROUND((ROUND((ROUND((ROUND((_15_同援日１．０＿０．５＿１．０*_15・基礎２),0)*_15・２人),0)*(1+_15・盲ろう)),0)*(1+_15・区４)),0)</f>
        <v>1145</v>
      </c>
      <c r="AF270" s="69"/>
    </row>
    <row r="271" spans="1:32" ht="16.5" customHeight="1" x14ac:dyDescent="0.3">
      <c r="A271" s="2">
        <v>15</v>
      </c>
      <c r="B271" s="2" t="s">
        <v>929</v>
      </c>
      <c r="C271" s="60" t="s">
        <v>11273</v>
      </c>
      <c r="D271" s="1"/>
      <c r="E271" s="68"/>
      <c r="F271" s="70"/>
      <c r="G271" s="1"/>
      <c r="H271" s="68"/>
      <c r="I271" s="70"/>
      <c r="J271" s="74" t="s">
        <v>6207</v>
      </c>
      <c r="K271" s="62"/>
      <c r="L271" s="75"/>
      <c r="M271" s="74"/>
      <c r="N271" s="62"/>
      <c r="O271" s="63"/>
      <c r="P271" s="83"/>
      <c r="Q271" s="64"/>
      <c r="R271" s="65"/>
      <c r="S271" s="99"/>
      <c r="T271" s="70"/>
      <c r="U271" s="99"/>
      <c r="V271" s="70"/>
      <c r="W271" s="74"/>
      <c r="X271" s="62"/>
      <c r="Y271" s="63"/>
      <c r="Z271" s="75"/>
      <c r="AA271" s="78"/>
      <c r="AB271" s="62"/>
      <c r="AC271" s="63"/>
      <c r="AD271" s="75"/>
      <c r="AE271" s="228">
        <f>ROUND((_15_同援日１．０*(1+_15・A深夜)),0)+ROUND((_15_同援日１．０＿０．５*(1+_15・B早朝)),0)+_15_同援日１．０＿０．５＿１．５</f>
        <v>789</v>
      </c>
      <c r="AF271" s="69"/>
    </row>
    <row r="272" spans="1:32" ht="16.5" customHeight="1" x14ac:dyDescent="0.3">
      <c r="A272" s="2">
        <v>15</v>
      </c>
      <c r="B272" s="2" t="s">
        <v>930</v>
      </c>
      <c r="C272" s="60" t="s">
        <v>11272</v>
      </c>
      <c r="D272" s="1"/>
      <c r="E272" s="68"/>
      <c r="F272" s="70"/>
      <c r="G272" s="1"/>
      <c r="H272" s="68"/>
      <c r="I272" s="70"/>
      <c r="J272" s="1" t="s">
        <v>5987</v>
      </c>
      <c r="K272" s="68"/>
      <c r="L272" s="70"/>
      <c r="M272" s="106"/>
      <c r="N272" s="57"/>
      <c r="O272" s="58"/>
      <c r="P272" s="83" t="s">
        <v>5895</v>
      </c>
      <c r="Q272" s="64" t="s">
        <v>1</v>
      </c>
      <c r="R272" s="65">
        <v>1</v>
      </c>
      <c r="S272" s="99"/>
      <c r="T272" s="70"/>
      <c r="U272" s="99"/>
      <c r="V272" s="70"/>
      <c r="W272" s="94"/>
      <c r="X272" s="68"/>
      <c r="Y272" s="76"/>
      <c r="Z272" s="70"/>
      <c r="AA272" s="1"/>
      <c r="AB272" s="68"/>
      <c r="AC272" s="76"/>
      <c r="AD272" s="70"/>
      <c r="AE272" s="228">
        <f>ROUND((ROUND((_15_同援日１．０*_15・２人),0)*(1+_15・A深夜)),0)+ROUND((ROUND((_15_同援日１．０＿０．５*_15・２人),0)*(1+_15・B早朝)),0)+ROUND((_15_同援日１．０＿０．５＿１．５*_15・２人),0)</f>
        <v>789</v>
      </c>
      <c r="AF272" s="69"/>
    </row>
    <row r="273" spans="1:32" ht="16.5" customHeight="1" x14ac:dyDescent="0.3">
      <c r="A273" s="2">
        <v>15</v>
      </c>
      <c r="B273" s="2" t="s">
        <v>931</v>
      </c>
      <c r="C273" s="60" t="s">
        <v>11271</v>
      </c>
      <c r="D273" s="1"/>
      <c r="E273" s="68"/>
      <c r="F273" s="70"/>
      <c r="G273" s="1"/>
      <c r="H273" s="68"/>
      <c r="I273" s="70"/>
      <c r="J273" s="1" t="s">
        <v>8767</v>
      </c>
      <c r="K273" s="68"/>
      <c r="L273" s="70"/>
      <c r="M273" s="74" t="s">
        <v>16823</v>
      </c>
      <c r="N273" s="62"/>
      <c r="O273" s="63"/>
      <c r="P273" s="83"/>
      <c r="Q273" s="64"/>
      <c r="R273" s="65"/>
      <c r="S273" s="99"/>
      <c r="T273" s="70"/>
      <c r="U273" s="99"/>
      <c r="V273" s="70"/>
      <c r="W273" s="94"/>
      <c r="X273" s="68"/>
      <c r="Y273" s="76"/>
      <c r="Z273" s="70"/>
      <c r="AA273" s="1"/>
      <c r="AB273" s="68"/>
      <c r="AC273" s="76"/>
      <c r="AD273" s="70"/>
      <c r="AE273" s="228">
        <f>ROUND((ROUND((_15_同援日１．０*_15・基礎２),0)*(1+_15・A深夜)),0)+ROUND((ROUND((_15_同援日１．０＿０．５*_15・基礎２),0)*(1+_15・B早朝)),0)+ROUND((_15_同援日１．０＿０．５＿１．５*_15・基礎２),0)</f>
        <v>711</v>
      </c>
      <c r="AF273" s="69"/>
    </row>
    <row r="274" spans="1:32" ht="16.5" customHeight="1" x14ac:dyDescent="0.3">
      <c r="A274" s="2">
        <v>15</v>
      </c>
      <c r="B274" s="2" t="s">
        <v>932</v>
      </c>
      <c r="C274" s="60" t="s">
        <v>11270</v>
      </c>
      <c r="D274" s="1"/>
      <c r="E274" s="68"/>
      <c r="F274" s="70"/>
      <c r="G274" s="1"/>
      <c r="H274" s="68"/>
      <c r="I274" s="70"/>
      <c r="J274" s="1"/>
      <c r="K274" s="119">
        <v>190</v>
      </c>
      <c r="L274" s="70" t="s">
        <v>0</v>
      </c>
      <c r="M274" s="106" t="s">
        <v>5896</v>
      </c>
      <c r="N274" s="57" t="s">
        <v>1</v>
      </c>
      <c r="O274" s="58">
        <v>0.9</v>
      </c>
      <c r="P274" s="83" t="s">
        <v>5895</v>
      </c>
      <c r="Q274" s="64" t="s">
        <v>1</v>
      </c>
      <c r="R274" s="65">
        <v>1</v>
      </c>
      <c r="S274" s="99"/>
      <c r="T274" s="70"/>
      <c r="U274" s="99"/>
      <c r="V274" s="70"/>
      <c r="W274" s="106"/>
      <c r="X274" s="57"/>
      <c r="Y274" s="58"/>
      <c r="Z274" s="77"/>
      <c r="AA274" s="1"/>
      <c r="AB274" s="68"/>
      <c r="AC274" s="76"/>
      <c r="AD274" s="70"/>
      <c r="AE274" s="228">
        <f>ROUND((ROUND((ROUND((_15_同援日１．０*_15・基礎２),0)*_15・２人),0)*(1+_15・A深夜)),0)+ROUND((ROUND((ROUND((_15_同援日１．０＿０．５*_15・基礎２),0)*_15・２人),0)*(1+_15・B早朝)),0)+ROUND((ROUND((_15_同援日１．０＿０．５＿１．５*_15・基礎２),0)*_15・２人),0)</f>
        <v>711</v>
      </c>
      <c r="AF274" s="69"/>
    </row>
    <row r="275" spans="1:32" ht="16.5" customHeight="1" x14ac:dyDescent="0.3">
      <c r="A275" s="2">
        <v>15</v>
      </c>
      <c r="B275" s="2" t="s">
        <v>933</v>
      </c>
      <c r="C275" s="60" t="s">
        <v>11269</v>
      </c>
      <c r="D275" s="1"/>
      <c r="E275" s="68"/>
      <c r="F275" s="70"/>
      <c r="G275" s="1"/>
      <c r="H275" s="68"/>
      <c r="I275" s="70"/>
      <c r="J275" s="1"/>
      <c r="K275" s="68"/>
      <c r="L275" s="70"/>
      <c r="M275" s="74"/>
      <c r="N275" s="62"/>
      <c r="O275" s="63"/>
      <c r="P275" s="83"/>
      <c r="Q275" s="64"/>
      <c r="R275" s="65"/>
      <c r="S275" s="99"/>
      <c r="T275" s="70"/>
      <c r="U275" s="99"/>
      <c r="V275" s="70"/>
      <c r="W275" s="74" t="s">
        <v>17969</v>
      </c>
      <c r="X275" s="62"/>
      <c r="Y275" s="63"/>
      <c r="Z275" s="75"/>
      <c r="AA275" s="1"/>
      <c r="AB275" s="68"/>
      <c r="AC275" s="76"/>
      <c r="AD275" s="70"/>
      <c r="AE275" s="228">
        <f>ROUND((ROUND((_15_同援日１．０*(1+_15・A深夜)),0)*(1+_15・盲ろう)),0)+ROUND((ROUND((_15_同援日１．０＿０．５*(1+_15・B早朝)),0)*(1+_15・盲ろう)),0)+ROUND((_15_同援日１．０＿０．５＿１．５*(1+_15・盲ろう)),0)</f>
        <v>987</v>
      </c>
      <c r="AF275" s="69"/>
    </row>
    <row r="276" spans="1:32" ht="16.5" customHeight="1" x14ac:dyDescent="0.3">
      <c r="A276" s="2">
        <v>15</v>
      </c>
      <c r="B276" s="2" t="s">
        <v>934</v>
      </c>
      <c r="C276" s="60" t="s">
        <v>11268</v>
      </c>
      <c r="D276" s="1"/>
      <c r="E276" s="68"/>
      <c r="F276" s="70"/>
      <c r="G276" s="1"/>
      <c r="H276" s="68"/>
      <c r="I276" s="70"/>
      <c r="J276" s="1"/>
      <c r="K276" s="68"/>
      <c r="L276" s="70"/>
      <c r="M276" s="106"/>
      <c r="N276" s="57"/>
      <c r="O276" s="58"/>
      <c r="P276" s="83" t="s">
        <v>5895</v>
      </c>
      <c r="Q276" s="64" t="s">
        <v>1</v>
      </c>
      <c r="R276" s="65">
        <v>1</v>
      </c>
      <c r="S276" s="99"/>
      <c r="T276" s="70"/>
      <c r="U276" s="99"/>
      <c r="V276" s="70"/>
      <c r="W276" s="94" t="s">
        <v>18115</v>
      </c>
      <c r="X276" s="68"/>
      <c r="Y276" s="76"/>
      <c r="Z276" s="70"/>
      <c r="AA276" s="1"/>
      <c r="AB276" s="68"/>
      <c r="AC276" s="76"/>
      <c r="AD276" s="70"/>
      <c r="AE276" s="228">
        <f>ROUND((ROUND((ROUND((_15_同援日１．０*_15・２人),0)*(1+_15・A深夜)),0)*(1+_15・盲ろう)),0)+ROUND((ROUND((ROUND((_15_同援日１．０＿０．５*_15・２人),0)*(1+_15・B早朝)),0)*(1+_15・盲ろう)),0)+ROUND((ROUND((_15_同援日１．０＿０．５＿１．５*_15・２人),0)*(1+_15・盲ろう)),0)</f>
        <v>987</v>
      </c>
      <c r="AF276" s="69"/>
    </row>
    <row r="277" spans="1:32" ht="16.5" customHeight="1" x14ac:dyDescent="0.3">
      <c r="A277" s="2">
        <v>15</v>
      </c>
      <c r="B277" s="2" t="s">
        <v>935</v>
      </c>
      <c r="C277" s="60" t="s">
        <v>11267</v>
      </c>
      <c r="D277" s="1"/>
      <c r="E277" s="68"/>
      <c r="F277" s="70"/>
      <c r="G277" s="1"/>
      <c r="H277" s="68"/>
      <c r="I277" s="70"/>
      <c r="J277" s="1"/>
      <c r="K277" s="68"/>
      <c r="L277" s="70"/>
      <c r="M277" s="74" t="s">
        <v>18111</v>
      </c>
      <c r="N277" s="62"/>
      <c r="O277" s="63"/>
      <c r="P277" s="83"/>
      <c r="Q277" s="64"/>
      <c r="R277" s="65"/>
      <c r="S277" s="99"/>
      <c r="T277" s="70"/>
      <c r="U277" s="99"/>
      <c r="V277" s="70"/>
      <c r="W277" s="94"/>
      <c r="X277" s="68" t="s">
        <v>1</v>
      </c>
      <c r="Y277" s="76">
        <v>0.25</v>
      </c>
      <c r="Z277" s="70" t="s">
        <v>422</v>
      </c>
      <c r="AA277" s="1"/>
      <c r="AB277" s="68"/>
      <c r="AC277" s="76"/>
      <c r="AD277" s="70"/>
      <c r="AE277" s="228">
        <f>ROUND((ROUND((ROUND((_15_同援日１．０*_15・基礎２),0)*(1+_15・A深夜)),0)*(1+_15・盲ろう)),0)+ROUND((ROUND((ROUND((_15_同援日１．０＿０．５*_15・基礎２),0)*(1+_15・B早朝)),0)*(1+_15・盲ろう)),0)+ROUND((ROUND((_15_同援日１．０＿０．５＿１．５*_15・基礎２),0)*(1+_15・盲ろう)),0)</f>
        <v>889</v>
      </c>
      <c r="AF277" s="69"/>
    </row>
    <row r="278" spans="1:32" ht="16.5" customHeight="1" x14ac:dyDescent="0.3">
      <c r="A278" s="2">
        <v>15</v>
      </c>
      <c r="B278" s="2" t="s">
        <v>936</v>
      </c>
      <c r="C278" s="60" t="s">
        <v>11266</v>
      </c>
      <c r="D278" s="1"/>
      <c r="E278" s="68"/>
      <c r="F278" s="70"/>
      <c r="G278" s="1"/>
      <c r="H278" s="68"/>
      <c r="I278" s="70"/>
      <c r="J278" s="1"/>
      <c r="K278" s="68"/>
      <c r="L278" s="70"/>
      <c r="M278" s="106" t="s">
        <v>5896</v>
      </c>
      <c r="N278" s="57" t="s">
        <v>1</v>
      </c>
      <c r="O278" s="58">
        <v>0.9</v>
      </c>
      <c r="P278" s="83" t="s">
        <v>5895</v>
      </c>
      <c r="Q278" s="64" t="s">
        <v>1</v>
      </c>
      <c r="R278" s="65">
        <v>1</v>
      </c>
      <c r="S278" s="99"/>
      <c r="T278" s="70"/>
      <c r="U278" s="99"/>
      <c r="V278" s="70"/>
      <c r="W278" s="106"/>
      <c r="X278" s="57"/>
      <c r="Y278" s="58"/>
      <c r="Z278" s="77"/>
      <c r="AA278" s="106"/>
      <c r="AB278" s="57"/>
      <c r="AC278" s="58"/>
      <c r="AD278" s="77"/>
      <c r="AE278" s="228">
        <f>ROUND((ROUND((ROUND((ROUND((_15_同援日１．０*_15・基礎２),0)*_15・２人),0)*(1+_15・A深夜)),0)*(1+_15・盲ろう)),0)+ROUND((ROUND((ROUND((ROUND((_15_同援日１．０＿０．５*_15・基礎２),0)*_15・２人),0)*(1+_15・B早朝)),0)*(1+_15・盲ろう)),0)+ROUND((ROUND((ROUND((_15_同援日１．０＿０．５＿１．５*_15・基礎２),0)*_15・２人),0)*(1+_15・盲ろう)),0)</f>
        <v>889</v>
      </c>
      <c r="AF278" s="69"/>
    </row>
    <row r="279" spans="1:32" ht="16.5" customHeight="1" x14ac:dyDescent="0.3">
      <c r="A279" s="2">
        <v>15</v>
      </c>
      <c r="B279" s="2" t="s">
        <v>937</v>
      </c>
      <c r="C279" s="60" t="s">
        <v>11265</v>
      </c>
      <c r="D279" s="1"/>
      <c r="E279" s="68"/>
      <c r="F279" s="70"/>
      <c r="G279" s="1"/>
      <c r="H279" s="68"/>
      <c r="I279" s="70"/>
      <c r="J279" s="1"/>
      <c r="K279" s="68"/>
      <c r="L279" s="70"/>
      <c r="M279" s="74"/>
      <c r="N279" s="62"/>
      <c r="O279" s="63"/>
      <c r="P279" s="83"/>
      <c r="Q279" s="64"/>
      <c r="R279" s="65"/>
      <c r="S279" s="99"/>
      <c r="T279" s="70"/>
      <c r="U279" s="99"/>
      <c r="V279" s="70"/>
      <c r="W279" s="74"/>
      <c r="X279" s="62"/>
      <c r="Y279" s="63"/>
      <c r="Z279" s="75"/>
      <c r="AA279" s="78"/>
      <c r="AB279" s="62"/>
      <c r="AC279" s="63"/>
      <c r="AD279" s="75"/>
      <c r="AE279" s="228">
        <f>ROUND((ROUND((_15_同援日１．０*(1+_15・A深夜)),0)*(1+_15・区３)),0)+ROUND((ROUND((_15_同援日１．０＿０．５*(1+_15・B早朝)),0)*(1+_15・区３)),0)+ROUND((_15_同援日１．０＿０．５＿１．５*(1+_15・区３)),0)</f>
        <v>947</v>
      </c>
      <c r="AF279" s="69"/>
    </row>
    <row r="280" spans="1:32" ht="16.5" customHeight="1" x14ac:dyDescent="0.3">
      <c r="A280" s="2">
        <v>15</v>
      </c>
      <c r="B280" s="2" t="s">
        <v>938</v>
      </c>
      <c r="C280" s="60" t="s">
        <v>11264</v>
      </c>
      <c r="D280" s="1"/>
      <c r="E280" s="68"/>
      <c r="F280" s="70"/>
      <c r="G280" s="1"/>
      <c r="H280" s="68"/>
      <c r="I280" s="70"/>
      <c r="J280" s="1"/>
      <c r="K280" s="68"/>
      <c r="L280" s="70"/>
      <c r="M280" s="106"/>
      <c r="N280" s="57"/>
      <c r="O280" s="58"/>
      <c r="P280" s="83" t="s">
        <v>5895</v>
      </c>
      <c r="Q280" s="64" t="s">
        <v>1</v>
      </c>
      <c r="R280" s="65">
        <v>1</v>
      </c>
      <c r="S280" s="99"/>
      <c r="T280" s="70"/>
      <c r="U280" s="99"/>
      <c r="V280" s="70"/>
      <c r="W280" s="94"/>
      <c r="X280" s="68"/>
      <c r="Y280" s="76"/>
      <c r="Z280" s="70"/>
      <c r="AA280" s="1"/>
      <c r="AB280" s="68"/>
      <c r="AC280" s="76"/>
      <c r="AD280" s="70"/>
      <c r="AE280" s="228">
        <f>ROUND((ROUND((ROUND((_15_同援日１．０*_15・２人),0)*(1+_15・A深夜)),0)*(1+_15・区３)),0)+ROUND((ROUND((ROUND((_15_同援日１．０＿０．５*_15・２人),0)*(1+_15・B早朝)),0)*(1+_15・区３)),0)+ROUND((ROUND((_15_同援日１．０＿０．５＿１．５*_15・２人),0)*(1+_15・区３)),0)</f>
        <v>947</v>
      </c>
      <c r="AF280" s="69"/>
    </row>
    <row r="281" spans="1:32" ht="16.5" customHeight="1" x14ac:dyDescent="0.3">
      <c r="A281" s="2">
        <v>15</v>
      </c>
      <c r="B281" s="2" t="s">
        <v>939</v>
      </c>
      <c r="C281" s="60" t="s">
        <v>11263</v>
      </c>
      <c r="D281" s="1"/>
      <c r="E281" s="68"/>
      <c r="F281" s="70"/>
      <c r="G281" s="1"/>
      <c r="H281" s="68"/>
      <c r="I281" s="70"/>
      <c r="J281" s="1"/>
      <c r="K281" s="68"/>
      <c r="L281" s="70"/>
      <c r="M281" s="74" t="s">
        <v>18111</v>
      </c>
      <c r="N281" s="62"/>
      <c r="O281" s="63"/>
      <c r="P281" s="83"/>
      <c r="Q281" s="64"/>
      <c r="R281" s="65"/>
      <c r="S281" s="99"/>
      <c r="T281" s="70"/>
      <c r="U281" s="99"/>
      <c r="V281" s="70"/>
      <c r="W281" s="94"/>
      <c r="X281" s="68"/>
      <c r="Y281" s="76"/>
      <c r="Z281" s="70"/>
      <c r="AA281" s="1" t="s">
        <v>17974</v>
      </c>
      <c r="AB281" s="68"/>
      <c r="AC281" s="76"/>
      <c r="AD281" s="70"/>
      <c r="AE281" s="228">
        <f>ROUND((ROUND((ROUND((_15_同援日１．０*_15・基礎２),0)*(1+_15・A深夜)),0)*(1+_15・区３)),0)+ROUND((ROUND((ROUND((_15_同援日１．０＿０．５*_15・基礎２),0)*(1+_15・B早朝)),0)*(1+_15・区３)),0)+ROUND((ROUND((_15_同援日１．０＿０．５＿１．５*_15・基礎２),0)*(1+_15・区３)),0)</f>
        <v>853</v>
      </c>
      <c r="AF281" s="69"/>
    </row>
    <row r="282" spans="1:32" ht="16.5" customHeight="1" x14ac:dyDescent="0.3">
      <c r="A282" s="2">
        <v>15</v>
      </c>
      <c r="B282" s="2" t="s">
        <v>940</v>
      </c>
      <c r="C282" s="60" t="s">
        <v>11262</v>
      </c>
      <c r="D282" s="1"/>
      <c r="E282" s="68"/>
      <c r="F282" s="70"/>
      <c r="G282" s="1"/>
      <c r="H282" s="68"/>
      <c r="I282" s="70"/>
      <c r="J282" s="1"/>
      <c r="K282" s="68"/>
      <c r="L282" s="70"/>
      <c r="M282" s="106" t="s">
        <v>16812</v>
      </c>
      <c r="N282" s="57" t="s">
        <v>1</v>
      </c>
      <c r="O282" s="58">
        <v>0.9</v>
      </c>
      <c r="P282" s="83" t="s">
        <v>5895</v>
      </c>
      <c r="Q282" s="64" t="s">
        <v>1</v>
      </c>
      <c r="R282" s="65">
        <v>1</v>
      </c>
      <c r="S282" s="99"/>
      <c r="T282" s="70"/>
      <c r="U282" s="99"/>
      <c r="V282" s="70"/>
      <c r="W282" s="106"/>
      <c r="X282" s="57"/>
      <c r="Y282" s="58"/>
      <c r="Z282" s="77"/>
      <c r="AA282" s="1" t="s">
        <v>17970</v>
      </c>
      <c r="AB282" s="68"/>
      <c r="AC282" s="76"/>
      <c r="AD282" s="70"/>
      <c r="AE282" s="228">
        <f>ROUND((ROUND((ROUND((ROUND((_15_同援日１．０*_15・基礎２),0)*_15・２人),0)*(1+_15・A深夜)),0)*(1+_15・区３)),0)+ROUND((ROUND((ROUND((ROUND((_15_同援日１．０＿０．５*_15・基礎２),0)*_15・２人),0)*(1+_15・B早朝)),0)*(1+_15・区３)),0)+ROUND((ROUND((ROUND((_15_同援日１．０＿０．５＿１．５*_15・基礎２),0)*_15・２人),0)*(1+_15・区３)),0)</f>
        <v>853</v>
      </c>
      <c r="AF282" s="69"/>
    </row>
    <row r="283" spans="1:32" ht="16.5" customHeight="1" x14ac:dyDescent="0.3">
      <c r="A283" s="2">
        <v>15</v>
      </c>
      <c r="B283" s="2" t="s">
        <v>941</v>
      </c>
      <c r="C283" s="60" t="s">
        <v>11261</v>
      </c>
      <c r="D283" s="1"/>
      <c r="E283" s="68"/>
      <c r="F283" s="70"/>
      <c r="G283" s="1"/>
      <c r="H283" s="68"/>
      <c r="I283" s="70"/>
      <c r="J283" s="1"/>
      <c r="K283" s="68"/>
      <c r="L283" s="70"/>
      <c r="M283" s="74"/>
      <c r="N283" s="62"/>
      <c r="O283" s="63"/>
      <c r="P283" s="83"/>
      <c r="Q283" s="64"/>
      <c r="R283" s="65"/>
      <c r="S283" s="99"/>
      <c r="T283" s="70"/>
      <c r="U283" s="99"/>
      <c r="V283" s="70"/>
      <c r="W283" s="74" t="s">
        <v>17969</v>
      </c>
      <c r="X283" s="62"/>
      <c r="Y283" s="63"/>
      <c r="Z283" s="75"/>
      <c r="AA283" s="1"/>
      <c r="AB283" s="68" t="s">
        <v>1</v>
      </c>
      <c r="AC283" s="76">
        <v>0.2</v>
      </c>
      <c r="AD283" s="70" t="s">
        <v>422</v>
      </c>
      <c r="AE283" s="228">
        <f>ROUND((ROUND((ROUND((_15_同援日１．０*(1+_15・A深夜)),0)*(1+_15・盲ろう)),0)*(1+_15・区３)),0)+ROUND((ROUND((ROUND((_15_同援日１．０＿０．５*(1+_15・B早朝)),0)*(1+_15・盲ろう)),0)*(1+_15・区３)),0)+ROUND((ROUND((_15_同援日１．０＿０．５＿１．５*(1+_15・盲ろう)),0)*(1+_15・区３)),0)</f>
        <v>1185</v>
      </c>
      <c r="AF283" s="69"/>
    </row>
    <row r="284" spans="1:32" ht="16.5" customHeight="1" x14ac:dyDescent="0.3">
      <c r="A284" s="2">
        <v>15</v>
      </c>
      <c r="B284" s="2" t="s">
        <v>942</v>
      </c>
      <c r="C284" s="60" t="s">
        <v>11260</v>
      </c>
      <c r="D284" s="1"/>
      <c r="E284" s="68"/>
      <c r="F284" s="70"/>
      <c r="G284" s="1"/>
      <c r="H284" s="68"/>
      <c r="I284" s="70"/>
      <c r="J284" s="1"/>
      <c r="K284" s="68"/>
      <c r="L284" s="70"/>
      <c r="M284" s="106"/>
      <c r="N284" s="57"/>
      <c r="O284" s="58"/>
      <c r="P284" s="83" t="s">
        <v>5895</v>
      </c>
      <c r="Q284" s="64" t="s">
        <v>1</v>
      </c>
      <c r="R284" s="65">
        <v>1</v>
      </c>
      <c r="S284" s="99"/>
      <c r="T284" s="70"/>
      <c r="U284" s="99"/>
      <c r="V284" s="70"/>
      <c r="W284" s="94" t="s">
        <v>17968</v>
      </c>
      <c r="X284" s="68"/>
      <c r="Y284" s="76"/>
      <c r="Z284" s="70"/>
      <c r="AA284" s="1"/>
      <c r="AB284" s="68"/>
      <c r="AC284" s="76"/>
      <c r="AD284" s="70"/>
      <c r="AE284" s="228">
        <f>ROUND((ROUND((ROUND((ROUND((_15_同援日１．０*_15・２人),0)*(1+_15・A深夜)),0)*(1+_15・盲ろう)),0)*(1+_15・区３)),0)+ROUND((ROUND((ROUND((ROUND((_15_同援日１．０＿０．５*_15・２人),0)*(1+_15・B早朝)),0)*(1+_15・盲ろう)),0)*(1+_15・区３)),0)+ROUND((ROUND((ROUND((_15_同援日１．０＿０．５＿１．５*_15・２人),0)*(1+_15・盲ろう)),0)*(1+_15・区３)),0)</f>
        <v>1185</v>
      </c>
      <c r="AF284" s="69"/>
    </row>
    <row r="285" spans="1:32" ht="16.5" customHeight="1" x14ac:dyDescent="0.3">
      <c r="A285" s="2">
        <v>15</v>
      </c>
      <c r="B285" s="2" t="s">
        <v>943</v>
      </c>
      <c r="C285" s="60" t="s">
        <v>11259</v>
      </c>
      <c r="D285" s="1"/>
      <c r="E285" s="68"/>
      <c r="F285" s="70"/>
      <c r="G285" s="1"/>
      <c r="H285" s="68"/>
      <c r="I285" s="70"/>
      <c r="J285" s="1"/>
      <c r="K285" s="68"/>
      <c r="L285" s="70"/>
      <c r="M285" s="74" t="s">
        <v>16823</v>
      </c>
      <c r="N285" s="62"/>
      <c r="O285" s="63"/>
      <c r="P285" s="83"/>
      <c r="Q285" s="64"/>
      <c r="R285" s="65"/>
      <c r="S285" s="99"/>
      <c r="T285" s="70"/>
      <c r="U285" s="99"/>
      <c r="V285" s="70"/>
      <c r="W285" s="94"/>
      <c r="X285" s="68" t="s">
        <v>1</v>
      </c>
      <c r="Y285" s="76">
        <v>0.25</v>
      </c>
      <c r="Z285" s="70" t="s">
        <v>422</v>
      </c>
      <c r="AA285" s="1"/>
      <c r="AB285" s="68"/>
      <c r="AC285" s="76"/>
      <c r="AD285" s="70"/>
      <c r="AE285" s="228">
        <f>ROUND((ROUND((ROUND((ROUND((_15_同援日１．０*_15・基礎２),0)*(1+_15・A深夜)),0)*(1+_15・盲ろう)),0)*(1+_15・区３)),0)+ROUND((ROUND((ROUND((ROUND((_15_同援日１．０＿０．５*_15・基礎２),0)*(1+_15・B早朝)),0)*(1+_15・盲ろう)),0)*(1+_15・区３)),0)+ROUND((ROUND((ROUND((_15_同援日１．０＿０．５＿１．５*_15・基礎２),0)*(1+_15・盲ろう)),0)*(1+_15・区３)),0)</f>
        <v>1067</v>
      </c>
      <c r="AF285" s="69"/>
    </row>
    <row r="286" spans="1:32" ht="16.5" customHeight="1" x14ac:dyDescent="0.3">
      <c r="A286" s="2">
        <v>15</v>
      </c>
      <c r="B286" s="2" t="s">
        <v>944</v>
      </c>
      <c r="C286" s="60" t="s">
        <v>11258</v>
      </c>
      <c r="D286" s="1"/>
      <c r="E286" s="68"/>
      <c r="F286" s="70"/>
      <c r="G286" s="1"/>
      <c r="H286" s="68"/>
      <c r="I286" s="70"/>
      <c r="J286" s="1"/>
      <c r="K286" s="68"/>
      <c r="L286" s="70"/>
      <c r="M286" s="106" t="s">
        <v>18109</v>
      </c>
      <c r="N286" s="57" t="s">
        <v>1</v>
      </c>
      <c r="O286" s="58">
        <v>0.9</v>
      </c>
      <c r="P286" s="83" t="s">
        <v>5895</v>
      </c>
      <c r="Q286" s="64" t="s">
        <v>1</v>
      </c>
      <c r="R286" s="65">
        <v>1</v>
      </c>
      <c r="S286" s="99"/>
      <c r="T286" s="70"/>
      <c r="U286" s="99"/>
      <c r="V286" s="70"/>
      <c r="W286" s="106"/>
      <c r="X286" s="57"/>
      <c r="Y286" s="58"/>
      <c r="Z286" s="77"/>
      <c r="AA286" s="106"/>
      <c r="AB286" s="57"/>
      <c r="AC286" s="58"/>
      <c r="AD286" s="77"/>
      <c r="AE286" s="228">
        <f>ROUND((ROUND((ROUND((ROUND((ROUND((_15_同援日１．０*_15・基礎２),0)*_15・２人),0)*(1+_15・A深夜)),0)*(1+_15・盲ろう)),0)*(1+_15・区３)),0)+ROUND((ROUND((ROUND((ROUND((ROUND((_15_同援日１．０＿０．５*_15・基礎２),0)*_15・２人),0)*(1+_15・B早朝)),0)*(1+_15・盲ろう)),0)*(1+_15・区３)),0)+ROUND((ROUND((ROUND((ROUND((_15_同援日１．０＿０．５＿１．５*_15・基礎２),0)*_15・２人),0)*(1+_15・盲ろう)),0)*(1+_15・区３)),0)</f>
        <v>1067</v>
      </c>
      <c r="AF286" s="69"/>
    </row>
    <row r="287" spans="1:32" ht="16.5" customHeight="1" x14ac:dyDescent="0.3">
      <c r="A287" s="2">
        <v>15</v>
      </c>
      <c r="B287" s="2" t="s">
        <v>945</v>
      </c>
      <c r="C287" s="60" t="s">
        <v>11257</v>
      </c>
      <c r="D287" s="1"/>
      <c r="E287" s="68"/>
      <c r="F287" s="70"/>
      <c r="G287" s="1"/>
      <c r="H287" s="68"/>
      <c r="I287" s="70"/>
      <c r="J287" s="1"/>
      <c r="K287" s="68"/>
      <c r="L287" s="70"/>
      <c r="M287" s="74"/>
      <c r="N287" s="62"/>
      <c r="O287" s="63"/>
      <c r="P287" s="83"/>
      <c r="Q287" s="64"/>
      <c r="R287" s="65"/>
      <c r="S287" s="99"/>
      <c r="T287" s="70"/>
      <c r="U287" s="99"/>
      <c r="V287" s="70"/>
      <c r="W287" s="74"/>
      <c r="X287" s="62"/>
      <c r="Y287" s="63"/>
      <c r="Z287" s="75"/>
      <c r="AA287" s="78"/>
      <c r="AB287" s="62"/>
      <c r="AC287" s="63"/>
      <c r="AD287" s="75"/>
      <c r="AE287" s="228">
        <f>ROUND((ROUND((_15_同援日１．０*(1+_15・A深夜)),0)*(1+_15・区４)),0)+ROUND((ROUND((_15_同援日１．０＿０．５*(1+_15・B早朝)),0)*(1+_15・区４)),0)+ROUND((_15_同援日１．０＿０．５＿１．５*(1+_15・区４)),0)</f>
        <v>1104</v>
      </c>
      <c r="AF287" s="69"/>
    </row>
    <row r="288" spans="1:32" ht="16.5" customHeight="1" x14ac:dyDescent="0.3">
      <c r="A288" s="2">
        <v>15</v>
      </c>
      <c r="B288" s="2" t="s">
        <v>946</v>
      </c>
      <c r="C288" s="60" t="s">
        <v>11256</v>
      </c>
      <c r="D288" s="1"/>
      <c r="E288" s="68"/>
      <c r="F288" s="70"/>
      <c r="G288" s="1"/>
      <c r="H288" s="68"/>
      <c r="I288" s="70"/>
      <c r="J288" s="1"/>
      <c r="K288" s="68"/>
      <c r="L288" s="70"/>
      <c r="M288" s="106"/>
      <c r="N288" s="57"/>
      <c r="O288" s="58"/>
      <c r="P288" s="83" t="s">
        <v>5895</v>
      </c>
      <c r="Q288" s="64" t="s">
        <v>1</v>
      </c>
      <c r="R288" s="65">
        <v>1</v>
      </c>
      <c r="S288" s="99"/>
      <c r="T288" s="70"/>
      <c r="U288" s="99"/>
      <c r="V288" s="70"/>
      <c r="W288" s="94"/>
      <c r="X288" s="68"/>
      <c r="Y288" s="76"/>
      <c r="Z288" s="70"/>
      <c r="AA288" s="1"/>
      <c r="AB288" s="68"/>
      <c r="AC288" s="76"/>
      <c r="AD288" s="70"/>
      <c r="AE288" s="228">
        <f>ROUND((ROUND((ROUND((_15_同援日１．０*_15・２人),0)*(1+_15・A深夜)),0)*(1+_15・区４)),0)+ROUND((ROUND((ROUND((_15_同援日１．０＿０．５*_15・２人),0)*(1+_15・B早朝)),0)*(1+_15・区４)),0)+ROUND((ROUND((_15_同援日１．０＿０．５＿１．５*_15・２人),0)*(1+_15・区４)),0)</f>
        <v>1104</v>
      </c>
      <c r="AF288" s="69"/>
    </row>
    <row r="289" spans="1:32" ht="16.5" customHeight="1" x14ac:dyDescent="0.3">
      <c r="A289" s="2">
        <v>15</v>
      </c>
      <c r="B289" s="2" t="s">
        <v>947</v>
      </c>
      <c r="C289" s="60" t="s">
        <v>11255</v>
      </c>
      <c r="D289" s="1"/>
      <c r="E289" s="68"/>
      <c r="F289" s="70"/>
      <c r="G289" s="1"/>
      <c r="H289" s="68"/>
      <c r="I289" s="70"/>
      <c r="J289" s="1"/>
      <c r="K289" s="68"/>
      <c r="L289" s="70"/>
      <c r="M289" s="74" t="s">
        <v>18111</v>
      </c>
      <c r="N289" s="62"/>
      <c r="O289" s="63"/>
      <c r="P289" s="83"/>
      <c r="Q289" s="64"/>
      <c r="R289" s="65"/>
      <c r="S289" s="99"/>
      <c r="T289" s="70"/>
      <c r="U289" s="99"/>
      <c r="V289" s="70"/>
      <c r="W289" s="94"/>
      <c r="X289" s="68"/>
      <c r="Y289" s="76"/>
      <c r="Z289" s="70"/>
      <c r="AA289" s="1" t="s">
        <v>17971</v>
      </c>
      <c r="AB289" s="68"/>
      <c r="AC289" s="76"/>
      <c r="AD289" s="70"/>
      <c r="AE289" s="228">
        <f>ROUND((ROUND((ROUND((_15_同援日１．０*_15・基礎２),0)*(1+_15・A深夜)),0)*(1+_15・区４)),0)+ROUND((ROUND((ROUND((_15_同援日１．０＿０．５*_15・基礎２),0)*(1+_15・B早朝)),0)*(1+_15・区４)),0)+ROUND((ROUND((_15_同援日１．０＿０．５＿１．５*_15・基礎２),0)*(1+_15・区４)),0)</f>
        <v>995</v>
      </c>
      <c r="AF289" s="69"/>
    </row>
    <row r="290" spans="1:32" ht="16.5" customHeight="1" x14ac:dyDescent="0.3">
      <c r="A290" s="2">
        <v>15</v>
      </c>
      <c r="B290" s="2" t="s">
        <v>948</v>
      </c>
      <c r="C290" s="60" t="s">
        <v>11254</v>
      </c>
      <c r="D290" s="1"/>
      <c r="E290" s="68"/>
      <c r="F290" s="70"/>
      <c r="G290" s="1"/>
      <c r="H290" s="68"/>
      <c r="I290" s="70"/>
      <c r="J290" s="1"/>
      <c r="K290" s="68"/>
      <c r="L290" s="70"/>
      <c r="M290" s="106" t="s">
        <v>16812</v>
      </c>
      <c r="N290" s="57" t="s">
        <v>1</v>
      </c>
      <c r="O290" s="58">
        <v>0.9</v>
      </c>
      <c r="P290" s="83" t="s">
        <v>5895</v>
      </c>
      <c r="Q290" s="64" t="s">
        <v>1</v>
      </c>
      <c r="R290" s="65">
        <v>1</v>
      </c>
      <c r="S290" s="99"/>
      <c r="T290" s="70"/>
      <c r="U290" s="99"/>
      <c r="V290" s="70"/>
      <c r="W290" s="106"/>
      <c r="X290" s="57"/>
      <c r="Y290" s="58"/>
      <c r="Z290" s="77"/>
      <c r="AA290" s="1" t="s">
        <v>8087</v>
      </c>
      <c r="AB290" s="68"/>
      <c r="AC290" s="76"/>
      <c r="AD290" s="70"/>
      <c r="AE290" s="228">
        <f>ROUND((ROUND((ROUND((ROUND((_15_同援日１．０*_15・基礎２),0)*_15・２人),0)*(1+_15・A深夜)),0)*(1+_15・区４)),0)+ROUND((ROUND((ROUND((ROUND((_15_同援日１．０＿０．５*_15・基礎２),0)*_15・２人),0)*(1+_15・B早朝)),0)*(1+_15・区４)),0)+ROUND((ROUND((ROUND((_15_同援日１．０＿０．５＿１．５*_15・基礎２),0)*_15・２人),0)*(1+_15・区４)),0)</f>
        <v>995</v>
      </c>
      <c r="AF290" s="69"/>
    </row>
    <row r="291" spans="1:32" ht="16.5" customHeight="1" x14ac:dyDescent="0.3">
      <c r="A291" s="2">
        <v>15</v>
      </c>
      <c r="B291" s="2" t="s">
        <v>949</v>
      </c>
      <c r="C291" s="60" t="s">
        <v>11253</v>
      </c>
      <c r="D291" s="1"/>
      <c r="E291" s="68"/>
      <c r="F291" s="70"/>
      <c r="G291" s="1"/>
      <c r="H291" s="68"/>
      <c r="I291" s="70"/>
      <c r="J291" s="1"/>
      <c r="K291" s="68"/>
      <c r="L291" s="70"/>
      <c r="M291" s="74"/>
      <c r="N291" s="62"/>
      <c r="O291" s="63"/>
      <c r="P291" s="83"/>
      <c r="Q291" s="64"/>
      <c r="R291" s="65"/>
      <c r="S291" s="99"/>
      <c r="T291" s="70"/>
      <c r="U291" s="99"/>
      <c r="V291" s="70"/>
      <c r="W291" s="74" t="s">
        <v>17969</v>
      </c>
      <c r="X291" s="62"/>
      <c r="Y291" s="63"/>
      <c r="Z291" s="75"/>
      <c r="AA291" s="1"/>
      <c r="AB291" s="68" t="s">
        <v>1</v>
      </c>
      <c r="AC291" s="76">
        <v>0.4</v>
      </c>
      <c r="AD291" s="70" t="s">
        <v>422</v>
      </c>
      <c r="AE291" s="228">
        <f>ROUND((ROUND((ROUND((_15_同援日１．０*(1+_15・A深夜)),0)*(1+_15・盲ろう)),0)*(1+_15・区４)),0)+ROUND((ROUND((ROUND((_15_同援日１．０＿０．５*(1+_15・B早朝)),0)*(1+_15・盲ろう)),0)*(1+_15・区４)),0)+ROUND((ROUND((_15_同援日１．０＿０．５＿１．５*(1+_15・盲ろう)),0)*(1+_15・区４)),0)</f>
        <v>1381</v>
      </c>
      <c r="AF291" s="69"/>
    </row>
    <row r="292" spans="1:32" ht="16.5" customHeight="1" x14ac:dyDescent="0.3">
      <c r="A292" s="2">
        <v>15</v>
      </c>
      <c r="B292" s="2" t="s">
        <v>950</v>
      </c>
      <c r="C292" s="60" t="s">
        <v>11252</v>
      </c>
      <c r="D292" s="1"/>
      <c r="E292" s="68"/>
      <c r="F292" s="70"/>
      <c r="G292" s="1"/>
      <c r="H292" s="68"/>
      <c r="I292" s="70"/>
      <c r="J292" s="1"/>
      <c r="K292" s="68"/>
      <c r="L292" s="70"/>
      <c r="M292" s="106"/>
      <c r="N292" s="57"/>
      <c r="O292" s="58"/>
      <c r="P292" s="83" t="s">
        <v>5895</v>
      </c>
      <c r="Q292" s="64" t="s">
        <v>1</v>
      </c>
      <c r="R292" s="65">
        <v>1</v>
      </c>
      <c r="S292" s="99"/>
      <c r="T292" s="70"/>
      <c r="U292" s="99"/>
      <c r="V292" s="70"/>
      <c r="W292" s="94" t="s">
        <v>17968</v>
      </c>
      <c r="X292" s="68"/>
      <c r="Y292" s="76"/>
      <c r="Z292" s="70"/>
      <c r="AA292" s="1"/>
      <c r="AB292" s="68"/>
      <c r="AC292" s="76"/>
      <c r="AD292" s="70"/>
      <c r="AE292" s="228">
        <f>ROUND((ROUND((ROUND((ROUND((_15_同援日１．０*_15・２人),0)*(1+_15・A深夜)),0)*(1+_15・盲ろう)),0)*(1+_15・区４)),0)+ROUND((ROUND((ROUND((ROUND((_15_同援日１．０＿０．５*_15・２人),0)*(1+_15・B早朝)),0)*(1+_15・盲ろう)),0)*(1+_15・区４)),0)+ROUND((ROUND((ROUND((_15_同援日１．０＿０．５＿１．５*_15・２人),0)*(1+_15・盲ろう)),0)*(1+_15・区４)),0)</f>
        <v>1381</v>
      </c>
      <c r="AF292" s="69"/>
    </row>
    <row r="293" spans="1:32" ht="16.5" customHeight="1" x14ac:dyDescent="0.3">
      <c r="A293" s="2">
        <v>15</v>
      </c>
      <c r="B293" s="2" t="s">
        <v>951</v>
      </c>
      <c r="C293" s="60" t="s">
        <v>11251</v>
      </c>
      <c r="D293" s="1"/>
      <c r="E293" s="68"/>
      <c r="F293" s="70"/>
      <c r="G293" s="1"/>
      <c r="H293" s="68"/>
      <c r="I293" s="70"/>
      <c r="J293" s="1"/>
      <c r="K293" s="68"/>
      <c r="L293" s="70"/>
      <c r="M293" s="74" t="s">
        <v>16823</v>
      </c>
      <c r="N293" s="62"/>
      <c r="O293" s="63"/>
      <c r="P293" s="83"/>
      <c r="Q293" s="64"/>
      <c r="R293" s="65"/>
      <c r="S293" s="99"/>
      <c r="T293" s="70"/>
      <c r="U293" s="99"/>
      <c r="V293" s="70"/>
      <c r="W293" s="94"/>
      <c r="X293" s="68" t="s">
        <v>1</v>
      </c>
      <c r="Y293" s="76">
        <v>0.25</v>
      </c>
      <c r="Z293" s="70" t="s">
        <v>422</v>
      </c>
      <c r="AA293" s="1"/>
      <c r="AB293" s="68"/>
      <c r="AC293" s="76"/>
      <c r="AD293" s="70"/>
      <c r="AE293" s="228">
        <f>ROUND((ROUND((ROUND((ROUND((_15_同援日１．０*_15・基礎２),0)*(1+_15・A深夜)),0)*(1+_15・盲ろう)),0)*(1+_15・区４)),0)+ROUND((ROUND((ROUND((ROUND((_15_同援日１．０＿０．５*_15・基礎２),0)*(1+_15・B早朝)),0)*(1+_15・盲ろう)),0)*(1+_15・区４)),0)+ROUND((ROUND((ROUND((_15_同援日１．０＿０．５＿１．５*_15・基礎２),0)*(1+_15・盲ろう)),0)*(1+_15・区４)),0)</f>
        <v>1245</v>
      </c>
      <c r="AF293" s="69"/>
    </row>
    <row r="294" spans="1:32" ht="16.5" customHeight="1" x14ac:dyDescent="0.3">
      <c r="A294" s="2">
        <v>15</v>
      </c>
      <c r="B294" s="2" t="s">
        <v>952</v>
      </c>
      <c r="C294" s="60" t="s">
        <v>11250</v>
      </c>
      <c r="D294" s="1"/>
      <c r="E294" s="68"/>
      <c r="F294" s="70"/>
      <c r="G294" s="81"/>
      <c r="H294" s="57"/>
      <c r="I294" s="77"/>
      <c r="J294" s="81"/>
      <c r="K294" s="57"/>
      <c r="L294" s="77"/>
      <c r="M294" s="106" t="s">
        <v>5896</v>
      </c>
      <c r="N294" s="57" t="s">
        <v>1</v>
      </c>
      <c r="O294" s="58">
        <v>0.9</v>
      </c>
      <c r="P294" s="83" t="s">
        <v>5895</v>
      </c>
      <c r="Q294" s="64" t="s">
        <v>1</v>
      </c>
      <c r="R294" s="65">
        <v>1</v>
      </c>
      <c r="S294" s="99"/>
      <c r="T294" s="70"/>
      <c r="U294" s="99"/>
      <c r="V294" s="70"/>
      <c r="W294" s="106"/>
      <c r="X294" s="57"/>
      <c r="Y294" s="58"/>
      <c r="Z294" s="77"/>
      <c r="AA294" s="106"/>
      <c r="AB294" s="57"/>
      <c r="AC294" s="58"/>
      <c r="AD294" s="77"/>
      <c r="AE294" s="228">
        <f>ROUND((ROUND((ROUND((ROUND((ROUND((_15_同援日１．０*_15・基礎２),0)*_15・２人),0)*(1+_15・A深夜)),0)*(1+_15・盲ろう)),0)*(1+_15・区４)),0)+ROUND((ROUND((ROUND((ROUND((ROUND((_15_同援日１．０＿０．５*_15・基礎２),0)*_15・２人),0)*(1+_15・B早朝)),0)*(1+_15・盲ろう)),0)*(1+_15・区４)),0)+ROUND((ROUND((ROUND((ROUND((_15_同援日１．０＿０．５＿１．５*_15・基礎２),0)*_15・２人),0)*(1+_15・盲ろう)),0)*(1+_15・区４)),0)</f>
        <v>1245</v>
      </c>
      <c r="AF294" s="69"/>
    </row>
    <row r="295" spans="1:32" ht="16.5" customHeight="1" x14ac:dyDescent="0.3">
      <c r="A295" s="2">
        <v>15</v>
      </c>
      <c r="B295" s="2" t="s">
        <v>953</v>
      </c>
      <c r="C295" s="60" t="s">
        <v>11249</v>
      </c>
      <c r="D295" s="1"/>
      <c r="E295" s="68"/>
      <c r="F295" s="70"/>
      <c r="G295" s="233" t="s">
        <v>18114</v>
      </c>
      <c r="H295" s="62"/>
      <c r="I295" s="75"/>
      <c r="J295" s="74" t="s">
        <v>18113</v>
      </c>
      <c r="K295" s="62"/>
      <c r="L295" s="75"/>
      <c r="M295" s="74"/>
      <c r="N295" s="62"/>
      <c r="O295" s="63"/>
      <c r="P295" s="83"/>
      <c r="Q295" s="64"/>
      <c r="R295" s="65"/>
      <c r="S295" s="99"/>
      <c r="T295" s="70"/>
      <c r="U295" s="99"/>
      <c r="V295" s="70"/>
      <c r="W295" s="74"/>
      <c r="X295" s="62"/>
      <c r="Y295" s="63"/>
      <c r="Z295" s="75"/>
      <c r="AA295" s="78"/>
      <c r="AB295" s="62"/>
      <c r="AC295" s="63"/>
      <c r="AD295" s="75"/>
      <c r="AE295" s="228">
        <f>ROUND((_15_同援日１．０*(1+_15・A深夜)),0)+ROUND((_15_同援日１．０＿１．０*(1+_15・B早朝)),0)+_15_同援日１．０＿１．０＿０．５</f>
        <v>742</v>
      </c>
      <c r="AF295" s="69"/>
    </row>
    <row r="296" spans="1:32" ht="16.5" customHeight="1" x14ac:dyDescent="0.3">
      <c r="A296" s="2">
        <v>15</v>
      </c>
      <c r="B296" s="2" t="s">
        <v>954</v>
      </c>
      <c r="C296" s="60" t="s">
        <v>11248</v>
      </c>
      <c r="D296" s="1"/>
      <c r="E296" s="68"/>
      <c r="F296" s="70"/>
      <c r="G296" s="1" t="s">
        <v>16949</v>
      </c>
      <c r="H296" s="68"/>
      <c r="I296" s="70"/>
      <c r="J296" s="1" t="s">
        <v>7928</v>
      </c>
      <c r="K296" s="68"/>
      <c r="L296" s="70"/>
      <c r="M296" s="106"/>
      <c r="N296" s="57"/>
      <c r="O296" s="58"/>
      <c r="P296" s="83" t="s">
        <v>5895</v>
      </c>
      <c r="Q296" s="64" t="s">
        <v>1</v>
      </c>
      <c r="R296" s="65">
        <v>1</v>
      </c>
      <c r="S296" s="99"/>
      <c r="T296" s="70"/>
      <c r="U296" s="99"/>
      <c r="V296" s="70"/>
      <c r="W296" s="94"/>
      <c r="X296" s="68"/>
      <c r="Y296" s="76"/>
      <c r="Z296" s="70"/>
      <c r="AA296" s="1"/>
      <c r="AB296" s="68"/>
      <c r="AC296" s="76"/>
      <c r="AD296" s="70"/>
      <c r="AE296" s="228">
        <f>ROUND((ROUND((_15_同援日１．０*_15・２人),0)*(1+_15・A深夜)),0)+ROUND((ROUND((_15_同援日１．０＿１．０*_15・２人),0)*(1+_15・B早朝)),0)+ROUND((_15_同援日１．０＿１．０＿０．５*_15・２人),0)</f>
        <v>742</v>
      </c>
      <c r="AF296" s="69"/>
    </row>
    <row r="297" spans="1:32" ht="16.5" customHeight="1" x14ac:dyDescent="0.3">
      <c r="A297" s="2">
        <v>15</v>
      </c>
      <c r="B297" s="2" t="s">
        <v>955</v>
      </c>
      <c r="C297" s="60" t="s">
        <v>11247</v>
      </c>
      <c r="D297" s="1"/>
      <c r="E297" s="68"/>
      <c r="F297" s="70"/>
      <c r="G297" s="1" t="s">
        <v>8572</v>
      </c>
      <c r="H297" s="68"/>
      <c r="I297" s="70"/>
      <c r="J297" s="1"/>
      <c r="K297" s="68"/>
      <c r="L297" s="70"/>
      <c r="M297" s="74" t="s">
        <v>18111</v>
      </c>
      <c r="N297" s="62"/>
      <c r="O297" s="63"/>
      <c r="P297" s="83"/>
      <c r="Q297" s="64"/>
      <c r="R297" s="65"/>
      <c r="S297" s="99"/>
      <c r="T297" s="70"/>
      <c r="U297" s="99"/>
      <c r="V297" s="70"/>
      <c r="W297" s="94"/>
      <c r="X297" s="68"/>
      <c r="Y297" s="76"/>
      <c r="Z297" s="70"/>
      <c r="AA297" s="1"/>
      <c r="AB297" s="68"/>
      <c r="AC297" s="76"/>
      <c r="AD297" s="70"/>
      <c r="AE297" s="228">
        <f>ROUND((ROUND((_15_同援日１．０*_15・基礎２),0)*(1+_15・A深夜)),0)+ROUND((ROUND((_15_同援日１．０＿１．０*_15・基礎２),0)*(1+_15・B早朝)),0)+ROUND((_15_同援日１．０＿１．０＿０．５*_15・基礎２),0)</f>
        <v>670</v>
      </c>
      <c r="AF297" s="69"/>
    </row>
    <row r="298" spans="1:32" ht="16.5" customHeight="1" x14ac:dyDescent="0.3">
      <c r="A298" s="2">
        <v>15</v>
      </c>
      <c r="B298" s="2" t="s">
        <v>956</v>
      </c>
      <c r="C298" s="60" t="s">
        <v>11246</v>
      </c>
      <c r="D298" s="1"/>
      <c r="E298" s="68"/>
      <c r="F298" s="70"/>
      <c r="G298" s="1"/>
      <c r="H298" s="119">
        <v>193</v>
      </c>
      <c r="I298" s="70" t="s">
        <v>0</v>
      </c>
      <c r="J298" s="1"/>
      <c r="K298" s="119">
        <v>63</v>
      </c>
      <c r="L298" s="70" t="s">
        <v>0</v>
      </c>
      <c r="M298" s="106" t="s">
        <v>16812</v>
      </c>
      <c r="N298" s="57" t="s">
        <v>1</v>
      </c>
      <c r="O298" s="58">
        <v>0.9</v>
      </c>
      <c r="P298" s="83" t="s">
        <v>5895</v>
      </c>
      <c r="Q298" s="64" t="s">
        <v>1</v>
      </c>
      <c r="R298" s="65">
        <v>1</v>
      </c>
      <c r="S298" s="99"/>
      <c r="T298" s="70"/>
      <c r="U298" s="99"/>
      <c r="V298" s="70"/>
      <c r="W298" s="106"/>
      <c r="X298" s="57"/>
      <c r="Y298" s="58"/>
      <c r="Z298" s="77"/>
      <c r="AA298" s="1"/>
      <c r="AB298" s="68"/>
      <c r="AC298" s="76"/>
      <c r="AD298" s="70"/>
      <c r="AE298" s="228">
        <f>ROUND((ROUND((ROUND((_15_同援日１．０*_15・基礎２),0)*_15・２人),0)*(1+_15・A深夜)),0)+ROUND((ROUND((ROUND((_15_同援日１．０＿１．０*_15・基礎２),0)*_15・２人),0)*(1+_15・B早朝)),0)+ROUND((ROUND((_15_同援日１．０＿１．０＿０．５*_15・基礎２),0)*_15・２人),0)</f>
        <v>670</v>
      </c>
      <c r="AF298" s="69"/>
    </row>
    <row r="299" spans="1:32" ht="16.5" customHeight="1" x14ac:dyDescent="0.3">
      <c r="A299" s="2">
        <v>15</v>
      </c>
      <c r="B299" s="2" t="s">
        <v>957</v>
      </c>
      <c r="C299" s="60" t="s">
        <v>11245</v>
      </c>
      <c r="D299" s="1"/>
      <c r="E299" s="68"/>
      <c r="F299" s="70"/>
      <c r="G299" s="1"/>
      <c r="H299" s="68"/>
      <c r="I299" s="70"/>
      <c r="J299" s="1"/>
      <c r="K299" s="68"/>
      <c r="L299" s="70"/>
      <c r="M299" s="74"/>
      <c r="N299" s="62"/>
      <c r="O299" s="63"/>
      <c r="P299" s="83"/>
      <c r="Q299" s="64"/>
      <c r="R299" s="65"/>
      <c r="S299" s="99"/>
      <c r="T299" s="70"/>
      <c r="U299" s="99"/>
      <c r="V299" s="70"/>
      <c r="W299" s="74" t="s">
        <v>17969</v>
      </c>
      <c r="X299" s="62"/>
      <c r="Y299" s="63"/>
      <c r="Z299" s="75"/>
      <c r="AA299" s="1"/>
      <c r="AB299" s="68"/>
      <c r="AC299" s="76"/>
      <c r="AD299" s="70"/>
      <c r="AE299" s="228">
        <f>ROUND((ROUND((_15_同援日１．０*(1+_15・A深夜)),0)*(1+_15・盲ろう)),0)+ROUND((ROUND((_15_同援日１．０＿１．０*(1+_15・B早朝)),0)*(1+_15・盲ろう)),0)+ROUND((_15_同援日１．０＿１．０＿０．５*(1+_15・盲ろう)),0)</f>
        <v>928</v>
      </c>
      <c r="AF299" s="69"/>
    </row>
    <row r="300" spans="1:32" ht="16.5" customHeight="1" x14ac:dyDescent="0.3">
      <c r="A300" s="2">
        <v>15</v>
      </c>
      <c r="B300" s="2" t="s">
        <v>958</v>
      </c>
      <c r="C300" s="60" t="s">
        <v>11244</v>
      </c>
      <c r="D300" s="1"/>
      <c r="E300" s="68"/>
      <c r="F300" s="70"/>
      <c r="G300" s="1"/>
      <c r="H300" s="68"/>
      <c r="I300" s="70"/>
      <c r="J300" s="1"/>
      <c r="K300" s="68"/>
      <c r="L300" s="70"/>
      <c r="M300" s="106"/>
      <c r="N300" s="57"/>
      <c r="O300" s="58"/>
      <c r="P300" s="83" t="s">
        <v>5895</v>
      </c>
      <c r="Q300" s="64" t="s">
        <v>1</v>
      </c>
      <c r="R300" s="65">
        <v>1</v>
      </c>
      <c r="S300" s="99"/>
      <c r="T300" s="70"/>
      <c r="U300" s="99"/>
      <c r="V300" s="70"/>
      <c r="W300" s="94" t="s">
        <v>17968</v>
      </c>
      <c r="X300" s="68"/>
      <c r="Y300" s="76"/>
      <c r="Z300" s="70"/>
      <c r="AA300" s="1"/>
      <c r="AB300" s="68"/>
      <c r="AC300" s="76"/>
      <c r="AD300" s="70"/>
      <c r="AE300" s="228">
        <f>ROUND((ROUND((ROUND((_15_同援日１．０*_15・２人),0)*(1+_15・A深夜)),0)*(1+_15・盲ろう)),0)+ROUND((ROUND((ROUND((_15_同援日１．０＿１．０*_15・２人),0)*(1+_15・B早朝)),0)*(1+_15・盲ろう)),0)+ROUND((ROUND((_15_同援日１．０＿１．０＿０．５*_15・２人),0)*(1+_15・盲ろう)),0)</f>
        <v>928</v>
      </c>
      <c r="AF300" s="69"/>
    </row>
    <row r="301" spans="1:32" ht="16.5" customHeight="1" x14ac:dyDescent="0.3">
      <c r="A301" s="2">
        <v>15</v>
      </c>
      <c r="B301" s="2" t="s">
        <v>959</v>
      </c>
      <c r="C301" s="60" t="s">
        <v>11243</v>
      </c>
      <c r="D301" s="1"/>
      <c r="E301" s="68"/>
      <c r="F301" s="70"/>
      <c r="G301" s="1"/>
      <c r="H301" s="68"/>
      <c r="I301" s="70"/>
      <c r="J301" s="1"/>
      <c r="K301" s="68"/>
      <c r="L301" s="70"/>
      <c r="M301" s="74" t="s">
        <v>16912</v>
      </c>
      <c r="N301" s="62"/>
      <c r="O301" s="63"/>
      <c r="P301" s="83"/>
      <c r="Q301" s="64"/>
      <c r="R301" s="65"/>
      <c r="S301" s="99"/>
      <c r="T301" s="70"/>
      <c r="U301" s="99"/>
      <c r="V301" s="70"/>
      <c r="W301" s="94"/>
      <c r="X301" s="68" t="s">
        <v>1</v>
      </c>
      <c r="Y301" s="76">
        <v>0.25</v>
      </c>
      <c r="Z301" s="70" t="s">
        <v>422</v>
      </c>
      <c r="AA301" s="1"/>
      <c r="AB301" s="68"/>
      <c r="AC301" s="76"/>
      <c r="AD301" s="70"/>
      <c r="AE301" s="228">
        <f>ROUND((ROUND((ROUND((_15_同援日１．０*_15・基礎２),0)*(1+_15・A深夜)),0)*(1+_15・盲ろう)),0)+ROUND((ROUND((ROUND((_15_同援日１．０＿１．０*_15・基礎２),0)*(1+_15・B早朝)),0)*(1+_15・盲ろう)),0)+ROUND((ROUND((_15_同援日１．０＿１．０＿０．５*_15・基礎２),0)*(1+_15・盲ろう)),0)</f>
        <v>838</v>
      </c>
      <c r="AF301" s="69"/>
    </row>
    <row r="302" spans="1:32" ht="16.5" customHeight="1" x14ac:dyDescent="0.3">
      <c r="A302" s="2">
        <v>15</v>
      </c>
      <c r="B302" s="2" t="s">
        <v>960</v>
      </c>
      <c r="C302" s="60" t="s">
        <v>11242</v>
      </c>
      <c r="D302" s="1"/>
      <c r="E302" s="68"/>
      <c r="F302" s="70"/>
      <c r="G302" s="1"/>
      <c r="H302" s="68"/>
      <c r="I302" s="70"/>
      <c r="J302" s="1"/>
      <c r="K302" s="68"/>
      <c r="L302" s="70"/>
      <c r="M302" s="106" t="s">
        <v>5896</v>
      </c>
      <c r="N302" s="57" t="s">
        <v>1</v>
      </c>
      <c r="O302" s="58">
        <v>0.9</v>
      </c>
      <c r="P302" s="83" t="s">
        <v>5895</v>
      </c>
      <c r="Q302" s="64" t="s">
        <v>1</v>
      </c>
      <c r="R302" s="65">
        <v>1</v>
      </c>
      <c r="S302" s="99"/>
      <c r="T302" s="70"/>
      <c r="U302" s="99"/>
      <c r="V302" s="70"/>
      <c r="W302" s="106"/>
      <c r="X302" s="57"/>
      <c r="Y302" s="58"/>
      <c r="Z302" s="77"/>
      <c r="AA302" s="106"/>
      <c r="AB302" s="57"/>
      <c r="AC302" s="58"/>
      <c r="AD302" s="77"/>
      <c r="AE302" s="228">
        <f>ROUND((ROUND((ROUND((ROUND((_15_同援日１．０*_15・基礎２),0)*_15・２人),0)*(1+_15・A深夜)),0)*(1+_15・盲ろう)),0)+ROUND((ROUND((ROUND((ROUND((_15_同援日１．０＿１．０*_15・基礎２),0)*_15・２人),0)*(1+_15・B早朝)),0)*(1+_15・盲ろう)),0)+ROUND((ROUND((ROUND((_15_同援日１．０＿１．０＿０．５*_15・基礎２),0)*_15・２人),0)*(1+_15・盲ろう)),0)</f>
        <v>838</v>
      </c>
      <c r="AF302" s="69"/>
    </row>
    <row r="303" spans="1:32" ht="16.5" customHeight="1" x14ac:dyDescent="0.3">
      <c r="A303" s="2">
        <v>15</v>
      </c>
      <c r="B303" s="2" t="s">
        <v>961</v>
      </c>
      <c r="C303" s="60" t="s">
        <v>11241</v>
      </c>
      <c r="D303" s="1"/>
      <c r="E303" s="68"/>
      <c r="F303" s="70"/>
      <c r="G303" s="1"/>
      <c r="H303" s="68"/>
      <c r="I303" s="70"/>
      <c r="J303" s="1"/>
      <c r="K303" s="68"/>
      <c r="L303" s="70"/>
      <c r="M303" s="74"/>
      <c r="N303" s="62"/>
      <c r="O303" s="63"/>
      <c r="P303" s="83"/>
      <c r="Q303" s="64"/>
      <c r="R303" s="65"/>
      <c r="S303" s="99"/>
      <c r="T303" s="70"/>
      <c r="U303" s="99"/>
      <c r="V303" s="70"/>
      <c r="W303" s="74"/>
      <c r="X303" s="62"/>
      <c r="Y303" s="63"/>
      <c r="Z303" s="75"/>
      <c r="AA303" s="78"/>
      <c r="AB303" s="62"/>
      <c r="AC303" s="63"/>
      <c r="AD303" s="75"/>
      <c r="AE303" s="228">
        <f>ROUND((ROUND((_15_同援日１．０*(1+_15・A深夜)),0)*(1+_15・区３)),0)+ROUND((ROUND((_15_同援日１．０＿１．０*(1+_15・B早朝)),0)*(1+_15・区３)),0)+ROUND((_15_同援日１．０＿１．０＿０．５*(1+_15・区３)),0)</f>
        <v>891</v>
      </c>
      <c r="AF303" s="69"/>
    </row>
    <row r="304" spans="1:32" ht="16.5" customHeight="1" x14ac:dyDescent="0.3">
      <c r="A304" s="2">
        <v>15</v>
      </c>
      <c r="B304" s="2" t="s">
        <v>962</v>
      </c>
      <c r="C304" s="60" t="s">
        <v>11240</v>
      </c>
      <c r="D304" s="1"/>
      <c r="E304" s="68"/>
      <c r="F304" s="70"/>
      <c r="G304" s="1"/>
      <c r="H304" s="68"/>
      <c r="I304" s="70"/>
      <c r="J304" s="1"/>
      <c r="K304" s="68"/>
      <c r="L304" s="70"/>
      <c r="M304" s="106"/>
      <c r="N304" s="57"/>
      <c r="O304" s="58"/>
      <c r="P304" s="83" t="s">
        <v>5895</v>
      </c>
      <c r="Q304" s="64" t="s">
        <v>1</v>
      </c>
      <c r="R304" s="65">
        <v>1</v>
      </c>
      <c r="S304" s="99"/>
      <c r="T304" s="70"/>
      <c r="U304" s="99"/>
      <c r="V304" s="70"/>
      <c r="W304" s="94"/>
      <c r="X304" s="68"/>
      <c r="Y304" s="76"/>
      <c r="Z304" s="70"/>
      <c r="AA304" s="1"/>
      <c r="AB304" s="68"/>
      <c r="AC304" s="76"/>
      <c r="AD304" s="70"/>
      <c r="AE304" s="228">
        <f>ROUND((ROUND((ROUND((_15_同援日１．０*_15・２人),0)*(1+_15・A深夜)),0)*(1+_15・区３)),0)+ROUND((ROUND((ROUND((_15_同援日１．０＿１．０*_15・２人),0)*(1+_15・B早朝)),0)*(1+_15・区３)),0)+ROUND((ROUND((_15_同援日１．０＿１．０＿０．５*_15・２人),0)*(1+_15・区３)),0)</f>
        <v>891</v>
      </c>
      <c r="AF304" s="69"/>
    </row>
    <row r="305" spans="1:32" ht="16.5" customHeight="1" x14ac:dyDescent="0.3">
      <c r="A305" s="2">
        <v>15</v>
      </c>
      <c r="B305" s="2" t="s">
        <v>963</v>
      </c>
      <c r="C305" s="60" t="s">
        <v>11239</v>
      </c>
      <c r="D305" s="1"/>
      <c r="E305" s="68"/>
      <c r="F305" s="70"/>
      <c r="G305" s="1"/>
      <c r="H305" s="68"/>
      <c r="I305" s="70"/>
      <c r="J305" s="1"/>
      <c r="K305" s="68"/>
      <c r="L305" s="70"/>
      <c r="M305" s="74" t="s">
        <v>16823</v>
      </c>
      <c r="N305" s="62"/>
      <c r="O305" s="63"/>
      <c r="P305" s="83"/>
      <c r="Q305" s="64"/>
      <c r="R305" s="65"/>
      <c r="S305" s="99"/>
      <c r="T305" s="70"/>
      <c r="U305" s="99"/>
      <c r="V305" s="70"/>
      <c r="W305" s="94"/>
      <c r="X305" s="68"/>
      <c r="Y305" s="76"/>
      <c r="Z305" s="70"/>
      <c r="AA305" s="1" t="s">
        <v>18101</v>
      </c>
      <c r="AB305" s="68"/>
      <c r="AC305" s="76"/>
      <c r="AD305" s="70"/>
      <c r="AE305" s="228">
        <f>ROUND((ROUND((ROUND((_15_同援日１．０*_15・基礎２),0)*(1+_15・A深夜)),0)*(1+_15・区３)),0)+ROUND((ROUND((ROUND((_15_同援日１．０＿１．０*_15・基礎２),0)*(1+_15・B早朝)),0)*(1+_15・区３)),0)+ROUND((ROUND((_15_同援日１．０＿１．０＿０．５*_15・基礎２),0)*(1+_15・区３)),0)</f>
        <v>804</v>
      </c>
      <c r="AF305" s="69"/>
    </row>
    <row r="306" spans="1:32" ht="16.5" customHeight="1" x14ac:dyDescent="0.3">
      <c r="A306" s="2">
        <v>15</v>
      </c>
      <c r="B306" s="2" t="s">
        <v>964</v>
      </c>
      <c r="C306" s="60" t="s">
        <v>11238</v>
      </c>
      <c r="D306" s="1"/>
      <c r="E306" s="68"/>
      <c r="F306" s="70"/>
      <c r="G306" s="1"/>
      <c r="H306" s="68"/>
      <c r="I306" s="70"/>
      <c r="J306" s="1"/>
      <c r="K306" s="68"/>
      <c r="L306" s="70"/>
      <c r="M306" s="106" t="s">
        <v>16812</v>
      </c>
      <c r="N306" s="57" t="s">
        <v>1</v>
      </c>
      <c r="O306" s="58">
        <v>0.9</v>
      </c>
      <c r="P306" s="83" t="s">
        <v>5895</v>
      </c>
      <c r="Q306" s="64" t="s">
        <v>1</v>
      </c>
      <c r="R306" s="65">
        <v>1</v>
      </c>
      <c r="S306" s="99"/>
      <c r="T306" s="70"/>
      <c r="U306" s="99"/>
      <c r="V306" s="70"/>
      <c r="W306" s="106"/>
      <c r="X306" s="57"/>
      <c r="Y306" s="58"/>
      <c r="Z306" s="77"/>
      <c r="AA306" s="1" t="s">
        <v>18112</v>
      </c>
      <c r="AB306" s="68"/>
      <c r="AC306" s="76"/>
      <c r="AD306" s="70"/>
      <c r="AE306" s="228">
        <f>ROUND((ROUND((ROUND((ROUND((_15_同援日１．０*_15・基礎２),0)*_15・２人),0)*(1+_15・A深夜)),0)*(1+_15・区３)),0)+ROUND((ROUND((ROUND((ROUND((_15_同援日１．０＿１．０*_15・基礎２),0)*_15・２人),0)*(1+_15・B早朝)),0)*(1+_15・区３)),0)+ROUND((ROUND((ROUND((_15_同援日１．０＿１．０＿０．５*_15・基礎２),0)*_15・２人),0)*(1+_15・区３)),0)</f>
        <v>804</v>
      </c>
      <c r="AF306" s="69"/>
    </row>
    <row r="307" spans="1:32" ht="16.5" customHeight="1" x14ac:dyDescent="0.3">
      <c r="A307" s="2">
        <v>15</v>
      </c>
      <c r="B307" s="2" t="s">
        <v>965</v>
      </c>
      <c r="C307" s="60" t="s">
        <v>11237</v>
      </c>
      <c r="D307" s="1"/>
      <c r="E307" s="68"/>
      <c r="F307" s="70"/>
      <c r="G307" s="1"/>
      <c r="H307" s="68"/>
      <c r="I307" s="70"/>
      <c r="J307" s="1"/>
      <c r="K307" s="68"/>
      <c r="L307" s="70"/>
      <c r="M307" s="74"/>
      <c r="N307" s="62"/>
      <c r="O307" s="63"/>
      <c r="P307" s="83"/>
      <c r="Q307" s="64"/>
      <c r="R307" s="65"/>
      <c r="S307" s="99"/>
      <c r="T307" s="70"/>
      <c r="U307" s="99"/>
      <c r="V307" s="70"/>
      <c r="W307" s="74" t="s">
        <v>17969</v>
      </c>
      <c r="X307" s="62"/>
      <c r="Y307" s="63"/>
      <c r="Z307" s="75"/>
      <c r="AA307" s="1"/>
      <c r="AB307" s="68" t="s">
        <v>1</v>
      </c>
      <c r="AC307" s="76">
        <v>0.2</v>
      </c>
      <c r="AD307" s="70" t="s">
        <v>422</v>
      </c>
      <c r="AE307" s="228">
        <f>ROUND((ROUND((ROUND((_15_同援日１．０*(1+_15・A深夜)),0)*(1+_15・盲ろう)),0)*(1+_15・区３)),0)+ROUND((ROUND((ROUND((_15_同援日１．０＿１．０*(1+_15・B早朝)),0)*(1+_15・盲ろう)),0)*(1+_15・区３)),0)+ROUND((ROUND((_15_同援日１．０＿１．０＿０．５*(1+_15・盲ろう)),0)*(1+_15・区３)),0)</f>
        <v>1114</v>
      </c>
      <c r="AF307" s="69"/>
    </row>
    <row r="308" spans="1:32" ht="16.5" customHeight="1" x14ac:dyDescent="0.3">
      <c r="A308" s="2">
        <v>15</v>
      </c>
      <c r="B308" s="2" t="s">
        <v>966</v>
      </c>
      <c r="C308" s="60" t="s">
        <v>11236</v>
      </c>
      <c r="D308" s="1"/>
      <c r="E308" s="68"/>
      <c r="F308" s="70"/>
      <c r="G308" s="1"/>
      <c r="H308" s="68"/>
      <c r="I308" s="70"/>
      <c r="J308" s="1"/>
      <c r="K308" s="68"/>
      <c r="L308" s="70"/>
      <c r="M308" s="106"/>
      <c r="N308" s="57"/>
      <c r="O308" s="58"/>
      <c r="P308" s="83" t="s">
        <v>5895</v>
      </c>
      <c r="Q308" s="64" t="s">
        <v>1</v>
      </c>
      <c r="R308" s="65">
        <v>1</v>
      </c>
      <c r="S308" s="99"/>
      <c r="T308" s="70"/>
      <c r="U308" s="99"/>
      <c r="V308" s="70"/>
      <c r="W308" s="94" t="s">
        <v>17968</v>
      </c>
      <c r="X308" s="68"/>
      <c r="Y308" s="76"/>
      <c r="Z308" s="70"/>
      <c r="AA308" s="1"/>
      <c r="AB308" s="68"/>
      <c r="AC308" s="76"/>
      <c r="AD308" s="70"/>
      <c r="AE308" s="228">
        <f>ROUND((ROUND((ROUND((ROUND((_15_同援日１．０*_15・２人),0)*(1+_15・A深夜)),0)*(1+_15・盲ろう)),0)*(1+_15・区３)),0)+ROUND((ROUND((ROUND((ROUND((_15_同援日１．０＿１．０*_15・２人),0)*(1+_15・B早朝)),0)*(1+_15・盲ろう)),0)*(1+_15・区３)),0)+ROUND((ROUND((ROUND((_15_同援日１．０＿１．０＿０．５*_15・２人),0)*(1+_15・盲ろう)),0)*(1+_15・区３)),0)</f>
        <v>1114</v>
      </c>
      <c r="AF308" s="69"/>
    </row>
    <row r="309" spans="1:32" ht="16.5" customHeight="1" x14ac:dyDescent="0.3">
      <c r="A309" s="2">
        <v>15</v>
      </c>
      <c r="B309" s="2" t="s">
        <v>967</v>
      </c>
      <c r="C309" s="60" t="s">
        <v>11235</v>
      </c>
      <c r="D309" s="1"/>
      <c r="E309" s="68"/>
      <c r="F309" s="70"/>
      <c r="G309" s="1"/>
      <c r="H309" s="68"/>
      <c r="I309" s="70"/>
      <c r="J309" s="1"/>
      <c r="K309" s="68"/>
      <c r="L309" s="70"/>
      <c r="M309" s="74" t="s">
        <v>18111</v>
      </c>
      <c r="N309" s="62"/>
      <c r="O309" s="63"/>
      <c r="P309" s="83"/>
      <c r="Q309" s="64"/>
      <c r="R309" s="65"/>
      <c r="S309" s="99"/>
      <c r="T309" s="70"/>
      <c r="U309" s="99"/>
      <c r="V309" s="70"/>
      <c r="W309" s="94"/>
      <c r="X309" s="68" t="s">
        <v>1</v>
      </c>
      <c r="Y309" s="76">
        <v>0.25</v>
      </c>
      <c r="Z309" s="70" t="s">
        <v>422</v>
      </c>
      <c r="AA309" s="1"/>
      <c r="AB309" s="68"/>
      <c r="AC309" s="76"/>
      <c r="AD309" s="70"/>
      <c r="AE309" s="228">
        <f>ROUND((ROUND((ROUND((ROUND((_15_同援日１．０*_15・基礎２),0)*(1+_15・A深夜)),0)*(1+_15・盲ろう)),0)*(1+_15・区３)),0)+ROUND((ROUND((ROUND((ROUND((_15_同援日１．０＿１．０*_15・基礎２),0)*(1+_15・B早朝)),0)*(1+_15・盲ろう)),0)*(1+_15・区３)),0)+ROUND((ROUND((ROUND((_15_同援日１．０＿１．０＿０．５*_15・基礎２),0)*(1+_15・盲ろう)),0)*(1+_15・区３)),0)</f>
        <v>1006</v>
      </c>
      <c r="AF309" s="69"/>
    </row>
    <row r="310" spans="1:32" ht="16.5" customHeight="1" x14ac:dyDescent="0.3">
      <c r="A310" s="2">
        <v>15</v>
      </c>
      <c r="B310" s="2" t="s">
        <v>968</v>
      </c>
      <c r="C310" s="60" t="s">
        <v>11234</v>
      </c>
      <c r="D310" s="1"/>
      <c r="E310" s="68"/>
      <c r="F310" s="70"/>
      <c r="G310" s="1"/>
      <c r="H310" s="68"/>
      <c r="I310" s="70"/>
      <c r="J310" s="1"/>
      <c r="K310" s="68"/>
      <c r="L310" s="70"/>
      <c r="M310" s="106" t="s">
        <v>16916</v>
      </c>
      <c r="N310" s="57" t="s">
        <v>1</v>
      </c>
      <c r="O310" s="58">
        <v>0.9</v>
      </c>
      <c r="P310" s="83" t="s">
        <v>5895</v>
      </c>
      <c r="Q310" s="64" t="s">
        <v>1</v>
      </c>
      <c r="R310" s="65">
        <v>1</v>
      </c>
      <c r="S310" s="99"/>
      <c r="T310" s="70"/>
      <c r="U310" s="99"/>
      <c r="V310" s="70"/>
      <c r="W310" s="106"/>
      <c r="X310" s="57"/>
      <c r="Y310" s="58"/>
      <c r="Z310" s="77"/>
      <c r="AA310" s="106"/>
      <c r="AB310" s="57"/>
      <c r="AC310" s="58"/>
      <c r="AD310" s="77"/>
      <c r="AE310" s="228">
        <f>ROUND((ROUND((ROUND((ROUND((ROUND((_15_同援日１．０*_15・基礎２),0)*_15・２人),0)*(1+_15・A深夜)),0)*(1+_15・盲ろう)),0)*(1+_15・区３)),0)+ROUND((ROUND((ROUND((ROUND((ROUND((_15_同援日１．０＿１．０*_15・基礎２),0)*_15・２人),0)*(1+_15・B早朝)),0)*(1+_15・盲ろう)),0)*(1+_15・区３)),0)+ROUND((ROUND((ROUND((ROUND((_15_同援日１．０＿１．０＿０．５*_15・基礎２),0)*_15・２人),0)*(1+_15・盲ろう)),0)*(1+_15・区３)),0)</f>
        <v>1006</v>
      </c>
      <c r="AF310" s="69"/>
    </row>
    <row r="311" spans="1:32" ht="16.5" customHeight="1" x14ac:dyDescent="0.3">
      <c r="A311" s="2">
        <v>15</v>
      </c>
      <c r="B311" s="2" t="s">
        <v>969</v>
      </c>
      <c r="C311" s="60" t="s">
        <v>11233</v>
      </c>
      <c r="D311" s="1"/>
      <c r="E311" s="68"/>
      <c r="F311" s="70"/>
      <c r="G311" s="1"/>
      <c r="H311" s="68"/>
      <c r="I311" s="70"/>
      <c r="J311" s="1"/>
      <c r="K311" s="68"/>
      <c r="L311" s="70"/>
      <c r="M311" s="74"/>
      <c r="N311" s="62"/>
      <c r="O311" s="63"/>
      <c r="P311" s="83"/>
      <c r="Q311" s="64"/>
      <c r="R311" s="65"/>
      <c r="S311" s="99"/>
      <c r="T311" s="70"/>
      <c r="U311" s="99"/>
      <c r="V311" s="70"/>
      <c r="W311" s="74"/>
      <c r="X311" s="62"/>
      <c r="Y311" s="63"/>
      <c r="Z311" s="75"/>
      <c r="AA311" s="78"/>
      <c r="AB311" s="62"/>
      <c r="AC311" s="63"/>
      <c r="AD311" s="75"/>
      <c r="AE311" s="228">
        <f>ROUND((ROUND((_15_同援日１．０*(1+_15・A深夜)),0)*(1+_15・区４)),0)+ROUND((ROUND((_15_同援日１．０＿１．０*(1+_15・B早朝)),0)*(1+_15・区４)),0)+ROUND((_15_同援日１．０＿１．０＿０．５*(1+_15・区４)),0)</f>
        <v>1038</v>
      </c>
      <c r="AF311" s="69"/>
    </row>
    <row r="312" spans="1:32" ht="16.5" customHeight="1" x14ac:dyDescent="0.3">
      <c r="A312" s="2">
        <v>15</v>
      </c>
      <c r="B312" s="2" t="s">
        <v>970</v>
      </c>
      <c r="C312" s="60" t="s">
        <v>11232</v>
      </c>
      <c r="D312" s="1"/>
      <c r="E312" s="68"/>
      <c r="F312" s="70"/>
      <c r="G312" s="1"/>
      <c r="H312" s="68"/>
      <c r="I312" s="70"/>
      <c r="J312" s="1"/>
      <c r="K312" s="68"/>
      <c r="L312" s="70"/>
      <c r="M312" s="106"/>
      <c r="N312" s="57"/>
      <c r="O312" s="58"/>
      <c r="P312" s="83" t="s">
        <v>5895</v>
      </c>
      <c r="Q312" s="64" t="s">
        <v>1</v>
      </c>
      <c r="R312" s="65">
        <v>1</v>
      </c>
      <c r="S312" s="99"/>
      <c r="T312" s="70"/>
      <c r="U312" s="99"/>
      <c r="V312" s="70"/>
      <c r="W312" s="94"/>
      <c r="X312" s="68"/>
      <c r="Y312" s="76"/>
      <c r="Z312" s="70"/>
      <c r="AA312" s="1"/>
      <c r="AB312" s="68"/>
      <c r="AC312" s="76"/>
      <c r="AD312" s="70"/>
      <c r="AE312" s="228">
        <f>ROUND((ROUND((ROUND((_15_同援日１．０*_15・２人),0)*(1+_15・A深夜)),0)*(1+_15・区４)),0)+ROUND((ROUND((ROUND((_15_同援日１．０＿１．０*_15・２人),0)*(1+_15・B早朝)),0)*(1+_15・区４)),0)+ROUND((ROUND((_15_同援日１．０＿１．０＿０．５*_15・２人),0)*(1+_15・区４)),0)</f>
        <v>1038</v>
      </c>
      <c r="AF312" s="69"/>
    </row>
    <row r="313" spans="1:32" ht="16.5" customHeight="1" x14ac:dyDescent="0.3">
      <c r="A313" s="2">
        <v>15</v>
      </c>
      <c r="B313" s="2" t="s">
        <v>971</v>
      </c>
      <c r="C313" s="60" t="s">
        <v>11231</v>
      </c>
      <c r="D313" s="1"/>
      <c r="E313" s="68"/>
      <c r="F313" s="70"/>
      <c r="G313" s="1"/>
      <c r="H313" s="68"/>
      <c r="I313" s="70"/>
      <c r="J313" s="1"/>
      <c r="K313" s="68"/>
      <c r="L313" s="70"/>
      <c r="M313" s="74" t="s">
        <v>16912</v>
      </c>
      <c r="N313" s="62"/>
      <c r="O313" s="63"/>
      <c r="P313" s="83"/>
      <c r="Q313" s="64"/>
      <c r="R313" s="65"/>
      <c r="S313" s="99"/>
      <c r="T313" s="70"/>
      <c r="U313" s="99"/>
      <c r="V313" s="70"/>
      <c r="W313" s="94"/>
      <c r="X313" s="68"/>
      <c r="Y313" s="76"/>
      <c r="Z313" s="70"/>
      <c r="AA313" s="1" t="s">
        <v>17971</v>
      </c>
      <c r="AB313" s="68"/>
      <c r="AC313" s="76"/>
      <c r="AD313" s="70"/>
      <c r="AE313" s="228">
        <f>ROUND((ROUND((ROUND((_15_同援日１．０*_15・基礎２),0)*(1+_15・A深夜)),0)*(1+_15・区４)),0)+ROUND((ROUND((ROUND((_15_同援日１．０＿１．０*_15・基礎２),0)*(1+_15・B早朝)),0)*(1+_15・区４)),0)+ROUND((ROUND((_15_同援日１．０＿１．０＿０．５*_15・基礎２),0)*(1+_15・区４)),0)</f>
        <v>938</v>
      </c>
      <c r="AF313" s="69"/>
    </row>
    <row r="314" spans="1:32" ht="16.5" customHeight="1" x14ac:dyDescent="0.3">
      <c r="A314" s="2">
        <v>15</v>
      </c>
      <c r="B314" s="2" t="s">
        <v>972</v>
      </c>
      <c r="C314" s="60" t="s">
        <v>11230</v>
      </c>
      <c r="D314" s="1"/>
      <c r="E314" s="68"/>
      <c r="F314" s="70"/>
      <c r="G314" s="1"/>
      <c r="H314" s="68"/>
      <c r="I314" s="70"/>
      <c r="J314" s="1"/>
      <c r="K314" s="68"/>
      <c r="L314" s="70"/>
      <c r="M314" s="106" t="s">
        <v>16916</v>
      </c>
      <c r="N314" s="57" t="s">
        <v>1</v>
      </c>
      <c r="O314" s="58">
        <v>0.9</v>
      </c>
      <c r="P314" s="83" t="s">
        <v>5895</v>
      </c>
      <c r="Q314" s="64" t="s">
        <v>1</v>
      </c>
      <c r="R314" s="65">
        <v>1</v>
      </c>
      <c r="S314" s="99"/>
      <c r="T314" s="70"/>
      <c r="U314" s="99"/>
      <c r="V314" s="70"/>
      <c r="W314" s="106"/>
      <c r="X314" s="57"/>
      <c r="Y314" s="58"/>
      <c r="Z314" s="77"/>
      <c r="AA314" s="1" t="s">
        <v>17970</v>
      </c>
      <c r="AB314" s="68"/>
      <c r="AC314" s="76"/>
      <c r="AD314" s="70"/>
      <c r="AE314" s="228">
        <f>ROUND((ROUND((ROUND((ROUND((_15_同援日１．０*_15・基礎２),0)*_15・２人),0)*(1+_15・A深夜)),0)*(1+_15・区４)),0)+ROUND((ROUND((ROUND((ROUND((_15_同援日１．０＿１．０*_15・基礎２),0)*_15・２人),0)*(1+_15・B早朝)),0)*(1+_15・区４)),0)+ROUND((ROUND((ROUND((_15_同援日１．０＿１．０＿０．５*_15・基礎２),0)*_15・２人),0)*(1+_15・区４)),0)</f>
        <v>938</v>
      </c>
      <c r="AF314" s="69"/>
    </row>
    <row r="315" spans="1:32" ht="16.5" customHeight="1" x14ac:dyDescent="0.3">
      <c r="A315" s="2">
        <v>15</v>
      </c>
      <c r="B315" s="2" t="s">
        <v>973</v>
      </c>
      <c r="C315" s="60" t="s">
        <v>11229</v>
      </c>
      <c r="D315" s="1"/>
      <c r="E315" s="68"/>
      <c r="F315" s="70"/>
      <c r="G315" s="1"/>
      <c r="H315" s="68"/>
      <c r="I315" s="70"/>
      <c r="J315" s="1"/>
      <c r="K315" s="68"/>
      <c r="L315" s="70"/>
      <c r="M315" s="74"/>
      <c r="N315" s="62"/>
      <c r="O315" s="63"/>
      <c r="P315" s="83"/>
      <c r="Q315" s="64"/>
      <c r="R315" s="65"/>
      <c r="S315" s="99"/>
      <c r="T315" s="70"/>
      <c r="U315" s="99"/>
      <c r="V315" s="70"/>
      <c r="W315" s="74" t="s">
        <v>17969</v>
      </c>
      <c r="X315" s="62"/>
      <c r="Y315" s="63"/>
      <c r="Z315" s="75"/>
      <c r="AA315" s="1"/>
      <c r="AB315" s="68" t="s">
        <v>1</v>
      </c>
      <c r="AC315" s="76">
        <v>0.4</v>
      </c>
      <c r="AD315" s="70" t="s">
        <v>422</v>
      </c>
      <c r="AE315" s="228">
        <f>ROUND((ROUND((ROUND((_15_同援日１．０*(1+_15・A深夜)),0)*(1+_15・盲ろう)),0)*(1+_15・区４)),0)+ROUND((ROUND((ROUND((_15_同援日１．０＿１．０*(1+_15・B早朝)),0)*(1+_15・盲ろう)),0)*(1+_15・区４)),0)+ROUND((ROUND((_15_同援日１．０＿１．０＿０．５*(1+_15・盲ろう)),0)*(1+_15・区４)),0)</f>
        <v>1299</v>
      </c>
      <c r="AF315" s="69"/>
    </row>
    <row r="316" spans="1:32" ht="16.5" customHeight="1" x14ac:dyDescent="0.3">
      <c r="A316" s="2">
        <v>15</v>
      </c>
      <c r="B316" s="2" t="s">
        <v>974</v>
      </c>
      <c r="C316" s="60" t="s">
        <v>11228</v>
      </c>
      <c r="D316" s="1"/>
      <c r="E316" s="68"/>
      <c r="F316" s="70"/>
      <c r="G316" s="1"/>
      <c r="H316" s="68"/>
      <c r="I316" s="70"/>
      <c r="J316" s="1"/>
      <c r="K316" s="68"/>
      <c r="L316" s="70"/>
      <c r="M316" s="106"/>
      <c r="N316" s="57"/>
      <c r="O316" s="58"/>
      <c r="P316" s="83" t="s">
        <v>5895</v>
      </c>
      <c r="Q316" s="64" t="s">
        <v>1</v>
      </c>
      <c r="R316" s="65">
        <v>1</v>
      </c>
      <c r="S316" s="99"/>
      <c r="T316" s="70"/>
      <c r="U316" s="99"/>
      <c r="V316" s="70"/>
      <c r="W316" s="94" t="s">
        <v>8083</v>
      </c>
      <c r="X316" s="68"/>
      <c r="Y316" s="76"/>
      <c r="Z316" s="70"/>
      <c r="AA316" s="1"/>
      <c r="AB316" s="68"/>
      <c r="AC316" s="76"/>
      <c r="AD316" s="70"/>
      <c r="AE316" s="228">
        <f>ROUND((ROUND((ROUND((ROUND((_15_同援日１．０*_15・２人),0)*(1+_15・A深夜)),0)*(1+_15・盲ろう)),0)*(1+_15・区４)),0)+ROUND((ROUND((ROUND((ROUND((_15_同援日１．０＿１．０*_15・２人),0)*(1+_15・B早朝)),0)*(1+_15・盲ろう)),0)*(1+_15・区４)),0)+ROUND((ROUND((ROUND((_15_同援日１．０＿１．０＿０．５*_15・２人),0)*(1+_15・盲ろう)),0)*(1+_15・区４)),0)</f>
        <v>1299</v>
      </c>
      <c r="AF316" s="69"/>
    </row>
    <row r="317" spans="1:32" ht="16.5" customHeight="1" x14ac:dyDescent="0.3">
      <c r="A317" s="2">
        <v>15</v>
      </c>
      <c r="B317" s="2" t="s">
        <v>975</v>
      </c>
      <c r="C317" s="60" t="s">
        <v>11227</v>
      </c>
      <c r="D317" s="1"/>
      <c r="E317" s="68"/>
      <c r="F317" s="70"/>
      <c r="G317" s="1"/>
      <c r="H317" s="68"/>
      <c r="I317" s="70"/>
      <c r="J317" s="1"/>
      <c r="K317" s="68"/>
      <c r="L317" s="70"/>
      <c r="M317" s="74" t="s">
        <v>16912</v>
      </c>
      <c r="N317" s="62"/>
      <c r="O317" s="63"/>
      <c r="P317" s="83"/>
      <c r="Q317" s="64"/>
      <c r="R317" s="65"/>
      <c r="S317" s="99"/>
      <c r="T317" s="70"/>
      <c r="U317" s="99"/>
      <c r="V317" s="70"/>
      <c r="W317" s="94"/>
      <c r="X317" s="68" t="s">
        <v>1</v>
      </c>
      <c r="Y317" s="76">
        <v>0.25</v>
      </c>
      <c r="Z317" s="70" t="s">
        <v>422</v>
      </c>
      <c r="AA317" s="1"/>
      <c r="AB317" s="68"/>
      <c r="AC317" s="76"/>
      <c r="AD317" s="70"/>
      <c r="AE317" s="228">
        <f>ROUND((ROUND((ROUND((ROUND((_15_同援日１．０*_15・基礎２),0)*(1+_15・A深夜)),0)*(1+_15・盲ろう)),0)*(1+_15・区４)),0)+ROUND((ROUND((ROUND((ROUND((_15_同援日１．０＿１．０*_15・基礎２),0)*(1+_15・B早朝)),0)*(1+_15・盲ろう)),0)*(1+_15・区４)),0)+ROUND((ROUND((ROUND((_15_同援日１．０＿１．０＿０．５*_15・基礎２),0)*(1+_15・盲ろう)),0)*(1+_15・区４)),0)</f>
        <v>1173</v>
      </c>
      <c r="AF317" s="69"/>
    </row>
    <row r="318" spans="1:32" ht="16.5" customHeight="1" x14ac:dyDescent="0.3">
      <c r="A318" s="2">
        <v>15</v>
      </c>
      <c r="B318" s="2" t="s">
        <v>976</v>
      </c>
      <c r="C318" s="60" t="s">
        <v>11226</v>
      </c>
      <c r="D318" s="1"/>
      <c r="E318" s="68"/>
      <c r="F318" s="70"/>
      <c r="G318" s="1"/>
      <c r="H318" s="68"/>
      <c r="I318" s="70"/>
      <c r="J318" s="81"/>
      <c r="K318" s="57"/>
      <c r="L318" s="77"/>
      <c r="M318" s="106" t="s">
        <v>16916</v>
      </c>
      <c r="N318" s="57" t="s">
        <v>1</v>
      </c>
      <c r="O318" s="58">
        <v>0.9</v>
      </c>
      <c r="P318" s="83" t="s">
        <v>5895</v>
      </c>
      <c r="Q318" s="64" t="s">
        <v>1</v>
      </c>
      <c r="R318" s="65">
        <v>1</v>
      </c>
      <c r="S318" s="99"/>
      <c r="T318" s="70"/>
      <c r="U318" s="99"/>
      <c r="V318" s="70"/>
      <c r="W318" s="106"/>
      <c r="X318" s="57"/>
      <c r="Y318" s="58"/>
      <c r="Z318" s="77"/>
      <c r="AA318" s="106"/>
      <c r="AB318" s="57"/>
      <c r="AC318" s="58"/>
      <c r="AD318" s="77"/>
      <c r="AE318" s="228">
        <f>ROUND((ROUND((ROUND((ROUND((ROUND((_15_同援日１．０*_15・基礎２),0)*_15・２人),0)*(1+_15・A深夜)),0)*(1+_15・盲ろう)),0)*(1+_15・区４)),0)+ROUND((ROUND((ROUND((ROUND((ROUND((_15_同援日１．０＿１．０*_15・基礎２),0)*_15・２人),0)*(1+_15・B早朝)),0)*(1+_15・盲ろう)),0)*(1+_15・区４)),0)+ROUND((ROUND((ROUND((ROUND((_15_同援日１．０＿１．０＿０．５*_15・基礎２),0)*_15・２人),0)*(1+_15・盲ろう)),0)*(1+_15・区４)),0)</f>
        <v>1173</v>
      </c>
      <c r="AF318" s="69"/>
    </row>
    <row r="319" spans="1:32" ht="16.5" customHeight="1" x14ac:dyDescent="0.3">
      <c r="A319" s="2">
        <v>15</v>
      </c>
      <c r="B319" s="2" t="s">
        <v>977</v>
      </c>
      <c r="C319" s="60" t="s">
        <v>11225</v>
      </c>
      <c r="D319" s="1"/>
      <c r="E319" s="68"/>
      <c r="F319" s="70"/>
      <c r="G319" s="1"/>
      <c r="H319" s="68"/>
      <c r="I319" s="70"/>
      <c r="J319" s="74" t="s">
        <v>18110</v>
      </c>
      <c r="K319" s="62"/>
      <c r="L319" s="75"/>
      <c r="M319" s="74"/>
      <c r="N319" s="62"/>
      <c r="O319" s="63"/>
      <c r="P319" s="83"/>
      <c r="Q319" s="64"/>
      <c r="R319" s="65"/>
      <c r="S319" s="99"/>
      <c r="T319" s="70"/>
      <c r="U319" s="99"/>
      <c r="V319" s="70"/>
      <c r="W319" s="74"/>
      <c r="X319" s="62"/>
      <c r="Y319" s="63"/>
      <c r="Z319" s="75"/>
      <c r="AA319" s="78"/>
      <c r="AB319" s="62"/>
      <c r="AC319" s="63"/>
      <c r="AD319" s="75"/>
      <c r="AE319" s="120">
        <f>ROUND((_15_同援日１．０*(1+_15・A深夜)),0)+ROUND((_15_同援日１．０＿１．０*(1+_15・B早朝)),0)+_15_同援日１．０＿１．０＿１．０</f>
        <v>805</v>
      </c>
      <c r="AF319" s="69"/>
    </row>
    <row r="320" spans="1:32" ht="16.5" customHeight="1" x14ac:dyDescent="0.3">
      <c r="A320" s="2">
        <v>15</v>
      </c>
      <c r="B320" s="2" t="s">
        <v>978</v>
      </c>
      <c r="C320" s="60" t="s">
        <v>11224</v>
      </c>
      <c r="D320" s="1"/>
      <c r="E320" s="68"/>
      <c r="F320" s="70"/>
      <c r="G320" s="1"/>
      <c r="H320" s="68"/>
      <c r="I320" s="70"/>
      <c r="J320" s="1" t="s">
        <v>16949</v>
      </c>
      <c r="K320" s="68"/>
      <c r="L320" s="70"/>
      <c r="M320" s="106"/>
      <c r="N320" s="57"/>
      <c r="O320" s="58"/>
      <c r="P320" s="83" t="s">
        <v>5895</v>
      </c>
      <c r="Q320" s="64" t="s">
        <v>1</v>
      </c>
      <c r="R320" s="65">
        <v>1</v>
      </c>
      <c r="S320" s="99"/>
      <c r="T320" s="70"/>
      <c r="U320" s="99"/>
      <c r="V320" s="70"/>
      <c r="W320" s="94"/>
      <c r="X320" s="68"/>
      <c r="Y320" s="76"/>
      <c r="Z320" s="70"/>
      <c r="AA320" s="1"/>
      <c r="AB320" s="68"/>
      <c r="AC320" s="76"/>
      <c r="AD320" s="70"/>
      <c r="AE320" s="120">
        <f>ROUND((ROUND((_15_同援日１．０*_15・２人),0)*(1+_15・A深夜)),0)+ROUND((ROUND((_15_同援日１．０＿１．０*_15・２人),0)*(1+_15・B早朝)),0)+ROUND((_15_同援日１．０＿１．０＿１．０*_15・２人),0)</f>
        <v>805</v>
      </c>
      <c r="AF320" s="69"/>
    </row>
    <row r="321" spans="1:32" ht="16.5" customHeight="1" x14ac:dyDescent="0.3">
      <c r="A321" s="2">
        <v>15</v>
      </c>
      <c r="B321" s="2" t="s">
        <v>979</v>
      </c>
      <c r="C321" s="60" t="s">
        <v>11223</v>
      </c>
      <c r="D321" s="1"/>
      <c r="E321" s="68"/>
      <c r="F321" s="70"/>
      <c r="G321" s="1"/>
      <c r="H321" s="68"/>
      <c r="I321" s="70"/>
      <c r="J321" s="1" t="s">
        <v>8572</v>
      </c>
      <c r="K321" s="68"/>
      <c r="L321" s="70"/>
      <c r="M321" s="74" t="s">
        <v>16823</v>
      </c>
      <c r="N321" s="62"/>
      <c r="O321" s="63"/>
      <c r="P321" s="83"/>
      <c r="Q321" s="64"/>
      <c r="R321" s="65"/>
      <c r="S321" s="99"/>
      <c r="T321" s="70"/>
      <c r="U321" s="99"/>
      <c r="V321" s="70"/>
      <c r="W321" s="94"/>
      <c r="X321" s="68"/>
      <c r="Y321" s="76"/>
      <c r="Z321" s="70"/>
      <c r="AA321" s="1"/>
      <c r="AB321" s="68"/>
      <c r="AC321" s="76"/>
      <c r="AD321" s="70"/>
      <c r="AE321" s="228">
        <f>ROUND((ROUND((_15_同援日１．０*_15・基礎２),0)*(1+_15・A深夜)),0)+ROUND((ROUND((_15_同援日１．０＿１．０*_15・基礎２),0)*(1+_15・B早朝)),0)+ROUND((_15_同援日１．０＿１．０＿１．０*_15・基礎２),0)</f>
        <v>726</v>
      </c>
      <c r="AF321" s="69"/>
    </row>
    <row r="322" spans="1:32" ht="16.5" customHeight="1" x14ac:dyDescent="0.3">
      <c r="A322" s="2">
        <v>15</v>
      </c>
      <c r="B322" s="2" t="s">
        <v>980</v>
      </c>
      <c r="C322" s="60" t="s">
        <v>11222</v>
      </c>
      <c r="D322" s="1"/>
      <c r="E322" s="68"/>
      <c r="F322" s="70"/>
      <c r="G322" s="1"/>
      <c r="H322" s="68"/>
      <c r="I322" s="70"/>
      <c r="J322" s="1"/>
      <c r="K322" s="227">
        <v>126</v>
      </c>
      <c r="L322" s="70" t="s">
        <v>0</v>
      </c>
      <c r="M322" s="106" t="s">
        <v>16812</v>
      </c>
      <c r="N322" s="57" t="s">
        <v>1</v>
      </c>
      <c r="O322" s="58">
        <v>0.9</v>
      </c>
      <c r="P322" s="83" t="s">
        <v>5895</v>
      </c>
      <c r="Q322" s="64" t="s">
        <v>1</v>
      </c>
      <c r="R322" s="65">
        <v>1</v>
      </c>
      <c r="S322" s="99"/>
      <c r="T322" s="70"/>
      <c r="U322" s="99"/>
      <c r="V322" s="70"/>
      <c r="W322" s="106"/>
      <c r="X322" s="57"/>
      <c r="Y322" s="58"/>
      <c r="Z322" s="77"/>
      <c r="AA322" s="1"/>
      <c r="AB322" s="68"/>
      <c r="AC322" s="76"/>
      <c r="AD322" s="70"/>
      <c r="AE322" s="228">
        <f>ROUND((ROUND((ROUND((_15_同援日１．０*_15・基礎２),0)*_15・２人),0)*(1+_15・A深夜)),0)+ROUND((ROUND((ROUND((_15_同援日１．０＿１．０*_15・基礎２),0)*_15・２人),0)*(1+_15・B早朝)),0)+ROUND((ROUND((_15_同援日１．０＿１．０＿１．０*_15・基礎２),0)*_15・２人),0)</f>
        <v>726</v>
      </c>
      <c r="AF322" s="69"/>
    </row>
    <row r="323" spans="1:32" ht="16.5" customHeight="1" x14ac:dyDescent="0.3">
      <c r="A323" s="2">
        <v>15</v>
      </c>
      <c r="B323" s="2" t="s">
        <v>981</v>
      </c>
      <c r="C323" s="60" t="s">
        <v>11221</v>
      </c>
      <c r="D323" s="1"/>
      <c r="E323" s="68"/>
      <c r="F323" s="70"/>
      <c r="G323" s="1"/>
      <c r="H323" s="68"/>
      <c r="I323" s="70"/>
      <c r="J323" s="1"/>
      <c r="K323" s="68"/>
      <c r="L323" s="70"/>
      <c r="M323" s="74"/>
      <c r="N323" s="62"/>
      <c r="O323" s="63"/>
      <c r="P323" s="83"/>
      <c r="Q323" s="64"/>
      <c r="R323" s="65"/>
      <c r="S323" s="99"/>
      <c r="T323" s="70"/>
      <c r="U323" s="99"/>
      <c r="V323" s="70"/>
      <c r="W323" s="74" t="s">
        <v>8085</v>
      </c>
      <c r="X323" s="62"/>
      <c r="Y323" s="63"/>
      <c r="Z323" s="75"/>
      <c r="AA323" s="1"/>
      <c r="AB323" s="68"/>
      <c r="AC323" s="76"/>
      <c r="AD323" s="70"/>
      <c r="AE323" s="228">
        <f>ROUND((ROUND((_15_同援日１．０*(1+_15・A深夜)),0)*(1+_15・盲ろう)),0)+ROUND((ROUND((_15_同援日１．０＿１．０*(1+_15・B早朝)),0)*(1+_15・盲ろう)),0)+ROUND((_15_同援日１．０＿１．０＿１．０*(1+_15・盲ろう)),0)</f>
        <v>1007</v>
      </c>
      <c r="AF323" s="69"/>
    </row>
    <row r="324" spans="1:32" ht="16.5" customHeight="1" x14ac:dyDescent="0.3">
      <c r="A324" s="2">
        <v>15</v>
      </c>
      <c r="B324" s="2" t="s">
        <v>982</v>
      </c>
      <c r="C324" s="60" t="s">
        <v>11220</v>
      </c>
      <c r="D324" s="1"/>
      <c r="E324" s="68"/>
      <c r="F324" s="70"/>
      <c r="G324" s="1"/>
      <c r="H324" s="68"/>
      <c r="I324" s="70"/>
      <c r="J324" s="1"/>
      <c r="K324" s="68"/>
      <c r="L324" s="70"/>
      <c r="M324" s="106"/>
      <c r="N324" s="57"/>
      <c r="O324" s="58"/>
      <c r="P324" s="83" t="s">
        <v>5895</v>
      </c>
      <c r="Q324" s="64" t="s">
        <v>1</v>
      </c>
      <c r="R324" s="65">
        <v>1</v>
      </c>
      <c r="S324" s="99"/>
      <c r="T324" s="70"/>
      <c r="U324" s="99"/>
      <c r="V324" s="70"/>
      <c r="W324" s="94" t="s">
        <v>8083</v>
      </c>
      <c r="X324" s="68"/>
      <c r="Y324" s="76"/>
      <c r="Z324" s="70"/>
      <c r="AA324" s="1"/>
      <c r="AB324" s="68"/>
      <c r="AC324" s="76"/>
      <c r="AD324" s="70"/>
      <c r="AE324" s="228">
        <f>ROUND((ROUND((ROUND((_15_同援日１．０*_15・２人),0)*(1+_15・A深夜)),0)*(1+_15・盲ろう)),0)+ROUND((ROUND((ROUND((_15_同援日１．０＿１．０*_15・２人),0)*(1+_15・B早朝)),0)*(1+_15・盲ろう)),0)+ROUND((ROUND((_15_同援日１．０＿１．０＿１．０*_15・２人),0)*(1+_15・盲ろう)),0)</f>
        <v>1007</v>
      </c>
      <c r="AF324" s="69"/>
    </row>
    <row r="325" spans="1:32" ht="16.5" customHeight="1" x14ac:dyDescent="0.3">
      <c r="A325" s="2">
        <v>15</v>
      </c>
      <c r="B325" s="2" t="s">
        <v>983</v>
      </c>
      <c r="C325" s="60" t="s">
        <v>11219</v>
      </c>
      <c r="D325" s="1"/>
      <c r="E325" s="68"/>
      <c r="F325" s="70"/>
      <c r="G325" s="1"/>
      <c r="H325" s="68"/>
      <c r="I325" s="70"/>
      <c r="J325" s="1"/>
      <c r="K325" s="68"/>
      <c r="L325" s="70"/>
      <c r="M325" s="74" t="s">
        <v>16823</v>
      </c>
      <c r="N325" s="62"/>
      <c r="O325" s="63"/>
      <c r="P325" s="83"/>
      <c r="Q325" s="64"/>
      <c r="R325" s="65"/>
      <c r="S325" s="99"/>
      <c r="T325" s="70"/>
      <c r="U325" s="99"/>
      <c r="V325" s="70"/>
      <c r="W325" s="94"/>
      <c r="X325" s="68" t="s">
        <v>1</v>
      </c>
      <c r="Y325" s="76">
        <v>0.25</v>
      </c>
      <c r="Z325" s="70" t="s">
        <v>422</v>
      </c>
      <c r="AA325" s="1"/>
      <c r="AB325" s="68"/>
      <c r="AC325" s="76"/>
      <c r="AD325" s="70"/>
      <c r="AE325" s="228">
        <f>ROUND((ROUND((ROUND((_15_同援日１．０*_15・基礎２),0)*(1+_15・A深夜)),0)*(1+_15・盲ろう)),0)+ROUND((ROUND((ROUND((_15_同援日１．０＿１．０*_15・基礎２),0)*(1+_15・B早朝)),0)*(1+_15・盲ろう)),0)+ROUND((ROUND((_15_同援日１．０＿１．０＿１．０*_15・基礎２),0)*(1+_15・盲ろう)),0)</f>
        <v>908</v>
      </c>
      <c r="AF325" s="69"/>
    </row>
    <row r="326" spans="1:32" ht="16.5" customHeight="1" x14ac:dyDescent="0.3">
      <c r="A326" s="2">
        <v>15</v>
      </c>
      <c r="B326" s="2" t="s">
        <v>984</v>
      </c>
      <c r="C326" s="60" t="s">
        <v>11218</v>
      </c>
      <c r="D326" s="1"/>
      <c r="E326" s="68"/>
      <c r="F326" s="70"/>
      <c r="G326" s="1"/>
      <c r="H326" s="68"/>
      <c r="I326" s="70"/>
      <c r="J326" s="1"/>
      <c r="K326" s="68"/>
      <c r="L326" s="70"/>
      <c r="M326" s="106" t="s">
        <v>16916</v>
      </c>
      <c r="N326" s="57" t="s">
        <v>1</v>
      </c>
      <c r="O326" s="58">
        <v>0.9</v>
      </c>
      <c r="P326" s="83" t="s">
        <v>5895</v>
      </c>
      <c r="Q326" s="64" t="s">
        <v>1</v>
      </c>
      <c r="R326" s="65">
        <v>1</v>
      </c>
      <c r="S326" s="99"/>
      <c r="T326" s="70"/>
      <c r="U326" s="99"/>
      <c r="V326" s="70"/>
      <c r="W326" s="106"/>
      <c r="X326" s="57"/>
      <c r="Y326" s="58"/>
      <c r="Z326" s="77"/>
      <c r="AA326" s="106"/>
      <c r="AB326" s="57"/>
      <c r="AC326" s="58"/>
      <c r="AD326" s="77"/>
      <c r="AE326" s="228">
        <f>ROUND((ROUND((ROUND((ROUND((_15_同援日１．０*_15・基礎２),0)*_15・２人),0)*(1+_15・A深夜)),0)*(1+_15・盲ろう)),0)+ROUND((ROUND((ROUND((ROUND((_15_同援日１．０＿１．０*_15・基礎２),0)*_15・２人),0)*(1+_15・B早朝)),0)*(1+_15・盲ろう)),0)+ROUND((ROUND((ROUND((_15_同援日１．０＿１．０＿１．０*_15・基礎２),0)*_15・２人),0)*(1+_15・盲ろう)),0)</f>
        <v>908</v>
      </c>
      <c r="AF326" s="69"/>
    </row>
    <row r="327" spans="1:32" ht="16.5" customHeight="1" x14ac:dyDescent="0.3">
      <c r="A327" s="2">
        <v>15</v>
      </c>
      <c r="B327" s="2" t="s">
        <v>985</v>
      </c>
      <c r="C327" s="60" t="s">
        <v>11217</v>
      </c>
      <c r="D327" s="1"/>
      <c r="E327" s="68"/>
      <c r="F327" s="70"/>
      <c r="G327" s="1"/>
      <c r="H327" s="68"/>
      <c r="I327" s="70"/>
      <c r="J327" s="1"/>
      <c r="K327" s="68"/>
      <c r="L327" s="70"/>
      <c r="M327" s="74"/>
      <c r="N327" s="62"/>
      <c r="O327" s="63"/>
      <c r="P327" s="83"/>
      <c r="Q327" s="64"/>
      <c r="R327" s="65"/>
      <c r="S327" s="99"/>
      <c r="T327" s="70"/>
      <c r="U327" s="99"/>
      <c r="V327" s="70"/>
      <c r="W327" s="74"/>
      <c r="X327" s="62"/>
      <c r="Y327" s="63"/>
      <c r="Z327" s="75"/>
      <c r="AA327" s="78"/>
      <c r="AB327" s="62"/>
      <c r="AC327" s="63"/>
      <c r="AD327" s="75"/>
      <c r="AE327" s="228">
        <f>ROUND((ROUND((_15_同援日１．０*(1+_15・A深夜)),0)*(1+_15・区３)),0)+ROUND((ROUND((_15_同援日１．０＿１．０*(1+_15・B早朝)),0)*(1+_15・区３)),0)+ROUND((_15_同援日１．０＿１．０＿１．０*(1+_15・区３)),0)</f>
        <v>966</v>
      </c>
      <c r="AF327" s="69"/>
    </row>
    <row r="328" spans="1:32" ht="16.5" customHeight="1" x14ac:dyDescent="0.3">
      <c r="A328" s="2">
        <v>15</v>
      </c>
      <c r="B328" s="2" t="s">
        <v>986</v>
      </c>
      <c r="C328" s="60" t="s">
        <v>11216</v>
      </c>
      <c r="D328" s="1"/>
      <c r="E328" s="68"/>
      <c r="F328" s="70"/>
      <c r="G328" s="1"/>
      <c r="H328" s="68"/>
      <c r="I328" s="70"/>
      <c r="J328" s="1"/>
      <c r="K328" s="68"/>
      <c r="L328" s="70"/>
      <c r="M328" s="106"/>
      <c r="N328" s="57"/>
      <c r="O328" s="58"/>
      <c r="P328" s="83" t="s">
        <v>5895</v>
      </c>
      <c r="Q328" s="64" t="s">
        <v>1</v>
      </c>
      <c r="R328" s="65">
        <v>1</v>
      </c>
      <c r="S328" s="99"/>
      <c r="T328" s="70"/>
      <c r="U328" s="99"/>
      <c r="V328" s="70"/>
      <c r="W328" s="94"/>
      <c r="X328" s="68"/>
      <c r="Y328" s="76"/>
      <c r="Z328" s="70"/>
      <c r="AA328" s="1"/>
      <c r="AB328" s="68"/>
      <c r="AC328" s="76"/>
      <c r="AD328" s="70"/>
      <c r="AE328" s="228">
        <f>ROUND((ROUND((ROUND((_15_同援日１．０*_15・２人),0)*(1+_15・A深夜)),0)*(1+_15・区３)),0)+ROUND((ROUND((ROUND((_15_同援日１．０＿１．０*_15・２人),0)*(1+_15・B早朝)),0)*(1+_15・区３)),0)+ROUND((ROUND((_15_同援日１．０＿１．０＿１．０*_15・２人),0)*(1+_15・区３)),0)</f>
        <v>966</v>
      </c>
      <c r="AF328" s="69"/>
    </row>
    <row r="329" spans="1:32" ht="16.5" customHeight="1" x14ac:dyDescent="0.3">
      <c r="A329" s="2">
        <v>15</v>
      </c>
      <c r="B329" s="2" t="s">
        <v>987</v>
      </c>
      <c r="C329" s="60" t="s">
        <v>11215</v>
      </c>
      <c r="D329" s="1"/>
      <c r="E329" s="68"/>
      <c r="F329" s="70"/>
      <c r="G329" s="1"/>
      <c r="H329" s="68"/>
      <c r="I329" s="70"/>
      <c r="J329" s="1"/>
      <c r="K329" s="68"/>
      <c r="L329" s="70"/>
      <c r="M329" s="74" t="s">
        <v>16823</v>
      </c>
      <c r="N329" s="62"/>
      <c r="O329" s="63"/>
      <c r="P329" s="83"/>
      <c r="Q329" s="64"/>
      <c r="R329" s="65"/>
      <c r="S329" s="99"/>
      <c r="T329" s="70"/>
      <c r="U329" s="99"/>
      <c r="V329" s="70"/>
      <c r="W329" s="94"/>
      <c r="X329" s="68"/>
      <c r="Y329" s="76"/>
      <c r="Z329" s="70"/>
      <c r="AA329" s="1" t="s">
        <v>18101</v>
      </c>
      <c r="AB329" s="68"/>
      <c r="AC329" s="76"/>
      <c r="AD329" s="70"/>
      <c r="AE329" s="228">
        <f>ROUND((ROUND((ROUND((_15_同援日１．０*_15・基礎２),0)*(1+_15・A深夜)),0)*(1+_15・区３)),0)+ROUND((ROUND((ROUND((_15_同援日１．０＿１．０*_15・基礎２),0)*(1+_15・B早朝)),0)*(1+_15・区３)),0)+ROUND((ROUND((_15_同援日１．０＿１．０＿１．０*_15・基礎２),0)*(1+_15・区３)),0)</f>
        <v>872</v>
      </c>
      <c r="AF329" s="69"/>
    </row>
    <row r="330" spans="1:32" ht="16.5" customHeight="1" x14ac:dyDescent="0.3">
      <c r="A330" s="2">
        <v>15</v>
      </c>
      <c r="B330" s="2" t="s">
        <v>988</v>
      </c>
      <c r="C330" s="60" t="s">
        <v>11214</v>
      </c>
      <c r="D330" s="1"/>
      <c r="E330" s="68"/>
      <c r="F330" s="70"/>
      <c r="G330" s="1"/>
      <c r="H330" s="68"/>
      <c r="I330" s="70"/>
      <c r="J330" s="1"/>
      <c r="K330" s="68"/>
      <c r="L330" s="70"/>
      <c r="M330" s="106" t="s">
        <v>16812</v>
      </c>
      <c r="N330" s="57" t="s">
        <v>1</v>
      </c>
      <c r="O330" s="58">
        <v>0.9</v>
      </c>
      <c r="P330" s="83" t="s">
        <v>5895</v>
      </c>
      <c r="Q330" s="64" t="s">
        <v>1</v>
      </c>
      <c r="R330" s="65">
        <v>1</v>
      </c>
      <c r="S330" s="99"/>
      <c r="T330" s="70"/>
      <c r="U330" s="99"/>
      <c r="V330" s="70"/>
      <c r="W330" s="106"/>
      <c r="X330" s="57"/>
      <c r="Y330" s="58"/>
      <c r="Z330" s="77"/>
      <c r="AA330" s="1" t="s">
        <v>18099</v>
      </c>
      <c r="AB330" s="68"/>
      <c r="AC330" s="76"/>
      <c r="AD330" s="70"/>
      <c r="AE330" s="228">
        <f>ROUND((ROUND((ROUND((ROUND((_15_同援日１．０*_15・基礎２),0)*_15・２人),0)*(1+_15・A深夜)),0)*(1+_15・区３)),0)+ROUND((ROUND((ROUND((ROUND((_15_同援日１．０＿１．０*_15・基礎２),0)*_15・２人),0)*(1+_15・B早朝)),0)*(1+_15・区３)),0)+ROUND((ROUND((ROUND((_15_同援日１．０＿１．０＿１．０*_15・基礎２),0)*_15・２人),0)*(1+_15・区３)),0)</f>
        <v>872</v>
      </c>
      <c r="AF330" s="69"/>
    </row>
    <row r="331" spans="1:32" ht="16.5" customHeight="1" x14ac:dyDescent="0.3">
      <c r="A331" s="2">
        <v>15</v>
      </c>
      <c r="B331" s="2" t="s">
        <v>989</v>
      </c>
      <c r="C331" s="60" t="s">
        <v>11213</v>
      </c>
      <c r="D331" s="1"/>
      <c r="E331" s="68"/>
      <c r="F331" s="70"/>
      <c r="G331" s="1"/>
      <c r="H331" s="68"/>
      <c r="I331" s="70"/>
      <c r="J331" s="1"/>
      <c r="K331" s="68"/>
      <c r="L331" s="70"/>
      <c r="M331" s="74"/>
      <c r="N331" s="62"/>
      <c r="O331" s="63"/>
      <c r="P331" s="83"/>
      <c r="Q331" s="64"/>
      <c r="R331" s="65"/>
      <c r="S331" s="99"/>
      <c r="T331" s="70"/>
      <c r="U331" s="99"/>
      <c r="V331" s="70"/>
      <c r="W331" s="74" t="s">
        <v>18098</v>
      </c>
      <c r="X331" s="62"/>
      <c r="Y331" s="63"/>
      <c r="Z331" s="75"/>
      <c r="AA331" s="1"/>
      <c r="AB331" s="68" t="s">
        <v>1</v>
      </c>
      <c r="AC331" s="76">
        <v>0.2</v>
      </c>
      <c r="AD331" s="70" t="s">
        <v>422</v>
      </c>
      <c r="AE331" s="228">
        <f>ROUND((ROUND((ROUND((_15_同援日１．０*(1+_15・A深夜)),0)*(1+_15・盲ろう)),0)*(1+_15・区３)),0)+ROUND((ROUND((ROUND((_15_同援日１．０＿１．０*(1+_15・B早朝)),0)*(1+_15・盲ろう)),0)*(1+_15・区３)),0)+ROUND((ROUND((_15_同援日１．０＿１．０＿１．０*(1+_15・盲ろう)),0)*(1+_15・区３)),0)</f>
        <v>1209</v>
      </c>
      <c r="AF331" s="69"/>
    </row>
    <row r="332" spans="1:32" ht="16.5" customHeight="1" x14ac:dyDescent="0.3">
      <c r="A332" s="2">
        <v>15</v>
      </c>
      <c r="B332" s="2" t="s">
        <v>990</v>
      </c>
      <c r="C332" s="60" t="s">
        <v>11212</v>
      </c>
      <c r="D332" s="1"/>
      <c r="E332" s="68"/>
      <c r="F332" s="70"/>
      <c r="G332" s="1"/>
      <c r="H332" s="68"/>
      <c r="I332" s="70"/>
      <c r="J332" s="1"/>
      <c r="K332" s="68"/>
      <c r="L332" s="70"/>
      <c r="M332" s="106"/>
      <c r="N332" s="57"/>
      <c r="O332" s="58"/>
      <c r="P332" s="83" t="s">
        <v>5895</v>
      </c>
      <c r="Q332" s="64" t="s">
        <v>1</v>
      </c>
      <c r="R332" s="65">
        <v>1</v>
      </c>
      <c r="S332" s="99"/>
      <c r="T332" s="70"/>
      <c r="U332" s="99"/>
      <c r="V332" s="70"/>
      <c r="W332" s="94" t="s">
        <v>17968</v>
      </c>
      <c r="X332" s="68"/>
      <c r="Y332" s="76"/>
      <c r="Z332" s="70"/>
      <c r="AA332" s="1"/>
      <c r="AB332" s="68"/>
      <c r="AC332" s="76"/>
      <c r="AD332" s="70"/>
      <c r="AE332" s="228">
        <f>ROUND((ROUND((ROUND((ROUND((_15_同援日１．０*_15・２人),0)*(1+_15・A深夜)),0)*(1+_15・盲ろう)),0)*(1+_15・区３)),0)+ROUND((ROUND((ROUND((ROUND((_15_同援日１．０＿１．０*_15・２人),0)*(1+_15・B早朝)),0)*(1+_15・盲ろう)),0)*(1+_15・区３)),0)+ROUND((ROUND((ROUND((_15_同援日１．０＿１．０＿１．０*_15・２人),0)*(1+_15・盲ろう)),0)*(1+_15・区３)),0)</f>
        <v>1209</v>
      </c>
      <c r="AF332" s="69"/>
    </row>
    <row r="333" spans="1:32" ht="16.5" customHeight="1" x14ac:dyDescent="0.3">
      <c r="A333" s="2">
        <v>15</v>
      </c>
      <c r="B333" s="2" t="s">
        <v>991</v>
      </c>
      <c r="C333" s="60" t="s">
        <v>11211</v>
      </c>
      <c r="D333" s="1"/>
      <c r="E333" s="68"/>
      <c r="F333" s="70"/>
      <c r="G333" s="1"/>
      <c r="H333" s="68"/>
      <c r="I333" s="70"/>
      <c r="J333" s="1"/>
      <c r="K333" s="68"/>
      <c r="L333" s="70"/>
      <c r="M333" s="74" t="s">
        <v>16823</v>
      </c>
      <c r="N333" s="62"/>
      <c r="O333" s="63"/>
      <c r="P333" s="83"/>
      <c r="Q333" s="64"/>
      <c r="R333" s="65"/>
      <c r="S333" s="99"/>
      <c r="T333" s="70"/>
      <c r="U333" s="99"/>
      <c r="V333" s="70"/>
      <c r="W333" s="94"/>
      <c r="X333" s="68" t="s">
        <v>1</v>
      </c>
      <c r="Y333" s="76">
        <v>0.25</v>
      </c>
      <c r="Z333" s="70" t="s">
        <v>422</v>
      </c>
      <c r="AA333" s="1"/>
      <c r="AB333" s="68"/>
      <c r="AC333" s="76"/>
      <c r="AD333" s="70"/>
      <c r="AE333" s="228">
        <f>ROUND((ROUND((ROUND((ROUND((_15_同援日１．０*_15・基礎２),0)*(1+_15・A深夜)),0)*(1+_15・盲ろう)),0)*(1+_15・区３)),0)+ROUND((ROUND((ROUND((ROUND((_15_同援日１．０＿１．０*_15・基礎２),0)*(1+_15・B早朝)),0)*(1+_15・盲ろう)),0)*(1+_15・区３)),0)+ROUND((ROUND((ROUND((_15_同援日１．０＿１．０＿１．０*_15・基礎２),0)*(1+_15・盲ろう)),0)*(1+_15・区３)),0)</f>
        <v>1090</v>
      </c>
      <c r="AF333" s="69"/>
    </row>
    <row r="334" spans="1:32" ht="16.5" customHeight="1" x14ac:dyDescent="0.3">
      <c r="A334" s="2">
        <v>15</v>
      </c>
      <c r="B334" s="2" t="s">
        <v>992</v>
      </c>
      <c r="C334" s="60" t="s">
        <v>11210</v>
      </c>
      <c r="D334" s="1"/>
      <c r="E334" s="68"/>
      <c r="F334" s="70"/>
      <c r="G334" s="1"/>
      <c r="H334" s="68"/>
      <c r="I334" s="70"/>
      <c r="J334" s="1"/>
      <c r="K334" s="68"/>
      <c r="L334" s="70"/>
      <c r="M334" s="106" t="s">
        <v>16812</v>
      </c>
      <c r="N334" s="57" t="s">
        <v>1</v>
      </c>
      <c r="O334" s="58">
        <v>0.9</v>
      </c>
      <c r="P334" s="83" t="s">
        <v>5895</v>
      </c>
      <c r="Q334" s="64" t="s">
        <v>1</v>
      </c>
      <c r="R334" s="65">
        <v>1</v>
      </c>
      <c r="S334" s="99"/>
      <c r="T334" s="70"/>
      <c r="U334" s="99"/>
      <c r="V334" s="70"/>
      <c r="W334" s="106"/>
      <c r="X334" s="57"/>
      <c r="Y334" s="58"/>
      <c r="Z334" s="77"/>
      <c r="AA334" s="106"/>
      <c r="AB334" s="57"/>
      <c r="AC334" s="58"/>
      <c r="AD334" s="77"/>
      <c r="AE334" s="228">
        <f>ROUND((ROUND((ROUND((ROUND((ROUND((_15_同援日１．０*_15・基礎２),0)*_15・２人),0)*(1+_15・A深夜)),0)*(1+_15・盲ろう)),0)*(1+_15・区３)),0)+ROUND((ROUND((ROUND((ROUND((ROUND((_15_同援日１．０＿１．０*_15・基礎２),0)*_15・２人),0)*(1+_15・B早朝)),0)*(1+_15・盲ろう)),0)*(1+_15・区３)),0)+ROUND((ROUND((ROUND((ROUND((_15_同援日１．０＿１．０＿１．０*_15・基礎２),0)*_15・２人),0)*(1+_15・盲ろう)),0)*(1+_15・区３)),0)</f>
        <v>1090</v>
      </c>
      <c r="AF334" s="69"/>
    </row>
    <row r="335" spans="1:32" ht="16.5" customHeight="1" x14ac:dyDescent="0.3">
      <c r="A335" s="2">
        <v>15</v>
      </c>
      <c r="B335" s="2" t="s">
        <v>993</v>
      </c>
      <c r="C335" s="60" t="s">
        <v>11209</v>
      </c>
      <c r="D335" s="1"/>
      <c r="E335" s="68"/>
      <c r="F335" s="70"/>
      <c r="G335" s="1"/>
      <c r="H335" s="68"/>
      <c r="I335" s="70"/>
      <c r="J335" s="1"/>
      <c r="K335" s="68"/>
      <c r="L335" s="70"/>
      <c r="M335" s="74"/>
      <c r="N335" s="62"/>
      <c r="O335" s="63"/>
      <c r="P335" s="83"/>
      <c r="Q335" s="64"/>
      <c r="R335" s="65"/>
      <c r="S335" s="99"/>
      <c r="T335" s="70"/>
      <c r="U335" s="99"/>
      <c r="V335" s="70"/>
      <c r="W335" s="74"/>
      <c r="X335" s="62"/>
      <c r="Y335" s="63"/>
      <c r="Z335" s="75"/>
      <c r="AA335" s="78"/>
      <c r="AB335" s="62"/>
      <c r="AC335" s="63"/>
      <c r="AD335" s="75"/>
      <c r="AE335" s="228">
        <f>ROUND((ROUND((_15_同援日１．０*(1+_15・A深夜)),0)*(1+_15・区４)),0)+ROUND((ROUND((_15_同援日１．０＿１．０*(1+_15・B早朝)),0)*(1+_15・区４)),0)+ROUND((_15_同援日１．０＿１．０＿１．０*(1+_15・区４)),0)</f>
        <v>1126</v>
      </c>
      <c r="AF335" s="69"/>
    </row>
    <row r="336" spans="1:32" ht="16.5" customHeight="1" x14ac:dyDescent="0.3">
      <c r="A336" s="2">
        <v>15</v>
      </c>
      <c r="B336" s="2" t="s">
        <v>994</v>
      </c>
      <c r="C336" s="60" t="s">
        <v>11208</v>
      </c>
      <c r="D336" s="1"/>
      <c r="E336" s="68"/>
      <c r="F336" s="70"/>
      <c r="G336" s="1"/>
      <c r="H336" s="68"/>
      <c r="I336" s="70"/>
      <c r="J336" s="1"/>
      <c r="K336" s="68"/>
      <c r="L336" s="70"/>
      <c r="M336" s="106"/>
      <c r="N336" s="57"/>
      <c r="O336" s="58"/>
      <c r="P336" s="83" t="s">
        <v>5895</v>
      </c>
      <c r="Q336" s="64" t="s">
        <v>1</v>
      </c>
      <c r="R336" s="65">
        <v>1</v>
      </c>
      <c r="S336" s="99"/>
      <c r="T336" s="70"/>
      <c r="U336" s="99"/>
      <c r="V336" s="70"/>
      <c r="W336" s="94"/>
      <c r="X336" s="68"/>
      <c r="Y336" s="76"/>
      <c r="Z336" s="70"/>
      <c r="AA336" s="1"/>
      <c r="AB336" s="68"/>
      <c r="AC336" s="76"/>
      <c r="AD336" s="70"/>
      <c r="AE336" s="228">
        <f>ROUND((ROUND((ROUND((_15_同援日１．０*_15・２人),0)*(1+_15・A深夜)),0)*(1+_15・区４)),0)+ROUND((ROUND((ROUND((_15_同援日１．０＿１．０*_15・２人),0)*(1+_15・B早朝)),0)*(1+_15・区４)),0)+ROUND((ROUND((_15_同援日１．０＿１．０＿１．０*_15・２人),0)*(1+_15・区４)),0)</f>
        <v>1126</v>
      </c>
      <c r="AF336" s="69"/>
    </row>
    <row r="337" spans="1:32" ht="16.5" customHeight="1" x14ac:dyDescent="0.3">
      <c r="A337" s="2">
        <v>15</v>
      </c>
      <c r="B337" s="2" t="s">
        <v>995</v>
      </c>
      <c r="C337" s="60" t="s">
        <v>11207</v>
      </c>
      <c r="D337" s="1"/>
      <c r="E337" s="68"/>
      <c r="F337" s="70"/>
      <c r="G337" s="1"/>
      <c r="H337" s="68"/>
      <c r="I337" s="70"/>
      <c r="J337" s="1"/>
      <c r="K337" s="68"/>
      <c r="L337" s="70"/>
      <c r="M337" s="74" t="s">
        <v>16823</v>
      </c>
      <c r="N337" s="62"/>
      <c r="O337" s="63"/>
      <c r="P337" s="83"/>
      <c r="Q337" s="64"/>
      <c r="R337" s="65"/>
      <c r="S337" s="99"/>
      <c r="T337" s="70"/>
      <c r="U337" s="99"/>
      <c r="V337" s="70"/>
      <c r="W337" s="94"/>
      <c r="X337" s="68"/>
      <c r="Y337" s="76"/>
      <c r="Z337" s="70"/>
      <c r="AA337" s="1" t="s">
        <v>17971</v>
      </c>
      <c r="AB337" s="68"/>
      <c r="AC337" s="76"/>
      <c r="AD337" s="70"/>
      <c r="AE337" s="228">
        <f>ROUND((ROUND((ROUND((_15_同援日１．０*_15・基礎２),0)*(1+_15・A深夜)),0)*(1+_15・区４)),0)+ROUND((ROUND((ROUND((_15_同援日１．０＿１．０*_15・基礎２),0)*(1+_15・B早朝)),0)*(1+_15・区４)),0)+ROUND((ROUND((_15_同援日１．０＿１．０＿１．０*_15・基礎２),0)*(1+_15・区４)),0)</f>
        <v>1016</v>
      </c>
      <c r="AF337" s="69"/>
    </row>
    <row r="338" spans="1:32" ht="16.5" customHeight="1" x14ac:dyDescent="0.3">
      <c r="A338" s="2">
        <v>15</v>
      </c>
      <c r="B338" s="2" t="s">
        <v>996</v>
      </c>
      <c r="C338" s="60" t="s">
        <v>11206</v>
      </c>
      <c r="D338" s="1"/>
      <c r="E338" s="68"/>
      <c r="F338" s="70"/>
      <c r="G338" s="1"/>
      <c r="H338" s="68"/>
      <c r="I338" s="70"/>
      <c r="J338" s="1"/>
      <c r="K338" s="68"/>
      <c r="L338" s="70"/>
      <c r="M338" s="106" t="s">
        <v>18109</v>
      </c>
      <c r="N338" s="57" t="s">
        <v>1</v>
      </c>
      <c r="O338" s="58">
        <v>0.9</v>
      </c>
      <c r="P338" s="83" t="s">
        <v>5895</v>
      </c>
      <c r="Q338" s="64" t="s">
        <v>1</v>
      </c>
      <c r="R338" s="65">
        <v>1</v>
      </c>
      <c r="S338" s="99"/>
      <c r="T338" s="70"/>
      <c r="U338" s="99"/>
      <c r="V338" s="70"/>
      <c r="W338" s="106"/>
      <c r="X338" s="57"/>
      <c r="Y338" s="58"/>
      <c r="Z338" s="77"/>
      <c r="AA338" s="1" t="s">
        <v>17970</v>
      </c>
      <c r="AB338" s="68"/>
      <c r="AC338" s="76"/>
      <c r="AD338" s="70"/>
      <c r="AE338" s="228">
        <f>ROUND((ROUND((ROUND((ROUND((_15_同援日１．０*_15・基礎２),0)*_15・２人),0)*(1+_15・A深夜)),0)*(1+_15・区４)),0)+ROUND((ROUND((ROUND((ROUND((_15_同援日１．０＿１．０*_15・基礎２),0)*_15・２人),0)*(1+_15・B早朝)),0)*(1+_15・区４)),0)+ROUND((ROUND((ROUND((_15_同援日１．０＿１．０＿１．０*_15・基礎２),0)*_15・２人),0)*(1+_15・区４)),0)</f>
        <v>1016</v>
      </c>
      <c r="AF338" s="69"/>
    </row>
    <row r="339" spans="1:32" ht="16.5" customHeight="1" x14ac:dyDescent="0.3">
      <c r="A339" s="2">
        <v>15</v>
      </c>
      <c r="B339" s="2" t="s">
        <v>997</v>
      </c>
      <c r="C339" s="60" t="s">
        <v>11205</v>
      </c>
      <c r="D339" s="1"/>
      <c r="E339" s="68"/>
      <c r="F339" s="70"/>
      <c r="G339" s="1"/>
      <c r="H339" s="68"/>
      <c r="I339" s="70"/>
      <c r="J339" s="1"/>
      <c r="K339" s="68"/>
      <c r="L339" s="70"/>
      <c r="M339" s="74"/>
      <c r="N339" s="62"/>
      <c r="O339" s="63"/>
      <c r="P339" s="83"/>
      <c r="Q339" s="64"/>
      <c r="R339" s="65"/>
      <c r="S339" s="99"/>
      <c r="T339" s="70"/>
      <c r="U339" s="99"/>
      <c r="V339" s="70"/>
      <c r="W339" s="74" t="s">
        <v>18098</v>
      </c>
      <c r="X339" s="62"/>
      <c r="Y339" s="63"/>
      <c r="Z339" s="75"/>
      <c r="AA339" s="1"/>
      <c r="AB339" s="68" t="s">
        <v>1</v>
      </c>
      <c r="AC339" s="76">
        <v>0.4</v>
      </c>
      <c r="AD339" s="70" t="s">
        <v>422</v>
      </c>
      <c r="AE339" s="228">
        <f>ROUND((ROUND((ROUND((_15_同援日１．０*(1+_15・A深夜)),0)*(1+_15・盲ろう)),0)*(1+_15・区４)),0)+ROUND((ROUND((ROUND((_15_同援日１．０＿１．０*(1+_15・B早朝)),0)*(1+_15・盲ろう)),0)*(1+_15・区４)),0)+ROUND((ROUND((_15_同援日１．０＿１．０＿１．０*(1+_15・盲ろう)),0)*(1+_15・区４)),0)</f>
        <v>1409</v>
      </c>
      <c r="AF339" s="69"/>
    </row>
    <row r="340" spans="1:32" ht="16.5" customHeight="1" x14ac:dyDescent="0.3">
      <c r="A340" s="2">
        <v>15</v>
      </c>
      <c r="B340" s="2" t="s">
        <v>998</v>
      </c>
      <c r="C340" s="60" t="s">
        <v>11204</v>
      </c>
      <c r="D340" s="1"/>
      <c r="E340" s="68"/>
      <c r="F340" s="70"/>
      <c r="G340" s="1"/>
      <c r="H340" s="68"/>
      <c r="I340" s="70"/>
      <c r="J340" s="1"/>
      <c r="K340" s="68"/>
      <c r="L340" s="70"/>
      <c r="M340" s="106"/>
      <c r="N340" s="57"/>
      <c r="O340" s="58"/>
      <c r="P340" s="83" t="s">
        <v>5895</v>
      </c>
      <c r="Q340" s="64" t="s">
        <v>1</v>
      </c>
      <c r="R340" s="65">
        <v>1</v>
      </c>
      <c r="S340" s="99"/>
      <c r="T340" s="70"/>
      <c r="U340" s="99"/>
      <c r="V340" s="70"/>
      <c r="W340" s="94" t="s">
        <v>17968</v>
      </c>
      <c r="X340" s="68"/>
      <c r="Y340" s="76"/>
      <c r="Z340" s="70"/>
      <c r="AA340" s="1"/>
      <c r="AB340" s="68"/>
      <c r="AC340" s="76"/>
      <c r="AD340" s="70"/>
      <c r="AE340" s="228">
        <f>ROUND((ROUND((ROUND((ROUND((_15_同援日１．０*_15・２人),0)*(1+_15・A深夜)),0)*(1+_15・盲ろう)),0)*(1+_15・区４)),0)+ROUND((ROUND((ROUND((ROUND((_15_同援日１．０＿１．０*_15・２人),0)*(1+_15・B早朝)),0)*(1+_15・盲ろう)),0)*(1+_15・区４)),0)+ROUND((ROUND((ROUND((_15_同援日１．０＿１．０＿１．０*_15・２人),0)*(1+_15・盲ろう)),0)*(1+_15・区４)),0)</f>
        <v>1409</v>
      </c>
      <c r="AF340" s="69"/>
    </row>
    <row r="341" spans="1:32" ht="16.5" customHeight="1" x14ac:dyDescent="0.3">
      <c r="A341" s="2">
        <v>15</v>
      </c>
      <c r="B341" s="2" t="s">
        <v>999</v>
      </c>
      <c r="C341" s="60" t="s">
        <v>11203</v>
      </c>
      <c r="D341" s="1"/>
      <c r="E341" s="68"/>
      <c r="F341" s="70"/>
      <c r="G341" s="1"/>
      <c r="H341" s="68"/>
      <c r="I341" s="70"/>
      <c r="J341" s="1"/>
      <c r="K341" s="68"/>
      <c r="L341" s="70"/>
      <c r="M341" s="74" t="s">
        <v>5898</v>
      </c>
      <c r="N341" s="62"/>
      <c r="O341" s="63"/>
      <c r="P341" s="83"/>
      <c r="Q341" s="64"/>
      <c r="R341" s="65"/>
      <c r="S341" s="99"/>
      <c r="T341" s="70"/>
      <c r="U341" s="99"/>
      <c r="V341" s="70"/>
      <c r="W341" s="94"/>
      <c r="X341" s="68" t="s">
        <v>1</v>
      </c>
      <c r="Y341" s="76">
        <v>0.25</v>
      </c>
      <c r="Z341" s="70" t="s">
        <v>422</v>
      </c>
      <c r="AA341" s="1"/>
      <c r="AB341" s="68"/>
      <c r="AC341" s="76"/>
      <c r="AD341" s="70"/>
      <c r="AE341" s="228">
        <f>ROUND((ROUND((ROUND((ROUND((_15_同援日１．０*_15・基礎２),0)*(1+_15・A深夜)),0)*(1+_15・盲ろう)),0)*(1+_15・区４)),0)+ROUND((ROUND((ROUND((ROUND((_15_同援日１．０＿１．０*_15・基礎２),0)*(1+_15・B早朝)),0)*(1+_15・盲ろう)),0)*(1+_15・区４)),0)+ROUND((ROUND((ROUND((_15_同援日１．０＿１．０＿１．０*_15・基礎２),0)*(1+_15・盲ろう)),0)*(1+_15・区４)),0)</f>
        <v>1271</v>
      </c>
      <c r="AF341" s="69"/>
    </row>
    <row r="342" spans="1:32" ht="16.5" customHeight="1" x14ac:dyDescent="0.3">
      <c r="A342" s="2">
        <v>15</v>
      </c>
      <c r="B342" s="2" t="s">
        <v>1000</v>
      </c>
      <c r="C342" s="60" t="s">
        <v>11202</v>
      </c>
      <c r="D342" s="1"/>
      <c r="E342" s="68"/>
      <c r="F342" s="70"/>
      <c r="G342" s="81"/>
      <c r="H342" s="57"/>
      <c r="I342" s="77"/>
      <c r="J342" s="81"/>
      <c r="K342" s="57"/>
      <c r="L342" s="77"/>
      <c r="M342" s="106" t="s">
        <v>18109</v>
      </c>
      <c r="N342" s="57" t="s">
        <v>1</v>
      </c>
      <c r="O342" s="58">
        <v>0.9</v>
      </c>
      <c r="P342" s="83" t="s">
        <v>5895</v>
      </c>
      <c r="Q342" s="64" t="s">
        <v>1</v>
      </c>
      <c r="R342" s="65">
        <v>1</v>
      </c>
      <c r="S342" s="99"/>
      <c r="T342" s="70"/>
      <c r="U342" s="99"/>
      <c r="V342" s="70"/>
      <c r="W342" s="106"/>
      <c r="X342" s="57"/>
      <c r="Y342" s="58"/>
      <c r="Z342" s="77"/>
      <c r="AA342" s="106"/>
      <c r="AB342" s="57"/>
      <c r="AC342" s="58"/>
      <c r="AD342" s="77"/>
      <c r="AE342" s="228">
        <f>ROUND((ROUND((ROUND((ROUND((ROUND((_15_同援日１．０*_15・基礎２),0)*_15・２人),0)*(1+_15・A深夜)),0)*(1+_15・盲ろう)),0)*(1+_15・区４)),0)+ROUND((ROUND((ROUND((ROUND((ROUND((_15_同援日１．０＿１．０*_15・基礎２),0)*_15・２人),0)*(1+_15・B早朝)),0)*(1+_15・盲ろう)),0)*(1+_15・区４)),0)+ROUND((ROUND((ROUND((ROUND((_15_同援日１．０＿１．０＿１．０*_15・基礎２),0)*_15・２人),0)*(1+_15・盲ろう)),0)*(1+_15・区４)),0)</f>
        <v>1271</v>
      </c>
      <c r="AF342" s="69"/>
    </row>
    <row r="343" spans="1:32" ht="16.5" customHeight="1" x14ac:dyDescent="0.3">
      <c r="A343" s="2">
        <v>15</v>
      </c>
      <c r="B343" s="2" t="s">
        <v>1001</v>
      </c>
      <c r="C343" s="60" t="s">
        <v>11201</v>
      </c>
      <c r="D343" s="1"/>
      <c r="E343" s="68"/>
      <c r="F343" s="70"/>
      <c r="G343" s="233" t="s">
        <v>18108</v>
      </c>
      <c r="H343" s="62"/>
      <c r="I343" s="75"/>
      <c r="J343" s="74" t="s">
        <v>11200</v>
      </c>
      <c r="K343" s="62"/>
      <c r="L343" s="75"/>
      <c r="M343" s="74"/>
      <c r="N343" s="62"/>
      <c r="O343" s="63"/>
      <c r="P343" s="83"/>
      <c r="Q343" s="64"/>
      <c r="R343" s="65"/>
      <c r="S343" s="99"/>
      <c r="T343" s="70"/>
      <c r="U343" s="99"/>
      <c r="V343" s="70"/>
      <c r="W343" s="74"/>
      <c r="X343" s="62"/>
      <c r="Y343" s="63"/>
      <c r="Z343" s="75"/>
      <c r="AA343" s="78"/>
      <c r="AB343" s="62"/>
      <c r="AC343" s="63"/>
      <c r="AD343" s="75"/>
      <c r="AE343" s="228">
        <f>ROUND((_15_同援日１．０*(1+_15・A深夜)),0)+ROUND((_15_同援日１．０＿１．５*(1+_15・B早朝)),0)+_15_同援日１．０＿１．５＿０．５</f>
        <v>821</v>
      </c>
      <c r="AF343" s="69"/>
    </row>
    <row r="344" spans="1:32" ht="16.5" customHeight="1" x14ac:dyDescent="0.3">
      <c r="A344" s="2">
        <v>15</v>
      </c>
      <c r="B344" s="2" t="s">
        <v>1002</v>
      </c>
      <c r="C344" s="60" t="s">
        <v>11199</v>
      </c>
      <c r="D344" s="1"/>
      <c r="E344" s="68"/>
      <c r="F344" s="70"/>
      <c r="G344" s="1" t="s">
        <v>16944</v>
      </c>
      <c r="H344" s="68"/>
      <c r="I344" s="70"/>
      <c r="J344" s="1" t="s">
        <v>7928</v>
      </c>
      <c r="K344" s="68"/>
      <c r="L344" s="70"/>
      <c r="M344" s="106"/>
      <c r="N344" s="57"/>
      <c r="O344" s="58"/>
      <c r="P344" s="83" t="s">
        <v>5895</v>
      </c>
      <c r="Q344" s="64" t="s">
        <v>1</v>
      </c>
      <c r="R344" s="65">
        <v>1</v>
      </c>
      <c r="S344" s="99"/>
      <c r="T344" s="70"/>
      <c r="U344" s="99"/>
      <c r="V344" s="70"/>
      <c r="W344" s="94"/>
      <c r="X344" s="68"/>
      <c r="Y344" s="76"/>
      <c r="Z344" s="70"/>
      <c r="AA344" s="1"/>
      <c r="AB344" s="68"/>
      <c r="AC344" s="76"/>
      <c r="AD344" s="70"/>
      <c r="AE344" s="228">
        <f>ROUND((ROUND((_15_同援日１．０*_15・２人),0)*(1+_15・A深夜)),0)+ROUND((ROUND((_15_同援日１．０＿１．５*_15・２人),0)*(1+_15・B早朝)),0)+ROUND((_15_同援日１．０＿１．５＿０．５*_15・２人),0)</f>
        <v>821</v>
      </c>
      <c r="AF344" s="69"/>
    </row>
    <row r="345" spans="1:32" ht="16.5" customHeight="1" x14ac:dyDescent="0.3">
      <c r="A345" s="2">
        <v>15</v>
      </c>
      <c r="B345" s="2" t="s">
        <v>1003</v>
      </c>
      <c r="C345" s="60" t="s">
        <v>11198</v>
      </c>
      <c r="D345" s="1"/>
      <c r="E345" s="68"/>
      <c r="F345" s="70"/>
      <c r="G345" s="1" t="s">
        <v>8767</v>
      </c>
      <c r="H345" s="68"/>
      <c r="I345" s="70"/>
      <c r="J345" s="1"/>
      <c r="K345" s="68"/>
      <c r="L345" s="70"/>
      <c r="M345" s="74" t="s">
        <v>5898</v>
      </c>
      <c r="N345" s="62"/>
      <c r="O345" s="63"/>
      <c r="P345" s="83"/>
      <c r="Q345" s="64"/>
      <c r="R345" s="65"/>
      <c r="S345" s="99"/>
      <c r="T345" s="70"/>
      <c r="U345" s="99"/>
      <c r="V345" s="70"/>
      <c r="W345" s="94"/>
      <c r="X345" s="68"/>
      <c r="Y345" s="76"/>
      <c r="Z345" s="70"/>
      <c r="AA345" s="1"/>
      <c r="AB345" s="68"/>
      <c r="AC345" s="76"/>
      <c r="AD345" s="70"/>
      <c r="AE345" s="228">
        <f>ROUND((ROUND((_15_同援日１．０*_15・基礎２),0)*(1+_15・A深夜)),0)+ROUND((ROUND((_15_同援日１．０＿１．５*_15・基礎２),0)*(1+_15・B早朝)),0)+ROUND((_15_同援日１．０＿１．５＿０．５*_15・基礎２),0)</f>
        <v>740</v>
      </c>
      <c r="AF345" s="69"/>
    </row>
    <row r="346" spans="1:32" ht="16.5" customHeight="1" x14ac:dyDescent="0.3">
      <c r="A346" s="2">
        <v>15</v>
      </c>
      <c r="B346" s="2" t="s">
        <v>1004</v>
      </c>
      <c r="C346" s="60" t="s">
        <v>11197</v>
      </c>
      <c r="D346" s="1"/>
      <c r="E346" s="68"/>
      <c r="F346" s="70"/>
      <c r="G346" s="1"/>
      <c r="H346" s="227">
        <v>256</v>
      </c>
      <c r="I346" s="70" t="s">
        <v>0</v>
      </c>
      <c r="J346" s="1"/>
      <c r="K346" s="227">
        <v>63</v>
      </c>
      <c r="L346" s="70" t="s">
        <v>0</v>
      </c>
      <c r="M346" s="106" t="s">
        <v>16916</v>
      </c>
      <c r="N346" s="57" t="s">
        <v>1</v>
      </c>
      <c r="O346" s="58">
        <v>0.9</v>
      </c>
      <c r="P346" s="83" t="s">
        <v>5895</v>
      </c>
      <c r="Q346" s="64" t="s">
        <v>1</v>
      </c>
      <c r="R346" s="65">
        <v>1</v>
      </c>
      <c r="S346" s="99"/>
      <c r="T346" s="70"/>
      <c r="U346" s="99"/>
      <c r="V346" s="70"/>
      <c r="W346" s="106"/>
      <c r="X346" s="57"/>
      <c r="Y346" s="58"/>
      <c r="Z346" s="77"/>
      <c r="AA346" s="1"/>
      <c r="AB346" s="68"/>
      <c r="AC346" s="76"/>
      <c r="AD346" s="70"/>
      <c r="AE346" s="228">
        <f>ROUND((ROUND((ROUND((_15_同援日１．０*_15・基礎２),0)*_15・２人),0)*(1+_15・A深夜)),0)+ROUND((ROUND((ROUND((_15_同援日１．０＿１．５*_15・基礎２),0)*_15・２人),0)*(1+_15・B早朝)),0)+ROUND((ROUND((_15_同援日１．０＿１．５＿０．５*_15・基礎２),0)*_15・２人),0)</f>
        <v>740</v>
      </c>
      <c r="AF346" s="69"/>
    </row>
    <row r="347" spans="1:32" ht="16.5" customHeight="1" x14ac:dyDescent="0.3">
      <c r="A347" s="2">
        <v>15</v>
      </c>
      <c r="B347" s="2" t="s">
        <v>1005</v>
      </c>
      <c r="C347" s="60" t="s">
        <v>11196</v>
      </c>
      <c r="D347" s="1"/>
      <c r="E347" s="68"/>
      <c r="F347" s="70"/>
      <c r="G347" s="1"/>
      <c r="H347" s="68"/>
      <c r="I347" s="70"/>
      <c r="J347" s="1"/>
      <c r="K347" s="68"/>
      <c r="L347" s="70"/>
      <c r="M347" s="74"/>
      <c r="N347" s="62"/>
      <c r="O347" s="63"/>
      <c r="P347" s="83"/>
      <c r="Q347" s="64"/>
      <c r="R347" s="65"/>
      <c r="S347" s="99"/>
      <c r="T347" s="70"/>
      <c r="U347" s="99"/>
      <c r="V347" s="70"/>
      <c r="W347" s="74" t="s">
        <v>18098</v>
      </c>
      <c r="X347" s="62"/>
      <c r="Y347" s="63"/>
      <c r="Z347" s="75"/>
      <c r="AA347" s="1"/>
      <c r="AB347" s="68"/>
      <c r="AC347" s="76"/>
      <c r="AD347" s="70"/>
      <c r="AE347" s="228">
        <f>ROUND((ROUND((_15_同援日１．０*(1+_15・A深夜)),0)*(1+_15・盲ろう)),0)+ROUND((ROUND((_15_同援日１．０＿１．５*(1+_15・B早朝)),0)*(1+_15・盲ろう)),0)+ROUND((_15_同援日１．０＿１．５＿０．５*(1+_15・盲ろう)),0)</f>
        <v>1027</v>
      </c>
      <c r="AF347" s="69"/>
    </row>
    <row r="348" spans="1:32" ht="16.5" customHeight="1" x14ac:dyDescent="0.3">
      <c r="A348" s="2">
        <v>15</v>
      </c>
      <c r="B348" s="2" t="s">
        <v>1006</v>
      </c>
      <c r="C348" s="60" t="s">
        <v>11195</v>
      </c>
      <c r="D348" s="1"/>
      <c r="E348" s="68"/>
      <c r="F348" s="70"/>
      <c r="G348" s="1"/>
      <c r="H348" s="68"/>
      <c r="I348" s="70"/>
      <c r="J348" s="1"/>
      <c r="K348" s="68"/>
      <c r="L348" s="70"/>
      <c r="M348" s="106"/>
      <c r="N348" s="57"/>
      <c r="O348" s="58"/>
      <c r="P348" s="83" t="s">
        <v>5895</v>
      </c>
      <c r="Q348" s="64" t="s">
        <v>1</v>
      </c>
      <c r="R348" s="65">
        <v>1</v>
      </c>
      <c r="S348" s="99"/>
      <c r="T348" s="70"/>
      <c r="U348" s="99"/>
      <c r="V348" s="70"/>
      <c r="W348" s="94" t="s">
        <v>18097</v>
      </c>
      <c r="X348" s="68"/>
      <c r="Y348" s="76"/>
      <c r="Z348" s="70"/>
      <c r="AA348" s="1"/>
      <c r="AB348" s="68"/>
      <c r="AC348" s="76"/>
      <c r="AD348" s="70"/>
      <c r="AE348" s="228">
        <f>ROUND((ROUND((ROUND((_15_同援日１．０*_15・２人),0)*(1+_15・A深夜)),0)*(1+_15・盲ろう)),0)+ROUND((ROUND((ROUND((_15_同援日１．０＿１．５*_15・２人),0)*(1+_15・B早朝)),0)*(1+_15・盲ろう)),0)+ROUND((ROUND((_15_同援日１．０＿１．５＿０．５*_15・２人),0)*(1+_15・盲ろう)),0)</f>
        <v>1027</v>
      </c>
      <c r="AF348" s="69"/>
    </row>
    <row r="349" spans="1:32" ht="16.5" customHeight="1" x14ac:dyDescent="0.3">
      <c r="A349" s="2">
        <v>15</v>
      </c>
      <c r="B349" s="2" t="s">
        <v>1007</v>
      </c>
      <c r="C349" s="60" t="s">
        <v>11194</v>
      </c>
      <c r="D349" s="1"/>
      <c r="E349" s="68"/>
      <c r="F349" s="70"/>
      <c r="G349" s="1"/>
      <c r="H349" s="68"/>
      <c r="I349" s="70"/>
      <c r="J349" s="1"/>
      <c r="K349" s="68"/>
      <c r="L349" s="70"/>
      <c r="M349" s="74" t="s">
        <v>16823</v>
      </c>
      <c r="N349" s="62"/>
      <c r="O349" s="63"/>
      <c r="P349" s="83"/>
      <c r="Q349" s="64"/>
      <c r="R349" s="65"/>
      <c r="S349" s="99"/>
      <c r="T349" s="70"/>
      <c r="U349" s="99"/>
      <c r="V349" s="70"/>
      <c r="W349" s="94"/>
      <c r="X349" s="68" t="s">
        <v>1</v>
      </c>
      <c r="Y349" s="76">
        <v>0.25</v>
      </c>
      <c r="Z349" s="70" t="s">
        <v>422</v>
      </c>
      <c r="AA349" s="1"/>
      <c r="AB349" s="68"/>
      <c r="AC349" s="76"/>
      <c r="AD349" s="70"/>
      <c r="AE349" s="228">
        <f>ROUND((ROUND((ROUND((_15_同援日１．０*_15・基礎２),0)*(1+_15・A深夜)),0)*(1+_15・盲ろう)),0)+ROUND((ROUND((ROUND((_15_同援日１．０＿１．５*_15・基礎２),0)*(1+_15・B早朝)),0)*(1+_15・盲ろう)),0)+ROUND((ROUND((_15_同援日１．０＿１．５＿０．５*_15・基礎２),0)*(1+_15・盲ろう)),0)</f>
        <v>925</v>
      </c>
      <c r="AF349" s="69"/>
    </row>
    <row r="350" spans="1:32" ht="16.5" customHeight="1" x14ac:dyDescent="0.3">
      <c r="A350" s="2">
        <v>15</v>
      </c>
      <c r="B350" s="2" t="s">
        <v>1008</v>
      </c>
      <c r="C350" s="60" t="s">
        <v>11193</v>
      </c>
      <c r="D350" s="1"/>
      <c r="E350" s="68"/>
      <c r="F350" s="70"/>
      <c r="G350" s="1"/>
      <c r="H350" s="68"/>
      <c r="I350" s="70"/>
      <c r="J350" s="1"/>
      <c r="K350" s="68"/>
      <c r="L350" s="70"/>
      <c r="M350" s="106" t="s">
        <v>16812</v>
      </c>
      <c r="N350" s="57" t="s">
        <v>1</v>
      </c>
      <c r="O350" s="58">
        <v>0.9</v>
      </c>
      <c r="P350" s="83" t="s">
        <v>5895</v>
      </c>
      <c r="Q350" s="64" t="s">
        <v>1</v>
      </c>
      <c r="R350" s="65">
        <v>1</v>
      </c>
      <c r="S350" s="99"/>
      <c r="T350" s="70"/>
      <c r="U350" s="99"/>
      <c r="V350" s="70"/>
      <c r="W350" s="106"/>
      <c r="X350" s="57"/>
      <c r="Y350" s="58"/>
      <c r="Z350" s="77"/>
      <c r="AA350" s="106"/>
      <c r="AB350" s="57"/>
      <c r="AC350" s="58"/>
      <c r="AD350" s="77"/>
      <c r="AE350" s="228">
        <f>ROUND((ROUND((ROUND((ROUND((_15_同援日１．０*_15・基礎２),0)*_15・２人),0)*(1+_15・A深夜)),0)*(1+_15・盲ろう)),0)+ROUND((ROUND((ROUND((ROUND((_15_同援日１．０＿１．５*_15・基礎２),0)*_15・２人),0)*(1+_15・B早朝)),0)*(1+_15・盲ろう)),0)+ROUND((ROUND((ROUND((_15_同援日１．０＿１．５＿０．５*_15・基礎２),0)*_15・２人),0)*(1+_15・盲ろう)),0)</f>
        <v>925</v>
      </c>
      <c r="AF350" s="69"/>
    </row>
    <row r="351" spans="1:32" ht="16.5" customHeight="1" x14ac:dyDescent="0.3">
      <c r="A351" s="2">
        <v>15</v>
      </c>
      <c r="B351" s="2" t="s">
        <v>1009</v>
      </c>
      <c r="C351" s="60" t="s">
        <v>11192</v>
      </c>
      <c r="D351" s="1"/>
      <c r="E351" s="68"/>
      <c r="F351" s="70"/>
      <c r="G351" s="1"/>
      <c r="H351" s="68"/>
      <c r="I351" s="70"/>
      <c r="J351" s="1"/>
      <c r="K351" s="68"/>
      <c r="L351" s="70"/>
      <c r="M351" s="74"/>
      <c r="N351" s="62"/>
      <c r="O351" s="63"/>
      <c r="P351" s="83"/>
      <c r="Q351" s="64"/>
      <c r="R351" s="65"/>
      <c r="S351" s="99"/>
      <c r="T351" s="70"/>
      <c r="U351" s="99"/>
      <c r="V351" s="70"/>
      <c r="W351" s="74"/>
      <c r="X351" s="62"/>
      <c r="Y351" s="63"/>
      <c r="Z351" s="75"/>
      <c r="AA351" s="78"/>
      <c r="AB351" s="62"/>
      <c r="AC351" s="63"/>
      <c r="AD351" s="75"/>
      <c r="AE351" s="228">
        <f>ROUND((ROUND((_15_同援日１．０*(1+_15・A深夜)),0)*(1+_15・区３)),0)+ROUND((ROUND((_15_同援日１．０＿１．５*(1+_15・B早朝)),0)*(1+_15・区３)),0)+ROUND((_15_同援日１．０＿１．５＿０．５*(1+_15・区３)),0)</f>
        <v>986</v>
      </c>
      <c r="AF351" s="69"/>
    </row>
    <row r="352" spans="1:32" ht="16.5" customHeight="1" x14ac:dyDescent="0.3">
      <c r="A352" s="2">
        <v>15</v>
      </c>
      <c r="B352" s="2" t="s">
        <v>1010</v>
      </c>
      <c r="C352" s="60" t="s">
        <v>11191</v>
      </c>
      <c r="D352" s="1"/>
      <c r="E352" s="68"/>
      <c r="F352" s="70"/>
      <c r="G352" s="1"/>
      <c r="H352" s="68"/>
      <c r="I352" s="70"/>
      <c r="J352" s="1"/>
      <c r="K352" s="68"/>
      <c r="L352" s="70"/>
      <c r="M352" s="106"/>
      <c r="N352" s="57"/>
      <c r="O352" s="58"/>
      <c r="P352" s="83" t="s">
        <v>5895</v>
      </c>
      <c r="Q352" s="64" t="s">
        <v>1</v>
      </c>
      <c r="R352" s="65">
        <v>1</v>
      </c>
      <c r="S352" s="99"/>
      <c r="T352" s="70"/>
      <c r="U352" s="99"/>
      <c r="V352" s="70"/>
      <c r="W352" s="94"/>
      <c r="X352" s="68"/>
      <c r="Y352" s="76"/>
      <c r="Z352" s="70"/>
      <c r="AA352" s="1"/>
      <c r="AB352" s="68"/>
      <c r="AC352" s="76"/>
      <c r="AD352" s="70"/>
      <c r="AE352" s="228">
        <f>ROUND((ROUND((ROUND((_15_同援日１．０*_15・２人),0)*(1+_15・A深夜)),0)*(1+_15・区３)),0)+ROUND((ROUND((ROUND((_15_同援日１．０＿１．５*_15・２人),0)*(1+_15・B早朝)),0)*(1+_15・区３)),0)+ROUND((ROUND((_15_同援日１．０＿１．５＿０．５*_15・２人),0)*(1+_15・区３)),0)</f>
        <v>986</v>
      </c>
      <c r="AF352" s="69"/>
    </row>
    <row r="353" spans="1:32" ht="16.5" customHeight="1" x14ac:dyDescent="0.3">
      <c r="A353" s="2">
        <v>15</v>
      </c>
      <c r="B353" s="2" t="s">
        <v>1011</v>
      </c>
      <c r="C353" s="60" t="s">
        <v>11190</v>
      </c>
      <c r="D353" s="1"/>
      <c r="E353" s="68"/>
      <c r="F353" s="70"/>
      <c r="G353" s="1"/>
      <c r="H353" s="68"/>
      <c r="I353" s="70"/>
      <c r="J353" s="1"/>
      <c r="K353" s="68"/>
      <c r="L353" s="70"/>
      <c r="M353" s="74" t="s">
        <v>16912</v>
      </c>
      <c r="N353" s="62"/>
      <c r="O353" s="63"/>
      <c r="P353" s="83"/>
      <c r="Q353" s="64"/>
      <c r="R353" s="65"/>
      <c r="S353" s="99"/>
      <c r="T353" s="70"/>
      <c r="U353" s="99"/>
      <c r="V353" s="70"/>
      <c r="W353" s="94"/>
      <c r="X353" s="68"/>
      <c r="Y353" s="76"/>
      <c r="Z353" s="70"/>
      <c r="AA353" s="1" t="s">
        <v>18101</v>
      </c>
      <c r="AB353" s="68"/>
      <c r="AC353" s="76"/>
      <c r="AD353" s="70"/>
      <c r="AE353" s="228">
        <f>ROUND((ROUND((ROUND((_15_同援日１．０*_15・基礎２),0)*(1+_15・A深夜)),0)*(1+_15・区３)),0)+ROUND((ROUND((ROUND((_15_同援日１．０＿１．５*_15・基礎２),0)*(1+_15・B早朝)),0)*(1+_15・区３)),0)+ROUND((ROUND((_15_同援日１．０＿１．５＿０．５*_15・基礎２),0)*(1+_15・区３)),0)</f>
        <v>888</v>
      </c>
      <c r="AF353" s="69"/>
    </row>
    <row r="354" spans="1:32" ht="16.5" customHeight="1" x14ac:dyDescent="0.3">
      <c r="A354" s="2">
        <v>15</v>
      </c>
      <c r="B354" s="2" t="s">
        <v>1012</v>
      </c>
      <c r="C354" s="60" t="s">
        <v>11189</v>
      </c>
      <c r="D354" s="1"/>
      <c r="E354" s="68"/>
      <c r="F354" s="70"/>
      <c r="G354" s="1"/>
      <c r="H354" s="68"/>
      <c r="I354" s="70"/>
      <c r="J354" s="1"/>
      <c r="K354" s="68"/>
      <c r="L354" s="70"/>
      <c r="M354" s="106" t="s">
        <v>5896</v>
      </c>
      <c r="N354" s="57" t="s">
        <v>1</v>
      </c>
      <c r="O354" s="58">
        <v>0.9</v>
      </c>
      <c r="P354" s="83" t="s">
        <v>5895</v>
      </c>
      <c r="Q354" s="64" t="s">
        <v>1</v>
      </c>
      <c r="R354" s="65">
        <v>1</v>
      </c>
      <c r="S354" s="99"/>
      <c r="T354" s="70"/>
      <c r="U354" s="99"/>
      <c r="V354" s="70"/>
      <c r="W354" s="106"/>
      <c r="X354" s="57"/>
      <c r="Y354" s="58"/>
      <c r="Z354" s="77"/>
      <c r="AA354" s="1" t="s">
        <v>8087</v>
      </c>
      <c r="AB354" s="68"/>
      <c r="AC354" s="76"/>
      <c r="AD354" s="70"/>
      <c r="AE354" s="228">
        <f>ROUND((ROUND((ROUND((ROUND((_15_同援日１．０*_15・基礎２),0)*_15・２人),0)*(1+_15・A深夜)),0)*(1+_15・区３)),0)+ROUND((ROUND((ROUND((ROUND((_15_同援日１．０＿１．５*_15・基礎２),0)*_15・２人),0)*(1+_15・B早朝)),0)*(1+_15・区３)),0)+ROUND((ROUND((ROUND((_15_同援日１．０＿１．５＿０．５*_15・基礎２),0)*_15・２人),0)*(1+_15・区３)),0)</f>
        <v>888</v>
      </c>
      <c r="AF354" s="69"/>
    </row>
    <row r="355" spans="1:32" ht="16.5" customHeight="1" x14ac:dyDescent="0.3">
      <c r="A355" s="2">
        <v>15</v>
      </c>
      <c r="B355" s="2" t="s">
        <v>1013</v>
      </c>
      <c r="C355" s="60" t="s">
        <v>11188</v>
      </c>
      <c r="D355" s="1"/>
      <c r="E355" s="68"/>
      <c r="F355" s="70"/>
      <c r="G355" s="1"/>
      <c r="H355" s="68"/>
      <c r="I355" s="70"/>
      <c r="J355" s="1"/>
      <c r="K355" s="68"/>
      <c r="L355" s="70"/>
      <c r="M355" s="74"/>
      <c r="N355" s="62"/>
      <c r="O355" s="63"/>
      <c r="P355" s="83"/>
      <c r="Q355" s="64"/>
      <c r="R355" s="65"/>
      <c r="S355" s="99"/>
      <c r="T355" s="70"/>
      <c r="U355" s="99"/>
      <c r="V355" s="70"/>
      <c r="W355" s="74" t="s">
        <v>18098</v>
      </c>
      <c r="X355" s="62"/>
      <c r="Y355" s="63"/>
      <c r="Z355" s="75"/>
      <c r="AA355" s="1"/>
      <c r="AB355" s="68" t="s">
        <v>1</v>
      </c>
      <c r="AC355" s="76">
        <v>0.2</v>
      </c>
      <c r="AD355" s="70" t="s">
        <v>422</v>
      </c>
      <c r="AE355" s="228">
        <f>ROUND((ROUND((ROUND((_15_同援日１．０*(1+_15・A深夜)),0)*(1+_15・盲ろう)),0)*(1+_15・区３)),0)+ROUND((ROUND((ROUND((_15_同援日１．０＿１．５*(1+_15・B早朝)),0)*(1+_15・盲ろう)),0)*(1+_15・区３)),0)+ROUND((ROUND((_15_同援日１．０＿１．５＿０．５*(1+_15・盲ろう)),0)*(1+_15・区３)),0)</f>
        <v>1233</v>
      </c>
      <c r="AF355" s="69"/>
    </row>
    <row r="356" spans="1:32" ht="16.5" customHeight="1" x14ac:dyDescent="0.3">
      <c r="A356" s="2">
        <v>15</v>
      </c>
      <c r="B356" s="2" t="s">
        <v>1014</v>
      </c>
      <c r="C356" s="60" t="s">
        <v>11187</v>
      </c>
      <c r="D356" s="1"/>
      <c r="E356" s="68"/>
      <c r="F356" s="70"/>
      <c r="G356" s="1"/>
      <c r="H356" s="68"/>
      <c r="I356" s="70"/>
      <c r="J356" s="1"/>
      <c r="K356" s="68"/>
      <c r="L356" s="70"/>
      <c r="M356" s="106"/>
      <c r="N356" s="57"/>
      <c r="O356" s="58"/>
      <c r="P356" s="83" t="s">
        <v>5895</v>
      </c>
      <c r="Q356" s="64" t="s">
        <v>1</v>
      </c>
      <c r="R356" s="65">
        <v>1</v>
      </c>
      <c r="S356" s="99"/>
      <c r="T356" s="70"/>
      <c r="U356" s="99"/>
      <c r="V356" s="70"/>
      <c r="W356" s="94" t="s">
        <v>8083</v>
      </c>
      <c r="X356" s="68"/>
      <c r="Y356" s="76"/>
      <c r="Z356" s="70"/>
      <c r="AA356" s="1"/>
      <c r="AB356" s="68"/>
      <c r="AC356" s="76"/>
      <c r="AD356" s="70"/>
      <c r="AE356" s="228">
        <f>ROUND((ROUND((ROUND((ROUND((_15_同援日１．０*_15・２人),0)*(1+_15・A深夜)),0)*(1+_15・盲ろう)),0)*(1+_15・区３)),0)+ROUND((ROUND((ROUND((ROUND((_15_同援日１．０＿１．５*_15・２人),0)*(1+_15・B早朝)),0)*(1+_15・盲ろう)),0)*(1+_15・区３)),0)+ROUND((ROUND((ROUND((_15_同援日１．０＿１．５＿０．５*_15・２人),0)*(1+_15・盲ろう)),0)*(1+_15・区３)),0)</f>
        <v>1233</v>
      </c>
      <c r="AF356" s="69"/>
    </row>
    <row r="357" spans="1:32" ht="16.5" customHeight="1" x14ac:dyDescent="0.3">
      <c r="A357" s="2">
        <v>15</v>
      </c>
      <c r="B357" s="2" t="s">
        <v>1015</v>
      </c>
      <c r="C357" s="60" t="s">
        <v>11186</v>
      </c>
      <c r="D357" s="1"/>
      <c r="E357" s="68"/>
      <c r="F357" s="70"/>
      <c r="G357" s="1"/>
      <c r="H357" s="68"/>
      <c r="I357" s="70"/>
      <c r="J357" s="1"/>
      <c r="K357" s="68"/>
      <c r="L357" s="70"/>
      <c r="M357" s="74" t="s">
        <v>16912</v>
      </c>
      <c r="N357" s="62"/>
      <c r="O357" s="63"/>
      <c r="P357" s="83"/>
      <c r="Q357" s="64"/>
      <c r="R357" s="65"/>
      <c r="S357" s="99"/>
      <c r="T357" s="70"/>
      <c r="U357" s="99"/>
      <c r="V357" s="70"/>
      <c r="W357" s="94"/>
      <c r="X357" s="68" t="s">
        <v>1</v>
      </c>
      <c r="Y357" s="76">
        <v>0.25</v>
      </c>
      <c r="Z357" s="70" t="s">
        <v>422</v>
      </c>
      <c r="AA357" s="1"/>
      <c r="AB357" s="68"/>
      <c r="AC357" s="76"/>
      <c r="AD357" s="70"/>
      <c r="AE357" s="228">
        <f>ROUND((ROUND((ROUND((ROUND((_15_同援日１．０*_15・基礎２),0)*(1+_15・A深夜)),0)*(1+_15・盲ろう)),0)*(1+_15・区３)),0)+ROUND((ROUND((ROUND((ROUND((_15_同援日１．０＿１．５*_15・基礎２),0)*(1+_15・B早朝)),0)*(1+_15・盲ろう)),0)*(1+_15・区３)),0)+ROUND((ROUND((ROUND((_15_同援日１．０＿１．５＿０．５*_15・基礎２),0)*(1+_15・盲ろう)),0)*(1+_15・区３)),0)</f>
        <v>1110</v>
      </c>
      <c r="AF357" s="69"/>
    </row>
    <row r="358" spans="1:32" ht="16.5" customHeight="1" x14ac:dyDescent="0.3">
      <c r="A358" s="2">
        <v>15</v>
      </c>
      <c r="B358" s="2" t="s">
        <v>1016</v>
      </c>
      <c r="C358" s="60" t="s">
        <v>11185</v>
      </c>
      <c r="D358" s="1"/>
      <c r="E358" s="68"/>
      <c r="F358" s="70"/>
      <c r="G358" s="1"/>
      <c r="H358" s="68"/>
      <c r="I358" s="70"/>
      <c r="J358" s="1"/>
      <c r="K358" s="68"/>
      <c r="L358" s="70"/>
      <c r="M358" s="106" t="s">
        <v>16812</v>
      </c>
      <c r="N358" s="57" t="s">
        <v>1</v>
      </c>
      <c r="O358" s="58">
        <v>0.9</v>
      </c>
      <c r="P358" s="83" t="s">
        <v>5895</v>
      </c>
      <c r="Q358" s="64" t="s">
        <v>1</v>
      </c>
      <c r="R358" s="65">
        <v>1</v>
      </c>
      <c r="S358" s="99"/>
      <c r="T358" s="70"/>
      <c r="U358" s="99"/>
      <c r="V358" s="70"/>
      <c r="W358" s="106"/>
      <c r="X358" s="57"/>
      <c r="Y358" s="58"/>
      <c r="Z358" s="77"/>
      <c r="AA358" s="106"/>
      <c r="AB358" s="57"/>
      <c r="AC358" s="58"/>
      <c r="AD358" s="77"/>
      <c r="AE358" s="228">
        <f>ROUND((ROUND((ROUND((ROUND((ROUND((_15_同援日１．０*_15・基礎２),0)*_15・２人),0)*(1+_15・A深夜)),0)*(1+_15・盲ろう)),0)*(1+_15・区３)),0)+ROUND((ROUND((ROUND((ROUND((ROUND((_15_同援日１．０＿１．５*_15・基礎２),0)*_15・２人),0)*(1+_15・B早朝)),0)*(1+_15・盲ろう)),0)*(1+_15・区３)),0)+ROUND((ROUND((ROUND((ROUND((_15_同援日１．０＿１．５＿０．５*_15・基礎２),0)*_15・２人),0)*(1+_15・盲ろう)),0)*(1+_15・区３)),0)</f>
        <v>1110</v>
      </c>
      <c r="AF358" s="69"/>
    </row>
    <row r="359" spans="1:32" ht="16.5" customHeight="1" x14ac:dyDescent="0.3">
      <c r="A359" s="2">
        <v>15</v>
      </c>
      <c r="B359" s="2" t="s">
        <v>1017</v>
      </c>
      <c r="C359" s="60" t="s">
        <v>11184</v>
      </c>
      <c r="D359" s="1"/>
      <c r="E359" s="68"/>
      <c r="F359" s="70"/>
      <c r="G359" s="1"/>
      <c r="H359" s="68"/>
      <c r="I359" s="70"/>
      <c r="J359" s="1"/>
      <c r="K359" s="68"/>
      <c r="L359" s="70"/>
      <c r="M359" s="74"/>
      <c r="N359" s="62"/>
      <c r="O359" s="63"/>
      <c r="P359" s="83"/>
      <c r="Q359" s="64"/>
      <c r="R359" s="65"/>
      <c r="S359" s="99"/>
      <c r="T359" s="70"/>
      <c r="U359" s="99"/>
      <c r="V359" s="70"/>
      <c r="W359" s="74"/>
      <c r="X359" s="62"/>
      <c r="Y359" s="63"/>
      <c r="Z359" s="75"/>
      <c r="AA359" s="78"/>
      <c r="AB359" s="62"/>
      <c r="AC359" s="63"/>
      <c r="AD359" s="75"/>
      <c r="AE359" s="228">
        <f>ROUND((ROUND((_15_同援日１．０*(1+_15・A深夜)),0)*(1+_15・区４)),0)+ROUND((ROUND((_15_同援日１．０＿１．５*(1+_15・B早朝)),0)*(1+_15・区４)),0)+ROUND((_15_同援日１．０＿１．５＿０．５*(1+_15・区４)),0)</f>
        <v>1149</v>
      </c>
      <c r="AF359" s="69"/>
    </row>
    <row r="360" spans="1:32" ht="16.5" customHeight="1" x14ac:dyDescent="0.3">
      <c r="A360" s="2">
        <v>15</v>
      </c>
      <c r="B360" s="2" t="s">
        <v>1018</v>
      </c>
      <c r="C360" s="60" t="s">
        <v>11183</v>
      </c>
      <c r="D360" s="1"/>
      <c r="E360" s="68"/>
      <c r="F360" s="70"/>
      <c r="G360" s="1"/>
      <c r="H360" s="68"/>
      <c r="I360" s="70"/>
      <c r="J360" s="1"/>
      <c r="K360" s="68"/>
      <c r="L360" s="70"/>
      <c r="M360" s="106"/>
      <c r="N360" s="57"/>
      <c r="O360" s="58"/>
      <c r="P360" s="83" t="s">
        <v>5895</v>
      </c>
      <c r="Q360" s="64" t="s">
        <v>1</v>
      </c>
      <c r="R360" s="65">
        <v>1</v>
      </c>
      <c r="S360" s="99"/>
      <c r="T360" s="70"/>
      <c r="U360" s="99"/>
      <c r="V360" s="70"/>
      <c r="W360" s="94"/>
      <c r="X360" s="68"/>
      <c r="Y360" s="76"/>
      <c r="Z360" s="70"/>
      <c r="AA360" s="1"/>
      <c r="AB360" s="68"/>
      <c r="AC360" s="76"/>
      <c r="AD360" s="70"/>
      <c r="AE360" s="228">
        <f>ROUND((ROUND((ROUND((_15_同援日１．０*_15・２人),0)*(1+_15・A深夜)),0)*(1+_15・区４)),0)+ROUND((ROUND((ROUND((_15_同援日１．０＿１．５*_15・２人),0)*(1+_15・B早朝)),0)*(1+_15・区４)),0)+ROUND((ROUND((_15_同援日１．０＿１．５＿０．５*_15・２人),0)*(1+_15・区４)),0)</f>
        <v>1149</v>
      </c>
      <c r="AF360" s="69"/>
    </row>
    <row r="361" spans="1:32" ht="16.5" customHeight="1" x14ac:dyDescent="0.3">
      <c r="A361" s="2">
        <v>15</v>
      </c>
      <c r="B361" s="2" t="s">
        <v>1019</v>
      </c>
      <c r="C361" s="60" t="s">
        <v>11182</v>
      </c>
      <c r="D361" s="1"/>
      <c r="E361" s="68"/>
      <c r="F361" s="70"/>
      <c r="G361" s="1"/>
      <c r="H361" s="68"/>
      <c r="I361" s="70"/>
      <c r="J361" s="1"/>
      <c r="K361" s="68"/>
      <c r="L361" s="70"/>
      <c r="M361" s="74" t="s">
        <v>16823</v>
      </c>
      <c r="N361" s="62"/>
      <c r="O361" s="63"/>
      <c r="P361" s="83"/>
      <c r="Q361" s="64"/>
      <c r="R361" s="65"/>
      <c r="S361" s="99"/>
      <c r="T361" s="70"/>
      <c r="U361" s="99"/>
      <c r="V361" s="70"/>
      <c r="W361" s="94"/>
      <c r="X361" s="68"/>
      <c r="Y361" s="76"/>
      <c r="Z361" s="70"/>
      <c r="AA361" s="1" t="s">
        <v>18100</v>
      </c>
      <c r="AB361" s="68"/>
      <c r="AC361" s="76"/>
      <c r="AD361" s="70"/>
      <c r="AE361" s="228">
        <f>ROUND((ROUND((ROUND((_15_同援日１．０*_15・基礎２),0)*(1+_15・A深夜)),0)*(1+_15・区４)),0)+ROUND((ROUND((ROUND((_15_同援日１．０＿１．５*_15・基礎２),0)*(1+_15・B早朝)),0)*(1+_15・区４)),0)+ROUND((ROUND((_15_同援日１．０＿１．５＿０．５*_15・基礎２),0)*(1+_15・区４)),0)</f>
        <v>1036</v>
      </c>
      <c r="AF361" s="69"/>
    </row>
    <row r="362" spans="1:32" ht="16.5" customHeight="1" x14ac:dyDescent="0.3">
      <c r="A362" s="2">
        <v>15</v>
      </c>
      <c r="B362" s="2" t="s">
        <v>1020</v>
      </c>
      <c r="C362" s="60" t="s">
        <v>11181</v>
      </c>
      <c r="D362" s="1"/>
      <c r="E362" s="68"/>
      <c r="F362" s="70"/>
      <c r="G362" s="1"/>
      <c r="H362" s="68"/>
      <c r="I362" s="70"/>
      <c r="J362" s="1"/>
      <c r="K362" s="68"/>
      <c r="L362" s="70"/>
      <c r="M362" s="106" t="s">
        <v>16916</v>
      </c>
      <c r="N362" s="57" t="s">
        <v>1</v>
      </c>
      <c r="O362" s="58">
        <v>0.9</v>
      </c>
      <c r="P362" s="83" t="s">
        <v>5895</v>
      </c>
      <c r="Q362" s="64" t="s">
        <v>1</v>
      </c>
      <c r="R362" s="65">
        <v>1</v>
      </c>
      <c r="S362" s="99"/>
      <c r="T362" s="70"/>
      <c r="U362" s="99"/>
      <c r="V362" s="70"/>
      <c r="W362" s="106"/>
      <c r="X362" s="57"/>
      <c r="Y362" s="58"/>
      <c r="Z362" s="77"/>
      <c r="AA362" s="1" t="s">
        <v>17970</v>
      </c>
      <c r="AB362" s="68"/>
      <c r="AC362" s="76"/>
      <c r="AD362" s="70"/>
      <c r="AE362" s="228">
        <f>ROUND((ROUND((ROUND((ROUND((_15_同援日１．０*_15・基礎２),0)*_15・２人),0)*(1+_15・A深夜)),0)*(1+_15・区４)),0)+ROUND((ROUND((ROUND((ROUND((_15_同援日１．０＿１．５*_15・基礎２),0)*_15・２人),0)*(1+_15・B早朝)),0)*(1+_15・区４)),0)+ROUND((ROUND((ROUND((_15_同援日１．０＿１．５＿０．５*_15・基礎２),0)*_15・２人),0)*(1+_15・区４)),0)</f>
        <v>1036</v>
      </c>
      <c r="AF362" s="69"/>
    </row>
    <row r="363" spans="1:32" ht="16.5" customHeight="1" x14ac:dyDescent="0.3">
      <c r="A363" s="2">
        <v>15</v>
      </c>
      <c r="B363" s="2" t="s">
        <v>1021</v>
      </c>
      <c r="C363" s="60" t="s">
        <v>11180</v>
      </c>
      <c r="D363" s="1"/>
      <c r="E363" s="68"/>
      <c r="F363" s="70"/>
      <c r="G363" s="1"/>
      <c r="H363" s="68"/>
      <c r="I363" s="70"/>
      <c r="J363" s="1"/>
      <c r="K363" s="68"/>
      <c r="L363" s="70"/>
      <c r="M363" s="74"/>
      <c r="N363" s="62"/>
      <c r="O363" s="63"/>
      <c r="P363" s="83"/>
      <c r="Q363" s="64"/>
      <c r="R363" s="65"/>
      <c r="S363" s="99"/>
      <c r="T363" s="70"/>
      <c r="U363" s="99"/>
      <c r="V363" s="70"/>
      <c r="W363" s="74" t="s">
        <v>18098</v>
      </c>
      <c r="X363" s="62"/>
      <c r="Y363" s="63"/>
      <c r="Z363" s="75"/>
      <c r="AA363" s="1"/>
      <c r="AB363" s="68" t="s">
        <v>1</v>
      </c>
      <c r="AC363" s="76">
        <v>0.4</v>
      </c>
      <c r="AD363" s="70" t="s">
        <v>422</v>
      </c>
      <c r="AE363" s="228">
        <f>ROUND((ROUND((ROUND((_15_同援日１．０*(1+_15・A深夜)),0)*(1+_15・盲ろう)),0)*(1+_15・区４)),0)+ROUND((ROUND((ROUND((_15_同援日１．０＿１．５*(1+_15・B早朝)),0)*(1+_15・盲ろう)),0)*(1+_15・区４)),0)+ROUND((ROUND((_15_同援日１．０＿１．５＿０．５*(1+_15・盲ろう)),0)*(1+_15・区４)),0)</f>
        <v>1438</v>
      </c>
      <c r="AF363" s="69"/>
    </row>
    <row r="364" spans="1:32" ht="16.5" customHeight="1" x14ac:dyDescent="0.3">
      <c r="A364" s="2">
        <v>15</v>
      </c>
      <c r="B364" s="2" t="s">
        <v>1022</v>
      </c>
      <c r="C364" s="60" t="s">
        <v>11179</v>
      </c>
      <c r="D364" s="1"/>
      <c r="E364" s="68"/>
      <c r="F364" s="70"/>
      <c r="G364" s="1"/>
      <c r="H364" s="68"/>
      <c r="I364" s="70"/>
      <c r="J364" s="1"/>
      <c r="K364" s="68"/>
      <c r="L364" s="70"/>
      <c r="M364" s="106"/>
      <c r="N364" s="57"/>
      <c r="O364" s="58"/>
      <c r="P364" s="83" t="s">
        <v>5895</v>
      </c>
      <c r="Q364" s="64" t="s">
        <v>1</v>
      </c>
      <c r="R364" s="65">
        <v>1</v>
      </c>
      <c r="S364" s="99"/>
      <c r="T364" s="70"/>
      <c r="U364" s="99"/>
      <c r="V364" s="70"/>
      <c r="W364" s="94" t="s">
        <v>8083</v>
      </c>
      <c r="X364" s="68"/>
      <c r="Y364" s="76"/>
      <c r="Z364" s="70"/>
      <c r="AA364" s="1"/>
      <c r="AB364" s="68"/>
      <c r="AC364" s="76"/>
      <c r="AD364" s="70"/>
      <c r="AE364" s="228">
        <f>ROUND((ROUND((ROUND((ROUND((_15_同援日１．０*_15・２人),0)*(1+_15・A深夜)),0)*(1+_15・盲ろう)),0)*(1+_15・区４)),0)+ROUND((ROUND((ROUND((ROUND((_15_同援日１．０＿１．５*_15・２人),0)*(1+_15・B早朝)),0)*(1+_15・盲ろう)),0)*(1+_15・区４)),0)+ROUND((ROUND((ROUND((_15_同援日１．０＿１．５＿０．５*_15・２人),0)*(1+_15・盲ろう)),0)*(1+_15・区４)),0)</f>
        <v>1438</v>
      </c>
      <c r="AF364" s="69"/>
    </row>
    <row r="365" spans="1:32" ht="16.5" customHeight="1" x14ac:dyDescent="0.3">
      <c r="A365" s="2">
        <v>15</v>
      </c>
      <c r="B365" s="2" t="s">
        <v>1023</v>
      </c>
      <c r="C365" s="60" t="s">
        <v>11178</v>
      </c>
      <c r="D365" s="1"/>
      <c r="E365" s="68"/>
      <c r="F365" s="70"/>
      <c r="G365" s="1"/>
      <c r="H365" s="68"/>
      <c r="I365" s="70"/>
      <c r="J365" s="1"/>
      <c r="K365" s="68"/>
      <c r="L365" s="70"/>
      <c r="M365" s="74" t="s">
        <v>16912</v>
      </c>
      <c r="N365" s="62"/>
      <c r="O365" s="63"/>
      <c r="P365" s="83"/>
      <c r="Q365" s="64"/>
      <c r="R365" s="65"/>
      <c r="S365" s="99"/>
      <c r="T365" s="70"/>
      <c r="U365" s="99"/>
      <c r="V365" s="70"/>
      <c r="W365" s="94"/>
      <c r="X365" s="68" t="s">
        <v>1</v>
      </c>
      <c r="Y365" s="76">
        <v>0.25</v>
      </c>
      <c r="Z365" s="70" t="s">
        <v>422</v>
      </c>
      <c r="AA365" s="1"/>
      <c r="AB365" s="68"/>
      <c r="AC365" s="76"/>
      <c r="AD365" s="70"/>
      <c r="AE365" s="228">
        <f>ROUND((ROUND((ROUND((ROUND((_15_同援日１．０*_15・基礎２),0)*(1+_15・A深夜)),0)*(1+_15・盲ろう)),0)*(1+_15・区４)),0)+ROUND((ROUND((ROUND((ROUND((_15_同援日１．０＿１．５*_15・基礎２),0)*(1+_15・B早朝)),0)*(1+_15・盲ろう)),0)*(1+_15・区４)),0)+ROUND((ROUND((ROUND((_15_同援日１．０＿１．５＿０．５*_15・基礎２),0)*(1+_15・盲ろう)),0)*(1+_15・区４)),0)</f>
        <v>1295</v>
      </c>
      <c r="AF365" s="69"/>
    </row>
    <row r="366" spans="1:32" ht="16.5" customHeight="1" x14ac:dyDescent="0.3">
      <c r="A366" s="2">
        <v>15</v>
      </c>
      <c r="B366" s="2" t="s">
        <v>1024</v>
      </c>
      <c r="C366" s="60" t="s">
        <v>11177</v>
      </c>
      <c r="D366" s="81"/>
      <c r="E366" s="57"/>
      <c r="F366" s="77"/>
      <c r="G366" s="81"/>
      <c r="H366" s="57"/>
      <c r="I366" s="77"/>
      <c r="J366" s="81"/>
      <c r="K366" s="57"/>
      <c r="L366" s="77"/>
      <c r="M366" s="106" t="s">
        <v>16812</v>
      </c>
      <c r="N366" s="57" t="s">
        <v>1</v>
      </c>
      <c r="O366" s="58">
        <v>0.9</v>
      </c>
      <c r="P366" s="83" t="s">
        <v>5895</v>
      </c>
      <c r="Q366" s="64" t="s">
        <v>1</v>
      </c>
      <c r="R366" s="65">
        <v>1</v>
      </c>
      <c r="S366" s="99"/>
      <c r="T366" s="70"/>
      <c r="U366" s="99"/>
      <c r="V366" s="70"/>
      <c r="W366" s="106"/>
      <c r="X366" s="57"/>
      <c r="Y366" s="58"/>
      <c r="Z366" s="77"/>
      <c r="AA366" s="106"/>
      <c r="AB366" s="57"/>
      <c r="AC366" s="58"/>
      <c r="AD366" s="77"/>
      <c r="AE366" s="228">
        <f>ROUND((ROUND((ROUND((ROUND((ROUND((_15_同援日１．０*_15・基礎２),0)*_15・２人),0)*(1+_15・A深夜)),0)*(1+_15・盲ろう)),0)*(1+_15・区４)),0)+ROUND((ROUND((ROUND((ROUND((ROUND((_15_同援日１．０＿１．５*_15・基礎２),0)*_15・２人),0)*(1+_15・B早朝)),0)*(1+_15・盲ろう)),0)*(1+_15・区４)),0)+ROUND((ROUND((ROUND((ROUND((_15_同援日１．０＿１．５＿０．５*_15・基礎２),0)*_15・２人),0)*(1+_15・盲ろう)),0)*(1+_15・区４)),0)</f>
        <v>1295</v>
      </c>
      <c r="AF366" s="69"/>
    </row>
    <row r="367" spans="1:32" ht="16.5" customHeight="1" x14ac:dyDescent="0.3">
      <c r="A367" s="2">
        <v>15</v>
      </c>
      <c r="B367" s="2" t="s">
        <v>1025</v>
      </c>
      <c r="C367" s="60" t="s">
        <v>11176</v>
      </c>
      <c r="D367" s="233" t="s">
        <v>16309</v>
      </c>
      <c r="E367" s="235"/>
      <c r="F367" s="75"/>
      <c r="G367" s="233" t="s">
        <v>6068</v>
      </c>
      <c r="H367" s="62"/>
      <c r="I367" s="75"/>
      <c r="J367" s="74" t="s">
        <v>17358</v>
      </c>
      <c r="K367" s="62"/>
      <c r="L367" s="75"/>
      <c r="M367" s="74"/>
      <c r="N367" s="62"/>
      <c r="O367" s="63"/>
      <c r="P367" s="83"/>
      <c r="Q367" s="64"/>
      <c r="R367" s="65"/>
      <c r="S367" s="99"/>
      <c r="T367" s="70"/>
      <c r="U367" s="99"/>
      <c r="V367" s="70"/>
      <c r="W367" s="74"/>
      <c r="X367" s="62"/>
      <c r="Y367" s="63"/>
      <c r="Z367" s="75"/>
      <c r="AA367" s="78"/>
      <c r="AB367" s="62"/>
      <c r="AC367" s="63"/>
      <c r="AD367" s="75"/>
      <c r="AE367" s="228">
        <f>ROUND((_15_同援日１．５*(1+_15・A深夜)),0)+ROUND((_15_同援日１．５＿０．５*(1+_15・B早朝)),0)+_15_同援日１．５＿０．５＿０．５</f>
        <v>775</v>
      </c>
      <c r="AF367" s="69"/>
    </row>
    <row r="368" spans="1:32" ht="16.5" customHeight="1" x14ac:dyDescent="0.3">
      <c r="A368" s="2">
        <v>15</v>
      </c>
      <c r="B368" s="2" t="s">
        <v>1026</v>
      </c>
      <c r="C368" s="60" t="s">
        <v>11175</v>
      </c>
      <c r="D368" s="1" t="s">
        <v>16871</v>
      </c>
      <c r="E368" s="68"/>
      <c r="F368" s="70"/>
      <c r="G368" s="1" t="s">
        <v>7928</v>
      </c>
      <c r="H368" s="68"/>
      <c r="I368" s="70"/>
      <c r="J368" s="1" t="s">
        <v>7928</v>
      </c>
      <c r="K368" s="68"/>
      <c r="L368" s="70"/>
      <c r="M368" s="106"/>
      <c r="N368" s="57"/>
      <c r="O368" s="58"/>
      <c r="P368" s="83" t="s">
        <v>5895</v>
      </c>
      <c r="Q368" s="64" t="s">
        <v>1</v>
      </c>
      <c r="R368" s="65">
        <v>1</v>
      </c>
      <c r="S368" s="99"/>
      <c r="T368" s="70"/>
      <c r="U368" s="99"/>
      <c r="V368" s="70"/>
      <c r="W368" s="94"/>
      <c r="X368" s="68"/>
      <c r="Y368" s="76"/>
      <c r="Z368" s="70"/>
      <c r="AA368" s="1"/>
      <c r="AB368" s="68"/>
      <c r="AC368" s="76"/>
      <c r="AD368" s="70"/>
      <c r="AE368" s="228">
        <f>ROUND((ROUND((_15_同援日１．５*_15・２人),0)*(1+_15・A深夜)),0)+ROUND((ROUND((_15_同援日１．５＿０．５*_15・２人),0)*(1+_15・B早朝)),0)+ROUND((_15_同援日１．５＿０．５＿０．５*_15・２人),0)</f>
        <v>775</v>
      </c>
      <c r="AF368" s="69"/>
    </row>
    <row r="369" spans="1:32" ht="16.5" customHeight="1" x14ac:dyDescent="0.3">
      <c r="A369" s="2">
        <v>15</v>
      </c>
      <c r="B369" s="2" t="s">
        <v>1027</v>
      </c>
      <c r="C369" s="60" t="s">
        <v>11174</v>
      </c>
      <c r="D369" s="1" t="s">
        <v>8767</v>
      </c>
      <c r="E369" s="68"/>
      <c r="F369" s="70"/>
      <c r="G369" s="1"/>
      <c r="H369" s="68"/>
      <c r="I369" s="70"/>
      <c r="J369" s="1"/>
      <c r="K369" s="68"/>
      <c r="L369" s="70"/>
      <c r="M369" s="74" t="s">
        <v>5898</v>
      </c>
      <c r="N369" s="62"/>
      <c r="O369" s="63"/>
      <c r="P369" s="83"/>
      <c r="Q369" s="64"/>
      <c r="R369" s="65"/>
      <c r="S369" s="99"/>
      <c r="T369" s="70"/>
      <c r="U369" s="99"/>
      <c r="V369" s="70"/>
      <c r="W369" s="94"/>
      <c r="X369" s="68"/>
      <c r="Y369" s="76"/>
      <c r="Z369" s="70"/>
      <c r="AA369" s="1"/>
      <c r="AB369" s="68"/>
      <c r="AC369" s="76"/>
      <c r="AD369" s="70"/>
      <c r="AE369" s="228">
        <f>ROUND((ROUND((_15_同援日１．５*_15・基礎２),0)*(1+_15・A深夜)),0)+ROUND((ROUND((_15_同援日１．５＿０．５*_15・基礎２),0)*(1+_15・B早朝)),0)+ROUND((_15_同援日１．５＿０．５＿０．５*_15・基礎２),0)</f>
        <v>699</v>
      </c>
      <c r="AF369" s="69"/>
    </row>
    <row r="370" spans="1:32" ht="16.5" customHeight="1" x14ac:dyDescent="0.3">
      <c r="A370" s="2">
        <v>15</v>
      </c>
      <c r="B370" s="2" t="s">
        <v>1028</v>
      </c>
      <c r="C370" s="60" t="s">
        <v>11173</v>
      </c>
      <c r="D370" s="1"/>
      <c r="E370" s="227">
        <v>421</v>
      </c>
      <c r="F370" s="70" t="s">
        <v>0</v>
      </c>
      <c r="G370" s="1"/>
      <c r="H370" s="227">
        <v>64</v>
      </c>
      <c r="I370" s="70" t="s">
        <v>0</v>
      </c>
      <c r="J370" s="1"/>
      <c r="K370" s="119">
        <v>63</v>
      </c>
      <c r="L370" s="70" t="s">
        <v>0</v>
      </c>
      <c r="M370" s="106" t="s">
        <v>16916</v>
      </c>
      <c r="N370" s="57" t="s">
        <v>1</v>
      </c>
      <c r="O370" s="58">
        <v>0.9</v>
      </c>
      <c r="P370" s="83" t="s">
        <v>5895</v>
      </c>
      <c r="Q370" s="64" t="s">
        <v>1</v>
      </c>
      <c r="R370" s="65">
        <v>1</v>
      </c>
      <c r="S370" s="99"/>
      <c r="T370" s="70"/>
      <c r="U370" s="99"/>
      <c r="V370" s="70"/>
      <c r="W370" s="106"/>
      <c r="X370" s="57"/>
      <c r="Y370" s="58"/>
      <c r="Z370" s="77"/>
      <c r="AA370" s="1"/>
      <c r="AB370" s="68"/>
      <c r="AC370" s="76"/>
      <c r="AD370" s="70"/>
      <c r="AE370" s="228">
        <f>ROUND((ROUND((ROUND((_15_同援日１．５*_15・基礎２),0)*_15・２人),0)*(1+_15・A深夜)),0)+ROUND((ROUND((ROUND((_15_同援日１．５＿０．５*_15・基礎２),0)*_15・２人),0)*(1+_15・B早朝)),0)+ROUND((ROUND((_15_同援日１．５＿０．５＿０．５*_15・基礎２),0)*_15・２人),0)</f>
        <v>699</v>
      </c>
      <c r="AF370" s="69"/>
    </row>
    <row r="371" spans="1:32" ht="16.5" customHeight="1" x14ac:dyDescent="0.3">
      <c r="A371" s="2">
        <v>15</v>
      </c>
      <c r="B371" s="2" t="s">
        <v>1029</v>
      </c>
      <c r="C371" s="60" t="s">
        <v>11172</v>
      </c>
      <c r="D371" s="1"/>
      <c r="E371" s="68"/>
      <c r="F371" s="70"/>
      <c r="G371" s="1"/>
      <c r="H371" s="68"/>
      <c r="I371" s="70"/>
      <c r="J371" s="1"/>
      <c r="K371" s="68"/>
      <c r="L371" s="70"/>
      <c r="M371" s="74"/>
      <c r="N371" s="62"/>
      <c r="O371" s="63"/>
      <c r="P371" s="83"/>
      <c r="Q371" s="64"/>
      <c r="R371" s="65"/>
      <c r="S371" s="99"/>
      <c r="T371" s="70"/>
      <c r="U371" s="99"/>
      <c r="V371" s="70"/>
      <c r="W371" s="74" t="s">
        <v>18098</v>
      </c>
      <c r="X371" s="62"/>
      <c r="Y371" s="63"/>
      <c r="Z371" s="75"/>
      <c r="AA371" s="1"/>
      <c r="AB371" s="68"/>
      <c r="AC371" s="76"/>
      <c r="AD371" s="70"/>
      <c r="AE371" s="228">
        <f>ROUND((ROUND((_15_同援日１．５*(1+_15・A深夜)),0)*(1+_15・盲ろう)),0)+ROUND((ROUND((_15_同援日１．５＿０．５*(1+_15・B早朝)),0)*(1+_15・盲ろう)),0)+ROUND((_15_同援日１．５＿０．５＿０．５*(1+_15・盲ろう)),0)</f>
        <v>969</v>
      </c>
      <c r="AF371" s="69"/>
    </row>
    <row r="372" spans="1:32" ht="16.5" customHeight="1" x14ac:dyDescent="0.3">
      <c r="A372" s="2">
        <v>15</v>
      </c>
      <c r="B372" s="2" t="s">
        <v>1030</v>
      </c>
      <c r="C372" s="60" t="s">
        <v>11171</v>
      </c>
      <c r="D372" s="1"/>
      <c r="E372" s="68"/>
      <c r="F372" s="70"/>
      <c r="G372" s="1"/>
      <c r="H372" s="68"/>
      <c r="I372" s="70"/>
      <c r="J372" s="1"/>
      <c r="K372" s="68"/>
      <c r="L372" s="70"/>
      <c r="M372" s="106"/>
      <c r="N372" s="57"/>
      <c r="O372" s="58"/>
      <c r="P372" s="83" t="s">
        <v>5895</v>
      </c>
      <c r="Q372" s="64" t="s">
        <v>1</v>
      </c>
      <c r="R372" s="65">
        <v>1</v>
      </c>
      <c r="S372" s="99"/>
      <c r="T372" s="70"/>
      <c r="U372" s="99"/>
      <c r="V372" s="70"/>
      <c r="W372" s="94" t="s">
        <v>18097</v>
      </c>
      <c r="X372" s="68"/>
      <c r="Y372" s="76"/>
      <c r="Z372" s="70"/>
      <c r="AA372" s="1"/>
      <c r="AB372" s="68"/>
      <c r="AC372" s="76"/>
      <c r="AD372" s="70"/>
      <c r="AE372" s="228">
        <f>ROUND((ROUND((ROUND((_15_同援日１．５*_15・２人),0)*(1+_15・A深夜)),0)*(1+_15・盲ろう)),0)+ROUND((ROUND((ROUND((_15_同援日１．５＿０．５*_15・２人),0)*(1+_15・B早朝)),0)*(1+_15・盲ろう)),0)+ROUND((ROUND((_15_同援日１．５＿０．５＿０．５*_15・２人),0)*(1+_15・盲ろう)),0)</f>
        <v>969</v>
      </c>
      <c r="AF372" s="69"/>
    </row>
    <row r="373" spans="1:32" ht="16.5" customHeight="1" x14ac:dyDescent="0.3">
      <c r="A373" s="2">
        <v>15</v>
      </c>
      <c r="B373" s="2" t="s">
        <v>1031</v>
      </c>
      <c r="C373" s="60" t="s">
        <v>11170</v>
      </c>
      <c r="D373" s="1"/>
      <c r="E373" s="68"/>
      <c r="F373" s="70"/>
      <c r="G373" s="1"/>
      <c r="H373" s="68"/>
      <c r="I373" s="70"/>
      <c r="J373" s="1"/>
      <c r="K373" s="68"/>
      <c r="L373" s="70"/>
      <c r="M373" s="74" t="s">
        <v>16912</v>
      </c>
      <c r="N373" s="62"/>
      <c r="O373" s="63"/>
      <c r="P373" s="83"/>
      <c r="Q373" s="64"/>
      <c r="R373" s="65"/>
      <c r="S373" s="99"/>
      <c r="T373" s="70"/>
      <c r="U373" s="99"/>
      <c r="V373" s="70"/>
      <c r="W373" s="94"/>
      <c r="X373" s="68" t="s">
        <v>1</v>
      </c>
      <c r="Y373" s="76">
        <v>0.25</v>
      </c>
      <c r="Z373" s="70" t="s">
        <v>422</v>
      </c>
      <c r="AA373" s="1"/>
      <c r="AB373" s="68"/>
      <c r="AC373" s="76"/>
      <c r="AD373" s="70"/>
      <c r="AE373" s="228">
        <f>ROUND((ROUND((ROUND((_15_同援日１．５*_15・基礎２),0)*(1+_15・A深夜)),0)*(1+_15・盲ろう)),0)+ROUND((ROUND((ROUND((_15_同援日１．５＿０．５*_15・基礎２),0)*(1+_15・B早朝)),0)*(1+_15・盲ろう)),0)+ROUND((ROUND((_15_同援日１．５＿０．５＿０．５*_15・基礎２),0)*(1+_15・盲ろう)),0)</f>
        <v>873</v>
      </c>
      <c r="AF373" s="69"/>
    </row>
    <row r="374" spans="1:32" ht="16.5" customHeight="1" x14ac:dyDescent="0.3">
      <c r="A374" s="2">
        <v>15</v>
      </c>
      <c r="B374" s="2" t="s">
        <v>1032</v>
      </c>
      <c r="C374" s="60" t="s">
        <v>11169</v>
      </c>
      <c r="D374" s="1"/>
      <c r="E374" s="68"/>
      <c r="F374" s="70"/>
      <c r="G374" s="1"/>
      <c r="H374" s="68"/>
      <c r="I374" s="70"/>
      <c r="J374" s="1"/>
      <c r="K374" s="68"/>
      <c r="L374" s="70"/>
      <c r="M374" s="106" t="s">
        <v>5896</v>
      </c>
      <c r="N374" s="57" t="s">
        <v>1</v>
      </c>
      <c r="O374" s="58">
        <v>0.9</v>
      </c>
      <c r="P374" s="83" t="s">
        <v>5895</v>
      </c>
      <c r="Q374" s="64" t="s">
        <v>1</v>
      </c>
      <c r="R374" s="65">
        <v>1</v>
      </c>
      <c r="S374" s="99"/>
      <c r="T374" s="70"/>
      <c r="U374" s="99"/>
      <c r="V374" s="70"/>
      <c r="W374" s="106"/>
      <c r="X374" s="57"/>
      <c r="Y374" s="58"/>
      <c r="Z374" s="77"/>
      <c r="AA374" s="106"/>
      <c r="AB374" s="57"/>
      <c r="AC374" s="58"/>
      <c r="AD374" s="77"/>
      <c r="AE374" s="228">
        <f>ROUND((ROUND((ROUND((ROUND((_15_同援日１．５*_15・基礎２),0)*_15・２人),0)*(1+_15・A深夜)),0)*(1+_15・盲ろう)),0)+ROUND((ROUND((ROUND((ROUND((_15_同援日１．５＿０．５*_15・基礎２),0)*_15・２人),0)*(1+_15・B早朝)),0)*(1+_15・盲ろう)),0)+ROUND((ROUND((ROUND((_15_同援日１．５＿０．５＿０．５*_15・基礎２),0)*_15・２人),0)*(1+_15・盲ろう)),0)</f>
        <v>873</v>
      </c>
      <c r="AF374" s="69"/>
    </row>
    <row r="375" spans="1:32" ht="16.5" customHeight="1" x14ac:dyDescent="0.3">
      <c r="A375" s="2">
        <v>15</v>
      </c>
      <c r="B375" s="2" t="s">
        <v>1033</v>
      </c>
      <c r="C375" s="60" t="s">
        <v>11168</v>
      </c>
      <c r="D375" s="1"/>
      <c r="E375" s="68"/>
      <c r="F375" s="70"/>
      <c r="G375" s="1"/>
      <c r="H375" s="68"/>
      <c r="I375" s="70"/>
      <c r="J375" s="1"/>
      <c r="K375" s="68"/>
      <c r="L375" s="70"/>
      <c r="M375" s="74"/>
      <c r="N375" s="62"/>
      <c r="O375" s="63"/>
      <c r="P375" s="83"/>
      <c r="Q375" s="64"/>
      <c r="R375" s="65"/>
      <c r="S375" s="99"/>
      <c r="T375" s="70"/>
      <c r="U375" s="99"/>
      <c r="V375" s="70"/>
      <c r="W375" s="74"/>
      <c r="X375" s="62"/>
      <c r="Y375" s="63"/>
      <c r="Z375" s="75"/>
      <c r="AA375" s="78"/>
      <c r="AB375" s="62"/>
      <c r="AC375" s="63"/>
      <c r="AD375" s="75"/>
      <c r="AE375" s="228">
        <f>ROUND((ROUND((_15_同援日１．５*(1+_15・A深夜)),0)*(1+_15・区３)),0)+ROUND((ROUND((_15_同援日１．５＿０．５*(1+_15・B早朝)),0)*(1+_15・区３)),0)+ROUND((_15_同援日１．５＿０．５＿０．５*(1+_15・区３)),0)</f>
        <v>930</v>
      </c>
      <c r="AF375" s="69"/>
    </row>
    <row r="376" spans="1:32" ht="16.5" customHeight="1" x14ac:dyDescent="0.3">
      <c r="A376" s="2">
        <v>15</v>
      </c>
      <c r="B376" s="2" t="s">
        <v>1034</v>
      </c>
      <c r="C376" s="60" t="s">
        <v>11167</v>
      </c>
      <c r="D376" s="1"/>
      <c r="E376" s="68"/>
      <c r="F376" s="70"/>
      <c r="G376" s="1"/>
      <c r="H376" s="68"/>
      <c r="I376" s="70"/>
      <c r="J376" s="1"/>
      <c r="K376" s="68"/>
      <c r="L376" s="70"/>
      <c r="M376" s="106"/>
      <c r="N376" s="57"/>
      <c r="O376" s="58"/>
      <c r="P376" s="83" t="s">
        <v>5895</v>
      </c>
      <c r="Q376" s="64" t="s">
        <v>1</v>
      </c>
      <c r="R376" s="65">
        <v>1</v>
      </c>
      <c r="S376" s="99"/>
      <c r="T376" s="70"/>
      <c r="U376" s="99"/>
      <c r="V376" s="70"/>
      <c r="W376" s="94"/>
      <c r="X376" s="68"/>
      <c r="Y376" s="76"/>
      <c r="Z376" s="70"/>
      <c r="AA376" s="1"/>
      <c r="AB376" s="68"/>
      <c r="AC376" s="76"/>
      <c r="AD376" s="70"/>
      <c r="AE376" s="228">
        <f>ROUND((ROUND((ROUND((_15_同援日１．５*_15・２人),0)*(1+_15・A深夜)),0)*(1+_15・区３)),0)+ROUND((ROUND((ROUND((_15_同援日１．５＿０．５*_15・２人),0)*(1+_15・B早朝)),0)*(1+_15・区３)),0)+ROUND((ROUND((_15_同援日１．５＿０．５＿０．５*_15・２人),0)*(1+_15・区３)),0)</f>
        <v>930</v>
      </c>
      <c r="AF376" s="69"/>
    </row>
    <row r="377" spans="1:32" ht="16.5" customHeight="1" x14ac:dyDescent="0.3">
      <c r="A377" s="2">
        <v>15</v>
      </c>
      <c r="B377" s="2" t="s">
        <v>1035</v>
      </c>
      <c r="C377" s="60" t="s">
        <v>11166</v>
      </c>
      <c r="D377" s="1"/>
      <c r="E377" s="68"/>
      <c r="F377" s="70"/>
      <c r="G377" s="1"/>
      <c r="H377" s="68"/>
      <c r="I377" s="70"/>
      <c r="J377" s="1"/>
      <c r="K377" s="68"/>
      <c r="L377" s="70"/>
      <c r="M377" s="74" t="s">
        <v>16912</v>
      </c>
      <c r="N377" s="62"/>
      <c r="O377" s="63"/>
      <c r="P377" s="83"/>
      <c r="Q377" s="64"/>
      <c r="R377" s="65"/>
      <c r="S377" s="99"/>
      <c r="T377" s="70"/>
      <c r="U377" s="99"/>
      <c r="V377" s="70"/>
      <c r="W377" s="94"/>
      <c r="X377" s="68"/>
      <c r="Y377" s="76"/>
      <c r="Z377" s="70"/>
      <c r="AA377" s="1" t="s">
        <v>8098</v>
      </c>
      <c r="AB377" s="68"/>
      <c r="AC377" s="76"/>
      <c r="AD377" s="70"/>
      <c r="AE377" s="228">
        <f>ROUND((ROUND((ROUND((_15_同援日１．５*_15・基礎２),0)*(1+_15・A深夜)),0)*(1+_15・区３)),0)+ROUND((ROUND((ROUND((_15_同援日１．５＿０．５*_15・基礎２),0)*(1+_15・B早朝)),0)*(1+_15・区３)),0)+ROUND((ROUND((_15_同援日１．５＿０．５＿０．５*_15・基礎２),0)*(1+_15・区３)),0)</f>
        <v>839</v>
      </c>
      <c r="AF377" s="69"/>
    </row>
    <row r="378" spans="1:32" ht="16.5" customHeight="1" x14ac:dyDescent="0.3">
      <c r="A378" s="2">
        <v>15</v>
      </c>
      <c r="B378" s="2" t="s">
        <v>1036</v>
      </c>
      <c r="C378" s="60" t="s">
        <v>11165</v>
      </c>
      <c r="D378" s="1"/>
      <c r="E378" s="68"/>
      <c r="F378" s="70"/>
      <c r="G378" s="1"/>
      <c r="H378" s="68"/>
      <c r="I378" s="70"/>
      <c r="J378" s="1"/>
      <c r="K378" s="68"/>
      <c r="L378" s="70"/>
      <c r="M378" s="106" t="s">
        <v>5896</v>
      </c>
      <c r="N378" s="57" t="s">
        <v>1</v>
      </c>
      <c r="O378" s="58">
        <v>0.9</v>
      </c>
      <c r="P378" s="83" t="s">
        <v>5895</v>
      </c>
      <c r="Q378" s="64" t="s">
        <v>1</v>
      </c>
      <c r="R378" s="65">
        <v>1</v>
      </c>
      <c r="S378" s="99"/>
      <c r="T378" s="70"/>
      <c r="U378" s="99"/>
      <c r="V378" s="70"/>
      <c r="W378" s="106"/>
      <c r="X378" s="57"/>
      <c r="Y378" s="58"/>
      <c r="Z378" s="77"/>
      <c r="AA378" s="1" t="s">
        <v>8087</v>
      </c>
      <c r="AB378" s="68"/>
      <c r="AC378" s="76"/>
      <c r="AD378" s="70"/>
      <c r="AE378" s="228">
        <f>ROUND((ROUND((ROUND((ROUND((_15_同援日１．５*_15・基礎２),0)*_15・２人),0)*(1+_15・A深夜)),0)*(1+_15・区３)),0)+ROUND((ROUND((ROUND((ROUND((_15_同援日１．５＿０．５*_15・基礎２),0)*_15・２人),0)*(1+_15・B早朝)),0)*(1+_15・区３)),0)+ROUND((ROUND((ROUND((_15_同援日１．５＿０．５＿０．５*_15・基礎２),0)*_15・２人),0)*(1+_15・区３)),0)</f>
        <v>839</v>
      </c>
      <c r="AF378" s="69"/>
    </row>
    <row r="379" spans="1:32" ht="16.5" customHeight="1" x14ac:dyDescent="0.3">
      <c r="A379" s="2">
        <v>15</v>
      </c>
      <c r="B379" s="2" t="s">
        <v>1037</v>
      </c>
      <c r="C379" s="60" t="s">
        <v>11164</v>
      </c>
      <c r="D379" s="1"/>
      <c r="E379" s="68"/>
      <c r="F379" s="70"/>
      <c r="G379" s="1"/>
      <c r="H379" s="68"/>
      <c r="I379" s="70"/>
      <c r="J379" s="1"/>
      <c r="K379" s="68"/>
      <c r="L379" s="70"/>
      <c r="M379" s="74"/>
      <c r="N379" s="62"/>
      <c r="O379" s="63"/>
      <c r="P379" s="83"/>
      <c r="Q379" s="64"/>
      <c r="R379" s="65"/>
      <c r="S379" s="99"/>
      <c r="T379" s="70"/>
      <c r="U379" s="99"/>
      <c r="V379" s="70"/>
      <c r="W379" s="74" t="s">
        <v>8085</v>
      </c>
      <c r="X379" s="62"/>
      <c r="Y379" s="63"/>
      <c r="Z379" s="75"/>
      <c r="AA379" s="1"/>
      <c r="AB379" s="68" t="s">
        <v>1</v>
      </c>
      <c r="AC379" s="76">
        <v>0.2</v>
      </c>
      <c r="AD379" s="70" t="s">
        <v>422</v>
      </c>
      <c r="AE379" s="228">
        <f>ROUND((ROUND((ROUND((_15_同援日１．５*(1+_15・A深夜)),0)*(1+_15・盲ろう)),0)*(1+_15・区３)),0)+ROUND((ROUND((ROUND((_15_同援日１．５＿０．５*(1+_15・B早朝)),0)*(1+_15・盲ろう)),0)*(1+_15・区３)),0)+ROUND((ROUND((_15_同援日１．５＿０．５＿０．５*(1+_15・盲ろう)),0)*(1+_15・区３)),0)</f>
        <v>1163</v>
      </c>
      <c r="AF379" s="69"/>
    </row>
    <row r="380" spans="1:32" ht="16.5" customHeight="1" x14ac:dyDescent="0.3">
      <c r="A380" s="2">
        <v>15</v>
      </c>
      <c r="B380" s="2" t="s">
        <v>1038</v>
      </c>
      <c r="C380" s="60" t="s">
        <v>11163</v>
      </c>
      <c r="D380" s="1"/>
      <c r="E380" s="68"/>
      <c r="F380" s="70"/>
      <c r="G380" s="1"/>
      <c r="H380" s="68"/>
      <c r="I380" s="70"/>
      <c r="J380" s="1"/>
      <c r="K380" s="68"/>
      <c r="L380" s="70"/>
      <c r="M380" s="106"/>
      <c r="N380" s="57"/>
      <c r="O380" s="58"/>
      <c r="P380" s="83" t="s">
        <v>5895</v>
      </c>
      <c r="Q380" s="64" t="s">
        <v>1</v>
      </c>
      <c r="R380" s="65">
        <v>1</v>
      </c>
      <c r="S380" s="99"/>
      <c r="T380" s="70"/>
      <c r="U380" s="99"/>
      <c r="V380" s="70"/>
      <c r="W380" s="94" t="s">
        <v>18097</v>
      </c>
      <c r="X380" s="68"/>
      <c r="Y380" s="76"/>
      <c r="Z380" s="70"/>
      <c r="AA380" s="1"/>
      <c r="AB380" s="68"/>
      <c r="AC380" s="76"/>
      <c r="AD380" s="70"/>
      <c r="AE380" s="228">
        <f>ROUND((ROUND((ROUND((ROUND((_15_同援日１．５*_15・２人),0)*(1+_15・A深夜)),0)*(1+_15・盲ろう)),0)*(1+_15・区３)),0)+ROUND((ROUND((ROUND((ROUND((_15_同援日１．５＿０．５*_15・２人),0)*(1+_15・B早朝)),0)*(1+_15・盲ろう)),0)*(1+_15・区３)),0)+ROUND((ROUND((ROUND((_15_同援日１．５＿０．５＿０．５*_15・２人),0)*(1+_15・盲ろう)),0)*(1+_15・区３)),0)</f>
        <v>1163</v>
      </c>
      <c r="AF380" s="69"/>
    </row>
    <row r="381" spans="1:32" ht="16.5" customHeight="1" x14ac:dyDescent="0.3">
      <c r="A381" s="2">
        <v>15</v>
      </c>
      <c r="B381" s="2" t="s">
        <v>1039</v>
      </c>
      <c r="C381" s="60" t="s">
        <v>11162</v>
      </c>
      <c r="D381" s="1"/>
      <c r="E381" s="68"/>
      <c r="F381" s="70"/>
      <c r="G381" s="1"/>
      <c r="H381" s="68"/>
      <c r="I381" s="70"/>
      <c r="J381" s="1"/>
      <c r="K381" s="68"/>
      <c r="L381" s="70"/>
      <c r="M381" s="74" t="s">
        <v>16912</v>
      </c>
      <c r="N381" s="62"/>
      <c r="O381" s="63"/>
      <c r="P381" s="83"/>
      <c r="Q381" s="64"/>
      <c r="R381" s="65"/>
      <c r="S381" s="99"/>
      <c r="T381" s="70"/>
      <c r="U381" s="99"/>
      <c r="V381" s="70"/>
      <c r="W381" s="94"/>
      <c r="X381" s="68" t="s">
        <v>1</v>
      </c>
      <c r="Y381" s="76">
        <v>0.25</v>
      </c>
      <c r="Z381" s="70" t="s">
        <v>422</v>
      </c>
      <c r="AA381" s="1"/>
      <c r="AB381" s="68"/>
      <c r="AC381" s="76"/>
      <c r="AD381" s="70"/>
      <c r="AE381" s="228">
        <f>ROUND((ROUND((ROUND((ROUND((_15_同援日１．５*_15・基礎２),0)*(1+_15・A深夜)),0)*(1+_15・盲ろう)),0)*(1+_15・区３)),0)+ROUND((ROUND((ROUND((ROUND((_15_同援日１．５＿０．５*_15・基礎２),0)*(1+_15・B早朝)),0)*(1+_15・盲ろう)),0)*(1+_15・区３)),0)+ROUND((ROUND((ROUND((_15_同援日１．５＿０．５＿０．５*_15・基礎２),0)*(1+_15・盲ろう)),0)*(1+_15・区３)),0)</f>
        <v>1047</v>
      </c>
      <c r="AF381" s="69"/>
    </row>
    <row r="382" spans="1:32" ht="16.5" customHeight="1" x14ac:dyDescent="0.3">
      <c r="A382" s="2">
        <v>15</v>
      </c>
      <c r="B382" s="2" t="s">
        <v>1040</v>
      </c>
      <c r="C382" s="60" t="s">
        <v>11161</v>
      </c>
      <c r="D382" s="1"/>
      <c r="E382" s="68"/>
      <c r="F382" s="70"/>
      <c r="G382" s="1"/>
      <c r="H382" s="68"/>
      <c r="I382" s="70"/>
      <c r="J382" s="1"/>
      <c r="K382" s="68"/>
      <c r="L382" s="70"/>
      <c r="M382" s="106" t="s">
        <v>16916</v>
      </c>
      <c r="N382" s="57" t="s">
        <v>1</v>
      </c>
      <c r="O382" s="58">
        <v>0.9</v>
      </c>
      <c r="P382" s="83" t="s">
        <v>5895</v>
      </c>
      <c r="Q382" s="64" t="s">
        <v>1</v>
      </c>
      <c r="R382" s="65">
        <v>1</v>
      </c>
      <c r="S382" s="99"/>
      <c r="T382" s="70"/>
      <c r="U382" s="99"/>
      <c r="V382" s="70"/>
      <c r="W382" s="106"/>
      <c r="X382" s="57"/>
      <c r="Y382" s="58"/>
      <c r="Z382" s="77"/>
      <c r="AA382" s="106"/>
      <c r="AB382" s="57"/>
      <c r="AC382" s="58"/>
      <c r="AD382" s="77"/>
      <c r="AE382" s="228">
        <f>ROUND((ROUND((ROUND((ROUND((ROUND((_15_同援日１．５*_15・基礎２),0)*_15・２人),0)*(1+_15・A深夜)),0)*(1+_15・盲ろう)),0)*(1+_15・区３)),0)+ROUND((ROUND((ROUND((ROUND((ROUND((_15_同援日１．５＿０．５*_15・基礎２),0)*_15・２人),0)*(1+_15・B早朝)),0)*(1+_15・盲ろう)),0)*(1+_15・区３)),0)+ROUND((ROUND((ROUND((ROUND((_15_同援日１．５＿０．５＿０．５*_15・基礎２),0)*_15・２人),0)*(1+_15・盲ろう)),0)*(1+_15・区３)),0)</f>
        <v>1047</v>
      </c>
      <c r="AF382" s="69"/>
    </row>
    <row r="383" spans="1:32" ht="16.5" customHeight="1" x14ac:dyDescent="0.3">
      <c r="A383" s="2">
        <v>15</v>
      </c>
      <c r="B383" s="2" t="s">
        <v>1041</v>
      </c>
      <c r="C383" s="60" t="s">
        <v>11160</v>
      </c>
      <c r="D383" s="1"/>
      <c r="E383" s="68"/>
      <c r="F383" s="70"/>
      <c r="G383" s="1"/>
      <c r="H383" s="68"/>
      <c r="I383" s="70"/>
      <c r="J383" s="1"/>
      <c r="K383" s="68"/>
      <c r="L383" s="70"/>
      <c r="M383" s="74"/>
      <c r="N383" s="62"/>
      <c r="O383" s="63"/>
      <c r="P383" s="83"/>
      <c r="Q383" s="64"/>
      <c r="R383" s="65"/>
      <c r="S383" s="99"/>
      <c r="T383" s="70"/>
      <c r="U383" s="99"/>
      <c r="V383" s="70"/>
      <c r="W383" s="74"/>
      <c r="X383" s="62"/>
      <c r="Y383" s="63"/>
      <c r="Z383" s="75"/>
      <c r="AA383" s="78"/>
      <c r="AB383" s="62"/>
      <c r="AC383" s="63"/>
      <c r="AD383" s="75"/>
      <c r="AE383" s="228">
        <f>ROUND((ROUND((_15_同援日１．５*(1+_15・A深夜)),0)*(1+_15・区４)),0)+ROUND((ROUND((_15_同援日１．５＿０．５*(1+_15・B早朝)),0)*(1+_15・区４)),0)+ROUND((_15_同援日１．５＿０．５＿０．５*(1+_15・区４)),0)</f>
        <v>1085</v>
      </c>
      <c r="AF383" s="69"/>
    </row>
    <row r="384" spans="1:32" ht="16.5" customHeight="1" x14ac:dyDescent="0.3">
      <c r="A384" s="2">
        <v>15</v>
      </c>
      <c r="B384" s="2" t="s">
        <v>1042</v>
      </c>
      <c r="C384" s="60" t="s">
        <v>11159</v>
      </c>
      <c r="D384" s="1"/>
      <c r="E384" s="68"/>
      <c r="F384" s="70"/>
      <c r="G384" s="1"/>
      <c r="H384" s="68"/>
      <c r="I384" s="70"/>
      <c r="J384" s="1"/>
      <c r="K384" s="68"/>
      <c r="L384" s="70"/>
      <c r="M384" s="106"/>
      <c r="N384" s="57"/>
      <c r="O384" s="58"/>
      <c r="P384" s="83" t="s">
        <v>5895</v>
      </c>
      <c r="Q384" s="64" t="s">
        <v>1</v>
      </c>
      <c r="R384" s="65">
        <v>1</v>
      </c>
      <c r="S384" s="99"/>
      <c r="T384" s="70"/>
      <c r="U384" s="99"/>
      <c r="V384" s="70"/>
      <c r="W384" s="94"/>
      <c r="X384" s="68"/>
      <c r="Y384" s="76"/>
      <c r="Z384" s="70"/>
      <c r="AA384" s="1"/>
      <c r="AB384" s="68"/>
      <c r="AC384" s="76"/>
      <c r="AD384" s="70"/>
      <c r="AE384" s="228">
        <f>ROUND((ROUND((ROUND((_15_同援日１．５*_15・２人),0)*(1+_15・A深夜)),0)*(1+_15・区４)),0)+ROUND((ROUND((ROUND((_15_同援日１．５＿０．５*_15・２人),0)*(1+_15・B早朝)),0)*(1+_15・区４)),0)+ROUND((ROUND((_15_同援日１．５＿０．５＿０．５*_15・２人),0)*(1+_15・区４)),0)</f>
        <v>1085</v>
      </c>
      <c r="AF384" s="69"/>
    </row>
    <row r="385" spans="1:32" ht="16.5" customHeight="1" x14ac:dyDescent="0.3">
      <c r="A385" s="2">
        <v>15</v>
      </c>
      <c r="B385" s="2" t="s">
        <v>1043</v>
      </c>
      <c r="C385" s="60" t="s">
        <v>11158</v>
      </c>
      <c r="D385" s="1"/>
      <c r="E385" s="68"/>
      <c r="F385" s="70"/>
      <c r="G385" s="1"/>
      <c r="H385" s="68"/>
      <c r="I385" s="70"/>
      <c r="J385" s="1"/>
      <c r="K385" s="68"/>
      <c r="L385" s="70"/>
      <c r="M385" s="74" t="s">
        <v>16912</v>
      </c>
      <c r="N385" s="62"/>
      <c r="O385" s="63"/>
      <c r="P385" s="83"/>
      <c r="Q385" s="64"/>
      <c r="R385" s="65"/>
      <c r="S385" s="99"/>
      <c r="T385" s="70"/>
      <c r="U385" s="99"/>
      <c r="V385" s="70"/>
      <c r="W385" s="94"/>
      <c r="X385" s="68"/>
      <c r="Y385" s="76"/>
      <c r="Z385" s="70"/>
      <c r="AA385" s="1" t="s">
        <v>18100</v>
      </c>
      <c r="AB385" s="68"/>
      <c r="AC385" s="76"/>
      <c r="AD385" s="70"/>
      <c r="AE385" s="228">
        <f>ROUND((ROUND((ROUND((_15_同援日１．５*_15・基礎２),0)*(1+_15・A深夜)),0)*(1+_15・区４)),0)+ROUND((ROUND((ROUND((_15_同援日１．５＿０．５*_15・基礎２),0)*(1+_15・B早朝)),0)*(1+_15・区４)),0)+ROUND((ROUND((_15_同援日１．５＿０．５＿０．５*_15・基礎２),0)*(1+_15・区４)),0)</f>
        <v>979</v>
      </c>
      <c r="AF385" s="69"/>
    </row>
    <row r="386" spans="1:32" ht="16.5" customHeight="1" x14ac:dyDescent="0.3">
      <c r="A386" s="2">
        <v>15</v>
      </c>
      <c r="B386" s="2" t="s">
        <v>1044</v>
      </c>
      <c r="C386" s="60" t="s">
        <v>11157</v>
      </c>
      <c r="D386" s="1"/>
      <c r="E386" s="68"/>
      <c r="F386" s="70"/>
      <c r="G386" s="1"/>
      <c r="H386" s="68"/>
      <c r="I386" s="70"/>
      <c r="J386" s="1"/>
      <c r="K386" s="68"/>
      <c r="L386" s="70"/>
      <c r="M386" s="106" t="s">
        <v>5896</v>
      </c>
      <c r="N386" s="57" t="s">
        <v>1</v>
      </c>
      <c r="O386" s="58">
        <v>0.9</v>
      </c>
      <c r="P386" s="83" t="s">
        <v>5895</v>
      </c>
      <c r="Q386" s="64" t="s">
        <v>1</v>
      </c>
      <c r="R386" s="65">
        <v>1</v>
      </c>
      <c r="S386" s="99"/>
      <c r="T386" s="70"/>
      <c r="U386" s="99"/>
      <c r="V386" s="70"/>
      <c r="W386" s="106"/>
      <c r="X386" s="57"/>
      <c r="Y386" s="58"/>
      <c r="Z386" s="77"/>
      <c r="AA386" s="1" t="s">
        <v>18099</v>
      </c>
      <c r="AB386" s="68"/>
      <c r="AC386" s="76"/>
      <c r="AD386" s="70"/>
      <c r="AE386" s="228">
        <f>ROUND((ROUND((ROUND((ROUND((_15_同援日１．５*_15・基礎２),0)*_15・２人),0)*(1+_15・A深夜)),0)*(1+_15・区４)),0)+ROUND((ROUND((ROUND((ROUND((_15_同援日１．５＿０．５*_15・基礎２),0)*_15・２人),0)*(1+_15・B早朝)),0)*(1+_15・区４)),0)+ROUND((ROUND((ROUND((_15_同援日１．５＿０．５＿０．５*_15・基礎２),0)*_15・２人),0)*(1+_15・区４)),0)</f>
        <v>979</v>
      </c>
      <c r="AF386" s="69"/>
    </row>
    <row r="387" spans="1:32" ht="16.5" customHeight="1" x14ac:dyDescent="0.3">
      <c r="A387" s="2">
        <v>15</v>
      </c>
      <c r="B387" s="2" t="s">
        <v>1045</v>
      </c>
      <c r="C387" s="60" t="s">
        <v>11156</v>
      </c>
      <c r="D387" s="1"/>
      <c r="E387" s="68"/>
      <c r="F387" s="70"/>
      <c r="G387" s="1"/>
      <c r="H387" s="68"/>
      <c r="I387" s="70"/>
      <c r="J387" s="1"/>
      <c r="K387" s="68"/>
      <c r="L387" s="70"/>
      <c r="M387" s="74"/>
      <c r="N387" s="62"/>
      <c r="O387" s="63"/>
      <c r="P387" s="83"/>
      <c r="Q387" s="64"/>
      <c r="R387" s="65"/>
      <c r="S387" s="99"/>
      <c r="T387" s="70"/>
      <c r="U387" s="99"/>
      <c r="V387" s="70"/>
      <c r="W387" s="74" t="s">
        <v>8085</v>
      </c>
      <c r="X387" s="62"/>
      <c r="Y387" s="63"/>
      <c r="Z387" s="75"/>
      <c r="AA387" s="1"/>
      <c r="AB387" s="68" t="s">
        <v>1</v>
      </c>
      <c r="AC387" s="76">
        <v>0.4</v>
      </c>
      <c r="AD387" s="70" t="s">
        <v>422</v>
      </c>
      <c r="AE387" s="228">
        <f>ROUND((ROUND((ROUND((_15_同援日１．５*(1+_15・A深夜)),0)*(1+_15・盲ろう)),0)*(1+_15・区４)),0)+ROUND((ROUND((ROUND((_15_同援日１．５＿０．５*(1+_15・B早朝)),0)*(1+_15・盲ろう)),0)*(1+_15・区４)),0)+ROUND((ROUND((_15_同援日１．５＿０．５＿０．５*(1+_15・盲ろう)),0)*(1+_15・区４)),0)</f>
        <v>1357</v>
      </c>
      <c r="AF387" s="69"/>
    </row>
    <row r="388" spans="1:32" ht="16.5" customHeight="1" x14ac:dyDescent="0.3">
      <c r="A388" s="2">
        <v>15</v>
      </c>
      <c r="B388" s="2" t="s">
        <v>1046</v>
      </c>
      <c r="C388" s="60" t="s">
        <v>11155</v>
      </c>
      <c r="D388" s="1"/>
      <c r="E388" s="68"/>
      <c r="F388" s="70"/>
      <c r="G388" s="1"/>
      <c r="H388" s="68"/>
      <c r="I388" s="70"/>
      <c r="J388" s="1"/>
      <c r="K388" s="68"/>
      <c r="L388" s="70"/>
      <c r="M388" s="106"/>
      <c r="N388" s="57"/>
      <c r="O388" s="58"/>
      <c r="P388" s="83" t="s">
        <v>5895</v>
      </c>
      <c r="Q388" s="64" t="s">
        <v>1</v>
      </c>
      <c r="R388" s="65">
        <v>1</v>
      </c>
      <c r="S388" s="99"/>
      <c r="T388" s="70"/>
      <c r="U388" s="99"/>
      <c r="V388" s="70"/>
      <c r="W388" s="94" t="s">
        <v>18097</v>
      </c>
      <c r="X388" s="68"/>
      <c r="Y388" s="76"/>
      <c r="Z388" s="70"/>
      <c r="AA388" s="1"/>
      <c r="AB388" s="68"/>
      <c r="AC388" s="76"/>
      <c r="AD388" s="70"/>
      <c r="AE388" s="228">
        <f>ROUND((ROUND((ROUND((ROUND((_15_同援日１．５*_15・２人),0)*(1+_15・A深夜)),0)*(1+_15・盲ろう)),0)*(1+_15・区４)),0)+ROUND((ROUND((ROUND((ROUND((_15_同援日１．５＿０．５*_15・２人),0)*(1+_15・B早朝)),0)*(1+_15・盲ろう)),0)*(1+_15・区４)),0)+ROUND((ROUND((ROUND((_15_同援日１．５＿０．５＿０．５*_15・２人),0)*(1+_15・盲ろう)),0)*(1+_15・区４)),0)</f>
        <v>1357</v>
      </c>
      <c r="AF388" s="69"/>
    </row>
    <row r="389" spans="1:32" ht="16.5" customHeight="1" x14ac:dyDescent="0.3">
      <c r="A389" s="2">
        <v>15</v>
      </c>
      <c r="B389" s="2" t="s">
        <v>1047</v>
      </c>
      <c r="C389" s="60" t="s">
        <v>11154</v>
      </c>
      <c r="D389" s="1"/>
      <c r="E389" s="68"/>
      <c r="F389" s="70"/>
      <c r="G389" s="1"/>
      <c r="H389" s="68"/>
      <c r="I389" s="70"/>
      <c r="J389" s="1"/>
      <c r="K389" s="68"/>
      <c r="L389" s="70"/>
      <c r="M389" s="74" t="s">
        <v>16912</v>
      </c>
      <c r="N389" s="62"/>
      <c r="O389" s="63"/>
      <c r="P389" s="83"/>
      <c r="Q389" s="64"/>
      <c r="R389" s="65"/>
      <c r="S389" s="99"/>
      <c r="T389" s="70"/>
      <c r="U389" s="99"/>
      <c r="V389" s="70"/>
      <c r="W389" s="94"/>
      <c r="X389" s="68" t="s">
        <v>1</v>
      </c>
      <c r="Y389" s="76">
        <v>0.25</v>
      </c>
      <c r="Z389" s="70" t="s">
        <v>422</v>
      </c>
      <c r="AA389" s="1"/>
      <c r="AB389" s="68"/>
      <c r="AC389" s="76"/>
      <c r="AD389" s="70"/>
      <c r="AE389" s="228">
        <f>ROUND((ROUND((ROUND((ROUND((_15_同援日１．５*_15・基礎２),0)*(1+_15・A深夜)),0)*(1+_15・盲ろう)),0)*(1+_15・区４)),0)+ROUND((ROUND((ROUND((ROUND((_15_同援日１．５＿０．５*_15・基礎２),0)*(1+_15・B早朝)),0)*(1+_15・盲ろう)),0)*(1+_15・区４)),0)+ROUND((ROUND((ROUND((_15_同援日１．５＿０．５＿０．５*_15・基礎２),0)*(1+_15・盲ろう)),0)*(1+_15・区４)),0)</f>
        <v>1221</v>
      </c>
      <c r="AF389" s="69"/>
    </row>
    <row r="390" spans="1:32" ht="16.5" customHeight="1" x14ac:dyDescent="0.3">
      <c r="A390" s="2">
        <v>15</v>
      </c>
      <c r="B390" s="2" t="s">
        <v>1048</v>
      </c>
      <c r="C390" s="60" t="s">
        <v>11153</v>
      </c>
      <c r="D390" s="1"/>
      <c r="E390" s="68"/>
      <c r="F390" s="70"/>
      <c r="G390" s="1"/>
      <c r="H390" s="68"/>
      <c r="I390" s="70"/>
      <c r="J390" s="81"/>
      <c r="K390" s="57"/>
      <c r="L390" s="77"/>
      <c r="M390" s="106" t="s">
        <v>16916</v>
      </c>
      <c r="N390" s="57" t="s">
        <v>1</v>
      </c>
      <c r="O390" s="58">
        <v>0.9</v>
      </c>
      <c r="P390" s="83" t="s">
        <v>5895</v>
      </c>
      <c r="Q390" s="64" t="s">
        <v>1</v>
      </c>
      <c r="R390" s="65">
        <v>1</v>
      </c>
      <c r="S390" s="99"/>
      <c r="T390" s="70"/>
      <c r="U390" s="99"/>
      <c r="V390" s="70"/>
      <c r="W390" s="106"/>
      <c r="X390" s="57"/>
      <c r="Y390" s="58"/>
      <c r="Z390" s="77"/>
      <c r="AA390" s="106"/>
      <c r="AB390" s="57"/>
      <c r="AC390" s="58"/>
      <c r="AD390" s="77"/>
      <c r="AE390" s="228">
        <f>ROUND((ROUND((ROUND((ROUND((ROUND((_15_同援日１．５*_15・基礎２),0)*_15・２人),0)*(1+_15・A深夜)),0)*(1+_15・盲ろう)),0)*(1+_15・区４)),0)+ROUND((ROUND((ROUND((ROUND((ROUND((_15_同援日１．５＿０．５*_15・基礎２),0)*_15・２人),0)*(1+_15・B早朝)),0)*(1+_15・盲ろう)),0)*(1+_15・区４)),0)+ROUND((ROUND((ROUND((ROUND((_15_同援日１．５＿０．５＿０．５*_15・基礎２),0)*_15・２人),0)*(1+_15・盲ろう)),0)*(1+_15・区４)),0)</f>
        <v>1221</v>
      </c>
      <c r="AF390" s="69"/>
    </row>
    <row r="391" spans="1:32" ht="16.5" customHeight="1" x14ac:dyDescent="0.3">
      <c r="A391" s="2">
        <v>15</v>
      </c>
      <c r="B391" s="2" t="s">
        <v>1049</v>
      </c>
      <c r="C391" s="60" t="s">
        <v>11152</v>
      </c>
      <c r="D391" s="1"/>
      <c r="E391" s="68"/>
      <c r="F391" s="70"/>
      <c r="G391" s="1"/>
      <c r="H391" s="68"/>
      <c r="I391" s="70"/>
      <c r="J391" s="74" t="s">
        <v>17363</v>
      </c>
      <c r="K391" s="62"/>
      <c r="L391" s="75"/>
      <c r="M391" s="74"/>
      <c r="N391" s="62"/>
      <c r="O391" s="63"/>
      <c r="P391" s="83"/>
      <c r="Q391" s="64"/>
      <c r="R391" s="65"/>
      <c r="S391" s="99"/>
      <c r="T391" s="70"/>
      <c r="U391" s="99"/>
      <c r="V391" s="70"/>
      <c r="W391" s="74"/>
      <c r="X391" s="62"/>
      <c r="Y391" s="63"/>
      <c r="Z391" s="75"/>
      <c r="AA391" s="78"/>
      <c r="AB391" s="62"/>
      <c r="AC391" s="63"/>
      <c r="AD391" s="75"/>
      <c r="AE391" s="228">
        <f>ROUND((_15_同援日１．５*(1+_15・A深夜)),0)+ROUND((_15_同援日１．５＿０．５*(1+_15・B早朝)),0)+_15_同援日１．５＿０．５＿１．０</f>
        <v>838</v>
      </c>
      <c r="AF391" s="69"/>
    </row>
    <row r="392" spans="1:32" ht="16.5" customHeight="1" x14ac:dyDescent="0.3">
      <c r="A392" s="2">
        <v>15</v>
      </c>
      <c r="B392" s="2" t="s">
        <v>1050</v>
      </c>
      <c r="C392" s="60" t="s">
        <v>11151</v>
      </c>
      <c r="D392" s="1"/>
      <c r="E392" s="68"/>
      <c r="F392" s="70"/>
      <c r="G392" s="1"/>
      <c r="H392" s="68"/>
      <c r="I392" s="70"/>
      <c r="J392" s="1" t="s">
        <v>5993</v>
      </c>
      <c r="K392" s="68"/>
      <c r="L392" s="70"/>
      <c r="M392" s="106"/>
      <c r="N392" s="57"/>
      <c r="O392" s="58"/>
      <c r="P392" s="83" t="s">
        <v>5895</v>
      </c>
      <c r="Q392" s="64" t="s">
        <v>1</v>
      </c>
      <c r="R392" s="65">
        <v>1</v>
      </c>
      <c r="S392" s="99"/>
      <c r="T392" s="70"/>
      <c r="U392" s="99"/>
      <c r="V392" s="70"/>
      <c r="W392" s="94"/>
      <c r="X392" s="68"/>
      <c r="Y392" s="76"/>
      <c r="Z392" s="70"/>
      <c r="AA392" s="1"/>
      <c r="AB392" s="68"/>
      <c r="AC392" s="76"/>
      <c r="AD392" s="70"/>
      <c r="AE392" s="228">
        <f>ROUND((ROUND((_15_同援日１．５*_15・２人),0)*(1+_15・A深夜)),0)+ROUND((ROUND((_15_同援日１．５＿０．５*_15・２人),0)*(1+_15・B早朝)),0)+ROUND((_15_同援日１．５＿０．５＿１．０*_15・２人),0)</f>
        <v>838</v>
      </c>
      <c r="AF392" s="69"/>
    </row>
    <row r="393" spans="1:32" ht="16.5" customHeight="1" x14ac:dyDescent="0.3">
      <c r="A393" s="2">
        <v>15</v>
      </c>
      <c r="B393" s="2" t="s">
        <v>1051</v>
      </c>
      <c r="C393" s="60" t="s">
        <v>11150</v>
      </c>
      <c r="D393" s="1"/>
      <c r="E393" s="68"/>
      <c r="F393" s="70"/>
      <c r="G393" s="1"/>
      <c r="H393" s="68"/>
      <c r="I393" s="70"/>
      <c r="J393" s="1" t="s">
        <v>8572</v>
      </c>
      <c r="K393" s="68"/>
      <c r="L393" s="70"/>
      <c r="M393" s="74" t="s">
        <v>16912</v>
      </c>
      <c r="N393" s="62"/>
      <c r="O393" s="63"/>
      <c r="P393" s="83"/>
      <c r="Q393" s="64"/>
      <c r="R393" s="65"/>
      <c r="S393" s="99"/>
      <c r="T393" s="70"/>
      <c r="U393" s="99"/>
      <c r="V393" s="70"/>
      <c r="W393" s="94"/>
      <c r="X393" s="68"/>
      <c r="Y393" s="76"/>
      <c r="Z393" s="70"/>
      <c r="AA393" s="1"/>
      <c r="AB393" s="68"/>
      <c r="AC393" s="76"/>
      <c r="AD393" s="70"/>
      <c r="AE393" s="228">
        <f>ROUND((ROUND((_15_同援日１．５*_15・基礎２),0)*(1+_15・A深夜)),0)+ROUND((ROUND((_15_同援日１．５＿０．５*_15・基礎２),0)*(1+_15・B早朝)),0)+ROUND((_15_同援日１．５＿０．５＿１．０*_15・基礎２),0)</f>
        <v>755</v>
      </c>
      <c r="AF393" s="69"/>
    </row>
    <row r="394" spans="1:32" ht="16.5" customHeight="1" x14ac:dyDescent="0.3">
      <c r="A394" s="2">
        <v>15</v>
      </c>
      <c r="B394" s="2" t="s">
        <v>1052</v>
      </c>
      <c r="C394" s="60" t="s">
        <v>11149</v>
      </c>
      <c r="D394" s="1"/>
      <c r="E394" s="68"/>
      <c r="F394" s="70"/>
      <c r="G394" s="1"/>
      <c r="H394" s="68"/>
      <c r="I394" s="70"/>
      <c r="J394" s="1"/>
      <c r="K394" s="227">
        <v>126</v>
      </c>
      <c r="L394" s="70" t="s">
        <v>0</v>
      </c>
      <c r="M394" s="106" t="s">
        <v>16916</v>
      </c>
      <c r="N394" s="57" t="s">
        <v>1</v>
      </c>
      <c r="O394" s="58">
        <v>0.9</v>
      </c>
      <c r="P394" s="83" t="s">
        <v>5895</v>
      </c>
      <c r="Q394" s="64" t="s">
        <v>1</v>
      </c>
      <c r="R394" s="65">
        <v>1</v>
      </c>
      <c r="S394" s="99"/>
      <c r="T394" s="70"/>
      <c r="U394" s="99"/>
      <c r="V394" s="70"/>
      <c r="W394" s="106"/>
      <c r="X394" s="57"/>
      <c r="Y394" s="58"/>
      <c r="Z394" s="77"/>
      <c r="AA394" s="1"/>
      <c r="AB394" s="68"/>
      <c r="AC394" s="76"/>
      <c r="AD394" s="70"/>
      <c r="AE394" s="228">
        <f>ROUND((ROUND((ROUND((_15_同援日１．５*_15・基礎２),0)*_15・２人),0)*(1+_15・A深夜)),0)+ROUND((ROUND((ROUND((_15_同援日１．５＿０．５*_15・基礎２),0)*_15・２人),0)*(1+_15・B早朝)),0)+ROUND((ROUND((_15_同援日１．５＿０．５＿１．０*_15・基礎２),0)*_15・２人),0)</f>
        <v>755</v>
      </c>
      <c r="AF394" s="69"/>
    </row>
    <row r="395" spans="1:32" ht="16.5" customHeight="1" x14ac:dyDescent="0.3">
      <c r="A395" s="2">
        <v>15</v>
      </c>
      <c r="B395" s="2" t="s">
        <v>1053</v>
      </c>
      <c r="C395" s="60" t="s">
        <v>11148</v>
      </c>
      <c r="D395" s="1"/>
      <c r="E395" s="68"/>
      <c r="F395" s="70"/>
      <c r="G395" s="1"/>
      <c r="H395" s="68"/>
      <c r="I395" s="70"/>
      <c r="J395" s="1"/>
      <c r="K395" s="68"/>
      <c r="L395" s="70"/>
      <c r="M395" s="74"/>
      <c r="N395" s="62"/>
      <c r="O395" s="63"/>
      <c r="P395" s="83"/>
      <c r="Q395" s="64"/>
      <c r="R395" s="65"/>
      <c r="S395" s="99"/>
      <c r="T395" s="70"/>
      <c r="U395" s="99"/>
      <c r="V395" s="70"/>
      <c r="W395" s="74" t="s">
        <v>18098</v>
      </c>
      <c r="X395" s="62"/>
      <c r="Y395" s="63"/>
      <c r="Z395" s="75"/>
      <c r="AA395" s="1"/>
      <c r="AB395" s="68"/>
      <c r="AC395" s="76"/>
      <c r="AD395" s="70"/>
      <c r="AE395" s="228">
        <f>ROUND((ROUND((_15_同援日１．５*(1+_15・A深夜)),0)*(1+_15・盲ろう)),0)+ROUND((ROUND((_15_同援日１．５＿０．５*(1+_15・B早朝)),0)*(1+_15・盲ろう)),0)+ROUND((_15_同援日１．５＿０．５＿１．０*(1+_15・盲ろう)),0)</f>
        <v>1048</v>
      </c>
      <c r="AF395" s="69"/>
    </row>
    <row r="396" spans="1:32" ht="16.5" customHeight="1" x14ac:dyDescent="0.3">
      <c r="A396" s="2">
        <v>15</v>
      </c>
      <c r="B396" s="2" t="s">
        <v>1054</v>
      </c>
      <c r="C396" s="60" t="s">
        <v>11147</v>
      </c>
      <c r="D396" s="1"/>
      <c r="E396" s="68"/>
      <c r="F396" s="70"/>
      <c r="G396" s="1"/>
      <c r="H396" s="68"/>
      <c r="I396" s="70"/>
      <c r="J396" s="1"/>
      <c r="K396" s="68"/>
      <c r="L396" s="70"/>
      <c r="M396" s="106"/>
      <c r="N396" s="57"/>
      <c r="O396" s="58"/>
      <c r="P396" s="83" t="s">
        <v>5895</v>
      </c>
      <c r="Q396" s="64" t="s">
        <v>1</v>
      </c>
      <c r="R396" s="65">
        <v>1</v>
      </c>
      <c r="S396" s="99"/>
      <c r="T396" s="70"/>
      <c r="U396" s="99"/>
      <c r="V396" s="70"/>
      <c r="W396" s="94" t="s">
        <v>18097</v>
      </c>
      <c r="X396" s="68"/>
      <c r="Y396" s="76"/>
      <c r="Z396" s="70"/>
      <c r="AA396" s="1"/>
      <c r="AB396" s="68"/>
      <c r="AC396" s="76"/>
      <c r="AD396" s="70"/>
      <c r="AE396" s="228">
        <f>ROUND((ROUND((ROUND((_15_同援日１．５*_15・２人),0)*(1+_15・A深夜)),0)*(1+_15・盲ろう)),0)+ROUND((ROUND((ROUND((_15_同援日１．５＿０．５*_15・２人),0)*(1+_15・B早朝)),0)*(1+_15・盲ろう)),0)+ROUND((ROUND((_15_同援日１．５＿０．５＿１．０*_15・２人),0)*(1+_15・盲ろう)),0)</f>
        <v>1048</v>
      </c>
      <c r="AF396" s="69"/>
    </row>
    <row r="397" spans="1:32" ht="16.5" customHeight="1" x14ac:dyDescent="0.3">
      <c r="A397" s="2">
        <v>15</v>
      </c>
      <c r="B397" s="2" t="s">
        <v>1055</v>
      </c>
      <c r="C397" s="60" t="s">
        <v>11146</v>
      </c>
      <c r="D397" s="1"/>
      <c r="E397" s="68"/>
      <c r="F397" s="70"/>
      <c r="G397" s="1"/>
      <c r="H397" s="68"/>
      <c r="I397" s="70"/>
      <c r="J397" s="1"/>
      <c r="K397" s="68"/>
      <c r="L397" s="70"/>
      <c r="M397" s="74" t="s">
        <v>16823</v>
      </c>
      <c r="N397" s="62"/>
      <c r="O397" s="63"/>
      <c r="P397" s="83"/>
      <c r="Q397" s="64"/>
      <c r="R397" s="65"/>
      <c r="S397" s="99"/>
      <c r="T397" s="70"/>
      <c r="U397" s="99"/>
      <c r="V397" s="70"/>
      <c r="W397" s="94"/>
      <c r="X397" s="68" t="s">
        <v>1</v>
      </c>
      <c r="Y397" s="76">
        <v>0.25</v>
      </c>
      <c r="Z397" s="70" t="s">
        <v>422</v>
      </c>
      <c r="AA397" s="1"/>
      <c r="AB397" s="68"/>
      <c r="AC397" s="76"/>
      <c r="AD397" s="70"/>
      <c r="AE397" s="228">
        <f>ROUND((ROUND((ROUND((_15_同援日１．５*_15・基礎２),0)*(1+_15・A深夜)),0)*(1+_15・盲ろう)),0)+ROUND((ROUND((ROUND((_15_同援日１．５＿０．５*_15・基礎２),0)*(1+_15・B早朝)),0)*(1+_15・盲ろう)),0)+ROUND((ROUND((_15_同援日１．５＿０．５＿１．０*_15・基礎２),0)*(1+_15・盲ろう)),0)</f>
        <v>943</v>
      </c>
      <c r="AF397" s="69"/>
    </row>
    <row r="398" spans="1:32" ht="16.5" customHeight="1" x14ac:dyDescent="0.3">
      <c r="A398" s="2">
        <v>15</v>
      </c>
      <c r="B398" s="2" t="s">
        <v>1056</v>
      </c>
      <c r="C398" s="60" t="s">
        <v>11145</v>
      </c>
      <c r="D398" s="1"/>
      <c r="E398" s="68"/>
      <c r="F398" s="70"/>
      <c r="G398" s="1"/>
      <c r="H398" s="68"/>
      <c r="I398" s="70"/>
      <c r="J398" s="1"/>
      <c r="K398" s="68"/>
      <c r="L398" s="70"/>
      <c r="M398" s="106" t="s">
        <v>16812</v>
      </c>
      <c r="N398" s="57" t="s">
        <v>1</v>
      </c>
      <c r="O398" s="58">
        <v>0.9</v>
      </c>
      <c r="P398" s="83" t="s">
        <v>5895</v>
      </c>
      <c r="Q398" s="64" t="s">
        <v>1</v>
      </c>
      <c r="R398" s="65">
        <v>1</v>
      </c>
      <c r="S398" s="99"/>
      <c r="T398" s="70"/>
      <c r="U398" s="99"/>
      <c r="V398" s="70"/>
      <c r="W398" s="106"/>
      <c r="X398" s="57"/>
      <c r="Y398" s="58"/>
      <c r="Z398" s="77"/>
      <c r="AA398" s="106"/>
      <c r="AB398" s="57"/>
      <c r="AC398" s="58"/>
      <c r="AD398" s="77"/>
      <c r="AE398" s="228">
        <f>ROUND((ROUND((ROUND((ROUND((_15_同援日１．５*_15・基礎２),0)*_15・２人),0)*(1+_15・A深夜)),0)*(1+_15・盲ろう)),0)+ROUND((ROUND((ROUND((ROUND((_15_同援日１．５＿０．５*_15・基礎２),0)*_15・２人),0)*(1+_15・B早朝)),0)*(1+_15・盲ろう)),0)+ROUND((ROUND((ROUND((_15_同援日１．５＿０．５＿１．０*_15・基礎２),0)*_15・２人),0)*(1+_15・盲ろう)),0)</f>
        <v>943</v>
      </c>
      <c r="AF398" s="69"/>
    </row>
    <row r="399" spans="1:32" ht="16.5" customHeight="1" x14ac:dyDescent="0.3">
      <c r="A399" s="2">
        <v>15</v>
      </c>
      <c r="B399" s="2" t="s">
        <v>1057</v>
      </c>
      <c r="C399" s="60" t="s">
        <v>11144</v>
      </c>
      <c r="D399" s="1"/>
      <c r="E399" s="68"/>
      <c r="F399" s="70"/>
      <c r="G399" s="1"/>
      <c r="H399" s="68"/>
      <c r="I399" s="70"/>
      <c r="J399" s="1"/>
      <c r="K399" s="68"/>
      <c r="L399" s="70"/>
      <c r="M399" s="74"/>
      <c r="N399" s="62"/>
      <c r="O399" s="63"/>
      <c r="P399" s="83"/>
      <c r="Q399" s="64"/>
      <c r="R399" s="65"/>
      <c r="S399" s="99"/>
      <c r="T399" s="70"/>
      <c r="U399" s="99"/>
      <c r="V399" s="70"/>
      <c r="W399" s="74"/>
      <c r="X399" s="62"/>
      <c r="Y399" s="63"/>
      <c r="Z399" s="75"/>
      <c r="AA399" s="78"/>
      <c r="AB399" s="62"/>
      <c r="AC399" s="63"/>
      <c r="AD399" s="75"/>
      <c r="AE399" s="228">
        <f>ROUND((ROUND((_15_同援日１．５*(1+_15・A深夜)),0)*(1+_15・区３)),0)+ROUND((ROUND((_15_同援日１．５＿０．５*(1+_15・B早朝)),0)*(1+_15・区３)),0)+ROUND((_15_同援日１．５＿０．５＿１．０*(1+_15・区３)),0)</f>
        <v>1005</v>
      </c>
      <c r="AF399" s="69"/>
    </row>
    <row r="400" spans="1:32" ht="16.5" customHeight="1" x14ac:dyDescent="0.3">
      <c r="A400" s="2">
        <v>15</v>
      </c>
      <c r="B400" s="2" t="s">
        <v>1058</v>
      </c>
      <c r="C400" s="60" t="s">
        <v>11143</v>
      </c>
      <c r="D400" s="1"/>
      <c r="E400" s="68"/>
      <c r="F400" s="70"/>
      <c r="G400" s="1"/>
      <c r="H400" s="68"/>
      <c r="I400" s="70"/>
      <c r="J400" s="1"/>
      <c r="K400" s="68"/>
      <c r="L400" s="70"/>
      <c r="M400" s="106"/>
      <c r="N400" s="57"/>
      <c r="O400" s="58"/>
      <c r="P400" s="83" t="s">
        <v>5895</v>
      </c>
      <c r="Q400" s="64" t="s">
        <v>1</v>
      </c>
      <c r="R400" s="65">
        <v>1</v>
      </c>
      <c r="S400" s="99"/>
      <c r="T400" s="70"/>
      <c r="U400" s="99"/>
      <c r="V400" s="70"/>
      <c r="W400" s="94"/>
      <c r="X400" s="68"/>
      <c r="Y400" s="76"/>
      <c r="Z400" s="70"/>
      <c r="AA400" s="1"/>
      <c r="AB400" s="68"/>
      <c r="AC400" s="76"/>
      <c r="AD400" s="70"/>
      <c r="AE400" s="228">
        <f>ROUND((ROUND((ROUND((_15_同援日１．５*_15・２人),0)*(1+_15・A深夜)),0)*(1+_15・区３)),0)+ROUND((ROUND((ROUND((_15_同援日１．５＿０．５*_15・２人),0)*(1+_15・B早朝)),0)*(1+_15・区３)),0)+ROUND((ROUND((_15_同援日１．５＿０．５＿１．０*_15・２人),0)*(1+_15・区３)),0)</f>
        <v>1005</v>
      </c>
      <c r="AF400" s="69"/>
    </row>
    <row r="401" spans="1:32" ht="16.5" customHeight="1" x14ac:dyDescent="0.3">
      <c r="A401" s="2">
        <v>15</v>
      </c>
      <c r="B401" s="2" t="s">
        <v>1059</v>
      </c>
      <c r="C401" s="60" t="s">
        <v>11142</v>
      </c>
      <c r="D401" s="1"/>
      <c r="E401" s="68"/>
      <c r="F401" s="70"/>
      <c r="G401" s="1"/>
      <c r="H401" s="68"/>
      <c r="I401" s="70"/>
      <c r="J401" s="1"/>
      <c r="K401" s="68"/>
      <c r="L401" s="70"/>
      <c r="M401" s="74" t="s">
        <v>16823</v>
      </c>
      <c r="N401" s="62"/>
      <c r="O401" s="63"/>
      <c r="P401" s="83"/>
      <c r="Q401" s="64"/>
      <c r="R401" s="65"/>
      <c r="S401" s="99"/>
      <c r="T401" s="70"/>
      <c r="U401" s="99"/>
      <c r="V401" s="70"/>
      <c r="W401" s="94"/>
      <c r="X401" s="68"/>
      <c r="Y401" s="76"/>
      <c r="Z401" s="70"/>
      <c r="AA401" s="1" t="s">
        <v>17974</v>
      </c>
      <c r="AB401" s="68"/>
      <c r="AC401" s="76"/>
      <c r="AD401" s="70"/>
      <c r="AE401" s="228">
        <f>ROUND((ROUND((ROUND((_15_同援日１．５*_15・基礎２),0)*(1+_15・A深夜)),0)*(1+_15・区３)),0)+ROUND((ROUND((ROUND((_15_同援日１．５＿０．５*_15・基礎２),0)*(1+_15・B早朝)),0)*(1+_15・区３)),0)+ROUND((ROUND((_15_同援日１．５＿０．５＿１．０*_15・基礎２),0)*(1+_15・区３)),0)</f>
        <v>907</v>
      </c>
      <c r="AF401" s="69"/>
    </row>
    <row r="402" spans="1:32" ht="16.5" customHeight="1" x14ac:dyDescent="0.3">
      <c r="A402" s="2">
        <v>15</v>
      </c>
      <c r="B402" s="2" t="s">
        <v>1060</v>
      </c>
      <c r="C402" s="60" t="s">
        <v>11141</v>
      </c>
      <c r="D402" s="1"/>
      <c r="E402" s="68"/>
      <c r="F402" s="70"/>
      <c r="G402" s="1"/>
      <c r="H402" s="68"/>
      <c r="I402" s="70"/>
      <c r="J402" s="1"/>
      <c r="K402" s="68"/>
      <c r="L402" s="70"/>
      <c r="M402" s="106" t="s">
        <v>16812</v>
      </c>
      <c r="N402" s="57" t="s">
        <v>1</v>
      </c>
      <c r="O402" s="58">
        <v>0.9</v>
      </c>
      <c r="P402" s="83" t="s">
        <v>5895</v>
      </c>
      <c r="Q402" s="64" t="s">
        <v>1</v>
      </c>
      <c r="R402" s="65">
        <v>1</v>
      </c>
      <c r="S402" s="99"/>
      <c r="T402" s="70"/>
      <c r="U402" s="99"/>
      <c r="V402" s="70"/>
      <c r="W402" s="106"/>
      <c r="X402" s="57"/>
      <c r="Y402" s="58"/>
      <c r="Z402" s="77"/>
      <c r="AA402" s="1" t="s">
        <v>17970</v>
      </c>
      <c r="AB402" s="68"/>
      <c r="AC402" s="76"/>
      <c r="AD402" s="70"/>
      <c r="AE402" s="228">
        <f>ROUND((ROUND((ROUND((ROUND((_15_同援日１．５*_15・基礎２),0)*_15・２人),0)*(1+_15・A深夜)),0)*(1+_15・区３)),0)+ROUND((ROUND((ROUND((ROUND((_15_同援日１．５＿０．５*_15・基礎２),0)*_15・２人),0)*(1+_15・B早朝)),0)*(1+_15・区３)),0)+ROUND((ROUND((ROUND((_15_同援日１．５＿０．５＿１．０*_15・基礎２),0)*_15・２人),0)*(1+_15・区３)),0)</f>
        <v>907</v>
      </c>
      <c r="AF402" s="69"/>
    </row>
    <row r="403" spans="1:32" ht="16.5" customHeight="1" x14ac:dyDescent="0.3">
      <c r="A403" s="2">
        <v>15</v>
      </c>
      <c r="B403" s="2" t="s">
        <v>1061</v>
      </c>
      <c r="C403" s="60" t="s">
        <v>11140</v>
      </c>
      <c r="D403" s="1"/>
      <c r="E403" s="68"/>
      <c r="F403" s="70"/>
      <c r="G403" s="1"/>
      <c r="H403" s="68"/>
      <c r="I403" s="70"/>
      <c r="J403" s="1"/>
      <c r="K403" s="68"/>
      <c r="L403" s="70"/>
      <c r="M403" s="74"/>
      <c r="N403" s="62"/>
      <c r="O403" s="63"/>
      <c r="P403" s="83"/>
      <c r="Q403" s="64"/>
      <c r="R403" s="65"/>
      <c r="S403" s="99"/>
      <c r="T403" s="70"/>
      <c r="U403" s="99"/>
      <c r="V403" s="70"/>
      <c r="W403" s="74" t="s">
        <v>17969</v>
      </c>
      <c r="X403" s="62"/>
      <c r="Y403" s="63"/>
      <c r="Z403" s="75"/>
      <c r="AA403" s="1"/>
      <c r="AB403" s="68" t="s">
        <v>1</v>
      </c>
      <c r="AC403" s="76">
        <v>0.2</v>
      </c>
      <c r="AD403" s="70" t="s">
        <v>422</v>
      </c>
      <c r="AE403" s="228">
        <f>ROUND((ROUND((ROUND((_15_同援日１．５*(1+_15・A深夜)),0)*(1+_15・盲ろう)),0)*(1+_15・区３)),0)+ROUND((ROUND((ROUND((_15_同援日１．５＿０．５*(1+_15・B早朝)),0)*(1+_15・盲ろう)),0)*(1+_15・区３)),0)+ROUND((ROUND((_15_同援日１．５＿０．５＿１．０*(1+_15・盲ろう)),0)*(1+_15・区３)),0)</f>
        <v>1258</v>
      </c>
      <c r="AF403" s="69"/>
    </row>
    <row r="404" spans="1:32" ht="16.5" customHeight="1" x14ac:dyDescent="0.3">
      <c r="A404" s="2">
        <v>15</v>
      </c>
      <c r="B404" s="2" t="s">
        <v>1062</v>
      </c>
      <c r="C404" s="60" t="s">
        <v>11139</v>
      </c>
      <c r="D404" s="1"/>
      <c r="E404" s="68"/>
      <c r="F404" s="70"/>
      <c r="G404" s="1"/>
      <c r="H404" s="68"/>
      <c r="I404" s="70"/>
      <c r="J404" s="1"/>
      <c r="K404" s="68"/>
      <c r="L404" s="70"/>
      <c r="M404" s="106"/>
      <c r="N404" s="57"/>
      <c r="O404" s="58"/>
      <c r="P404" s="83" t="s">
        <v>5895</v>
      </c>
      <c r="Q404" s="64" t="s">
        <v>1</v>
      </c>
      <c r="R404" s="65">
        <v>1</v>
      </c>
      <c r="S404" s="99"/>
      <c r="T404" s="70"/>
      <c r="U404" s="99"/>
      <c r="V404" s="70"/>
      <c r="W404" s="94" t="s">
        <v>17968</v>
      </c>
      <c r="X404" s="68"/>
      <c r="Y404" s="76"/>
      <c r="Z404" s="70"/>
      <c r="AA404" s="1"/>
      <c r="AB404" s="68"/>
      <c r="AC404" s="76"/>
      <c r="AD404" s="70"/>
      <c r="AE404" s="228">
        <f>ROUND((ROUND((ROUND((ROUND((_15_同援日１．５*_15・２人),0)*(1+_15・A深夜)),0)*(1+_15・盲ろう)),0)*(1+_15・区３)),0)+ROUND((ROUND((ROUND((ROUND((_15_同援日１．５＿０．５*_15・２人),0)*(1+_15・B早朝)),0)*(1+_15・盲ろう)),0)*(1+_15・区３)),0)+ROUND((ROUND((ROUND((_15_同援日１．５＿０．５＿１．０*_15・２人),0)*(1+_15・盲ろう)),0)*(1+_15・区３)),0)</f>
        <v>1258</v>
      </c>
      <c r="AF404" s="69"/>
    </row>
    <row r="405" spans="1:32" ht="16.5" customHeight="1" x14ac:dyDescent="0.3">
      <c r="A405" s="2">
        <v>15</v>
      </c>
      <c r="B405" s="2" t="s">
        <v>1063</v>
      </c>
      <c r="C405" s="60" t="s">
        <v>11138</v>
      </c>
      <c r="D405" s="1"/>
      <c r="E405" s="68"/>
      <c r="F405" s="70"/>
      <c r="G405" s="1"/>
      <c r="H405" s="68"/>
      <c r="I405" s="70"/>
      <c r="J405" s="1"/>
      <c r="K405" s="68"/>
      <c r="L405" s="70"/>
      <c r="M405" s="74" t="s">
        <v>5898</v>
      </c>
      <c r="N405" s="62"/>
      <c r="O405" s="63"/>
      <c r="P405" s="83"/>
      <c r="Q405" s="64"/>
      <c r="R405" s="65"/>
      <c r="S405" s="99"/>
      <c r="T405" s="70"/>
      <c r="U405" s="99"/>
      <c r="V405" s="70"/>
      <c r="W405" s="94"/>
      <c r="X405" s="68" t="s">
        <v>1</v>
      </c>
      <c r="Y405" s="76">
        <v>0.25</v>
      </c>
      <c r="Z405" s="70" t="s">
        <v>422</v>
      </c>
      <c r="AA405" s="1"/>
      <c r="AB405" s="68"/>
      <c r="AC405" s="76"/>
      <c r="AD405" s="70"/>
      <c r="AE405" s="228">
        <f>ROUND((ROUND((ROUND((ROUND((_15_同援日１．５*_15・基礎２),0)*(1+_15・A深夜)),0)*(1+_15・盲ろう)),0)*(1+_15・区３)),0)+ROUND((ROUND((ROUND((ROUND((_15_同援日１．５＿０．５*_15・基礎２),0)*(1+_15・B早朝)),0)*(1+_15・盲ろう)),0)*(1+_15・区３)),0)+ROUND((ROUND((ROUND((_15_同援日１．５＿０．５＿１．０*_15・基礎２),0)*(1+_15・盲ろう)),0)*(1+_15・区３)),0)</f>
        <v>1131</v>
      </c>
      <c r="AF405" s="69"/>
    </row>
    <row r="406" spans="1:32" ht="16.5" customHeight="1" x14ac:dyDescent="0.3">
      <c r="A406" s="2">
        <v>15</v>
      </c>
      <c r="B406" s="2" t="s">
        <v>1064</v>
      </c>
      <c r="C406" s="60" t="s">
        <v>11137</v>
      </c>
      <c r="D406" s="1"/>
      <c r="E406" s="68"/>
      <c r="F406" s="70"/>
      <c r="G406" s="1"/>
      <c r="H406" s="68"/>
      <c r="I406" s="70"/>
      <c r="J406" s="1"/>
      <c r="K406" s="68"/>
      <c r="L406" s="70"/>
      <c r="M406" s="106" t="s">
        <v>16916</v>
      </c>
      <c r="N406" s="57" t="s">
        <v>1</v>
      </c>
      <c r="O406" s="58">
        <v>0.9</v>
      </c>
      <c r="P406" s="83" t="s">
        <v>5895</v>
      </c>
      <c r="Q406" s="64" t="s">
        <v>1</v>
      </c>
      <c r="R406" s="65">
        <v>1</v>
      </c>
      <c r="S406" s="99"/>
      <c r="T406" s="70"/>
      <c r="U406" s="99"/>
      <c r="V406" s="70"/>
      <c r="W406" s="106"/>
      <c r="X406" s="57"/>
      <c r="Y406" s="58"/>
      <c r="Z406" s="77"/>
      <c r="AA406" s="106"/>
      <c r="AB406" s="57"/>
      <c r="AC406" s="58"/>
      <c r="AD406" s="77"/>
      <c r="AE406" s="228">
        <f>ROUND((ROUND((ROUND((ROUND((ROUND((_15_同援日１．５*_15・基礎２),0)*_15・２人),0)*(1+_15・A深夜)),0)*(1+_15・盲ろう)),0)*(1+_15・区３)),0)+ROUND((ROUND((ROUND((ROUND((ROUND((_15_同援日１．５＿０．５*_15・基礎２),0)*_15・２人),0)*(1+_15・B早朝)),0)*(1+_15・盲ろう)),0)*(1+_15・区３)),0)+ROUND((ROUND((ROUND((ROUND((_15_同援日１．５＿０．５＿１．０*_15・基礎２),0)*_15・２人),0)*(1+_15・盲ろう)),0)*(1+_15・区３)),0)</f>
        <v>1131</v>
      </c>
      <c r="AF406" s="69"/>
    </row>
    <row r="407" spans="1:32" ht="16.5" customHeight="1" x14ac:dyDescent="0.3">
      <c r="A407" s="2">
        <v>15</v>
      </c>
      <c r="B407" s="2" t="s">
        <v>1065</v>
      </c>
      <c r="C407" s="60" t="s">
        <v>11136</v>
      </c>
      <c r="D407" s="1"/>
      <c r="E407" s="68"/>
      <c r="F407" s="70"/>
      <c r="G407" s="1"/>
      <c r="H407" s="68"/>
      <c r="I407" s="70"/>
      <c r="J407" s="1"/>
      <c r="K407" s="68"/>
      <c r="L407" s="70"/>
      <c r="M407" s="74"/>
      <c r="N407" s="62"/>
      <c r="O407" s="63"/>
      <c r="P407" s="83"/>
      <c r="Q407" s="64"/>
      <c r="R407" s="65"/>
      <c r="S407" s="99"/>
      <c r="T407" s="70"/>
      <c r="U407" s="99"/>
      <c r="V407" s="70"/>
      <c r="W407" s="74"/>
      <c r="X407" s="62"/>
      <c r="Y407" s="63"/>
      <c r="Z407" s="75"/>
      <c r="AA407" s="78"/>
      <c r="AB407" s="62"/>
      <c r="AC407" s="63"/>
      <c r="AD407" s="75"/>
      <c r="AE407" s="228">
        <f>ROUND((ROUND((_15_同援日１．５*(1+_15・A深夜)),0)*(1+_15・区４)),0)+ROUND((ROUND((_15_同援日１．５＿０．５*(1+_15・B早朝)),0)*(1+_15・区４)),0)+ROUND((_15_同援日１．５＿０．５＿１．０*(1+_15・区４)),0)</f>
        <v>1173</v>
      </c>
      <c r="AF407" s="69"/>
    </row>
    <row r="408" spans="1:32" ht="16.5" customHeight="1" x14ac:dyDescent="0.3">
      <c r="A408" s="2">
        <v>15</v>
      </c>
      <c r="B408" s="2" t="s">
        <v>1066</v>
      </c>
      <c r="C408" s="60" t="s">
        <v>11135</v>
      </c>
      <c r="D408" s="1"/>
      <c r="E408" s="68"/>
      <c r="F408" s="70"/>
      <c r="G408" s="1"/>
      <c r="H408" s="68"/>
      <c r="I408" s="70"/>
      <c r="J408" s="1"/>
      <c r="K408" s="68"/>
      <c r="L408" s="70"/>
      <c r="M408" s="106"/>
      <c r="N408" s="57"/>
      <c r="O408" s="58"/>
      <c r="P408" s="83" t="s">
        <v>5895</v>
      </c>
      <c r="Q408" s="64" t="s">
        <v>1</v>
      </c>
      <c r="R408" s="65">
        <v>1</v>
      </c>
      <c r="S408" s="99"/>
      <c r="T408" s="70"/>
      <c r="U408" s="99"/>
      <c r="V408" s="70"/>
      <c r="W408" s="94"/>
      <c r="X408" s="68"/>
      <c r="Y408" s="76"/>
      <c r="Z408" s="70"/>
      <c r="AA408" s="1"/>
      <c r="AB408" s="68"/>
      <c r="AC408" s="76"/>
      <c r="AD408" s="70"/>
      <c r="AE408" s="228">
        <f>ROUND((ROUND((ROUND((_15_同援日１．５*_15・２人),0)*(1+_15・A深夜)),0)*(1+_15・区４)),0)+ROUND((ROUND((ROUND((_15_同援日１．５＿０．５*_15・２人),0)*(1+_15・B早朝)),0)*(1+_15・区４)),0)+ROUND((ROUND((_15_同援日１．５＿０．５＿１．０*_15・２人),0)*(1+_15・区４)),0)</f>
        <v>1173</v>
      </c>
      <c r="AF408" s="69"/>
    </row>
    <row r="409" spans="1:32" ht="16.5" customHeight="1" x14ac:dyDescent="0.3">
      <c r="A409" s="2">
        <v>15</v>
      </c>
      <c r="B409" s="2" t="s">
        <v>1067</v>
      </c>
      <c r="C409" s="60" t="s">
        <v>11134</v>
      </c>
      <c r="D409" s="1"/>
      <c r="E409" s="68"/>
      <c r="F409" s="70"/>
      <c r="G409" s="1"/>
      <c r="H409" s="68"/>
      <c r="I409" s="70"/>
      <c r="J409" s="1"/>
      <c r="K409" s="68"/>
      <c r="L409" s="70"/>
      <c r="M409" s="74" t="s">
        <v>16912</v>
      </c>
      <c r="N409" s="62"/>
      <c r="O409" s="63"/>
      <c r="P409" s="83"/>
      <c r="Q409" s="64"/>
      <c r="R409" s="65"/>
      <c r="S409" s="99"/>
      <c r="T409" s="70"/>
      <c r="U409" s="99"/>
      <c r="V409" s="70"/>
      <c r="W409" s="94"/>
      <c r="X409" s="68"/>
      <c r="Y409" s="76"/>
      <c r="Z409" s="70"/>
      <c r="AA409" s="1" t="s">
        <v>18100</v>
      </c>
      <c r="AB409" s="68"/>
      <c r="AC409" s="76"/>
      <c r="AD409" s="70"/>
      <c r="AE409" s="228">
        <f>ROUND((ROUND((ROUND((_15_同援日１．５*_15・基礎２),0)*(1+_15・A深夜)),0)*(1+_15・区４)),0)+ROUND((ROUND((ROUND((_15_同援日１．５＿０．５*_15・基礎２),0)*(1+_15・B早朝)),0)*(1+_15・区４)),0)+ROUND((ROUND((_15_同援日１．５＿０．５＿１．０*_15・基礎２),0)*(1+_15・区４)),0)</f>
        <v>1057</v>
      </c>
      <c r="AF409" s="69"/>
    </row>
    <row r="410" spans="1:32" ht="16.5" customHeight="1" x14ac:dyDescent="0.3">
      <c r="A410" s="2">
        <v>15</v>
      </c>
      <c r="B410" s="2" t="s">
        <v>1068</v>
      </c>
      <c r="C410" s="60" t="s">
        <v>11133</v>
      </c>
      <c r="D410" s="1"/>
      <c r="E410" s="68"/>
      <c r="F410" s="70"/>
      <c r="G410" s="1"/>
      <c r="H410" s="68"/>
      <c r="I410" s="70"/>
      <c r="J410" s="1"/>
      <c r="K410" s="68"/>
      <c r="L410" s="70"/>
      <c r="M410" s="106" t="s">
        <v>5896</v>
      </c>
      <c r="N410" s="57" t="s">
        <v>1</v>
      </c>
      <c r="O410" s="58">
        <v>0.9</v>
      </c>
      <c r="P410" s="83" t="s">
        <v>5895</v>
      </c>
      <c r="Q410" s="64" t="s">
        <v>1</v>
      </c>
      <c r="R410" s="65">
        <v>1</v>
      </c>
      <c r="S410" s="99"/>
      <c r="T410" s="70"/>
      <c r="U410" s="99"/>
      <c r="V410" s="70"/>
      <c r="W410" s="106"/>
      <c r="X410" s="57"/>
      <c r="Y410" s="58"/>
      <c r="Z410" s="77"/>
      <c r="AA410" s="1" t="s">
        <v>8087</v>
      </c>
      <c r="AB410" s="68"/>
      <c r="AC410" s="76"/>
      <c r="AD410" s="70"/>
      <c r="AE410" s="228">
        <f>ROUND((ROUND((ROUND((ROUND((_15_同援日１．５*_15・基礎２),0)*_15・２人),0)*(1+_15・A深夜)),0)*(1+_15・区４)),0)+ROUND((ROUND((ROUND((ROUND((_15_同援日１．５＿０．５*_15・基礎２),0)*_15・２人),0)*(1+_15・B早朝)),0)*(1+_15・区４)),0)+ROUND((ROUND((ROUND((_15_同援日１．５＿０．５＿１．０*_15・基礎２),0)*_15・２人),0)*(1+_15・区４)),0)</f>
        <v>1057</v>
      </c>
      <c r="AF410" s="69"/>
    </row>
    <row r="411" spans="1:32" ht="16.5" customHeight="1" x14ac:dyDescent="0.3">
      <c r="A411" s="2">
        <v>15</v>
      </c>
      <c r="B411" s="2" t="s">
        <v>1069</v>
      </c>
      <c r="C411" s="60" t="s">
        <v>11132</v>
      </c>
      <c r="D411" s="1"/>
      <c r="E411" s="68"/>
      <c r="F411" s="70"/>
      <c r="G411" s="1"/>
      <c r="H411" s="68"/>
      <c r="I411" s="70"/>
      <c r="J411" s="1"/>
      <c r="K411" s="68"/>
      <c r="L411" s="70"/>
      <c r="M411" s="74"/>
      <c r="N411" s="62"/>
      <c r="O411" s="63"/>
      <c r="P411" s="83"/>
      <c r="Q411" s="64"/>
      <c r="R411" s="65"/>
      <c r="S411" s="99"/>
      <c r="T411" s="70"/>
      <c r="U411" s="99"/>
      <c r="V411" s="70"/>
      <c r="W411" s="74" t="s">
        <v>17969</v>
      </c>
      <c r="X411" s="62"/>
      <c r="Y411" s="63"/>
      <c r="Z411" s="75"/>
      <c r="AA411" s="1"/>
      <c r="AB411" s="68" t="s">
        <v>1</v>
      </c>
      <c r="AC411" s="76">
        <v>0.4</v>
      </c>
      <c r="AD411" s="70" t="s">
        <v>422</v>
      </c>
      <c r="AE411" s="228">
        <f>ROUND((ROUND((ROUND((_15_同援日１．５*(1+_15・A深夜)),0)*(1+_15・盲ろう)),0)*(1+_15・区４)),0)+ROUND((ROUND((ROUND((_15_同援日１．５＿０．５*(1+_15・B早朝)),0)*(1+_15・盲ろう)),0)*(1+_15・区４)),0)+ROUND((ROUND((_15_同援日１．５＿０．５＿１．０*(1+_15・盲ろう)),0)*(1+_15・区４)),0)</f>
        <v>1467</v>
      </c>
      <c r="AF411" s="69"/>
    </row>
    <row r="412" spans="1:32" ht="16.5" customHeight="1" x14ac:dyDescent="0.3">
      <c r="A412" s="2">
        <v>15</v>
      </c>
      <c r="B412" s="2" t="s">
        <v>1070</v>
      </c>
      <c r="C412" s="60" t="s">
        <v>11131</v>
      </c>
      <c r="D412" s="1"/>
      <c r="E412" s="68"/>
      <c r="F412" s="70"/>
      <c r="G412" s="1"/>
      <c r="H412" s="68"/>
      <c r="I412" s="70"/>
      <c r="J412" s="1"/>
      <c r="K412" s="68"/>
      <c r="L412" s="70"/>
      <c r="M412" s="106"/>
      <c r="N412" s="57"/>
      <c r="O412" s="58"/>
      <c r="P412" s="83" t="s">
        <v>5895</v>
      </c>
      <c r="Q412" s="64" t="s">
        <v>1</v>
      </c>
      <c r="R412" s="65">
        <v>1</v>
      </c>
      <c r="S412" s="99"/>
      <c r="T412" s="70"/>
      <c r="U412" s="99"/>
      <c r="V412" s="70"/>
      <c r="W412" s="94" t="s">
        <v>8083</v>
      </c>
      <c r="X412" s="68"/>
      <c r="Y412" s="76"/>
      <c r="Z412" s="70"/>
      <c r="AA412" s="1"/>
      <c r="AB412" s="68"/>
      <c r="AC412" s="76"/>
      <c r="AD412" s="70"/>
      <c r="AE412" s="228">
        <f>ROUND((ROUND((ROUND((ROUND((_15_同援日１．５*_15・２人),0)*(1+_15・A深夜)),0)*(1+_15・盲ろう)),0)*(1+_15・区４)),0)+ROUND((ROUND((ROUND((ROUND((_15_同援日１．５＿０．５*_15・２人),0)*(1+_15・B早朝)),0)*(1+_15・盲ろう)),0)*(1+_15・区４)),0)+ROUND((ROUND((ROUND((_15_同援日１．５＿０．５＿１．０*_15・２人),0)*(1+_15・盲ろう)),0)*(1+_15・区４)),0)</f>
        <v>1467</v>
      </c>
      <c r="AF412" s="69"/>
    </row>
    <row r="413" spans="1:32" ht="16.5" customHeight="1" x14ac:dyDescent="0.3">
      <c r="A413" s="2">
        <v>15</v>
      </c>
      <c r="B413" s="2" t="s">
        <v>1071</v>
      </c>
      <c r="C413" s="60" t="s">
        <v>11130</v>
      </c>
      <c r="D413" s="1"/>
      <c r="E413" s="68"/>
      <c r="F413" s="70"/>
      <c r="G413" s="1"/>
      <c r="H413" s="68"/>
      <c r="I413" s="70"/>
      <c r="J413" s="1"/>
      <c r="K413" s="68"/>
      <c r="L413" s="70"/>
      <c r="M413" s="74" t="s">
        <v>16823</v>
      </c>
      <c r="N413" s="62"/>
      <c r="O413" s="63"/>
      <c r="P413" s="83"/>
      <c r="Q413" s="64"/>
      <c r="R413" s="65"/>
      <c r="S413" s="99"/>
      <c r="T413" s="70"/>
      <c r="U413" s="99"/>
      <c r="V413" s="70"/>
      <c r="W413" s="94"/>
      <c r="X413" s="68" t="s">
        <v>1</v>
      </c>
      <c r="Y413" s="76">
        <v>0.25</v>
      </c>
      <c r="Z413" s="70" t="s">
        <v>422</v>
      </c>
      <c r="AA413" s="1"/>
      <c r="AB413" s="68"/>
      <c r="AC413" s="76"/>
      <c r="AD413" s="70"/>
      <c r="AE413" s="228">
        <f>ROUND((ROUND((ROUND((ROUND((_15_同援日１．５*_15・基礎２),0)*(1+_15・A深夜)),0)*(1+_15・盲ろう)),0)*(1+_15・区４)),0)+ROUND((ROUND((ROUND((ROUND((_15_同援日１．５＿０．５*_15・基礎２),0)*(1+_15・B早朝)),0)*(1+_15・盲ろう)),0)*(1+_15・区４)),0)+ROUND((ROUND((ROUND((_15_同援日１．５＿０．５＿１．０*_15・基礎２),0)*(1+_15・盲ろう)),0)*(1+_15・区４)),0)</f>
        <v>1319</v>
      </c>
      <c r="AF413" s="69"/>
    </row>
    <row r="414" spans="1:32" ht="16.5" customHeight="1" x14ac:dyDescent="0.3">
      <c r="A414" s="2">
        <v>15</v>
      </c>
      <c r="B414" s="2" t="s">
        <v>1072</v>
      </c>
      <c r="C414" s="60" t="s">
        <v>11129</v>
      </c>
      <c r="D414" s="1"/>
      <c r="E414" s="68"/>
      <c r="F414" s="70"/>
      <c r="G414" s="81"/>
      <c r="H414" s="57"/>
      <c r="I414" s="77"/>
      <c r="J414" s="81"/>
      <c r="K414" s="57"/>
      <c r="L414" s="77"/>
      <c r="M414" s="106" t="s">
        <v>16916</v>
      </c>
      <c r="N414" s="57" t="s">
        <v>1</v>
      </c>
      <c r="O414" s="58">
        <v>0.9</v>
      </c>
      <c r="P414" s="83" t="s">
        <v>5895</v>
      </c>
      <c r="Q414" s="64" t="s">
        <v>1</v>
      </c>
      <c r="R414" s="65">
        <v>1</v>
      </c>
      <c r="S414" s="99"/>
      <c r="T414" s="70"/>
      <c r="U414" s="99"/>
      <c r="V414" s="70"/>
      <c r="W414" s="106"/>
      <c r="X414" s="57"/>
      <c r="Y414" s="58"/>
      <c r="Z414" s="77"/>
      <c r="AA414" s="106"/>
      <c r="AB414" s="57"/>
      <c r="AC414" s="58"/>
      <c r="AD414" s="77"/>
      <c r="AE414" s="228">
        <f>ROUND((ROUND((ROUND((ROUND((ROUND((_15_同援日１．５*_15・基礎２),0)*_15・２人),0)*(1+_15・A深夜)),0)*(1+_15・盲ろう)),0)*(1+_15・区４)),0)+ROUND((ROUND((ROUND((ROUND((ROUND((_15_同援日１．５＿０．５*_15・基礎２),0)*_15・２人),0)*(1+_15・B早朝)),0)*(1+_15・盲ろう)),0)*(1+_15・区４)),0)+ROUND((ROUND((ROUND((ROUND((_15_同援日１．５＿０．５＿１．０*_15・基礎２),0)*_15・２人),0)*(1+_15・盲ろう)),0)*(1+_15・区４)),0)</f>
        <v>1319</v>
      </c>
      <c r="AF414" s="69"/>
    </row>
    <row r="415" spans="1:32" ht="16.5" customHeight="1" x14ac:dyDescent="0.3">
      <c r="A415" s="2">
        <v>15</v>
      </c>
      <c r="B415" s="2" t="s">
        <v>1073</v>
      </c>
      <c r="C415" s="60" t="s">
        <v>11128</v>
      </c>
      <c r="D415" s="1"/>
      <c r="E415" s="68"/>
      <c r="F415" s="70"/>
      <c r="G415" s="233" t="s">
        <v>6063</v>
      </c>
      <c r="H415" s="62"/>
      <c r="I415" s="75"/>
      <c r="J415" s="74" t="s">
        <v>6193</v>
      </c>
      <c r="K415" s="62"/>
      <c r="L415" s="75"/>
      <c r="M415" s="74"/>
      <c r="N415" s="62"/>
      <c r="O415" s="63"/>
      <c r="P415" s="83"/>
      <c r="Q415" s="64"/>
      <c r="R415" s="65"/>
      <c r="S415" s="99"/>
      <c r="T415" s="70"/>
      <c r="U415" s="99"/>
      <c r="V415" s="70"/>
      <c r="W415" s="74"/>
      <c r="X415" s="62"/>
      <c r="Y415" s="63"/>
      <c r="Z415" s="75"/>
      <c r="AA415" s="78"/>
      <c r="AB415" s="62"/>
      <c r="AC415" s="63"/>
      <c r="AD415" s="75"/>
      <c r="AE415" s="228">
        <f>ROUND((_15_同援日１．５*(1+_15・A深夜)),0)+ROUND((_15_同援日１．５＿１．０*(1+_15・B早朝)),0)+_15_同援日１．５＿１．０＿０．５</f>
        <v>854</v>
      </c>
      <c r="AF415" s="69"/>
    </row>
    <row r="416" spans="1:32" ht="16.5" customHeight="1" x14ac:dyDescent="0.3">
      <c r="A416" s="2">
        <v>15</v>
      </c>
      <c r="B416" s="2" t="s">
        <v>1074</v>
      </c>
      <c r="C416" s="60" t="s">
        <v>11127</v>
      </c>
      <c r="D416" s="1"/>
      <c r="E416" s="68"/>
      <c r="F416" s="70"/>
      <c r="G416" s="1" t="s">
        <v>5993</v>
      </c>
      <c r="H416" s="68"/>
      <c r="I416" s="70"/>
      <c r="J416" s="1" t="s">
        <v>7928</v>
      </c>
      <c r="K416" s="68"/>
      <c r="L416" s="70"/>
      <c r="M416" s="106"/>
      <c r="N416" s="57"/>
      <c r="O416" s="58"/>
      <c r="P416" s="83" t="s">
        <v>5895</v>
      </c>
      <c r="Q416" s="64" t="s">
        <v>1</v>
      </c>
      <c r="R416" s="65">
        <v>1</v>
      </c>
      <c r="S416" s="99"/>
      <c r="T416" s="70"/>
      <c r="U416" s="99"/>
      <c r="V416" s="70"/>
      <c r="W416" s="94"/>
      <c r="X416" s="68"/>
      <c r="Y416" s="76"/>
      <c r="Z416" s="70"/>
      <c r="AA416" s="1"/>
      <c r="AB416" s="68"/>
      <c r="AC416" s="76"/>
      <c r="AD416" s="70"/>
      <c r="AE416" s="228">
        <f>ROUND((ROUND((_15_同援日１．５*_15・２人),0)*(1+_15・A深夜)),0)+ROUND((ROUND((_15_同援日１．５＿１．０*_15・２人),0)*(1+_15・B早朝)),0)+ROUND((_15_同援日１．５＿１．０＿０．５*_15・２人),0)</f>
        <v>854</v>
      </c>
      <c r="AF416" s="69"/>
    </row>
    <row r="417" spans="1:32" ht="16.5" customHeight="1" x14ac:dyDescent="0.3">
      <c r="A417" s="2">
        <v>15</v>
      </c>
      <c r="B417" s="2" t="s">
        <v>1075</v>
      </c>
      <c r="C417" s="60" t="s">
        <v>11126</v>
      </c>
      <c r="D417" s="1"/>
      <c r="E417" s="68"/>
      <c r="F417" s="70"/>
      <c r="G417" s="1" t="s">
        <v>8572</v>
      </c>
      <c r="H417" s="68"/>
      <c r="I417" s="70"/>
      <c r="J417" s="1"/>
      <c r="K417" s="68"/>
      <c r="L417" s="70"/>
      <c r="M417" s="74" t="s">
        <v>5898</v>
      </c>
      <c r="N417" s="62"/>
      <c r="O417" s="63"/>
      <c r="P417" s="83"/>
      <c r="Q417" s="64"/>
      <c r="R417" s="65"/>
      <c r="S417" s="99"/>
      <c r="T417" s="70"/>
      <c r="U417" s="99"/>
      <c r="V417" s="70"/>
      <c r="W417" s="94"/>
      <c r="X417" s="68"/>
      <c r="Y417" s="76"/>
      <c r="Z417" s="70"/>
      <c r="AA417" s="1"/>
      <c r="AB417" s="68"/>
      <c r="AC417" s="76"/>
      <c r="AD417" s="70"/>
      <c r="AE417" s="228">
        <f>ROUND((ROUND((_15_同援日１．５*_15・基礎２),0)*(1+_15・A深夜)),0)+ROUND((ROUND((_15_同援日１．５＿１．０*_15・基礎２),0)*(1+_15・B早朝)),0)+ROUND((_15_同援日１．５＿１．０＿０．５*_15・基礎２),0)</f>
        <v>769</v>
      </c>
      <c r="AF417" s="69"/>
    </row>
    <row r="418" spans="1:32" ht="16.5" customHeight="1" x14ac:dyDescent="0.3">
      <c r="A418" s="2">
        <v>15</v>
      </c>
      <c r="B418" s="2" t="s">
        <v>1076</v>
      </c>
      <c r="C418" s="60" t="s">
        <v>11125</v>
      </c>
      <c r="D418" s="1"/>
      <c r="E418" s="68"/>
      <c r="F418" s="70"/>
      <c r="G418" s="1"/>
      <c r="H418" s="227">
        <v>127</v>
      </c>
      <c r="I418" s="70" t="s">
        <v>0</v>
      </c>
      <c r="J418" s="1"/>
      <c r="K418" s="227">
        <v>63</v>
      </c>
      <c r="L418" s="70" t="s">
        <v>0</v>
      </c>
      <c r="M418" s="106" t="s">
        <v>16812</v>
      </c>
      <c r="N418" s="57" t="s">
        <v>1</v>
      </c>
      <c r="O418" s="58">
        <v>0.9</v>
      </c>
      <c r="P418" s="83" t="s">
        <v>5895</v>
      </c>
      <c r="Q418" s="64" t="s">
        <v>1</v>
      </c>
      <c r="R418" s="65">
        <v>1</v>
      </c>
      <c r="S418" s="99"/>
      <c r="T418" s="70"/>
      <c r="U418" s="99"/>
      <c r="V418" s="70"/>
      <c r="W418" s="106"/>
      <c r="X418" s="57"/>
      <c r="Y418" s="58"/>
      <c r="Z418" s="77"/>
      <c r="AA418" s="1"/>
      <c r="AB418" s="68"/>
      <c r="AC418" s="76"/>
      <c r="AD418" s="70"/>
      <c r="AE418" s="228">
        <f>ROUND((ROUND((ROUND((_15_同援日１．５*_15・基礎２),0)*_15・２人),0)*(1+_15・A深夜)),0)+ROUND((ROUND((ROUND((_15_同援日１．５＿１．０*_15・基礎２),0)*_15・２人),0)*(1+_15・B早朝)),0)+ROUND((ROUND((_15_同援日１．５＿１．０＿０．５*_15・基礎２),0)*_15・２人),0)</f>
        <v>769</v>
      </c>
      <c r="AF418" s="69"/>
    </row>
    <row r="419" spans="1:32" ht="16.5" customHeight="1" x14ac:dyDescent="0.3">
      <c r="A419" s="2">
        <v>15</v>
      </c>
      <c r="B419" s="2" t="s">
        <v>1077</v>
      </c>
      <c r="C419" s="60" t="s">
        <v>11124</v>
      </c>
      <c r="D419" s="1"/>
      <c r="E419" s="68"/>
      <c r="F419" s="70"/>
      <c r="G419" s="1"/>
      <c r="H419" s="68"/>
      <c r="I419" s="70"/>
      <c r="J419" s="1"/>
      <c r="K419" s="68"/>
      <c r="L419" s="70"/>
      <c r="M419" s="74"/>
      <c r="N419" s="62"/>
      <c r="O419" s="63"/>
      <c r="P419" s="83"/>
      <c r="Q419" s="64"/>
      <c r="R419" s="65"/>
      <c r="S419" s="99"/>
      <c r="T419" s="70"/>
      <c r="U419" s="99"/>
      <c r="V419" s="70"/>
      <c r="W419" s="74" t="s">
        <v>18098</v>
      </c>
      <c r="X419" s="62"/>
      <c r="Y419" s="63"/>
      <c r="Z419" s="75"/>
      <c r="AA419" s="1"/>
      <c r="AB419" s="68"/>
      <c r="AC419" s="76"/>
      <c r="AD419" s="70"/>
      <c r="AE419" s="228">
        <f>ROUND((ROUND((_15_同援日１．５*(1+_15・A深夜)),0)*(1+_15・盲ろう)),0)+ROUND((ROUND((_15_同援日１．５＿１．０*(1+_15・B早朝)),0)*(1+_15・盲ろう)),0)+ROUND((_15_同援日１．５＿１．０＿０．５*(1+_15・盲ろう)),0)</f>
        <v>1068</v>
      </c>
      <c r="AF419" s="69"/>
    </row>
    <row r="420" spans="1:32" ht="16.5" customHeight="1" x14ac:dyDescent="0.3">
      <c r="A420" s="2">
        <v>15</v>
      </c>
      <c r="B420" s="2" t="s">
        <v>1078</v>
      </c>
      <c r="C420" s="60" t="s">
        <v>11123</v>
      </c>
      <c r="D420" s="1"/>
      <c r="E420" s="68"/>
      <c r="F420" s="70"/>
      <c r="G420" s="1"/>
      <c r="H420" s="68"/>
      <c r="I420" s="70"/>
      <c r="J420" s="1"/>
      <c r="K420" s="68"/>
      <c r="L420" s="70"/>
      <c r="M420" s="106"/>
      <c r="N420" s="57"/>
      <c r="O420" s="58"/>
      <c r="P420" s="83" t="s">
        <v>5895</v>
      </c>
      <c r="Q420" s="64" t="s">
        <v>1</v>
      </c>
      <c r="R420" s="65">
        <v>1</v>
      </c>
      <c r="S420" s="99"/>
      <c r="T420" s="70"/>
      <c r="U420" s="99"/>
      <c r="V420" s="70"/>
      <c r="W420" s="94" t="s">
        <v>18097</v>
      </c>
      <c r="X420" s="68"/>
      <c r="Y420" s="76"/>
      <c r="Z420" s="70"/>
      <c r="AA420" s="1"/>
      <c r="AB420" s="68"/>
      <c r="AC420" s="76"/>
      <c r="AD420" s="70"/>
      <c r="AE420" s="228">
        <f>ROUND((ROUND((ROUND((_15_同援日１．５*_15・２人),0)*(1+_15・A深夜)),0)*(1+_15・盲ろう)),0)+ROUND((ROUND((ROUND((_15_同援日１．５＿１．０*_15・２人),0)*(1+_15・B早朝)),0)*(1+_15・盲ろう)),0)+ROUND((ROUND((_15_同援日１．５＿１．０＿０．５*_15・２人),0)*(1+_15・盲ろう)),0)</f>
        <v>1068</v>
      </c>
      <c r="AF420" s="69"/>
    </row>
    <row r="421" spans="1:32" ht="16.5" customHeight="1" x14ac:dyDescent="0.3">
      <c r="A421" s="2">
        <v>15</v>
      </c>
      <c r="B421" s="2" t="s">
        <v>1079</v>
      </c>
      <c r="C421" s="60" t="s">
        <v>11122</v>
      </c>
      <c r="D421" s="1"/>
      <c r="E421" s="68"/>
      <c r="F421" s="70"/>
      <c r="G421" s="1"/>
      <c r="H421" s="68"/>
      <c r="I421" s="70"/>
      <c r="J421" s="1"/>
      <c r="K421" s="68"/>
      <c r="L421" s="70"/>
      <c r="M421" s="74" t="s">
        <v>5898</v>
      </c>
      <c r="N421" s="62"/>
      <c r="O421" s="63"/>
      <c r="P421" s="83"/>
      <c r="Q421" s="64"/>
      <c r="R421" s="65"/>
      <c r="S421" s="99"/>
      <c r="T421" s="70"/>
      <c r="U421" s="99"/>
      <c r="V421" s="70"/>
      <c r="W421" s="94"/>
      <c r="X421" s="68" t="s">
        <v>1</v>
      </c>
      <c r="Y421" s="76">
        <v>0.25</v>
      </c>
      <c r="Z421" s="70" t="s">
        <v>422</v>
      </c>
      <c r="AA421" s="1"/>
      <c r="AB421" s="68"/>
      <c r="AC421" s="76"/>
      <c r="AD421" s="70"/>
      <c r="AE421" s="228">
        <f>ROUND((ROUND((ROUND((_15_同援日１．５*_15・基礎２),0)*(1+_15・A深夜)),0)*(1+_15・盲ろう)),0)+ROUND((ROUND((ROUND((_15_同援日１．５＿１．０*_15・基礎２),0)*(1+_15・B早朝)),0)*(1+_15・盲ろう)),0)+ROUND((ROUND((_15_同援日１．５＿１．０＿０．５*_15・基礎２),0)*(1+_15・盲ろう)),0)</f>
        <v>961</v>
      </c>
      <c r="AF421" s="69"/>
    </row>
    <row r="422" spans="1:32" ht="16.5" customHeight="1" x14ac:dyDescent="0.3">
      <c r="A422" s="2">
        <v>15</v>
      </c>
      <c r="B422" s="2" t="s">
        <v>1080</v>
      </c>
      <c r="C422" s="60" t="s">
        <v>11121</v>
      </c>
      <c r="D422" s="1"/>
      <c r="E422" s="68"/>
      <c r="F422" s="70"/>
      <c r="G422" s="1"/>
      <c r="H422" s="68"/>
      <c r="I422" s="70"/>
      <c r="J422" s="1"/>
      <c r="K422" s="68"/>
      <c r="L422" s="70"/>
      <c r="M422" s="106" t="s">
        <v>16812</v>
      </c>
      <c r="N422" s="57" t="s">
        <v>1</v>
      </c>
      <c r="O422" s="58">
        <v>0.9</v>
      </c>
      <c r="P422" s="83" t="s">
        <v>5895</v>
      </c>
      <c r="Q422" s="64" t="s">
        <v>1</v>
      </c>
      <c r="R422" s="65">
        <v>1</v>
      </c>
      <c r="S422" s="99"/>
      <c r="T422" s="70"/>
      <c r="U422" s="99"/>
      <c r="V422" s="70"/>
      <c r="W422" s="106"/>
      <c r="X422" s="57"/>
      <c r="Y422" s="58"/>
      <c r="Z422" s="77"/>
      <c r="AA422" s="106"/>
      <c r="AB422" s="57"/>
      <c r="AC422" s="58"/>
      <c r="AD422" s="77"/>
      <c r="AE422" s="228">
        <f>ROUND((ROUND((ROUND((ROUND((_15_同援日１．５*_15・基礎２),0)*_15・２人),0)*(1+_15・A深夜)),0)*(1+_15・盲ろう)),0)+ROUND((ROUND((ROUND((ROUND((_15_同援日１．５＿１．０*_15・基礎２),0)*_15・２人),0)*(1+_15・B早朝)),0)*(1+_15・盲ろう)),0)+ROUND((ROUND((ROUND((_15_同援日１．５＿１．０＿０．５*_15・基礎２),0)*_15・２人),0)*(1+_15・盲ろう)),0)</f>
        <v>961</v>
      </c>
      <c r="AF422" s="69"/>
    </row>
    <row r="423" spans="1:32" ht="16.5" customHeight="1" x14ac:dyDescent="0.3">
      <c r="A423" s="2">
        <v>15</v>
      </c>
      <c r="B423" s="2" t="s">
        <v>1081</v>
      </c>
      <c r="C423" s="60" t="s">
        <v>11120</v>
      </c>
      <c r="D423" s="1"/>
      <c r="E423" s="68"/>
      <c r="F423" s="70"/>
      <c r="G423" s="1"/>
      <c r="H423" s="68"/>
      <c r="I423" s="70"/>
      <c r="J423" s="1"/>
      <c r="K423" s="68"/>
      <c r="L423" s="70"/>
      <c r="M423" s="74"/>
      <c r="N423" s="62"/>
      <c r="O423" s="63"/>
      <c r="P423" s="83"/>
      <c r="Q423" s="64"/>
      <c r="R423" s="65"/>
      <c r="S423" s="99"/>
      <c r="T423" s="70"/>
      <c r="U423" s="99"/>
      <c r="V423" s="70"/>
      <c r="W423" s="74"/>
      <c r="X423" s="62"/>
      <c r="Y423" s="63"/>
      <c r="Z423" s="75"/>
      <c r="AA423" s="78"/>
      <c r="AB423" s="62"/>
      <c r="AC423" s="63"/>
      <c r="AD423" s="75"/>
      <c r="AE423" s="228">
        <f>ROUND((ROUND((_15_同援日１．５*(1+_15・A深夜)),0)*(1+_15・区３)),0)+ROUND((ROUND((_15_同援日１．５＿１．０*(1+_15・B早朝)),0)*(1+_15・区３)),0)+ROUND((_15_同援日１．５＿１．０＿０．５*(1+_15・区３)),0)</f>
        <v>1025</v>
      </c>
      <c r="AF423" s="69"/>
    </row>
    <row r="424" spans="1:32" ht="16.5" customHeight="1" x14ac:dyDescent="0.3">
      <c r="A424" s="2">
        <v>15</v>
      </c>
      <c r="B424" s="2" t="s">
        <v>1082</v>
      </c>
      <c r="C424" s="60" t="s">
        <v>11119</v>
      </c>
      <c r="D424" s="1"/>
      <c r="E424" s="68"/>
      <c r="F424" s="70"/>
      <c r="G424" s="1"/>
      <c r="H424" s="68"/>
      <c r="I424" s="70"/>
      <c r="J424" s="1"/>
      <c r="K424" s="68"/>
      <c r="L424" s="70"/>
      <c r="M424" s="106"/>
      <c r="N424" s="57"/>
      <c r="O424" s="58"/>
      <c r="P424" s="83" t="s">
        <v>5895</v>
      </c>
      <c r="Q424" s="64" t="s">
        <v>1</v>
      </c>
      <c r="R424" s="65">
        <v>1</v>
      </c>
      <c r="S424" s="99"/>
      <c r="T424" s="70"/>
      <c r="U424" s="99"/>
      <c r="V424" s="70"/>
      <c r="W424" s="94"/>
      <c r="X424" s="68"/>
      <c r="Y424" s="76"/>
      <c r="Z424" s="70"/>
      <c r="AA424" s="1"/>
      <c r="AB424" s="68"/>
      <c r="AC424" s="76"/>
      <c r="AD424" s="70"/>
      <c r="AE424" s="228">
        <f>ROUND((ROUND((ROUND((_15_同援日１．５*_15・２人),0)*(1+_15・A深夜)),0)*(1+_15・区３)),0)+ROUND((ROUND((ROUND((_15_同援日１．５＿１．０*_15・２人),0)*(1+_15・B早朝)),0)*(1+_15・区３)),0)+ROUND((ROUND((_15_同援日１．５＿１．０＿０．５*_15・２人),0)*(1+_15・区３)),0)</f>
        <v>1025</v>
      </c>
      <c r="AF424" s="69"/>
    </row>
    <row r="425" spans="1:32" ht="16.5" customHeight="1" x14ac:dyDescent="0.3">
      <c r="A425" s="2">
        <v>15</v>
      </c>
      <c r="B425" s="2" t="s">
        <v>1083</v>
      </c>
      <c r="C425" s="60" t="s">
        <v>11118</v>
      </c>
      <c r="D425" s="1"/>
      <c r="E425" s="68"/>
      <c r="F425" s="70"/>
      <c r="G425" s="1"/>
      <c r="H425" s="68"/>
      <c r="I425" s="70"/>
      <c r="J425" s="1"/>
      <c r="K425" s="68"/>
      <c r="L425" s="70"/>
      <c r="M425" s="74" t="s">
        <v>16912</v>
      </c>
      <c r="N425" s="62"/>
      <c r="O425" s="63"/>
      <c r="P425" s="83"/>
      <c r="Q425" s="64"/>
      <c r="R425" s="65"/>
      <c r="S425" s="99"/>
      <c r="T425" s="70"/>
      <c r="U425" s="99"/>
      <c r="V425" s="70"/>
      <c r="W425" s="94"/>
      <c r="X425" s="68"/>
      <c r="Y425" s="76"/>
      <c r="Z425" s="70"/>
      <c r="AA425" s="1" t="s">
        <v>18101</v>
      </c>
      <c r="AB425" s="68"/>
      <c r="AC425" s="76"/>
      <c r="AD425" s="70"/>
      <c r="AE425" s="228">
        <f>ROUND((ROUND((ROUND((_15_同援日１．５*_15・基礎２),0)*(1+_15・A深夜)),0)*(1+_15・区３)),0)+ROUND((ROUND((ROUND((_15_同援日１．５＿１．０*_15・基礎２),0)*(1+_15・B早朝)),0)*(1+_15・区３)),0)+ROUND((ROUND((_15_同援日１．５＿１．０＿０．５*_15・基礎２),0)*(1+_15・区３)),0)</f>
        <v>923</v>
      </c>
      <c r="AF425" s="69"/>
    </row>
    <row r="426" spans="1:32" ht="16.5" customHeight="1" x14ac:dyDescent="0.3">
      <c r="A426" s="2">
        <v>15</v>
      </c>
      <c r="B426" s="2" t="s">
        <v>1084</v>
      </c>
      <c r="C426" s="60" t="s">
        <v>11117</v>
      </c>
      <c r="D426" s="1"/>
      <c r="E426" s="68"/>
      <c r="F426" s="70"/>
      <c r="G426" s="1"/>
      <c r="H426" s="68"/>
      <c r="I426" s="70"/>
      <c r="J426" s="1"/>
      <c r="K426" s="68"/>
      <c r="L426" s="70"/>
      <c r="M426" s="106" t="s">
        <v>5896</v>
      </c>
      <c r="N426" s="57" t="s">
        <v>1</v>
      </c>
      <c r="O426" s="58">
        <v>0.9</v>
      </c>
      <c r="P426" s="83" t="s">
        <v>5895</v>
      </c>
      <c r="Q426" s="64" t="s">
        <v>1</v>
      </c>
      <c r="R426" s="65">
        <v>1</v>
      </c>
      <c r="S426" s="99"/>
      <c r="T426" s="70"/>
      <c r="U426" s="99"/>
      <c r="V426" s="70"/>
      <c r="W426" s="106"/>
      <c r="X426" s="57"/>
      <c r="Y426" s="58"/>
      <c r="Z426" s="77"/>
      <c r="AA426" s="1" t="s">
        <v>8087</v>
      </c>
      <c r="AB426" s="68"/>
      <c r="AC426" s="76"/>
      <c r="AD426" s="70"/>
      <c r="AE426" s="228">
        <f>ROUND((ROUND((ROUND((ROUND((_15_同援日１．５*_15・基礎２),0)*_15・２人),0)*(1+_15・A深夜)),0)*(1+_15・区３)),0)+ROUND((ROUND((ROUND((ROUND((_15_同援日１．５＿１．０*_15・基礎２),0)*_15・２人),0)*(1+_15・B早朝)),0)*(1+_15・区３)),0)+ROUND((ROUND((ROUND((_15_同援日１．５＿１．０＿０．５*_15・基礎２),0)*_15・２人),0)*(1+_15・区３)),0)</f>
        <v>923</v>
      </c>
      <c r="AF426" s="69"/>
    </row>
    <row r="427" spans="1:32" ht="16.5" customHeight="1" x14ac:dyDescent="0.3">
      <c r="A427" s="2">
        <v>15</v>
      </c>
      <c r="B427" s="2" t="s">
        <v>1085</v>
      </c>
      <c r="C427" s="60" t="s">
        <v>11116</v>
      </c>
      <c r="D427" s="1"/>
      <c r="E427" s="68"/>
      <c r="F427" s="70"/>
      <c r="G427" s="1"/>
      <c r="H427" s="68"/>
      <c r="I427" s="70"/>
      <c r="J427" s="1"/>
      <c r="K427" s="68"/>
      <c r="L427" s="70"/>
      <c r="M427" s="74"/>
      <c r="N427" s="62"/>
      <c r="O427" s="63"/>
      <c r="P427" s="83"/>
      <c r="Q427" s="64"/>
      <c r="R427" s="65"/>
      <c r="S427" s="99"/>
      <c r="T427" s="70"/>
      <c r="U427" s="99"/>
      <c r="V427" s="70"/>
      <c r="W427" s="74" t="s">
        <v>8085</v>
      </c>
      <c r="X427" s="62"/>
      <c r="Y427" s="63"/>
      <c r="Z427" s="75"/>
      <c r="AA427" s="1"/>
      <c r="AB427" s="68" t="s">
        <v>1</v>
      </c>
      <c r="AC427" s="76">
        <v>0.2</v>
      </c>
      <c r="AD427" s="70" t="s">
        <v>422</v>
      </c>
      <c r="AE427" s="228">
        <f>ROUND((ROUND((ROUND((_15_同援日１．５*(1+_15・A深夜)),0)*(1+_15・盲ろう)),0)*(1+_15・区３)),0)+ROUND((ROUND((ROUND((_15_同援日１．５＿１．０*(1+_15・B早朝)),0)*(1+_15・盲ろう)),0)*(1+_15・区３)),0)+ROUND((ROUND((_15_同援日１．５＿１．０＿０．５*(1+_15・盲ろう)),0)*(1+_15・区３)),0)</f>
        <v>1282</v>
      </c>
      <c r="AF427" s="69"/>
    </row>
    <row r="428" spans="1:32" ht="16.5" customHeight="1" x14ac:dyDescent="0.3">
      <c r="A428" s="2">
        <v>15</v>
      </c>
      <c r="B428" s="2" t="s">
        <v>1086</v>
      </c>
      <c r="C428" s="60" t="s">
        <v>11115</v>
      </c>
      <c r="D428" s="1"/>
      <c r="E428" s="68"/>
      <c r="F428" s="70"/>
      <c r="G428" s="1"/>
      <c r="H428" s="68"/>
      <c r="I428" s="70"/>
      <c r="J428" s="1"/>
      <c r="K428" s="68"/>
      <c r="L428" s="70"/>
      <c r="M428" s="106"/>
      <c r="N428" s="57"/>
      <c r="O428" s="58"/>
      <c r="P428" s="83" t="s">
        <v>5895</v>
      </c>
      <c r="Q428" s="64" t="s">
        <v>1</v>
      </c>
      <c r="R428" s="65">
        <v>1</v>
      </c>
      <c r="S428" s="99"/>
      <c r="T428" s="70"/>
      <c r="U428" s="99"/>
      <c r="V428" s="70"/>
      <c r="W428" s="94" t="s">
        <v>18097</v>
      </c>
      <c r="X428" s="68"/>
      <c r="Y428" s="76"/>
      <c r="Z428" s="70"/>
      <c r="AA428" s="1"/>
      <c r="AB428" s="68"/>
      <c r="AC428" s="76"/>
      <c r="AD428" s="70"/>
      <c r="AE428" s="228">
        <f>ROUND((ROUND((ROUND((ROUND((_15_同援日１．５*_15・２人),0)*(1+_15・A深夜)),0)*(1+_15・盲ろう)),0)*(1+_15・区３)),0)+ROUND((ROUND((ROUND((ROUND((_15_同援日１．５＿１．０*_15・２人),0)*(1+_15・B早朝)),0)*(1+_15・盲ろう)),0)*(1+_15・区３)),0)+ROUND((ROUND((ROUND((_15_同援日１．５＿１．０＿０．５*_15・２人),0)*(1+_15・盲ろう)),0)*(1+_15・区３)),0)</f>
        <v>1282</v>
      </c>
      <c r="AF428" s="69"/>
    </row>
    <row r="429" spans="1:32" ht="16.5" customHeight="1" x14ac:dyDescent="0.3">
      <c r="A429" s="2">
        <v>15</v>
      </c>
      <c r="B429" s="2" t="s">
        <v>1087</v>
      </c>
      <c r="C429" s="60" t="s">
        <v>11114</v>
      </c>
      <c r="D429" s="1"/>
      <c r="E429" s="68"/>
      <c r="F429" s="70"/>
      <c r="G429" s="1"/>
      <c r="H429" s="68"/>
      <c r="I429" s="70"/>
      <c r="J429" s="1"/>
      <c r="K429" s="68"/>
      <c r="L429" s="70"/>
      <c r="M429" s="74" t="s">
        <v>16912</v>
      </c>
      <c r="N429" s="62"/>
      <c r="O429" s="63"/>
      <c r="P429" s="83"/>
      <c r="Q429" s="64"/>
      <c r="R429" s="65"/>
      <c r="S429" s="99"/>
      <c r="T429" s="70"/>
      <c r="U429" s="99"/>
      <c r="V429" s="70"/>
      <c r="W429" s="94"/>
      <c r="X429" s="68" t="s">
        <v>1</v>
      </c>
      <c r="Y429" s="76">
        <v>0.25</v>
      </c>
      <c r="Z429" s="70" t="s">
        <v>422</v>
      </c>
      <c r="AA429" s="1"/>
      <c r="AB429" s="68"/>
      <c r="AC429" s="76"/>
      <c r="AD429" s="70"/>
      <c r="AE429" s="228">
        <f>ROUND((ROUND((ROUND((ROUND((_15_同援日１．５*_15・基礎２),0)*(1+_15・A深夜)),0)*(1+_15・盲ろう)),0)*(1+_15・区３)),0)+ROUND((ROUND((ROUND((ROUND((_15_同援日１．５＿１．０*_15・基礎２),0)*(1+_15・B早朝)),0)*(1+_15・盲ろう)),0)*(1+_15・区３)),0)+ROUND((ROUND((ROUND((_15_同援日１．５＿１．０＿０．５*_15・基礎２),0)*(1+_15・盲ろう)),0)*(1+_15・区３)),0)</f>
        <v>1153</v>
      </c>
      <c r="AF429" s="69"/>
    </row>
    <row r="430" spans="1:32" ht="16.5" customHeight="1" x14ac:dyDescent="0.3">
      <c r="A430" s="2">
        <v>15</v>
      </c>
      <c r="B430" s="2" t="s">
        <v>1088</v>
      </c>
      <c r="C430" s="60" t="s">
        <v>11113</v>
      </c>
      <c r="D430" s="1"/>
      <c r="E430" s="68"/>
      <c r="F430" s="70"/>
      <c r="G430" s="1"/>
      <c r="H430" s="68"/>
      <c r="I430" s="70"/>
      <c r="J430" s="1"/>
      <c r="K430" s="68"/>
      <c r="L430" s="70"/>
      <c r="M430" s="106" t="s">
        <v>16812</v>
      </c>
      <c r="N430" s="57" t="s">
        <v>1</v>
      </c>
      <c r="O430" s="58">
        <v>0.9</v>
      </c>
      <c r="P430" s="83" t="s">
        <v>5895</v>
      </c>
      <c r="Q430" s="64" t="s">
        <v>1</v>
      </c>
      <c r="R430" s="65">
        <v>1</v>
      </c>
      <c r="S430" s="99"/>
      <c r="T430" s="70"/>
      <c r="U430" s="99"/>
      <c r="V430" s="70"/>
      <c r="W430" s="106"/>
      <c r="X430" s="57"/>
      <c r="Y430" s="58"/>
      <c r="Z430" s="77"/>
      <c r="AA430" s="106"/>
      <c r="AB430" s="57"/>
      <c r="AC430" s="58"/>
      <c r="AD430" s="77"/>
      <c r="AE430" s="228">
        <f>ROUND((ROUND((ROUND((ROUND((ROUND((_15_同援日１．５*_15・基礎２),0)*_15・２人),0)*(1+_15・A深夜)),0)*(1+_15・盲ろう)),0)*(1+_15・区３)),0)+ROUND((ROUND((ROUND((ROUND((ROUND((_15_同援日１．５＿１．０*_15・基礎２),0)*_15・２人),0)*(1+_15・B早朝)),0)*(1+_15・盲ろう)),0)*(1+_15・区３)),0)+ROUND((ROUND((ROUND((ROUND((_15_同援日１．５＿１．０＿０．５*_15・基礎２),0)*_15・２人),0)*(1+_15・盲ろう)),0)*(1+_15・区３)),0)</f>
        <v>1153</v>
      </c>
      <c r="AF430" s="69"/>
    </row>
    <row r="431" spans="1:32" ht="16.5" customHeight="1" x14ac:dyDescent="0.3">
      <c r="A431" s="2">
        <v>15</v>
      </c>
      <c r="B431" s="2" t="s">
        <v>1089</v>
      </c>
      <c r="C431" s="60" t="s">
        <v>11112</v>
      </c>
      <c r="D431" s="1"/>
      <c r="E431" s="68"/>
      <c r="F431" s="70"/>
      <c r="G431" s="1"/>
      <c r="H431" s="68"/>
      <c r="I431" s="70"/>
      <c r="J431" s="1"/>
      <c r="K431" s="68"/>
      <c r="L431" s="70"/>
      <c r="M431" s="74"/>
      <c r="N431" s="62"/>
      <c r="O431" s="63"/>
      <c r="P431" s="83"/>
      <c r="Q431" s="64"/>
      <c r="R431" s="65"/>
      <c r="S431" s="99"/>
      <c r="T431" s="70"/>
      <c r="U431" s="99"/>
      <c r="V431" s="70"/>
      <c r="W431" s="74"/>
      <c r="X431" s="62"/>
      <c r="Y431" s="63"/>
      <c r="Z431" s="75"/>
      <c r="AA431" s="78"/>
      <c r="AB431" s="62"/>
      <c r="AC431" s="63"/>
      <c r="AD431" s="75"/>
      <c r="AE431" s="228">
        <f>ROUND((ROUND((_15_同援日１．５*(1+_15・A深夜)),0)*(1+_15・区４)),0)+ROUND((ROUND((_15_同援日１．５＿１．０*(1+_15・B早朝)),0)*(1+_15・区４)),0)+ROUND((_15_同援日１．５＿１．０＿０．５*(1+_15・区４)),0)</f>
        <v>1196</v>
      </c>
      <c r="AF431" s="69"/>
    </row>
    <row r="432" spans="1:32" ht="16.5" customHeight="1" x14ac:dyDescent="0.3">
      <c r="A432" s="2">
        <v>15</v>
      </c>
      <c r="B432" s="2" t="s">
        <v>1090</v>
      </c>
      <c r="C432" s="60" t="s">
        <v>11111</v>
      </c>
      <c r="D432" s="1"/>
      <c r="E432" s="68"/>
      <c r="F432" s="70"/>
      <c r="G432" s="1"/>
      <c r="H432" s="68"/>
      <c r="I432" s="70"/>
      <c r="J432" s="1"/>
      <c r="K432" s="68"/>
      <c r="L432" s="70"/>
      <c r="M432" s="106"/>
      <c r="N432" s="57"/>
      <c r="O432" s="58"/>
      <c r="P432" s="83" t="s">
        <v>5895</v>
      </c>
      <c r="Q432" s="64" t="s">
        <v>1</v>
      </c>
      <c r="R432" s="65">
        <v>1</v>
      </c>
      <c r="S432" s="99"/>
      <c r="T432" s="70"/>
      <c r="U432" s="99"/>
      <c r="V432" s="70"/>
      <c r="W432" s="94"/>
      <c r="X432" s="68"/>
      <c r="Y432" s="76"/>
      <c r="Z432" s="70"/>
      <c r="AA432" s="1"/>
      <c r="AB432" s="68"/>
      <c r="AC432" s="76"/>
      <c r="AD432" s="70"/>
      <c r="AE432" s="228">
        <f>ROUND((ROUND((ROUND((_15_同援日１．５*_15・２人),0)*(1+_15・A深夜)),0)*(1+_15・区４)),0)+ROUND((ROUND((ROUND((_15_同援日１．５＿１．０*_15・２人),0)*(1+_15・B早朝)),0)*(1+_15・区４)),0)+ROUND((ROUND((_15_同援日１．５＿１．０＿０．５*_15・２人),0)*(1+_15・区４)),0)</f>
        <v>1196</v>
      </c>
      <c r="AF432" s="69"/>
    </row>
    <row r="433" spans="1:32" ht="16.5" customHeight="1" x14ac:dyDescent="0.3">
      <c r="A433" s="2">
        <v>15</v>
      </c>
      <c r="B433" s="2" t="s">
        <v>1091</v>
      </c>
      <c r="C433" s="60" t="s">
        <v>11110</v>
      </c>
      <c r="D433" s="1"/>
      <c r="E433" s="68"/>
      <c r="F433" s="70"/>
      <c r="G433" s="1"/>
      <c r="H433" s="68"/>
      <c r="I433" s="70"/>
      <c r="J433" s="1"/>
      <c r="K433" s="68"/>
      <c r="L433" s="70"/>
      <c r="M433" s="74" t="s">
        <v>16912</v>
      </c>
      <c r="N433" s="62"/>
      <c r="O433" s="63"/>
      <c r="P433" s="83"/>
      <c r="Q433" s="64"/>
      <c r="R433" s="65"/>
      <c r="S433" s="99"/>
      <c r="T433" s="70"/>
      <c r="U433" s="99"/>
      <c r="V433" s="70"/>
      <c r="W433" s="94"/>
      <c r="X433" s="68"/>
      <c r="Y433" s="76"/>
      <c r="Z433" s="70"/>
      <c r="AA433" s="1" t="s">
        <v>18100</v>
      </c>
      <c r="AB433" s="68"/>
      <c r="AC433" s="76"/>
      <c r="AD433" s="70"/>
      <c r="AE433" s="228">
        <f>ROUND((ROUND((ROUND((_15_同援日１．５*_15・基礎２),0)*(1+_15・A深夜)),0)*(1+_15・区４)),0)+ROUND((ROUND((ROUND((_15_同援日１．５＿１．０*_15・基礎２),0)*(1+_15・B早朝)),0)*(1+_15・区４)),0)+ROUND((ROUND((_15_同援日１．５＿１．０＿０．５*_15・基礎２),0)*(1+_15・区４)),0)</f>
        <v>1077</v>
      </c>
      <c r="AF433" s="69"/>
    </row>
    <row r="434" spans="1:32" ht="16.5" customHeight="1" x14ac:dyDescent="0.3">
      <c r="A434" s="2">
        <v>15</v>
      </c>
      <c r="B434" s="2" t="s">
        <v>1092</v>
      </c>
      <c r="C434" s="60" t="s">
        <v>11109</v>
      </c>
      <c r="D434" s="1"/>
      <c r="E434" s="68"/>
      <c r="F434" s="70"/>
      <c r="G434" s="1"/>
      <c r="H434" s="68"/>
      <c r="I434" s="70"/>
      <c r="J434" s="1"/>
      <c r="K434" s="68"/>
      <c r="L434" s="70"/>
      <c r="M434" s="106" t="s">
        <v>5896</v>
      </c>
      <c r="N434" s="57" t="s">
        <v>1</v>
      </c>
      <c r="O434" s="58">
        <v>0.9</v>
      </c>
      <c r="P434" s="83" t="s">
        <v>5895</v>
      </c>
      <c r="Q434" s="64" t="s">
        <v>1</v>
      </c>
      <c r="R434" s="65">
        <v>1</v>
      </c>
      <c r="S434" s="99"/>
      <c r="T434" s="70"/>
      <c r="U434" s="99"/>
      <c r="V434" s="70"/>
      <c r="W434" s="106"/>
      <c r="X434" s="57"/>
      <c r="Y434" s="58"/>
      <c r="Z434" s="77"/>
      <c r="AA434" s="1" t="s">
        <v>8087</v>
      </c>
      <c r="AB434" s="68"/>
      <c r="AC434" s="76"/>
      <c r="AD434" s="70"/>
      <c r="AE434" s="228">
        <f>ROUND((ROUND((ROUND((ROUND((_15_同援日１．５*_15・基礎２),0)*_15・２人),0)*(1+_15・A深夜)),0)*(1+_15・区４)),0)+ROUND((ROUND((ROUND((ROUND((_15_同援日１．５＿１．０*_15・基礎２),0)*_15・２人),0)*(1+_15・B早朝)),0)*(1+_15・区４)),0)+ROUND((ROUND((ROUND((_15_同援日１．５＿１．０＿０．５*_15・基礎２),0)*_15・２人),0)*(1+_15・区４)),0)</f>
        <v>1077</v>
      </c>
      <c r="AF434" s="69"/>
    </row>
    <row r="435" spans="1:32" ht="16.5" customHeight="1" x14ac:dyDescent="0.3">
      <c r="A435" s="2">
        <v>15</v>
      </c>
      <c r="B435" s="2" t="s">
        <v>1093</v>
      </c>
      <c r="C435" s="60" t="s">
        <v>11108</v>
      </c>
      <c r="D435" s="1"/>
      <c r="E435" s="68"/>
      <c r="F435" s="70"/>
      <c r="G435" s="1"/>
      <c r="H435" s="68"/>
      <c r="I435" s="70"/>
      <c r="J435" s="1"/>
      <c r="K435" s="68"/>
      <c r="L435" s="70"/>
      <c r="M435" s="74"/>
      <c r="N435" s="62"/>
      <c r="O435" s="63"/>
      <c r="P435" s="83"/>
      <c r="Q435" s="64"/>
      <c r="R435" s="65"/>
      <c r="S435" s="99"/>
      <c r="T435" s="70"/>
      <c r="U435" s="99"/>
      <c r="V435" s="70"/>
      <c r="W435" s="74" t="s">
        <v>8085</v>
      </c>
      <c r="X435" s="62"/>
      <c r="Y435" s="63"/>
      <c r="Z435" s="75"/>
      <c r="AA435" s="1"/>
      <c r="AB435" s="68" t="s">
        <v>1</v>
      </c>
      <c r="AC435" s="76">
        <v>0.4</v>
      </c>
      <c r="AD435" s="70" t="s">
        <v>422</v>
      </c>
      <c r="AE435" s="228">
        <f>ROUND((ROUND((ROUND((_15_同援日１．５*(1+_15・A深夜)),0)*(1+_15・盲ろう)),0)*(1+_15・区４)),0)+ROUND((ROUND((ROUND((_15_同援日１．５＿１．０*(1+_15・B早朝)),0)*(1+_15・盲ろう)),0)*(1+_15・区４)),0)+ROUND((ROUND((_15_同援日１．５＿１．０＿０．５*(1+_15・盲ろう)),0)*(1+_15・区４)),0)</f>
        <v>1496</v>
      </c>
      <c r="AF435" s="69"/>
    </row>
    <row r="436" spans="1:32" ht="16.5" customHeight="1" x14ac:dyDescent="0.3">
      <c r="A436" s="2">
        <v>15</v>
      </c>
      <c r="B436" s="2" t="s">
        <v>1094</v>
      </c>
      <c r="C436" s="60" t="s">
        <v>11107</v>
      </c>
      <c r="D436" s="1"/>
      <c r="E436" s="68"/>
      <c r="F436" s="70"/>
      <c r="G436" s="1"/>
      <c r="H436" s="68"/>
      <c r="I436" s="70"/>
      <c r="J436" s="1"/>
      <c r="K436" s="68"/>
      <c r="L436" s="70"/>
      <c r="M436" s="106"/>
      <c r="N436" s="57"/>
      <c r="O436" s="58"/>
      <c r="P436" s="83" t="s">
        <v>5895</v>
      </c>
      <c r="Q436" s="64" t="s">
        <v>1</v>
      </c>
      <c r="R436" s="65">
        <v>1</v>
      </c>
      <c r="S436" s="99"/>
      <c r="T436" s="70"/>
      <c r="U436" s="99"/>
      <c r="V436" s="70"/>
      <c r="W436" s="94" t="s">
        <v>18097</v>
      </c>
      <c r="X436" s="68"/>
      <c r="Y436" s="76"/>
      <c r="Z436" s="70"/>
      <c r="AA436" s="1"/>
      <c r="AB436" s="68"/>
      <c r="AC436" s="76"/>
      <c r="AD436" s="70"/>
      <c r="AE436" s="228">
        <f>ROUND((ROUND((ROUND((ROUND((_15_同援日１．５*_15・２人),0)*(1+_15・A深夜)),0)*(1+_15・盲ろう)),0)*(1+_15・区４)),0)+ROUND((ROUND((ROUND((ROUND((_15_同援日１．５＿１．０*_15・２人),0)*(1+_15・B早朝)),0)*(1+_15・盲ろう)),0)*(1+_15・区４)),0)+ROUND((ROUND((ROUND((_15_同援日１．５＿１．０＿０．５*_15・２人),0)*(1+_15・盲ろう)),0)*(1+_15・区４)),0)</f>
        <v>1496</v>
      </c>
      <c r="AF436" s="69"/>
    </row>
    <row r="437" spans="1:32" ht="16.5" customHeight="1" x14ac:dyDescent="0.3">
      <c r="A437" s="2">
        <v>15</v>
      </c>
      <c r="B437" s="2" t="s">
        <v>1095</v>
      </c>
      <c r="C437" s="60" t="s">
        <v>11106</v>
      </c>
      <c r="D437" s="1"/>
      <c r="E437" s="68"/>
      <c r="F437" s="70"/>
      <c r="G437" s="1"/>
      <c r="H437" s="68"/>
      <c r="I437" s="70"/>
      <c r="J437" s="1"/>
      <c r="K437" s="68"/>
      <c r="L437" s="70"/>
      <c r="M437" s="74" t="s">
        <v>16912</v>
      </c>
      <c r="N437" s="62"/>
      <c r="O437" s="63"/>
      <c r="P437" s="83"/>
      <c r="Q437" s="64"/>
      <c r="R437" s="65"/>
      <c r="S437" s="99"/>
      <c r="T437" s="70"/>
      <c r="U437" s="99"/>
      <c r="V437" s="70"/>
      <c r="W437" s="94"/>
      <c r="X437" s="68" t="s">
        <v>1</v>
      </c>
      <c r="Y437" s="76">
        <v>0.25</v>
      </c>
      <c r="Z437" s="70" t="s">
        <v>422</v>
      </c>
      <c r="AA437" s="1"/>
      <c r="AB437" s="68"/>
      <c r="AC437" s="76"/>
      <c r="AD437" s="70"/>
      <c r="AE437" s="228">
        <f>ROUND((ROUND((ROUND((ROUND((_15_同援日１．５*_15・基礎２),0)*(1+_15・A深夜)),0)*(1+_15・盲ろう)),0)*(1+_15・区４)),0)+ROUND((ROUND((ROUND((ROUND((_15_同援日１．５＿１．０*_15・基礎２),0)*(1+_15・B早朝)),0)*(1+_15・盲ろう)),0)*(1+_15・区４)),0)+ROUND((ROUND((ROUND((_15_同援日１．５＿１．０＿０．５*_15・基礎２),0)*(1+_15・盲ろう)),0)*(1+_15・区４)),0)</f>
        <v>1345</v>
      </c>
      <c r="AF437" s="69"/>
    </row>
    <row r="438" spans="1:32" ht="16.5" customHeight="1" x14ac:dyDescent="0.3">
      <c r="A438" s="2">
        <v>15</v>
      </c>
      <c r="B438" s="2" t="s">
        <v>1096</v>
      </c>
      <c r="C438" s="60" t="s">
        <v>11105</v>
      </c>
      <c r="D438" s="81"/>
      <c r="E438" s="57"/>
      <c r="F438" s="77"/>
      <c r="G438" s="81"/>
      <c r="H438" s="57"/>
      <c r="I438" s="77"/>
      <c r="J438" s="1"/>
      <c r="K438" s="68"/>
      <c r="L438" s="70"/>
      <c r="M438" s="106" t="s">
        <v>16812</v>
      </c>
      <c r="N438" s="57" t="s">
        <v>1</v>
      </c>
      <c r="O438" s="58">
        <v>0.9</v>
      </c>
      <c r="P438" s="83" t="s">
        <v>5895</v>
      </c>
      <c r="Q438" s="64" t="s">
        <v>1</v>
      </c>
      <c r="R438" s="65">
        <v>1</v>
      </c>
      <c r="S438" s="99"/>
      <c r="T438" s="70"/>
      <c r="U438" s="99"/>
      <c r="V438" s="70"/>
      <c r="W438" s="106"/>
      <c r="X438" s="57"/>
      <c r="Y438" s="58"/>
      <c r="Z438" s="77"/>
      <c r="AA438" s="106"/>
      <c r="AB438" s="57"/>
      <c r="AC438" s="58"/>
      <c r="AD438" s="77"/>
      <c r="AE438" s="228">
        <f>ROUND((ROUND((ROUND((ROUND((ROUND((_15_同援日１．５*_15・基礎２),0)*_15・２人),0)*(1+_15・A深夜)),0)*(1+_15・盲ろう)),0)*(1+_15・区４)),0)+ROUND((ROUND((ROUND((ROUND((ROUND((_15_同援日１．５＿１．０*_15・基礎２),0)*_15・２人),0)*(1+_15・B早朝)),0)*(1+_15・盲ろう)),0)*(1+_15・区４)),0)+ROUND((ROUND((ROUND((ROUND((_15_同援日１．５＿１．０＿０．５*_15・基礎２),0)*_15・２人),0)*(1+_15・盲ろう)),0)*(1+_15・区４)),0)</f>
        <v>1345</v>
      </c>
      <c r="AF438" s="69"/>
    </row>
    <row r="439" spans="1:32" ht="16.5" customHeight="1" x14ac:dyDescent="0.3">
      <c r="A439" s="2">
        <v>15</v>
      </c>
      <c r="B439" s="2" t="s">
        <v>1097</v>
      </c>
      <c r="C439" s="60" t="s">
        <v>11104</v>
      </c>
      <c r="D439" s="233" t="s">
        <v>18103</v>
      </c>
      <c r="E439" s="235"/>
      <c r="F439" s="75"/>
      <c r="G439" s="233" t="s">
        <v>17370</v>
      </c>
      <c r="H439" s="62"/>
      <c r="I439" s="75"/>
      <c r="J439" s="74" t="s">
        <v>17358</v>
      </c>
      <c r="K439" s="62"/>
      <c r="L439" s="75"/>
      <c r="M439" s="74"/>
      <c r="N439" s="62"/>
      <c r="O439" s="63"/>
      <c r="P439" s="83"/>
      <c r="Q439" s="64"/>
      <c r="R439" s="65"/>
      <c r="S439" s="99"/>
      <c r="T439" s="70"/>
      <c r="U439" s="99"/>
      <c r="V439" s="70"/>
      <c r="W439" s="74"/>
      <c r="X439" s="62"/>
      <c r="Y439" s="63"/>
      <c r="Z439" s="75"/>
      <c r="AA439" s="78"/>
      <c r="AB439" s="62"/>
      <c r="AC439" s="63"/>
      <c r="AD439" s="75"/>
      <c r="AE439" s="228">
        <f>ROUND((_15_同援日２．０*(1+_15・A深夜)),0)+ROUND((_15_同援日２．０＿０．５*(1+_15・B早朝)),0)+_15_同援日２．０＿０．５＿０．５</f>
        <v>870</v>
      </c>
      <c r="AF439" s="69"/>
    </row>
    <row r="440" spans="1:32" ht="16.5" customHeight="1" x14ac:dyDescent="0.3">
      <c r="A440" s="2">
        <v>15</v>
      </c>
      <c r="B440" s="2" t="s">
        <v>1098</v>
      </c>
      <c r="C440" s="60" t="s">
        <v>11103</v>
      </c>
      <c r="D440" s="1" t="s">
        <v>5983</v>
      </c>
      <c r="E440" s="68"/>
      <c r="F440" s="70"/>
      <c r="G440" s="1" t="s">
        <v>7928</v>
      </c>
      <c r="H440" s="68"/>
      <c r="I440" s="70"/>
      <c r="J440" s="1" t="s">
        <v>7928</v>
      </c>
      <c r="K440" s="68"/>
      <c r="L440" s="70"/>
      <c r="M440" s="106"/>
      <c r="N440" s="57"/>
      <c r="O440" s="58"/>
      <c r="P440" s="83" t="s">
        <v>5895</v>
      </c>
      <c r="Q440" s="64" t="s">
        <v>1</v>
      </c>
      <c r="R440" s="65">
        <v>1</v>
      </c>
      <c r="S440" s="99"/>
      <c r="T440" s="70"/>
      <c r="U440" s="99"/>
      <c r="V440" s="70"/>
      <c r="W440" s="94"/>
      <c r="X440" s="68"/>
      <c r="Y440" s="76"/>
      <c r="Z440" s="70"/>
      <c r="AA440" s="1"/>
      <c r="AB440" s="68"/>
      <c r="AC440" s="76"/>
      <c r="AD440" s="70"/>
      <c r="AE440" s="228">
        <f>ROUND((ROUND((_15_同援日２．０*_15・２人),0)*(1+_15・A深夜)),0)+ROUND((ROUND((_15_同援日２．０＿０．５*_15・２人),0)*(1+_15・B早朝)),0)+ROUND((_15_同援日２．０＿０．５＿０．５*_15・２人),0)</f>
        <v>870</v>
      </c>
      <c r="AF440" s="69"/>
    </row>
    <row r="441" spans="1:32" ht="16.5" customHeight="1" x14ac:dyDescent="0.3">
      <c r="A441" s="2">
        <v>15</v>
      </c>
      <c r="B441" s="2" t="s">
        <v>1099</v>
      </c>
      <c r="C441" s="60" t="s">
        <v>11102</v>
      </c>
      <c r="D441" s="1" t="s">
        <v>6448</v>
      </c>
      <c r="E441" s="68"/>
      <c r="F441" s="70"/>
      <c r="G441" s="1"/>
      <c r="H441" s="68"/>
      <c r="I441" s="70"/>
      <c r="J441" s="1"/>
      <c r="K441" s="68"/>
      <c r="L441" s="70"/>
      <c r="M441" s="74" t="s">
        <v>16823</v>
      </c>
      <c r="N441" s="62"/>
      <c r="O441" s="63"/>
      <c r="P441" s="83"/>
      <c r="Q441" s="64"/>
      <c r="R441" s="65"/>
      <c r="S441" s="99"/>
      <c r="T441" s="70"/>
      <c r="U441" s="99"/>
      <c r="V441" s="70"/>
      <c r="W441" s="94"/>
      <c r="X441" s="68"/>
      <c r="Y441" s="76"/>
      <c r="Z441" s="70"/>
      <c r="AA441" s="1"/>
      <c r="AB441" s="68"/>
      <c r="AC441" s="76"/>
      <c r="AD441" s="70"/>
      <c r="AE441" s="228">
        <f>ROUND((ROUND((_15_同援日２．０*_15・基礎２),0)*(1+_15・A深夜)),0)+ROUND((ROUND((_15_同援日２．０＿０．５*_15・基礎２),0)*(1+_15・B早朝)),0)+ROUND((_15_同援日２．０＿０．５＿０．５*_15・基礎２),0)</f>
        <v>784</v>
      </c>
      <c r="AF441" s="69"/>
    </row>
    <row r="442" spans="1:32" ht="16.5" customHeight="1" x14ac:dyDescent="0.3">
      <c r="A442" s="2">
        <v>15</v>
      </c>
      <c r="B442" s="2" t="s">
        <v>1100</v>
      </c>
      <c r="C442" s="60" t="s">
        <v>11101</v>
      </c>
      <c r="D442" s="1"/>
      <c r="E442" s="227">
        <v>485</v>
      </c>
      <c r="F442" s="70" t="s">
        <v>0</v>
      </c>
      <c r="G442" s="1"/>
      <c r="H442" s="119">
        <v>63</v>
      </c>
      <c r="I442" s="70" t="s">
        <v>0</v>
      </c>
      <c r="J442" s="1"/>
      <c r="K442" s="227">
        <v>63</v>
      </c>
      <c r="L442" s="70" t="s">
        <v>0</v>
      </c>
      <c r="M442" s="106" t="s">
        <v>5896</v>
      </c>
      <c r="N442" s="57" t="s">
        <v>1</v>
      </c>
      <c r="O442" s="58">
        <v>0.9</v>
      </c>
      <c r="P442" s="83" t="s">
        <v>5895</v>
      </c>
      <c r="Q442" s="64" t="s">
        <v>1</v>
      </c>
      <c r="R442" s="65">
        <v>1</v>
      </c>
      <c r="S442" s="99"/>
      <c r="T442" s="70"/>
      <c r="U442" s="99"/>
      <c r="V442" s="70"/>
      <c r="W442" s="106"/>
      <c r="X442" s="57"/>
      <c r="Y442" s="58"/>
      <c r="Z442" s="77"/>
      <c r="AA442" s="1"/>
      <c r="AB442" s="68"/>
      <c r="AC442" s="76"/>
      <c r="AD442" s="70"/>
      <c r="AE442" s="228">
        <f>ROUND((ROUND((ROUND((_15_同援日２．０*_15・基礎２),0)*_15・２人),0)*(1+_15・A深夜)),0)+ROUND((ROUND((ROUND((_15_同援日２．０＿０．５*_15・基礎２),0)*_15・２人),0)*(1+_15・B早朝)),0)+ROUND((ROUND((_15_同援日２．０＿０．５＿０．５*_15・基礎２),0)*_15・２人),0)</f>
        <v>784</v>
      </c>
      <c r="AF442" s="69"/>
    </row>
    <row r="443" spans="1:32" ht="16.5" customHeight="1" x14ac:dyDescent="0.3">
      <c r="A443" s="2">
        <v>15</v>
      </c>
      <c r="B443" s="2" t="s">
        <v>1101</v>
      </c>
      <c r="C443" s="60" t="s">
        <v>11100</v>
      </c>
      <c r="D443" s="1"/>
      <c r="E443" s="68"/>
      <c r="F443" s="70"/>
      <c r="G443" s="1"/>
      <c r="H443" s="68"/>
      <c r="I443" s="70"/>
      <c r="J443" s="1"/>
      <c r="K443" s="68"/>
      <c r="L443" s="70"/>
      <c r="M443" s="74"/>
      <c r="N443" s="62"/>
      <c r="O443" s="63"/>
      <c r="P443" s="83"/>
      <c r="Q443" s="64"/>
      <c r="R443" s="65"/>
      <c r="S443" s="99"/>
      <c r="T443" s="70"/>
      <c r="U443" s="99"/>
      <c r="V443" s="70"/>
      <c r="W443" s="74" t="s">
        <v>18098</v>
      </c>
      <c r="X443" s="62"/>
      <c r="Y443" s="63"/>
      <c r="Z443" s="75"/>
      <c r="AA443" s="1"/>
      <c r="AB443" s="68"/>
      <c r="AC443" s="76"/>
      <c r="AD443" s="70"/>
      <c r="AE443" s="228">
        <f>ROUND((ROUND((_15_同援日２．０*(1+_15・A深夜)),0)*(1+_15・盲ろう)),0)+ROUND((ROUND((_15_同援日２．０＿０．５*(1+_15・B早朝)),0)*(1+_15・盲ろう)),0)+ROUND((_15_同援日２．０＿０．５＿０．５*(1+_15・盲ろう)),0)</f>
        <v>1088</v>
      </c>
      <c r="AF443" s="69"/>
    </row>
    <row r="444" spans="1:32" ht="16.5" customHeight="1" x14ac:dyDescent="0.3">
      <c r="A444" s="2">
        <v>15</v>
      </c>
      <c r="B444" s="2" t="s">
        <v>1102</v>
      </c>
      <c r="C444" s="60" t="s">
        <v>11099</v>
      </c>
      <c r="D444" s="1"/>
      <c r="E444" s="68"/>
      <c r="F444" s="70"/>
      <c r="G444" s="1"/>
      <c r="H444" s="68"/>
      <c r="I444" s="70"/>
      <c r="J444" s="1"/>
      <c r="K444" s="68"/>
      <c r="L444" s="70"/>
      <c r="M444" s="106"/>
      <c r="N444" s="57"/>
      <c r="O444" s="58"/>
      <c r="P444" s="83" t="s">
        <v>5895</v>
      </c>
      <c r="Q444" s="64" t="s">
        <v>1</v>
      </c>
      <c r="R444" s="65">
        <v>1</v>
      </c>
      <c r="S444" s="99"/>
      <c r="T444" s="70"/>
      <c r="U444" s="99"/>
      <c r="V444" s="70"/>
      <c r="W444" s="94" t="s">
        <v>18097</v>
      </c>
      <c r="X444" s="68"/>
      <c r="Y444" s="76"/>
      <c r="Z444" s="70"/>
      <c r="AA444" s="1"/>
      <c r="AB444" s="68"/>
      <c r="AC444" s="76"/>
      <c r="AD444" s="70"/>
      <c r="AE444" s="228">
        <f>ROUND((ROUND((ROUND((_15_同援日２．０*_15・２人),0)*(1+_15・A深夜)),0)*(1+_15・盲ろう)),0)+ROUND((ROUND((ROUND((_15_同援日２．０＿０．５*_15・２人),0)*(1+_15・B早朝)),0)*(1+_15・盲ろう)),0)+ROUND((ROUND((_15_同援日２．０＿０．５＿０．５*_15・２人),0)*(1+_15・盲ろう)),0)</f>
        <v>1088</v>
      </c>
      <c r="AF444" s="69"/>
    </row>
    <row r="445" spans="1:32" ht="16.5" customHeight="1" x14ac:dyDescent="0.3">
      <c r="A445" s="2">
        <v>15</v>
      </c>
      <c r="B445" s="2" t="s">
        <v>1103</v>
      </c>
      <c r="C445" s="60" t="s">
        <v>11098</v>
      </c>
      <c r="D445" s="1"/>
      <c r="E445" s="68"/>
      <c r="F445" s="70"/>
      <c r="G445" s="1"/>
      <c r="H445" s="68"/>
      <c r="I445" s="70"/>
      <c r="J445" s="1"/>
      <c r="K445" s="68"/>
      <c r="L445" s="70"/>
      <c r="M445" s="74" t="s">
        <v>16912</v>
      </c>
      <c r="N445" s="62"/>
      <c r="O445" s="63"/>
      <c r="P445" s="83"/>
      <c r="Q445" s="64"/>
      <c r="R445" s="65"/>
      <c r="S445" s="99"/>
      <c r="T445" s="70"/>
      <c r="U445" s="99"/>
      <c r="V445" s="70"/>
      <c r="W445" s="94"/>
      <c r="X445" s="68" t="s">
        <v>1</v>
      </c>
      <c r="Y445" s="76">
        <v>0.25</v>
      </c>
      <c r="Z445" s="70" t="s">
        <v>422</v>
      </c>
      <c r="AA445" s="1"/>
      <c r="AB445" s="68"/>
      <c r="AC445" s="76"/>
      <c r="AD445" s="70"/>
      <c r="AE445" s="120">
        <f>ROUND((ROUND((ROUND((_15_同援日２．０*_15・基礎２),0)*(1+_15・A深夜)),0)*(1+_15・盲ろう)),0)+ROUND((ROUND((ROUND((_15_同援日２．０＿０．５*_15・基礎２),0)*(1+_15・B早朝)),0)*(1+_15・盲ろう)),0)+ROUND((ROUND((_15_同援日２．０＿０．５＿０．５*_15・基礎２),0)*(1+_15・盲ろう)),0)</f>
        <v>980</v>
      </c>
      <c r="AF445" s="69"/>
    </row>
    <row r="446" spans="1:32" ht="16.5" customHeight="1" x14ac:dyDescent="0.3">
      <c r="A446" s="2">
        <v>15</v>
      </c>
      <c r="B446" s="2" t="s">
        <v>1104</v>
      </c>
      <c r="C446" s="60" t="s">
        <v>11097</v>
      </c>
      <c r="D446" s="1"/>
      <c r="E446" s="68"/>
      <c r="F446" s="70"/>
      <c r="G446" s="1"/>
      <c r="H446" s="68"/>
      <c r="I446" s="70"/>
      <c r="J446" s="1"/>
      <c r="K446" s="68"/>
      <c r="L446" s="70"/>
      <c r="M446" s="106" t="s">
        <v>16916</v>
      </c>
      <c r="N446" s="57" t="s">
        <v>1</v>
      </c>
      <c r="O446" s="58">
        <v>0.9</v>
      </c>
      <c r="P446" s="83" t="s">
        <v>5895</v>
      </c>
      <c r="Q446" s="64" t="s">
        <v>1</v>
      </c>
      <c r="R446" s="65">
        <v>1</v>
      </c>
      <c r="S446" s="99"/>
      <c r="T446" s="70"/>
      <c r="U446" s="99"/>
      <c r="V446" s="70"/>
      <c r="W446" s="106"/>
      <c r="X446" s="57"/>
      <c r="Y446" s="58"/>
      <c r="Z446" s="77"/>
      <c r="AA446" s="106"/>
      <c r="AB446" s="57"/>
      <c r="AC446" s="58"/>
      <c r="AD446" s="77"/>
      <c r="AE446" s="120">
        <f>ROUND((ROUND((ROUND((ROUND((_15_同援日２．０*_15・基礎２),0)*_15・２人),0)*(1+_15・A深夜)),0)*(1+_15・盲ろう)),0)+ROUND((ROUND((ROUND((ROUND((_15_同援日２．０＿０．５*_15・基礎２),0)*_15・２人),0)*(1+_15・B早朝)),0)*(1+_15・盲ろう)),0)+ROUND((ROUND((ROUND((_15_同援日２．０＿０．５＿０．５*_15・基礎２),0)*_15・２人),0)*(1+_15・盲ろう)),0)</f>
        <v>980</v>
      </c>
      <c r="AF446" s="69"/>
    </row>
    <row r="447" spans="1:32" ht="16.5" customHeight="1" x14ac:dyDescent="0.3">
      <c r="A447" s="2">
        <v>15</v>
      </c>
      <c r="B447" s="2" t="s">
        <v>1105</v>
      </c>
      <c r="C447" s="60" t="s">
        <v>11096</v>
      </c>
      <c r="D447" s="1"/>
      <c r="E447" s="68"/>
      <c r="F447" s="70"/>
      <c r="G447" s="1"/>
      <c r="H447" s="68"/>
      <c r="I447" s="70"/>
      <c r="J447" s="1"/>
      <c r="K447" s="68"/>
      <c r="L447" s="70"/>
      <c r="M447" s="74"/>
      <c r="N447" s="62"/>
      <c r="O447" s="63"/>
      <c r="P447" s="83"/>
      <c r="Q447" s="64"/>
      <c r="R447" s="65"/>
      <c r="S447" s="99"/>
      <c r="T447" s="70"/>
      <c r="U447" s="99"/>
      <c r="V447" s="70"/>
      <c r="W447" s="74"/>
      <c r="X447" s="62"/>
      <c r="Y447" s="63"/>
      <c r="Z447" s="75"/>
      <c r="AA447" s="78"/>
      <c r="AB447" s="62"/>
      <c r="AC447" s="63"/>
      <c r="AD447" s="75"/>
      <c r="AE447" s="228">
        <f>ROUND((ROUND((_15_同援日２．０*(1+_15・A深夜)),0)*(1+_15・区３)),0)+ROUND((ROUND((_15_同援日２．０＿０．５*(1+_15・B早朝)),0)*(1+_15・区３)),0)+ROUND((_15_同援日２．０＿０．５＿０．５*(1+_15・区３)),0)</f>
        <v>1045</v>
      </c>
      <c r="AF447" s="69"/>
    </row>
    <row r="448" spans="1:32" ht="16.5" customHeight="1" x14ac:dyDescent="0.3">
      <c r="A448" s="2">
        <v>15</v>
      </c>
      <c r="B448" s="2" t="s">
        <v>1106</v>
      </c>
      <c r="C448" s="60" t="s">
        <v>11095</v>
      </c>
      <c r="D448" s="1"/>
      <c r="E448" s="68"/>
      <c r="F448" s="70"/>
      <c r="G448" s="1"/>
      <c r="H448" s="68"/>
      <c r="I448" s="70"/>
      <c r="J448" s="1"/>
      <c r="K448" s="68"/>
      <c r="L448" s="70"/>
      <c r="M448" s="106"/>
      <c r="N448" s="57"/>
      <c r="O448" s="58"/>
      <c r="P448" s="83" t="s">
        <v>5895</v>
      </c>
      <c r="Q448" s="64" t="s">
        <v>1</v>
      </c>
      <c r="R448" s="65">
        <v>1</v>
      </c>
      <c r="S448" s="99"/>
      <c r="T448" s="70"/>
      <c r="U448" s="99"/>
      <c r="V448" s="70"/>
      <c r="W448" s="94"/>
      <c r="X448" s="68"/>
      <c r="Y448" s="76"/>
      <c r="Z448" s="70"/>
      <c r="AA448" s="1"/>
      <c r="AB448" s="68"/>
      <c r="AC448" s="76"/>
      <c r="AD448" s="70"/>
      <c r="AE448" s="228">
        <f>ROUND((ROUND((ROUND((_15_同援日２．０*_15・２人),0)*(1+_15・A深夜)),0)*(1+_15・区３)),0)+ROUND((ROUND((ROUND((_15_同援日２．０＿０．５*_15・２人),0)*(1+_15・B早朝)),0)*(1+_15・区３)),0)+ROUND((ROUND((_15_同援日２．０＿０．５＿０．５*_15・２人),0)*(1+_15・区３)),0)</f>
        <v>1045</v>
      </c>
      <c r="AF448" s="69"/>
    </row>
    <row r="449" spans="1:32" ht="16.5" customHeight="1" x14ac:dyDescent="0.3">
      <c r="A449" s="2">
        <v>15</v>
      </c>
      <c r="B449" s="2" t="s">
        <v>1107</v>
      </c>
      <c r="C449" s="60" t="s">
        <v>11094</v>
      </c>
      <c r="D449" s="1"/>
      <c r="E449" s="68"/>
      <c r="F449" s="70"/>
      <c r="G449" s="1"/>
      <c r="H449" s="68"/>
      <c r="I449" s="70"/>
      <c r="J449" s="1"/>
      <c r="K449" s="68"/>
      <c r="L449" s="70"/>
      <c r="M449" s="74" t="s">
        <v>16823</v>
      </c>
      <c r="N449" s="62"/>
      <c r="O449" s="63"/>
      <c r="P449" s="83"/>
      <c r="Q449" s="64"/>
      <c r="R449" s="65"/>
      <c r="S449" s="99"/>
      <c r="T449" s="70"/>
      <c r="U449" s="99"/>
      <c r="V449" s="70"/>
      <c r="W449" s="94"/>
      <c r="X449" s="68"/>
      <c r="Y449" s="76"/>
      <c r="Z449" s="70"/>
      <c r="AA449" s="1" t="s">
        <v>18101</v>
      </c>
      <c r="AB449" s="68"/>
      <c r="AC449" s="76"/>
      <c r="AD449" s="70"/>
      <c r="AE449" s="120">
        <f>ROUND((ROUND((ROUND((_15_同援日２．０*_15・基礎２),0)*(1+_15・A深夜)),0)*(1+_15・区３)),0)+ROUND((ROUND((ROUND((_15_同援日２．０＿０．５*_15・基礎２),0)*(1+_15・B早朝)),0)*(1+_15・区３)),0)+ROUND((ROUND((_15_同援日２．０＿０．５＿０．５*_15・基礎２),0)*(1+_15・区３)),0)</f>
        <v>940</v>
      </c>
      <c r="AF449" s="69"/>
    </row>
    <row r="450" spans="1:32" ht="16.5" customHeight="1" x14ac:dyDescent="0.3">
      <c r="A450" s="2">
        <v>15</v>
      </c>
      <c r="B450" s="2" t="s">
        <v>1108</v>
      </c>
      <c r="C450" s="60" t="s">
        <v>11093</v>
      </c>
      <c r="D450" s="1"/>
      <c r="E450" s="68"/>
      <c r="F450" s="70"/>
      <c r="G450" s="1"/>
      <c r="H450" s="68"/>
      <c r="I450" s="70"/>
      <c r="J450" s="1"/>
      <c r="K450" s="68"/>
      <c r="L450" s="70"/>
      <c r="M450" s="106" t="s">
        <v>5896</v>
      </c>
      <c r="N450" s="57" t="s">
        <v>1</v>
      </c>
      <c r="O450" s="58">
        <v>0.9</v>
      </c>
      <c r="P450" s="83" t="s">
        <v>5895</v>
      </c>
      <c r="Q450" s="64" t="s">
        <v>1</v>
      </c>
      <c r="R450" s="65">
        <v>1</v>
      </c>
      <c r="S450" s="99"/>
      <c r="T450" s="70"/>
      <c r="U450" s="99"/>
      <c r="V450" s="70"/>
      <c r="W450" s="106"/>
      <c r="X450" s="57"/>
      <c r="Y450" s="58"/>
      <c r="Z450" s="77"/>
      <c r="AA450" s="1" t="s">
        <v>8087</v>
      </c>
      <c r="AB450" s="68"/>
      <c r="AC450" s="76"/>
      <c r="AD450" s="70"/>
      <c r="AE450" s="120">
        <f>ROUND((ROUND((ROUND((ROUND((_15_同援日２．０*_15・基礎２),0)*_15・２人),0)*(1+_15・A深夜)),0)*(1+_15・区３)),0)+ROUND((ROUND((ROUND((ROUND((_15_同援日２．０＿０．５*_15・基礎２),0)*_15・２人),0)*(1+_15・B早朝)),0)*(1+_15・区３)),0)+ROUND((ROUND((ROUND((_15_同援日２．０＿０．５＿０．５*_15・基礎２),0)*_15・２人),0)*(1+_15・区３)),0)</f>
        <v>940</v>
      </c>
      <c r="AF450" s="69"/>
    </row>
    <row r="451" spans="1:32" ht="16.5" customHeight="1" x14ac:dyDescent="0.3">
      <c r="A451" s="2">
        <v>15</v>
      </c>
      <c r="B451" s="2" t="s">
        <v>1109</v>
      </c>
      <c r="C451" s="60" t="s">
        <v>11092</v>
      </c>
      <c r="D451" s="1"/>
      <c r="E451" s="68"/>
      <c r="F451" s="70"/>
      <c r="G451" s="1"/>
      <c r="H451" s="68"/>
      <c r="I451" s="70"/>
      <c r="J451" s="1"/>
      <c r="K451" s="68"/>
      <c r="L451" s="70"/>
      <c r="M451" s="74"/>
      <c r="N451" s="62"/>
      <c r="O451" s="63"/>
      <c r="P451" s="83"/>
      <c r="Q451" s="64"/>
      <c r="R451" s="65"/>
      <c r="S451" s="99"/>
      <c r="T451" s="70"/>
      <c r="U451" s="99"/>
      <c r="V451" s="70"/>
      <c r="W451" s="74" t="s">
        <v>8085</v>
      </c>
      <c r="X451" s="62"/>
      <c r="Y451" s="63"/>
      <c r="Z451" s="75"/>
      <c r="AA451" s="1"/>
      <c r="AB451" s="68" t="s">
        <v>1</v>
      </c>
      <c r="AC451" s="76">
        <v>0.2</v>
      </c>
      <c r="AD451" s="70" t="s">
        <v>422</v>
      </c>
      <c r="AE451" s="228">
        <f>ROUND((ROUND((ROUND((_15_同援日２．０*(1+_15・A深夜)),0)*(1+_15・盲ろう)),0)*(1+_15・区３)),0)+ROUND((ROUND((ROUND((_15_同援日２．０＿０．５*(1+_15・B早朝)),0)*(1+_15・盲ろう)),0)*(1+_15・区３)),0)+ROUND((ROUND((_15_同援日２．０＿０．５＿０．５*(1+_15・盲ろう)),0)*(1+_15・区３)),0)</f>
        <v>1306</v>
      </c>
      <c r="AF451" s="69"/>
    </row>
    <row r="452" spans="1:32" ht="16.5" customHeight="1" x14ac:dyDescent="0.3">
      <c r="A452" s="2">
        <v>15</v>
      </c>
      <c r="B452" s="2" t="s">
        <v>1110</v>
      </c>
      <c r="C452" s="60" t="s">
        <v>11091</v>
      </c>
      <c r="D452" s="1"/>
      <c r="E452" s="68"/>
      <c r="F452" s="70"/>
      <c r="G452" s="1"/>
      <c r="H452" s="68"/>
      <c r="I452" s="70"/>
      <c r="J452" s="1"/>
      <c r="K452" s="68"/>
      <c r="L452" s="70"/>
      <c r="M452" s="106"/>
      <c r="N452" s="57"/>
      <c r="O452" s="58"/>
      <c r="P452" s="83" t="s">
        <v>5895</v>
      </c>
      <c r="Q452" s="64" t="s">
        <v>1</v>
      </c>
      <c r="R452" s="65">
        <v>1</v>
      </c>
      <c r="S452" s="99"/>
      <c r="T452" s="70"/>
      <c r="U452" s="99"/>
      <c r="V452" s="70"/>
      <c r="W452" s="94" t="s">
        <v>8083</v>
      </c>
      <c r="X452" s="68"/>
      <c r="Y452" s="76"/>
      <c r="Z452" s="70"/>
      <c r="AA452" s="1"/>
      <c r="AB452" s="68"/>
      <c r="AC452" s="76"/>
      <c r="AD452" s="70"/>
      <c r="AE452" s="228">
        <f>ROUND((ROUND((ROUND((ROUND((_15_同援日２．０*_15・２人),0)*(1+_15・A深夜)),0)*(1+_15・盲ろう)),0)*(1+_15・区３)),0)+ROUND((ROUND((ROUND((ROUND((_15_同援日２．０＿０．５*_15・２人),0)*(1+_15・B早朝)),0)*(1+_15・盲ろう)),0)*(1+_15・区３)),0)+ROUND((ROUND((ROUND((_15_同援日２．０＿０．５＿０．５*_15・２人),0)*(1+_15・盲ろう)),0)*(1+_15・区３)),0)</f>
        <v>1306</v>
      </c>
      <c r="AF452" s="69"/>
    </row>
    <row r="453" spans="1:32" ht="16.5" customHeight="1" x14ac:dyDescent="0.3">
      <c r="A453" s="2">
        <v>15</v>
      </c>
      <c r="B453" s="2" t="s">
        <v>1111</v>
      </c>
      <c r="C453" s="60" t="s">
        <v>11090</v>
      </c>
      <c r="D453" s="1"/>
      <c r="E453" s="68"/>
      <c r="F453" s="70"/>
      <c r="G453" s="1"/>
      <c r="H453" s="68"/>
      <c r="I453" s="70"/>
      <c r="J453" s="1"/>
      <c r="K453" s="68"/>
      <c r="L453" s="70"/>
      <c r="M453" s="74" t="s">
        <v>16823</v>
      </c>
      <c r="N453" s="62"/>
      <c r="O453" s="63"/>
      <c r="P453" s="83"/>
      <c r="Q453" s="64"/>
      <c r="R453" s="65"/>
      <c r="S453" s="99"/>
      <c r="T453" s="70"/>
      <c r="U453" s="99"/>
      <c r="V453" s="70"/>
      <c r="W453" s="94"/>
      <c r="X453" s="68" t="s">
        <v>1</v>
      </c>
      <c r="Y453" s="76">
        <v>0.25</v>
      </c>
      <c r="Z453" s="70" t="s">
        <v>422</v>
      </c>
      <c r="AA453" s="1"/>
      <c r="AB453" s="68"/>
      <c r="AC453" s="76"/>
      <c r="AD453" s="70"/>
      <c r="AE453" s="228">
        <f>ROUND((ROUND((ROUND((ROUND((_15_同援日２．０*_15・基礎２),0)*(1+_15・A深夜)),0)*(1+_15・盲ろう)),0)*(1+_15・区３)),0)+ROUND((ROUND((ROUND((ROUND((_15_同援日２．０＿０．５*_15・基礎２),0)*(1+_15・B早朝)),0)*(1+_15・盲ろう)),0)*(1+_15・区３)),0)+ROUND((ROUND((ROUND((_15_同援日２．０＿０．５＿０．５*_15・基礎２),0)*(1+_15・盲ろう)),0)*(1+_15・区３)),0)</f>
        <v>1176</v>
      </c>
      <c r="AF453" s="69"/>
    </row>
    <row r="454" spans="1:32" ht="16.5" customHeight="1" x14ac:dyDescent="0.3">
      <c r="A454" s="2">
        <v>15</v>
      </c>
      <c r="B454" s="2" t="s">
        <v>1112</v>
      </c>
      <c r="C454" s="60" t="s">
        <v>11089</v>
      </c>
      <c r="D454" s="1"/>
      <c r="E454" s="68"/>
      <c r="F454" s="70"/>
      <c r="G454" s="1"/>
      <c r="H454" s="68"/>
      <c r="I454" s="70"/>
      <c r="J454" s="1"/>
      <c r="K454" s="68"/>
      <c r="L454" s="70"/>
      <c r="M454" s="106" t="s">
        <v>16812</v>
      </c>
      <c r="N454" s="57" t="s">
        <v>1</v>
      </c>
      <c r="O454" s="58">
        <v>0.9</v>
      </c>
      <c r="P454" s="83" t="s">
        <v>5895</v>
      </c>
      <c r="Q454" s="64" t="s">
        <v>1</v>
      </c>
      <c r="R454" s="65">
        <v>1</v>
      </c>
      <c r="S454" s="99"/>
      <c r="T454" s="70"/>
      <c r="U454" s="99"/>
      <c r="V454" s="70"/>
      <c r="W454" s="106"/>
      <c r="X454" s="57"/>
      <c r="Y454" s="58"/>
      <c r="Z454" s="77"/>
      <c r="AA454" s="106"/>
      <c r="AB454" s="57"/>
      <c r="AC454" s="58"/>
      <c r="AD454" s="77"/>
      <c r="AE454" s="228">
        <f>ROUND((ROUND((ROUND((ROUND((ROUND((_15_同援日２．０*_15・基礎２),0)*_15・２人),0)*(1+_15・A深夜)),0)*(1+_15・盲ろう)),0)*(1+_15・区３)),0)+ROUND((ROUND((ROUND((ROUND((ROUND((_15_同援日２．０＿０．５*_15・基礎２),0)*_15・２人),0)*(1+_15・B早朝)),0)*(1+_15・盲ろう)),0)*(1+_15・区３)),0)+ROUND((ROUND((ROUND((ROUND((_15_同援日２．０＿０．５＿０．５*_15・基礎２),0)*_15・２人),0)*(1+_15・盲ろう)),0)*(1+_15・区３)),0)</f>
        <v>1176</v>
      </c>
      <c r="AF454" s="69"/>
    </row>
    <row r="455" spans="1:32" ht="16.5" customHeight="1" x14ac:dyDescent="0.3">
      <c r="A455" s="2">
        <v>15</v>
      </c>
      <c r="B455" s="2" t="s">
        <v>1113</v>
      </c>
      <c r="C455" s="60" t="s">
        <v>11088</v>
      </c>
      <c r="D455" s="1"/>
      <c r="E455" s="68"/>
      <c r="F455" s="70"/>
      <c r="G455" s="1"/>
      <c r="H455" s="68"/>
      <c r="I455" s="70"/>
      <c r="J455" s="1"/>
      <c r="K455" s="68"/>
      <c r="L455" s="70"/>
      <c r="M455" s="74"/>
      <c r="N455" s="62"/>
      <c r="O455" s="63"/>
      <c r="P455" s="83"/>
      <c r="Q455" s="64"/>
      <c r="R455" s="65"/>
      <c r="S455" s="99"/>
      <c r="T455" s="70"/>
      <c r="U455" s="99"/>
      <c r="V455" s="70"/>
      <c r="W455" s="74"/>
      <c r="X455" s="62"/>
      <c r="Y455" s="63"/>
      <c r="Z455" s="75"/>
      <c r="AA455" s="78"/>
      <c r="AB455" s="62"/>
      <c r="AC455" s="63"/>
      <c r="AD455" s="75"/>
      <c r="AE455" s="228">
        <f>ROUND((ROUND((_15_同援日２．０*(1+_15・A深夜)),0)*(1+_15・区４)),0)+ROUND((ROUND((_15_同援日２．０＿０．５*(1+_15・B早朝)),0)*(1+_15・区４)),0)+ROUND((_15_同援日２．０＿０．５＿０．５*(1+_15・区４)),0)</f>
        <v>1218</v>
      </c>
      <c r="AF455" s="69"/>
    </row>
    <row r="456" spans="1:32" ht="16.5" customHeight="1" x14ac:dyDescent="0.3">
      <c r="A456" s="2">
        <v>15</v>
      </c>
      <c r="B456" s="2" t="s">
        <v>1114</v>
      </c>
      <c r="C456" s="60" t="s">
        <v>11087</v>
      </c>
      <c r="D456" s="1"/>
      <c r="E456" s="68"/>
      <c r="F456" s="70"/>
      <c r="G456" s="1"/>
      <c r="H456" s="68"/>
      <c r="I456" s="70"/>
      <c r="J456" s="1"/>
      <c r="K456" s="68"/>
      <c r="L456" s="70"/>
      <c r="M456" s="106"/>
      <c r="N456" s="57"/>
      <c r="O456" s="58"/>
      <c r="P456" s="83" t="s">
        <v>5895</v>
      </c>
      <c r="Q456" s="64" t="s">
        <v>1</v>
      </c>
      <c r="R456" s="65">
        <v>1</v>
      </c>
      <c r="S456" s="99"/>
      <c r="T456" s="70"/>
      <c r="U456" s="99"/>
      <c r="V456" s="70"/>
      <c r="W456" s="94"/>
      <c r="X456" s="68"/>
      <c r="Y456" s="76"/>
      <c r="Z456" s="70"/>
      <c r="AA456" s="1"/>
      <c r="AB456" s="68"/>
      <c r="AC456" s="76"/>
      <c r="AD456" s="70"/>
      <c r="AE456" s="228">
        <f>ROUND((ROUND((ROUND((_15_同援日２．０*_15・２人),0)*(1+_15・A深夜)),0)*(1+_15・区４)),0)+ROUND((ROUND((ROUND((_15_同援日２．０＿０．５*_15・２人),0)*(1+_15・B早朝)),0)*(1+_15・区４)),0)+ROUND((ROUND((_15_同援日２．０＿０．５＿０．５*_15・２人),0)*(1+_15・区４)),0)</f>
        <v>1218</v>
      </c>
      <c r="AF456" s="69"/>
    </row>
    <row r="457" spans="1:32" ht="16.5" customHeight="1" x14ac:dyDescent="0.3">
      <c r="A457" s="2">
        <v>15</v>
      </c>
      <c r="B457" s="2" t="s">
        <v>1115</v>
      </c>
      <c r="C457" s="60" t="s">
        <v>11086</v>
      </c>
      <c r="D457" s="1"/>
      <c r="E457" s="68"/>
      <c r="F457" s="70"/>
      <c r="G457" s="1"/>
      <c r="H457" s="68"/>
      <c r="I457" s="70"/>
      <c r="J457" s="1"/>
      <c r="K457" s="68"/>
      <c r="L457" s="70"/>
      <c r="M457" s="74" t="s">
        <v>16912</v>
      </c>
      <c r="N457" s="62"/>
      <c r="O457" s="63"/>
      <c r="P457" s="83"/>
      <c r="Q457" s="64"/>
      <c r="R457" s="65"/>
      <c r="S457" s="99"/>
      <c r="T457" s="70"/>
      <c r="U457" s="99"/>
      <c r="V457" s="70"/>
      <c r="W457" s="94"/>
      <c r="X457" s="68"/>
      <c r="Y457" s="76"/>
      <c r="Z457" s="70"/>
      <c r="AA457" s="1" t="s">
        <v>18100</v>
      </c>
      <c r="AB457" s="68"/>
      <c r="AC457" s="76"/>
      <c r="AD457" s="70"/>
      <c r="AE457" s="228">
        <f>ROUND((ROUND((ROUND((_15_同援日２．０*_15・基礎２),0)*(1+_15・A深夜)),0)*(1+_15・区４)),0)+ROUND((ROUND((ROUND((_15_同援日２．０＿０．５*_15・基礎２),0)*(1+_15・B早朝)),0)*(1+_15・区４)),0)+ROUND((ROUND((_15_同援日２．０＿０．５＿０．５*_15・基礎２),0)*(1+_15・区４)),0)</f>
        <v>1097</v>
      </c>
      <c r="AF457" s="69"/>
    </row>
    <row r="458" spans="1:32" ht="16.5" customHeight="1" x14ac:dyDescent="0.3">
      <c r="A458" s="2">
        <v>15</v>
      </c>
      <c r="B458" s="2" t="s">
        <v>1116</v>
      </c>
      <c r="C458" s="60" t="s">
        <v>11085</v>
      </c>
      <c r="D458" s="1"/>
      <c r="E458" s="68"/>
      <c r="F458" s="70"/>
      <c r="G458" s="1"/>
      <c r="H458" s="68"/>
      <c r="I458" s="70"/>
      <c r="J458" s="1"/>
      <c r="K458" s="68"/>
      <c r="L458" s="70"/>
      <c r="M458" s="106" t="s">
        <v>16916</v>
      </c>
      <c r="N458" s="57" t="s">
        <v>1</v>
      </c>
      <c r="O458" s="58">
        <v>0.9</v>
      </c>
      <c r="P458" s="83" t="s">
        <v>5895</v>
      </c>
      <c r="Q458" s="64" t="s">
        <v>1</v>
      </c>
      <c r="R458" s="65">
        <v>1</v>
      </c>
      <c r="S458" s="99"/>
      <c r="T458" s="70"/>
      <c r="U458" s="99"/>
      <c r="V458" s="70"/>
      <c r="W458" s="106"/>
      <c r="X458" s="57"/>
      <c r="Y458" s="58"/>
      <c r="Z458" s="77"/>
      <c r="AA458" s="1" t="s">
        <v>18099</v>
      </c>
      <c r="AB458" s="68"/>
      <c r="AC458" s="76"/>
      <c r="AD458" s="70"/>
      <c r="AE458" s="228">
        <f>ROUND((ROUND((ROUND((ROUND((_15_同援日２．０*_15・基礎２),0)*_15・２人),0)*(1+_15・A深夜)),0)*(1+_15・区４)),0)+ROUND((ROUND((ROUND((ROUND((_15_同援日２．０＿０．５*_15・基礎２),0)*_15・２人),0)*(1+_15・B早朝)),0)*(1+_15・区４)),0)+ROUND((ROUND((ROUND((_15_同援日２．０＿０．５＿０．５*_15・基礎２),0)*_15・２人),0)*(1+_15・区４)),0)</f>
        <v>1097</v>
      </c>
      <c r="AF458" s="69"/>
    </row>
    <row r="459" spans="1:32" ht="16.5" customHeight="1" x14ac:dyDescent="0.3">
      <c r="A459" s="2">
        <v>15</v>
      </c>
      <c r="B459" s="2" t="s">
        <v>1117</v>
      </c>
      <c r="C459" s="60" t="s">
        <v>11084</v>
      </c>
      <c r="D459" s="1"/>
      <c r="E459" s="68"/>
      <c r="F459" s="70"/>
      <c r="G459" s="1"/>
      <c r="H459" s="68"/>
      <c r="I459" s="70"/>
      <c r="J459" s="1"/>
      <c r="K459" s="68"/>
      <c r="L459" s="70"/>
      <c r="M459" s="74"/>
      <c r="N459" s="62"/>
      <c r="O459" s="63"/>
      <c r="P459" s="83"/>
      <c r="Q459" s="64"/>
      <c r="R459" s="65"/>
      <c r="S459" s="99"/>
      <c r="T459" s="70"/>
      <c r="U459" s="99"/>
      <c r="V459" s="70"/>
      <c r="W459" s="74" t="s">
        <v>18098</v>
      </c>
      <c r="X459" s="62"/>
      <c r="Y459" s="63"/>
      <c r="Z459" s="75"/>
      <c r="AA459" s="1"/>
      <c r="AB459" s="68" t="s">
        <v>1</v>
      </c>
      <c r="AC459" s="76">
        <v>0.4</v>
      </c>
      <c r="AD459" s="70" t="s">
        <v>422</v>
      </c>
      <c r="AE459" s="228">
        <f>ROUND((ROUND((ROUND((_15_同援日２．０*(1+_15・A深夜)),0)*(1+_15・盲ろう)),0)*(1+_15・区４)),0)+ROUND((ROUND((ROUND((_15_同援日２．０＿０．５*(1+_15・B早朝)),0)*(1+_15・盲ろう)),0)*(1+_15・区４)),0)+ROUND((ROUND((_15_同援日２．０＿０．５＿０．５*(1+_15・盲ろう)),0)*(1+_15・区４)),0)</f>
        <v>1524</v>
      </c>
      <c r="AF459" s="69"/>
    </row>
    <row r="460" spans="1:32" ht="16.5" customHeight="1" x14ac:dyDescent="0.3">
      <c r="A460" s="2">
        <v>15</v>
      </c>
      <c r="B460" s="2" t="s">
        <v>1118</v>
      </c>
      <c r="C460" s="60" t="s">
        <v>11083</v>
      </c>
      <c r="D460" s="1"/>
      <c r="E460" s="68"/>
      <c r="F460" s="70"/>
      <c r="G460" s="1"/>
      <c r="H460" s="68"/>
      <c r="I460" s="70"/>
      <c r="J460" s="1"/>
      <c r="K460" s="68"/>
      <c r="L460" s="70"/>
      <c r="M460" s="106"/>
      <c r="N460" s="57"/>
      <c r="O460" s="58"/>
      <c r="P460" s="83" t="s">
        <v>5895</v>
      </c>
      <c r="Q460" s="64" t="s">
        <v>1</v>
      </c>
      <c r="R460" s="65">
        <v>1</v>
      </c>
      <c r="S460" s="99"/>
      <c r="T460" s="70"/>
      <c r="U460" s="99"/>
      <c r="V460" s="70"/>
      <c r="W460" s="94" t="s">
        <v>8083</v>
      </c>
      <c r="X460" s="68"/>
      <c r="Y460" s="76"/>
      <c r="Z460" s="70"/>
      <c r="AA460" s="1"/>
      <c r="AB460" s="68"/>
      <c r="AC460" s="76"/>
      <c r="AD460" s="70"/>
      <c r="AE460" s="228">
        <f>ROUND((ROUND((ROUND((ROUND((_15_同援日２．０*_15・２人),0)*(1+_15・A深夜)),0)*(1+_15・盲ろう)),0)*(1+_15・区４)),0)+ROUND((ROUND((ROUND((ROUND((_15_同援日２．０＿０．５*_15・２人),0)*(1+_15・B早朝)),0)*(1+_15・盲ろう)),0)*(1+_15・区４)),0)+ROUND((ROUND((ROUND((_15_同援日２．０＿０．５＿０．５*_15・２人),0)*(1+_15・盲ろう)),0)*(1+_15・区４)),0)</f>
        <v>1524</v>
      </c>
      <c r="AF460" s="69"/>
    </row>
    <row r="461" spans="1:32" ht="16.5" customHeight="1" x14ac:dyDescent="0.3">
      <c r="A461" s="2">
        <v>15</v>
      </c>
      <c r="B461" s="2" t="s">
        <v>1119</v>
      </c>
      <c r="C461" s="60" t="s">
        <v>11082</v>
      </c>
      <c r="D461" s="1"/>
      <c r="E461" s="68"/>
      <c r="F461" s="70"/>
      <c r="G461" s="1"/>
      <c r="H461" s="68"/>
      <c r="I461" s="70"/>
      <c r="J461" s="1"/>
      <c r="K461" s="68"/>
      <c r="L461" s="70"/>
      <c r="M461" s="74" t="s">
        <v>16912</v>
      </c>
      <c r="N461" s="62"/>
      <c r="O461" s="63"/>
      <c r="P461" s="83"/>
      <c r="Q461" s="64"/>
      <c r="R461" s="65"/>
      <c r="S461" s="99"/>
      <c r="T461" s="70"/>
      <c r="U461" s="99"/>
      <c r="V461" s="70"/>
      <c r="W461" s="94"/>
      <c r="X461" s="68" t="s">
        <v>1</v>
      </c>
      <c r="Y461" s="76">
        <v>0.25</v>
      </c>
      <c r="Z461" s="70" t="s">
        <v>422</v>
      </c>
      <c r="AA461" s="1"/>
      <c r="AB461" s="68"/>
      <c r="AC461" s="76"/>
      <c r="AD461" s="70"/>
      <c r="AE461" s="120">
        <f>ROUND((ROUND((ROUND((ROUND((_15_同援日２．０*_15・基礎２),0)*(1+_15・A深夜)),0)*(1+_15・盲ろう)),0)*(1+_15・区４)),0)+ROUND((ROUND((ROUND((ROUND((_15_同援日２．０＿０．５*_15・基礎２),0)*(1+_15・B早朝)),0)*(1+_15・盲ろう)),0)*(1+_15・区４)),0)+ROUND((ROUND((ROUND((_15_同援日２．０＿０．５＿０．５*_15・基礎２),0)*(1+_15・盲ろう)),0)*(1+_15・区４)),0)</f>
        <v>1372</v>
      </c>
      <c r="AF461" s="69"/>
    </row>
    <row r="462" spans="1:32" ht="16.5" customHeight="1" x14ac:dyDescent="0.3">
      <c r="A462" s="2">
        <v>15</v>
      </c>
      <c r="B462" s="2" t="s">
        <v>1120</v>
      </c>
      <c r="C462" s="60" t="s">
        <v>11081</v>
      </c>
      <c r="D462" s="81"/>
      <c r="E462" s="57"/>
      <c r="F462" s="77"/>
      <c r="G462" s="81"/>
      <c r="H462" s="57"/>
      <c r="I462" s="77"/>
      <c r="J462" s="81"/>
      <c r="K462" s="57"/>
      <c r="L462" s="77"/>
      <c r="M462" s="106" t="s">
        <v>16916</v>
      </c>
      <c r="N462" s="57" t="s">
        <v>1</v>
      </c>
      <c r="O462" s="58">
        <v>0.9</v>
      </c>
      <c r="P462" s="83" t="s">
        <v>5895</v>
      </c>
      <c r="Q462" s="64" t="s">
        <v>1</v>
      </c>
      <c r="R462" s="65">
        <v>1</v>
      </c>
      <c r="S462" s="101"/>
      <c r="T462" s="77"/>
      <c r="U462" s="101"/>
      <c r="V462" s="77"/>
      <c r="W462" s="106"/>
      <c r="X462" s="57"/>
      <c r="Y462" s="58"/>
      <c r="Z462" s="77"/>
      <c r="AA462" s="106"/>
      <c r="AB462" s="57"/>
      <c r="AC462" s="58"/>
      <c r="AD462" s="77"/>
      <c r="AE462" s="120">
        <f>ROUND((ROUND((ROUND((ROUND((ROUND((_15_同援日２．０*_15・基礎２),0)*_15・２人),0)*(1+_15・A深夜)),0)*(1+_15・盲ろう)),0)*(1+_15・区４)),0)+ROUND((ROUND((ROUND((ROUND((ROUND((_15_同援日２．０＿０．５*_15・基礎２),0)*_15・２人),0)*(1+_15・B早朝)),0)*(1+_15・盲ろう)),0)*(1+_15・区４)),0)+ROUND((ROUND((ROUND((ROUND((_15_同援日２．０＿０．５＿０．５*_15・基礎２),0)*_15・２人),0)*(1+_15・盲ろう)),0)*(1+_15・区４)),0)</f>
        <v>1372</v>
      </c>
      <c r="AF462" s="71"/>
    </row>
    <row r="463" spans="1:32" ht="16.5" customHeight="1" x14ac:dyDescent="0.3"/>
    <row r="464" spans="1:3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1" fitToHeight="0" orientation="portrait" r:id="rId1"/>
  <headerFooter>
    <oddHeader>&amp;R&amp;"ＭＳ Ｐゴシック"&amp;9同行援護</oddHeader>
    <oddFooter>&amp;C&amp;"ＭＳ Ｐゴシック"&amp;14&amp;P</oddFooter>
  </headerFooter>
  <rowBreaks count="4" manualBreakCount="4">
    <brk id="118" max="16383" man="1"/>
    <brk id="222" max="16383" man="1"/>
    <brk id="334" max="16383" man="1"/>
    <brk id="43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0000"/>
    <pageSetUpPr fitToPage="1"/>
  </sheetPr>
  <dimension ref="A1:AA36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14.62890625" style="46" customWidth="1"/>
    <col min="11" max="11" width="3.1015625" style="46" bestFit="1" customWidth="1"/>
    <col min="12" max="12" width="4.1015625" style="47" bestFit="1" customWidth="1"/>
    <col min="13" max="13" width="26.47265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10.62890625" style="46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8.62890625" style="46" customWidth="1"/>
    <col min="23" max="23" width="3.1015625" style="46" bestFit="1" customWidth="1"/>
    <col min="24" max="24" width="4.1015625" style="47" bestFit="1" customWidth="1"/>
    <col min="25" max="25" width="4.734375" style="46" bestFit="1" customWidth="1"/>
    <col min="26" max="26" width="6.3671875" style="84" bestFit="1" customWidth="1"/>
    <col min="27" max="27" width="7.734375" style="48" bestFit="1" customWidth="1"/>
    <col min="28" max="16384" width="9" style="49"/>
  </cols>
  <sheetData>
    <row r="1" spans="1:27" ht="16.5" customHeight="1" x14ac:dyDescent="0.3"/>
    <row r="2" spans="1:27" ht="16.5" customHeight="1" x14ac:dyDescent="0.3"/>
    <row r="3" spans="1:27" ht="16.5" customHeight="1" x14ac:dyDescent="0.3"/>
    <row r="4" spans="1:27" ht="16.5" customHeight="1" x14ac:dyDescent="0.3">
      <c r="B4" s="229" t="s">
        <v>18148</v>
      </c>
      <c r="C4" s="131"/>
      <c r="D4" s="230"/>
      <c r="E4" s="231"/>
      <c r="F4" s="231"/>
      <c r="G4" s="131"/>
    </row>
    <row r="5" spans="1:27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3"/>
      <c r="S5" s="53"/>
      <c r="T5" s="54"/>
      <c r="U5" s="53"/>
      <c r="V5" s="53"/>
      <c r="W5" s="53"/>
      <c r="X5" s="54"/>
      <c r="Y5" s="53"/>
      <c r="Z5" s="55" t="s">
        <v>5869</v>
      </c>
      <c r="AA5" s="55" t="s">
        <v>5871</v>
      </c>
    </row>
    <row r="6" spans="1:27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73"/>
      <c r="H6" s="57"/>
      <c r="I6" s="57"/>
      <c r="J6" s="57"/>
      <c r="K6" s="57"/>
      <c r="L6" s="58"/>
      <c r="M6" s="57"/>
      <c r="N6" s="57"/>
      <c r="O6" s="58"/>
      <c r="P6" s="58"/>
      <c r="Q6" s="57"/>
      <c r="R6" s="57"/>
      <c r="S6" s="57"/>
      <c r="T6" s="58"/>
      <c r="U6" s="57"/>
      <c r="V6" s="57"/>
      <c r="W6" s="57"/>
      <c r="X6" s="58"/>
      <c r="Y6" s="57"/>
      <c r="Z6" s="59" t="s">
        <v>5870</v>
      </c>
      <c r="AA6" s="59" t="s">
        <v>0</v>
      </c>
    </row>
    <row r="7" spans="1:27" ht="16.5" customHeight="1" x14ac:dyDescent="0.3">
      <c r="A7" s="2">
        <v>15</v>
      </c>
      <c r="B7" s="2" t="s">
        <v>1121</v>
      </c>
      <c r="C7" s="60" t="s">
        <v>11898</v>
      </c>
      <c r="D7" s="233" t="s">
        <v>18147</v>
      </c>
      <c r="E7" s="235"/>
      <c r="F7" s="75"/>
      <c r="G7" s="233" t="s">
        <v>18135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61"/>
      <c r="S7" s="62"/>
      <c r="T7" s="63"/>
      <c r="U7" s="75"/>
      <c r="V7" s="61"/>
      <c r="W7" s="62"/>
      <c r="X7" s="63"/>
      <c r="Y7" s="75"/>
      <c r="Z7" s="228">
        <f>ROUND((_15_同援日０．５*(1+_15・A深夜)),0)+_15_同援日０．５＿０．５</f>
        <v>384</v>
      </c>
      <c r="AA7" s="52" t="s">
        <v>5863</v>
      </c>
    </row>
    <row r="8" spans="1:27" ht="16.5" customHeight="1" x14ac:dyDescent="0.3">
      <c r="A8" s="2">
        <v>15</v>
      </c>
      <c r="B8" s="2" t="s">
        <v>1122</v>
      </c>
      <c r="C8" s="60" t="s">
        <v>11897</v>
      </c>
      <c r="D8" s="1" t="s">
        <v>7928</v>
      </c>
      <c r="E8" s="68"/>
      <c r="F8" s="70"/>
      <c r="G8" s="1" t="s">
        <v>7928</v>
      </c>
      <c r="H8" s="68"/>
      <c r="I8" s="70"/>
      <c r="J8" s="66"/>
      <c r="K8" s="57"/>
      <c r="L8" s="58"/>
      <c r="M8" s="83" t="s">
        <v>5895</v>
      </c>
      <c r="N8" s="64" t="s">
        <v>1</v>
      </c>
      <c r="O8" s="65">
        <v>1</v>
      </c>
      <c r="P8" s="99"/>
      <c r="Q8" s="70"/>
      <c r="R8" s="67"/>
      <c r="S8" s="68"/>
      <c r="T8" s="76"/>
      <c r="U8" s="70"/>
      <c r="V8" s="67"/>
      <c r="W8" s="68"/>
      <c r="X8" s="76"/>
      <c r="Y8" s="70"/>
      <c r="Z8" s="228">
        <f>ROUND((ROUND((_15_同援日０．５*_15・２人),0)*(1+_15・A深夜)),0)+ROUND((_15_同援日０．５＿０．５*_15・２人),0)</f>
        <v>384</v>
      </c>
      <c r="AA8" s="69"/>
    </row>
    <row r="9" spans="1:27" ht="16.5" customHeight="1" x14ac:dyDescent="0.3">
      <c r="A9" s="2">
        <v>15</v>
      </c>
      <c r="B9" s="2" t="s">
        <v>1123</v>
      </c>
      <c r="C9" s="60" t="s">
        <v>11896</v>
      </c>
      <c r="D9" s="1"/>
      <c r="E9" s="68"/>
      <c r="F9" s="70"/>
      <c r="G9" s="1"/>
      <c r="H9" s="68"/>
      <c r="I9" s="70"/>
      <c r="J9" s="74" t="s">
        <v>18128</v>
      </c>
      <c r="K9" s="62"/>
      <c r="L9" s="63"/>
      <c r="M9" s="85"/>
      <c r="N9" s="64"/>
      <c r="O9" s="65"/>
      <c r="P9" s="99"/>
      <c r="Q9" s="70"/>
      <c r="R9" s="67"/>
      <c r="S9" s="68"/>
      <c r="T9" s="76"/>
      <c r="U9" s="70"/>
      <c r="V9" s="67"/>
      <c r="W9" s="68"/>
      <c r="X9" s="76"/>
      <c r="Y9" s="70"/>
      <c r="Z9" s="228">
        <f>ROUND((ROUND((_15_同援日０．５*_15・基礎２),0)*(1+_15・A深夜)),0)+ROUND((_15_同援日０．５＿０．５*_15・基礎２),0)</f>
        <v>346</v>
      </c>
      <c r="AA9" s="69"/>
    </row>
    <row r="10" spans="1:27" ht="16.5" customHeight="1" x14ac:dyDescent="0.3">
      <c r="A10" s="2">
        <v>15</v>
      </c>
      <c r="B10" s="2" t="s">
        <v>1124</v>
      </c>
      <c r="C10" s="60" t="s">
        <v>11895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06" t="s">
        <v>18127</v>
      </c>
      <c r="K10" s="57" t="s">
        <v>1</v>
      </c>
      <c r="L10" s="58">
        <v>0.9</v>
      </c>
      <c r="M10" s="83" t="s">
        <v>5895</v>
      </c>
      <c r="N10" s="64" t="s">
        <v>1</v>
      </c>
      <c r="O10" s="65">
        <v>1</v>
      </c>
      <c r="P10" s="99"/>
      <c r="Q10" s="70"/>
      <c r="R10" s="66"/>
      <c r="S10" s="57"/>
      <c r="T10" s="58"/>
      <c r="U10" s="77"/>
      <c r="V10" s="67"/>
      <c r="W10" s="68"/>
      <c r="X10" s="76"/>
      <c r="Y10" s="70"/>
      <c r="Z10" s="228">
        <f>ROUND((ROUND((ROUND((_15_同援日０．５*_15・基礎２),0)*_15・２人),0)*(1+_15・A深夜)),0)+ROUND((ROUND((_15_同援日０．５＿０．５*_15・基礎２),0)*_15・２人),0)</f>
        <v>346</v>
      </c>
      <c r="AA10" s="69"/>
    </row>
    <row r="11" spans="1:27" ht="16.5" customHeight="1" x14ac:dyDescent="0.3">
      <c r="A11" s="2">
        <v>15</v>
      </c>
      <c r="B11" s="2" t="s">
        <v>1125</v>
      </c>
      <c r="C11" s="60" t="s">
        <v>11894</v>
      </c>
      <c r="D11" s="1"/>
      <c r="E11" s="68"/>
      <c r="F11" s="70"/>
      <c r="G11" s="1"/>
      <c r="H11" s="68"/>
      <c r="I11" s="70"/>
      <c r="J11" s="61"/>
      <c r="K11" s="62"/>
      <c r="L11" s="63"/>
      <c r="M11" s="85"/>
      <c r="N11" s="64"/>
      <c r="O11" s="65"/>
      <c r="P11" s="99"/>
      <c r="Q11" s="70"/>
      <c r="R11" s="74" t="s">
        <v>18130</v>
      </c>
      <c r="S11" s="62"/>
      <c r="T11" s="63"/>
      <c r="U11" s="75"/>
      <c r="V11" s="67"/>
      <c r="W11" s="68"/>
      <c r="X11" s="76"/>
      <c r="Y11" s="70"/>
      <c r="Z11" s="228">
        <f>ROUND((ROUND((_15_同援日０．５*(1+_15・A深夜)),0)*(1+_15・盲ろう)),0)+ROUND((_15_同援日０．５＿０．５*(1+_15・盲ろう)),0)</f>
        <v>480</v>
      </c>
      <c r="AA11" s="69"/>
    </row>
    <row r="12" spans="1:27" ht="16.5" customHeight="1" x14ac:dyDescent="0.3">
      <c r="A12" s="2">
        <v>15</v>
      </c>
      <c r="B12" s="2" t="s">
        <v>1126</v>
      </c>
      <c r="C12" s="60" t="s">
        <v>11893</v>
      </c>
      <c r="D12" s="1"/>
      <c r="E12" s="68"/>
      <c r="F12" s="70"/>
      <c r="G12" s="1"/>
      <c r="H12" s="68"/>
      <c r="I12" s="70"/>
      <c r="J12" s="66"/>
      <c r="K12" s="57"/>
      <c r="L12" s="58"/>
      <c r="M12" s="83" t="s">
        <v>5895</v>
      </c>
      <c r="N12" s="64" t="s">
        <v>1</v>
      </c>
      <c r="O12" s="65">
        <v>1</v>
      </c>
      <c r="P12" s="108" t="s">
        <v>7920</v>
      </c>
      <c r="Q12" s="70"/>
      <c r="R12" s="94" t="s">
        <v>18129</v>
      </c>
      <c r="S12" s="68"/>
      <c r="T12" s="76"/>
      <c r="U12" s="70"/>
      <c r="V12" s="67"/>
      <c r="W12" s="68"/>
      <c r="X12" s="76"/>
      <c r="Y12" s="70"/>
      <c r="Z12" s="228">
        <f>ROUND((ROUND((ROUND((_15_同援日０．５*_15・２人),0)*(1+_15・A深夜)),0)*(1+_15・盲ろう)),0)+ROUND((ROUND((_15_同援日０．５＿０．５*_15・２人),0)*(1+_15・盲ろう)),0)</f>
        <v>480</v>
      </c>
      <c r="AA12" s="69"/>
    </row>
    <row r="13" spans="1:27" ht="16.5" customHeight="1" x14ac:dyDescent="0.3">
      <c r="A13" s="2">
        <v>15</v>
      </c>
      <c r="B13" s="2" t="s">
        <v>1127</v>
      </c>
      <c r="C13" s="60" t="s">
        <v>11892</v>
      </c>
      <c r="D13" s="1"/>
      <c r="E13" s="68"/>
      <c r="F13" s="70"/>
      <c r="G13" s="1"/>
      <c r="H13" s="68"/>
      <c r="I13" s="70"/>
      <c r="J13" s="74" t="s">
        <v>18128</v>
      </c>
      <c r="K13" s="62"/>
      <c r="L13" s="63"/>
      <c r="M13" s="85"/>
      <c r="N13" s="64"/>
      <c r="O13" s="65"/>
      <c r="P13" s="99"/>
      <c r="Q13" s="110" t="s">
        <v>7948</v>
      </c>
      <c r="R13" s="67"/>
      <c r="S13" s="68" t="s">
        <v>1</v>
      </c>
      <c r="T13" s="76">
        <v>0.25</v>
      </c>
      <c r="U13" s="70" t="s">
        <v>422</v>
      </c>
      <c r="V13" s="67"/>
      <c r="W13" s="68"/>
      <c r="X13" s="76"/>
      <c r="Y13" s="70"/>
      <c r="Z13" s="228">
        <f>ROUND((ROUND((ROUND((_15_同援日０．５*_15・基礎２),0)*(1+_15・A深夜)),0)*(1+_15・盲ろう)),0)+ROUND((ROUND((_15_同援日０．５＿０．５*_15・基礎２),0)*(1+_15・盲ろう)),0)</f>
        <v>432</v>
      </c>
      <c r="AA13" s="69"/>
    </row>
    <row r="14" spans="1:27" ht="16.5" customHeight="1" x14ac:dyDescent="0.3">
      <c r="A14" s="2">
        <v>15</v>
      </c>
      <c r="B14" s="2" t="s">
        <v>1128</v>
      </c>
      <c r="C14" s="60" t="s">
        <v>11891</v>
      </c>
      <c r="D14" s="1"/>
      <c r="E14" s="68"/>
      <c r="F14" s="70"/>
      <c r="G14" s="1"/>
      <c r="H14" s="68"/>
      <c r="I14" s="70"/>
      <c r="J14" s="106" t="s">
        <v>18127</v>
      </c>
      <c r="K14" s="57" t="s">
        <v>1</v>
      </c>
      <c r="L14" s="58">
        <v>0.9</v>
      </c>
      <c r="M14" s="83" t="s">
        <v>5895</v>
      </c>
      <c r="N14" s="64" t="s">
        <v>1</v>
      </c>
      <c r="O14" s="65">
        <v>1</v>
      </c>
      <c r="P14" s="99"/>
      <c r="Q14" s="70"/>
      <c r="R14" s="66"/>
      <c r="S14" s="57"/>
      <c r="T14" s="58"/>
      <c r="U14" s="77"/>
      <c r="V14" s="66"/>
      <c r="W14" s="57"/>
      <c r="X14" s="58"/>
      <c r="Y14" s="77"/>
      <c r="Z14" s="228">
        <f>ROUND((ROUND((ROUND((ROUND((_15_同援日０．５*_15・基礎２),0)*_15・２人),0)*(1+_15・A深夜)),0)*(1+_15・盲ろう)),0)+ROUND((ROUND((ROUND((_15_同援日０．５＿０．５*_15・基礎２),0)*_15・２人),0)*(1+_15・盲ろう)),0)</f>
        <v>432</v>
      </c>
      <c r="AA14" s="69"/>
    </row>
    <row r="15" spans="1:27" ht="16.5" customHeight="1" x14ac:dyDescent="0.3">
      <c r="A15" s="2">
        <v>15</v>
      </c>
      <c r="B15" s="2" t="s">
        <v>1129</v>
      </c>
      <c r="C15" s="60" t="s">
        <v>11890</v>
      </c>
      <c r="D15" s="1"/>
      <c r="E15" s="68"/>
      <c r="F15" s="70"/>
      <c r="G15" s="1"/>
      <c r="H15" s="68"/>
      <c r="I15" s="70"/>
      <c r="J15" s="61"/>
      <c r="K15" s="62"/>
      <c r="L15" s="63"/>
      <c r="M15" s="85"/>
      <c r="N15" s="64"/>
      <c r="O15" s="65"/>
      <c r="P15" s="67" t="s">
        <v>1</v>
      </c>
      <c r="Q15" s="93">
        <v>0.5</v>
      </c>
      <c r="R15" s="61"/>
      <c r="S15" s="62"/>
      <c r="T15" s="63"/>
      <c r="U15" s="75"/>
      <c r="V15" s="61"/>
      <c r="W15" s="62"/>
      <c r="X15" s="63"/>
      <c r="Y15" s="75"/>
      <c r="Z15" s="228">
        <f>ROUND((ROUND((_15_同援日０．５*(1+_15・A深夜)),0)*(1+_15・区３)),0)+ROUND((_15_同援日０．５＿０．５*(1+_15・区３)),0)</f>
        <v>461</v>
      </c>
      <c r="AA15" s="69"/>
    </row>
    <row r="16" spans="1:27" ht="16.5" customHeight="1" x14ac:dyDescent="0.3">
      <c r="A16" s="2">
        <v>15</v>
      </c>
      <c r="B16" s="2" t="s">
        <v>1130</v>
      </c>
      <c r="C16" s="60" t="s">
        <v>11889</v>
      </c>
      <c r="D16" s="1"/>
      <c r="E16" s="68"/>
      <c r="F16" s="70"/>
      <c r="G16" s="1"/>
      <c r="H16" s="68"/>
      <c r="I16" s="70"/>
      <c r="J16" s="66"/>
      <c r="K16" s="57"/>
      <c r="L16" s="58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67"/>
      <c r="S16" s="68"/>
      <c r="T16" s="76"/>
      <c r="U16" s="70"/>
      <c r="V16" s="67"/>
      <c r="W16" s="68"/>
      <c r="X16" s="76"/>
      <c r="Y16" s="70"/>
      <c r="Z16" s="228">
        <f>ROUND((ROUND((ROUND((_15_同援日０．５*_15・２人),0)*(1+_15・A深夜)),0)*(1+_15・区３)),0)+ROUND((ROUND((_15_同援日０．５＿０．５*_15・２人),0)*(1+_15・区３)),0)</f>
        <v>461</v>
      </c>
      <c r="AA16" s="69"/>
    </row>
    <row r="17" spans="1:27" ht="16.5" customHeight="1" x14ac:dyDescent="0.3">
      <c r="A17" s="2">
        <v>15</v>
      </c>
      <c r="B17" s="2" t="s">
        <v>1131</v>
      </c>
      <c r="C17" s="60" t="s">
        <v>11888</v>
      </c>
      <c r="D17" s="1"/>
      <c r="E17" s="68"/>
      <c r="F17" s="70"/>
      <c r="G17" s="1"/>
      <c r="H17" s="68"/>
      <c r="I17" s="70"/>
      <c r="J17" s="74" t="s">
        <v>18128</v>
      </c>
      <c r="K17" s="62"/>
      <c r="L17" s="63"/>
      <c r="M17" s="85"/>
      <c r="N17" s="64"/>
      <c r="O17" s="65"/>
      <c r="P17" s="99"/>
      <c r="Q17" s="70"/>
      <c r="R17" s="67"/>
      <c r="S17" s="68"/>
      <c r="T17" s="76"/>
      <c r="U17" s="70"/>
      <c r="V17" s="1" t="s">
        <v>18133</v>
      </c>
      <c r="W17" s="68"/>
      <c r="X17" s="76"/>
      <c r="Y17" s="70"/>
      <c r="Z17" s="228">
        <f>ROUND((ROUND((ROUND((_15_同援日０．５*_15・基礎２),0)*(1+_15・A深夜)),0)*(1+_15・区３)),0)+ROUND((ROUND((_15_同援日０．５＿０．５*_15・基礎２),0)*(1+_15・区３)),0)</f>
        <v>415</v>
      </c>
      <c r="AA17" s="69"/>
    </row>
    <row r="18" spans="1:27" ht="16.5" customHeight="1" x14ac:dyDescent="0.3">
      <c r="A18" s="2">
        <v>15</v>
      </c>
      <c r="B18" s="2" t="s">
        <v>1132</v>
      </c>
      <c r="C18" s="60" t="s">
        <v>11887</v>
      </c>
      <c r="D18" s="1"/>
      <c r="E18" s="68"/>
      <c r="F18" s="70"/>
      <c r="G18" s="1"/>
      <c r="H18" s="68"/>
      <c r="I18" s="70"/>
      <c r="J18" s="106" t="s">
        <v>18127</v>
      </c>
      <c r="K18" s="57" t="s">
        <v>1</v>
      </c>
      <c r="L18" s="58">
        <v>0.9</v>
      </c>
      <c r="M18" s="83" t="s">
        <v>5895</v>
      </c>
      <c r="N18" s="64" t="s">
        <v>1</v>
      </c>
      <c r="O18" s="65">
        <v>1</v>
      </c>
      <c r="P18" s="99"/>
      <c r="Q18" s="70"/>
      <c r="R18" s="66"/>
      <c r="S18" s="57"/>
      <c r="T18" s="58"/>
      <c r="U18" s="77"/>
      <c r="V18" s="1" t="s">
        <v>18131</v>
      </c>
      <c r="W18" s="68"/>
      <c r="X18" s="76"/>
      <c r="Y18" s="70"/>
      <c r="Z18" s="228">
        <f>ROUND((ROUND((ROUND((ROUND((_15_同援日０．５*_15・基礎２),0)*_15・２人),0)*(1+_15・A深夜)),0)*(1+_15・区３)),0)+ROUND((ROUND((ROUND((_15_同援日０．５＿０．５*_15・基礎２),0)*_15・２人),0)*(1+_15・区３)),0)</f>
        <v>415</v>
      </c>
      <c r="AA18" s="69"/>
    </row>
    <row r="19" spans="1:27" ht="16.5" customHeight="1" x14ac:dyDescent="0.3">
      <c r="A19" s="2">
        <v>15</v>
      </c>
      <c r="B19" s="2" t="s">
        <v>1133</v>
      </c>
      <c r="C19" s="60" t="s">
        <v>11886</v>
      </c>
      <c r="D19" s="1"/>
      <c r="E19" s="68"/>
      <c r="F19" s="70"/>
      <c r="G19" s="1"/>
      <c r="H19" s="68"/>
      <c r="I19" s="70"/>
      <c r="J19" s="61"/>
      <c r="K19" s="62"/>
      <c r="L19" s="63"/>
      <c r="M19" s="85"/>
      <c r="N19" s="64"/>
      <c r="O19" s="65"/>
      <c r="P19" s="99"/>
      <c r="Q19" s="70"/>
      <c r="R19" s="74" t="s">
        <v>18130</v>
      </c>
      <c r="S19" s="62"/>
      <c r="T19" s="63"/>
      <c r="U19" s="75"/>
      <c r="V19" s="67"/>
      <c r="W19" s="68" t="s">
        <v>1</v>
      </c>
      <c r="X19" s="76">
        <v>0.2</v>
      </c>
      <c r="Y19" s="70" t="s">
        <v>422</v>
      </c>
      <c r="Z19" s="228">
        <f>ROUND((ROUND((ROUND((_15_同援日０．５*(1+_15・A深夜)),0)*(1+_15・盲ろう)),0)*(1+_15・区３)),0)+ROUND((ROUND((_15_同援日０．５＿０．５*(1+_15・盲ろう)),0)*(1+_15・区３)),0)</f>
        <v>576</v>
      </c>
      <c r="AA19" s="69"/>
    </row>
    <row r="20" spans="1:27" ht="16.5" customHeight="1" x14ac:dyDescent="0.3">
      <c r="A20" s="2">
        <v>15</v>
      </c>
      <c r="B20" s="2" t="s">
        <v>1134</v>
      </c>
      <c r="C20" s="60" t="s">
        <v>11885</v>
      </c>
      <c r="D20" s="1"/>
      <c r="E20" s="68"/>
      <c r="F20" s="70"/>
      <c r="G20" s="1"/>
      <c r="H20" s="68"/>
      <c r="I20" s="70"/>
      <c r="J20" s="66"/>
      <c r="K20" s="57"/>
      <c r="L20" s="58"/>
      <c r="M20" s="83" t="s">
        <v>5895</v>
      </c>
      <c r="N20" s="64" t="s">
        <v>1</v>
      </c>
      <c r="O20" s="65">
        <v>1</v>
      </c>
      <c r="P20" s="99"/>
      <c r="Q20" s="70"/>
      <c r="R20" s="94" t="s">
        <v>18129</v>
      </c>
      <c r="S20" s="68"/>
      <c r="T20" s="76"/>
      <c r="U20" s="70"/>
      <c r="V20" s="67"/>
      <c r="W20" s="68"/>
      <c r="X20" s="76"/>
      <c r="Y20" s="70"/>
      <c r="Z20" s="228">
        <f>ROUND((ROUND((ROUND((ROUND((_15_同援日０．５*_15・２人),0)*(1+_15・A深夜)),0)*(1+_15・盲ろう)),0)*(1+_15・区３)),0)+ROUND((ROUND((ROUND((_15_同援日０．５＿０．５*_15・２人),0)*(1+_15・盲ろう)),0)*(1+_15・区３)),0)</f>
        <v>576</v>
      </c>
      <c r="AA20" s="69"/>
    </row>
    <row r="21" spans="1:27" ht="16.5" customHeight="1" x14ac:dyDescent="0.3">
      <c r="A21" s="2">
        <v>15</v>
      </c>
      <c r="B21" s="2" t="s">
        <v>1135</v>
      </c>
      <c r="C21" s="60" t="s">
        <v>11884</v>
      </c>
      <c r="D21" s="1"/>
      <c r="E21" s="68"/>
      <c r="F21" s="70"/>
      <c r="G21" s="1"/>
      <c r="H21" s="68"/>
      <c r="I21" s="70"/>
      <c r="J21" s="74" t="s">
        <v>18128</v>
      </c>
      <c r="K21" s="62"/>
      <c r="L21" s="63"/>
      <c r="M21" s="85"/>
      <c r="N21" s="64"/>
      <c r="O21" s="65"/>
      <c r="P21" s="99"/>
      <c r="Q21" s="70"/>
      <c r="R21" s="67"/>
      <c r="S21" s="68" t="s">
        <v>1</v>
      </c>
      <c r="T21" s="76">
        <v>0.25</v>
      </c>
      <c r="U21" s="70" t="s">
        <v>422</v>
      </c>
      <c r="V21" s="67"/>
      <c r="W21" s="68"/>
      <c r="X21" s="76"/>
      <c r="Y21" s="70"/>
      <c r="Z21" s="228">
        <f>ROUND((ROUND((ROUND((ROUND((_15_同援日０．５*_15・基礎２),0)*(1+_15・A深夜)),0)*(1+_15・盲ろう)),0)*(1+_15・区３)),0)+ROUND((ROUND((ROUND((_15_同援日０．５＿０．５*_15・基礎２),0)*(1+_15・盲ろう)),0)*(1+_15・区３)),0)</f>
        <v>518</v>
      </c>
      <c r="AA21" s="69"/>
    </row>
    <row r="22" spans="1:27" ht="16.5" customHeight="1" x14ac:dyDescent="0.3">
      <c r="A22" s="2">
        <v>15</v>
      </c>
      <c r="B22" s="2" t="s">
        <v>1136</v>
      </c>
      <c r="C22" s="60" t="s">
        <v>11883</v>
      </c>
      <c r="D22" s="1"/>
      <c r="E22" s="68"/>
      <c r="F22" s="70"/>
      <c r="G22" s="1"/>
      <c r="H22" s="68"/>
      <c r="I22" s="70"/>
      <c r="J22" s="106" t="s">
        <v>18127</v>
      </c>
      <c r="K22" s="57" t="s">
        <v>1</v>
      </c>
      <c r="L22" s="58">
        <v>0.9</v>
      </c>
      <c r="M22" s="83" t="s">
        <v>5895</v>
      </c>
      <c r="N22" s="64" t="s">
        <v>1</v>
      </c>
      <c r="O22" s="65">
        <v>1</v>
      </c>
      <c r="P22" s="99"/>
      <c r="Q22" s="70"/>
      <c r="R22" s="66"/>
      <c r="S22" s="57"/>
      <c r="T22" s="58"/>
      <c r="U22" s="77"/>
      <c r="V22" s="66"/>
      <c r="W22" s="57"/>
      <c r="X22" s="58"/>
      <c r="Y22" s="77"/>
      <c r="Z22" s="228">
        <f>ROUND((ROUND((ROUND((ROUND((ROUND((_15_同援日０．５*_15・基礎２),0)*_15・２人),0)*(1+_15・A深夜)),0)*(1+_15・盲ろう)),0)*(1+_15・区３)),0)+ROUND((ROUND((ROUND((ROUND((_15_同援日０．５＿０．５*_15・基礎２),0)*_15・２人),0)*(1+_15・盲ろう)),0)*(1+_15・区３)),0)</f>
        <v>518</v>
      </c>
      <c r="AA22" s="69"/>
    </row>
    <row r="23" spans="1:27" ht="16.5" customHeight="1" x14ac:dyDescent="0.3">
      <c r="A23" s="2">
        <v>15</v>
      </c>
      <c r="B23" s="2" t="s">
        <v>1137</v>
      </c>
      <c r="C23" s="60" t="s">
        <v>11882</v>
      </c>
      <c r="D23" s="1"/>
      <c r="E23" s="68"/>
      <c r="F23" s="70"/>
      <c r="G23" s="1"/>
      <c r="H23" s="68"/>
      <c r="I23" s="70"/>
      <c r="J23" s="61"/>
      <c r="K23" s="62"/>
      <c r="L23" s="63"/>
      <c r="M23" s="85"/>
      <c r="N23" s="64"/>
      <c r="O23" s="65"/>
      <c r="P23" s="99"/>
      <c r="Q23" s="70"/>
      <c r="R23" s="61"/>
      <c r="S23" s="62"/>
      <c r="T23" s="63"/>
      <c r="U23" s="75"/>
      <c r="V23" s="61"/>
      <c r="W23" s="62"/>
      <c r="X23" s="63"/>
      <c r="Y23" s="75"/>
      <c r="Z23" s="228">
        <f>ROUND((ROUND((_15_同援日０．５*(1+_15・A深夜)),0)*(1+_15・区４)),0)+ROUND((_15_同援日０．５＿０．５*(1+_15・区４)),0)</f>
        <v>537</v>
      </c>
      <c r="AA23" s="69"/>
    </row>
    <row r="24" spans="1:27" ht="16.5" customHeight="1" x14ac:dyDescent="0.3">
      <c r="A24" s="2">
        <v>15</v>
      </c>
      <c r="B24" s="2" t="s">
        <v>1138</v>
      </c>
      <c r="C24" s="60" t="s">
        <v>11881</v>
      </c>
      <c r="D24" s="1"/>
      <c r="E24" s="68"/>
      <c r="F24" s="70"/>
      <c r="G24" s="1"/>
      <c r="H24" s="68"/>
      <c r="I24" s="70"/>
      <c r="J24" s="66"/>
      <c r="K24" s="57"/>
      <c r="L24" s="58"/>
      <c r="M24" s="83" t="s">
        <v>5895</v>
      </c>
      <c r="N24" s="64" t="s">
        <v>1</v>
      </c>
      <c r="O24" s="65">
        <v>1</v>
      </c>
      <c r="P24" s="99"/>
      <c r="Q24" s="70"/>
      <c r="R24" s="67"/>
      <c r="S24" s="68"/>
      <c r="T24" s="76"/>
      <c r="U24" s="70"/>
      <c r="V24" s="67"/>
      <c r="W24" s="68"/>
      <c r="X24" s="76"/>
      <c r="Y24" s="70"/>
      <c r="Z24" s="228">
        <f>ROUND((ROUND((ROUND((_15_同援日０．５*_15・２人),0)*(1+_15・A深夜)),0)*(1+_15・区４)),0)+ROUND((ROUND((_15_同援日０．５＿０．５*_15・２人),0)*(1+_15・区４)),0)</f>
        <v>537</v>
      </c>
      <c r="AA24" s="69"/>
    </row>
    <row r="25" spans="1:27" ht="16.5" customHeight="1" x14ac:dyDescent="0.3">
      <c r="A25" s="2">
        <v>15</v>
      </c>
      <c r="B25" s="2" t="s">
        <v>1139</v>
      </c>
      <c r="C25" s="60" t="s">
        <v>11880</v>
      </c>
      <c r="D25" s="1"/>
      <c r="E25" s="68"/>
      <c r="F25" s="70"/>
      <c r="G25" s="1"/>
      <c r="H25" s="68"/>
      <c r="I25" s="70"/>
      <c r="J25" s="74" t="s">
        <v>18128</v>
      </c>
      <c r="K25" s="62"/>
      <c r="L25" s="63"/>
      <c r="M25" s="85"/>
      <c r="N25" s="64"/>
      <c r="O25" s="65"/>
      <c r="P25" s="99"/>
      <c r="Q25" s="70"/>
      <c r="R25" s="67"/>
      <c r="S25" s="68"/>
      <c r="T25" s="76"/>
      <c r="U25" s="70"/>
      <c r="V25" s="1" t="s">
        <v>18132</v>
      </c>
      <c r="W25" s="68"/>
      <c r="X25" s="76"/>
      <c r="Y25" s="70"/>
      <c r="Z25" s="228">
        <f>ROUND((ROUND((ROUND((_15_同援日０．５*_15・基礎２),0)*(1+_15・A深夜)),0)*(1+_15・区４)),0)+ROUND((ROUND((_15_同援日０．５＿０．５*_15・基礎２),0)*(1+_15・区４)),0)</f>
        <v>485</v>
      </c>
      <c r="AA25" s="69"/>
    </row>
    <row r="26" spans="1:27" ht="16.5" customHeight="1" x14ac:dyDescent="0.3">
      <c r="A26" s="2">
        <v>15</v>
      </c>
      <c r="B26" s="2" t="s">
        <v>1140</v>
      </c>
      <c r="C26" s="60" t="s">
        <v>11879</v>
      </c>
      <c r="D26" s="1"/>
      <c r="E26" s="68"/>
      <c r="F26" s="70"/>
      <c r="G26" s="1"/>
      <c r="H26" s="68"/>
      <c r="I26" s="70"/>
      <c r="J26" s="106" t="s">
        <v>18127</v>
      </c>
      <c r="K26" s="57" t="s">
        <v>1</v>
      </c>
      <c r="L26" s="58">
        <v>0.9</v>
      </c>
      <c r="M26" s="83" t="s">
        <v>5895</v>
      </c>
      <c r="N26" s="64" t="s">
        <v>1</v>
      </c>
      <c r="O26" s="65">
        <v>1</v>
      </c>
      <c r="P26" s="99"/>
      <c r="Q26" s="70"/>
      <c r="R26" s="66"/>
      <c r="S26" s="57"/>
      <c r="T26" s="58"/>
      <c r="U26" s="77"/>
      <c r="V26" s="1" t="s">
        <v>18131</v>
      </c>
      <c r="W26" s="68"/>
      <c r="X26" s="76"/>
      <c r="Y26" s="70"/>
      <c r="Z26" s="228">
        <f>ROUND((ROUND((ROUND((ROUND((_15_同援日０．５*_15・基礎２),0)*_15・２人),0)*(1+_15・A深夜)),0)*(1+_15・区４)),0)+ROUND((ROUND((ROUND((_15_同援日０．５＿０．５*_15・基礎２),0)*_15・２人),0)*(1+_15・区４)),0)</f>
        <v>485</v>
      </c>
      <c r="AA26" s="69"/>
    </row>
    <row r="27" spans="1:27" ht="16.5" customHeight="1" x14ac:dyDescent="0.3">
      <c r="A27" s="2">
        <v>15</v>
      </c>
      <c r="B27" s="2" t="s">
        <v>1141</v>
      </c>
      <c r="C27" s="60" t="s">
        <v>11878</v>
      </c>
      <c r="D27" s="1"/>
      <c r="E27" s="68"/>
      <c r="F27" s="70"/>
      <c r="G27" s="1"/>
      <c r="H27" s="68"/>
      <c r="I27" s="70"/>
      <c r="J27" s="61"/>
      <c r="K27" s="62"/>
      <c r="L27" s="63"/>
      <c r="M27" s="85"/>
      <c r="N27" s="64"/>
      <c r="O27" s="65"/>
      <c r="P27" s="99"/>
      <c r="Q27" s="70"/>
      <c r="R27" s="74" t="s">
        <v>18130</v>
      </c>
      <c r="S27" s="62"/>
      <c r="T27" s="63"/>
      <c r="U27" s="75"/>
      <c r="V27" s="67"/>
      <c r="W27" s="68" t="s">
        <v>1</v>
      </c>
      <c r="X27" s="76">
        <v>0.4</v>
      </c>
      <c r="Y27" s="70" t="s">
        <v>422</v>
      </c>
      <c r="Z27" s="228">
        <f>ROUND((ROUND((ROUND((_15_同援日０．５*(1+_15・A深夜)),0)*(1+_15・盲ろう)),0)*(1+_15・区４)),0)+ROUND((ROUND((_15_同援日０．５＿０．５*(1+_15・盲ろう)),0)*(1+_15・区４)),0)</f>
        <v>672</v>
      </c>
      <c r="AA27" s="69"/>
    </row>
    <row r="28" spans="1:27" ht="16.5" customHeight="1" x14ac:dyDescent="0.3">
      <c r="A28" s="2">
        <v>15</v>
      </c>
      <c r="B28" s="2" t="s">
        <v>1142</v>
      </c>
      <c r="C28" s="60" t="s">
        <v>11877</v>
      </c>
      <c r="D28" s="1"/>
      <c r="E28" s="68"/>
      <c r="F28" s="70"/>
      <c r="G28" s="1"/>
      <c r="H28" s="68"/>
      <c r="I28" s="70"/>
      <c r="J28" s="66"/>
      <c r="K28" s="57"/>
      <c r="L28" s="58"/>
      <c r="M28" s="83" t="s">
        <v>5895</v>
      </c>
      <c r="N28" s="64" t="s">
        <v>1</v>
      </c>
      <c r="O28" s="65">
        <v>1</v>
      </c>
      <c r="P28" s="99"/>
      <c r="Q28" s="70"/>
      <c r="R28" s="94" t="s">
        <v>18129</v>
      </c>
      <c r="S28" s="68"/>
      <c r="T28" s="76"/>
      <c r="U28" s="70"/>
      <c r="V28" s="67"/>
      <c r="W28" s="68"/>
      <c r="X28" s="76"/>
      <c r="Y28" s="70"/>
      <c r="Z28" s="228">
        <f>ROUND((ROUND((ROUND((ROUND((_15_同援日０．５*_15・２人),0)*(1+_15・A深夜)),0)*(1+_15・盲ろう)),0)*(1+_15・区４)),0)+ROUND((ROUND((ROUND((_15_同援日０．５＿０．５*_15・２人),0)*(1+_15・盲ろう)),0)*(1+_15・区４)),0)</f>
        <v>672</v>
      </c>
      <c r="AA28" s="69"/>
    </row>
    <row r="29" spans="1:27" ht="16.5" customHeight="1" x14ac:dyDescent="0.3">
      <c r="A29" s="2">
        <v>15</v>
      </c>
      <c r="B29" s="2" t="s">
        <v>1143</v>
      </c>
      <c r="C29" s="60" t="s">
        <v>11876</v>
      </c>
      <c r="D29" s="1"/>
      <c r="E29" s="68"/>
      <c r="F29" s="70"/>
      <c r="G29" s="1"/>
      <c r="H29" s="68"/>
      <c r="I29" s="70"/>
      <c r="J29" s="74" t="s">
        <v>18128</v>
      </c>
      <c r="K29" s="62"/>
      <c r="L29" s="63"/>
      <c r="M29" s="85"/>
      <c r="N29" s="64"/>
      <c r="O29" s="65"/>
      <c r="P29" s="99"/>
      <c r="Q29" s="70"/>
      <c r="R29" s="67"/>
      <c r="S29" s="68" t="s">
        <v>1</v>
      </c>
      <c r="T29" s="76">
        <v>0.25</v>
      </c>
      <c r="U29" s="70" t="s">
        <v>422</v>
      </c>
      <c r="V29" s="67"/>
      <c r="W29" s="68"/>
      <c r="X29" s="76"/>
      <c r="Y29" s="70"/>
      <c r="Z29" s="228">
        <f>ROUND((ROUND((ROUND((ROUND((_15_同援日０．５*_15・基礎２),0)*(1+_15・A深夜)),0)*(1+_15・盲ろう)),0)*(1+_15・区４)),0)+ROUND((ROUND((ROUND((_15_同援日０．５＿０．５*_15・基礎２),0)*(1+_15・盲ろう)),0)*(1+_15・区４)),0)</f>
        <v>604</v>
      </c>
      <c r="AA29" s="69"/>
    </row>
    <row r="30" spans="1:27" ht="16.5" customHeight="1" x14ac:dyDescent="0.3">
      <c r="A30" s="2">
        <v>15</v>
      </c>
      <c r="B30" s="2" t="s">
        <v>1144</v>
      </c>
      <c r="C30" s="60" t="s">
        <v>11875</v>
      </c>
      <c r="D30" s="1"/>
      <c r="E30" s="68"/>
      <c r="F30" s="70"/>
      <c r="G30" s="81"/>
      <c r="H30" s="57"/>
      <c r="I30" s="77"/>
      <c r="J30" s="106" t="s">
        <v>18127</v>
      </c>
      <c r="K30" s="57" t="s">
        <v>1</v>
      </c>
      <c r="L30" s="58">
        <v>0.9</v>
      </c>
      <c r="M30" s="83" t="s">
        <v>5895</v>
      </c>
      <c r="N30" s="64" t="s">
        <v>1</v>
      </c>
      <c r="O30" s="65">
        <v>1</v>
      </c>
      <c r="P30" s="99"/>
      <c r="Q30" s="70"/>
      <c r="R30" s="66"/>
      <c r="S30" s="57"/>
      <c r="T30" s="58"/>
      <c r="U30" s="77"/>
      <c r="V30" s="66"/>
      <c r="W30" s="57"/>
      <c r="X30" s="58"/>
      <c r="Y30" s="77"/>
      <c r="Z30" s="228">
        <f>ROUND((ROUND((ROUND((ROUND((ROUND((_15_同援日０．５*_15・基礎２),0)*_15・２人),0)*(1+_15・A深夜)),0)*(1+_15・盲ろう)),0)*(1+_15・区４)),0)+ROUND((ROUND((ROUND((ROUND((_15_同援日０．５＿０．５*_15・基礎２),0)*_15・２人),0)*(1+_15・盲ろう)),0)*(1+_15・区４)),0)</f>
        <v>604</v>
      </c>
      <c r="AA30" s="69"/>
    </row>
    <row r="31" spans="1:27" ht="16.5" customHeight="1" x14ac:dyDescent="0.3">
      <c r="A31" s="2">
        <v>15</v>
      </c>
      <c r="B31" s="2" t="s">
        <v>1145</v>
      </c>
      <c r="C31" s="60" t="s">
        <v>11874</v>
      </c>
      <c r="D31" s="1"/>
      <c r="E31" s="68"/>
      <c r="F31" s="70"/>
      <c r="G31" s="233" t="s">
        <v>18138</v>
      </c>
      <c r="H31" s="62"/>
      <c r="I31" s="75"/>
      <c r="J31" s="61"/>
      <c r="K31" s="62"/>
      <c r="L31" s="63"/>
      <c r="M31" s="85"/>
      <c r="N31" s="64"/>
      <c r="O31" s="65"/>
      <c r="P31" s="99"/>
      <c r="Q31" s="70"/>
      <c r="R31" s="61"/>
      <c r="S31" s="62"/>
      <c r="T31" s="63"/>
      <c r="U31" s="75"/>
      <c r="V31" s="61"/>
      <c r="W31" s="62"/>
      <c r="X31" s="63"/>
      <c r="Y31" s="75"/>
      <c r="Z31" s="228">
        <f>ROUND((_15_同援日０．５*(1+_15・A深夜)),0)+_15_同援日０．５＿１．０</f>
        <v>513</v>
      </c>
      <c r="AA31" s="69"/>
    </row>
    <row r="32" spans="1:27" ht="16.5" customHeight="1" x14ac:dyDescent="0.3">
      <c r="A32" s="2">
        <v>15</v>
      </c>
      <c r="B32" s="2" t="s">
        <v>1146</v>
      </c>
      <c r="C32" s="60" t="s">
        <v>11873</v>
      </c>
      <c r="D32" s="1"/>
      <c r="E32" s="68"/>
      <c r="F32" s="70"/>
      <c r="G32" s="1" t="s">
        <v>18137</v>
      </c>
      <c r="H32" s="68"/>
      <c r="I32" s="70"/>
      <c r="J32" s="66"/>
      <c r="K32" s="57"/>
      <c r="L32" s="58"/>
      <c r="M32" s="83" t="s">
        <v>5895</v>
      </c>
      <c r="N32" s="64" t="s">
        <v>1</v>
      </c>
      <c r="O32" s="65">
        <v>1</v>
      </c>
      <c r="P32" s="99"/>
      <c r="Q32" s="70"/>
      <c r="R32" s="67"/>
      <c r="S32" s="68"/>
      <c r="T32" s="76"/>
      <c r="U32" s="70"/>
      <c r="V32" s="67"/>
      <c r="W32" s="68"/>
      <c r="X32" s="76"/>
      <c r="Y32" s="70"/>
      <c r="Z32" s="228">
        <f>ROUND((ROUND((_15_同援日０．５*_15・２人),0)*(1+_15・A深夜)),0)+ROUND((_15_同援日０．５＿１．０*_15・２人),0)</f>
        <v>513</v>
      </c>
      <c r="AA32" s="69"/>
    </row>
    <row r="33" spans="1:27" ht="16.5" customHeight="1" x14ac:dyDescent="0.3">
      <c r="A33" s="2">
        <v>15</v>
      </c>
      <c r="B33" s="2" t="s">
        <v>1147</v>
      </c>
      <c r="C33" s="60" t="s">
        <v>11872</v>
      </c>
      <c r="D33" s="1"/>
      <c r="E33" s="68"/>
      <c r="F33" s="70"/>
      <c r="G33" s="1" t="s">
        <v>8572</v>
      </c>
      <c r="H33" s="68"/>
      <c r="I33" s="70"/>
      <c r="J33" s="74" t="s">
        <v>18128</v>
      </c>
      <c r="K33" s="62"/>
      <c r="L33" s="63"/>
      <c r="M33" s="85"/>
      <c r="N33" s="64"/>
      <c r="O33" s="65"/>
      <c r="P33" s="99"/>
      <c r="Q33" s="70"/>
      <c r="R33" s="67"/>
      <c r="S33" s="68"/>
      <c r="T33" s="76"/>
      <c r="U33" s="70"/>
      <c r="V33" s="67"/>
      <c r="W33" s="68"/>
      <c r="X33" s="76"/>
      <c r="Y33" s="70"/>
      <c r="Z33" s="228">
        <f>ROUND((ROUND((_15_同援日０．５*_15・基礎２),0)*(1+_15・A深夜)),0)+ROUND((_15_同援日０．５＿１．０*_15・基礎２),0)</f>
        <v>462</v>
      </c>
      <c r="AA33" s="69"/>
    </row>
    <row r="34" spans="1:27" ht="16.5" customHeight="1" x14ac:dyDescent="0.3">
      <c r="A34" s="2">
        <v>15</v>
      </c>
      <c r="B34" s="2" t="s">
        <v>1148</v>
      </c>
      <c r="C34" s="60" t="s">
        <v>11871</v>
      </c>
      <c r="D34" s="1"/>
      <c r="E34" s="68"/>
      <c r="F34" s="70"/>
      <c r="G34" s="1"/>
      <c r="H34" s="227">
        <v>237</v>
      </c>
      <c r="I34" s="70" t="s">
        <v>0</v>
      </c>
      <c r="J34" s="106" t="s">
        <v>18127</v>
      </c>
      <c r="K34" s="57" t="s">
        <v>1</v>
      </c>
      <c r="L34" s="58">
        <v>0.9</v>
      </c>
      <c r="M34" s="83" t="s">
        <v>5895</v>
      </c>
      <c r="N34" s="64" t="s">
        <v>1</v>
      </c>
      <c r="O34" s="65">
        <v>1</v>
      </c>
      <c r="P34" s="99"/>
      <c r="Q34" s="70"/>
      <c r="R34" s="66"/>
      <c r="S34" s="57"/>
      <c r="T34" s="58"/>
      <c r="U34" s="77"/>
      <c r="V34" s="67"/>
      <c r="W34" s="68"/>
      <c r="X34" s="76"/>
      <c r="Y34" s="70"/>
      <c r="Z34" s="228">
        <f>ROUND((ROUND((ROUND((_15_同援日０．５*_15・基礎２),0)*_15・２人),0)*(1+_15・A深夜)),0)+ROUND((ROUND((_15_同援日０．５＿１．０*_15・基礎２),0)*_15・２人),0)</f>
        <v>462</v>
      </c>
      <c r="AA34" s="69"/>
    </row>
    <row r="35" spans="1:27" ht="16.5" customHeight="1" x14ac:dyDescent="0.3">
      <c r="A35" s="2">
        <v>15</v>
      </c>
      <c r="B35" s="2" t="s">
        <v>1149</v>
      </c>
      <c r="C35" s="60" t="s">
        <v>11870</v>
      </c>
      <c r="D35" s="1"/>
      <c r="E35" s="68"/>
      <c r="F35" s="70"/>
      <c r="G35" s="1"/>
      <c r="H35" s="68"/>
      <c r="I35" s="70"/>
      <c r="J35" s="61"/>
      <c r="K35" s="62"/>
      <c r="L35" s="63"/>
      <c r="M35" s="85"/>
      <c r="N35" s="64"/>
      <c r="O35" s="65"/>
      <c r="P35" s="99"/>
      <c r="Q35" s="70"/>
      <c r="R35" s="74" t="s">
        <v>18130</v>
      </c>
      <c r="S35" s="62"/>
      <c r="T35" s="63"/>
      <c r="U35" s="75"/>
      <c r="V35" s="67"/>
      <c r="W35" s="68"/>
      <c r="X35" s="76"/>
      <c r="Y35" s="70"/>
      <c r="Z35" s="228">
        <f>ROUND((ROUND((_15_同援日０．５*(1+_15・A深夜)),0)*(1+_15・盲ろう)),0)+ROUND((_15_同援日０．５＿１．０*(1+_15・盲ろう)),0)</f>
        <v>641</v>
      </c>
      <c r="AA35" s="69"/>
    </row>
    <row r="36" spans="1:27" ht="16.5" customHeight="1" x14ac:dyDescent="0.3">
      <c r="A36" s="2">
        <v>15</v>
      </c>
      <c r="B36" s="2" t="s">
        <v>1150</v>
      </c>
      <c r="C36" s="60" t="s">
        <v>11869</v>
      </c>
      <c r="D36" s="1"/>
      <c r="E36" s="68"/>
      <c r="F36" s="70"/>
      <c r="G36" s="1"/>
      <c r="H36" s="68"/>
      <c r="I36" s="70"/>
      <c r="J36" s="66"/>
      <c r="K36" s="57"/>
      <c r="L36" s="58"/>
      <c r="M36" s="83" t="s">
        <v>5895</v>
      </c>
      <c r="N36" s="64" t="s">
        <v>1</v>
      </c>
      <c r="O36" s="65">
        <v>1</v>
      </c>
      <c r="P36" s="99"/>
      <c r="Q36" s="70"/>
      <c r="R36" s="94" t="s">
        <v>18129</v>
      </c>
      <c r="S36" s="68"/>
      <c r="T36" s="76"/>
      <c r="U36" s="70"/>
      <c r="V36" s="67"/>
      <c r="W36" s="68"/>
      <c r="X36" s="76"/>
      <c r="Y36" s="70"/>
      <c r="Z36" s="228">
        <f>ROUND((ROUND((ROUND((_15_同援日０．５*_15・２人),0)*(1+_15・A深夜)),0)*(1+_15・盲ろう)),0)+ROUND((ROUND((_15_同援日０．５＿１．０*_15・２人),0)*(1+_15・盲ろう)),0)</f>
        <v>641</v>
      </c>
      <c r="AA36" s="69"/>
    </row>
    <row r="37" spans="1:27" ht="16.5" customHeight="1" x14ac:dyDescent="0.3">
      <c r="A37" s="2">
        <v>15</v>
      </c>
      <c r="B37" s="2" t="s">
        <v>1151</v>
      </c>
      <c r="C37" s="60" t="s">
        <v>11868</v>
      </c>
      <c r="D37" s="1"/>
      <c r="E37" s="68"/>
      <c r="F37" s="70"/>
      <c r="G37" s="1"/>
      <c r="H37" s="68"/>
      <c r="I37" s="70"/>
      <c r="J37" s="74" t="s">
        <v>18128</v>
      </c>
      <c r="K37" s="62"/>
      <c r="L37" s="63"/>
      <c r="M37" s="85"/>
      <c r="N37" s="64"/>
      <c r="O37" s="65"/>
      <c r="P37" s="99"/>
      <c r="Q37" s="70"/>
      <c r="R37" s="67"/>
      <c r="S37" s="68" t="s">
        <v>1</v>
      </c>
      <c r="T37" s="76">
        <v>0.25</v>
      </c>
      <c r="U37" s="70" t="s">
        <v>422</v>
      </c>
      <c r="V37" s="67"/>
      <c r="W37" s="68"/>
      <c r="X37" s="76"/>
      <c r="Y37" s="70"/>
      <c r="Z37" s="228">
        <f>ROUND((ROUND((ROUND((_15_同援日０．５*_15・基礎２),0)*(1+_15・A深夜)),0)*(1+_15・盲ろう)),0)+ROUND((ROUND((_15_同援日０．５＿１．０*_15・基礎２),0)*(1+_15・盲ろう)),0)</f>
        <v>577</v>
      </c>
      <c r="AA37" s="69"/>
    </row>
    <row r="38" spans="1:27" ht="16.5" customHeight="1" x14ac:dyDescent="0.3">
      <c r="A38" s="2">
        <v>15</v>
      </c>
      <c r="B38" s="2" t="s">
        <v>1152</v>
      </c>
      <c r="C38" s="60" t="s">
        <v>11867</v>
      </c>
      <c r="D38" s="1"/>
      <c r="E38" s="68"/>
      <c r="F38" s="70"/>
      <c r="G38" s="1"/>
      <c r="H38" s="68"/>
      <c r="I38" s="70"/>
      <c r="J38" s="106" t="s">
        <v>18127</v>
      </c>
      <c r="K38" s="57" t="s">
        <v>1</v>
      </c>
      <c r="L38" s="58">
        <v>0.9</v>
      </c>
      <c r="M38" s="83" t="s">
        <v>5895</v>
      </c>
      <c r="N38" s="64" t="s">
        <v>1</v>
      </c>
      <c r="O38" s="65">
        <v>1</v>
      </c>
      <c r="P38" s="99"/>
      <c r="Q38" s="70"/>
      <c r="R38" s="66"/>
      <c r="S38" s="57"/>
      <c r="T38" s="58"/>
      <c r="U38" s="77"/>
      <c r="V38" s="66"/>
      <c r="W38" s="57"/>
      <c r="X38" s="58"/>
      <c r="Y38" s="77"/>
      <c r="Z38" s="228">
        <f>ROUND((ROUND((ROUND((ROUND((_15_同援日０．５*_15・基礎２),0)*_15・２人),0)*(1+_15・A深夜)),0)*(1+_15・盲ろう)),0)+ROUND((ROUND((ROUND((_15_同援日０．５＿１．０*_15・基礎２),0)*_15・２人),0)*(1+_15・盲ろう)),0)</f>
        <v>577</v>
      </c>
      <c r="AA38" s="69"/>
    </row>
    <row r="39" spans="1:27" ht="16.5" customHeight="1" x14ac:dyDescent="0.3">
      <c r="A39" s="2">
        <v>15</v>
      </c>
      <c r="B39" s="2" t="s">
        <v>1153</v>
      </c>
      <c r="C39" s="60" t="s">
        <v>11866</v>
      </c>
      <c r="D39" s="1"/>
      <c r="E39" s="68"/>
      <c r="F39" s="70"/>
      <c r="G39" s="1"/>
      <c r="H39" s="68"/>
      <c r="I39" s="70"/>
      <c r="J39" s="61"/>
      <c r="K39" s="62"/>
      <c r="L39" s="63"/>
      <c r="M39" s="85"/>
      <c r="N39" s="64"/>
      <c r="O39" s="65"/>
      <c r="P39" s="99"/>
      <c r="Q39" s="70"/>
      <c r="R39" s="61"/>
      <c r="S39" s="62"/>
      <c r="T39" s="63"/>
      <c r="U39" s="75"/>
      <c r="V39" s="61"/>
      <c r="W39" s="62"/>
      <c r="X39" s="63"/>
      <c r="Y39" s="75"/>
      <c r="Z39" s="228">
        <f>ROUND((ROUND((_15_同援日０．５*(1+_15・A深夜)),0)*(1+_15・区３)),0)+ROUND((_15_同援日０．５＿１．０*(1+_15・区３)),0)</f>
        <v>615</v>
      </c>
      <c r="AA39" s="69"/>
    </row>
    <row r="40" spans="1:27" ht="16.5" customHeight="1" x14ac:dyDescent="0.3">
      <c r="A40" s="2">
        <v>15</v>
      </c>
      <c r="B40" s="2" t="s">
        <v>1154</v>
      </c>
      <c r="C40" s="60" t="s">
        <v>11865</v>
      </c>
      <c r="D40" s="1"/>
      <c r="E40" s="68"/>
      <c r="F40" s="70"/>
      <c r="G40" s="1"/>
      <c r="H40" s="68"/>
      <c r="I40" s="70"/>
      <c r="J40" s="66"/>
      <c r="K40" s="57"/>
      <c r="L40" s="58"/>
      <c r="M40" s="83" t="s">
        <v>5895</v>
      </c>
      <c r="N40" s="64" t="s">
        <v>1</v>
      </c>
      <c r="O40" s="65">
        <v>1</v>
      </c>
      <c r="P40" s="99"/>
      <c r="Q40" s="70"/>
      <c r="R40" s="67"/>
      <c r="S40" s="68"/>
      <c r="T40" s="76"/>
      <c r="U40" s="70"/>
      <c r="V40" s="67"/>
      <c r="W40" s="68"/>
      <c r="X40" s="76"/>
      <c r="Y40" s="70"/>
      <c r="Z40" s="228">
        <f>ROUND((ROUND((ROUND((_15_同援日０．５*_15・２人),0)*(1+_15・A深夜)),0)*(1+_15・区３)),0)+ROUND((ROUND((_15_同援日０．５＿１．０*_15・２人),0)*(1+_15・区３)),0)</f>
        <v>615</v>
      </c>
      <c r="AA40" s="69"/>
    </row>
    <row r="41" spans="1:27" ht="16.5" customHeight="1" x14ac:dyDescent="0.3">
      <c r="A41" s="2">
        <v>15</v>
      </c>
      <c r="B41" s="2" t="s">
        <v>1155</v>
      </c>
      <c r="C41" s="60" t="s">
        <v>11864</v>
      </c>
      <c r="D41" s="1"/>
      <c r="E41" s="68"/>
      <c r="F41" s="70"/>
      <c r="G41" s="1"/>
      <c r="H41" s="68"/>
      <c r="I41" s="70"/>
      <c r="J41" s="74" t="s">
        <v>18128</v>
      </c>
      <c r="K41" s="62"/>
      <c r="L41" s="63"/>
      <c r="M41" s="85"/>
      <c r="N41" s="64"/>
      <c r="O41" s="65"/>
      <c r="P41" s="99"/>
      <c r="Q41" s="70"/>
      <c r="R41" s="67"/>
      <c r="S41" s="68"/>
      <c r="T41" s="76"/>
      <c r="U41" s="70"/>
      <c r="V41" s="1" t="s">
        <v>18133</v>
      </c>
      <c r="W41" s="68"/>
      <c r="X41" s="76"/>
      <c r="Y41" s="70"/>
      <c r="Z41" s="228">
        <f>ROUND((ROUND((ROUND((_15_同援日０．５*_15・基礎２),0)*(1+_15・A深夜)),0)*(1+_15・区３)),0)+ROUND((ROUND((_15_同援日０．５＿１．０*_15・基礎２),0)*(1+_15・区３)),0)</f>
        <v>555</v>
      </c>
      <c r="AA41" s="69"/>
    </row>
    <row r="42" spans="1:27" ht="16.5" customHeight="1" x14ac:dyDescent="0.3">
      <c r="A42" s="2">
        <v>15</v>
      </c>
      <c r="B42" s="2" t="s">
        <v>1156</v>
      </c>
      <c r="C42" s="60" t="s">
        <v>11863</v>
      </c>
      <c r="D42" s="1"/>
      <c r="E42" s="68"/>
      <c r="F42" s="70"/>
      <c r="G42" s="1"/>
      <c r="H42" s="68"/>
      <c r="I42" s="70"/>
      <c r="J42" s="106" t="s">
        <v>18127</v>
      </c>
      <c r="K42" s="57" t="s">
        <v>1</v>
      </c>
      <c r="L42" s="58">
        <v>0.9</v>
      </c>
      <c r="M42" s="83" t="s">
        <v>5895</v>
      </c>
      <c r="N42" s="64" t="s">
        <v>1</v>
      </c>
      <c r="O42" s="65">
        <v>1</v>
      </c>
      <c r="P42" s="99"/>
      <c r="Q42" s="70"/>
      <c r="R42" s="66"/>
      <c r="S42" s="57"/>
      <c r="T42" s="58"/>
      <c r="U42" s="77"/>
      <c r="V42" s="1" t="s">
        <v>18131</v>
      </c>
      <c r="W42" s="68"/>
      <c r="X42" s="76"/>
      <c r="Y42" s="70"/>
      <c r="Z42" s="228">
        <f>ROUND((ROUND((ROUND((ROUND((_15_同援日０．５*_15・基礎２),0)*_15・２人),0)*(1+_15・A深夜)),0)*(1+_15・区３)),0)+ROUND((ROUND((ROUND((_15_同援日０．５＿１．０*_15・基礎２),0)*_15・２人),0)*(1+_15・区３)),0)</f>
        <v>555</v>
      </c>
      <c r="AA42" s="69"/>
    </row>
    <row r="43" spans="1:27" ht="16.5" customHeight="1" x14ac:dyDescent="0.3">
      <c r="A43" s="2">
        <v>15</v>
      </c>
      <c r="B43" s="2" t="s">
        <v>1157</v>
      </c>
      <c r="C43" s="60" t="s">
        <v>11862</v>
      </c>
      <c r="D43" s="1"/>
      <c r="E43" s="68"/>
      <c r="F43" s="70"/>
      <c r="G43" s="1"/>
      <c r="H43" s="68"/>
      <c r="I43" s="70"/>
      <c r="J43" s="61"/>
      <c r="K43" s="62"/>
      <c r="L43" s="63"/>
      <c r="M43" s="85"/>
      <c r="N43" s="64"/>
      <c r="O43" s="65"/>
      <c r="P43" s="99"/>
      <c r="Q43" s="70"/>
      <c r="R43" s="74" t="s">
        <v>18130</v>
      </c>
      <c r="S43" s="62"/>
      <c r="T43" s="63"/>
      <c r="U43" s="75"/>
      <c r="V43" s="67"/>
      <c r="W43" s="68" t="s">
        <v>1</v>
      </c>
      <c r="X43" s="76">
        <v>0.2</v>
      </c>
      <c r="Y43" s="70" t="s">
        <v>422</v>
      </c>
      <c r="Z43" s="228">
        <f>ROUND((ROUND((ROUND((_15_同援日０．５*(1+_15・A深夜)),0)*(1+_15・盲ろう)),0)*(1+_15・区３)),0)+ROUND((ROUND((_15_同援日０．５＿１．０*(1+_15・盲ろう)),0)*(1+_15・区３)),0)</f>
        <v>769</v>
      </c>
      <c r="AA43" s="69"/>
    </row>
    <row r="44" spans="1:27" ht="16.5" customHeight="1" x14ac:dyDescent="0.3">
      <c r="A44" s="2">
        <v>15</v>
      </c>
      <c r="B44" s="2" t="s">
        <v>1158</v>
      </c>
      <c r="C44" s="60" t="s">
        <v>11861</v>
      </c>
      <c r="D44" s="1"/>
      <c r="E44" s="68"/>
      <c r="F44" s="70"/>
      <c r="G44" s="1"/>
      <c r="H44" s="68"/>
      <c r="I44" s="70"/>
      <c r="J44" s="66"/>
      <c r="K44" s="57"/>
      <c r="L44" s="58"/>
      <c r="M44" s="83" t="s">
        <v>5895</v>
      </c>
      <c r="N44" s="64" t="s">
        <v>1</v>
      </c>
      <c r="O44" s="65">
        <v>1</v>
      </c>
      <c r="P44" s="99"/>
      <c r="Q44" s="70"/>
      <c r="R44" s="94" t="s">
        <v>18129</v>
      </c>
      <c r="S44" s="68"/>
      <c r="T44" s="76"/>
      <c r="U44" s="70"/>
      <c r="V44" s="67"/>
      <c r="W44" s="68"/>
      <c r="X44" s="76"/>
      <c r="Y44" s="70"/>
      <c r="Z44" s="228">
        <f>ROUND((ROUND((ROUND((ROUND((_15_同援日０．５*_15・２人),0)*(1+_15・A深夜)),0)*(1+_15・盲ろう)),0)*(1+_15・区３)),0)+ROUND((ROUND((ROUND((_15_同援日０．５＿１．０*_15・２人),0)*(1+_15・盲ろう)),0)*(1+_15・区３)),0)</f>
        <v>769</v>
      </c>
      <c r="AA44" s="69"/>
    </row>
    <row r="45" spans="1:27" ht="16.5" customHeight="1" x14ac:dyDescent="0.3">
      <c r="A45" s="2">
        <v>15</v>
      </c>
      <c r="B45" s="2" t="s">
        <v>1159</v>
      </c>
      <c r="C45" s="60" t="s">
        <v>11860</v>
      </c>
      <c r="D45" s="1"/>
      <c r="E45" s="68"/>
      <c r="F45" s="70"/>
      <c r="G45" s="1"/>
      <c r="H45" s="68"/>
      <c r="I45" s="70"/>
      <c r="J45" s="74" t="s">
        <v>18128</v>
      </c>
      <c r="K45" s="62"/>
      <c r="L45" s="63"/>
      <c r="M45" s="85"/>
      <c r="N45" s="64"/>
      <c r="O45" s="65"/>
      <c r="P45" s="99"/>
      <c r="Q45" s="70"/>
      <c r="R45" s="67"/>
      <c r="S45" s="68" t="s">
        <v>1</v>
      </c>
      <c r="T45" s="76">
        <v>0.25</v>
      </c>
      <c r="U45" s="70" t="s">
        <v>422</v>
      </c>
      <c r="V45" s="67"/>
      <c r="W45" s="68"/>
      <c r="X45" s="76"/>
      <c r="Y45" s="70"/>
      <c r="Z45" s="228">
        <f>ROUND((ROUND((ROUND((ROUND((_15_同援日０．５*_15・基礎２),0)*(1+_15・A深夜)),0)*(1+_15・盲ろう)),0)*(1+_15・区３)),0)+ROUND((ROUND((ROUND((_15_同援日０．５＿１．０*_15・基礎２),0)*(1+_15・盲ろう)),0)*(1+_15・区３)),0)</f>
        <v>692</v>
      </c>
      <c r="AA45" s="69"/>
    </row>
    <row r="46" spans="1:27" ht="16.5" customHeight="1" x14ac:dyDescent="0.3">
      <c r="A46" s="2">
        <v>15</v>
      </c>
      <c r="B46" s="2" t="s">
        <v>1160</v>
      </c>
      <c r="C46" s="60" t="s">
        <v>11859</v>
      </c>
      <c r="D46" s="1"/>
      <c r="E46" s="68"/>
      <c r="F46" s="70"/>
      <c r="G46" s="1"/>
      <c r="H46" s="68"/>
      <c r="I46" s="70"/>
      <c r="J46" s="106" t="s">
        <v>18127</v>
      </c>
      <c r="K46" s="57" t="s">
        <v>1</v>
      </c>
      <c r="L46" s="58">
        <v>0.9</v>
      </c>
      <c r="M46" s="83" t="s">
        <v>5895</v>
      </c>
      <c r="N46" s="64" t="s">
        <v>1</v>
      </c>
      <c r="O46" s="65">
        <v>1</v>
      </c>
      <c r="P46" s="99"/>
      <c r="Q46" s="70"/>
      <c r="R46" s="66"/>
      <c r="S46" s="57"/>
      <c r="T46" s="58"/>
      <c r="U46" s="77"/>
      <c r="V46" s="66"/>
      <c r="W46" s="57"/>
      <c r="X46" s="58"/>
      <c r="Y46" s="77"/>
      <c r="Z46" s="228">
        <f>ROUND((ROUND((ROUND((ROUND((ROUND((_15_同援日０．５*_15・基礎２),0)*_15・２人),0)*(1+_15・A深夜)),0)*(1+_15・盲ろう)),0)*(1+_15・区３)),0)+ROUND((ROUND((ROUND((ROUND((_15_同援日０．５＿１．０*_15・基礎２),0)*_15・２人),0)*(1+_15・盲ろう)),0)*(1+_15・区３)),0)</f>
        <v>692</v>
      </c>
      <c r="AA46" s="69"/>
    </row>
    <row r="47" spans="1:27" ht="16.5" customHeight="1" x14ac:dyDescent="0.3">
      <c r="A47" s="2">
        <v>15</v>
      </c>
      <c r="B47" s="2" t="s">
        <v>1161</v>
      </c>
      <c r="C47" s="60" t="s">
        <v>11858</v>
      </c>
      <c r="D47" s="1"/>
      <c r="E47" s="68"/>
      <c r="F47" s="70"/>
      <c r="G47" s="1"/>
      <c r="H47" s="68"/>
      <c r="I47" s="70"/>
      <c r="J47" s="61"/>
      <c r="K47" s="62"/>
      <c r="L47" s="63"/>
      <c r="M47" s="85"/>
      <c r="N47" s="64"/>
      <c r="O47" s="65"/>
      <c r="P47" s="99"/>
      <c r="Q47" s="70"/>
      <c r="R47" s="61"/>
      <c r="S47" s="62"/>
      <c r="T47" s="63"/>
      <c r="U47" s="75"/>
      <c r="V47" s="61"/>
      <c r="W47" s="62"/>
      <c r="X47" s="63"/>
      <c r="Y47" s="75"/>
      <c r="Z47" s="228">
        <f>ROUND((ROUND((_15_同援日０．５*(1+_15・A深夜)),0)*(1+_15・区４)),0)+ROUND((_15_同援日０．５＿１．０*(1+_15・区４)),0)</f>
        <v>718</v>
      </c>
      <c r="AA47" s="69"/>
    </row>
    <row r="48" spans="1:27" ht="16.5" customHeight="1" x14ac:dyDescent="0.3">
      <c r="A48" s="2">
        <v>15</v>
      </c>
      <c r="B48" s="2" t="s">
        <v>1162</v>
      </c>
      <c r="C48" s="60" t="s">
        <v>11857</v>
      </c>
      <c r="D48" s="1"/>
      <c r="E48" s="68"/>
      <c r="F48" s="70"/>
      <c r="G48" s="1"/>
      <c r="H48" s="68"/>
      <c r="I48" s="70"/>
      <c r="J48" s="66"/>
      <c r="K48" s="57"/>
      <c r="L48" s="58"/>
      <c r="M48" s="83" t="s">
        <v>5895</v>
      </c>
      <c r="N48" s="64" t="s">
        <v>1</v>
      </c>
      <c r="O48" s="65">
        <v>1</v>
      </c>
      <c r="P48" s="99"/>
      <c r="Q48" s="70"/>
      <c r="R48" s="67"/>
      <c r="S48" s="68"/>
      <c r="T48" s="76"/>
      <c r="U48" s="70"/>
      <c r="V48" s="67"/>
      <c r="W48" s="68"/>
      <c r="X48" s="76"/>
      <c r="Y48" s="70"/>
      <c r="Z48" s="228">
        <f>ROUND((ROUND((ROUND((_15_同援日０．５*_15・２人),0)*(1+_15・A深夜)),0)*(1+_15・区４)),0)+ROUND((ROUND((_15_同援日０．５＿１．０*_15・２人),0)*(1+_15・区４)),0)</f>
        <v>718</v>
      </c>
      <c r="AA48" s="69"/>
    </row>
    <row r="49" spans="1:27" ht="16.5" customHeight="1" x14ac:dyDescent="0.3">
      <c r="A49" s="2">
        <v>15</v>
      </c>
      <c r="B49" s="2" t="s">
        <v>1164</v>
      </c>
      <c r="C49" s="60" t="s">
        <v>11856</v>
      </c>
      <c r="D49" s="1"/>
      <c r="E49" s="68"/>
      <c r="F49" s="70"/>
      <c r="G49" s="1"/>
      <c r="H49" s="68"/>
      <c r="I49" s="70"/>
      <c r="J49" s="74" t="s">
        <v>18128</v>
      </c>
      <c r="K49" s="62"/>
      <c r="L49" s="63"/>
      <c r="M49" s="85"/>
      <c r="N49" s="64"/>
      <c r="O49" s="65"/>
      <c r="P49" s="99"/>
      <c r="Q49" s="70"/>
      <c r="R49" s="67"/>
      <c r="S49" s="68"/>
      <c r="T49" s="76"/>
      <c r="U49" s="70"/>
      <c r="V49" s="1" t="s">
        <v>18132</v>
      </c>
      <c r="W49" s="68"/>
      <c r="X49" s="76"/>
      <c r="Y49" s="70"/>
      <c r="Z49" s="228">
        <f>ROUND((ROUND((ROUND((_15_同援日０．５*_15・基礎２),0)*(1+_15・A深夜)),0)*(1+_15・区４)),0)+ROUND((ROUND((_15_同援日０．５＿１．０*_15・基礎２),0)*(1+_15・区４)),0)</f>
        <v>647</v>
      </c>
      <c r="AA49" s="69"/>
    </row>
    <row r="50" spans="1:27" ht="16.5" customHeight="1" x14ac:dyDescent="0.3">
      <c r="A50" s="2">
        <v>15</v>
      </c>
      <c r="B50" s="2" t="s">
        <v>1165</v>
      </c>
      <c r="C50" s="60" t="s">
        <v>11855</v>
      </c>
      <c r="D50" s="1"/>
      <c r="E50" s="68"/>
      <c r="F50" s="70"/>
      <c r="G50" s="1"/>
      <c r="H50" s="68"/>
      <c r="I50" s="70"/>
      <c r="J50" s="106" t="s">
        <v>18127</v>
      </c>
      <c r="K50" s="57" t="s">
        <v>1</v>
      </c>
      <c r="L50" s="58">
        <v>0.9</v>
      </c>
      <c r="M50" s="83" t="s">
        <v>5895</v>
      </c>
      <c r="N50" s="64" t="s">
        <v>1</v>
      </c>
      <c r="O50" s="65">
        <v>1</v>
      </c>
      <c r="P50" s="99"/>
      <c r="Q50" s="70"/>
      <c r="R50" s="66"/>
      <c r="S50" s="57"/>
      <c r="T50" s="58"/>
      <c r="U50" s="77"/>
      <c r="V50" s="1" t="s">
        <v>18131</v>
      </c>
      <c r="W50" s="68"/>
      <c r="X50" s="76"/>
      <c r="Y50" s="70"/>
      <c r="Z50" s="228">
        <f>ROUND((ROUND((ROUND((ROUND((_15_同援日０．５*_15・基礎２),0)*_15・２人),0)*(1+_15・A深夜)),0)*(1+_15・区４)),0)+ROUND((ROUND((ROUND((_15_同援日０．５＿１．０*_15・基礎２),0)*_15・２人),0)*(1+_15・区４)),0)</f>
        <v>647</v>
      </c>
      <c r="AA50" s="69"/>
    </row>
    <row r="51" spans="1:27" ht="16.5" customHeight="1" x14ac:dyDescent="0.3">
      <c r="A51" s="2">
        <v>15</v>
      </c>
      <c r="B51" s="2" t="s">
        <v>1166</v>
      </c>
      <c r="C51" s="60" t="s">
        <v>11854</v>
      </c>
      <c r="D51" s="1"/>
      <c r="E51" s="68"/>
      <c r="F51" s="70"/>
      <c r="G51" s="1"/>
      <c r="H51" s="68"/>
      <c r="I51" s="70"/>
      <c r="J51" s="61"/>
      <c r="K51" s="62"/>
      <c r="L51" s="63"/>
      <c r="M51" s="85"/>
      <c r="N51" s="64"/>
      <c r="O51" s="65"/>
      <c r="P51" s="99"/>
      <c r="Q51" s="70"/>
      <c r="R51" s="74" t="s">
        <v>18130</v>
      </c>
      <c r="S51" s="62"/>
      <c r="T51" s="63"/>
      <c r="U51" s="75"/>
      <c r="V51" s="67"/>
      <c r="W51" s="68" t="s">
        <v>1</v>
      </c>
      <c r="X51" s="76">
        <v>0.4</v>
      </c>
      <c r="Y51" s="70" t="s">
        <v>422</v>
      </c>
      <c r="Z51" s="228">
        <f>ROUND((ROUND((ROUND((_15_同援日０．５*(1+_15・A深夜)),0)*(1+_15・盲ろう)),0)*(1+_15・区４)),0)+ROUND((ROUND((_15_同援日０．５＿１．０*(1+_15・盲ろう)),0)*(1+_15・区４)),0)</f>
        <v>897</v>
      </c>
      <c r="AA51" s="69"/>
    </row>
    <row r="52" spans="1:27" ht="16.5" customHeight="1" x14ac:dyDescent="0.3">
      <c r="A52" s="2">
        <v>15</v>
      </c>
      <c r="B52" s="2" t="s">
        <v>1167</v>
      </c>
      <c r="C52" s="60" t="s">
        <v>11853</v>
      </c>
      <c r="D52" s="1"/>
      <c r="E52" s="68"/>
      <c r="F52" s="70"/>
      <c r="G52" s="1"/>
      <c r="H52" s="68"/>
      <c r="I52" s="70"/>
      <c r="J52" s="66"/>
      <c r="K52" s="57"/>
      <c r="L52" s="58"/>
      <c r="M52" s="83" t="s">
        <v>5895</v>
      </c>
      <c r="N52" s="64" t="s">
        <v>1</v>
      </c>
      <c r="O52" s="65">
        <v>1</v>
      </c>
      <c r="P52" s="99"/>
      <c r="Q52" s="70"/>
      <c r="R52" s="94" t="s">
        <v>18129</v>
      </c>
      <c r="S52" s="68"/>
      <c r="T52" s="76"/>
      <c r="U52" s="70"/>
      <c r="V52" s="67"/>
      <c r="W52" s="68"/>
      <c r="X52" s="76"/>
      <c r="Y52" s="70"/>
      <c r="Z52" s="228">
        <f>ROUND((ROUND((ROUND((ROUND((_15_同援日０．５*_15・２人),0)*(1+_15・A深夜)),0)*(1+_15・盲ろう)),0)*(1+_15・区４)),0)+ROUND((ROUND((ROUND((_15_同援日０．５＿１．０*_15・２人),0)*(1+_15・盲ろう)),0)*(1+_15・区４)),0)</f>
        <v>897</v>
      </c>
      <c r="AA52" s="69"/>
    </row>
    <row r="53" spans="1:27" ht="16.5" customHeight="1" x14ac:dyDescent="0.3">
      <c r="A53" s="2">
        <v>15</v>
      </c>
      <c r="B53" s="2" t="s">
        <v>1168</v>
      </c>
      <c r="C53" s="60" t="s">
        <v>11852</v>
      </c>
      <c r="D53" s="1"/>
      <c r="E53" s="68"/>
      <c r="F53" s="70"/>
      <c r="G53" s="1"/>
      <c r="H53" s="68"/>
      <c r="I53" s="70"/>
      <c r="J53" s="74" t="s">
        <v>18128</v>
      </c>
      <c r="K53" s="62"/>
      <c r="L53" s="63"/>
      <c r="M53" s="85"/>
      <c r="N53" s="64"/>
      <c r="O53" s="65"/>
      <c r="P53" s="99"/>
      <c r="Q53" s="70"/>
      <c r="R53" s="67"/>
      <c r="S53" s="68" t="s">
        <v>1</v>
      </c>
      <c r="T53" s="76">
        <v>0.25</v>
      </c>
      <c r="U53" s="70" t="s">
        <v>422</v>
      </c>
      <c r="V53" s="67"/>
      <c r="W53" s="68"/>
      <c r="X53" s="76"/>
      <c r="Y53" s="70"/>
      <c r="Z53" s="228">
        <f>ROUND((ROUND((ROUND((ROUND((_15_同援日０．５*_15・基礎２),0)*(1+_15・A深夜)),0)*(1+_15・盲ろう)),0)*(1+_15・区４)),0)+ROUND((ROUND((ROUND((_15_同援日０．５＿１．０*_15・基礎２),0)*(1+_15・盲ろう)),0)*(1+_15・区４)),0)</f>
        <v>807</v>
      </c>
      <c r="AA53" s="69"/>
    </row>
    <row r="54" spans="1:27" ht="16.5" customHeight="1" x14ac:dyDescent="0.3">
      <c r="A54" s="2">
        <v>15</v>
      </c>
      <c r="B54" s="2" t="s">
        <v>1169</v>
      </c>
      <c r="C54" s="60" t="s">
        <v>11851</v>
      </c>
      <c r="D54" s="1"/>
      <c r="E54" s="68"/>
      <c r="F54" s="70"/>
      <c r="G54" s="81"/>
      <c r="H54" s="57"/>
      <c r="I54" s="77"/>
      <c r="J54" s="106" t="s">
        <v>18127</v>
      </c>
      <c r="K54" s="57" t="s">
        <v>1</v>
      </c>
      <c r="L54" s="58">
        <v>0.9</v>
      </c>
      <c r="M54" s="83" t="s">
        <v>5895</v>
      </c>
      <c r="N54" s="64" t="s">
        <v>1</v>
      </c>
      <c r="O54" s="65">
        <v>1</v>
      </c>
      <c r="P54" s="99"/>
      <c r="Q54" s="70"/>
      <c r="R54" s="66"/>
      <c r="S54" s="57"/>
      <c r="T54" s="58"/>
      <c r="U54" s="77"/>
      <c r="V54" s="66"/>
      <c r="W54" s="57"/>
      <c r="X54" s="58"/>
      <c r="Y54" s="77"/>
      <c r="Z54" s="228">
        <f>ROUND((ROUND((ROUND((ROUND((ROUND((_15_同援日０．５*_15・基礎２),0)*_15・２人),0)*(1+_15・A深夜)),0)*(1+_15・盲ろう)),0)*(1+_15・区４)),0)+ROUND((ROUND((ROUND((ROUND((_15_同援日０．５＿１．０*_15・基礎２),0)*_15・２人),0)*(1+_15・盲ろう)),0)*(1+_15・区４)),0)</f>
        <v>807</v>
      </c>
      <c r="AA54" s="69"/>
    </row>
    <row r="55" spans="1:27" ht="16.5" customHeight="1" x14ac:dyDescent="0.3">
      <c r="A55" s="2">
        <v>15</v>
      </c>
      <c r="B55" s="2" t="s">
        <v>1170</v>
      </c>
      <c r="C55" s="60" t="s">
        <v>11850</v>
      </c>
      <c r="D55" s="1"/>
      <c r="E55" s="68"/>
      <c r="F55" s="70"/>
      <c r="G55" s="233" t="s">
        <v>18142</v>
      </c>
      <c r="H55" s="62"/>
      <c r="I55" s="75"/>
      <c r="J55" s="61"/>
      <c r="K55" s="62"/>
      <c r="L55" s="63"/>
      <c r="M55" s="85"/>
      <c r="N55" s="64"/>
      <c r="O55" s="65"/>
      <c r="P55" s="99"/>
      <c r="Q55" s="70"/>
      <c r="R55" s="61"/>
      <c r="S55" s="62"/>
      <c r="T55" s="63"/>
      <c r="U55" s="75"/>
      <c r="V55" s="61"/>
      <c r="W55" s="62"/>
      <c r="X55" s="63"/>
      <c r="Y55" s="75"/>
      <c r="Z55" s="228">
        <f>ROUND((_15_同援日０．５*(1+_15・A深夜)),0)+_15_同援日０．５＿１．５</f>
        <v>577</v>
      </c>
      <c r="AA55" s="69"/>
    </row>
    <row r="56" spans="1:27" ht="16.5" customHeight="1" x14ac:dyDescent="0.3">
      <c r="A56" s="2">
        <v>15</v>
      </c>
      <c r="B56" s="2" t="s">
        <v>1171</v>
      </c>
      <c r="C56" s="60" t="s">
        <v>11849</v>
      </c>
      <c r="D56" s="1"/>
      <c r="E56" s="68"/>
      <c r="F56" s="70"/>
      <c r="G56" s="1" t="s">
        <v>18141</v>
      </c>
      <c r="H56" s="68"/>
      <c r="I56" s="70"/>
      <c r="J56" s="66"/>
      <c r="K56" s="57"/>
      <c r="L56" s="58"/>
      <c r="M56" s="83" t="s">
        <v>5895</v>
      </c>
      <c r="N56" s="64" t="s">
        <v>1</v>
      </c>
      <c r="O56" s="65">
        <v>1</v>
      </c>
      <c r="P56" s="99"/>
      <c r="Q56" s="70"/>
      <c r="R56" s="67"/>
      <c r="S56" s="68"/>
      <c r="T56" s="76"/>
      <c r="U56" s="70"/>
      <c r="V56" s="67"/>
      <c r="W56" s="68"/>
      <c r="X56" s="76"/>
      <c r="Y56" s="70"/>
      <c r="Z56" s="228">
        <f>ROUND((ROUND((_15_同援日０．５*_15・２人),0)*(1+_15・A深夜)),0)+ROUND((_15_同援日０．５＿１．５*_15・２人),0)</f>
        <v>577</v>
      </c>
      <c r="AA56" s="69"/>
    </row>
    <row r="57" spans="1:27" ht="16.5" customHeight="1" x14ac:dyDescent="0.3">
      <c r="A57" s="2">
        <v>15</v>
      </c>
      <c r="B57" s="2" t="s">
        <v>1172</v>
      </c>
      <c r="C57" s="60" t="s">
        <v>11848</v>
      </c>
      <c r="D57" s="1"/>
      <c r="E57" s="68"/>
      <c r="F57" s="70"/>
      <c r="G57" s="1" t="s">
        <v>8767</v>
      </c>
      <c r="H57" s="68"/>
      <c r="I57" s="70"/>
      <c r="J57" s="74" t="s">
        <v>18128</v>
      </c>
      <c r="K57" s="62"/>
      <c r="L57" s="63"/>
      <c r="M57" s="85"/>
      <c r="N57" s="64"/>
      <c r="O57" s="65"/>
      <c r="P57" s="99"/>
      <c r="Q57" s="70"/>
      <c r="R57" s="67"/>
      <c r="S57" s="68"/>
      <c r="T57" s="76"/>
      <c r="U57" s="70"/>
      <c r="V57" s="67"/>
      <c r="W57" s="68"/>
      <c r="X57" s="76"/>
      <c r="Y57" s="70"/>
      <c r="Z57" s="228">
        <f>ROUND((ROUND((_15_同援日０．５*_15・基礎２),0)*(1+_15・A深夜)),0)+ROUND((_15_同援日０．５＿１．５*_15・基礎２),0)</f>
        <v>520</v>
      </c>
      <c r="AA57" s="69"/>
    </row>
    <row r="58" spans="1:27" ht="16.5" customHeight="1" x14ac:dyDescent="0.3">
      <c r="A58" s="2">
        <v>15</v>
      </c>
      <c r="B58" s="2" t="s">
        <v>1173</v>
      </c>
      <c r="C58" s="60" t="s">
        <v>11847</v>
      </c>
      <c r="D58" s="1"/>
      <c r="E58" s="68"/>
      <c r="F58" s="70"/>
      <c r="G58" s="1"/>
      <c r="H58" s="227">
        <v>301</v>
      </c>
      <c r="I58" s="70" t="s">
        <v>0</v>
      </c>
      <c r="J58" s="106" t="s">
        <v>18127</v>
      </c>
      <c r="K58" s="57" t="s">
        <v>1</v>
      </c>
      <c r="L58" s="58">
        <v>0.9</v>
      </c>
      <c r="M58" s="83" t="s">
        <v>5895</v>
      </c>
      <c r="N58" s="64" t="s">
        <v>1</v>
      </c>
      <c r="O58" s="65">
        <v>1</v>
      </c>
      <c r="P58" s="99"/>
      <c r="Q58" s="70"/>
      <c r="R58" s="66"/>
      <c r="S58" s="57"/>
      <c r="T58" s="58"/>
      <c r="U58" s="77"/>
      <c r="V58" s="67"/>
      <c r="W58" s="68"/>
      <c r="X58" s="76"/>
      <c r="Y58" s="70"/>
      <c r="Z58" s="228">
        <f>ROUND((ROUND((ROUND((_15_同援日０．５*_15・基礎２),0)*_15・２人),0)*(1+_15・A深夜)),0)+ROUND((ROUND((_15_同援日０．５＿１．５*_15・基礎２),0)*_15・２人),0)</f>
        <v>520</v>
      </c>
      <c r="AA58" s="69"/>
    </row>
    <row r="59" spans="1:27" ht="16.5" customHeight="1" x14ac:dyDescent="0.3">
      <c r="A59" s="2">
        <v>15</v>
      </c>
      <c r="B59" s="2" t="s">
        <v>1174</v>
      </c>
      <c r="C59" s="60" t="s">
        <v>11846</v>
      </c>
      <c r="D59" s="1"/>
      <c r="E59" s="68"/>
      <c r="F59" s="70"/>
      <c r="G59" s="1"/>
      <c r="H59" s="68"/>
      <c r="I59" s="70"/>
      <c r="J59" s="61"/>
      <c r="K59" s="62"/>
      <c r="L59" s="63"/>
      <c r="M59" s="85"/>
      <c r="N59" s="64"/>
      <c r="O59" s="65"/>
      <c r="P59" s="99"/>
      <c r="Q59" s="70"/>
      <c r="R59" s="74" t="s">
        <v>18130</v>
      </c>
      <c r="S59" s="62"/>
      <c r="T59" s="63"/>
      <c r="U59" s="75"/>
      <c r="V59" s="67"/>
      <c r="W59" s="68"/>
      <c r="X59" s="76"/>
      <c r="Y59" s="70"/>
      <c r="Z59" s="228">
        <f>ROUND((ROUND((_15_同援日０．５*(1+_15・A深夜)),0)*(1+_15・盲ろう)),0)+ROUND((_15_同援日０．５＿１．５*(1+_15・盲ろう)),0)</f>
        <v>721</v>
      </c>
      <c r="AA59" s="69"/>
    </row>
    <row r="60" spans="1:27" ht="16.5" customHeight="1" x14ac:dyDescent="0.3">
      <c r="A60" s="2">
        <v>15</v>
      </c>
      <c r="B60" s="2" t="s">
        <v>1175</v>
      </c>
      <c r="C60" s="60" t="s">
        <v>11845</v>
      </c>
      <c r="D60" s="1"/>
      <c r="E60" s="68"/>
      <c r="F60" s="70"/>
      <c r="G60" s="1"/>
      <c r="H60" s="68"/>
      <c r="I60" s="70"/>
      <c r="J60" s="66"/>
      <c r="K60" s="57"/>
      <c r="L60" s="58"/>
      <c r="M60" s="83" t="s">
        <v>5895</v>
      </c>
      <c r="N60" s="64" t="s">
        <v>1</v>
      </c>
      <c r="O60" s="65">
        <v>1</v>
      </c>
      <c r="P60" s="99"/>
      <c r="Q60" s="70"/>
      <c r="R60" s="94" t="s">
        <v>18129</v>
      </c>
      <c r="S60" s="68"/>
      <c r="T60" s="76"/>
      <c r="U60" s="70"/>
      <c r="V60" s="67"/>
      <c r="W60" s="68"/>
      <c r="X60" s="76"/>
      <c r="Y60" s="70"/>
      <c r="Z60" s="228">
        <f>ROUND((ROUND((ROUND((_15_同援日０．５*_15・２人),0)*(1+_15・A深夜)),0)*(1+_15・盲ろう)),0)+ROUND((ROUND((_15_同援日０．５＿１．５*_15・２人),0)*(1+_15・盲ろう)),0)</f>
        <v>721</v>
      </c>
      <c r="AA60" s="69"/>
    </row>
    <row r="61" spans="1:27" ht="16.5" customHeight="1" x14ac:dyDescent="0.3">
      <c r="A61" s="2">
        <v>15</v>
      </c>
      <c r="B61" s="2" t="s">
        <v>1176</v>
      </c>
      <c r="C61" s="60" t="s">
        <v>11844</v>
      </c>
      <c r="D61" s="1"/>
      <c r="E61" s="68"/>
      <c r="F61" s="70"/>
      <c r="G61" s="1"/>
      <c r="H61" s="68"/>
      <c r="I61" s="70"/>
      <c r="J61" s="74" t="s">
        <v>18128</v>
      </c>
      <c r="K61" s="62"/>
      <c r="L61" s="63"/>
      <c r="M61" s="85"/>
      <c r="N61" s="64"/>
      <c r="O61" s="65"/>
      <c r="P61" s="99"/>
      <c r="Q61" s="70"/>
      <c r="R61" s="67"/>
      <c r="S61" s="68" t="s">
        <v>1</v>
      </c>
      <c r="T61" s="76">
        <v>0.25</v>
      </c>
      <c r="U61" s="70" t="s">
        <v>422</v>
      </c>
      <c r="V61" s="67"/>
      <c r="W61" s="68"/>
      <c r="X61" s="76"/>
      <c r="Y61" s="70"/>
      <c r="Z61" s="228">
        <f>ROUND((ROUND((ROUND((_15_同援日０．５*_15・基礎２),0)*(1+_15・A深夜)),0)*(1+_15・盲ろう)),0)+ROUND((ROUND((_15_同援日０．５＿１．５*_15・基礎２),0)*(1+_15・盲ろう)),0)</f>
        <v>650</v>
      </c>
      <c r="AA61" s="69"/>
    </row>
    <row r="62" spans="1:27" ht="16.5" customHeight="1" x14ac:dyDescent="0.3">
      <c r="A62" s="2">
        <v>15</v>
      </c>
      <c r="B62" s="2" t="s">
        <v>1177</v>
      </c>
      <c r="C62" s="60" t="s">
        <v>11843</v>
      </c>
      <c r="D62" s="1"/>
      <c r="E62" s="68"/>
      <c r="F62" s="70"/>
      <c r="G62" s="1"/>
      <c r="H62" s="68"/>
      <c r="I62" s="70"/>
      <c r="J62" s="106" t="s">
        <v>18127</v>
      </c>
      <c r="K62" s="57" t="s">
        <v>1</v>
      </c>
      <c r="L62" s="58">
        <v>0.9</v>
      </c>
      <c r="M62" s="83" t="s">
        <v>5895</v>
      </c>
      <c r="N62" s="64" t="s">
        <v>1</v>
      </c>
      <c r="O62" s="65">
        <v>1</v>
      </c>
      <c r="P62" s="99"/>
      <c r="Q62" s="70"/>
      <c r="R62" s="66"/>
      <c r="S62" s="57"/>
      <c r="T62" s="58"/>
      <c r="U62" s="77"/>
      <c r="V62" s="66"/>
      <c r="W62" s="57"/>
      <c r="X62" s="58"/>
      <c r="Y62" s="77"/>
      <c r="Z62" s="228">
        <f>ROUND((ROUND((ROUND((ROUND((_15_同援日０．５*_15・基礎２),0)*_15・２人),0)*(1+_15・A深夜)),0)*(1+_15・盲ろう)),0)+ROUND((ROUND((ROUND((_15_同援日０．５＿１．５*_15・基礎２),0)*_15・２人),0)*(1+_15・盲ろう)),0)</f>
        <v>650</v>
      </c>
      <c r="AA62" s="69"/>
    </row>
    <row r="63" spans="1:27" ht="16.5" customHeight="1" x14ac:dyDescent="0.3">
      <c r="A63" s="2">
        <v>15</v>
      </c>
      <c r="B63" s="2" t="s">
        <v>1178</v>
      </c>
      <c r="C63" s="60" t="s">
        <v>11842</v>
      </c>
      <c r="D63" s="1"/>
      <c r="E63" s="68"/>
      <c r="F63" s="70"/>
      <c r="G63" s="1"/>
      <c r="H63" s="68"/>
      <c r="I63" s="70"/>
      <c r="J63" s="61"/>
      <c r="K63" s="62"/>
      <c r="L63" s="63"/>
      <c r="M63" s="85"/>
      <c r="N63" s="64"/>
      <c r="O63" s="65"/>
      <c r="P63" s="99"/>
      <c r="Q63" s="70"/>
      <c r="R63" s="61"/>
      <c r="S63" s="62"/>
      <c r="T63" s="63"/>
      <c r="U63" s="75"/>
      <c r="V63" s="61"/>
      <c r="W63" s="62"/>
      <c r="X63" s="63"/>
      <c r="Y63" s="75"/>
      <c r="Z63" s="228">
        <f>ROUND((ROUND((_15_同援日０．５*(1+_15・A深夜)),0)*(1+_15・区３)),0)+ROUND((_15_同援日０．５＿１．５*(1+_15・区３)),0)</f>
        <v>692</v>
      </c>
      <c r="AA63" s="69"/>
    </row>
    <row r="64" spans="1:27" ht="16.5" customHeight="1" x14ac:dyDescent="0.3">
      <c r="A64" s="2">
        <v>15</v>
      </c>
      <c r="B64" s="2" t="s">
        <v>1179</v>
      </c>
      <c r="C64" s="60" t="s">
        <v>11841</v>
      </c>
      <c r="D64" s="1"/>
      <c r="E64" s="68"/>
      <c r="F64" s="70"/>
      <c r="G64" s="1"/>
      <c r="H64" s="68"/>
      <c r="I64" s="70"/>
      <c r="J64" s="66"/>
      <c r="K64" s="57"/>
      <c r="L64" s="58"/>
      <c r="M64" s="83" t="s">
        <v>5895</v>
      </c>
      <c r="N64" s="64" t="s">
        <v>1</v>
      </c>
      <c r="O64" s="65">
        <v>1</v>
      </c>
      <c r="P64" s="99"/>
      <c r="Q64" s="70"/>
      <c r="R64" s="67"/>
      <c r="S64" s="68"/>
      <c r="T64" s="76"/>
      <c r="U64" s="70"/>
      <c r="V64" s="67"/>
      <c r="W64" s="68"/>
      <c r="X64" s="76"/>
      <c r="Y64" s="70"/>
      <c r="Z64" s="228">
        <f>ROUND((ROUND((ROUND((_15_同援日０．５*_15・２人),0)*(1+_15・A深夜)),0)*(1+_15・区３)),0)+ROUND((ROUND((_15_同援日０．５＿１．５*_15・２人),0)*(1+_15・区３)),0)</f>
        <v>692</v>
      </c>
      <c r="AA64" s="69"/>
    </row>
    <row r="65" spans="1:27" ht="16.5" customHeight="1" x14ac:dyDescent="0.3">
      <c r="A65" s="2">
        <v>15</v>
      </c>
      <c r="B65" s="2" t="s">
        <v>1180</v>
      </c>
      <c r="C65" s="60" t="s">
        <v>11840</v>
      </c>
      <c r="D65" s="1"/>
      <c r="E65" s="68"/>
      <c r="F65" s="70"/>
      <c r="G65" s="1"/>
      <c r="H65" s="68"/>
      <c r="I65" s="70"/>
      <c r="J65" s="74" t="s">
        <v>18128</v>
      </c>
      <c r="K65" s="62"/>
      <c r="L65" s="63"/>
      <c r="M65" s="85"/>
      <c r="N65" s="64"/>
      <c r="O65" s="65"/>
      <c r="P65" s="99"/>
      <c r="Q65" s="70"/>
      <c r="R65" s="67"/>
      <c r="S65" s="68"/>
      <c r="T65" s="76"/>
      <c r="U65" s="70"/>
      <c r="V65" s="1" t="s">
        <v>18133</v>
      </c>
      <c r="W65" s="68"/>
      <c r="X65" s="76"/>
      <c r="Y65" s="70"/>
      <c r="Z65" s="228">
        <f>ROUND((ROUND((ROUND((_15_同援日０．５*_15・基礎２),0)*(1+_15・A深夜)),0)*(1+_15・区３)),0)+ROUND((ROUND((_15_同援日０．５＿１．５*_15・基礎２),0)*(1+_15・区３)),0)</f>
        <v>624</v>
      </c>
      <c r="AA65" s="69"/>
    </row>
    <row r="66" spans="1:27" ht="16.5" customHeight="1" x14ac:dyDescent="0.3">
      <c r="A66" s="2">
        <v>15</v>
      </c>
      <c r="B66" s="2" t="s">
        <v>1181</v>
      </c>
      <c r="C66" s="60" t="s">
        <v>11839</v>
      </c>
      <c r="D66" s="1"/>
      <c r="E66" s="68"/>
      <c r="F66" s="70"/>
      <c r="G66" s="1"/>
      <c r="H66" s="68"/>
      <c r="I66" s="70"/>
      <c r="J66" s="106" t="s">
        <v>18127</v>
      </c>
      <c r="K66" s="57" t="s">
        <v>1</v>
      </c>
      <c r="L66" s="58">
        <v>0.9</v>
      </c>
      <c r="M66" s="83" t="s">
        <v>5895</v>
      </c>
      <c r="N66" s="64" t="s">
        <v>1</v>
      </c>
      <c r="O66" s="65">
        <v>1</v>
      </c>
      <c r="P66" s="99"/>
      <c r="Q66" s="70"/>
      <c r="R66" s="66"/>
      <c r="S66" s="57"/>
      <c r="T66" s="58"/>
      <c r="U66" s="77"/>
      <c r="V66" s="1" t="s">
        <v>18131</v>
      </c>
      <c r="W66" s="68"/>
      <c r="X66" s="76"/>
      <c r="Y66" s="70"/>
      <c r="Z66" s="228">
        <f>ROUND((ROUND((ROUND((ROUND((_15_同援日０．５*_15・基礎２),0)*_15・２人),0)*(1+_15・A深夜)),0)*(1+_15・区３)),0)+ROUND((ROUND((ROUND((_15_同援日０．５＿１．５*_15・基礎２),0)*_15・２人),0)*(1+_15・区３)),0)</f>
        <v>624</v>
      </c>
      <c r="AA66" s="69"/>
    </row>
    <row r="67" spans="1:27" ht="16.5" customHeight="1" x14ac:dyDescent="0.3">
      <c r="A67" s="2">
        <v>15</v>
      </c>
      <c r="B67" s="2" t="s">
        <v>1182</v>
      </c>
      <c r="C67" s="60" t="s">
        <v>11838</v>
      </c>
      <c r="D67" s="1"/>
      <c r="E67" s="68"/>
      <c r="F67" s="70"/>
      <c r="G67" s="1"/>
      <c r="H67" s="68"/>
      <c r="I67" s="70"/>
      <c r="J67" s="61"/>
      <c r="K67" s="62"/>
      <c r="L67" s="63"/>
      <c r="M67" s="85"/>
      <c r="N67" s="64"/>
      <c r="O67" s="65"/>
      <c r="P67" s="99"/>
      <c r="Q67" s="70"/>
      <c r="R67" s="74" t="s">
        <v>18130</v>
      </c>
      <c r="S67" s="62"/>
      <c r="T67" s="63"/>
      <c r="U67" s="75"/>
      <c r="V67" s="67"/>
      <c r="W67" s="68" t="s">
        <v>1</v>
      </c>
      <c r="X67" s="76">
        <v>0.2</v>
      </c>
      <c r="Y67" s="70" t="s">
        <v>422</v>
      </c>
      <c r="Z67" s="228">
        <f>ROUND((ROUND((ROUND((_15_同援日０．５*(1+_15・A深夜)),0)*(1+_15・盲ろう)),0)*(1+_15・区３)),0)+ROUND((ROUND((_15_同援日０．５＿１．５*(1+_15・盲ろう)),0)*(1+_15・区３)),0)</f>
        <v>865</v>
      </c>
      <c r="AA67" s="69"/>
    </row>
    <row r="68" spans="1:27" ht="16.5" customHeight="1" x14ac:dyDescent="0.3">
      <c r="A68" s="2">
        <v>15</v>
      </c>
      <c r="B68" s="2" t="s">
        <v>1183</v>
      </c>
      <c r="C68" s="60" t="s">
        <v>11837</v>
      </c>
      <c r="D68" s="1"/>
      <c r="E68" s="68"/>
      <c r="F68" s="70"/>
      <c r="G68" s="1"/>
      <c r="H68" s="68"/>
      <c r="I68" s="70"/>
      <c r="J68" s="66"/>
      <c r="K68" s="57"/>
      <c r="L68" s="58"/>
      <c r="M68" s="83" t="s">
        <v>5895</v>
      </c>
      <c r="N68" s="64" t="s">
        <v>1</v>
      </c>
      <c r="O68" s="65">
        <v>1</v>
      </c>
      <c r="P68" s="99"/>
      <c r="Q68" s="70"/>
      <c r="R68" s="94" t="s">
        <v>18129</v>
      </c>
      <c r="S68" s="68"/>
      <c r="T68" s="76"/>
      <c r="U68" s="70"/>
      <c r="V68" s="67"/>
      <c r="W68" s="68"/>
      <c r="X68" s="76"/>
      <c r="Y68" s="70"/>
      <c r="Z68" s="228">
        <f>ROUND((ROUND((ROUND((ROUND((_15_同援日０．５*_15・２人),0)*(1+_15・A深夜)),0)*(1+_15・盲ろう)),0)*(1+_15・区３)),0)+ROUND((ROUND((ROUND((_15_同援日０．５＿１．５*_15・２人),0)*(1+_15・盲ろう)),0)*(1+_15・区３)),0)</f>
        <v>865</v>
      </c>
      <c r="AA68" s="69"/>
    </row>
    <row r="69" spans="1:27" ht="16.5" customHeight="1" x14ac:dyDescent="0.3">
      <c r="A69" s="2">
        <v>15</v>
      </c>
      <c r="B69" s="2" t="s">
        <v>1184</v>
      </c>
      <c r="C69" s="60" t="s">
        <v>11836</v>
      </c>
      <c r="D69" s="1"/>
      <c r="E69" s="68"/>
      <c r="F69" s="70"/>
      <c r="G69" s="1"/>
      <c r="H69" s="68"/>
      <c r="I69" s="70"/>
      <c r="J69" s="74" t="s">
        <v>18128</v>
      </c>
      <c r="K69" s="62"/>
      <c r="L69" s="63"/>
      <c r="M69" s="85"/>
      <c r="N69" s="64"/>
      <c r="O69" s="65"/>
      <c r="P69" s="99"/>
      <c r="Q69" s="70"/>
      <c r="R69" s="67"/>
      <c r="S69" s="68" t="s">
        <v>1</v>
      </c>
      <c r="T69" s="76">
        <v>0.25</v>
      </c>
      <c r="U69" s="70" t="s">
        <v>422</v>
      </c>
      <c r="V69" s="67"/>
      <c r="W69" s="68"/>
      <c r="X69" s="76"/>
      <c r="Y69" s="70"/>
      <c r="Z69" s="228">
        <f>ROUND((ROUND((ROUND((ROUND((_15_同援日０．５*_15・基礎２),0)*(1+_15・A深夜)),0)*(1+_15・盲ろう)),0)*(1+_15・区３)),0)+ROUND((ROUND((ROUND((_15_同援日０．５＿１．５*_15・基礎２),0)*(1+_15・盲ろう)),0)*(1+_15・区３)),0)</f>
        <v>780</v>
      </c>
      <c r="AA69" s="69"/>
    </row>
    <row r="70" spans="1:27" ht="16.5" customHeight="1" x14ac:dyDescent="0.3">
      <c r="A70" s="2">
        <v>15</v>
      </c>
      <c r="B70" s="2" t="s">
        <v>1185</v>
      </c>
      <c r="C70" s="60" t="s">
        <v>11835</v>
      </c>
      <c r="D70" s="1"/>
      <c r="E70" s="68"/>
      <c r="F70" s="70"/>
      <c r="G70" s="1"/>
      <c r="H70" s="68"/>
      <c r="I70" s="70"/>
      <c r="J70" s="106" t="s">
        <v>18127</v>
      </c>
      <c r="K70" s="57" t="s">
        <v>1</v>
      </c>
      <c r="L70" s="58">
        <v>0.9</v>
      </c>
      <c r="M70" s="83" t="s">
        <v>5895</v>
      </c>
      <c r="N70" s="64" t="s">
        <v>1</v>
      </c>
      <c r="O70" s="65">
        <v>1</v>
      </c>
      <c r="P70" s="99"/>
      <c r="Q70" s="70"/>
      <c r="R70" s="66"/>
      <c r="S70" s="57"/>
      <c r="T70" s="58"/>
      <c r="U70" s="77"/>
      <c r="V70" s="66"/>
      <c r="W70" s="57"/>
      <c r="X70" s="58"/>
      <c r="Y70" s="77"/>
      <c r="Z70" s="228">
        <f>ROUND((ROUND((ROUND((ROUND((ROUND((_15_同援日０．５*_15・基礎２),0)*_15・２人),0)*(1+_15・A深夜)),0)*(1+_15・盲ろう)),0)*(1+_15・区３)),0)+ROUND((ROUND((ROUND((ROUND((_15_同援日０．５＿１．５*_15・基礎２),0)*_15・２人),0)*(1+_15・盲ろう)),0)*(1+_15・区３)),0)</f>
        <v>780</v>
      </c>
      <c r="AA70" s="69"/>
    </row>
    <row r="71" spans="1:27" ht="16.5" customHeight="1" x14ac:dyDescent="0.3">
      <c r="A71" s="2">
        <v>15</v>
      </c>
      <c r="B71" s="2" t="s">
        <v>1186</v>
      </c>
      <c r="C71" s="60" t="s">
        <v>11834</v>
      </c>
      <c r="D71" s="1"/>
      <c r="E71" s="68"/>
      <c r="F71" s="70"/>
      <c r="G71" s="1"/>
      <c r="H71" s="68"/>
      <c r="I71" s="70"/>
      <c r="J71" s="61"/>
      <c r="K71" s="62"/>
      <c r="L71" s="63"/>
      <c r="M71" s="85"/>
      <c r="N71" s="64"/>
      <c r="O71" s="65"/>
      <c r="P71" s="99"/>
      <c r="Q71" s="70"/>
      <c r="R71" s="61"/>
      <c r="S71" s="62"/>
      <c r="T71" s="63"/>
      <c r="U71" s="75"/>
      <c r="V71" s="61"/>
      <c r="W71" s="62"/>
      <c r="X71" s="63"/>
      <c r="Y71" s="75"/>
      <c r="Z71" s="228">
        <f>ROUND((ROUND((_15_同援日０．５*(1+_15・A深夜)),0)*(1+_15・区４)),0)+ROUND((_15_同援日０．５＿１．５*(1+_15・区４)),0)</f>
        <v>807</v>
      </c>
      <c r="AA71" s="69"/>
    </row>
    <row r="72" spans="1:27" ht="16.5" customHeight="1" x14ac:dyDescent="0.3">
      <c r="A72" s="2">
        <v>15</v>
      </c>
      <c r="B72" s="2" t="s">
        <v>1187</v>
      </c>
      <c r="C72" s="60" t="s">
        <v>11833</v>
      </c>
      <c r="D72" s="1"/>
      <c r="E72" s="68"/>
      <c r="F72" s="70"/>
      <c r="G72" s="1"/>
      <c r="H72" s="68"/>
      <c r="I72" s="70"/>
      <c r="J72" s="66"/>
      <c r="K72" s="57"/>
      <c r="L72" s="58"/>
      <c r="M72" s="83" t="s">
        <v>5895</v>
      </c>
      <c r="N72" s="64" t="s">
        <v>1</v>
      </c>
      <c r="O72" s="65">
        <v>1</v>
      </c>
      <c r="P72" s="99"/>
      <c r="Q72" s="70"/>
      <c r="R72" s="67"/>
      <c r="S72" s="68"/>
      <c r="T72" s="76"/>
      <c r="U72" s="70"/>
      <c r="V72" s="67"/>
      <c r="W72" s="68"/>
      <c r="X72" s="76"/>
      <c r="Y72" s="70"/>
      <c r="Z72" s="228">
        <f>ROUND((ROUND((ROUND((_15_同援日０．５*_15・２人),0)*(1+_15・A深夜)),0)*(1+_15・区４)),0)+ROUND((ROUND((_15_同援日０．５＿１．５*_15・２人),0)*(1+_15・区４)),0)</f>
        <v>807</v>
      </c>
      <c r="AA72" s="69"/>
    </row>
    <row r="73" spans="1:27" ht="16.5" customHeight="1" x14ac:dyDescent="0.3">
      <c r="A73" s="2">
        <v>15</v>
      </c>
      <c r="B73" s="2" t="s">
        <v>1188</v>
      </c>
      <c r="C73" s="60" t="s">
        <v>11832</v>
      </c>
      <c r="D73" s="1"/>
      <c r="E73" s="68"/>
      <c r="F73" s="70"/>
      <c r="G73" s="1"/>
      <c r="H73" s="68"/>
      <c r="I73" s="70"/>
      <c r="J73" s="74" t="s">
        <v>18128</v>
      </c>
      <c r="K73" s="62"/>
      <c r="L73" s="63"/>
      <c r="M73" s="85"/>
      <c r="N73" s="64"/>
      <c r="O73" s="65"/>
      <c r="P73" s="99"/>
      <c r="Q73" s="70"/>
      <c r="R73" s="67"/>
      <c r="S73" s="68"/>
      <c r="T73" s="76"/>
      <c r="U73" s="70"/>
      <c r="V73" s="1" t="s">
        <v>18132</v>
      </c>
      <c r="W73" s="68"/>
      <c r="X73" s="76"/>
      <c r="Y73" s="70"/>
      <c r="Z73" s="228">
        <f>ROUND((ROUND((ROUND((_15_同援日０．５*_15・基礎２),0)*(1+_15・A深夜)),0)*(1+_15・区４)),0)+ROUND((ROUND((_15_同援日０．５＿１．５*_15・基礎２),0)*(1+_15・区４)),0)</f>
        <v>728</v>
      </c>
      <c r="AA73" s="69"/>
    </row>
    <row r="74" spans="1:27" ht="16.5" customHeight="1" x14ac:dyDescent="0.3">
      <c r="A74" s="2">
        <v>15</v>
      </c>
      <c r="B74" s="2" t="s">
        <v>1189</v>
      </c>
      <c r="C74" s="60" t="s">
        <v>11831</v>
      </c>
      <c r="D74" s="1"/>
      <c r="E74" s="68"/>
      <c r="F74" s="70"/>
      <c r="G74" s="1"/>
      <c r="H74" s="68"/>
      <c r="I74" s="70"/>
      <c r="J74" s="106" t="s">
        <v>18127</v>
      </c>
      <c r="K74" s="57" t="s">
        <v>1</v>
      </c>
      <c r="L74" s="58">
        <v>0.9</v>
      </c>
      <c r="M74" s="83" t="s">
        <v>5895</v>
      </c>
      <c r="N74" s="64" t="s">
        <v>1</v>
      </c>
      <c r="O74" s="65">
        <v>1</v>
      </c>
      <c r="P74" s="99"/>
      <c r="Q74" s="70"/>
      <c r="R74" s="66"/>
      <c r="S74" s="57"/>
      <c r="T74" s="58"/>
      <c r="U74" s="77"/>
      <c r="V74" s="1" t="s">
        <v>18131</v>
      </c>
      <c r="W74" s="68"/>
      <c r="X74" s="76"/>
      <c r="Y74" s="70"/>
      <c r="Z74" s="228">
        <f>ROUND((ROUND((ROUND((ROUND((_15_同援日０．５*_15・基礎２),0)*_15・２人),0)*(1+_15・A深夜)),0)*(1+_15・区４)),0)+ROUND((ROUND((ROUND((_15_同援日０．５＿１．５*_15・基礎２),0)*_15・２人),0)*(1+_15・区４)),0)</f>
        <v>728</v>
      </c>
      <c r="AA74" s="69"/>
    </row>
    <row r="75" spans="1:27" ht="16.5" customHeight="1" x14ac:dyDescent="0.3">
      <c r="A75" s="2">
        <v>15</v>
      </c>
      <c r="B75" s="2" t="s">
        <v>1190</v>
      </c>
      <c r="C75" s="60" t="s">
        <v>11830</v>
      </c>
      <c r="D75" s="1"/>
      <c r="E75" s="68"/>
      <c r="F75" s="70"/>
      <c r="G75" s="1"/>
      <c r="H75" s="68"/>
      <c r="I75" s="70"/>
      <c r="J75" s="61"/>
      <c r="K75" s="62"/>
      <c r="L75" s="63"/>
      <c r="M75" s="85"/>
      <c r="N75" s="64"/>
      <c r="O75" s="65"/>
      <c r="P75" s="99"/>
      <c r="Q75" s="70"/>
      <c r="R75" s="74" t="s">
        <v>18130</v>
      </c>
      <c r="S75" s="62"/>
      <c r="T75" s="63"/>
      <c r="U75" s="75"/>
      <c r="V75" s="67"/>
      <c r="W75" s="68" t="s">
        <v>1</v>
      </c>
      <c r="X75" s="76">
        <v>0.4</v>
      </c>
      <c r="Y75" s="70" t="s">
        <v>422</v>
      </c>
      <c r="Z75" s="228">
        <f>ROUND((ROUND((ROUND((_15_同援日０．５*(1+_15・A深夜)),0)*(1+_15・盲ろう)),0)*(1+_15・区４)),0)+ROUND((ROUND((_15_同援日０．５＿１．５*(1+_15・盲ろう)),0)*(1+_15・区４)),0)</f>
        <v>1009</v>
      </c>
      <c r="AA75" s="69"/>
    </row>
    <row r="76" spans="1:27" ht="16.5" customHeight="1" x14ac:dyDescent="0.3">
      <c r="A76" s="2">
        <v>15</v>
      </c>
      <c r="B76" s="2" t="s">
        <v>1191</v>
      </c>
      <c r="C76" s="60" t="s">
        <v>11829</v>
      </c>
      <c r="D76" s="1"/>
      <c r="E76" s="68"/>
      <c r="F76" s="70"/>
      <c r="G76" s="1"/>
      <c r="H76" s="68"/>
      <c r="I76" s="70"/>
      <c r="J76" s="66"/>
      <c r="K76" s="57"/>
      <c r="L76" s="58"/>
      <c r="M76" s="83" t="s">
        <v>5895</v>
      </c>
      <c r="N76" s="64" t="s">
        <v>1</v>
      </c>
      <c r="O76" s="65">
        <v>1</v>
      </c>
      <c r="P76" s="99"/>
      <c r="Q76" s="70"/>
      <c r="R76" s="94" t="s">
        <v>8083</v>
      </c>
      <c r="S76" s="68"/>
      <c r="T76" s="76"/>
      <c r="U76" s="70"/>
      <c r="V76" s="67"/>
      <c r="W76" s="68"/>
      <c r="X76" s="76"/>
      <c r="Y76" s="70"/>
      <c r="Z76" s="228">
        <f>ROUND((ROUND((ROUND((ROUND((_15_同援日０．５*_15・２人),0)*(1+_15・A深夜)),0)*(1+_15・盲ろう)),0)*(1+_15・区４)),0)+ROUND((ROUND((ROUND((_15_同援日０．５＿１．５*_15・２人),0)*(1+_15・盲ろう)),0)*(1+_15・区４)),0)</f>
        <v>1009</v>
      </c>
      <c r="AA76" s="69"/>
    </row>
    <row r="77" spans="1:27" ht="16.5" customHeight="1" x14ac:dyDescent="0.3">
      <c r="A77" s="2">
        <v>15</v>
      </c>
      <c r="B77" s="2" t="s">
        <v>1192</v>
      </c>
      <c r="C77" s="60" t="s">
        <v>11828</v>
      </c>
      <c r="D77" s="1"/>
      <c r="E77" s="68"/>
      <c r="F77" s="70"/>
      <c r="G77" s="1"/>
      <c r="H77" s="68"/>
      <c r="I77" s="70"/>
      <c r="J77" s="74" t="s">
        <v>18128</v>
      </c>
      <c r="K77" s="62"/>
      <c r="L77" s="63"/>
      <c r="M77" s="85"/>
      <c r="N77" s="64"/>
      <c r="O77" s="65"/>
      <c r="P77" s="99"/>
      <c r="Q77" s="70"/>
      <c r="R77" s="67"/>
      <c r="S77" s="68" t="s">
        <v>1</v>
      </c>
      <c r="T77" s="76">
        <v>0.25</v>
      </c>
      <c r="U77" s="70" t="s">
        <v>422</v>
      </c>
      <c r="V77" s="67"/>
      <c r="W77" s="68"/>
      <c r="X77" s="76"/>
      <c r="Y77" s="70"/>
      <c r="Z77" s="228">
        <f>ROUND((ROUND((ROUND((ROUND((_15_同援日０．５*_15・基礎２),0)*(1+_15・A深夜)),0)*(1+_15・盲ろう)),0)*(1+_15・区４)),0)+ROUND((ROUND((ROUND((_15_同援日０．５＿１．５*_15・基礎２),0)*(1+_15・盲ろう)),0)*(1+_15・区４)),0)</f>
        <v>910</v>
      </c>
      <c r="AA77" s="69"/>
    </row>
    <row r="78" spans="1:27" ht="16.5" customHeight="1" x14ac:dyDescent="0.3">
      <c r="A78" s="2">
        <v>15</v>
      </c>
      <c r="B78" s="2" t="s">
        <v>1193</v>
      </c>
      <c r="C78" s="60" t="s">
        <v>11827</v>
      </c>
      <c r="D78" s="1"/>
      <c r="E78" s="68"/>
      <c r="F78" s="70"/>
      <c r="G78" s="81"/>
      <c r="H78" s="57"/>
      <c r="I78" s="77"/>
      <c r="J78" s="106" t="s">
        <v>18127</v>
      </c>
      <c r="K78" s="57" t="s">
        <v>1</v>
      </c>
      <c r="L78" s="58">
        <v>0.9</v>
      </c>
      <c r="M78" s="83" t="s">
        <v>5895</v>
      </c>
      <c r="N78" s="64" t="s">
        <v>1</v>
      </c>
      <c r="O78" s="65">
        <v>1</v>
      </c>
      <c r="P78" s="99"/>
      <c r="Q78" s="70"/>
      <c r="R78" s="66"/>
      <c r="S78" s="57"/>
      <c r="T78" s="58"/>
      <c r="U78" s="77"/>
      <c r="V78" s="66"/>
      <c r="W78" s="57"/>
      <c r="X78" s="58"/>
      <c r="Y78" s="77"/>
      <c r="Z78" s="228">
        <f>ROUND((ROUND((ROUND((ROUND((ROUND((_15_同援日０．５*_15・基礎２),0)*_15・２人),0)*(1+_15・A深夜)),0)*(1+_15・盲ろう)),0)*(1+_15・区４)),0)+ROUND((ROUND((ROUND((ROUND((_15_同援日０．５＿１．５*_15・基礎２),0)*_15・２人),0)*(1+_15・盲ろう)),0)*(1+_15・区４)),0)</f>
        <v>910</v>
      </c>
      <c r="AA78" s="69"/>
    </row>
    <row r="79" spans="1:27" ht="16.5" customHeight="1" x14ac:dyDescent="0.3">
      <c r="A79" s="2">
        <v>15</v>
      </c>
      <c r="B79" s="2" t="s">
        <v>1194</v>
      </c>
      <c r="C79" s="60" t="s">
        <v>11826</v>
      </c>
      <c r="D79" s="1"/>
      <c r="E79" s="68"/>
      <c r="F79" s="70"/>
      <c r="G79" s="233" t="s">
        <v>18144</v>
      </c>
      <c r="H79" s="62"/>
      <c r="I79" s="75"/>
      <c r="J79" s="61"/>
      <c r="K79" s="62"/>
      <c r="L79" s="63"/>
      <c r="M79" s="85"/>
      <c r="N79" s="64"/>
      <c r="O79" s="65"/>
      <c r="P79" s="99"/>
      <c r="Q79" s="70"/>
      <c r="R79" s="61"/>
      <c r="S79" s="62"/>
      <c r="T79" s="63"/>
      <c r="U79" s="75"/>
      <c r="V79" s="61"/>
      <c r="W79" s="62"/>
      <c r="X79" s="63"/>
      <c r="Y79" s="75"/>
      <c r="Z79" s="228">
        <f>ROUND((_15_同援日０．５*(1+_15・A深夜)),0)+_15_同援日０．５＿２．０</f>
        <v>640</v>
      </c>
      <c r="AA79" s="69"/>
    </row>
    <row r="80" spans="1:27" ht="16.5" customHeight="1" x14ac:dyDescent="0.3">
      <c r="A80" s="2">
        <v>15</v>
      </c>
      <c r="B80" s="2" t="s">
        <v>1195</v>
      </c>
      <c r="C80" s="60" t="s">
        <v>11825</v>
      </c>
      <c r="D80" s="1"/>
      <c r="E80" s="68"/>
      <c r="F80" s="70"/>
      <c r="G80" s="1" t="s">
        <v>18139</v>
      </c>
      <c r="H80" s="68"/>
      <c r="I80" s="70"/>
      <c r="J80" s="66"/>
      <c r="K80" s="57"/>
      <c r="L80" s="58"/>
      <c r="M80" s="83" t="s">
        <v>5895</v>
      </c>
      <c r="N80" s="64" t="s">
        <v>1</v>
      </c>
      <c r="O80" s="65">
        <v>1</v>
      </c>
      <c r="P80" s="99"/>
      <c r="Q80" s="70"/>
      <c r="R80" s="67"/>
      <c r="S80" s="68"/>
      <c r="T80" s="76"/>
      <c r="U80" s="70"/>
      <c r="V80" s="67"/>
      <c r="W80" s="68"/>
      <c r="X80" s="76"/>
      <c r="Y80" s="70"/>
      <c r="Z80" s="228">
        <f>ROUND((ROUND((_15_同援日０．５*_15・２人),0)*(1+_15・A深夜)),0)+ROUND((_15_同援日０．５＿２．０*_15・２人),0)</f>
        <v>640</v>
      </c>
      <c r="AA80" s="69"/>
    </row>
    <row r="81" spans="1:27" ht="16.5" customHeight="1" x14ac:dyDescent="0.3">
      <c r="A81" s="2">
        <v>15</v>
      </c>
      <c r="B81" s="2" t="s">
        <v>1196</v>
      </c>
      <c r="C81" s="60" t="s">
        <v>11824</v>
      </c>
      <c r="D81" s="1"/>
      <c r="E81" s="68"/>
      <c r="F81" s="70"/>
      <c r="G81" s="1" t="s">
        <v>6448</v>
      </c>
      <c r="H81" s="68"/>
      <c r="I81" s="70"/>
      <c r="J81" s="74" t="s">
        <v>18128</v>
      </c>
      <c r="K81" s="62"/>
      <c r="L81" s="63"/>
      <c r="M81" s="85"/>
      <c r="N81" s="64"/>
      <c r="O81" s="65"/>
      <c r="P81" s="99"/>
      <c r="Q81" s="70"/>
      <c r="R81" s="67"/>
      <c r="S81" s="68"/>
      <c r="T81" s="76"/>
      <c r="U81" s="70"/>
      <c r="V81" s="67"/>
      <c r="W81" s="68"/>
      <c r="X81" s="76"/>
      <c r="Y81" s="70"/>
      <c r="Z81" s="228">
        <f>ROUND((ROUND((_15_同援日０．５*_15・基礎２),0)*(1+_15・A深夜)),0)+ROUND((_15_同援日０．５＿２．０*_15・基礎２),0)</f>
        <v>577</v>
      </c>
      <c r="AA81" s="69"/>
    </row>
    <row r="82" spans="1:27" ht="16.5" customHeight="1" x14ac:dyDescent="0.3">
      <c r="A82" s="2">
        <v>15</v>
      </c>
      <c r="B82" s="2" t="s">
        <v>1197</v>
      </c>
      <c r="C82" s="60" t="s">
        <v>11823</v>
      </c>
      <c r="D82" s="1"/>
      <c r="E82" s="68"/>
      <c r="F82" s="70"/>
      <c r="G82" s="1"/>
      <c r="H82" s="227">
        <v>364</v>
      </c>
      <c r="I82" s="70" t="s">
        <v>0</v>
      </c>
      <c r="J82" s="106" t="s">
        <v>18127</v>
      </c>
      <c r="K82" s="57" t="s">
        <v>1</v>
      </c>
      <c r="L82" s="58">
        <v>0.9</v>
      </c>
      <c r="M82" s="83" t="s">
        <v>5895</v>
      </c>
      <c r="N82" s="64" t="s">
        <v>1</v>
      </c>
      <c r="O82" s="65">
        <v>1</v>
      </c>
      <c r="P82" s="99"/>
      <c r="Q82" s="70"/>
      <c r="R82" s="66"/>
      <c r="S82" s="57"/>
      <c r="T82" s="58"/>
      <c r="U82" s="77"/>
      <c r="V82" s="67"/>
      <c r="W82" s="68"/>
      <c r="X82" s="76"/>
      <c r="Y82" s="70"/>
      <c r="Z82" s="228">
        <f>ROUND((ROUND((ROUND((_15_同援日０．５*_15・基礎２),0)*_15・２人),0)*(1+_15・A深夜)),0)+ROUND((ROUND((_15_同援日０．５＿２．０*_15・基礎２),0)*_15・２人),0)</f>
        <v>577</v>
      </c>
      <c r="AA82" s="69"/>
    </row>
    <row r="83" spans="1:27" ht="16.5" customHeight="1" x14ac:dyDescent="0.3">
      <c r="A83" s="2">
        <v>15</v>
      </c>
      <c r="B83" s="2" t="s">
        <v>1198</v>
      </c>
      <c r="C83" s="60" t="s">
        <v>11822</v>
      </c>
      <c r="D83" s="1"/>
      <c r="E83" s="68"/>
      <c r="F83" s="70"/>
      <c r="G83" s="1"/>
      <c r="H83" s="68"/>
      <c r="I83" s="70"/>
      <c r="J83" s="61"/>
      <c r="K83" s="62"/>
      <c r="L83" s="63"/>
      <c r="M83" s="85"/>
      <c r="N83" s="64"/>
      <c r="O83" s="65"/>
      <c r="P83" s="99"/>
      <c r="Q83" s="70"/>
      <c r="R83" s="74" t="s">
        <v>18130</v>
      </c>
      <c r="S83" s="62"/>
      <c r="T83" s="63"/>
      <c r="U83" s="75"/>
      <c r="V83" s="67"/>
      <c r="W83" s="68"/>
      <c r="X83" s="76"/>
      <c r="Y83" s="70"/>
      <c r="Z83" s="228">
        <f>ROUND((ROUND((_15_同援日０．５*(1+_15・A深夜)),0)*(1+_15・盲ろう)),0)+ROUND((_15_同援日０．５＿２．０*(1+_15・盲ろう)),0)</f>
        <v>800</v>
      </c>
      <c r="AA83" s="69"/>
    </row>
    <row r="84" spans="1:27" ht="16.5" customHeight="1" x14ac:dyDescent="0.3">
      <c r="A84" s="2">
        <v>15</v>
      </c>
      <c r="B84" s="2" t="s">
        <v>1199</v>
      </c>
      <c r="C84" s="60" t="s">
        <v>11821</v>
      </c>
      <c r="D84" s="1"/>
      <c r="E84" s="68"/>
      <c r="F84" s="70"/>
      <c r="G84" s="1"/>
      <c r="H84" s="68"/>
      <c r="I84" s="70"/>
      <c r="J84" s="66"/>
      <c r="K84" s="57"/>
      <c r="L84" s="58"/>
      <c r="M84" s="83" t="s">
        <v>5895</v>
      </c>
      <c r="N84" s="64" t="s">
        <v>1</v>
      </c>
      <c r="O84" s="65">
        <v>1</v>
      </c>
      <c r="P84" s="99"/>
      <c r="Q84" s="70"/>
      <c r="R84" s="94" t="s">
        <v>18129</v>
      </c>
      <c r="S84" s="68"/>
      <c r="T84" s="76"/>
      <c r="U84" s="70"/>
      <c r="V84" s="67"/>
      <c r="W84" s="68"/>
      <c r="X84" s="76"/>
      <c r="Y84" s="70"/>
      <c r="Z84" s="228">
        <f>ROUND((ROUND((ROUND((_15_同援日０．５*_15・２人),0)*(1+_15・A深夜)),0)*(1+_15・盲ろう)),0)+ROUND((ROUND((_15_同援日０．５＿２．０*_15・２人),0)*(1+_15・盲ろう)),0)</f>
        <v>800</v>
      </c>
      <c r="AA84" s="69"/>
    </row>
    <row r="85" spans="1:27" ht="16.5" customHeight="1" x14ac:dyDescent="0.3">
      <c r="A85" s="2">
        <v>15</v>
      </c>
      <c r="B85" s="2" t="s">
        <v>1200</v>
      </c>
      <c r="C85" s="60" t="s">
        <v>11820</v>
      </c>
      <c r="D85" s="1"/>
      <c r="E85" s="68"/>
      <c r="F85" s="70"/>
      <c r="G85" s="1"/>
      <c r="H85" s="68"/>
      <c r="I85" s="70"/>
      <c r="J85" s="74" t="s">
        <v>18128</v>
      </c>
      <c r="K85" s="62"/>
      <c r="L85" s="63"/>
      <c r="M85" s="85"/>
      <c r="N85" s="64"/>
      <c r="O85" s="65"/>
      <c r="P85" s="99"/>
      <c r="Q85" s="70"/>
      <c r="R85" s="67"/>
      <c r="S85" s="68" t="s">
        <v>1</v>
      </c>
      <c r="T85" s="76">
        <v>0.25</v>
      </c>
      <c r="U85" s="70" t="s">
        <v>422</v>
      </c>
      <c r="V85" s="67"/>
      <c r="W85" s="68"/>
      <c r="X85" s="76"/>
      <c r="Y85" s="70"/>
      <c r="Z85" s="228">
        <f>ROUND((ROUND((ROUND((_15_同援日０．５*_15・基礎２),0)*(1+_15・A深夜)),0)*(1+_15・盲ろう)),0)+ROUND((ROUND((_15_同援日０．５＿２．０*_15・基礎２),0)*(1+_15・盲ろう)),0)</f>
        <v>721</v>
      </c>
      <c r="AA85" s="69"/>
    </row>
    <row r="86" spans="1:27" ht="16.5" customHeight="1" x14ac:dyDescent="0.3">
      <c r="A86" s="2">
        <v>15</v>
      </c>
      <c r="B86" s="2" t="s">
        <v>1201</v>
      </c>
      <c r="C86" s="60" t="s">
        <v>11819</v>
      </c>
      <c r="D86" s="1"/>
      <c r="E86" s="68"/>
      <c r="F86" s="70"/>
      <c r="G86" s="1"/>
      <c r="H86" s="68"/>
      <c r="I86" s="70"/>
      <c r="J86" s="106" t="s">
        <v>18127</v>
      </c>
      <c r="K86" s="57" t="s">
        <v>1</v>
      </c>
      <c r="L86" s="58">
        <v>0.9</v>
      </c>
      <c r="M86" s="83" t="s">
        <v>5895</v>
      </c>
      <c r="N86" s="64" t="s">
        <v>1</v>
      </c>
      <c r="O86" s="65">
        <v>1</v>
      </c>
      <c r="P86" s="99"/>
      <c r="Q86" s="70"/>
      <c r="R86" s="66"/>
      <c r="S86" s="57"/>
      <c r="T86" s="58"/>
      <c r="U86" s="77"/>
      <c r="V86" s="66"/>
      <c r="W86" s="57"/>
      <c r="X86" s="58"/>
      <c r="Y86" s="77"/>
      <c r="Z86" s="228">
        <f>ROUND((ROUND((ROUND((ROUND((_15_同援日０．５*_15・基礎２),0)*_15・２人),0)*(1+_15・A深夜)),0)*(1+_15・盲ろう)),0)+ROUND((ROUND((ROUND((_15_同援日０．５＿２．０*_15・基礎２),0)*_15・２人),0)*(1+_15・盲ろう)),0)</f>
        <v>721</v>
      </c>
      <c r="AA86" s="69"/>
    </row>
    <row r="87" spans="1:27" ht="16.5" customHeight="1" x14ac:dyDescent="0.3">
      <c r="A87" s="2">
        <v>15</v>
      </c>
      <c r="B87" s="2" t="s">
        <v>1202</v>
      </c>
      <c r="C87" s="60" t="s">
        <v>11818</v>
      </c>
      <c r="D87" s="1"/>
      <c r="E87" s="68"/>
      <c r="F87" s="70"/>
      <c r="G87" s="1"/>
      <c r="H87" s="68"/>
      <c r="I87" s="70"/>
      <c r="J87" s="61"/>
      <c r="K87" s="62"/>
      <c r="L87" s="63"/>
      <c r="M87" s="85"/>
      <c r="N87" s="64"/>
      <c r="O87" s="65"/>
      <c r="P87" s="99"/>
      <c r="Q87" s="70"/>
      <c r="R87" s="61"/>
      <c r="S87" s="62"/>
      <c r="T87" s="63"/>
      <c r="U87" s="75"/>
      <c r="V87" s="61"/>
      <c r="W87" s="62"/>
      <c r="X87" s="63"/>
      <c r="Y87" s="75"/>
      <c r="Z87" s="228">
        <f>ROUND((ROUND((_15_同援日０．５*(1+_15・A深夜)),0)*(1+_15・区３)),0)+ROUND((_15_同援日０．５＿２．０*(1+_15・区３)),0)</f>
        <v>768</v>
      </c>
      <c r="AA87" s="69"/>
    </row>
    <row r="88" spans="1:27" ht="16.5" customHeight="1" x14ac:dyDescent="0.3">
      <c r="A88" s="2">
        <v>15</v>
      </c>
      <c r="B88" s="2" t="s">
        <v>1203</v>
      </c>
      <c r="C88" s="60" t="s">
        <v>11817</v>
      </c>
      <c r="D88" s="1"/>
      <c r="E88" s="68"/>
      <c r="F88" s="70"/>
      <c r="G88" s="1"/>
      <c r="H88" s="68"/>
      <c r="I88" s="70"/>
      <c r="J88" s="66"/>
      <c r="K88" s="57"/>
      <c r="L88" s="58"/>
      <c r="M88" s="83" t="s">
        <v>5895</v>
      </c>
      <c r="N88" s="64" t="s">
        <v>1</v>
      </c>
      <c r="O88" s="65">
        <v>1</v>
      </c>
      <c r="P88" s="99"/>
      <c r="Q88" s="70"/>
      <c r="R88" s="67"/>
      <c r="S88" s="68"/>
      <c r="T88" s="76"/>
      <c r="U88" s="70"/>
      <c r="V88" s="67"/>
      <c r="W88" s="68"/>
      <c r="X88" s="76"/>
      <c r="Y88" s="70"/>
      <c r="Z88" s="228">
        <f>ROUND((ROUND((ROUND((_15_同援日０．５*_15・２人),0)*(1+_15・A深夜)),0)*(1+_15・区３)),0)+ROUND((ROUND((_15_同援日０．５＿２．０*_15・２人),0)*(1+_15・区３)),0)</f>
        <v>768</v>
      </c>
      <c r="AA88" s="69"/>
    </row>
    <row r="89" spans="1:27" ht="16.5" customHeight="1" x14ac:dyDescent="0.3">
      <c r="A89" s="2">
        <v>15</v>
      </c>
      <c r="B89" s="2" t="s">
        <v>1204</v>
      </c>
      <c r="C89" s="60" t="s">
        <v>11816</v>
      </c>
      <c r="D89" s="1"/>
      <c r="E89" s="68"/>
      <c r="F89" s="70"/>
      <c r="G89" s="1"/>
      <c r="H89" s="68"/>
      <c r="I89" s="70"/>
      <c r="J89" s="74" t="s">
        <v>18128</v>
      </c>
      <c r="K89" s="62"/>
      <c r="L89" s="63"/>
      <c r="M89" s="85"/>
      <c r="N89" s="64"/>
      <c r="O89" s="65"/>
      <c r="P89" s="99"/>
      <c r="Q89" s="70"/>
      <c r="R89" s="67"/>
      <c r="S89" s="68"/>
      <c r="T89" s="76"/>
      <c r="U89" s="70"/>
      <c r="V89" s="1" t="s">
        <v>18133</v>
      </c>
      <c r="W89" s="68"/>
      <c r="X89" s="76"/>
      <c r="Y89" s="70"/>
      <c r="Z89" s="228">
        <f>ROUND((ROUND((ROUND((_15_同援日０．５*_15・基礎２),0)*(1+_15・A深夜)),0)*(1+_15・区３)),0)+ROUND((ROUND((_15_同援日０．５＿２．０*_15・基礎２),0)*(1+_15・区３)),0)</f>
        <v>693</v>
      </c>
      <c r="AA89" s="69"/>
    </row>
    <row r="90" spans="1:27" ht="16.5" customHeight="1" x14ac:dyDescent="0.3">
      <c r="A90" s="2">
        <v>15</v>
      </c>
      <c r="B90" s="2" t="s">
        <v>1205</v>
      </c>
      <c r="C90" s="60" t="s">
        <v>11815</v>
      </c>
      <c r="D90" s="1"/>
      <c r="E90" s="68"/>
      <c r="F90" s="70"/>
      <c r="G90" s="1"/>
      <c r="H90" s="68"/>
      <c r="I90" s="70"/>
      <c r="J90" s="106" t="s">
        <v>18127</v>
      </c>
      <c r="K90" s="57" t="s">
        <v>1</v>
      </c>
      <c r="L90" s="58">
        <v>0.9</v>
      </c>
      <c r="M90" s="83" t="s">
        <v>5895</v>
      </c>
      <c r="N90" s="64" t="s">
        <v>1</v>
      </c>
      <c r="O90" s="65">
        <v>1</v>
      </c>
      <c r="P90" s="99"/>
      <c r="Q90" s="70"/>
      <c r="R90" s="66"/>
      <c r="S90" s="57"/>
      <c r="T90" s="58"/>
      <c r="U90" s="77"/>
      <c r="V90" s="1" t="s">
        <v>18131</v>
      </c>
      <c r="W90" s="68"/>
      <c r="X90" s="76"/>
      <c r="Y90" s="70"/>
      <c r="Z90" s="228">
        <f>ROUND((ROUND((ROUND((ROUND((_15_同援日０．５*_15・基礎２),0)*_15・２人),0)*(1+_15・A深夜)),0)*(1+_15・区３)),0)+ROUND((ROUND((ROUND((_15_同援日０．５＿２．０*_15・基礎２),0)*_15・２人),0)*(1+_15・区３)),0)</f>
        <v>693</v>
      </c>
      <c r="AA90" s="69"/>
    </row>
    <row r="91" spans="1:27" ht="16.5" customHeight="1" x14ac:dyDescent="0.3">
      <c r="A91" s="2">
        <v>15</v>
      </c>
      <c r="B91" s="2" t="s">
        <v>1206</v>
      </c>
      <c r="C91" s="60" t="s">
        <v>11814</v>
      </c>
      <c r="D91" s="1"/>
      <c r="E91" s="68"/>
      <c r="F91" s="70"/>
      <c r="G91" s="1"/>
      <c r="H91" s="68"/>
      <c r="I91" s="70"/>
      <c r="J91" s="61"/>
      <c r="K91" s="62"/>
      <c r="L91" s="63"/>
      <c r="M91" s="85"/>
      <c r="N91" s="64"/>
      <c r="O91" s="65"/>
      <c r="P91" s="99"/>
      <c r="Q91" s="70"/>
      <c r="R91" s="74" t="s">
        <v>18130</v>
      </c>
      <c r="S91" s="62"/>
      <c r="T91" s="63"/>
      <c r="U91" s="75"/>
      <c r="V91" s="67"/>
      <c r="W91" s="68" t="s">
        <v>1</v>
      </c>
      <c r="X91" s="76">
        <v>0.2</v>
      </c>
      <c r="Y91" s="70" t="s">
        <v>422</v>
      </c>
      <c r="Z91" s="228">
        <f>ROUND((ROUND((ROUND((_15_同援日０．５*(1+_15・A深夜)),0)*(1+_15・盲ろう)),0)*(1+_15・区３)),0)+ROUND((ROUND((_15_同援日０．５＿２．０*(1+_15・盲ろう)),0)*(1+_15・区３)),0)</f>
        <v>960</v>
      </c>
      <c r="AA91" s="69"/>
    </row>
    <row r="92" spans="1:27" ht="16.5" customHeight="1" x14ac:dyDescent="0.3">
      <c r="A92" s="2">
        <v>15</v>
      </c>
      <c r="B92" s="2" t="s">
        <v>1207</v>
      </c>
      <c r="C92" s="60" t="s">
        <v>11813</v>
      </c>
      <c r="D92" s="1"/>
      <c r="E92" s="68"/>
      <c r="F92" s="70"/>
      <c r="G92" s="1"/>
      <c r="H92" s="68"/>
      <c r="I92" s="70"/>
      <c r="J92" s="66"/>
      <c r="K92" s="57"/>
      <c r="L92" s="58"/>
      <c r="M92" s="83" t="s">
        <v>5895</v>
      </c>
      <c r="N92" s="64" t="s">
        <v>1</v>
      </c>
      <c r="O92" s="65">
        <v>1</v>
      </c>
      <c r="P92" s="99"/>
      <c r="Q92" s="70"/>
      <c r="R92" s="94" t="s">
        <v>18129</v>
      </c>
      <c r="S92" s="68"/>
      <c r="T92" s="76"/>
      <c r="U92" s="70"/>
      <c r="V92" s="67"/>
      <c r="W92" s="68"/>
      <c r="X92" s="76"/>
      <c r="Y92" s="70"/>
      <c r="Z92" s="228">
        <f>ROUND((ROUND((ROUND((ROUND((_15_同援日０．５*_15・２人),0)*(1+_15・A深夜)),0)*(1+_15・盲ろう)),0)*(1+_15・区３)),0)+ROUND((ROUND((ROUND((_15_同援日０．５＿２．０*_15・２人),0)*(1+_15・盲ろう)),0)*(1+_15・区３)),0)</f>
        <v>960</v>
      </c>
      <c r="AA92" s="69"/>
    </row>
    <row r="93" spans="1:27" ht="16.5" customHeight="1" x14ac:dyDescent="0.3">
      <c r="A93" s="2">
        <v>15</v>
      </c>
      <c r="B93" s="2" t="s">
        <v>1208</v>
      </c>
      <c r="C93" s="60" t="s">
        <v>11812</v>
      </c>
      <c r="D93" s="1"/>
      <c r="E93" s="68"/>
      <c r="F93" s="70"/>
      <c r="G93" s="1"/>
      <c r="H93" s="68"/>
      <c r="I93" s="70"/>
      <c r="J93" s="74" t="s">
        <v>18128</v>
      </c>
      <c r="K93" s="62"/>
      <c r="L93" s="63"/>
      <c r="M93" s="85"/>
      <c r="N93" s="64"/>
      <c r="O93" s="65"/>
      <c r="P93" s="99"/>
      <c r="Q93" s="70"/>
      <c r="R93" s="67"/>
      <c r="S93" s="68" t="s">
        <v>1</v>
      </c>
      <c r="T93" s="76">
        <v>0.25</v>
      </c>
      <c r="U93" s="70" t="s">
        <v>422</v>
      </c>
      <c r="V93" s="67"/>
      <c r="W93" s="68"/>
      <c r="X93" s="76"/>
      <c r="Y93" s="70"/>
      <c r="Z93" s="228">
        <f>ROUND((ROUND((ROUND((ROUND((_15_同援日０．５*_15・基礎２),0)*(1+_15・A深夜)),0)*(1+_15・盲ろう)),0)*(1+_15・区３)),0)+ROUND((ROUND((ROUND((_15_同援日０．５＿２．０*_15・基礎２),0)*(1+_15・盲ろう)),0)*(1+_15・区３)),0)</f>
        <v>865</v>
      </c>
      <c r="AA93" s="69"/>
    </row>
    <row r="94" spans="1:27" ht="16.5" customHeight="1" x14ac:dyDescent="0.3">
      <c r="A94" s="2">
        <v>15</v>
      </c>
      <c r="B94" s="2" t="s">
        <v>1209</v>
      </c>
      <c r="C94" s="60" t="s">
        <v>11811</v>
      </c>
      <c r="D94" s="1"/>
      <c r="E94" s="68"/>
      <c r="F94" s="70"/>
      <c r="G94" s="1"/>
      <c r="H94" s="68"/>
      <c r="I94" s="70"/>
      <c r="J94" s="106" t="s">
        <v>18127</v>
      </c>
      <c r="K94" s="57" t="s">
        <v>1</v>
      </c>
      <c r="L94" s="58">
        <v>0.9</v>
      </c>
      <c r="M94" s="83" t="s">
        <v>5895</v>
      </c>
      <c r="N94" s="64" t="s">
        <v>1</v>
      </c>
      <c r="O94" s="65">
        <v>1</v>
      </c>
      <c r="P94" s="99"/>
      <c r="Q94" s="70"/>
      <c r="R94" s="66"/>
      <c r="S94" s="57"/>
      <c r="T94" s="58"/>
      <c r="U94" s="77"/>
      <c r="V94" s="66"/>
      <c r="W94" s="57"/>
      <c r="X94" s="58"/>
      <c r="Y94" s="77"/>
      <c r="Z94" s="228">
        <f>ROUND((ROUND((ROUND((ROUND((ROUND((_15_同援日０．５*_15・基礎２),0)*_15・２人),0)*(1+_15・A深夜)),0)*(1+_15・盲ろう)),0)*(1+_15・区３)),0)+ROUND((ROUND((ROUND((ROUND((_15_同援日０．５＿２．０*_15・基礎２),0)*_15・２人),0)*(1+_15・盲ろう)),0)*(1+_15・区３)),0)</f>
        <v>865</v>
      </c>
      <c r="AA94" s="69"/>
    </row>
    <row r="95" spans="1:27" ht="16.5" customHeight="1" x14ac:dyDescent="0.3">
      <c r="A95" s="2">
        <v>15</v>
      </c>
      <c r="B95" s="2" t="s">
        <v>1210</v>
      </c>
      <c r="C95" s="60" t="s">
        <v>11810</v>
      </c>
      <c r="D95" s="1"/>
      <c r="E95" s="68"/>
      <c r="F95" s="70"/>
      <c r="G95" s="1"/>
      <c r="H95" s="68"/>
      <c r="I95" s="70"/>
      <c r="J95" s="61"/>
      <c r="K95" s="62"/>
      <c r="L95" s="63"/>
      <c r="M95" s="85"/>
      <c r="N95" s="64"/>
      <c r="O95" s="65"/>
      <c r="P95" s="99"/>
      <c r="Q95" s="70"/>
      <c r="R95" s="61"/>
      <c r="S95" s="62"/>
      <c r="T95" s="63"/>
      <c r="U95" s="75"/>
      <c r="V95" s="61"/>
      <c r="W95" s="62"/>
      <c r="X95" s="63"/>
      <c r="Y95" s="75"/>
      <c r="Z95" s="228">
        <f>ROUND((ROUND((_15_同援日０．５*(1+_15・A深夜)),0)*(1+_15・区４)),0)+ROUND((_15_同援日０．５＿２．０*(1+_15・区４)),0)</f>
        <v>896</v>
      </c>
      <c r="AA95" s="69"/>
    </row>
    <row r="96" spans="1:27" ht="16.5" customHeight="1" x14ac:dyDescent="0.3">
      <c r="A96" s="2">
        <v>15</v>
      </c>
      <c r="B96" s="2" t="s">
        <v>1211</v>
      </c>
      <c r="C96" s="60" t="s">
        <v>11809</v>
      </c>
      <c r="D96" s="1"/>
      <c r="E96" s="68"/>
      <c r="F96" s="70"/>
      <c r="G96" s="1"/>
      <c r="H96" s="68"/>
      <c r="I96" s="70"/>
      <c r="J96" s="66"/>
      <c r="K96" s="57"/>
      <c r="L96" s="58"/>
      <c r="M96" s="83" t="s">
        <v>5895</v>
      </c>
      <c r="N96" s="64" t="s">
        <v>1</v>
      </c>
      <c r="O96" s="65">
        <v>1</v>
      </c>
      <c r="P96" s="99"/>
      <c r="Q96" s="70"/>
      <c r="R96" s="67"/>
      <c r="S96" s="68"/>
      <c r="T96" s="76"/>
      <c r="U96" s="70"/>
      <c r="V96" s="67"/>
      <c r="W96" s="68"/>
      <c r="X96" s="76"/>
      <c r="Y96" s="70"/>
      <c r="Z96" s="228">
        <f>ROUND((ROUND((ROUND((_15_同援日０．５*_15・２人),0)*(1+_15・A深夜)),0)*(1+_15・区４)),0)+ROUND((ROUND((_15_同援日０．５＿２．０*_15・２人),0)*(1+_15・区４)),0)</f>
        <v>896</v>
      </c>
      <c r="AA96" s="69"/>
    </row>
    <row r="97" spans="1:27" ht="16.5" customHeight="1" x14ac:dyDescent="0.3">
      <c r="A97" s="2">
        <v>15</v>
      </c>
      <c r="B97" s="2" t="s">
        <v>1212</v>
      </c>
      <c r="C97" s="60" t="s">
        <v>11808</v>
      </c>
      <c r="D97" s="1"/>
      <c r="E97" s="68"/>
      <c r="F97" s="70"/>
      <c r="G97" s="1"/>
      <c r="H97" s="68"/>
      <c r="I97" s="70"/>
      <c r="J97" s="74" t="s">
        <v>18128</v>
      </c>
      <c r="K97" s="62"/>
      <c r="L97" s="63"/>
      <c r="M97" s="85"/>
      <c r="N97" s="64"/>
      <c r="O97" s="65"/>
      <c r="P97" s="99"/>
      <c r="Q97" s="70"/>
      <c r="R97" s="67"/>
      <c r="S97" s="68"/>
      <c r="T97" s="76"/>
      <c r="U97" s="70"/>
      <c r="V97" s="1" t="s">
        <v>18132</v>
      </c>
      <c r="W97" s="68"/>
      <c r="X97" s="76"/>
      <c r="Y97" s="70"/>
      <c r="Z97" s="228">
        <f>ROUND((ROUND((ROUND((_15_同援日０．５*_15・基礎２),0)*(1+_15・A深夜)),0)*(1+_15・区４)),0)+ROUND((ROUND((_15_同援日０．５＿２．０*_15・基礎２),0)*(1+_15・区４)),0)</f>
        <v>808</v>
      </c>
      <c r="AA97" s="69"/>
    </row>
    <row r="98" spans="1:27" ht="16.5" customHeight="1" x14ac:dyDescent="0.3">
      <c r="A98" s="2">
        <v>15</v>
      </c>
      <c r="B98" s="2" t="s">
        <v>1213</v>
      </c>
      <c r="C98" s="60" t="s">
        <v>11807</v>
      </c>
      <c r="D98" s="1"/>
      <c r="E98" s="68"/>
      <c r="F98" s="70"/>
      <c r="G98" s="1"/>
      <c r="H98" s="68"/>
      <c r="I98" s="70"/>
      <c r="J98" s="106" t="s">
        <v>18127</v>
      </c>
      <c r="K98" s="57" t="s">
        <v>1</v>
      </c>
      <c r="L98" s="58">
        <v>0.9</v>
      </c>
      <c r="M98" s="83" t="s">
        <v>5895</v>
      </c>
      <c r="N98" s="64" t="s">
        <v>1</v>
      </c>
      <c r="O98" s="65">
        <v>1</v>
      </c>
      <c r="P98" s="99"/>
      <c r="Q98" s="70"/>
      <c r="R98" s="66"/>
      <c r="S98" s="57"/>
      <c r="T98" s="58"/>
      <c r="U98" s="77"/>
      <c r="V98" s="1" t="s">
        <v>18131</v>
      </c>
      <c r="W98" s="68"/>
      <c r="X98" s="76"/>
      <c r="Y98" s="70"/>
      <c r="Z98" s="228">
        <f>ROUND((ROUND((ROUND((ROUND((_15_同援日０．５*_15・基礎２),0)*_15・２人),0)*(1+_15・A深夜)),0)*(1+_15・区４)),0)+ROUND((ROUND((ROUND((_15_同援日０．５＿２．０*_15・基礎２),0)*_15・２人),0)*(1+_15・区４)),0)</f>
        <v>808</v>
      </c>
      <c r="AA98" s="69"/>
    </row>
    <row r="99" spans="1:27" ht="16.5" customHeight="1" x14ac:dyDescent="0.3">
      <c r="A99" s="2">
        <v>15</v>
      </c>
      <c r="B99" s="2" t="s">
        <v>1214</v>
      </c>
      <c r="C99" s="60" t="s">
        <v>11806</v>
      </c>
      <c r="D99" s="1"/>
      <c r="E99" s="68"/>
      <c r="F99" s="70"/>
      <c r="G99" s="1"/>
      <c r="H99" s="68"/>
      <c r="I99" s="70"/>
      <c r="J99" s="61"/>
      <c r="K99" s="62"/>
      <c r="L99" s="63"/>
      <c r="M99" s="85"/>
      <c r="N99" s="64"/>
      <c r="O99" s="65"/>
      <c r="P99" s="99"/>
      <c r="Q99" s="70"/>
      <c r="R99" s="74" t="s">
        <v>18130</v>
      </c>
      <c r="S99" s="62"/>
      <c r="T99" s="63"/>
      <c r="U99" s="75"/>
      <c r="V99" s="67"/>
      <c r="W99" s="68" t="s">
        <v>1</v>
      </c>
      <c r="X99" s="76">
        <v>0.4</v>
      </c>
      <c r="Y99" s="70" t="s">
        <v>422</v>
      </c>
      <c r="Z99" s="228">
        <f>ROUND((ROUND((ROUND((_15_同援日０．５*(1+_15・A深夜)),0)*(1+_15・盲ろう)),0)*(1+_15・区４)),0)+ROUND((ROUND((_15_同援日０．５＿２．０*(1+_15・盲ろう)),0)*(1+_15・区４)),0)</f>
        <v>1120</v>
      </c>
      <c r="AA99" s="69"/>
    </row>
    <row r="100" spans="1:27" ht="16.5" customHeight="1" x14ac:dyDescent="0.3">
      <c r="A100" s="2">
        <v>15</v>
      </c>
      <c r="B100" s="2" t="s">
        <v>1215</v>
      </c>
      <c r="C100" s="60" t="s">
        <v>11805</v>
      </c>
      <c r="D100" s="1"/>
      <c r="E100" s="68"/>
      <c r="F100" s="70"/>
      <c r="G100" s="1"/>
      <c r="H100" s="68"/>
      <c r="I100" s="70"/>
      <c r="J100" s="66"/>
      <c r="K100" s="57"/>
      <c r="L100" s="58"/>
      <c r="M100" s="83" t="s">
        <v>5895</v>
      </c>
      <c r="N100" s="64" t="s">
        <v>1</v>
      </c>
      <c r="O100" s="65">
        <v>1</v>
      </c>
      <c r="P100" s="99"/>
      <c r="Q100" s="70"/>
      <c r="R100" s="94" t="s">
        <v>18129</v>
      </c>
      <c r="S100" s="68"/>
      <c r="T100" s="76"/>
      <c r="U100" s="70"/>
      <c r="V100" s="67"/>
      <c r="W100" s="68"/>
      <c r="X100" s="76"/>
      <c r="Y100" s="70"/>
      <c r="Z100" s="228">
        <f>ROUND((ROUND((ROUND((ROUND((_15_同援日０．５*_15・２人),0)*(1+_15・A深夜)),0)*(1+_15・盲ろう)),0)*(1+_15・区４)),0)+ROUND((ROUND((ROUND((_15_同援日０．５＿２．０*_15・２人),0)*(1+_15・盲ろう)),0)*(1+_15・区４)),0)</f>
        <v>1120</v>
      </c>
      <c r="AA100" s="69"/>
    </row>
    <row r="101" spans="1:27" ht="16.5" customHeight="1" x14ac:dyDescent="0.3">
      <c r="A101" s="2">
        <v>15</v>
      </c>
      <c r="B101" s="2" t="s">
        <v>1216</v>
      </c>
      <c r="C101" s="60" t="s">
        <v>11804</v>
      </c>
      <c r="D101" s="1"/>
      <c r="E101" s="68"/>
      <c r="F101" s="70"/>
      <c r="G101" s="1"/>
      <c r="H101" s="68"/>
      <c r="I101" s="70"/>
      <c r="J101" s="74" t="s">
        <v>18128</v>
      </c>
      <c r="K101" s="62"/>
      <c r="L101" s="63"/>
      <c r="M101" s="85"/>
      <c r="N101" s="64"/>
      <c r="O101" s="65"/>
      <c r="P101" s="99"/>
      <c r="Q101" s="70"/>
      <c r="R101" s="67"/>
      <c r="S101" s="68" t="s">
        <v>1</v>
      </c>
      <c r="T101" s="76">
        <v>0.25</v>
      </c>
      <c r="U101" s="70" t="s">
        <v>422</v>
      </c>
      <c r="V101" s="67"/>
      <c r="W101" s="68"/>
      <c r="X101" s="76"/>
      <c r="Y101" s="70"/>
      <c r="Z101" s="228">
        <f>ROUND((ROUND((ROUND((ROUND((_15_同援日０．５*_15・基礎２),0)*(1+_15・A深夜)),0)*(1+_15・盲ろう)),0)*(1+_15・区４)),0)+ROUND((ROUND((ROUND((_15_同援日０．５＿２．０*_15・基礎２),0)*(1+_15・盲ろう)),0)*(1+_15・区４)),0)</f>
        <v>1009</v>
      </c>
      <c r="AA101" s="69"/>
    </row>
    <row r="102" spans="1:27" ht="16.5" customHeight="1" x14ac:dyDescent="0.3">
      <c r="A102" s="2">
        <v>15</v>
      </c>
      <c r="B102" s="2" t="s">
        <v>1217</v>
      </c>
      <c r="C102" s="60" t="s">
        <v>11803</v>
      </c>
      <c r="D102" s="1"/>
      <c r="E102" s="68"/>
      <c r="F102" s="70"/>
      <c r="G102" s="81"/>
      <c r="H102" s="57"/>
      <c r="I102" s="77"/>
      <c r="J102" s="106" t="s">
        <v>18127</v>
      </c>
      <c r="K102" s="57" t="s">
        <v>1</v>
      </c>
      <c r="L102" s="58">
        <v>0.9</v>
      </c>
      <c r="M102" s="83" t="s">
        <v>5895</v>
      </c>
      <c r="N102" s="64" t="s">
        <v>1</v>
      </c>
      <c r="O102" s="65">
        <v>1</v>
      </c>
      <c r="P102" s="99"/>
      <c r="Q102" s="70"/>
      <c r="R102" s="66"/>
      <c r="S102" s="57"/>
      <c r="T102" s="58"/>
      <c r="U102" s="77"/>
      <c r="V102" s="66"/>
      <c r="W102" s="57"/>
      <c r="X102" s="58"/>
      <c r="Y102" s="77"/>
      <c r="Z102" s="228">
        <f>ROUND((ROUND((ROUND((ROUND((ROUND((_15_同援日０．５*_15・基礎２),0)*_15・２人),0)*(1+_15・A深夜)),0)*(1+_15・盲ろう)),0)*(1+_15・区４)),0)+ROUND((ROUND((ROUND((ROUND((_15_同援日０．５＿２．０*_15・基礎２),0)*_15・２人),0)*(1+_15・盲ろう)),0)*(1+_15・区４)),0)</f>
        <v>1009</v>
      </c>
      <c r="AA102" s="69"/>
    </row>
    <row r="103" spans="1:27" ht="16.5" customHeight="1" x14ac:dyDescent="0.3">
      <c r="A103" s="2">
        <v>15</v>
      </c>
      <c r="B103" s="2" t="s">
        <v>1218</v>
      </c>
      <c r="C103" s="60" t="s">
        <v>11802</v>
      </c>
      <c r="D103" s="1"/>
      <c r="E103" s="68"/>
      <c r="F103" s="70"/>
      <c r="G103" s="233" t="s">
        <v>18146</v>
      </c>
      <c r="H103" s="62"/>
      <c r="I103" s="75"/>
      <c r="J103" s="61"/>
      <c r="K103" s="62"/>
      <c r="L103" s="63"/>
      <c r="M103" s="85"/>
      <c r="N103" s="64"/>
      <c r="O103" s="65"/>
      <c r="P103" s="99"/>
      <c r="Q103" s="70"/>
      <c r="R103" s="61"/>
      <c r="S103" s="62"/>
      <c r="T103" s="63"/>
      <c r="U103" s="75"/>
      <c r="V103" s="61"/>
      <c r="W103" s="62"/>
      <c r="X103" s="63"/>
      <c r="Y103" s="75"/>
      <c r="Z103" s="228">
        <f>ROUND((_15_同援日０．５*(1+_15・A深夜)),0)+_15_同援日０．５＿２．５</f>
        <v>703</v>
      </c>
      <c r="AA103" s="69"/>
    </row>
    <row r="104" spans="1:27" ht="16.5" customHeight="1" x14ac:dyDescent="0.3">
      <c r="A104" s="2">
        <v>15</v>
      </c>
      <c r="B104" s="2" t="s">
        <v>1219</v>
      </c>
      <c r="C104" s="60" t="s">
        <v>11801</v>
      </c>
      <c r="D104" s="1"/>
      <c r="E104" s="68"/>
      <c r="F104" s="70"/>
      <c r="G104" s="1" t="s">
        <v>18134</v>
      </c>
      <c r="H104" s="68"/>
      <c r="I104" s="70"/>
      <c r="J104" s="66"/>
      <c r="K104" s="57"/>
      <c r="L104" s="58"/>
      <c r="M104" s="83" t="s">
        <v>5895</v>
      </c>
      <c r="N104" s="64" t="s">
        <v>1</v>
      </c>
      <c r="O104" s="65">
        <v>1</v>
      </c>
      <c r="P104" s="99"/>
      <c r="Q104" s="70"/>
      <c r="R104" s="67"/>
      <c r="S104" s="68"/>
      <c r="T104" s="76"/>
      <c r="U104" s="70"/>
      <c r="V104" s="67"/>
      <c r="W104" s="68"/>
      <c r="X104" s="76"/>
      <c r="Y104" s="70"/>
      <c r="Z104" s="228">
        <f>ROUND((ROUND((_15_同援日０．５*_15・２人),0)*(1+_15・A深夜)),0)+ROUND((_15_同援日０．５＿２．５*_15・２人),0)</f>
        <v>703</v>
      </c>
      <c r="AA104" s="69"/>
    </row>
    <row r="105" spans="1:27" ht="16.5" customHeight="1" x14ac:dyDescent="0.3">
      <c r="A105" s="2">
        <v>15</v>
      </c>
      <c r="B105" s="2" t="s">
        <v>1220</v>
      </c>
      <c r="C105" s="60" t="s">
        <v>11800</v>
      </c>
      <c r="D105" s="1"/>
      <c r="E105" s="68"/>
      <c r="F105" s="70"/>
      <c r="G105" s="1" t="s">
        <v>8499</v>
      </c>
      <c r="H105" s="68"/>
      <c r="I105" s="70"/>
      <c r="J105" s="74" t="s">
        <v>18128</v>
      </c>
      <c r="K105" s="62"/>
      <c r="L105" s="63"/>
      <c r="M105" s="85"/>
      <c r="N105" s="64"/>
      <c r="O105" s="65"/>
      <c r="P105" s="99"/>
      <c r="Q105" s="70"/>
      <c r="R105" s="67"/>
      <c r="S105" s="68"/>
      <c r="T105" s="76"/>
      <c r="U105" s="70"/>
      <c r="V105" s="67"/>
      <c r="W105" s="68"/>
      <c r="X105" s="76"/>
      <c r="Y105" s="70"/>
      <c r="Z105" s="228">
        <f>ROUND((ROUND((_15_同援日０．５*_15・基礎２),0)*(1+_15・A深夜)),0)+ROUND((_15_同援日０．５＿２．５*_15・基礎２),0)</f>
        <v>633</v>
      </c>
      <c r="AA105" s="69"/>
    </row>
    <row r="106" spans="1:27" ht="16.5" customHeight="1" x14ac:dyDescent="0.3">
      <c r="A106" s="2">
        <v>15</v>
      </c>
      <c r="B106" s="2" t="s">
        <v>1221</v>
      </c>
      <c r="C106" s="60" t="s">
        <v>11799</v>
      </c>
      <c r="D106" s="1"/>
      <c r="E106" s="68"/>
      <c r="F106" s="70"/>
      <c r="G106" s="1"/>
      <c r="H106" s="227">
        <v>427</v>
      </c>
      <c r="I106" s="70" t="s">
        <v>0</v>
      </c>
      <c r="J106" s="106" t="s">
        <v>18127</v>
      </c>
      <c r="K106" s="57" t="s">
        <v>1</v>
      </c>
      <c r="L106" s="58">
        <v>0.9</v>
      </c>
      <c r="M106" s="83" t="s">
        <v>5895</v>
      </c>
      <c r="N106" s="64" t="s">
        <v>1</v>
      </c>
      <c r="O106" s="65">
        <v>1</v>
      </c>
      <c r="P106" s="99"/>
      <c r="Q106" s="70"/>
      <c r="R106" s="66"/>
      <c r="S106" s="57"/>
      <c r="T106" s="58"/>
      <c r="U106" s="77"/>
      <c r="V106" s="67"/>
      <c r="W106" s="68"/>
      <c r="X106" s="76"/>
      <c r="Y106" s="70"/>
      <c r="Z106" s="228">
        <f>ROUND((ROUND((ROUND((_15_同援日０．５*_15・基礎２),0)*_15・２人),0)*(1+_15・A深夜)),0)+ROUND((ROUND((_15_同援日０．５＿２．５*_15・基礎２),0)*_15・２人),0)</f>
        <v>633</v>
      </c>
      <c r="AA106" s="69"/>
    </row>
    <row r="107" spans="1:27" ht="16.5" customHeight="1" x14ac:dyDescent="0.3">
      <c r="A107" s="2">
        <v>15</v>
      </c>
      <c r="B107" s="2" t="s">
        <v>1222</v>
      </c>
      <c r="C107" s="60" t="s">
        <v>11798</v>
      </c>
      <c r="D107" s="1"/>
      <c r="E107" s="68"/>
      <c r="F107" s="70"/>
      <c r="G107" s="1"/>
      <c r="H107" s="68"/>
      <c r="I107" s="70"/>
      <c r="J107" s="61"/>
      <c r="K107" s="62"/>
      <c r="L107" s="63"/>
      <c r="M107" s="85"/>
      <c r="N107" s="64"/>
      <c r="O107" s="65"/>
      <c r="P107" s="99"/>
      <c r="Q107" s="70"/>
      <c r="R107" s="74" t="s">
        <v>18130</v>
      </c>
      <c r="S107" s="62"/>
      <c r="T107" s="63"/>
      <c r="U107" s="75"/>
      <c r="V107" s="67"/>
      <c r="W107" s="68"/>
      <c r="X107" s="76"/>
      <c r="Y107" s="70"/>
      <c r="Z107" s="228">
        <f>ROUND((ROUND((_15_同援日０．５*(1+_15・A深夜)),0)*(1+_15・盲ろう)),0)+ROUND((_15_同援日０．５＿２．５*(1+_15・盲ろう)),0)</f>
        <v>879</v>
      </c>
      <c r="AA107" s="69"/>
    </row>
    <row r="108" spans="1:27" ht="16.5" customHeight="1" x14ac:dyDescent="0.3">
      <c r="A108" s="2">
        <v>15</v>
      </c>
      <c r="B108" s="2" t="s">
        <v>1223</v>
      </c>
      <c r="C108" s="60" t="s">
        <v>11797</v>
      </c>
      <c r="D108" s="1"/>
      <c r="E108" s="68"/>
      <c r="F108" s="70"/>
      <c r="G108" s="1"/>
      <c r="H108" s="68"/>
      <c r="I108" s="70"/>
      <c r="J108" s="66"/>
      <c r="K108" s="57"/>
      <c r="L108" s="58"/>
      <c r="M108" s="83" t="s">
        <v>5895</v>
      </c>
      <c r="N108" s="64" t="s">
        <v>1</v>
      </c>
      <c r="O108" s="65">
        <v>1</v>
      </c>
      <c r="P108" s="99"/>
      <c r="Q108" s="70"/>
      <c r="R108" s="94" t="s">
        <v>18129</v>
      </c>
      <c r="S108" s="68"/>
      <c r="T108" s="76"/>
      <c r="U108" s="70"/>
      <c r="V108" s="67"/>
      <c r="W108" s="68"/>
      <c r="X108" s="76"/>
      <c r="Y108" s="70"/>
      <c r="Z108" s="228">
        <f>ROUND((ROUND((ROUND((_15_同援日０．５*_15・２人),0)*(1+_15・A深夜)),0)*(1+_15・盲ろう)),0)+ROUND((ROUND((_15_同援日０．５＿２．５*_15・２人),0)*(1+_15・盲ろう)),0)</f>
        <v>879</v>
      </c>
      <c r="AA108" s="69"/>
    </row>
    <row r="109" spans="1:27" ht="16.5" customHeight="1" x14ac:dyDescent="0.3">
      <c r="A109" s="2">
        <v>15</v>
      </c>
      <c r="B109" s="2" t="s">
        <v>1224</v>
      </c>
      <c r="C109" s="60" t="s">
        <v>11796</v>
      </c>
      <c r="D109" s="1"/>
      <c r="E109" s="68"/>
      <c r="F109" s="70"/>
      <c r="G109" s="1"/>
      <c r="H109" s="68"/>
      <c r="I109" s="70"/>
      <c r="J109" s="74" t="s">
        <v>18128</v>
      </c>
      <c r="K109" s="62"/>
      <c r="L109" s="63"/>
      <c r="M109" s="85"/>
      <c r="N109" s="64"/>
      <c r="O109" s="65"/>
      <c r="P109" s="99"/>
      <c r="Q109" s="70"/>
      <c r="R109" s="67"/>
      <c r="S109" s="68" t="s">
        <v>1</v>
      </c>
      <c r="T109" s="76">
        <v>0.25</v>
      </c>
      <c r="U109" s="70" t="s">
        <v>422</v>
      </c>
      <c r="V109" s="67"/>
      <c r="W109" s="68"/>
      <c r="X109" s="76"/>
      <c r="Y109" s="70"/>
      <c r="Z109" s="228">
        <f>ROUND((ROUND((ROUND((_15_同援日０．５*_15・基礎２),0)*(1+_15・A深夜)),0)*(1+_15・盲ろう)),0)+ROUND((ROUND((_15_同援日０．５＿２．５*_15・基礎２),0)*(1+_15・盲ろう)),0)</f>
        <v>791</v>
      </c>
      <c r="AA109" s="69"/>
    </row>
    <row r="110" spans="1:27" ht="16.5" customHeight="1" x14ac:dyDescent="0.3">
      <c r="A110" s="2">
        <v>15</v>
      </c>
      <c r="B110" s="2" t="s">
        <v>1225</v>
      </c>
      <c r="C110" s="60" t="s">
        <v>11795</v>
      </c>
      <c r="D110" s="1"/>
      <c r="E110" s="68"/>
      <c r="F110" s="70"/>
      <c r="G110" s="1"/>
      <c r="H110" s="68"/>
      <c r="I110" s="70"/>
      <c r="J110" s="106" t="s">
        <v>18127</v>
      </c>
      <c r="K110" s="57" t="s">
        <v>1</v>
      </c>
      <c r="L110" s="58">
        <v>0.9</v>
      </c>
      <c r="M110" s="83" t="s">
        <v>5895</v>
      </c>
      <c r="N110" s="64" t="s">
        <v>1</v>
      </c>
      <c r="O110" s="65">
        <v>1</v>
      </c>
      <c r="P110" s="99"/>
      <c r="Q110" s="70"/>
      <c r="R110" s="66"/>
      <c r="S110" s="57"/>
      <c r="T110" s="58"/>
      <c r="U110" s="77"/>
      <c r="V110" s="66"/>
      <c r="W110" s="57"/>
      <c r="X110" s="58"/>
      <c r="Y110" s="77"/>
      <c r="Z110" s="228">
        <f>ROUND((ROUND((ROUND((ROUND((_15_同援日０．５*_15・基礎２),0)*_15・２人),0)*(1+_15・A深夜)),0)*(1+_15・盲ろう)),0)+ROUND((ROUND((ROUND((_15_同援日０．５＿２．５*_15・基礎２),0)*_15・２人),0)*(1+_15・盲ろう)),0)</f>
        <v>791</v>
      </c>
      <c r="AA110" s="69"/>
    </row>
    <row r="111" spans="1:27" ht="16.5" customHeight="1" x14ac:dyDescent="0.3">
      <c r="A111" s="2">
        <v>15</v>
      </c>
      <c r="B111" s="2" t="s">
        <v>1226</v>
      </c>
      <c r="C111" s="60" t="s">
        <v>11794</v>
      </c>
      <c r="D111" s="1"/>
      <c r="E111" s="68"/>
      <c r="F111" s="70"/>
      <c r="G111" s="1"/>
      <c r="H111" s="68"/>
      <c r="I111" s="70"/>
      <c r="J111" s="61"/>
      <c r="K111" s="62"/>
      <c r="L111" s="63"/>
      <c r="M111" s="85"/>
      <c r="N111" s="64"/>
      <c r="O111" s="65"/>
      <c r="P111" s="99"/>
      <c r="Q111" s="70"/>
      <c r="R111" s="61"/>
      <c r="S111" s="62"/>
      <c r="T111" s="63"/>
      <c r="U111" s="75"/>
      <c r="V111" s="61"/>
      <c r="W111" s="62"/>
      <c r="X111" s="63"/>
      <c r="Y111" s="75"/>
      <c r="Z111" s="228">
        <f>ROUND((ROUND((_15_同援日０．５*(1+_15・A深夜)),0)*(1+_15・区３)),0)+ROUND((_15_同援日０．５＿２．５*(1+_15・区３)),0)</f>
        <v>843</v>
      </c>
      <c r="AA111" s="69"/>
    </row>
    <row r="112" spans="1:27" ht="16.5" customHeight="1" x14ac:dyDescent="0.3">
      <c r="A112" s="2">
        <v>15</v>
      </c>
      <c r="B112" s="2" t="s">
        <v>1227</v>
      </c>
      <c r="C112" s="60" t="s">
        <v>11793</v>
      </c>
      <c r="D112" s="1"/>
      <c r="E112" s="68"/>
      <c r="F112" s="70"/>
      <c r="G112" s="1"/>
      <c r="H112" s="68"/>
      <c r="I112" s="70"/>
      <c r="J112" s="66"/>
      <c r="K112" s="57"/>
      <c r="L112" s="58"/>
      <c r="M112" s="83" t="s">
        <v>5895</v>
      </c>
      <c r="N112" s="64" t="s">
        <v>1</v>
      </c>
      <c r="O112" s="65">
        <v>1</v>
      </c>
      <c r="P112" s="99"/>
      <c r="Q112" s="70"/>
      <c r="R112" s="67"/>
      <c r="S112" s="68"/>
      <c r="T112" s="76"/>
      <c r="U112" s="70"/>
      <c r="V112" s="67"/>
      <c r="W112" s="68"/>
      <c r="X112" s="76"/>
      <c r="Y112" s="70"/>
      <c r="Z112" s="228">
        <f>ROUND((ROUND((ROUND((_15_同援日０．５*_15・２人),0)*(1+_15・A深夜)),0)*(1+_15・区３)),0)+ROUND((ROUND((_15_同援日０．５＿２．５*_15・２人),0)*(1+_15・区３)),0)</f>
        <v>843</v>
      </c>
      <c r="AA112" s="69"/>
    </row>
    <row r="113" spans="1:27" ht="16.5" customHeight="1" x14ac:dyDescent="0.3">
      <c r="A113" s="2">
        <v>15</v>
      </c>
      <c r="B113" s="2" t="s">
        <v>1228</v>
      </c>
      <c r="C113" s="60" t="s">
        <v>11792</v>
      </c>
      <c r="D113" s="1"/>
      <c r="E113" s="68"/>
      <c r="F113" s="70"/>
      <c r="G113" s="1"/>
      <c r="H113" s="68"/>
      <c r="I113" s="70"/>
      <c r="J113" s="74" t="s">
        <v>18128</v>
      </c>
      <c r="K113" s="62"/>
      <c r="L113" s="63"/>
      <c r="M113" s="85"/>
      <c r="N113" s="64"/>
      <c r="O113" s="65"/>
      <c r="P113" s="99"/>
      <c r="Q113" s="70"/>
      <c r="R113" s="67"/>
      <c r="S113" s="68"/>
      <c r="T113" s="76"/>
      <c r="U113" s="70"/>
      <c r="V113" s="1" t="s">
        <v>18133</v>
      </c>
      <c r="W113" s="68"/>
      <c r="X113" s="76"/>
      <c r="Y113" s="70"/>
      <c r="Z113" s="228">
        <f>ROUND((ROUND((ROUND((_15_同援日０．５*_15・基礎２),0)*(1+_15・A深夜)),0)*(1+_15・区３)),0)+ROUND((ROUND((_15_同援日０．５＿２．５*_15・基礎２),0)*(1+_15・区３)),0)</f>
        <v>760</v>
      </c>
      <c r="AA113" s="69"/>
    </row>
    <row r="114" spans="1:27" ht="16.5" customHeight="1" x14ac:dyDescent="0.3">
      <c r="A114" s="2">
        <v>15</v>
      </c>
      <c r="B114" s="2" t="s">
        <v>1229</v>
      </c>
      <c r="C114" s="60" t="s">
        <v>11791</v>
      </c>
      <c r="D114" s="1"/>
      <c r="E114" s="68"/>
      <c r="F114" s="70"/>
      <c r="G114" s="1"/>
      <c r="H114" s="68"/>
      <c r="I114" s="70"/>
      <c r="J114" s="106" t="s">
        <v>18127</v>
      </c>
      <c r="K114" s="57" t="s">
        <v>1</v>
      </c>
      <c r="L114" s="58">
        <v>0.9</v>
      </c>
      <c r="M114" s="83" t="s">
        <v>5895</v>
      </c>
      <c r="N114" s="64" t="s">
        <v>1</v>
      </c>
      <c r="O114" s="65">
        <v>1</v>
      </c>
      <c r="P114" s="99"/>
      <c r="Q114" s="70"/>
      <c r="R114" s="66"/>
      <c r="S114" s="57"/>
      <c r="T114" s="58"/>
      <c r="U114" s="77"/>
      <c r="V114" s="1" t="s">
        <v>18131</v>
      </c>
      <c r="W114" s="68"/>
      <c r="X114" s="76"/>
      <c r="Y114" s="70"/>
      <c r="Z114" s="228">
        <f>ROUND((ROUND((ROUND((ROUND((_15_同援日０．５*_15・基礎２),0)*_15・２人),0)*(1+_15・A深夜)),0)*(1+_15・区３)),0)+ROUND((ROUND((ROUND((_15_同援日０．５＿２．５*_15・基礎２),0)*_15・２人),0)*(1+_15・区３)),0)</f>
        <v>760</v>
      </c>
      <c r="AA114" s="69"/>
    </row>
    <row r="115" spans="1:27" ht="16.5" customHeight="1" x14ac:dyDescent="0.3">
      <c r="A115" s="2">
        <v>15</v>
      </c>
      <c r="B115" s="2" t="s">
        <v>1230</v>
      </c>
      <c r="C115" s="60" t="s">
        <v>11790</v>
      </c>
      <c r="D115" s="1"/>
      <c r="E115" s="68"/>
      <c r="F115" s="70"/>
      <c r="G115" s="1"/>
      <c r="H115" s="68"/>
      <c r="I115" s="70"/>
      <c r="J115" s="61"/>
      <c r="K115" s="62"/>
      <c r="L115" s="63"/>
      <c r="M115" s="85"/>
      <c r="N115" s="64"/>
      <c r="O115" s="65"/>
      <c r="P115" s="99"/>
      <c r="Q115" s="70"/>
      <c r="R115" s="74" t="s">
        <v>18130</v>
      </c>
      <c r="S115" s="62"/>
      <c r="T115" s="63"/>
      <c r="U115" s="75"/>
      <c r="V115" s="67"/>
      <c r="W115" s="68" t="s">
        <v>1</v>
      </c>
      <c r="X115" s="76">
        <v>0.2</v>
      </c>
      <c r="Y115" s="70" t="s">
        <v>422</v>
      </c>
      <c r="Z115" s="228">
        <f>ROUND((ROUND((ROUND((_15_同援日０．５*(1+_15・A深夜)),0)*(1+_15・盲ろう)),0)*(1+_15・区３)),0)+ROUND((ROUND((_15_同援日０．５＿２．５*(1+_15・盲ろう)),0)*(1+_15・区３)),0)</f>
        <v>1055</v>
      </c>
      <c r="AA115" s="69"/>
    </row>
    <row r="116" spans="1:27" ht="16.5" customHeight="1" x14ac:dyDescent="0.3">
      <c r="A116" s="2">
        <v>15</v>
      </c>
      <c r="B116" s="2" t="s">
        <v>1231</v>
      </c>
      <c r="C116" s="60" t="s">
        <v>11789</v>
      </c>
      <c r="D116" s="1"/>
      <c r="E116" s="68"/>
      <c r="F116" s="70"/>
      <c r="G116" s="1"/>
      <c r="H116" s="68"/>
      <c r="I116" s="70"/>
      <c r="J116" s="66"/>
      <c r="K116" s="57"/>
      <c r="L116" s="58"/>
      <c r="M116" s="83" t="s">
        <v>5895</v>
      </c>
      <c r="N116" s="64" t="s">
        <v>1</v>
      </c>
      <c r="O116" s="65">
        <v>1</v>
      </c>
      <c r="P116" s="99"/>
      <c r="Q116" s="70"/>
      <c r="R116" s="94" t="s">
        <v>18129</v>
      </c>
      <c r="S116" s="68"/>
      <c r="T116" s="76"/>
      <c r="U116" s="70"/>
      <c r="V116" s="67"/>
      <c r="W116" s="68"/>
      <c r="X116" s="76"/>
      <c r="Y116" s="70"/>
      <c r="Z116" s="228">
        <f>ROUND((ROUND((ROUND((ROUND((_15_同援日０．５*_15・２人),0)*(1+_15・A深夜)),0)*(1+_15・盲ろう)),0)*(1+_15・区３)),0)+ROUND((ROUND((ROUND((_15_同援日０．５＿２．５*_15・２人),0)*(1+_15・盲ろう)),0)*(1+_15・区３)),0)</f>
        <v>1055</v>
      </c>
      <c r="AA116" s="69"/>
    </row>
    <row r="117" spans="1:27" ht="16.5" customHeight="1" x14ac:dyDescent="0.3">
      <c r="A117" s="2">
        <v>15</v>
      </c>
      <c r="B117" s="2" t="s">
        <v>1232</v>
      </c>
      <c r="C117" s="60" t="s">
        <v>11788</v>
      </c>
      <c r="D117" s="1"/>
      <c r="E117" s="68"/>
      <c r="F117" s="70"/>
      <c r="G117" s="1"/>
      <c r="H117" s="68"/>
      <c r="I117" s="70"/>
      <c r="J117" s="74" t="s">
        <v>18128</v>
      </c>
      <c r="K117" s="62"/>
      <c r="L117" s="63"/>
      <c r="M117" s="85"/>
      <c r="N117" s="64"/>
      <c r="O117" s="65"/>
      <c r="P117" s="99"/>
      <c r="Q117" s="70"/>
      <c r="R117" s="67"/>
      <c r="S117" s="68" t="s">
        <v>1</v>
      </c>
      <c r="T117" s="76">
        <v>0.25</v>
      </c>
      <c r="U117" s="70" t="s">
        <v>422</v>
      </c>
      <c r="V117" s="67"/>
      <c r="W117" s="68"/>
      <c r="X117" s="76"/>
      <c r="Y117" s="70"/>
      <c r="Z117" s="228">
        <f>ROUND((ROUND((ROUND((ROUND((_15_同援日０．５*_15・基礎２),0)*(1+_15・A深夜)),0)*(1+_15・盲ろう)),0)*(1+_15・区３)),0)+ROUND((ROUND((ROUND((_15_同援日０．５＿２．５*_15・基礎２),0)*(1+_15・盲ろう)),0)*(1+_15・区３)),0)</f>
        <v>949</v>
      </c>
      <c r="AA117" s="69"/>
    </row>
    <row r="118" spans="1:27" ht="16.5" customHeight="1" x14ac:dyDescent="0.3">
      <c r="A118" s="2">
        <v>15</v>
      </c>
      <c r="B118" s="2" t="s">
        <v>1233</v>
      </c>
      <c r="C118" s="60" t="s">
        <v>11787</v>
      </c>
      <c r="D118" s="1"/>
      <c r="E118" s="68"/>
      <c r="F118" s="70"/>
      <c r="G118" s="1"/>
      <c r="H118" s="68"/>
      <c r="I118" s="70"/>
      <c r="J118" s="106" t="s">
        <v>18127</v>
      </c>
      <c r="K118" s="57" t="s">
        <v>1</v>
      </c>
      <c r="L118" s="58">
        <v>0.9</v>
      </c>
      <c r="M118" s="83" t="s">
        <v>5895</v>
      </c>
      <c r="N118" s="64" t="s">
        <v>1</v>
      </c>
      <c r="O118" s="65">
        <v>1</v>
      </c>
      <c r="P118" s="99"/>
      <c r="Q118" s="70"/>
      <c r="R118" s="66"/>
      <c r="S118" s="57"/>
      <c r="T118" s="58"/>
      <c r="U118" s="77"/>
      <c r="V118" s="66"/>
      <c r="W118" s="57"/>
      <c r="X118" s="58"/>
      <c r="Y118" s="77"/>
      <c r="Z118" s="228">
        <f>ROUND((ROUND((ROUND((ROUND((ROUND((_15_同援日０．５*_15・基礎２),0)*_15・２人),0)*(1+_15・A深夜)),0)*(1+_15・盲ろう)),0)*(1+_15・区３)),0)+ROUND((ROUND((ROUND((ROUND((_15_同援日０．５＿２．５*_15・基礎２),0)*_15・２人),0)*(1+_15・盲ろう)),0)*(1+_15・区３)),0)</f>
        <v>949</v>
      </c>
      <c r="AA118" s="69"/>
    </row>
    <row r="119" spans="1:27" ht="16.5" customHeight="1" x14ac:dyDescent="0.3">
      <c r="A119" s="2">
        <v>15</v>
      </c>
      <c r="B119" s="2" t="s">
        <v>1234</v>
      </c>
      <c r="C119" s="60" t="s">
        <v>11786</v>
      </c>
      <c r="D119" s="1"/>
      <c r="E119" s="68"/>
      <c r="F119" s="70"/>
      <c r="G119" s="1"/>
      <c r="H119" s="68"/>
      <c r="I119" s="70"/>
      <c r="J119" s="61"/>
      <c r="K119" s="62"/>
      <c r="L119" s="63"/>
      <c r="M119" s="85"/>
      <c r="N119" s="64"/>
      <c r="O119" s="65"/>
      <c r="P119" s="99"/>
      <c r="Q119" s="70"/>
      <c r="R119" s="61"/>
      <c r="S119" s="62"/>
      <c r="T119" s="63"/>
      <c r="U119" s="75"/>
      <c r="V119" s="61"/>
      <c r="W119" s="62"/>
      <c r="X119" s="63"/>
      <c r="Y119" s="75"/>
      <c r="Z119" s="228">
        <f>ROUND((ROUND((_15_同援日０．５*(1+_15・A深夜)),0)*(1+_15・区４)),0)+ROUND((_15_同援日０．５＿２．５*(1+_15・区４)),0)</f>
        <v>984</v>
      </c>
      <c r="AA119" s="69"/>
    </row>
    <row r="120" spans="1:27" ht="16.5" customHeight="1" x14ac:dyDescent="0.3">
      <c r="A120" s="2">
        <v>15</v>
      </c>
      <c r="B120" s="2" t="s">
        <v>1235</v>
      </c>
      <c r="C120" s="60" t="s">
        <v>11785</v>
      </c>
      <c r="D120" s="1"/>
      <c r="E120" s="68"/>
      <c r="F120" s="70"/>
      <c r="G120" s="1"/>
      <c r="H120" s="68"/>
      <c r="I120" s="70"/>
      <c r="J120" s="66"/>
      <c r="K120" s="57"/>
      <c r="L120" s="58"/>
      <c r="M120" s="83" t="s">
        <v>5895</v>
      </c>
      <c r="N120" s="64" t="s">
        <v>1</v>
      </c>
      <c r="O120" s="65">
        <v>1</v>
      </c>
      <c r="P120" s="99"/>
      <c r="Q120" s="70"/>
      <c r="R120" s="67"/>
      <c r="S120" s="68"/>
      <c r="T120" s="76"/>
      <c r="U120" s="70"/>
      <c r="V120" s="67"/>
      <c r="W120" s="68"/>
      <c r="X120" s="76"/>
      <c r="Y120" s="70"/>
      <c r="Z120" s="228">
        <f>ROUND((ROUND((ROUND((_15_同援日０．５*_15・２人),0)*(1+_15・A深夜)),0)*(1+_15・区４)),0)+ROUND((ROUND((_15_同援日０．５＿２．５*_15・２人),0)*(1+_15・区４)),0)</f>
        <v>984</v>
      </c>
      <c r="AA120" s="69"/>
    </row>
    <row r="121" spans="1:27" ht="16.5" customHeight="1" x14ac:dyDescent="0.3">
      <c r="A121" s="2">
        <v>15</v>
      </c>
      <c r="B121" s="2" t="s">
        <v>1236</v>
      </c>
      <c r="C121" s="60" t="s">
        <v>11784</v>
      </c>
      <c r="D121" s="1"/>
      <c r="E121" s="68"/>
      <c r="F121" s="70"/>
      <c r="G121" s="1"/>
      <c r="H121" s="68"/>
      <c r="I121" s="70"/>
      <c r="J121" s="74" t="s">
        <v>18128</v>
      </c>
      <c r="K121" s="62"/>
      <c r="L121" s="63"/>
      <c r="M121" s="85"/>
      <c r="N121" s="64"/>
      <c r="O121" s="65"/>
      <c r="P121" s="99"/>
      <c r="Q121" s="70"/>
      <c r="R121" s="67"/>
      <c r="S121" s="68"/>
      <c r="T121" s="76"/>
      <c r="U121" s="70"/>
      <c r="V121" s="1" t="s">
        <v>18132</v>
      </c>
      <c r="W121" s="68"/>
      <c r="X121" s="76"/>
      <c r="Y121" s="70"/>
      <c r="Z121" s="228">
        <f>ROUND((ROUND((ROUND((_15_同援日０．５*_15・基礎２),0)*(1+_15・A深夜)),0)*(1+_15・区４)),0)+ROUND((ROUND((_15_同援日０．５＿２．５*_15・基礎２),0)*(1+_15・区４)),0)</f>
        <v>887</v>
      </c>
      <c r="AA121" s="69"/>
    </row>
    <row r="122" spans="1:27" ht="16.5" customHeight="1" x14ac:dyDescent="0.3">
      <c r="A122" s="2">
        <v>15</v>
      </c>
      <c r="B122" s="2" t="s">
        <v>1237</v>
      </c>
      <c r="C122" s="60" t="s">
        <v>11783</v>
      </c>
      <c r="D122" s="1"/>
      <c r="E122" s="68"/>
      <c r="F122" s="70"/>
      <c r="G122" s="1"/>
      <c r="H122" s="68"/>
      <c r="I122" s="70"/>
      <c r="J122" s="106" t="s">
        <v>18127</v>
      </c>
      <c r="K122" s="57" t="s">
        <v>1</v>
      </c>
      <c r="L122" s="58">
        <v>0.9</v>
      </c>
      <c r="M122" s="83" t="s">
        <v>5895</v>
      </c>
      <c r="N122" s="64" t="s">
        <v>1</v>
      </c>
      <c r="O122" s="65">
        <v>1</v>
      </c>
      <c r="P122" s="99"/>
      <c r="Q122" s="70"/>
      <c r="R122" s="66"/>
      <c r="S122" s="57"/>
      <c r="T122" s="58"/>
      <c r="U122" s="77"/>
      <c r="V122" s="1" t="s">
        <v>18131</v>
      </c>
      <c r="W122" s="68"/>
      <c r="X122" s="76"/>
      <c r="Y122" s="70"/>
      <c r="Z122" s="228">
        <f>ROUND((ROUND((ROUND((ROUND((_15_同援日０．５*_15・基礎２),0)*_15・２人),0)*(1+_15・A深夜)),0)*(1+_15・区４)),0)+ROUND((ROUND((ROUND((_15_同援日０．５＿２．５*_15・基礎２),0)*_15・２人),0)*(1+_15・区４)),0)</f>
        <v>887</v>
      </c>
      <c r="AA122" s="69"/>
    </row>
    <row r="123" spans="1:27" ht="16.5" customHeight="1" x14ac:dyDescent="0.3">
      <c r="A123" s="2">
        <v>15</v>
      </c>
      <c r="B123" s="2" t="s">
        <v>1238</v>
      </c>
      <c r="C123" s="60" t="s">
        <v>11782</v>
      </c>
      <c r="D123" s="1"/>
      <c r="E123" s="68"/>
      <c r="F123" s="70"/>
      <c r="G123" s="1"/>
      <c r="H123" s="68"/>
      <c r="I123" s="70"/>
      <c r="J123" s="61"/>
      <c r="K123" s="62"/>
      <c r="L123" s="63"/>
      <c r="M123" s="85"/>
      <c r="N123" s="64"/>
      <c r="O123" s="65"/>
      <c r="P123" s="99"/>
      <c r="Q123" s="70"/>
      <c r="R123" s="74" t="s">
        <v>18130</v>
      </c>
      <c r="S123" s="62"/>
      <c r="T123" s="63"/>
      <c r="U123" s="75"/>
      <c r="V123" s="67"/>
      <c r="W123" s="68" t="s">
        <v>1</v>
      </c>
      <c r="X123" s="76">
        <v>0.4</v>
      </c>
      <c r="Y123" s="70" t="s">
        <v>422</v>
      </c>
      <c r="Z123" s="228">
        <f>ROUND((ROUND((ROUND((_15_同援日０．５*(1+_15・A深夜)),0)*(1+_15・盲ろう)),0)*(1+_15・区４)),0)+ROUND((ROUND((_15_同援日０．５＿２．５*(1+_15・盲ろう)),0)*(1+_15・区４)),0)</f>
        <v>1231</v>
      </c>
      <c r="AA123" s="69"/>
    </row>
    <row r="124" spans="1:27" ht="16.5" customHeight="1" x14ac:dyDescent="0.3">
      <c r="A124" s="2">
        <v>15</v>
      </c>
      <c r="B124" s="2" t="s">
        <v>1239</v>
      </c>
      <c r="C124" s="60" t="s">
        <v>11781</v>
      </c>
      <c r="D124" s="1"/>
      <c r="E124" s="68"/>
      <c r="F124" s="70"/>
      <c r="G124" s="1"/>
      <c r="H124" s="68"/>
      <c r="I124" s="70"/>
      <c r="J124" s="66"/>
      <c r="K124" s="57"/>
      <c r="L124" s="58"/>
      <c r="M124" s="83" t="s">
        <v>5895</v>
      </c>
      <c r="N124" s="64" t="s">
        <v>1</v>
      </c>
      <c r="O124" s="65">
        <v>1</v>
      </c>
      <c r="P124" s="99"/>
      <c r="Q124" s="70"/>
      <c r="R124" s="94" t="s">
        <v>18129</v>
      </c>
      <c r="S124" s="68"/>
      <c r="T124" s="76"/>
      <c r="U124" s="70"/>
      <c r="V124" s="67"/>
      <c r="W124" s="68"/>
      <c r="X124" s="76"/>
      <c r="Y124" s="70"/>
      <c r="Z124" s="228">
        <f>ROUND((ROUND((ROUND((ROUND((_15_同援日０．５*_15・２人),0)*(1+_15・A深夜)),0)*(1+_15・盲ろう)),0)*(1+_15・区４)),0)+ROUND((ROUND((ROUND((_15_同援日０．５＿２．５*_15・２人),0)*(1+_15・盲ろう)),0)*(1+_15・区４)),0)</f>
        <v>1231</v>
      </c>
      <c r="AA124" s="69"/>
    </row>
    <row r="125" spans="1:27" ht="16.5" customHeight="1" x14ac:dyDescent="0.3">
      <c r="A125" s="2">
        <v>15</v>
      </c>
      <c r="B125" s="2" t="s">
        <v>1240</v>
      </c>
      <c r="C125" s="60" t="s">
        <v>11780</v>
      </c>
      <c r="D125" s="1"/>
      <c r="E125" s="68"/>
      <c r="F125" s="70"/>
      <c r="G125" s="1"/>
      <c r="H125" s="68"/>
      <c r="I125" s="70"/>
      <c r="J125" s="74" t="s">
        <v>18128</v>
      </c>
      <c r="K125" s="62"/>
      <c r="L125" s="63"/>
      <c r="M125" s="85"/>
      <c r="N125" s="64"/>
      <c r="O125" s="65"/>
      <c r="P125" s="99"/>
      <c r="Q125" s="70"/>
      <c r="R125" s="67"/>
      <c r="S125" s="68" t="s">
        <v>1</v>
      </c>
      <c r="T125" s="76">
        <v>0.25</v>
      </c>
      <c r="U125" s="70" t="s">
        <v>422</v>
      </c>
      <c r="V125" s="67"/>
      <c r="W125" s="68"/>
      <c r="X125" s="76"/>
      <c r="Y125" s="70"/>
      <c r="Z125" s="228">
        <f>ROUND((ROUND((ROUND((ROUND((_15_同援日０．５*_15・基礎２),0)*(1+_15・A深夜)),0)*(1+_15・盲ろう)),0)*(1+_15・区４)),0)+ROUND((ROUND((ROUND((_15_同援日０．５＿２．５*_15・基礎２),0)*(1+_15・盲ろう)),0)*(1+_15・区４)),0)</f>
        <v>1107</v>
      </c>
      <c r="AA125" s="69"/>
    </row>
    <row r="126" spans="1:27" ht="16.5" customHeight="1" x14ac:dyDescent="0.3">
      <c r="A126" s="2">
        <v>15</v>
      </c>
      <c r="B126" s="2" t="s">
        <v>1241</v>
      </c>
      <c r="C126" s="60" t="s">
        <v>11779</v>
      </c>
      <c r="D126" s="81"/>
      <c r="E126" s="57"/>
      <c r="F126" s="77"/>
      <c r="G126" s="81"/>
      <c r="H126" s="57"/>
      <c r="I126" s="77"/>
      <c r="J126" s="106" t="s">
        <v>18127</v>
      </c>
      <c r="K126" s="57" t="s">
        <v>1</v>
      </c>
      <c r="L126" s="58">
        <v>0.9</v>
      </c>
      <c r="M126" s="83" t="s">
        <v>5895</v>
      </c>
      <c r="N126" s="64" t="s">
        <v>1</v>
      </c>
      <c r="O126" s="65">
        <v>1</v>
      </c>
      <c r="P126" s="99"/>
      <c r="Q126" s="70"/>
      <c r="R126" s="66"/>
      <c r="S126" s="57"/>
      <c r="T126" s="58"/>
      <c r="U126" s="77"/>
      <c r="V126" s="66"/>
      <c r="W126" s="57"/>
      <c r="X126" s="58"/>
      <c r="Y126" s="77"/>
      <c r="Z126" s="228">
        <f>ROUND((ROUND((ROUND((ROUND((ROUND((_15_同援日０．５*_15・基礎２),0)*_15・２人),0)*(1+_15・A深夜)),0)*(1+_15・盲ろう)),0)*(1+_15・区４)),0)+ROUND((ROUND((ROUND((ROUND((_15_同援日０．５＿２．５*_15・基礎２),0)*_15・２人),0)*(1+_15・盲ろう)),0)*(1+_15・区４)),0)</f>
        <v>1107</v>
      </c>
      <c r="AA126" s="69"/>
    </row>
    <row r="127" spans="1:27" ht="16.5" customHeight="1" x14ac:dyDescent="0.3">
      <c r="A127" s="2">
        <v>15</v>
      </c>
      <c r="B127" s="2" t="s">
        <v>1242</v>
      </c>
      <c r="C127" s="60" t="s">
        <v>11778</v>
      </c>
      <c r="D127" s="233" t="s">
        <v>18145</v>
      </c>
      <c r="E127" s="235"/>
      <c r="F127" s="75"/>
      <c r="G127" s="233" t="s">
        <v>18135</v>
      </c>
      <c r="H127" s="62"/>
      <c r="I127" s="75"/>
      <c r="J127" s="61"/>
      <c r="K127" s="62"/>
      <c r="L127" s="63"/>
      <c r="M127" s="85"/>
      <c r="N127" s="64"/>
      <c r="O127" s="65"/>
      <c r="P127" s="99"/>
      <c r="Q127" s="70"/>
      <c r="R127" s="61"/>
      <c r="S127" s="62"/>
      <c r="T127" s="63"/>
      <c r="U127" s="75"/>
      <c r="V127" s="61"/>
      <c r="W127" s="62"/>
      <c r="X127" s="63"/>
      <c r="Y127" s="75"/>
      <c r="Z127" s="228">
        <f>ROUND((_15_同援日１．０*(1+_15・A深夜)),0)+_15_同援日１．０＿０．５</f>
        <v>567</v>
      </c>
      <c r="AA127" s="69"/>
    </row>
    <row r="128" spans="1:27" ht="16.5" customHeight="1" x14ac:dyDescent="0.3">
      <c r="A128" s="2">
        <v>15</v>
      </c>
      <c r="B128" s="2" t="s">
        <v>1243</v>
      </c>
      <c r="C128" s="60" t="s">
        <v>11777</v>
      </c>
      <c r="D128" s="1" t="s">
        <v>18137</v>
      </c>
      <c r="E128" s="68"/>
      <c r="F128" s="70"/>
      <c r="G128" s="1" t="s">
        <v>7928</v>
      </c>
      <c r="H128" s="68"/>
      <c r="I128" s="70"/>
      <c r="J128" s="66"/>
      <c r="K128" s="57"/>
      <c r="L128" s="58"/>
      <c r="M128" s="83" t="s">
        <v>5895</v>
      </c>
      <c r="N128" s="64" t="s">
        <v>1</v>
      </c>
      <c r="O128" s="65">
        <v>1</v>
      </c>
      <c r="P128" s="99"/>
      <c r="Q128" s="70"/>
      <c r="R128" s="67"/>
      <c r="S128" s="68"/>
      <c r="T128" s="76"/>
      <c r="U128" s="70"/>
      <c r="V128" s="67"/>
      <c r="W128" s="68"/>
      <c r="X128" s="76"/>
      <c r="Y128" s="70"/>
      <c r="Z128" s="228">
        <f>ROUND((ROUND((_15_同援日１．０*_15・２人),0)*(1+_15・A深夜)),0)+ROUND((_15_同援日１．０＿０．５*_15・２人),0)</f>
        <v>567</v>
      </c>
      <c r="AA128" s="69"/>
    </row>
    <row r="129" spans="1:27" ht="16.5" customHeight="1" x14ac:dyDescent="0.3">
      <c r="A129" s="2">
        <v>15</v>
      </c>
      <c r="B129" s="2" t="s">
        <v>1244</v>
      </c>
      <c r="C129" s="60" t="s">
        <v>11776</v>
      </c>
      <c r="D129" s="1" t="s">
        <v>8572</v>
      </c>
      <c r="E129" s="68"/>
      <c r="F129" s="70"/>
      <c r="G129" s="1"/>
      <c r="H129" s="68"/>
      <c r="I129" s="70"/>
      <c r="J129" s="74" t="s">
        <v>18128</v>
      </c>
      <c r="K129" s="62"/>
      <c r="L129" s="63"/>
      <c r="M129" s="85"/>
      <c r="N129" s="64"/>
      <c r="O129" s="65"/>
      <c r="P129" s="99"/>
      <c r="Q129" s="70"/>
      <c r="R129" s="67"/>
      <c r="S129" s="68"/>
      <c r="T129" s="76"/>
      <c r="U129" s="70"/>
      <c r="V129" s="67"/>
      <c r="W129" s="68"/>
      <c r="X129" s="76"/>
      <c r="Y129" s="70"/>
      <c r="Z129" s="228">
        <f>ROUND((ROUND((_15_同援日１．０*_15・基礎２),0)*(1+_15・A深夜)),0)+ROUND((_15_同援日１．０＿０．５*_15・基礎２),0)</f>
        <v>511</v>
      </c>
      <c r="AA129" s="69"/>
    </row>
    <row r="130" spans="1:27" ht="16.5" customHeight="1" x14ac:dyDescent="0.3">
      <c r="A130" s="2">
        <v>15</v>
      </c>
      <c r="B130" s="2" t="s">
        <v>1245</v>
      </c>
      <c r="C130" s="60" t="s">
        <v>11775</v>
      </c>
      <c r="D130" s="1"/>
      <c r="E130" s="227">
        <v>292</v>
      </c>
      <c r="F130" s="70" t="s">
        <v>0</v>
      </c>
      <c r="G130" s="1"/>
      <c r="H130" s="119">
        <v>129</v>
      </c>
      <c r="I130" s="70" t="s">
        <v>0</v>
      </c>
      <c r="J130" s="106" t="s">
        <v>5896</v>
      </c>
      <c r="K130" s="57" t="s">
        <v>1</v>
      </c>
      <c r="L130" s="58">
        <v>0.9</v>
      </c>
      <c r="M130" s="83" t="s">
        <v>5895</v>
      </c>
      <c r="N130" s="64" t="s">
        <v>1</v>
      </c>
      <c r="O130" s="65">
        <v>1</v>
      </c>
      <c r="P130" s="99"/>
      <c r="Q130" s="70"/>
      <c r="R130" s="66"/>
      <c r="S130" s="57"/>
      <c r="T130" s="58"/>
      <c r="U130" s="77"/>
      <c r="V130" s="67"/>
      <c r="W130" s="68"/>
      <c r="X130" s="76"/>
      <c r="Y130" s="70"/>
      <c r="Z130" s="228">
        <f>ROUND((ROUND((ROUND((_15_同援日１．０*_15・基礎２),0)*_15・２人),0)*(1+_15・A深夜)),0)+ROUND((ROUND((_15_同援日１．０＿０．５*_15・基礎２),0)*_15・２人),0)</f>
        <v>511</v>
      </c>
      <c r="AA130" s="69"/>
    </row>
    <row r="131" spans="1:27" ht="16.5" customHeight="1" x14ac:dyDescent="0.3">
      <c r="A131" s="2">
        <v>15</v>
      </c>
      <c r="B131" s="2" t="s">
        <v>1246</v>
      </c>
      <c r="C131" s="60" t="s">
        <v>11774</v>
      </c>
      <c r="D131" s="1"/>
      <c r="E131" s="68"/>
      <c r="F131" s="70"/>
      <c r="G131" s="1"/>
      <c r="H131" s="68"/>
      <c r="I131" s="70"/>
      <c r="J131" s="61"/>
      <c r="K131" s="62"/>
      <c r="L131" s="63"/>
      <c r="M131" s="85"/>
      <c r="N131" s="64"/>
      <c r="O131" s="65"/>
      <c r="P131" s="99"/>
      <c r="Q131" s="70"/>
      <c r="R131" s="74" t="s">
        <v>8085</v>
      </c>
      <c r="S131" s="62"/>
      <c r="T131" s="63"/>
      <c r="U131" s="75"/>
      <c r="V131" s="67"/>
      <c r="W131" s="68"/>
      <c r="X131" s="76"/>
      <c r="Y131" s="70"/>
      <c r="Z131" s="228">
        <f>ROUND((ROUND((_15_同援日１．０*(1+_15・A深夜)),0)*(1+_15・盲ろう)),0)+ROUND((_15_同援日１．０＿０．５*(1+_15・盲ろう)),0)</f>
        <v>709</v>
      </c>
      <c r="AA131" s="69"/>
    </row>
    <row r="132" spans="1:27" ht="16.5" customHeight="1" x14ac:dyDescent="0.3">
      <c r="A132" s="2">
        <v>15</v>
      </c>
      <c r="B132" s="2" t="s">
        <v>1247</v>
      </c>
      <c r="C132" s="60" t="s">
        <v>11773</v>
      </c>
      <c r="D132" s="1"/>
      <c r="E132" s="68"/>
      <c r="F132" s="70"/>
      <c r="G132" s="1"/>
      <c r="H132" s="68"/>
      <c r="I132" s="70"/>
      <c r="J132" s="66"/>
      <c r="K132" s="57"/>
      <c r="L132" s="58"/>
      <c r="M132" s="83" t="s">
        <v>5895</v>
      </c>
      <c r="N132" s="64" t="s">
        <v>1</v>
      </c>
      <c r="O132" s="65">
        <v>1</v>
      </c>
      <c r="P132" s="99"/>
      <c r="Q132" s="70"/>
      <c r="R132" s="94" t="s">
        <v>18129</v>
      </c>
      <c r="S132" s="68"/>
      <c r="T132" s="76"/>
      <c r="U132" s="70"/>
      <c r="V132" s="67"/>
      <c r="W132" s="68"/>
      <c r="X132" s="76"/>
      <c r="Y132" s="70"/>
      <c r="Z132" s="228">
        <f>ROUND((ROUND((ROUND((_15_同援日１．０*_15・２人),0)*(1+_15・A深夜)),0)*(1+_15・盲ろう)),0)+ROUND((ROUND((_15_同援日１．０＿０．５*_15・２人),0)*(1+_15・盲ろう)),0)</f>
        <v>709</v>
      </c>
      <c r="AA132" s="69"/>
    </row>
    <row r="133" spans="1:27" ht="16.5" customHeight="1" x14ac:dyDescent="0.3">
      <c r="A133" s="2">
        <v>15</v>
      </c>
      <c r="B133" s="2" t="s">
        <v>1248</v>
      </c>
      <c r="C133" s="60" t="s">
        <v>11772</v>
      </c>
      <c r="D133" s="1"/>
      <c r="E133" s="68"/>
      <c r="F133" s="70"/>
      <c r="G133" s="1"/>
      <c r="H133" s="68"/>
      <c r="I133" s="70"/>
      <c r="J133" s="74" t="s">
        <v>18128</v>
      </c>
      <c r="K133" s="62"/>
      <c r="L133" s="63"/>
      <c r="M133" s="85"/>
      <c r="N133" s="64"/>
      <c r="O133" s="65"/>
      <c r="P133" s="99"/>
      <c r="Q133" s="70"/>
      <c r="R133" s="67"/>
      <c r="S133" s="68" t="s">
        <v>1</v>
      </c>
      <c r="T133" s="76">
        <v>0.25</v>
      </c>
      <c r="U133" s="70" t="s">
        <v>422</v>
      </c>
      <c r="V133" s="67"/>
      <c r="W133" s="68"/>
      <c r="X133" s="76"/>
      <c r="Y133" s="70"/>
      <c r="Z133" s="228">
        <f>ROUND((ROUND((ROUND((_15_同援日１．０*_15・基礎２),0)*(1+_15・A深夜)),0)*(1+_15・盲ろう)),0)+ROUND((ROUND((_15_同援日１．０＿０．５*_15・基礎２),0)*(1+_15・盲ろう)),0)</f>
        <v>639</v>
      </c>
      <c r="AA133" s="69"/>
    </row>
    <row r="134" spans="1:27" ht="16.5" customHeight="1" x14ac:dyDescent="0.3">
      <c r="A134" s="2">
        <v>15</v>
      </c>
      <c r="B134" s="2" t="s">
        <v>1249</v>
      </c>
      <c r="C134" s="60" t="s">
        <v>11771</v>
      </c>
      <c r="D134" s="1"/>
      <c r="E134" s="68"/>
      <c r="F134" s="70"/>
      <c r="G134" s="1"/>
      <c r="H134" s="68"/>
      <c r="I134" s="70"/>
      <c r="J134" s="106" t="s">
        <v>18127</v>
      </c>
      <c r="K134" s="57" t="s">
        <v>1</v>
      </c>
      <c r="L134" s="58">
        <v>0.9</v>
      </c>
      <c r="M134" s="83" t="s">
        <v>5895</v>
      </c>
      <c r="N134" s="64" t="s">
        <v>1</v>
      </c>
      <c r="O134" s="65">
        <v>1</v>
      </c>
      <c r="P134" s="99"/>
      <c r="Q134" s="70"/>
      <c r="R134" s="66"/>
      <c r="S134" s="57"/>
      <c r="T134" s="58"/>
      <c r="U134" s="77"/>
      <c r="V134" s="66"/>
      <c r="W134" s="57"/>
      <c r="X134" s="58"/>
      <c r="Y134" s="77"/>
      <c r="Z134" s="228">
        <f>ROUND((ROUND((ROUND((ROUND((_15_同援日１．０*_15・基礎２),0)*_15・２人),0)*(1+_15・A深夜)),0)*(1+_15・盲ろう)),0)+ROUND((ROUND((ROUND((_15_同援日１．０＿０．５*_15・基礎２),0)*_15・２人),0)*(1+_15・盲ろう)),0)</f>
        <v>639</v>
      </c>
      <c r="AA134" s="69"/>
    </row>
    <row r="135" spans="1:27" ht="16.5" customHeight="1" x14ac:dyDescent="0.3">
      <c r="A135" s="2">
        <v>15</v>
      </c>
      <c r="B135" s="2" t="s">
        <v>1250</v>
      </c>
      <c r="C135" s="60" t="s">
        <v>11770</v>
      </c>
      <c r="D135" s="1"/>
      <c r="E135" s="68"/>
      <c r="F135" s="70"/>
      <c r="G135" s="1"/>
      <c r="H135" s="68"/>
      <c r="I135" s="70"/>
      <c r="J135" s="61"/>
      <c r="K135" s="62"/>
      <c r="L135" s="63"/>
      <c r="M135" s="85"/>
      <c r="N135" s="64"/>
      <c r="O135" s="65"/>
      <c r="P135" s="99"/>
      <c r="Q135" s="70"/>
      <c r="R135" s="61"/>
      <c r="S135" s="62"/>
      <c r="T135" s="63"/>
      <c r="U135" s="75"/>
      <c r="V135" s="61"/>
      <c r="W135" s="62"/>
      <c r="X135" s="63"/>
      <c r="Y135" s="75"/>
      <c r="Z135" s="228">
        <f>ROUND((ROUND((_15_同援日１．０*(1+_15・A深夜)),0)*(1+_15・区３)),0)+ROUND((_15_同援日１．０＿０．５*(1+_15・区３)),0)</f>
        <v>681</v>
      </c>
      <c r="AA135" s="69"/>
    </row>
    <row r="136" spans="1:27" ht="16.5" customHeight="1" x14ac:dyDescent="0.3">
      <c r="A136" s="2">
        <v>15</v>
      </c>
      <c r="B136" s="2" t="s">
        <v>1251</v>
      </c>
      <c r="C136" s="60" t="s">
        <v>11769</v>
      </c>
      <c r="D136" s="1"/>
      <c r="E136" s="68"/>
      <c r="F136" s="70"/>
      <c r="G136" s="1"/>
      <c r="H136" s="68"/>
      <c r="I136" s="70"/>
      <c r="J136" s="66"/>
      <c r="K136" s="57"/>
      <c r="L136" s="58"/>
      <c r="M136" s="83" t="s">
        <v>5895</v>
      </c>
      <c r="N136" s="64" t="s">
        <v>1</v>
      </c>
      <c r="O136" s="65">
        <v>1</v>
      </c>
      <c r="P136" s="99"/>
      <c r="Q136" s="70"/>
      <c r="R136" s="67"/>
      <c r="S136" s="68"/>
      <c r="T136" s="76"/>
      <c r="U136" s="70"/>
      <c r="V136" s="67"/>
      <c r="W136" s="68"/>
      <c r="X136" s="76"/>
      <c r="Y136" s="70"/>
      <c r="Z136" s="228">
        <f>ROUND((ROUND((ROUND((_15_同援日１．０*_15・２人),0)*(1+_15・A深夜)),0)*(1+_15・区３)),0)+ROUND((ROUND((_15_同援日１．０＿０．５*_15・２人),0)*(1+_15・区３)),0)</f>
        <v>681</v>
      </c>
      <c r="AA136" s="69"/>
    </row>
    <row r="137" spans="1:27" ht="16.5" customHeight="1" x14ac:dyDescent="0.3">
      <c r="A137" s="2">
        <v>15</v>
      </c>
      <c r="B137" s="2" t="s">
        <v>1252</v>
      </c>
      <c r="C137" s="60" t="s">
        <v>11768</v>
      </c>
      <c r="D137" s="1"/>
      <c r="E137" s="68"/>
      <c r="F137" s="70"/>
      <c r="G137" s="1"/>
      <c r="H137" s="68"/>
      <c r="I137" s="70"/>
      <c r="J137" s="74" t="s">
        <v>18128</v>
      </c>
      <c r="K137" s="62"/>
      <c r="L137" s="63"/>
      <c r="M137" s="85"/>
      <c r="N137" s="64"/>
      <c r="O137" s="65"/>
      <c r="P137" s="99"/>
      <c r="Q137" s="70"/>
      <c r="R137" s="67"/>
      <c r="S137" s="68"/>
      <c r="T137" s="76"/>
      <c r="U137" s="70"/>
      <c r="V137" s="1" t="s">
        <v>18133</v>
      </c>
      <c r="W137" s="68"/>
      <c r="X137" s="76"/>
      <c r="Y137" s="70"/>
      <c r="Z137" s="228">
        <f>ROUND((ROUND((ROUND((_15_同援日１．０*_15・基礎２),0)*(1+_15・A深夜)),0)*(1+_15・区３)),0)+ROUND((ROUND((_15_同援日１．０＿０．５*_15・基礎２),0)*(1+_15・区３)),0)</f>
        <v>613</v>
      </c>
      <c r="AA137" s="69"/>
    </row>
    <row r="138" spans="1:27" ht="16.5" customHeight="1" x14ac:dyDescent="0.3">
      <c r="A138" s="2">
        <v>15</v>
      </c>
      <c r="B138" s="2" t="s">
        <v>1253</v>
      </c>
      <c r="C138" s="60" t="s">
        <v>11767</v>
      </c>
      <c r="D138" s="1"/>
      <c r="E138" s="68"/>
      <c r="F138" s="70"/>
      <c r="G138" s="1"/>
      <c r="H138" s="68"/>
      <c r="I138" s="70"/>
      <c r="J138" s="106" t="s">
        <v>18127</v>
      </c>
      <c r="K138" s="57" t="s">
        <v>1</v>
      </c>
      <c r="L138" s="58">
        <v>0.9</v>
      </c>
      <c r="M138" s="83" t="s">
        <v>5895</v>
      </c>
      <c r="N138" s="64" t="s">
        <v>1</v>
      </c>
      <c r="O138" s="65">
        <v>1</v>
      </c>
      <c r="P138" s="99"/>
      <c r="Q138" s="70"/>
      <c r="R138" s="66"/>
      <c r="S138" s="57"/>
      <c r="T138" s="58"/>
      <c r="U138" s="77"/>
      <c r="V138" s="1" t="s">
        <v>18131</v>
      </c>
      <c r="W138" s="68"/>
      <c r="X138" s="76"/>
      <c r="Y138" s="70"/>
      <c r="Z138" s="228">
        <f>ROUND((ROUND((ROUND((ROUND((_15_同援日１．０*_15・基礎２),0)*_15・２人),0)*(1+_15・A深夜)),0)*(1+_15・区３)),0)+ROUND((ROUND((ROUND((_15_同援日１．０＿０．５*_15・基礎２),0)*_15・２人),0)*(1+_15・区３)),0)</f>
        <v>613</v>
      </c>
      <c r="AA138" s="69"/>
    </row>
    <row r="139" spans="1:27" ht="16.5" customHeight="1" x14ac:dyDescent="0.3">
      <c r="A139" s="2">
        <v>15</v>
      </c>
      <c r="B139" s="2" t="s">
        <v>1254</v>
      </c>
      <c r="C139" s="60" t="s">
        <v>11766</v>
      </c>
      <c r="D139" s="1"/>
      <c r="E139" s="68"/>
      <c r="F139" s="70"/>
      <c r="G139" s="1"/>
      <c r="H139" s="68"/>
      <c r="I139" s="70"/>
      <c r="J139" s="61"/>
      <c r="K139" s="62"/>
      <c r="L139" s="63"/>
      <c r="M139" s="85"/>
      <c r="N139" s="64"/>
      <c r="O139" s="65"/>
      <c r="P139" s="99"/>
      <c r="Q139" s="70"/>
      <c r="R139" s="74" t="s">
        <v>18130</v>
      </c>
      <c r="S139" s="62"/>
      <c r="T139" s="63"/>
      <c r="U139" s="75"/>
      <c r="V139" s="67"/>
      <c r="W139" s="68" t="s">
        <v>1</v>
      </c>
      <c r="X139" s="76">
        <v>0.2</v>
      </c>
      <c r="Y139" s="70" t="s">
        <v>422</v>
      </c>
      <c r="Z139" s="228">
        <f>ROUND((ROUND((ROUND((_15_同援日１．０*(1+_15・A深夜)),0)*(1+_15・盲ろう)),0)*(1+_15・区３)),0)+ROUND((ROUND((_15_同援日１．０＿０．５*(1+_15・盲ろう)),0)*(1+_15・区３)),0)</f>
        <v>851</v>
      </c>
      <c r="AA139" s="69"/>
    </row>
    <row r="140" spans="1:27" ht="16.5" customHeight="1" x14ac:dyDescent="0.3">
      <c r="A140" s="2">
        <v>15</v>
      </c>
      <c r="B140" s="2" t="s">
        <v>1255</v>
      </c>
      <c r="C140" s="60" t="s">
        <v>11765</v>
      </c>
      <c r="D140" s="1"/>
      <c r="E140" s="68"/>
      <c r="F140" s="70"/>
      <c r="G140" s="1"/>
      <c r="H140" s="68"/>
      <c r="I140" s="70"/>
      <c r="J140" s="66"/>
      <c r="K140" s="57"/>
      <c r="L140" s="58"/>
      <c r="M140" s="83" t="s">
        <v>5895</v>
      </c>
      <c r="N140" s="64" t="s">
        <v>1</v>
      </c>
      <c r="O140" s="65">
        <v>1</v>
      </c>
      <c r="P140" s="99"/>
      <c r="Q140" s="70"/>
      <c r="R140" s="94" t="s">
        <v>18129</v>
      </c>
      <c r="S140" s="68"/>
      <c r="T140" s="76"/>
      <c r="U140" s="70"/>
      <c r="V140" s="67"/>
      <c r="W140" s="68"/>
      <c r="X140" s="76"/>
      <c r="Y140" s="70"/>
      <c r="Z140" s="228">
        <f>ROUND((ROUND((ROUND((ROUND((_15_同援日１．０*_15・２人),0)*(1+_15・A深夜)),0)*(1+_15・盲ろう)),0)*(1+_15・区３)),0)+ROUND((ROUND((ROUND((_15_同援日１．０＿０．５*_15・２人),0)*(1+_15・盲ろう)),0)*(1+_15・区３)),0)</f>
        <v>851</v>
      </c>
      <c r="AA140" s="69"/>
    </row>
    <row r="141" spans="1:27" ht="16.5" customHeight="1" x14ac:dyDescent="0.3">
      <c r="A141" s="2">
        <v>15</v>
      </c>
      <c r="B141" s="2" t="s">
        <v>1256</v>
      </c>
      <c r="C141" s="60" t="s">
        <v>11764</v>
      </c>
      <c r="D141" s="1"/>
      <c r="E141" s="68"/>
      <c r="F141" s="70"/>
      <c r="G141" s="1"/>
      <c r="H141" s="68"/>
      <c r="I141" s="70"/>
      <c r="J141" s="74" t="s">
        <v>18128</v>
      </c>
      <c r="K141" s="62"/>
      <c r="L141" s="63"/>
      <c r="M141" s="85"/>
      <c r="N141" s="64"/>
      <c r="O141" s="65"/>
      <c r="P141" s="99"/>
      <c r="Q141" s="70"/>
      <c r="R141" s="67"/>
      <c r="S141" s="68" t="s">
        <v>1</v>
      </c>
      <c r="T141" s="76">
        <v>0.25</v>
      </c>
      <c r="U141" s="70" t="s">
        <v>422</v>
      </c>
      <c r="V141" s="67"/>
      <c r="W141" s="68"/>
      <c r="X141" s="76"/>
      <c r="Y141" s="70"/>
      <c r="Z141" s="228">
        <f>ROUND((ROUND((ROUND((ROUND((_15_同援日１．０*_15・基礎２),0)*(1+_15・A深夜)),0)*(1+_15・盲ろう)),0)*(1+_15・区３)),0)+ROUND((ROUND((ROUND((_15_同援日１．０＿０．５*_15・基礎２),0)*(1+_15・盲ろう)),0)*(1+_15・区３)),0)</f>
        <v>767</v>
      </c>
      <c r="AA141" s="69"/>
    </row>
    <row r="142" spans="1:27" ht="16.5" customHeight="1" x14ac:dyDescent="0.3">
      <c r="A142" s="2">
        <v>15</v>
      </c>
      <c r="B142" s="2" t="s">
        <v>1257</v>
      </c>
      <c r="C142" s="60" t="s">
        <v>11763</v>
      </c>
      <c r="D142" s="1"/>
      <c r="E142" s="68"/>
      <c r="F142" s="70"/>
      <c r="G142" s="1"/>
      <c r="H142" s="68"/>
      <c r="I142" s="70"/>
      <c r="J142" s="106" t="s">
        <v>18127</v>
      </c>
      <c r="K142" s="57" t="s">
        <v>1</v>
      </c>
      <c r="L142" s="58">
        <v>0.9</v>
      </c>
      <c r="M142" s="83" t="s">
        <v>5895</v>
      </c>
      <c r="N142" s="64" t="s">
        <v>1</v>
      </c>
      <c r="O142" s="65">
        <v>1</v>
      </c>
      <c r="P142" s="99"/>
      <c r="Q142" s="70"/>
      <c r="R142" s="66"/>
      <c r="S142" s="57"/>
      <c r="T142" s="58"/>
      <c r="U142" s="77"/>
      <c r="V142" s="66"/>
      <c r="W142" s="57"/>
      <c r="X142" s="58"/>
      <c r="Y142" s="77"/>
      <c r="Z142" s="228">
        <f>ROUND((ROUND((ROUND((ROUND((ROUND((_15_同援日１．０*_15・基礎２),0)*_15・２人),0)*(1+_15・A深夜)),0)*(1+_15・盲ろう)),0)*(1+_15・区３)),0)+ROUND((ROUND((ROUND((ROUND((_15_同援日１．０＿０．５*_15・基礎２),0)*_15・２人),0)*(1+_15・盲ろう)),0)*(1+_15・区３)),0)</f>
        <v>767</v>
      </c>
      <c r="AA142" s="69"/>
    </row>
    <row r="143" spans="1:27" ht="16.5" customHeight="1" x14ac:dyDescent="0.3">
      <c r="A143" s="2">
        <v>15</v>
      </c>
      <c r="B143" s="2" t="s">
        <v>1258</v>
      </c>
      <c r="C143" s="60" t="s">
        <v>11762</v>
      </c>
      <c r="D143" s="1"/>
      <c r="E143" s="68"/>
      <c r="F143" s="70"/>
      <c r="G143" s="1"/>
      <c r="H143" s="68"/>
      <c r="I143" s="70"/>
      <c r="J143" s="61"/>
      <c r="K143" s="62"/>
      <c r="L143" s="63"/>
      <c r="M143" s="85"/>
      <c r="N143" s="64"/>
      <c r="O143" s="65"/>
      <c r="P143" s="99"/>
      <c r="Q143" s="70"/>
      <c r="R143" s="61"/>
      <c r="S143" s="62"/>
      <c r="T143" s="63"/>
      <c r="U143" s="75"/>
      <c r="V143" s="61"/>
      <c r="W143" s="62"/>
      <c r="X143" s="63"/>
      <c r="Y143" s="75"/>
      <c r="Z143" s="228">
        <f>ROUND((ROUND((_15_同援日１．０*(1+_15・A深夜)),0)*(1+_15・区４)),0)+ROUND((_15_同援日１．０＿０．５*(1+_15・区４)),0)</f>
        <v>794</v>
      </c>
      <c r="AA143" s="69"/>
    </row>
    <row r="144" spans="1:27" ht="16.5" customHeight="1" x14ac:dyDescent="0.3">
      <c r="A144" s="2">
        <v>15</v>
      </c>
      <c r="B144" s="2" t="s">
        <v>1259</v>
      </c>
      <c r="C144" s="60" t="s">
        <v>11761</v>
      </c>
      <c r="D144" s="1"/>
      <c r="E144" s="68"/>
      <c r="F144" s="70"/>
      <c r="G144" s="1"/>
      <c r="H144" s="68"/>
      <c r="I144" s="70"/>
      <c r="J144" s="66"/>
      <c r="K144" s="57"/>
      <c r="L144" s="58"/>
      <c r="M144" s="83" t="s">
        <v>5895</v>
      </c>
      <c r="N144" s="64" t="s">
        <v>1</v>
      </c>
      <c r="O144" s="65">
        <v>1</v>
      </c>
      <c r="P144" s="99"/>
      <c r="Q144" s="70"/>
      <c r="R144" s="67"/>
      <c r="S144" s="68"/>
      <c r="T144" s="76"/>
      <c r="U144" s="70"/>
      <c r="V144" s="67"/>
      <c r="W144" s="68"/>
      <c r="X144" s="76"/>
      <c r="Y144" s="70"/>
      <c r="Z144" s="228">
        <f>ROUND((ROUND((ROUND((_15_同援日１．０*_15・２人),0)*(1+_15・A深夜)),0)*(1+_15・区４)),0)+ROUND((ROUND((_15_同援日１．０＿０．５*_15・２人),0)*(1+_15・区４)),0)</f>
        <v>794</v>
      </c>
      <c r="AA144" s="69"/>
    </row>
    <row r="145" spans="1:27" ht="16.5" customHeight="1" x14ac:dyDescent="0.3">
      <c r="A145" s="2">
        <v>15</v>
      </c>
      <c r="B145" s="2" t="s">
        <v>1260</v>
      </c>
      <c r="C145" s="60" t="s">
        <v>11760</v>
      </c>
      <c r="D145" s="1"/>
      <c r="E145" s="68"/>
      <c r="F145" s="70"/>
      <c r="G145" s="1"/>
      <c r="H145" s="68"/>
      <c r="I145" s="70"/>
      <c r="J145" s="74" t="s">
        <v>18128</v>
      </c>
      <c r="K145" s="62"/>
      <c r="L145" s="63"/>
      <c r="M145" s="85"/>
      <c r="N145" s="64"/>
      <c r="O145" s="65"/>
      <c r="P145" s="99"/>
      <c r="Q145" s="70"/>
      <c r="R145" s="67"/>
      <c r="S145" s="68"/>
      <c r="T145" s="76"/>
      <c r="U145" s="70"/>
      <c r="V145" s="1" t="s">
        <v>18132</v>
      </c>
      <c r="W145" s="68"/>
      <c r="X145" s="76"/>
      <c r="Y145" s="70"/>
      <c r="Z145" s="228">
        <f>ROUND((ROUND((ROUND((_15_同援日１．０*_15・基礎２),0)*(1+_15・A深夜)),0)*(1+_15・区４)),0)+ROUND((ROUND((_15_同援日１．０＿０．５*_15・基礎２),0)*(1+_15・区４)),0)</f>
        <v>715</v>
      </c>
      <c r="AA145" s="69"/>
    </row>
    <row r="146" spans="1:27" ht="16.5" customHeight="1" x14ac:dyDescent="0.3">
      <c r="A146" s="2">
        <v>15</v>
      </c>
      <c r="B146" s="2" t="s">
        <v>1261</v>
      </c>
      <c r="C146" s="60" t="s">
        <v>11759</v>
      </c>
      <c r="D146" s="1"/>
      <c r="E146" s="68"/>
      <c r="F146" s="70"/>
      <c r="G146" s="1"/>
      <c r="H146" s="68"/>
      <c r="I146" s="70"/>
      <c r="J146" s="106" t="s">
        <v>18127</v>
      </c>
      <c r="K146" s="57" t="s">
        <v>1</v>
      </c>
      <c r="L146" s="58">
        <v>0.9</v>
      </c>
      <c r="M146" s="83" t="s">
        <v>5895</v>
      </c>
      <c r="N146" s="64" t="s">
        <v>1</v>
      </c>
      <c r="O146" s="65">
        <v>1</v>
      </c>
      <c r="P146" s="99"/>
      <c r="Q146" s="70"/>
      <c r="R146" s="66"/>
      <c r="S146" s="57"/>
      <c r="T146" s="58"/>
      <c r="U146" s="77"/>
      <c r="V146" s="1" t="s">
        <v>18131</v>
      </c>
      <c r="W146" s="68"/>
      <c r="X146" s="76"/>
      <c r="Y146" s="70"/>
      <c r="Z146" s="228">
        <f>ROUND((ROUND((ROUND((ROUND((_15_同援日１．０*_15・基礎２),0)*_15・２人),0)*(1+_15・A深夜)),0)*(1+_15・区４)),0)+ROUND((ROUND((ROUND((_15_同援日１．０＿０．５*_15・基礎２),0)*_15・２人),0)*(1+_15・区４)),0)</f>
        <v>715</v>
      </c>
      <c r="AA146" s="69"/>
    </row>
    <row r="147" spans="1:27" ht="16.5" customHeight="1" x14ac:dyDescent="0.3">
      <c r="A147" s="2">
        <v>15</v>
      </c>
      <c r="B147" s="2" t="s">
        <v>1262</v>
      </c>
      <c r="C147" s="60" t="s">
        <v>11758</v>
      </c>
      <c r="D147" s="1"/>
      <c r="E147" s="68"/>
      <c r="F147" s="70"/>
      <c r="G147" s="1"/>
      <c r="H147" s="68"/>
      <c r="I147" s="70"/>
      <c r="J147" s="61"/>
      <c r="K147" s="62"/>
      <c r="L147" s="63"/>
      <c r="M147" s="85"/>
      <c r="N147" s="64"/>
      <c r="O147" s="65"/>
      <c r="P147" s="99"/>
      <c r="Q147" s="70"/>
      <c r="R147" s="74" t="s">
        <v>18130</v>
      </c>
      <c r="S147" s="62"/>
      <c r="T147" s="63"/>
      <c r="U147" s="75"/>
      <c r="V147" s="67"/>
      <c r="W147" s="68" t="s">
        <v>1</v>
      </c>
      <c r="X147" s="76">
        <v>0.4</v>
      </c>
      <c r="Y147" s="70" t="s">
        <v>422</v>
      </c>
      <c r="Z147" s="228">
        <f>ROUND((ROUND((ROUND((_15_同援日１．０*(1+_15・A深夜)),0)*(1+_15・盲ろう)),0)*(1+_15・区４)),0)+ROUND((ROUND((_15_同援日１．０＿０．５*(1+_15・盲ろう)),0)*(1+_15・区４)),0)</f>
        <v>992</v>
      </c>
      <c r="AA147" s="69"/>
    </row>
    <row r="148" spans="1:27" ht="16.5" customHeight="1" x14ac:dyDescent="0.3">
      <c r="A148" s="2">
        <v>15</v>
      </c>
      <c r="B148" s="2" t="s">
        <v>1263</v>
      </c>
      <c r="C148" s="60" t="s">
        <v>11757</v>
      </c>
      <c r="D148" s="1"/>
      <c r="E148" s="68"/>
      <c r="F148" s="70"/>
      <c r="G148" s="1"/>
      <c r="H148" s="68"/>
      <c r="I148" s="70"/>
      <c r="J148" s="66"/>
      <c r="K148" s="57"/>
      <c r="L148" s="58"/>
      <c r="M148" s="83" t="s">
        <v>5895</v>
      </c>
      <c r="N148" s="64" t="s">
        <v>1</v>
      </c>
      <c r="O148" s="65">
        <v>1</v>
      </c>
      <c r="P148" s="99"/>
      <c r="Q148" s="70"/>
      <c r="R148" s="94" t="s">
        <v>18129</v>
      </c>
      <c r="S148" s="68"/>
      <c r="T148" s="76"/>
      <c r="U148" s="70"/>
      <c r="V148" s="67"/>
      <c r="W148" s="68"/>
      <c r="X148" s="76"/>
      <c r="Y148" s="70"/>
      <c r="Z148" s="228">
        <f>ROUND((ROUND((ROUND((ROUND((_15_同援日１．０*_15・２人),0)*(1+_15・A深夜)),0)*(1+_15・盲ろう)),0)*(1+_15・区４)),0)+ROUND((ROUND((ROUND((_15_同援日１．０＿０．５*_15・２人),0)*(1+_15・盲ろう)),0)*(1+_15・区４)),0)</f>
        <v>992</v>
      </c>
      <c r="AA148" s="69"/>
    </row>
    <row r="149" spans="1:27" ht="16.5" customHeight="1" x14ac:dyDescent="0.3">
      <c r="A149" s="2">
        <v>15</v>
      </c>
      <c r="B149" s="2" t="s">
        <v>1264</v>
      </c>
      <c r="C149" s="60" t="s">
        <v>11756</v>
      </c>
      <c r="D149" s="1"/>
      <c r="E149" s="68"/>
      <c r="F149" s="70"/>
      <c r="G149" s="1"/>
      <c r="H149" s="68"/>
      <c r="I149" s="70"/>
      <c r="J149" s="74" t="s">
        <v>18128</v>
      </c>
      <c r="K149" s="62"/>
      <c r="L149" s="63"/>
      <c r="M149" s="85"/>
      <c r="N149" s="64"/>
      <c r="O149" s="65"/>
      <c r="P149" s="99"/>
      <c r="Q149" s="70"/>
      <c r="R149" s="67"/>
      <c r="S149" s="68" t="s">
        <v>1</v>
      </c>
      <c r="T149" s="76">
        <v>0.25</v>
      </c>
      <c r="U149" s="70" t="s">
        <v>422</v>
      </c>
      <c r="V149" s="67"/>
      <c r="W149" s="68"/>
      <c r="X149" s="76"/>
      <c r="Y149" s="70"/>
      <c r="Z149" s="228">
        <f>ROUND((ROUND((ROUND((ROUND((_15_同援日１．０*_15・基礎２),0)*(1+_15・A深夜)),0)*(1+_15・盲ろう)),0)*(1+_15・区４)),0)+ROUND((ROUND((ROUND((_15_同援日１．０＿０．５*_15・基礎２),0)*(1+_15・盲ろう)),0)*(1+_15・区４)),0)</f>
        <v>895</v>
      </c>
      <c r="AA149" s="69"/>
    </row>
    <row r="150" spans="1:27" ht="16.5" customHeight="1" x14ac:dyDescent="0.3">
      <c r="A150" s="2">
        <v>15</v>
      </c>
      <c r="B150" s="2" t="s">
        <v>1265</v>
      </c>
      <c r="C150" s="60" t="s">
        <v>11755</v>
      </c>
      <c r="D150" s="1"/>
      <c r="E150" s="68"/>
      <c r="F150" s="70"/>
      <c r="G150" s="81"/>
      <c r="H150" s="57"/>
      <c r="I150" s="77"/>
      <c r="J150" s="106" t="s">
        <v>18127</v>
      </c>
      <c r="K150" s="57" t="s">
        <v>1</v>
      </c>
      <c r="L150" s="58">
        <v>0.9</v>
      </c>
      <c r="M150" s="83" t="s">
        <v>5895</v>
      </c>
      <c r="N150" s="64" t="s">
        <v>1</v>
      </c>
      <c r="O150" s="65">
        <v>1</v>
      </c>
      <c r="P150" s="99"/>
      <c r="Q150" s="70"/>
      <c r="R150" s="66"/>
      <c r="S150" s="57"/>
      <c r="T150" s="58"/>
      <c r="U150" s="77"/>
      <c r="V150" s="66"/>
      <c r="W150" s="57"/>
      <c r="X150" s="58"/>
      <c r="Y150" s="77"/>
      <c r="Z150" s="228">
        <f>ROUND((ROUND((ROUND((ROUND((ROUND((_15_同援日１．０*_15・基礎２),0)*_15・２人),0)*(1+_15・A深夜)),0)*(1+_15・盲ろう)),0)*(1+_15・区４)),0)+ROUND((ROUND((ROUND((ROUND((_15_同援日１．０＿０．５*_15・基礎２),0)*_15・２人),0)*(1+_15・盲ろう)),0)*(1+_15・区４)),0)</f>
        <v>895</v>
      </c>
      <c r="AA150" s="69"/>
    </row>
    <row r="151" spans="1:27" ht="16.5" customHeight="1" x14ac:dyDescent="0.3">
      <c r="A151" s="2">
        <v>15</v>
      </c>
      <c r="B151" s="2" t="s">
        <v>1266</v>
      </c>
      <c r="C151" s="60" t="s">
        <v>11754</v>
      </c>
      <c r="D151" s="1"/>
      <c r="E151" s="68"/>
      <c r="F151" s="70"/>
      <c r="G151" s="233" t="s">
        <v>18138</v>
      </c>
      <c r="H151" s="62"/>
      <c r="I151" s="75"/>
      <c r="J151" s="61"/>
      <c r="K151" s="62"/>
      <c r="L151" s="63"/>
      <c r="M151" s="85"/>
      <c r="N151" s="64"/>
      <c r="O151" s="65"/>
      <c r="P151" s="99"/>
      <c r="Q151" s="70"/>
      <c r="R151" s="61"/>
      <c r="S151" s="62"/>
      <c r="T151" s="63"/>
      <c r="U151" s="75"/>
      <c r="V151" s="61"/>
      <c r="W151" s="62"/>
      <c r="X151" s="63"/>
      <c r="Y151" s="75"/>
      <c r="Z151" s="228">
        <f>ROUND((_15_同援日１．０*(1+_15・A深夜)),0)+_15_同援日１．０＿１．０</f>
        <v>631</v>
      </c>
      <c r="AA151" s="69"/>
    </row>
    <row r="152" spans="1:27" ht="16.5" customHeight="1" x14ac:dyDescent="0.3">
      <c r="A152" s="2">
        <v>15</v>
      </c>
      <c r="B152" s="2" t="s">
        <v>1267</v>
      </c>
      <c r="C152" s="60" t="s">
        <v>11753</v>
      </c>
      <c r="D152" s="1"/>
      <c r="E152" s="68"/>
      <c r="F152" s="70"/>
      <c r="G152" s="1" t="s">
        <v>18137</v>
      </c>
      <c r="H152" s="68"/>
      <c r="I152" s="70"/>
      <c r="J152" s="66"/>
      <c r="K152" s="57"/>
      <c r="L152" s="58"/>
      <c r="M152" s="83" t="s">
        <v>5895</v>
      </c>
      <c r="N152" s="64" t="s">
        <v>1</v>
      </c>
      <c r="O152" s="65">
        <v>1</v>
      </c>
      <c r="P152" s="99"/>
      <c r="Q152" s="70"/>
      <c r="R152" s="67"/>
      <c r="S152" s="68"/>
      <c r="T152" s="76"/>
      <c r="U152" s="70"/>
      <c r="V152" s="67"/>
      <c r="W152" s="68"/>
      <c r="X152" s="76"/>
      <c r="Y152" s="70"/>
      <c r="Z152" s="228">
        <f>ROUND((ROUND((_15_同援日１．０*_15・２人),0)*(1+_15・A深夜)),0)+ROUND((_15_同援日１．０＿１．０*_15・２人),0)</f>
        <v>631</v>
      </c>
      <c r="AA152" s="69"/>
    </row>
    <row r="153" spans="1:27" ht="16.5" customHeight="1" x14ac:dyDescent="0.3">
      <c r="A153" s="2">
        <v>15</v>
      </c>
      <c r="B153" s="2" t="s">
        <v>1268</v>
      </c>
      <c r="C153" s="60" t="s">
        <v>11752</v>
      </c>
      <c r="D153" s="1"/>
      <c r="E153" s="68"/>
      <c r="F153" s="70"/>
      <c r="G153" s="1" t="s">
        <v>8572</v>
      </c>
      <c r="H153" s="68"/>
      <c r="I153" s="70"/>
      <c r="J153" s="74" t="s">
        <v>18128</v>
      </c>
      <c r="K153" s="62"/>
      <c r="L153" s="63"/>
      <c r="M153" s="85"/>
      <c r="N153" s="64"/>
      <c r="O153" s="65"/>
      <c r="P153" s="99"/>
      <c r="Q153" s="70"/>
      <c r="R153" s="67"/>
      <c r="S153" s="68"/>
      <c r="T153" s="76"/>
      <c r="U153" s="70"/>
      <c r="V153" s="67"/>
      <c r="W153" s="68"/>
      <c r="X153" s="76"/>
      <c r="Y153" s="70"/>
      <c r="Z153" s="228">
        <f>ROUND((ROUND((_15_同援日１．０*_15・基礎２),0)*(1+_15・A深夜)),0)+ROUND((_15_同援日１．０＿１．０*_15・基礎２),0)</f>
        <v>569</v>
      </c>
      <c r="AA153" s="69"/>
    </row>
    <row r="154" spans="1:27" ht="16.5" customHeight="1" x14ac:dyDescent="0.3">
      <c r="A154" s="2">
        <v>15</v>
      </c>
      <c r="B154" s="2" t="s">
        <v>1269</v>
      </c>
      <c r="C154" s="60" t="s">
        <v>11751</v>
      </c>
      <c r="D154" s="1"/>
      <c r="E154" s="68"/>
      <c r="F154" s="70"/>
      <c r="G154" s="1"/>
      <c r="H154" s="119">
        <v>193</v>
      </c>
      <c r="I154" s="70" t="s">
        <v>0</v>
      </c>
      <c r="J154" s="106" t="s">
        <v>18127</v>
      </c>
      <c r="K154" s="57" t="s">
        <v>1</v>
      </c>
      <c r="L154" s="58">
        <v>0.9</v>
      </c>
      <c r="M154" s="83" t="s">
        <v>5895</v>
      </c>
      <c r="N154" s="64" t="s">
        <v>1</v>
      </c>
      <c r="O154" s="65">
        <v>1</v>
      </c>
      <c r="P154" s="99"/>
      <c r="Q154" s="70"/>
      <c r="R154" s="66"/>
      <c r="S154" s="57"/>
      <c r="T154" s="58"/>
      <c r="U154" s="77"/>
      <c r="V154" s="67"/>
      <c r="W154" s="68"/>
      <c r="X154" s="76"/>
      <c r="Y154" s="70"/>
      <c r="Z154" s="228">
        <f>ROUND((ROUND((ROUND((_15_同援日１．０*_15・基礎２),0)*_15・２人),0)*(1+_15・A深夜)),0)+ROUND((ROUND((_15_同援日１．０＿１．０*_15・基礎２),0)*_15・２人),0)</f>
        <v>569</v>
      </c>
      <c r="AA154" s="69"/>
    </row>
    <row r="155" spans="1:27" ht="16.5" customHeight="1" x14ac:dyDescent="0.3">
      <c r="A155" s="2">
        <v>15</v>
      </c>
      <c r="B155" s="2" t="s">
        <v>1270</v>
      </c>
      <c r="C155" s="60" t="s">
        <v>11750</v>
      </c>
      <c r="D155" s="1"/>
      <c r="E155" s="68"/>
      <c r="F155" s="70"/>
      <c r="G155" s="1"/>
      <c r="H155" s="68"/>
      <c r="I155" s="70"/>
      <c r="J155" s="61"/>
      <c r="K155" s="62"/>
      <c r="L155" s="63"/>
      <c r="M155" s="85"/>
      <c r="N155" s="64"/>
      <c r="O155" s="65"/>
      <c r="P155" s="99"/>
      <c r="Q155" s="70"/>
      <c r="R155" s="74" t="s">
        <v>18130</v>
      </c>
      <c r="S155" s="62"/>
      <c r="T155" s="63"/>
      <c r="U155" s="75"/>
      <c r="V155" s="67"/>
      <c r="W155" s="68"/>
      <c r="X155" s="76"/>
      <c r="Y155" s="70"/>
      <c r="Z155" s="228">
        <f>ROUND((ROUND((_15_同援日１．０*(1+_15・A深夜)),0)*(1+_15・盲ろう)),0)+ROUND((_15_同援日１．０＿１．０*(1+_15・盲ろう)),0)</f>
        <v>789</v>
      </c>
      <c r="AA155" s="69"/>
    </row>
    <row r="156" spans="1:27" ht="16.5" customHeight="1" x14ac:dyDescent="0.3">
      <c r="A156" s="2">
        <v>15</v>
      </c>
      <c r="B156" s="2" t="s">
        <v>1271</v>
      </c>
      <c r="C156" s="60" t="s">
        <v>11749</v>
      </c>
      <c r="D156" s="1"/>
      <c r="E156" s="68"/>
      <c r="F156" s="70"/>
      <c r="G156" s="1"/>
      <c r="H156" s="68"/>
      <c r="I156" s="70"/>
      <c r="J156" s="66"/>
      <c r="K156" s="57"/>
      <c r="L156" s="58"/>
      <c r="M156" s="83" t="s">
        <v>5895</v>
      </c>
      <c r="N156" s="64" t="s">
        <v>1</v>
      </c>
      <c r="O156" s="65">
        <v>1</v>
      </c>
      <c r="P156" s="99"/>
      <c r="Q156" s="70"/>
      <c r="R156" s="94" t="s">
        <v>18129</v>
      </c>
      <c r="S156" s="68"/>
      <c r="T156" s="76"/>
      <c r="U156" s="70"/>
      <c r="V156" s="67"/>
      <c r="W156" s="68"/>
      <c r="X156" s="76"/>
      <c r="Y156" s="70"/>
      <c r="Z156" s="228">
        <f>ROUND((ROUND((ROUND((_15_同援日１．０*_15・２人),0)*(1+_15・A深夜)),0)*(1+_15・盲ろう)),0)+ROUND((ROUND((_15_同援日１．０＿１．０*_15・２人),0)*(1+_15・盲ろう)),0)</f>
        <v>789</v>
      </c>
      <c r="AA156" s="69"/>
    </row>
    <row r="157" spans="1:27" ht="16.5" customHeight="1" x14ac:dyDescent="0.3">
      <c r="A157" s="2">
        <v>15</v>
      </c>
      <c r="B157" s="2" t="s">
        <v>1272</v>
      </c>
      <c r="C157" s="60" t="s">
        <v>11748</v>
      </c>
      <c r="D157" s="1"/>
      <c r="E157" s="68"/>
      <c r="F157" s="70"/>
      <c r="G157" s="1"/>
      <c r="H157" s="68"/>
      <c r="I157" s="70"/>
      <c r="J157" s="74" t="s">
        <v>18128</v>
      </c>
      <c r="K157" s="62"/>
      <c r="L157" s="63"/>
      <c r="M157" s="85"/>
      <c r="N157" s="64"/>
      <c r="O157" s="65"/>
      <c r="P157" s="99"/>
      <c r="Q157" s="70"/>
      <c r="R157" s="67"/>
      <c r="S157" s="68" t="s">
        <v>1</v>
      </c>
      <c r="T157" s="76">
        <v>0.25</v>
      </c>
      <c r="U157" s="70" t="s">
        <v>422</v>
      </c>
      <c r="V157" s="67"/>
      <c r="W157" s="68"/>
      <c r="X157" s="76"/>
      <c r="Y157" s="70"/>
      <c r="Z157" s="228">
        <f>ROUND((ROUND((ROUND((_15_同援日１．０*_15・基礎２),0)*(1+_15・A深夜)),0)*(1+_15・盲ろう)),0)+ROUND((ROUND((_15_同援日１．０＿１．０*_15・基礎２),0)*(1+_15・盲ろう)),0)</f>
        <v>712</v>
      </c>
      <c r="AA157" s="69"/>
    </row>
    <row r="158" spans="1:27" ht="16.5" customHeight="1" x14ac:dyDescent="0.3">
      <c r="A158" s="2">
        <v>15</v>
      </c>
      <c r="B158" s="2" t="s">
        <v>1273</v>
      </c>
      <c r="C158" s="60" t="s">
        <v>11747</v>
      </c>
      <c r="D158" s="1"/>
      <c r="E158" s="68"/>
      <c r="F158" s="70"/>
      <c r="G158" s="1"/>
      <c r="H158" s="68"/>
      <c r="I158" s="70"/>
      <c r="J158" s="106" t="s">
        <v>18127</v>
      </c>
      <c r="K158" s="57" t="s">
        <v>1</v>
      </c>
      <c r="L158" s="58">
        <v>0.9</v>
      </c>
      <c r="M158" s="83" t="s">
        <v>5895</v>
      </c>
      <c r="N158" s="64" t="s">
        <v>1</v>
      </c>
      <c r="O158" s="65">
        <v>1</v>
      </c>
      <c r="P158" s="99"/>
      <c r="Q158" s="70"/>
      <c r="R158" s="66"/>
      <c r="S158" s="57"/>
      <c r="T158" s="58"/>
      <c r="U158" s="77"/>
      <c r="V158" s="66"/>
      <c r="W158" s="57"/>
      <c r="X158" s="58"/>
      <c r="Y158" s="77"/>
      <c r="Z158" s="228">
        <f>ROUND((ROUND((ROUND((ROUND((_15_同援日１．０*_15・基礎２),0)*_15・２人),0)*(1+_15・A深夜)),0)*(1+_15・盲ろう)),0)+ROUND((ROUND((ROUND((_15_同援日１．０＿１．０*_15・基礎２),0)*_15・２人),0)*(1+_15・盲ろう)),0)</f>
        <v>712</v>
      </c>
      <c r="AA158" s="69"/>
    </row>
    <row r="159" spans="1:27" ht="16.5" customHeight="1" x14ac:dyDescent="0.3">
      <c r="A159" s="2">
        <v>15</v>
      </c>
      <c r="B159" s="2" t="s">
        <v>1274</v>
      </c>
      <c r="C159" s="60" t="s">
        <v>11746</v>
      </c>
      <c r="D159" s="1"/>
      <c r="E159" s="68"/>
      <c r="F159" s="70"/>
      <c r="G159" s="1"/>
      <c r="H159" s="68"/>
      <c r="I159" s="70"/>
      <c r="J159" s="61"/>
      <c r="K159" s="62"/>
      <c r="L159" s="63"/>
      <c r="M159" s="85"/>
      <c r="N159" s="64"/>
      <c r="O159" s="65"/>
      <c r="P159" s="99"/>
      <c r="Q159" s="70"/>
      <c r="R159" s="61"/>
      <c r="S159" s="62"/>
      <c r="T159" s="63"/>
      <c r="U159" s="75"/>
      <c r="V159" s="61"/>
      <c r="W159" s="62"/>
      <c r="X159" s="63"/>
      <c r="Y159" s="75"/>
      <c r="Z159" s="228">
        <f>ROUND((ROUND((_15_同援日１．０*(1+_15・A深夜)),0)*(1+_15・区３)),0)+ROUND((_15_同援日１．０＿１．０*(1+_15・区３)),0)</f>
        <v>758</v>
      </c>
      <c r="AA159" s="69"/>
    </row>
    <row r="160" spans="1:27" ht="16.5" customHeight="1" x14ac:dyDescent="0.3">
      <c r="A160" s="2">
        <v>15</v>
      </c>
      <c r="B160" s="2" t="s">
        <v>1275</v>
      </c>
      <c r="C160" s="60" t="s">
        <v>11745</v>
      </c>
      <c r="D160" s="1"/>
      <c r="E160" s="68"/>
      <c r="F160" s="70"/>
      <c r="G160" s="1"/>
      <c r="H160" s="68"/>
      <c r="I160" s="70"/>
      <c r="J160" s="66"/>
      <c r="K160" s="57"/>
      <c r="L160" s="58"/>
      <c r="M160" s="83" t="s">
        <v>5895</v>
      </c>
      <c r="N160" s="64" t="s">
        <v>1</v>
      </c>
      <c r="O160" s="65">
        <v>1</v>
      </c>
      <c r="P160" s="99"/>
      <c r="Q160" s="70"/>
      <c r="R160" s="67"/>
      <c r="S160" s="68"/>
      <c r="T160" s="76"/>
      <c r="U160" s="70"/>
      <c r="V160" s="67"/>
      <c r="W160" s="68"/>
      <c r="X160" s="76"/>
      <c r="Y160" s="70"/>
      <c r="Z160" s="228">
        <f>ROUND((ROUND((ROUND((_15_同援日１．０*_15・２人),0)*(1+_15・A深夜)),0)*(1+_15・区３)),0)+ROUND((ROUND((_15_同援日１．０＿１．０*_15・２人),0)*(1+_15・区３)),0)</f>
        <v>758</v>
      </c>
      <c r="AA160" s="69"/>
    </row>
    <row r="161" spans="1:27" ht="16.5" customHeight="1" x14ac:dyDescent="0.3">
      <c r="A161" s="2">
        <v>15</v>
      </c>
      <c r="B161" s="2" t="s">
        <v>1276</v>
      </c>
      <c r="C161" s="60" t="s">
        <v>11744</v>
      </c>
      <c r="D161" s="1"/>
      <c r="E161" s="68"/>
      <c r="F161" s="70"/>
      <c r="G161" s="1"/>
      <c r="H161" s="68"/>
      <c r="I161" s="70"/>
      <c r="J161" s="74" t="s">
        <v>18128</v>
      </c>
      <c r="K161" s="62"/>
      <c r="L161" s="63"/>
      <c r="M161" s="85"/>
      <c r="N161" s="64"/>
      <c r="O161" s="65"/>
      <c r="P161" s="99"/>
      <c r="Q161" s="70"/>
      <c r="R161" s="67"/>
      <c r="S161" s="68"/>
      <c r="T161" s="76"/>
      <c r="U161" s="70"/>
      <c r="V161" s="1" t="s">
        <v>8098</v>
      </c>
      <c r="W161" s="68"/>
      <c r="X161" s="76"/>
      <c r="Y161" s="70"/>
      <c r="Z161" s="228">
        <f>ROUND((ROUND((ROUND((_15_同援日１．０*_15・基礎２),0)*(1+_15・A深夜)),0)*(1+_15・区３)),0)+ROUND((ROUND((_15_同援日１．０＿１．０*_15・基礎２),0)*(1+_15・区３)),0)</f>
        <v>683</v>
      </c>
      <c r="AA161" s="69"/>
    </row>
    <row r="162" spans="1:27" ht="16.5" customHeight="1" x14ac:dyDescent="0.3">
      <c r="A162" s="2">
        <v>15</v>
      </c>
      <c r="B162" s="2" t="s">
        <v>1277</v>
      </c>
      <c r="C162" s="60" t="s">
        <v>11743</v>
      </c>
      <c r="D162" s="1"/>
      <c r="E162" s="68"/>
      <c r="F162" s="70"/>
      <c r="G162" s="1"/>
      <c r="H162" s="68"/>
      <c r="I162" s="70"/>
      <c r="J162" s="106" t="s">
        <v>18127</v>
      </c>
      <c r="K162" s="57" t="s">
        <v>1</v>
      </c>
      <c r="L162" s="58">
        <v>0.9</v>
      </c>
      <c r="M162" s="83" t="s">
        <v>5895</v>
      </c>
      <c r="N162" s="64" t="s">
        <v>1</v>
      </c>
      <c r="O162" s="65">
        <v>1</v>
      </c>
      <c r="P162" s="99"/>
      <c r="Q162" s="70"/>
      <c r="R162" s="66"/>
      <c r="S162" s="57"/>
      <c r="T162" s="58"/>
      <c r="U162" s="77"/>
      <c r="V162" s="1" t="s">
        <v>18131</v>
      </c>
      <c r="W162" s="68"/>
      <c r="X162" s="76"/>
      <c r="Y162" s="70"/>
      <c r="Z162" s="228">
        <f>ROUND((ROUND((ROUND((ROUND((_15_同援日１．０*_15・基礎２),0)*_15・２人),0)*(1+_15・A深夜)),0)*(1+_15・区３)),0)+ROUND((ROUND((ROUND((_15_同援日１．０＿１．０*_15・基礎２),0)*_15・２人),0)*(1+_15・区３)),0)</f>
        <v>683</v>
      </c>
      <c r="AA162" s="69"/>
    </row>
    <row r="163" spans="1:27" ht="16.5" customHeight="1" x14ac:dyDescent="0.3">
      <c r="A163" s="2">
        <v>15</v>
      </c>
      <c r="B163" s="2" t="s">
        <v>1278</v>
      </c>
      <c r="C163" s="60" t="s">
        <v>11742</v>
      </c>
      <c r="D163" s="1"/>
      <c r="E163" s="68"/>
      <c r="F163" s="70"/>
      <c r="G163" s="1"/>
      <c r="H163" s="68"/>
      <c r="I163" s="70"/>
      <c r="J163" s="61"/>
      <c r="K163" s="62"/>
      <c r="L163" s="63"/>
      <c r="M163" s="85"/>
      <c r="N163" s="64"/>
      <c r="O163" s="65"/>
      <c r="P163" s="99"/>
      <c r="Q163" s="70"/>
      <c r="R163" s="74" t="s">
        <v>18130</v>
      </c>
      <c r="S163" s="62"/>
      <c r="T163" s="63"/>
      <c r="U163" s="75"/>
      <c r="V163" s="67"/>
      <c r="W163" s="68" t="s">
        <v>1</v>
      </c>
      <c r="X163" s="76">
        <v>0.2</v>
      </c>
      <c r="Y163" s="70" t="s">
        <v>422</v>
      </c>
      <c r="Z163" s="228">
        <f>ROUND((ROUND((ROUND((_15_同援日１．０*(1+_15・A深夜)),0)*(1+_15・盲ろう)),0)*(1+_15・区３)),0)+ROUND((ROUND((_15_同援日１．０＿１．０*(1+_15・盲ろう)),0)*(1+_15・区３)),0)</f>
        <v>947</v>
      </c>
      <c r="AA163" s="69"/>
    </row>
    <row r="164" spans="1:27" ht="16.5" customHeight="1" x14ac:dyDescent="0.3">
      <c r="A164" s="2">
        <v>15</v>
      </c>
      <c r="B164" s="2" t="s">
        <v>1279</v>
      </c>
      <c r="C164" s="60" t="s">
        <v>11741</v>
      </c>
      <c r="D164" s="1"/>
      <c r="E164" s="68"/>
      <c r="F164" s="70"/>
      <c r="G164" s="1"/>
      <c r="H164" s="68"/>
      <c r="I164" s="70"/>
      <c r="J164" s="66"/>
      <c r="K164" s="57"/>
      <c r="L164" s="58"/>
      <c r="M164" s="83" t="s">
        <v>5895</v>
      </c>
      <c r="N164" s="64" t="s">
        <v>1</v>
      </c>
      <c r="O164" s="65">
        <v>1</v>
      </c>
      <c r="P164" s="99"/>
      <c r="Q164" s="70"/>
      <c r="R164" s="94" t="s">
        <v>18129</v>
      </c>
      <c r="S164" s="68"/>
      <c r="T164" s="76"/>
      <c r="U164" s="70"/>
      <c r="V164" s="67"/>
      <c r="W164" s="68"/>
      <c r="X164" s="76"/>
      <c r="Y164" s="70"/>
      <c r="Z164" s="228">
        <f>ROUND((ROUND((ROUND((ROUND((_15_同援日１．０*_15・２人),0)*(1+_15・A深夜)),0)*(1+_15・盲ろう)),0)*(1+_15・区３)),0)+ROUND((ROUND((ROUND((_15_同援日１．０＿１．０*_15・２人),0)*(1+_15・盲ろう)),0)*(1+_15・区３)),0)</f>
        <v>947</v>
      </c>
      <c r="AA164" s="69"/>
    </row>
    <row r="165" spans="1:27" ht="16.5" customHeight="1" x14ac:dyDescent="0.3">
      <c r="A165" s="2">
        <v>15</v>
      </c>
      <c r="B165" s="2" t="s">
        <v>1280</v>
      </c>
      <c r="C165" s="60" t="s">
        <v>11740</v>
      </c>
      <c r="D165" s="1"/>
      <c r="E165" s="68"/>
      <c r="F165" s="70"/>
      <c r="G165" s="1"/>
      <c r="H165" s="68"/>
      <c r="I165" s="70"/>
      <c r="J165" s="74" t="s">
        <v>18128</v>
      </c>
      <c r="K165" s="62"/>
      <c r="L165" s="63"/>
      <c r="M165" s="85"/>
      <c r="N165" s="64"/>
      <c r="O165" s="65"/>
      <c r="P165" s="99"/>
      <c r="Q165" s="70"/>
      <c r="R165" s="67"/>
      <c r="S165" s="68" t="s">
        <v>1</v>
      </c>
      <c r="T165" s="76">
        <v>0.25</v>
      </c>
      <c r="U165" s="70" t="s">
        <v>422</v>
      </c>
      <c r="V165" s="67"/>
      <c r="W165" s="68"/>
      <c r="X165" s="76"/>
      <c r="Y165" s="70"/>
      <c r="Z165" s="228">
        <f>ROUND((ROUND((ROUND((ROUND((_15_同援日１．０*_15・基礎２),0)*(1+_15・A深夜)),0)*(1+_15・盲ろう)),0)*(1+_15・区３)),0)+ROUND((ROUND((ROUND((_15_同援日１．０＿１．０*_15・基礎２),0)*(1+_15・盲ろう)),0)*(1+_15・区３)),0)</f>
        <v>855</v>
      </c>
      <c r="AA165" s="69"/>
    </row>
    <row r="166" spans="1:27" ht="16.5" customHeight="1" x14ac:dyDescent="0.3">
      <c r="A166" s="2">
        <v>15</v>
      </c>
      <c r="B166" s="2" t="s">
        <v>1281</v>
      </c>
      <c r="C166" s="60" t="s">
        <v>11739</v>
      </c>
      <c r="D166" s="1"/>
      <c r="E166" s="68"/>
      <c r="F166" s="70"/>
      <c r="G166" s="1"/>
      <c r="H166" s="68"/>
      <c r="I166" s="70"/>
      <c r="J166" s="106" t="s">
        <v>18127</v>
      </c>
      <c r="K166" s="57" t="s">
        <v>1</v>
      </c>
      <c r="L166" s="58">
        <v>0.9</v>
      </c>
      <c r="M166" s="83" t="s">
        <v>5895</v>
      </c>
      <c r="N166" s="64" t="s">
        <v>1</v>
      </c>
      <c r="O166" s="65">
        <v>1</v>
      </c>
      <c r="P166" s="99"/>
      <c r="Q166" s="70"/>
      <c r="R166" s="66"/>
      <c r="S166" s="57"/>
      <c r="T166" s="58"/>
      <c r="U166" s="77"/>
      <c r="V166" s="66"/>
      <c r="W166" s="57"/>
      <c r="X166" s="58"/>
      <c r="Y166" s="77"/>
      <c r="Z166" s="228">
        <f>ROUND((ROUND((ROUND((ROUND((ROUND((_15_同援日１．０*_15・基礎２),0)*_15・２人),0)*(1+_15・A深夜)),0)*(1+_15・盲ろう)),0)*(1+_15・区３)),0)+ROUND((ROUND((ROUND((ROUND((_15_同援日１．０＿１．０*_15・基礎２),0)*_15・２人),0)*(1+_15・盲ろう)),0)*(1+_15・区３)),0)</f>
        <v>855</v>
      </c>
      <c r="AA166" s="69"/>
    </row>
    <row r="167" spans="1:27" ht="16.5" customHeight="1" x14ac:dyDescent="0.3">
      <c r="A167" s="2">
        <v>15</v>
      </c>
      <c r="B167" s="2" t="s">
        <v>1282</v>
      </c>
      <c r="C167" s="60" t="s">
        <v>11738</v>
      </c>
      <c r="D167" s="1"/>
      <c r="E167" s="68"/>
      <c r="F167" s="70"/>
      <c r="G167" s="1"/>
      <c r="H167" s="68"/>
      <c r="I167" s="70"/>
      <c r="J167" s="61"/>
      <c r="K167" s="62"/>
      <c r="L167" s="63"/>
      <c r="M167" s="85"/>
      <c r="N167" s="64"/>
      <c r="O167" s="65"/>
      <c r="P167" s="99"/>
      <c r="Q167" s="70"/>
      <c r="R167" s="61"/>
      <c r="S167" s="62"/>
      <c r="T167" s="63"/>
      <c r="U167" s="75"/>
      <c r="V167" s="61"/>
      <c r="W167" s="62"/>
      <c r="X167" s="63"/>
      <c r="Y167" s="75"/>
      <c r="Z167" s="228">
        <f>ROUND((ROUND((_15_同援日１．０*(1+_15・A深夜)),0)*(1+_15・区４)),0)+ROUND((_15_同援日１．０＿１．０*(1+_15・区４)),0)</f>
        <v>883</v>
      </c>
      <c r="AA167" s="69"/>
    </row>
    <row r="168" spans="1:27" ht="16.5" customHeight="1" x14ac:dyDescent="0.3">
      <c r="A168" s="2">
        <v>15</v>
      </c>
      <c r="B168" s="2" t="s">
        <v>1283</v>
      </c>
      <c r="C168" s="60" t="s">
        <v>11737</v>
      </c>
      <c r="D168" s="1"/>
      <c r="E168" s="68"/>
      <c r="F168" s="70"/>
      <c r="G168" s="1"/>
      <c r="H168" s="68"/>
      <c r="I168" s="70"/>
      <c r="J168" s="66"/>
      <c r="K168" s="57"/>
      <c r="L168" s="58"/>
      <c r="M168" s="83" t="s">
        <v>5895</v>
      </c>
      <c r="N168" s="64" t="s">
        <v>1</v>
      </c>
      <c r="O168" s="65">
        <v>1</v>
      </c>
      <c r="P168" s="99"/>
      <c r="Q168" s="70"/>
      <c r="R168" s="67"/>
      <c r="S168" s="68"/>
      <c r="T168" s="76"/>
      <c r="U168" s="70"/>
      <c r="V168" s="67"/>
      <c r="W168" s="68"/>
      <c r="X168" s="76"/>
      <c r="Y168" s="70"/>
      <c r="Z168" s="228">
        <f>ROUND((ROUND((ROUND((_15_同援日１．０*_15・２人),0)*(1+_15・A深夜)),0)*(1+_15・区４)),0)+ROUND((ROUND((_15_同援日１．０＿１．０*_15・２人),0)*(1+_15・区４)),0)</f>
        <v>883</v>
      </c>
      <c r="AA168" s="69"/>
    </row>
    <row r="169" spans="1:27" ht="16.5" customHeight="1" x14ac:dyDescent="0.3">
      <c r="A169" s="2">
        <v>15</v>
      </c>
      <c r="B169" s="2" t="s">
        <v>1284</v>
      </c>
      <c r="C169" s="60" t="s">
        <v>11736</v>
      </c>
      <c r="D169" s="1"/>
      <c r="E169" s="68"/>
      <c r="F169" s="70"/>
      <c r="G169" s="1"/>
      <c r="H169" s="68"/>
      <c r="I169" s="70"/>
      <c r="J169" s="74" t="s">
        <v>5898</v>
      </c>
      <c r="K169" s="62"/>
      <c r="L169" s="63"/>
      <c r="M169" s="85"/>
      <c r="N169" s="64"/>
      <c r="O169" s="65"/>
      <c r="P169" s="99"/>
      <c r="Q169" s="70"/>
      <c r="R169" s="67"/>
      <c r="S169" s="68"/>
      <c r="T169" s="76"/>
      <c r="U169" s="70"/>
      <c r="V169" s="1" t="s">
        <v>18132</v>
      </c>
      <c r="W169" s="68"/>
      <c r="X169" s="76"/>
      <c r="Y169" s="70"/>
      <c r="Z169" s="228">
        <f>ROUND((ROUND((ROUND((_15_同援日１．０*_15・基礎２),0)*(1+_15・A深夜)),0)*(1+_15・区４)),0)+ROUND((ROUND((_15_同援日１．０＿１．０*_15・基礎２),0)*(1+_15・区４)),0)</f>
        <v>797</v>
      </c>
      <c r="AA169" s="69"/>
    </row>
    <row r="170" spans="1:27" ht="16.5" customHeight="1" x14ac:dyDescent="0.3">
      <c r="A170" s="2">
        <v>15</v>
      </c>
      <c r="B170" s="2" t="s">
        <v>1285</v>
      </c>
      <c r="C170" s="60" t="s">
        <v>11735</v>
      </c>
      <c r="D170" s="1"/>
      <c r="E170" s="68"/>
      <c r="F170" s="70"/>
      <c r="G170" s="1"/>
      <c r="H170" s="68"/>
      <c r="I170" s="70"/>
      <c r="J170" s="106" t="s">
        <v>18127</v>
      </c>
      <c r="K170" s="57" t="s">
        <v>1</v>
      </c>
      <c r="L170" s="58">
        <v>0.9</v>
      </c>
      <c r="M170" s="83" t="s">
        <v>5895</v>
      </c>
      <c r="N170" s="64" t="s">
        <v>1</v>
      </c>
      <c r="O170" s="65">
        <v>1</v>
      </c>
      <c r="P170" s="99"/>
      <c r="Q170" s="70"/>
      <c r="R170" s="66"/>
      <c r="S170" s="57"/>
      <c r="T170" s="58"/>
      <c r="U170" s="77"/>
      <c r="V170" s="1" t="s">
        <v>18131</v>
      </c>
      <c r="W170" s="68"/>
      <c r="X170" s="76"/>
      <c r="Y170" s="70"/>
      <c r="Z170" s="228">
        <f>ROUND((ROUND((ROUND((ROUND((_15_同援日１．０*_15・基礎２),0)*_15・２人),0)*(1+_15・A深夜)),0)*(1+_15・区４)),0)+ROUND((ROUND((ROUND((_15_同援日１．０＿１．０*_15・基礎２),0)*_15・２人),0)*(1+_15・区４)),0)</f>
        <v>797</v>
      </c>
      <c r="AA170" s="69"/>
    </row>
    <row r="171" spans="1:27" ht="16.5" customHeight="1" x14ac:dyDescent="0.3">
      <c r="A171" s="2">
        <v>15</v>
      </c>
      <c r="B171" s="2" t="s">
        <v>1286</v>
      </c>
      <c r="C171" s="60" t="s">
        <v>11734</v>
      </c>
      <c r="D171" s="1"/>
      <c r="E171" s="68"/>
      <c r="F171" s="70"/>
      <c r="G171" s="1"/>
      <c r="H171" s="68"/>
      <c r="I171" s="70"/>
      <c r="J171" s="61"/>
      <c r="K171" s="62"/>
      <c r="L171" s="63"/>
      <c r="M171" s="85"/>
      <c r="N171" s="64"/>
      <c r="O171" s="65"/>
      <c r="P171" s="99"/>
      <c r="Q171" s="70"/>
      <c r="R171" s="74" t="s">
        <v>18130</v>
      </c>
      <c r="S171" s="62"/>
      <c r="T171" s="63"/>
      <c r="U171" s="75"/>
      <c r="V171" s="67"/>
      <c r="W171" s="68" t="s">
        <v>1</v>
      </c>
      <c r="X171" s="76">
        <v>0.4</v>
      </c>
      <c r="Y171" s="70" t="s">
        <v>422</v>
      </c>
      <c r="Z171" s="228">
        <f>ROUND((ROUND((ROUND((_15_同援日１．０*(1+_15・A深夜)),0)*(1+_15・盲ろう)),0)*(1+_15・区４)),0)+ROUND((ROUND((_15_同援日１．０＿１．０*(1+_15・盲ろう)),0)*(1+_15・区４)),0)</f>
        <v>1104</v>
      </c>
      <c r="AA171" s="69"/>
    </row>
    <row r="172" spans="1:27" ht="16.5" customHeight="1" x14ac:dyDescent="0.3">
      <c r="A172" s="2">
        <v>15</v>
      </c>
      <c r="B172" s="2" t="s">
        <v>1287</v>
      </c>
      <c r="C172" s="60" t="s">
        <v>11733</v>
      </c>
      <c r="D172" s="1"/>
      <c r="E172" s="68"/>
      <c r="F172" s="70"/>
      <c r="G172" s="1"/>
      <c r="H172" s="68"/>
      <c r="I172" s="70"/>
      <c r="J172" s="66"/>
      <c r="K172" s="57"/>
      <c r="L172" s="58"/>
      <c r="M172" s="83" t="s">
        <v>5895</v>
      </c>
      <c r="N172" s="64" t="s">
        <v>1</v>
      </c>
      <c r="O172" s="65">
        <v>1</v>
      </c>
      <c r="P172" s="99"/>
      <c r="Q172" s="70"/>
      <c r="R172" s="94" t="s">
        <v>18129</v>
      </c>
      <c r="S172" s="68"/>
      <c r="T172" s="76"/>
      <c r="U172" s="70"/>
      <c r="V172" s="67"/>
      <c r="W172" s="68"/>
      <c r="X172" s="76"/>
      <c r="Y172" s="70"/>
      <c r="Z172" s="228">
        <f>ROUND((ROUND((ROUND((ROUND((_15_同援日１．０*_15・２人),0)*(1+_15・A深夜)),0)*(1+_15・盲ろう)),0)*(1+_15・区４)),0)+ROUND((ROUND((ROUND((_15_同援日１．０＿１．０*_15・２人),0)*(1+_15・盲ろう)),0)*(1+_15・区４)),0)</f>
        <v>1104</v>
      </c>
      <c r="AA172" s="69"/>
    </row>
    <row r="173" spans="1:27" ht="16.5" customHeight="1" x14ac:dyDescent="0.3">
      <c r="A173" s="2">
        <v>15</v>
      </c>
      <c r="B173" s="2" t="s">
        <v>1288</v>
      </c>
      <c r="C173" s="60" t="s">
        <v>11732</v>
      </c>
      <c r="D173" s="1"/>
      <c r="E173" s="68"/>
      <c r="F173" s="70"/>
      <c r="G173" s="1"/>
      <c r="H173" s="68"/>
      <c r="I173" s="70"/>
      <c r="J173" s="74" t="s">
        <v>18128</v>
      </c>
      <c r="K173" s="62"/>
      <c r="L173" s="63"/>
      <c r="M173" s="85"/>
      <c r="N173" s="64"/>
      <c r="O173" s="65"/>
      <c r="P173" s="99"/>
      <c r="Q173" s="70"/>
      <c r="R173" s="67"/>
      <c r="S173" s="68" t="s">
        <v>1</v>
      </c>
      <c r="T173" s="76">
        <v>0.25</v>
      </c>
      <c r="U173" s="70" t="s">
        <v>422</v>
      </c>
      <c r="V173" s="67"/>
      <c r="W173" s="68"/>
      <c r="X173" s="76"/>
      <c r="Y173" s="70"/>
      <c r="Z173" s="228">
        <f>ROUND((ROUND((ROUND((ROUND((_15_同援日１．０*_15・基礎２),0)*(1+_15・A深夜)),0)*(1+_15・盲ろう)),0)*(1+_15・区４)),0)+ROUND((ROUND((ROUND((_15_同援日１．０＿１．０*_15・基礎２),0)*(1+_15・盲ろう)),0)*(1+_15・区４)),0)</f>
        <v>997</v>
      </c>
      <c r="AA173" s="69"/>
    </row>
    <row r="174" spans="1:27" ht="16.5" customHeight="1" x14ac:dyDescent="0.3">
      <c r="A174" s="2">
        <v>15</v>
      </c>
      <c r="B174" s="2" t="s">
        <v>1289</v>
      </c>
      <c r="C174" s="60" t="s">
        <v>11731</v>
      </c>
      <c r="D174" s="1"/>
      <c r="E174" s="68"/>
      <c r="F174" s="70"/>
      <c r="G174" s="81"/>
      <c r="H174" s="57"/>
      <c r="I174" s="77"/>
      <c r="J174" s="106" t="s">
        <v>18127</v>
      </c>
      <c r="K174" s="57" t="s">
        <v>1</v>
      </c>
      <c r="L174" s="58">
        <v>0.9</v>
      </c>
      <c r="M174" s="83" t="s">
        <v>5895</v>
      </c>
      <c r="N174" s="64" t="s">
        <v>1</v>
      </c>
      <c r="O174" s="65">
        <v>1</v>
      </c>
      <c r="P174" s="99"/>
      <c r="Q174" s="70"/>
      <c r="R174" s="66"/>
      <c r="S174" s="57"/>
      <c r="T174" s="58"/>
      <c r="U174" s="77"/>
      <c r="V174" s="66"/>
      <c r="W174" s="57"/>
      <c r="X174" s="58"/>
      <c r="Y174" s="77"/>
      <c r="Z174" s="228">
        <f>ROUND((ROUND((ROUND((ROUND((ROUND((_15_同援日１．０*_15・基礎２),0)*_15・２人),0)*(1+_15・A深夜)),0)*(1+_15・盲ろう)),0)*(1+_15・区４)),0)+ROUND((ROUND((ROUND((ROUND((_15_同援日１．０＿１．０*_15・基礎２),0)*_15・２人),0)*(1+_15・盲ろう)),0)*(1+_15・区４)),0)</f>
        <v>997</v>
      </c>
      <c r="AA174" s="69"/>
    </row>
    <row r="175" spans="1:27" ht="16.5" customHeight="1" x14ac:dyDescent="0.3">
      <c r="A175" s="2">
        <v>15</v>
      </c>
      <c r="B175" s="2" t="s">
        <v>1290</v>
      </c>
      <c r="C175" s="60" t="s">
        <v>11730</v>
      </c>
      <c r="D175" s="1"/>
      <c r="E175" s="68"/>
      <c r="F175" s="70"/>
      <c r="G175" s="233" t="s">
        <v>18142</v>
      </c>
      <c r="H175" s="62"/>
      <c r="I175" s="75"/>
      <c r="J175" s="61"/>
      <c r="K175" s="62"/>
      <c r="L175" s="63"/>
      <c r="M175" s="85"/>
      <c r="N175" s="64"/>
      <c r="O175" s="65"/>
      <c r="P175" s="99"/>
      <c r="Q175" s="70"/>
      <c r="R175" s="61"/>
      <c r="S175" s="62"/>
      <c r="T175" s="63"/>
      <c r="U175" s="75"/>
      <c r="V175" s="61"/>
      <c r="W175" s="62"/>
      <c r="X175" s="63"/>
      <c r="Y175" s="75"/>
      <c r="Z175" s="228">
        <f>ROUND((_15_同援日１．０*(1+_15・A深夜)),0)+_15_同援日１．０＿１．５</f>
        <v>694</v>
      </c>
      <c r="AA175" s="69"/>
    </row>
    <row r="176" spans="1:27" ht="16.5" customHeight="1" x14ac:dyDescent="0.3">
      <c r="A176" s="2">
        <v>15</v>
      </c>
      <c r="B176" s="2" t="s">
        <v>1291</v>
      </c>
      <c r="C176" s="60" t="s">
        <v>11729</v>
      </c>
      <c r="D176" s="1"/>
      <c r="E176" s="68"/>
      <c r="F176" s="70"/>
      <c r="G176" s="1" t="s">
        <v>5987</v>
      </c>
      <c r="H176" s="68"/>
      <c r="I176" s="70"/>
      <c r="J176" s="66"/>
      <c r="K176" s="57"/>
      <c r="L176" s="58"/>
      <c r="M176" s="83" t="s">
        <v>5895</v>
      </c>
      <c r="N176" s="64" t="s">
        <v>1</v>
      </c>
      <c r="O176" s="65">
        <v>1</v>
      </c>
      <c r="P176" s="99"/>
      <c r="Q176" s="70"/>
      <c r="R176" s="67"/>
      <c r="S176" s="68"/>
      <c r="T176" s="76"/>
      <c r="U176" s="70"/>
      <c r="V176" s="67"/>
      <c r="W176" s="68"/>
      <c r="X176" s="76"/>
      <c r="Y176" s="70"/>
      <c r="Z176" s="228">
        <f>ROUND((ROUND((_15_同援日１．０*_15・２人),0)*(1+_15・A深夜)),0)+ROUND((_15_同援日１．０＿１．５*_15・２人),0)</f>
        <v>694</v>
      </c>
      <c r="AA176" s="69"/>
    </row>
    <row r="177" spans="1:27" ht="16.5" customHeight="1" x14ac:dyDescent="0.3">
      <c r="A177" s="2">
        <v>15</v>
      </c>
      <c r="B177" s="2" t="s">
        <v>1292</v>
      </c>
      <c r="C177" s="60" t="s">
        <v>11728</v>
      </c>
      <c r="D177" s="1"/>
      <c r="E177" s="68"/>
      <c r="F177" s="70"/>
      <c r="G177" s="1" t="s">
        <v>8767</v>
      </c>
      <c r="H177" s="68"/>
      <c r="I177" s="70"/>
      <c r="J177" s="74" t="s">
        <v>18128</v>
      </c>
      <c r="K177" s="62"/>
      <c r="L177" s="63"/>
      <c r="M177" s="85"/>
      <c r="N177" s="64"/>
      <c r="O177" s="65"/>
      <c r="P177" s="99"/>
      <c r="Q177" s="70"/>
      <c r="R177" s="67"/>
      <c r="S177" s="68"/>
      <c r="T177" s="76"/>
      <c r="U177" s="70"/>
      <c r="V177" s="67"/>
      <c r="W177" s="68"/>
      <c r="X177" s="76"/>
      <c r="Y177" s="70"/>
      <c r="Z177" s="228">
        <f>ROUND((ROUND((_15_同援日１．０*_15・基礎２),0)*(1+_15・A深夜)),0)+ROUND((_15_同援日１．０＿１．５*_15・基礎２),0)</f>
        <v>625</v>
      </c>
      <c r="AA177" s="69"/>
    </row>
    <row r="178" spans="1:27" ht="16.5" customHeight="1" x14ac:dyDescent="0.3">
      <c r="A178" s="2">
        <v>15</v>
      </c>
      <c r="B178" s="2" t="s">
        <v>1293</v>
      </c>
      <c r="C178" s="60" t="s">
        <v>11727</v>
      </c>
      <c r="D178" s="1"/>
      <c r="E178" s="68"/>
      <c r="F178" s="70"/>
      <c r="G178" s="1"/>
      <c r="H178" s="119">
        <v>256</v>
      </c>
      <c r="I178" s="70" t="s">
        <v>0</v>
      </c>
      <c r="J178" s="106" t="s">
        <v>18127</v>
      </c>
      <c r="K178" s="57" t="s">
        <v>1</v>
      </c>
      <c r="L178" s="58">
        <v>0.9</v>
      </c>
      <c r="M178" s="83" t="s">
        <v>5895</v>
      </c>
      <c r="N178" s="64" t="s">
        <v>1</v>
      </c>
      <c r="O178" s="65">
        <v>1</v>
      </c>
      <c r="P178" s="99"/>
      <c r="Q178" s="70"/>
      <c r="R178" s="66"/>
      <c r="S178" s="57"/>
      <c r="T178" s="58"/>
      <c r="U178" s="77"/>
      <c r="V178" s="67"/>
      <c r="W178" s="68"/>
      <c r="X178" s="76"/>
      <c r="Y178" s="70"/>
      <c r="Z178" s="228">
        <f>ROUND((ROUND((ROUND((_15_同援日１．０*_15・基礎２),0)*_15・２人),0)*(1+_15・A深夜)),0)+ROUND((ROUND((_15_同援日１．０＿１．５*_15・基礎２),0)*_15・２人),0)</f>
        <v>625</v>
      </c>
      <c r="AA178" s="69"/>
    </row>
    <row r="179" spans="1:27" ht="16.5" customHeight="1" x14ac:dyDescent="0.3">
      <c r="A179" s="2">
        <v>15</v>
      </c>
      <c r="B179" s="2" t="s">
        <v>1294</v>
      </c>
      <c r="C179" s="60" t="s">
        <v>11726</v>
      </c>
      <c r="D179" s="1"/>
      <c r="E179" s="68"/>
      <c r="F179" s="70"/>
      <c r="G179" s="1"/>
      <c r="H179" s="68"/>
      <c r="I179" s="70"/>
      <c r="J179" s="61"/>
      <c r="K179" s="62"/>
      <c r="L179" s="63"/>
      <c r="M179" s="85"/>
      <c r="N179" s="64"/>
      <c r="O179" s="65"/>
      <c r="P179" s="99"/>
      <c r="Q179" s="70"/>
      <c r="R179" s="74" t="s">
        <v>18130</v>
      </c>
      <c r="S179" s="62"/>
      <c r="T179" s="63"/>
      <c r="U179" s="75"/>
      <c r="V179" s="67"/>
      <c r="W179" s="68"/>
      <c r="X179" s="76"/>
      <c r="Y179" s="70"/>
      <c r="Z179" s="228">
        <f>ROUND((ROUND((_15_同援日１．０*(1+_15・A深夜)),0)*(1+_15・盲ろう)),0)+ROUND((_15_同援日１．０＿１．５*(1+_15・盲ろう)),0)</f>
        <v>868</v>
      </c>
      <c r="AA179" s="69"/>
    </row>
    <row r="180" spans="1:27" ht="16.5" customHeight="1" x14ac:dyDescent="0.3">
      <c r="A180" s="2">
        <v>15</v>
      </c>
      <c r="B180" s="2" t="s">
        <v>1295</v>
      </c>
      <c r="C180" s="60" t="s">
        <v>11725</v>
      </c>
      <c r="D180" s="1"/>
      <c r="E180" s="68"/>
      <c r="F180" s="70"/>
      <c r="G180" s="1"/>
      <c r="H180" s="68"/>
      <c r="I180" s="70"/>
      <c r="J180" s="66"/>
      <c r="K180" s="57"/>
      <c r="L180" s="58"/>
      <c r="M180" s="83" t="s">
        <v>5895</v>
      </c>
      <c r="N180" s="64" t="s">
        <v>1</v>
      </c>
      <c r="O180" s="65">
        <v>1</v>
      </c>
      <c r="P180" s="99"/>
      <c r="Q180" s="70"/>
      <c r="R180" s="94" t="s">
        <v>18129</v>
      </c>
      <c r="S180" s="68"/>
      <c r="T180" s="76"/>
      <c r="U180" s="70"/>
      <c r="V180" s="67"/>
      <c r="W180" s="68"/>
      <c r="X180" s="76"/>
      <c r="Y180" s="70"/>
      <c r="Z180" s="228">
        <f>ROUND((ROUND((ROUND((_15_同援日１．０*_15・２人),0)*(1+_15・A深夜)),0)*(1+_15・盲ろう)),0)+ROUND((ROUND((_15_同援日１．０＿１．５*_15・２人),0)*(1+_15・盲ろう)),0)</f>
        <v>868</v>
      </c>
      <c r="AA180" s="69"/>
    </row>
    <row r="181" spans="1:27" ht="16.5" customHeight="1" x14ac:dyDescent="0.3">
      <c r="A181" s="2">
        <v>15</v>
      </c>
      <c r="B181" s="2" t="s">
        <v>1296</v>
      </c>
      <c r="C181" s="60" t="s">
        <v>11724</v>
      </c>
      <c r="D181" s="1"/>
      <c r="E181" s="68"/>
      <c r="F181" s="70"/>
      <c r="G181" s="1"/>
      <c r="H181" s="68"/>
      <c r="I181" s="70"/>
      <c r="J181" s="74" t="s">
        <v>18128</v>
      </c>
      <c r="K181" s="62"/>
      <c r="L181" s="63"/>
      <c r="M181" s="85"/>
      <c r="N181" s="64"/>
      <c r="O181" s="65"/>
      <c r="P181" s="99"/>
      <c r="Q181" s="70"/>
      <c r="R181" s="67"/>
      <c r="S181" s="68" t="s">
        <v>1</v>
      </c>
      <c r="T181" s="76">
        <v>0.25</v>
      </c>
      <c r="U181" s="70" t="s">
        <v>422</v>
      </c>
      <c r="V181" s="67"/>
      <c r="W181" s="68"/>
      <c r="X181" s="76"/>
      <c r="Y181" s="70"/>
      <c r="Z181" s="228">
        <f>ROUND((ROUND((ROUND((_15_同援日１．０*_15・基礎２),0)*(1+_15・A深夜)),0)*(1+_15・盲ろう)),0)+ROUND((ROUND((_15_同援日１．０＿１．５*_15・基礎２),0)*(1+_15・盲ろう)),0)</f>
        <v>782</v>
      </c>
      <c r="AA181" s="69"/>
    </row>
    <row r="182" spans="1:27" ht="16.5" customHeight="1" x14ac:dyDescent="0.3">
      <c r="A182" s="2">
        <v>15</v>
      </c>
      <c r="B182" s="2" t="s">
        <v>1297</v>
      </c>
      <c r="C182" s="60" t="s">
        <v>11723</v>
      </c>
      <c r="D182" s="1"/>
      <c r="E182" s="68"/>
      <c r="F182" s="70"/>
      <c r="G182" s="1"/>
      <c r="H182" s="68"/>
      <c r="I182" s="70"/>
      <c r="J182" s="106" t="s">
        <v>18127</v>
      </c>
      <c r="K182" s="57" t="s">
        <v>1</v>
      </c>
      <c r="L182" s="58">
        <v>0.9</v>
      </c>
      <c r="M182" s="83" t="s">
        <v>5895</v>
      </c>
      <c r="N182" s="64" t="s">
        <v>1</v>
      </c>
      <c r="O182" s="65">
        <v>1</v>
      </c>
      <c r="P182" s="99"/>
      <c r="Q182" s="70"/>
      <c r="R182" s="66"/>
      <c r="S182" s="57"/>
      <c r="T182" s="58"/>
      <c r="U182" s="77"/>
      <c r="V182" s="66"/>
      <c r="W182" s="57"/>
      <c r="X182" s="58"/>
      <c r="Y182" s="77"/>
      <c r="Z182" s="228">
        <f>ROUND((ROUND((ROUND((ROUND((_15_同援日１．０*_15・基礎２),0)*_15・２人),0)*(1+_15・A深夜)),0)*(1+_15・盲ろう)),0)+ROUND((ROUND((ROUND((_15_同援日１．０＿１．５*_15・基礎２),0)*_15・２人),0)*(1+_15・盲ろう)),0)</f>
        <v>782</v>
      </c>
      <c r="AA182" s="69"/>
    </row>
    <row r="183" spans="1:27" ht="16.5" customHeight="1" x14ac:dyDescent="0.3">
      <c r="A183" s="2">
        <v>15</v>
      </c>
      <c r="B183" s="2" t="s">
        <v>1298</v>
      </c>
      <c r="C183" s="60" t="s">
        <v>11722</v>
      </c>
      <c r="D183" s="1"/>
      <c r="E183" s="68"/>
      <c r="F183" s="70"/>
      <c r="G183" s="1"/>
      <c r="H183" s="68"/>
      <c r="I183" s="70"/>
      <c r="J183" s="61"/>
      <c r="K183" s="62"/>
      <c r="L183" s="63"/>
      <c r="M183" s="85"/>
      <c r="N183" s="64"/>
      <c r="O183" s="65"/>
      <c r="P183" s="99"/>
      <c r="Q183" s="70"/>
      <c r="R183" s="61"/>
      <c r="S183" s="62"/>
      <c r="T183" s="63"/>
      <c r="U183" s="75"/>
      <c r="V183" s="61"/>
      <c r="W183" s="62"/>
      <c r="X183" s="63"/>
      <c r="Y183" s="75"/>
      <c r="Z183" s="228">
        <f>ROUND((ROUND((_15_同援日１．０*(1+_15・A深夜)),0)*(1+_15・区３)),0)+ROUND((_15_同援日１．０＿１．５*(1+_15・区３)),0)</f>
        <v>833</v>
      </c>
      <c r="AA183" s="69"/>
    </row>
    <row r="184" spans="1:27" ht="16.5" customHeight="1" x14ac:dyDescent="0.3">
      <c r="A184" s="2">
        <v>15</v>
      </c>
      <c r="B184" s="2" t="s">
        <v>1299</v>
      </c>
      <c r="C184" s="60" t="s">
        <v>11721</v>
      </c>
      <c r="D184" s="1"/>
      <c r="E184" s="68"/>
      <c r="F184" s="70"/>
      <c r="G184" s="1"/>
      <c r="H184" s="68"/>
      <c r="I184" s="70"/>
      <c r="J184" s="66"/>
      <c r="K184" s="57"/>
      <c r="L184" s="58"/>
      <c r="M184" s="83" t="s">
        <v>5895</v>
      </c>
      <c r="N184" s="64" t="s">
        <v>1</v>
      </c>
      <c r="O184" s="65">
        <v>1</v>
      </c>
      <c r="P184" s="99"/>
      <c r="Q184" s="70"/>
      <c r="R184" s="67"/>
      <c r="S184" s="68"/>
      <c r="T184" s="76"/>
      <c r="U184" s="70"/>
      <c r="V184" s="67"/>
      <c r="W184" s="68"/>
      <c r="X184" s="76"/>
      <c r="Y184" s="70"/>
      <c r="Z184" s="228">
        <f>ROUND((ROUND((ROUND((_15_同援日１．０*_15・２人),0)*(1+_15・A深夜)),0)*(1+_15・区３)),0)+ROUND((ROUND((_15_同援日１．０＿１．５*_15・２人),0)*(1+_15・区３)),0)</f>
        <v>833</v>
      </c>
      <c r="AA184" s="69"/>
    </row>
    <row r="185" spans="1:27" ht="16.5" customHeight="1" x14ac:dyDescent="0.3">
      <c r="A185" s="2">
        <v>15</v>
      </c>
      <c r="B185" s="2" t="s">
        <v>1300</v>
      </c>
      <c r="C185" s="60" t="s">
        <v>11720</v>
      </c>
      <c r="D185" s="1"/>
      <c r="E185" s="68"/>
      <c r="F185" s="70"/>
      <c r="G185" s="1"/>
      <c r="H185" s="68"/>
      <c r="I185" s="70"/>
      <c r="J185" s="74" t="s">
        <v>18128</v>
      </c>
      <c r="K185" s="62"/>
      <c r="L185" s="63"/>
      <c r="M185" s="85"/>
      <c r="N185" s="64"/>
      <c r="O185" s="65"/>
      <c r="P185" s="99"/>
      <c r="Q185" s="70"/>
      <c r="R185" s="67"/>
      <c r="S185" s="68"/>
      <c r="T185" s="76"/>
      <c r="U185" s="70"/>
      <c r="V185" s="1" t="s">
        <v>18133</v>
      </c>
      <c r="W185" s="68"/>
      <c r="X185" s="76"/>
      <c r="Y185" s="70"/>
      <c r="Z185" s="228">
        <f>ROUND((ROUND((ROUND((_15_同援日１．０*_15・基礎２),0)*(1+_15・A深夜)),0)*(1+_15・区３)),0)+ROUND((ROUND((_15_同援日１．０＿１．５*_15・基礎２),0)*(1+_15・区３)),0)</f>
        <v>750</v>
      </c>
      <c r="AA185" s="69"/>
    </row>
    <row r="186" spans="1:27" ht="16.5" customHeight="1" x14ac:dyDescent="0.3">
      <c r="A186" s="2">
        <v>15</v>
      </c>
      <c r="B186" s="2" t="s">
        <v>1301</v>
      </c>
      <c r="C186" s="60" t="s">
        <v>11719</v>
      </c>
      <c r="D186" s="1"/>
      <c r="E186" s="68"/>
      <c r="F186" s="70"/>
      <c r="G186" s="1"/>
      <c r="H186" s="68"/>
      <c r="I186" s="70"/>
      <c r="J186" s="106" t="s">
        <v>18127</v>
      </c>
      <c r="K186" s="57" t="s">
        <v>1</v>
      </c>
      <c r="L186" s="58">
        <v>0.9</v>
      </c>
      <c r="M186" s="83" t="s">
        <v>5895</v>
      </c>
      <c r="N186" s="64" t="s">
        <v>1</v>
      </c>
      <c r="O186" s="65">
        <v>1</v>
      </c>
      <c r="P186" s="99"/>
      <c r="Q186" s="70"/>
      <c r="R186" s="66"/>
      <c r="S186" s="57"/>
      <c r="T186" s="58"/>
      <c r="U186" s="77"/>
      <c r="V186" s="1" t="s">
        <v>18131</v>
      </c>
      <c r="W186" s="68"/>
      <c r="X186" s="76"/>
      <c r="Y186" s="70"/>
      <c r="Z186" s="228">
        <f>ROUND((ROUND((ROUND((ROUND((_15_同援日１．０*_15・基礎２),0)*_15・２人),0)*(1+_15・A深夜)),0)*(1+_15・区３)),0)+ROUND((ROUND((ROUND((_15_同援日１．０＿１．５*_15・基礎２),0)*_15・２人),0)*(1+_15・区３)),0)</f>
        <v>750</v>
      </c>
      <c r="AA186" s="69"/>
    </row>
    <row r="187" spans="1:27" ht="16.5" customHeight="1" x14ac:dyDescent="0.3">
      <c r="A187" s="2">
        <v>15</v>
      </c>
      <c r="B187" s="2" t="s">
        <v>1302</v>
      </c>
      <c r="C187" s="60" t="s">
        <v>11718</v>
      </c>
      <c r="D187" s="1"/>
      <c r="E187" s="68"/>
      <c r="F187" s="70"/>
      <c r="G187" s="1"/>
      <c r="H187" s="68"/>
      <c r="I187" s="70"/>
      <c r="J187" s="61"/>
      <c r="K187" s="62"/>
      <c r="L187" s="63"/>
      <c r="M187" s="85"/>
      <c r="N187" s="64"/>
      <c r="O187" s="65"/>
      <c r="P187" s="99"/>
      <c r="Q187" s="70"/>
      <c r="R187" s="74" t="s">
        <v>18130</v>
      </c>
      <c r="S187" s="62"/>
      <c r="T187" s="63"/>
      <c r="U187" s="75"/>
      <c r="V187" s="67"/>
      <c r="W187" s="68" t="s">
        <v>1</v>
      </c>
      <c r="X187" s="76">
        <v>0.2</v>
      </c>
      <c r="Y187" s="70" t="s">
        <v>422</v>
      </c>
      <c r="Z187" s="228">
        <f>ROUND((ROUND((ROUND((_15_同援日１．０*(1+_15・A深夜)),0)*(1+_15・盲ろう)),0)*(1+_15・区３)),0)+ROUND((ROUND((_15_同援日１．０＿１．５*(1+_15・盲ろう)),0)*(1+_15・区３)),0)</f>
        <v>1042</v>
      </c>
      <c r="AA187" s="69"/>
    </row>
    <row r="188" spans="1:27" ht="16.5" customHeight="1" x14ac:dyDescent="0.3">
      <c r="A188" s="2">
        <v>15</v>
      </c>
      <c r="B188" s="2" t="s">
        <v>1303</v>
      </c>
      <c r="C188" s="60" t="s">
        <v>11717</v>
      </c>
      <c r="D188" s="1"/>
      <c r="E188" s="68"/>
      <c r="F188" s="70"/>
      <c r="G188" s="1"/>
      <c r="H188" s="68"/>
      <c r="I188" s="70"/>
      <c r="J188" s="66"/>
      <c r="K188" s="57"/>
      <c r="L188" s="58"/>
      <c r="M188" s="83" t="s">
        <v>5895</v>
      </c>
      <c r="N188" s="64" t="s">
        <v>1</v>
      </c>
      <c r="O188" s="65">
        <v>1</v>
      </c>
      <c r="P188" s="99"/>
      <c r="Q188" s="70"/>
      <c r="R188" s="94" t="s">
        <v>18129</v>
      </c>
      <c r="S188" s="68"/>
      <c r="T188" s="76"/>
      <c r="U188" s="70"/>
      <c r="V188" s="67"/>
      <c r="W188" s="68"/>
      <c r="X188" s="76"/>
      <c r="Y188" s="70"/>
      <c r="Z188" s="228">
        <f>ROUND((ROUND((ROUND((ROUND((_15_同援日１．０*_15・２人),0)*(1+_15・A深夜)),0)*(1+_15・盲ろう)),0)*(1+_15・区３)),0)+ROUND((ROUND((ROUND((_15_同援日１．０＿１．５*_15・２人),0)*(1+_15・盲ろう)),0)*(1+_15・区３)),0)</f>
        <v>1042</v>
      </c>
      <c r="AA188" s="69"/>
    </row>
    <row r="189" spans="1:27" ht="16.5" customHeight="1" x14ac:dyDescent="0.3">
      <c r="A189" s="2">
        <v>15</v>
      </c>
      <c r="B189" s="2" t="s">
        <v>1304</v>
      </c>
      <c r="C189" s="60" t="s">
        <v>11716</v>
      </c>
      <c r="D189" s="1"/>
      <c r="E189" s="68"/>
      <c r="F189" s="70"/>
      <c r="G189" s="1"/>
      <c r="H189" s="68"/>
      <c r="I189" s="70"/>
      <c r="J189" s="74" t="s">
        <v>18128</v>
      </c>
      <c r="K189" s="62"/>
      <c r="L189" s="63"/>
      <c r="M189" s="85"/>
      <c r="N189" s="64"/>
      <c r="O189" s="65"/>
      <c r="P189" s="99"/>
      <c r="Q189" s="70"/>
      <c r="R189" s="67"/>
      <c r="S189" s="68" t="s">
        <v>1</v>
      </c>
      <c r="T189" s="76">
        <v>0.25</v>
      </c>
      <c r="U189" s="70" t="s">
        <v>422</v>
      </c>
      <c r="V189" s="67"/>
      <c r="W189" s="68"/>
      <c r="X189" s="76"/>
      <c r="Y189" s="70"/>
      <c r="Z189" s="228">
        <f>ROUND((ROUND((ROUND((ROUND((_15_同援日１．０*_15・基礎２),0)*(1+_15・A深夜)),0)*(1+_15・盲ろう)),0)*(1+_15・区３)),0)+ROUND((ROUND((ROUND((_15_同援日１．０＿１．５*_15・基礎２),0)*(1+_15・盲ろう)),0)*(1+_15・区３)),0)</f>
        <v>939</v>
      </c>
      <c r="AA189" s="69"/>
    </row>
    <row r="190" spans="1:27" ht="16.5" customHeight="1" x14ac:dyDescent="0.3">
      <c r="A190" s="2">
        <v>15</v>
      </c>
      <c r="B190" s="2" t="s">
        <v>1305</v>
      </c>
      <c r="C190" s="60" t="s">
        <v>11715</v>
      </c>
      <c r="D190" s="1"/>
      <c r="E190" s="68"/>
      <c r="F190" s="70"/>
      <c r="G190" s="1"/>
      <c r="H190" s="68"/>
      <c r="I190" s="70"/>
      <c r="J190" s="106" t="s">
        <v>18127</v>
      </c>
      <c r="K190" s="57" t="s">
        <v>1</v>
      </c>
      <c r="L190" s="58">
        <v>0.9</v>
      </c>
      <c r="M190" s="83" t="s">
        <v>5895</v>
      </c>
      <c r="N190" s="64" t="s">
        <v>1</v>
      </c>
      <c r="O190" s="65">
        <v>1</v>
      </c>
      <c r="P190" s="99"/>
      <c r="Q190" s="70"/>
      <c r="R190" s="66"/>
      <c r="S190" s="57"/>
      <c r="T190" s="58"/>
      <c r="U190" s="77"/>
      <c r="V190" s="66"/>
      <c r="W190" s="57"/>
      <c r="X190" s="58"/>
      <c r="Y190" s="77"/>
      <c r="Z190" s="228">
        <f>ROUND((ROUND((ROUND((ROUND((ROUND((_15_同援日１．０*_15・基礎２),0)*_15・２人),0)*(1+_15・A深夜)),0)*(1+_15・盲ろう)),0)*(1+_15・区３)),0)+ROUND((ROUND((ROUND((ROUND((_15_同援日１．０＿１．５*_15・基礎２),0)*_15・２人),0)*(1+_15・盲ろう)),0)*(1+_15・区３)),0)</f>
        <v>939</v>
      </c>
      <c r="AA190" s="69"/>
    </row>
    <row r="191" spans="1:27" ht="16.5" customHeight="1" x14ac:dyDescent="0.3">
      <c r="A191" s="2">
        <v>15</v>
      </c>
      <c r="B191" s="2" t="s">
        <v>1306</v>
      </c>
      <c r="C191" s="60" t="s">
        <v>11714</v>
      </c>
      <c r="D191" s="1"/>
      <c r="E191" s="68"/>
      <c r="F191" s="70"/>
      <c r="G191" s="1"/>
      <c r="H191" s="68"/>
      <c r="I191" s="70"/>
      <c r="J191" s="61"/>
      <c r="K191" s="62"/>
      <c r="L191" s="63"/>
      <c r="M191" s="85"/>
      <c r="N191" s="64"/>
      <c r="O191" s="65"/>
      <c r="P191" s="99"/>
      <c r="Q191" s="70"/>
      <c r="R191" s="61"/>
      <c r="S191" s="62"/>
      <c r="T191" s="63"/>
      <c r="U191" s="75"/>
      <c r="V191" s="61"/>
      <c r="W191" s="62"/>
      <c r="X191" s="63"/>
      <c r="Y191" s="75"/>
      <c r="Z191" s="228">
        <f>ROUND((ROUND((_15_同援日１．０*(1+_15・A深夜)),0)*(1+_15・区４)),0)+ROUND((_15_同援日１．０＿１．５*(1+_15・区４)),0)</f>
        <v>971</v>
      </c>
      <c r="AA191" s="69"/>
    </row>
    <row r="192" spans="1:27" ht="16.5" customHeight="1" x14ac:dyDescent="0.3">
      <c r="A192" s="2">
        <v>15</v>
      </c>
      <c r="B192" s="2" t="s">
        <v>1307</v>
      </c>
      <c r="C192" s="60" t="s">
        <v>11713</v>
      </c>
      <c r="D192" s="1"/>
      <c r="E192" s="68"/>
      <c r="F192" s="70"/>
      <c r="G192" s="1"/>
      <c r="H192" s="68"/>
      <c r="I192" s="70"/>
      <c r="J192" s="66"/>
      <c r="K192" s="57"/>
      <c r="L192" s="58"/>
      <c r="M192" s="83" t="s">
        <v>5895</v>
      </c>
      <c r="N192" s="64" t="s">
        <v>1</v>
      </c>
      <c r="O192" s="65">
        <v>1</v>
      </c>
      <c r="P192" s="99"/>
      <c r="Q192" s="70"/>
      <c r="R192" s="67"/>
      <c r="S192" s="68"/>
      <c r="T192" s="76"/>
      <c r="U192" s="70"/>
      <c r="V192" s="67"/>
      <c r="W192" s="68"/>
      <c r="X192" s="76"/>
      <c r="Y192" s="70"/>
      <c r="Z192" s="228">
        <f>ROUND((ROUND((ROUND((_15_同援日１．０*_15・２人),0)*(1+_15・A深夜)),0)*(1+_15・区４)),0)+ROUND((ROUND((_15_同援日１．０＿１．５*_15・２人),0)*(1+_15・区４)),0)</f>
        <v>971</v>
      </c>
      <c r="AA192" s="69"/>
    </row>
    <row r="193" spans="1:27" ht="16.5" customHeight="1" x14ac:dyDescent="0.3">
      <c r="A193" s="2">
        <v>15</v>
      </c>
      <c r="B193" s="2" t="s">
        <v>1308</v>
      </c>
      <c r="C193" s="60" t="s">
        <v>11712</v>
      </c>
      <c r="D193" s="1"/>
      <c r="E193" s="68"/>
      <c r="F193" s="70"/>
      <c r="G193" s="1"/>
      <c r="H193" s="68"/>
      <c r="I193" s="70"/>
      <c r="J193" s="74" t="s">
        <v>18128</v>
      </c>
      <c r="K193" s="62"/>
      <c r="L193" s="63"/>
      <c r="M193" s="85"/>
      <c r="N193" s="64"/>
      <c r="O193" s="65"/>
      <c r="P193" s="99"/>
      <c r="Q193" s="70"/>
      <c r="R193" s="67"/>
      <c r="S193" s="68"/>
      <c r="T193" s="76"/>
      <c r="U193" s="70"/>
      <c r="V193" s="1" t="s">
        <v>18132</v>
      </c>
      <c r="W193" s="68"/>
      <c r="X193" s="76"/>
      <c r="Y193" s="70"/>
      <c r="Z193" s="228">
        <f>ROUND((ROUND((ROUND((_15_同援日１．０*_15・基礎２),0)*(1+_15・A深夜)),0)*(1+_15・区４)),0)+ROUND((ROUND((_15_同援日１．０＿１．５*_15・基礎２),0)*(1+_15・区４)),0)</f>
        <v>875</v>
      </c>
      <c r="AA193" s="69"/>
    </row>
    <row r="194" spans="1:27" ht="16.5" customHeight="1" x14ac:dyDescent="0.3">
      <c r="A194" s="2">
        <v>15</v>
      </c>
      <c r="B194" s="2" t="s">
        <v>1309</v>
      </c>
      <c r="C194" s="60" t="s">
        <v>11711</v>
      </c>
      <c r="D194" s="1"/>
      <c r="E194" s="68"/>
      <c r="F194" s="70"/>
      <c r="G194" s="1"/>
      <c r="H194" s="68"/>
      <c r="I194" s="70"/>
      <c r="J194" s="106" t="s">
        <v>18127</v>
      </c>
      <c r="K194" s="57" t="s">
        <v>1</v>
      </c>
      <c r="L194" s="58">
        <v>0.9</v>
      </c>
      <c r="M194" s="83" t="s">
        <v>5895</v>
      </c>
      <c r="N194" s="64" t="s">
        <v>1</v>
      </c>
      <c r="O194" s="65">
        <v>1</v>
      </c>
      <c r="P194" s="99"/>
      <c r="Q194" s="70"/>
      <c r="R194" s="66"/>
      <c r="S194" s="57"/>
      <c r="T194" s="58"/>
      <c r="U194" s="77"/>
      <c r="V194" s="1" t="s">
        <v>8087</v>
      </c>
      <c r="W194" s="68"/>
      <c r="X194" s="76"/>
      <c r="Y194" s="70"/>
      <c r="Z194" s="228">
        <f>ROUND((ROUND((ROUND((ROUND((_15_同援日１．０*_15・基礎２),0)*_15・２人),0)*(1+_15・A深夜)),0)*(1+_15・区４)),0)+ROUND((ROUND((ROUND((_15_同援日１．０＿１．５*_15・基礎２),0)*_15・２人),0)*(1+_15・区４)),0)</f>
        <v>875</v>
      </c>
      <c r="AA194" s="69"/>
    </row>
    <row r="195" spans="1:27" ht="16.5" customHeight="1" x14ac:dyDescent="0.3">
      <c r="A195" s="2">
        <v>15</v>
      </c>
      <c r="B195" s="2" t="s">
        <v>1310</v>
      </c>
      <c r="C195" s="60" t="s">
        <v>11710</v>
      </c>
      <c r="D195" s="1"/>
      <c r="E195" s="68"/>
      <c r="F195" s="70"/>
      <c r="G195" s="1"/>
      <c r="H195" s="68"/>
      <c r="I195" s="70"/>
      <c r="J195" s="61"/>
      <c r="K195" s="62"/>
      <c r="L195" s="63"/>
      <c r="M195" s="85"/>
      <c r="N195" s="64"/>
      <c r="O195" s="65"/>
      <c r="P195" s="99"/>
      <c r="Q195" s="70"/>
      <c r="R195" s="74" t="s">
        <v>18130</v>
      </c>
      <c r="S195" s="62"/>
      <c r="T195" s="63"/>
      <c r="U195" s="75"/>
      <c r="V195" s="67"/>
      <c r="W195" s="68" t="s">
        <v>1</v>
      </c>
      <c r="X195" s="76">
        <v>0.4</v>
      </c>
      <c r="Y195" s="70" t="s">
        <v>422</v>
      </c>
      <c r="Z195" s="228">
        <f>ROUND((ROUND((ROUND((_15_同援日１．０*(1+_15・A深夜)),0)*(1+_15・盲ろう)),0)*(1+_15・区４)),0)+ROUND((ROUND((_15_同援日１．０＿１．５*(1+_15・盲ろう)),0)*(1+_15・区４)),0)</f>
        <v>1215</v>
      </c>
      <c r="AA195" s="69"/>
    </row>
    <row r="196" spans="1:27" ht="16.5" customHeight="1" x14ac:dyDescent="0.3">
      <c r="A196" s="2">
        <v>15</v>
      </c>
      <c r="B196" s="2" t="s">
        <v>1311</v>
      </c>
      <c r="C196" s="60" t="s">
        <v>11709</v>
      </c>
      <c r="D196" s="1"/>
      <c r="E196" s="68"/>
      <c r="F196" s="70"/>
      <c r="G196" s="1"/>
      <c r="H196" s="68"/>
      <c r="I196" s="70"/>
      <c r="J196" s="66"/>
      <c r="K196" s="57"/>
      <c r="L196" s="58"/>
      <c r="M196" s="83" t="s">
        <v>5895</v>
      </c>
      <c r="N196" s="64" t="s">
        <v>1</v>
      </c>
      <c r="O196" s="65">
        <v>1</v>
      </c>
      <c r="P196" s="99"/>
      <c r="Q196" s="70"/>
      <c r="R196" s="94" t="s">
        <v>18129</v>
      </c>
      <c r="S196" s="68"/>
      <c r="T196" s="76"/>
      <c r="U196" s="70"/>
      <c r="V196" s="67"/>
      <c r="W196" s="68"/>
      <c r="X196" s="76"/>
      <c r="Y196" s="70"/>
      <c r="Z196" s="228">
        <f>ROUND((ROUND((ROUND((ROUND((_15_同援日１．０*_15・２人),0)*(1+_15・A深夜)),0)*(1+_15・盲ろう)),0)*(1+_15・区４)),0)+ROUND((ROUND((ROUND((_15_同援日１．０＿１．５*_15・２人),0)*(1+_15・盲ろう)),0)*(1+_15・区４)),0)</f>
        <v>1215</v>
      </c>
      <c r="AA196" s="69"/>
    </row>
    <row r="197" spans="1:27" ht="16.5" customHeight="1" x14ac:dyDescent="0.3">
      <c r="A197" s="2">
        <v>15</v>
      </c>
      <c r="B197" s="2" t="s">
        <v>1312</v>
      </c>
      <c r="C197" s="60" t="s">
        <v>11708</v>
      </c>
      <c r="D197" s="1"/>
      <c r="E197" s="68"/>
      <c r="F197" s="70"/>
      <c r="G197" s="1"/>
      <c r="H197" s="68"/>
      <c r="I197" s="70"/>
      <c r="J197" s="74" t="s">
        <v>18128</v>
      </c>
      <c r="K197" s="62"/>
      <c r="L197" s="63"/>
      <c r="M197" s="85"/>
      <c r="N197" s="64"/>
      <c r="O197" s="65"/>
      <c r="P197" s="99"/>
      <c r="Q197" s="70"/>
      <c r="R197" s="67"/>
      <c r="S197" s="68" t="s">
        <v>1</v>
      </c>
      <c r="T197" s="76">
        <v>0.25</v>
      </c>
      <c r="U197" s="70" t="s">
        <v>422</v>
      </c>
      <c r="V197" s="67"/>
      <c r="W197" s="68"/>
      <c r="X197" s="76"/>
      <c r="Y197" s="70"/>
      <c r="Z197" s="228">
        <f>ROUND((ROUND((ROUND((ROUND((_15_同援日１．０*_15・基礎２),0)*(1+_15・A深夜)),0)*(1+_15・盲ろう)),0)*(1+_15・区４)),0)+ROUND((ROUND((ROUND((_15_同援日１．０＿１．５*_15・基礎２),0)*(1+_15・盲ろう)),0)*(1+_15・区４)),0)</f>
        <v>1095</v>
      </c>
      <c r="AA197" s="69"/>
    </row>
    <row r="198" spans="1:27" ht="16.5" customHeight="1" x14ac:dyDescent="0.3">
      <c r="A198" s="2">
        <v>15</v>
      </c>
      <c r="B198" s="2" t="s">
        <v>1313</v>
      </c>
      <c r="C198" s="60" t="s">
        <v>11707</v>
      </c>
      <c r="D198" s="1"/>
      <c r="E198" s="68"/>
      <c r="F198" s="70"/>
      <c r="G198" s="81"/>
      <c r="H198" s="57"/>
      <c r="I198" s="77"/>
      <c r="J198" s="106" t="s">
        <v>18127</v>
      </c>
      <c r="K198" s="57" t="s">
        <v>1</v>
      </c>
      <c r="L198" s="58">
        <v>0.9</v>
      </c>
      <c r="M198" s="83" t="s">
        <v>5895</v>
      </c>
      <c r="N198" s="64" t="s">
        <v>1</v>
      </c>
      <c r="O198" s="65">
        <v>1</v>
      </c>
      <c r="P198" s="99"/>
      <c r="Q198" s="70"/>
      <c r="R198" s="66"/>
      <c r="S198" s="57"/>
      <c r="T198" s="58"/>
      <c r="U198" s="77"/>
      <c r="V198" s="66"/>
      <c r="W198" s="57"/>
      <c r="X198" s="58"/>
      <c r="Y198" s="77"/>
      <c r="Z198" s="228">
        <f>ROUND((ROUND((ROUND((ROUND((ROUND((_15_同援日１．０*_15・基礎２),0)*_15・２人),0)*(1+_15・A深夜)),0)*(1+_15・盲ろう)),0)*(1+_15・区４)),0)+ROUND((ROUND((ROUND((ROUND((_15_同援日１．０＿１．５*_15・基礎２),0)*_15・２人),0)*(1+_15・盲ろう)),0)*(1+_15・区４)),0)</f>
        <v>1095</v>
      </c>
      <c r="AA198" s="69"/>
    </row>
    <row r="199" spans="1:27" ht="16.5" customHeight="1" x14ac:dyDescent="0.3">
      <c r="A199" s="2">
        <v>15</v>
      </c>
      <c r="B199" s="2" t="s">
        <v>1314</v>
      </c>
      <c r="C199" s="60" t="s">
        <v>11706</v>
      </c>
      <c r="D199" s="1"/>
      <c r="E199" s="68"/>
      <c r="F199" s="70"/>
      <c r="G199" s="233" t="s">
        <v>18144</v>
      </c>
      <c r="H199" s="62"/>
      <c r="I199" s="75"/>
      <c r="J199" s="61"/>
      <c r="K199" s="62"/>
      <c r="L199" s="63"/>
      <c r="M199" s="85"/>
      <c r="N199" s="64"/>
      <c r="O199" s="65"/>
      <c r="P199" s="99"/>
      <c r="Q199" s="70"/>
      <c r="R199" s="61"/>
      <c r="S199" s="62"/>
      <c r="T199" s="63"/>
      <c r="U199" s="75"/>
      <c r="V199" s="61"/>
      <c r="W199" s="62"/>
      <c r="X199" s="63"/>
      <c r="Y199" s="75"/>
      <c r="Z199" s="228">
        <f>ROUND((_15_同援日１．０*(1+_15・A深夜)),0)+_15_同援日１．０＿２．０</f>
        <v>757</v>
      </c>
      <c r="AA199" s="69"/>
    </row>
    <row r="200" spans="1:27" ht="16.5" customHeight="1" x14ac:dyDescent="0.3">
      <c r="A200" s="2">
        <v>15</v>
      </c>
      <c r="B200" s="2" t="s">
        <v>1315</v>
      </c>
      <c r="C200" s="60" t="s">
        <v>11705</v>
      </c>
      <c r="D200" s="1"/>
      <c r="E200" s="68"/>
      <c r="F200" s="70"/>
      <c r="G200" s="1" t="s">
        <v>18139</v>
      </c>
      <c r="H200" s="68"/>
      <c r="I200" s="70"/>
      <c r="J200" s="66"/>
      <c r="K200" s="57"/>
      <c r="L200" s="58"/>
      <c r="M200" s="83" t="s">
        <v>5895</v>
      </c>
      <c r="N200" s="64" t="s">
        <v>1</v>
      </c>
      <c r="O200" s="65">
        <v>1</v>
      </c>
      <c r="P200" s="99"/>
      <c r="Q200" s="70"/>
      <c r="R200" s="67"/>
      <c r="S200" s="68"/>
      <c r="T200" s="76"/>
      <c r="U200" s="70"/>
      <c r="V200" s="67"/>
      <c r="W200" s="68"/>
      <c r="X200" s="76"/>
      <c r="Y200" s="70"/>
      <c r="Z200" s="228">
        <f>ROUND((ROUND((_15_同援日１．０*_15・２人),0)*(1+_15・A深夜)),0)+ROUND((_15_同援日１．０＿２．０*_15・２人),0)</f>
        <v>757</v>
      </c>
      <c r="AA200" s="69"/>
    </row>
    <row r="201" spans="1:27" ht="16.5" customHeight="1" x14ac:dyDescent="0.3">
      <c r="A201" s="2">
        <v>15</v>
      </c>
      <c r="B201" s="2" t="s">
        <v>1316</v>
      </c>
      <c r="C201" s="60" t="s">
        <v>11704</v>
      </c>
      <c r="D201" s="1"/>
      <c r="E201" s="68"/>
      <c r="F201" s="70"/>
      <c r="G201" s="1" t="s">
        <v>6448</v>
      </c>
      <c r="H201" s="68"/>
      <c r="I201" s="70"/>
      <c r="J201" s="74" t="s">
        <v>18128</v>
      </c>
      <c r="K201" s="62"/>
      <c r="L201" s="63"/>
      <c r="M201" s="85"/>
      <c r="N201" s="64"/>
      <c r="O201" s="65"/>
      <c r="P201" s="99"/>
      <c r="Q201" s="70"/>
      <c r="R201" s="67"/>
      <c r="S201" s="68"/>
      <c r="T201" s="76"/>
      <c r="U201" s="70"/>
      <c r="V201" s="67"/>
      <c r="W201" s="68"/>
      <c r="X201" s="76"/>
      <c r="Y201" s="70"/>
      <c r="Z201" s="228">
        <f>ROUND((ROUND((_15_同援日１．０*_15・基礎２),0)*(1+_15・A深夜)),0)+ROUND((_15_同援日１．０＿２．０*_15・基礎２),0)</f>
        <v>682</v>
      </c>
      <c r="AA201" s="69"/>
    </row>
    <row r="202" spans="1:27" ht="16.5" customHeight="1" x14ac:dyDescent="0.3">
      <c r="A202" s="2">
        <v>15</v>
      </c>
      <c r="B202" s="2" t="s">
        <v>1317</v>
      </c>
      <c r="C202" s="60" t="s">
        <v>11703</v>
      </c>
      <c r="D202" s="1"/>
      <c r="E202" s="68"/>
      <c r="F202" s="70"/>
      <c r="G202" s="1"/>
      <c r="H202" s="119">
        <v>319</v>
      </c>
      <c r="I202" s="70" t="s">
        <v>0</v>
      </c>
      <c r="J202" s="106" t="s">
        <v>18127</v>
      </c>
      <c r="K202" s="57" t="s">
        <v>1</v>
      </c>
      <c r="L202" s="58">
        <v>0.9</v>
      </c>
      <c r="M202" s="83" t="s">
        <v>5895</v>
      </c>
      <c r="N202" s="64" t="s">
        <v>1</v>
      </c>
      <c r="O202" s="65">
        <v>1</v>
      </c>
      <c r="P202" s="99"/>
      <c r="Q202" s="70"/>
      <c r="R202" s="66"/>
      <c r="S202" s="57"/>
      <c r="T202" s="58"/>
      <c r="U202" s="77"/>
      <c r="V202" s="67"/>
      <c r="W202" s="68"/>
      <c r="X202" s="76"/>
      <c r="Y202" s="70"/>
      <c r="Z202" s="228">
        <f>ROUND((ROUND((ROUND((_15_同援日１．０*_15・基礎２),0)*_15・２人),0)*(1+_15・A深夜)),0)+ROUND((ROUND((_15_同援日１．０＿２．０*_15・基礎２),0)*_15・２人),0)</f>
        <v>682</v>
      </c>
      <c r="AA202" s="69"/>
    </row>
    <row r="203" spans="1:27" ht="16.5" customHeight="1" x14ac:dyDescent="0.3">
      <c r="A203" s="2">
        <v>15</v>
      </c>
      <c r="B203" s="2" t="s">
        <v>1318</v>
      </c>
      <c r="C203" s="60" t="s">
        <v>11702</v>
      </c>
      <c r="D203" s="1"/>
      <c r="E203" s="68"/>
      <c r="F203" s="70"/>
      <c r="G203" s="1"/>
      <c r="H203" s="68"/>
      <c r="I203" s="70"/>
      <c r="J203" s="61"/>
      <c r="K203" s="62"/>
      <c r="L203" s="63"/>
      <c r="M203" s="85"/>
      <c r="N203" s="64"/>
      <c r="O203" s="65"/>
      <c r="P203" s="99"/>
      <c r="Q203" s="70"/>
      <c r="R203" s="74" t="s">
        <v>18130</v>
      </c>
      <c r="S203" s="62"/>
      <c r="T203" s="63"/>
      <c r="U203" s="75"/>
      <c r="V203" s="67"/>
      <c r="W203" s="68"/>
      <c r="X203" s="76"/>
      <c r="Y203" s="70"/>
      <c r="Z203" s="228">
        <f>ROUND((ROUND((_15_同援日１．０*(1+_15・A深夜)),0)*(1+_15・盲ろう)),0)+ROUND((_15_同援日１．０＿２．０*(1+_15・盲ろう)),0)</f>
        <v>947</v>
      </c>
      <c r="AA203" s="69"/>
    </row>
    <row r="204" spans="1:27" ht="16.5" customHeight="1" x14ac:dyDescent="0.3">
      <c r="A204" s="2">
        <v>15</v>
      </c>
      <c r="B204" s="2" t="s">
        <v>1319</v>
      </c>
      <c r="C204" s="60" t="s">
        <v>11701</v>
      </c>
      <c r="D204" s="1"/>
      <c r="E204" s="68"/>
      <c r="F204" s="70"/>
      <c r="G204" s="1"/>
      <c r="H204" s="68"/>
      <c r="I204" s="70"/>
      <c r="J204" s="66"/>
      <c r="K204" s="57"/>
      <c r="L204" s="58"/>
      <c r="M204" s="83" t="s">
        <v>5895</v>
      </c>
      <c r="N204" s="64" t="s">
        <v>1</v>
      </c>
      <c r="O204" s="65">
        <v>1</v>
      </c>
      <c r="P204" s="99"/>
      <c r="Q204" s="70"/>
      <c r="R204" s="94" t="s">
        <v>18129</v>
      </c>
      <c r="S204" s="68"/>
      <c r="T204" s="76"/>
      <c r="U204" s="70"/>
      <c r="V204" s="67"/>
      <c r="W204" s="68"/>
      <c r="X204" s="76"/>
      <c r="Y204" s="70"/>
      <c r="Z204" s="228">
        <f>ROUND((ROUND((ROUND((_15_同援日１．０*_15・２人),0)*(1+_15・A深夜)),0)*(1+_15・盲ろう)),0)+ROUND((ROUND((_15_同援日１．０＿２．０*_15・２人),0)*(1+_15・盲ろう)),0)</f>
        <v>947</v>
      </c>
      <c r="AA204" s="69"/>
    </row>
    <row r="205" spans="1:27" ht="16.5" customHeight="1" x14ac:dyDescent="0.3">
      <c r="A205" s="2">
        <v>15</v>
      </c>
      <c r="B205" s="2" t="s">
        <v>1320</v>
      </c>
      <c r="C205" s="60" t="s">
        <v>11700</v>
      </c>
      <c r="D205" s="1"/>
      <c r="E205" s="68"/>
      <c r="F205" s="70"/>
      <c r="G205" s="1"/>
      <c r="H205" s="68"/>
      <c r="I205" s="70"/>
      <c r="J205" s="74" t="s">
        <v>18128</v>
      </c>
      <c r="K205" s="62"/>
      <c r="L205" s="63"/>
      <c r="M205" s="85"/>
      <c r="N205" s="64"/>
      <c r="O205" s="65"/>
      <c r="P205" s="99"/>
      <c r="Q205" s="70"/>
      <c r="R205" s="67"/>
      <c r="S205" s="68" t="s">
        <v>1</v>
      </c>
      <c r="T205" s="76">
        <v>0.25</v>
      </c>
      <c r="U205" s="70" t="s">
        <v>422</v>
      </c>
      <c r="V205" s="67"/>
      <c r="W205" s="68"/>
      <c r="X205" s="76"/>
      <c r="Y205" s="70"/>
      <c r="Z205" s="228">
        <f>ROUND((ROUND((ROUND((_15_同援日１．０*_15・基礎２),0)*(1+_15・A深夜)),0)*(1+_15・盲ろう)),0)+ROUND((ROUND((_15_同援日１．０＿２．０*_15・基礎２),0)*(1+_15・盲ろう)),0)</f>
        <v>853</v>
      </c>
      <c r="AA205" s="69"/>
    </row>
    <row r="206" spans="1:27" ht="16.5" customHeight="1" x14ac:dyDescent="0.3">
      <c r="A206" s="2">
        <v>15</v>
      </c>
      <c r="B206" s="2" t="s">
        <v>1321</v>
      </c>
      <c r="C206" s="60" t="s">
        <v>11699</v>
      </c>
      <c r="D206" s="1"/>
      <c r="E206" s="68"/>
      <c r="F206" s="70"/>
      <c r="G206" s="1"/>
      <c r="H206" s="68"/>
      <c r="I206" s="70"/>
      <c r="J206" s="106" t="s">
        <v>18127</v>
      </c>
      <c r="K206" s="57" t="s">
        <v>1</v>
      </c>
      <c r="L206" s="58">
        <v>0.9</v>
      </c>
      <c r="M206" s="83" t="s">
        <v>5895</v>
      </c>
      <c r="N206" s="64" t="s">
        <v>1</v>
      </c>
      <c r="O206" s="65">
        <v>1</v>
      </c>
      <c r="P206" s="99"/>
      <c r="Q206" s="70"/>
      <c r="R206" s="66"/>
      <c r="S206" s="57"/>
      <c r="T206" s="58"/>
      <c r="U206" s="77"/>
      <c r="V206" s="66"/>
      <c r="W206" s="57"/>
      <c r="X206" s="58"/>
      <c r="Y206" s="77"/>
      <c r="Z206" s="228">
        <f>ROUND((ROUND((ROUND((ROUND((_15_同援日１．０*_15・基礎２),0)*_15・２人),0)*(1+_15・A深夜)),0)*(1+_15・盲ろう)),0)+ROUND((ROUND((ROUND((_15_同援日１．０＿２．０*_15・基礎２),0)*_15・２人),0)*(1+_15・盲ろう)),0)</f>
        <v>853</v>
      </c>
      <c r="AA206" s="69"/>
    </row>
    <row r="207" spans="1:27" ht="16.5" customHeight="1" x14ac:dyDescent="0.3">
      <c r="A207" s="2">
        <v>15</v>
      </c>
      <c r="B207" s="2" t="s">
        <v>1322</v>
      </c>
      <c r="C207" s="60" t="s">
        <v>11698</v>
      </c>
      <c r="D207" s="1"/>
      <c r="E207" s="68"/>
      <c r="F207" s="70"/>
      <c r="G207" s="1"/>
      <c r="H207" s="68"/>
      <c r="I207" s="70"/>
      <c r="J207" s="61"/>
      <c r="K207" s="62"/>
      <c r="L207" s="63"/>
      <c r="M207" s="85"/>
      <c r="N207" s="64"/>
      <c r="O207" s="65"/>
      <c r="P207" s="99"/>
      <c r="Q207" s="70"/>
      <c r="R207" s="61"/>
      <c r="S207" s="62"/>
      <c r="T207" s="63"/>
      <c r="U207" s="75"/>
      <c r="V207" s="61"/>
      <c r="W207" s="62"/>
      <c r="X207" s="63"/>
      <c r="Y207" s="75"/>
      <c r="Z207" s="228">
        <f>ROUND((ROUND((_15_同援日１．０*(1+_15・A深夜)),0)*(1+_15・区３)),0)+ROUND((_15_同援日１．０＿２．０*(1+_15・区３)),0)</f>
        <v>909</v>
      </c>
      <c r="AA207" s="69"/>
    </row>
    <row r="208" spans="1:27" ht="16.5" customHeight="1" x14ac:dyDescent="0.3">
      <c r="A208" s="2">
        <v>15</v>
      </c>
      <c r="B208" s="2" t="s">
        <v>1323</v>
      </c>
      <c r="C208" s="60" t="s">
        <v>11697</v>
      </c>
      <c r="D208" s="1"/>
      <c r="E208" s="68"/>
      <c r="F208" s="70"/>
      <c r="G208" s="1"/>
      <c r="H208" s="68"/>
      <c r="I208" s="70"/>
      <c r="J208" s="66"/>
      <c r="K208" s="57"/>
      <c r="L208" s="58"/>
      <c r="M208" s="83" t="s">
        <v>5895</v>
      </c>
      <c r="N208" s="64" t="s">
        <v>1</v>
      </c>
      <c r="O208" s="65">
        <v>1</v>
      </c>
      <c r="P208" s="99"/>
      <c r="Q208" s="70"/>
      <c r="R208" s="67"/>
      <c r="S208" s="68"/>
      <c r="T208" s="76"/>
      <c r="U208" s="70"/>
      <c r="V208" s="67"/>
      <c r="W208" s="68"/>
      <c r="X208" s="76"/>
      <c r="Y208" s="70"/>
      <c r="Z208" s="228">
        <f>ROUND((ROUND((ROUND((_15_同援日１．０*_15・２人),0)*(1+_15・A深夜)),0)*(1+_15・区３)),0)+ROUND((ROUND((_15_同援日１．０＿２．０*_15・２人),0)*(1+_15・区３)),0)</f>
        <v>909</v>
      </c>
      <c r="AA208" s="69"/>
    </row>
    <row r="209" spans="1:27" ht="16.5" customHeight="1" x14ac:dyDescent="0.3">
      <c r="A209" s="2">
        <v>15</v>
      </c>
      <c r="B209" s="2" t="s">
        <v>1324</v>
      </c>
      <c r="C209" s="60" t="s">
        <v>11696</v>
      </c>
      <c r="D209" s="1"/>
      <c r="E209" s="68"/>
      <c r="F209" s="70"/>
      <c r="G209" s="1"/>
      <c r="H209" s="68"/>
      <c r="I209" s="70"/>
      <c r="J209" s="74" t="s">
        <v>18128</v>
      </c>
      <c r="K209" s="62"/>
      <c r="L209" s="63"/>
      <c r="M209" s="85"/>
      <c r="N209" s="64"/>
      <c r="O209" s="65"/>
      <c r="P209" s="99"/>
      <c r="Q209" s="70"/>
      <c r="R209" s="67"/>
      <c r="S209" s="68"/>
      <c r="T209" s="76"/>
      <c r="U209" s="70"/>
      <c r="V209" s="1" t="s">
        <v>18133</v>
      </c>
      <c r="W209" s="68"/>
      <c r="X209" s="76"/>
      <c r="Y209" s="70"/>
      <c r="Z209" s="228">
        <f>ROUND((ROUND((ROUND((_15_同援日１．０*_15・基礎２),0)*(1+_15・A深夜)),0)*(1+_15・区３)),0)+ROUND((ROUND((_15_同援日１．０＿２．０*_15・基礎２),0)*(1+_15・区３)),0)</f>
        <v>818</v>
      </c>
      <c r="AA209" s="69"/>
    </row>
    <row r="210" spans="1:27" ht="16.5" customHeight="1" x14ac:dyDescent="0.3">
      <c r="A210" s="2">
        <v>15</v>
      </c>
      <c r="B210" s="2" t="s">
        <v>1325</v>
      </c>
      <c r="C210" s="60" t="s">
        <v>11695</v>
      </c>
      <c r="D210" s="1"/>
      <c r="E210" s="68"/>
      <c r="F210" s="70"/>
      <c r="G210" s="1"/>
      <c r="H210" s="68"/>
      <c r="I210" s="70"/>
      <c r="J210" s="106" t="s">
        <v>18127</v>
      </c>
      <c r="K210" s="57" t="s">
        <v>1</v>
      </c>
      <c r="L210" s="58">
        <v>0.9</v>
      </c>
      <c r="M210" s="83" t="s">
        <v>5895</v>
      </c>
      <c r="N210" s="64" t="s">
        <v>1</v>
      </c>
      <c r="O210" s="65">
        <v>1</v>
      </c>
      <c r="P210" s="99"/>
      <c r="Q210" s="70"/>
      <c r="R210" s="66"/>
      <c r="S210" s="57"/>
      <c r="T210" s="58"/>
      <c r="U210" s="77"/>
      <c r="V210" s="1" t="s">
        <v>18131</v>
      </c>
      <c r="W210" s="68"/>
      <c r="X210" s="76"/>
      <c r="Y210" s="70"/>
      <c r="Z210" s="228">
        <f>ROUND((ROUND((ROUND((ROUND((_15_同援日１．０*_15・基礎２),0)*_15・２人),0)*(1+_15・A深夜)),0)*(1+_15・区３)),0)+ROUND((ROUND((ROUND((_15_同援日１．０＿２．０*_15・基礎２),0)*_15・２人),0)*(1+_15・区３)),0)</f>
        <v>818</v>
      </c>
      <c r="AA210" s="69"/>
    </row>
    <row r="211" spans="1:27" ht="16.5" customHeight="1" x14ac:dyDescent="0.3">
      <c r="A211" s="2">
        <v>15</v>
      </c>
      <c r="B211" s="2" t="s">
        <v>1326</v>
      </c>
      <c r="C211" s="60" t="s">
        <v>11694</v>
      </c>
      <c r="D211" s="1"/>
      <c r="E211" s="68"/>
      <c r="F211" s="70"/>
      <c r="G211" s="1"/>
      <c r="H211" s="68"/>
      <c r="I211" s="70"/>
      <c r="J211" s="61"/>
      <c r="K211" s="62"/>
      <c r="L211" s="63"/>
      <c r="M211" s="85"/>
      <c r="N211" s="64"/>
      <c r="O211" s="65"/>
      <c r="P211" s="99"/>
      <c r="Q211" s="70"/>
      <c r="R211" s="74" t="s">
        <v>18130</v>
      </c>
      <c r="S211" s="62"/>
      <c r="T211" s="63"/>
      <c r="U211" s="75"/>
      <c r="V211" s="67"/>
      <c r="W211" s="68" t="s">
        <v>1</v>
      </c>
      <c r="X211" s="76">
        <v>0.2</v>
      </c>
      <c r="Y211" s="70" t="s">
        <v>422</v>
      </c>
      <c r="Z211" s="228">
        <f>ROUND((ROUND((ROUND((_15_同援日１．０*(1+_15・A深夜)),0)*(1+_15・盲ろう)),0)*(1+_15・区３)),0)+ROUND((ROUND((_15_同援日１．０＿２．０*(1+_15・盲ろう)),0)*(1+_15・区３)),0)</f>
        <v>1137</v>
      </c>
      <c r="AA211" s="69"/>
    </row>
    <row r="212" spans="1:27" ht="16.5" customHeight="1" x14ac:dyDescent="0.3">
      <c r="A212" s="2">
        <v>15</v>
      </c>
      <c r="B212" s="2" t="s">
        <v>1327</v>
      </c>
      <c r="C212" s="60" t="s">
        <v>11693</v>
      </c>
      <c r="D212" s="1"/>
      <c r="E212" s="68"/>
      <c r="F212" s="70"/>
      <c r="G212" s="1"/>
      <c r="H212" s="68"/>
      <c r="I212" s="70"/>
      <c r="J212" s="66"/>
      <c r="K212" s="57"/>
      <c r="L212" s="58"/>
      <c r="M212" s="83" t="s">
        <v>5895</v>
      </c>
      <c r="N212" s="64" t="s">
        <v>1</v>
      </c>
      <c r="O212" s="65">
        <v>1</v>
      </c>
      <c r="P212" s="99"/>
      <c r="Q212" s="70"/>
      <c r="R212" s="94" t="s">
        <v>18129</v>
      </c>
      <c r="S212" s="68"/>
      <c r="T212" s="76"/>
      <c r="U212" s="70"/>
      <c r="V212" s="67"/>
      <c r="W212" s="68"/>
      <c r="X212" s="76"/>
      <c r="Y212" s="70"/>
      <c r="Z212" s="228">
        <f>ROUND((ROUND((ROUND((ROUND((_15_同援日１．０*_15・２人),0)*(1+_15・A深夜)),0)*(1+_15・盲ろう)),0)*(1+_15・区３)),0)+ROUND((ROUND((ROUND((_15_同援日１．０＿２．０*_15・２人),0)*(1+_15・盲ろう)),0)*(1+_15・区３)),0)</f>
        <v>1137</v>
      </c>
      <c r="AA212" s="69"/>
    </row>
    <row r="213" spans="1:27" ht="16.5" customHeight="1" x14ac:dyDescent="0.3">
      <c r="A213" s="2">
        <v>15</v>
      </c>
      <c r="B213" s="2" t="s">
        <v>1328</v>
      </c>
      <c r="C213" s="60" t="s">
        <v>11692</v>
      </c>
      <c r="D213" s="1"/>
      <c r="E213" s="68"/>
      <c r="F213" s="70"/>
      <c r="G213" s="1"/>
      <c r="H213" s="68"/>
      <c r="I213" s="70"/>
      <c r="J213" s="74" t="s">
        <v>18128</v>
      </c>
      <c r="K213" s="62"/>
      <c r="L213" s="63"/>
      <c r="M213" s="85"/>
      <c r="N213" s="64"/>
      <c r="O213" s="65"/>
      <c r="P213" s="99"/>
      <c r="Q213" s="70"/>
      <c r="R213" s="67"/>
      <c r="S213" s="68" t="s">
        <v>1</v>
      </c>
      <c r="T213" s="76">
        <v>0.25</v>
      </c>
      <c r="U213" s="70" t="s">
        <v>422</v>
      </c>
      <c r="V213" s="67"/>
      <c r="W213" s="68"/>
      <c r="X213" s="76"/>
      <c r="Y213" s="70"/>
      <c r="Z213" s="228">
        <f>ROUND((ROUND((ROUND((ROUND((_15_同援日１．０*_15・基礎２),0)*(1+_15・A深夜)),0)*(1+_15・盲ろう)),0)*(1+_15・区３)),0)+ROUND((ROUND((ROUND((_15_同援日１．０＿２．０*_15・基礎２),0)*(1+_15・盲ろう)),0)*(1+_15・区３)),0)</f>
        <v>1024</v>
      </c>
      <c r="AA213" s="69"/>
    </row>
    <row r="214" spans="1:27" ht="16.5" customHeight="1" x14ac:dyDescent="0.3">
      <c r="A214" s="2">
        <v>15</v>
      </c>
      <c r="B214" s="2" t="s">
        <v>1329</v>
      </c>
      <c r="C214" s="60" t="s">
        <v>11691</v>
      </c>
      <c r="D214" s="1"/>
      <c r="E214" s="68"/>
      <c r="F214" s="70"/>
      <c r="G214" s="1"/>
      <c r="H214" s="68"/>
      <c r="I214" s="70"/>
      <c r="J214" s="106" t="s">
        <v>5896</v>
      </c>
      <c r="K214" s="57" t="s">
        <v>1</v>
      </c>
      <c r="L214" s="58">
        <v>0.9</v>
      </c>
      <c r="M214" s="83" t="s">
        <v>5895</v>
      </c>
      <c r="N214" s="64" t="s">
        <v>1</v>
      </c>
      <c r="O214" s="65">
        <v>1</v>
      </c>
      <c r="P214" s="99"/>
      <c r="Q214" s="70"/>
      <c r="R214" s="66"/>
      <c r="S214" s="57"/>
      <c r="T214" s="58"/>
      <c r="U214" s="77"/>
      <c r="V214" s="66"/>
      <c r="W214" s="57"/>
      <c r="X214" s="58"/>
      <c r="Y214" s="77"/>
      <c r="Z214" s="228">
        <f>ROUND((ROUND((ROUND((ROUND((ROUND((_15_同援日１．０*_15・基礎２),0)*_15・２人),0)*(1+_15・A深夜)),0)*(1+_15・盲ろう)),0)*(1+_15・区３)),0)+ROUND((ROUND((ROUND((ROUND((_15_同援日１．０＿２．０*_15・基礎２),0)*_15・２人),0)*(1+_15・盲ろう)),0)*(1+_15・区３)),0)</f>
        <v>1024</v>
      </c>
      <c r="AA214" s="69"/>
    </row>
    <row r="215" spans="1:27" ht="16.5" customHeight="1" x14ac:dyDescent="0.3">
      <c r="A215" s="2">
        <v>15</v>
      </c>
      <c r="B215" s="2" t="s">
        <v>1330</v>
      </c>
      <c r="C215" s="60" t="s">
        <v>11690</v>
      </c>
      <c r="D215" s="1"/>
      <c r="E215" s="68"/>
      <c r="F215" s="70"/>
      <c r="G215" s="1"/>
      <c r="H215" s="68"/>
      <c r="I215" s="70"/>
      <c r="J215" s="61"/>
      <c r="K215" s="62"/>
      <c r="L215" s="63"/>
      <c r="M215" s="85"/>
      <c r="N215" s="64"/>
      <c r="O215" s="65"/>
      <c r="P215" s="99"/>
      <c r="Q215" s="70"/>
      <c r="R215" s="61"/>
      <c r="S215" s="62"/>
      <c r="T215" s="63"/>
      <c r="U215" s="75"/>
      <c r="V215" s="61"/>
      <c r="W215" s="62"/>
      <c r="X215" s="63"/>
      <c r="Y215" s="75"/>
      <c r="Z215" s="228">
        <f>ROUND((ROUND((_15_同援日１．０*(1+_15・A深夜)),0)*(1+_15・区４)),0)+ROUND((_15_同援日１．０＿２．０*(1+_15・区４)),0)</f>
        <v>1060</v>
      </c>
      <c r="AA215" s="69"/>
    </row>
    <row r="216" spans="1:27" ht="16.5" customHeight="1" x14ac:dyDescent="0.3">
      <c r="A216" s="2">
        <v>15</v>
      </c>
      <c r="B216" s="2" t="s">
        <v>1331</v>
      </c>
      <c r="C216" s="60" t="s">
        <v>11689</v>
      </c>
      <c r="D216" s="1"/>
      <c r="E216" s="68"/>
      <c r="F216" s="70"/>
      <c r="G216" s="1"/>
      <c r="H216" s="68"/>
      <c r="I216" s="70"/>
      <c r="J216" s="66"/>
      <c r="K216" s="57"/>
      <c r="L216" s="58"/>
      <c r="M216" s="83" t="s">
        <v>5895</v>
      </c>
      <c r="N216" s="64" t="s">
        <v>1</v>
      </c>
      <c r="O216" s="65">
        <v>1</v>
      </c>
      <c r="P216" s="99"/>
      <c r="Q216" s="70"/>
      <c r="R216" s="67"/>
      <c r="S216" s="68"/>
      <c r="T216" s="76"/>
      <c r="U216" s="70"/>
      <c r="V216" s="67"/>
      <c r="W216" s="68"/>
      <c r="X216" s="76"/>
      <c r="Y216" s="70"/>
      <c r="Z216" s="228">
        <f>ROUND((ROUND((ROUND((_15_同援日１．０*_15・２人),0)*(1+_15・A深夜)),0)*(1+_15・区４)),0)+ROUND((ROUND((_15_同援日１．０＿２．０*_15・２人),0)*(1+_15・区４)),0)</f>
        <v>1060</v>
      </c>
      <c r="AA216" s="69"/>
    </row>
    <row r="217" spans="1:27" ht="16.5" customHeight="1" x14ac:dyDescent="0.3">
      <c r="A217" s="2">
        <v>15</v>
      </c>
      <c r="B217" s="2" t="s">
        <v>1332</v>
      </c>
      <c r="C217" s="60" t="s">
        <v>11688</v>
      </c>
      <c r="D217" s="1"/>
      <c r="E217" s="68"/>
      <c r="F217" s="70"/>
      <c r="G217" s="1"/>
      <c r="H217" s="68"/>
      <c r="I217" s="70"/>
      <c r="J217" s="74" t="s">
        <v>18128</v>
      </c>
      <c r="K217" s="62"/>
      <c r="L217" s="63"/>
      <c r="M217" s="85"/>
      <c r="N217" s="64"/>
      <c r="O217" s="65"/>
      <c r="P217" s="99"/>
      <c r="Q217" s="70"/>
      <c r="R217" s="67"/>
      <c r="S217" s="68"/>
      <c r="T217" s="76"/>
      <c r="U217" s="70"/>
      <c r="V217" s="1" t="s">
        <v>18132</v>
      </c>
      <c r="W217" s="68"/>
      <c r="X217" s="76"/>
      <c r="Y217" s="70"/>
      <c r="Z217" s="228">
        <f>ROUND((ROUND((ROUND((_15_同援日１．０*_15・基礎２),0)*(1+_15・A深夜)),0)*(1+_15・区４)),0)+ROUND((ROUND((_15_同援日１．０＿２．０*_15・基礎２),0)*(1+_15・区４)),0)</f>
        <v>955</v>
      </c>
      <c r="AA217" s="69"/>
    </row>
    <row r="218" spans="1:27" ht="16.5" customHeight="1" x14ac:dyDescent="0.3">
      <c r="A218" s="2">
        <v>15</v>
      </c>
      <c r="B218" s="2" t="s">
        <v>1333</v>
      </c>
      <c r="C218" s="60" t="s">
        <v>11687</v>
      </c>
      <c r="D218" s="1"/>
      <c r="E218" s="68"/>
      <c r="F218" s="70"/>
      <c r="G218" s="1"/>
      <c r="H218" s="68"/>
      <c r="I218" s="70"/>
      <c r="J218" s="106" t="s">
        <v>18127</v>
      </c>
      <c r="K218" s="57" t="s">
        <v>1</v>
      </c>
      <c r="L218" s="58">
        <v>0.9</v>
      </c>
      <c r="M218" s="83" t="s">
        <v>5895</v>
      </c>
      <c r="N218" s="64" t="s">
        <v>1</v>
      </c>
      <c r="O218" s="65">
        <v>1</v>
      </c>
      <c r="P218" s="99"/>
      <c r="Q218" s="70"/>
      <c r="R218" s="66"/>
      <c r="S218" s="57"/>
      <c r="T218" s="58"/>
      <c r="U218" s="77"/>
      <c r="V218" s="1" t="s">
        <v>18131</v>
      </c>
      <c r="W218" s="68"/>
      <c r="X218" s="76"/>
      <c r="Y218" s="70"/>
      <c r="Z218" s="228">
        <f>ROUND((ROUND((ROUND((ROUND((_15_同援日１．０*_15・基礎２),0)*_15・２人),0)*(1+_15・A深夜)),0)*(1+_15・区４)),0)+ROUND((ROUND((ROUND((_15_同援日１．０＿２．０*_15・基礎２),0)*_15・２人),0)*(1+_15・区４)),0)</f>
        <v>955</v>
      </c>
      <c r="AA218" s="69"/>
    </row>
    <row r="219" spans="1:27" ht="16.5" customHeight="1" x14ac:dyDescent="0.3">
      <c r="A219" s="2">
        <v>15</v>
      </c>
      <c r="B219" s="2" t="s">
        <v>1334</v>
      </c>
      <c r="C219" s="60" t="s">
        <v>11686</v>
      </c>
      <c r="D219" s="1"/>
      <c r="E219" s="68"/>
      <c r="F219" s="70"/>
      <c r="G219" s="1"/>
      <c r="H219" s="68"/>
      <c r="I219" s="70"/>
      <c r="J219" s="61"/>
      <c r="K219" s="62"/>
      <c r="L219" s="63"/>
      <c r="M219" s="85"/>
      <c r="N219" s="64"/>
      <c r="O219" s="65"/>
      <c r="P219" s="99"/>
      <c r="Q219" s="70"/>
      <c r="R219" s="74" t="s">
        <v>18130</v>
      </c>
      <c r="S219" s="62"/>
      <c r="T219" s="63"/>
      <c r="U219" s="75"/>
      <c r="V219" s="67"/>
      <c r="W219" s="68" t="s">
        <v>1</v>
      </c>
      <c r="X219" s="76">
        <v>0.4</v>
      </c>
      <c r="Y219" s="70" t="s">
        <v>422</v>
      </c>
      <c r="Z219" s="228">
        <f>ROUND((ROUND((ROUND((_15_同援日１．０*(1+_15・A深夜)),0)*(1+_15・盲ろう)),0)*(1+_15・区４)),0)+ROUND((ROUND((_15_同援日１．０＿２．０*(1+_15・盲ろう)),0)*(1+_15・区４)),0)</f>
        <v>1326</v>
      </c>
      <c r="AA219" s="69"/>
    </row>
    <row r="220" spans="1:27" ht="16.5" customHeight="1" x14ac:dyDescent="0.3">
      <c r="A220" s="2">
        <v>15</v>
      </c>
      <c r="B220" s="2" t="s">
        <v>1335</v>
      </c>
      <c r="C220" s="60" t="s">
        <v>11685</v>
      </c>
      <c r="D220" s="1"/>
      <c r="E220" s="68"/>
      <c r="F220" s="70"/>
      <c r="G220" s="1"/>
      <c r="H220" s="68"/>
      <c r="I220" s="70"/>
      <c r="J220" s="66"/>
      <c r="K220" s="57"/>
      <c r="L220" s="58"/>
      <c r="M220" s="83" t="s">
        <v>5895</v>
      </c>
      <c r="N220" s="64" t="s">
        <v>1</v>
      </c>
      <c r="O220" s="65">
        <v>1</v>
      </c>
      <c r="P220" s="99"/>
      <c r="Q220" s="70"/>
      <c r="R220" s="94" t="s">
        <v>18129</v>
      </c>
      <c r="S220" s="68"/>
      <c r="T220" s="76"/>
      <c r="U220" s="70"/>
      <c r="V220" s="67"/>
      <c r="W220" s="68"/>
      <c r="X220" s="76"/>
      <c r="Y220" s="70"/>
      <c r="Z220" s="228">
        <f>ROUND((ROUND((ROUND((ROUND((_15_同援日１．０*_15・２人),0)*(1+_15・A深夜)),0)*(1+_15・盲ろう)),0)*(1+_15・区４)),0)+ROUND((ROUND((ROUND((_15_同援日１．０＿２．０*_15・２人),0)*(1+_15・盲ろう)),0)*(1+_15・区４)),0)</f>
        <v>1326</v>
      </c>
      <c r="AA220" s="69"/>
    </row>
    <row r="221" spans="1:27" ht="16.5" customHeight="1" x14ac:dyDescent="0.3">
      <c r="A221" s="2">
        <v>15</v>
      </c>
      <c r="B221" s="2" t="s">
        <v>1336</v>
      </c>
      <c r="C221" s="60" t="s">
        <v>11684</v>
      </c>
      <c r="D221" s="1"/>
      <c r="E221" s="68"/>
      <c r="F221" s="70"/>
      <c r="G221" s="1"/>
      <c r="H221" s="68"/>
      <c r="I221" s="70"/>
      <c r="J221" s="74" t="s">
        <v>18128</v>
      </c>
      <c r="K221" s="62"/>
      <c r="L221" s="63"/>
      <c r="M221" s="85"/>
      <c r="N221" s="64"/>
      <c r="O221" s="65"/>
      <c r="P221" s="99"/>
      <c r="Q221" s="70"/>
      <c r="R221" s="67"/>
      <c r="S221" s="68" t="s">
        <v>1</v>
      </c>
      <c r="T221" s="76">
        <v>0.25</v>
      </c>
      <c r="U221" s="70" t="s">
        <v>422</v>
      </c>
      <c r="V221" s="67"/>
      <c r="W221" s="68"/>
      <c r="X221" s="76"/>
      <c r="Y221" s="70"/>
      <c r="Z221" s="228">
        <f>ROUND((ROUND((ROUND((ROUND((_15_同援日１．０*_15・基礎２),0)*(1+_15・A深夜)),0)*(1+_15・盲ろう)),0)*(1+_15・区４)),0)+ROUND((ROUND((ROUND((_15_同援日１．０＿２．０*_15・基礎２),0)*(1+_15・盲ろう)),0)*(1+_15・区４)),0)</f>
        <v>1195</v>
      </c>
      <c r="AA221" s="69"/>
    </row>
    <row r="222" spans="1:27" ht="16.5" customHeight="1" x14ac:dyDescent="0.3">
      <c r="A222" s="2">
        <v>15</v>
      </c>
      <c r="B222" s="2" t="s">
        <v>1337</v>
      </c>
      <c r="C222" s="60" t="s">
        <v>11683</v>
      </c>
      <c r="D222" s="81"/>
      <c r="E222" s="57"/>
      <c r="F222" s="77"/>
      <c r="G222" s="81"/>
      <c r="H222" s="57"/>
      <c r="I222" s="77"/>
      <c r="J222" s="106" t="s">
        <v>5896</v>
      </c>
      <c r="K222" s="57" t="s">
        <v>1</v>
      </c>
      <c r="L222" s="58">
        <v>0.9</v>
      </c>
      <c r="M222" s="83" t="s">
        <v>5895</v>
      </c>
      <c r="N222" s="64" t="s">
        <v>1</v>
      </c>
      <c r="O222" s="65">
        <v>1</v>
      </c>
      <c r="P222" s="99"/>
      <c r="Q222" s="70"/>
      <c r="R222" s="66"/>
      <c r="S222" s="57"/>
      <c r="T222" s="58"/>
      <c r="U222" s="77"/>
      <c r="V222" s="66"/>
      <c r="W222" s="57"/>
      <c r="X222" s="58"/>
      <c r="Y222" s="77"/>
      <c r="Z222" s="228">
        <f>ROUND((ROUND((ROUND((ROUND((ROUND((_15_同援日１．０*_15・基礎２),0)*_15・２人),0)*(1+_15・A深夜)),0)*(1+_15・盲ろう)),0)*(1+_15・区４)),0)+ROUND((ROUND((ROUND((ROUND((_15_同援日１．０＿２．０*_15・基礎２),0)*_15・２人),0)*(1+_15・盲ろう)),0)*(1+_15・区４)),0)</f>
        <v>1195</v>
      </c>
      <c r="AA222" s="69"/>
    </row>
    <row r="223" spans="1:27" ht="16.5" customHeight="1" x14ac:dyDescent="0.3">
      <c r="A223" s="2">
        <v>15</v>
      </c>
      <c r="B223" s="2" t="s">
        <v>1338</v>
      </c>
      <c r="C223" s="60" t="s">
        <v>11682</v>
      </c>
      <c r="D223" s="233" t="s">
        <v>18143</v>
      </c>
      <c r="E223" s="235"/>
      <c r="F223" s="75"/>
      <c r="G223" s="233" t="s">
        <v>6001</v>
      </c>
      <c r="H223" s="62"/>
      <c r="I223" s="75"/>
      <c r="J223" s="61"/>
      <c r="K223" s="62"/>
      <c r="L223" s="63"/>
      <c r="M223" s="85"/>
      <c r="N223" s="64"/>
      <c r="O223" s="65"/>
      <c r="P223" s="99"/>
      <c r="Q223" s="70"/>
      <c r="R223" s="61"/>
      <c r="S223" s="62"/>
      <c r="T223" s="63"/>
      <c r="U223" s="75"/>
      <c r="V223" s="61"/>
      <c r="W223" s="62"/>
      <c r="X223" s="63"/>
      <c r="Y223" s="75"/>
      <c r="Z223" s="228">
        <f>ROUND((_15_同援日１．５*(1+_15・A深夜)),0)+_15_同援日１．５＿０．５</f>
        <v>696</v>
      </c>
      <c r="AA223" s="69"/>
    </row>
    <row r="224" spans="1:27" ht="16.5" customHeight="1" x14ac:dyDescent="0.3">
      <c r="A224" s="2">
        <v>15</v>
      </c>
      <c r="B224" s="2" t="s">
        <v>1339</v>
      </c>
      <c r="C224" s="60" t="s">
        <v>11681</v>
      </c>
      <c r="D224" s="1" t="s">
        <v>18141</v>
      </c>
      <c r="E224" s="68"/>
      <c r="F224" s="70"/>
      <c r="G224" s="1" t="s">
        <v>7928</v>
      </c>
      <c r="H224" s="68"/>
      <c r="I224" s="70"/>
      <c r="J224" s="66"/>
      <c r="K224" s="57"/>
      <c r="L224" s="58"/>
      <c r="M224" s="83" t="s">
        <v>5895</v>
      </c>
      <c r="N224" s="64" t="s">
        <v>1</v>
      </c>
      <c r="O224" s="65">
        <v>1</v>
      </c>
      <c r="P224" s="99"/>
      <c r="Q224" s="70"/>
      <c r="R224" s="67"/>
      <c r="S224" s="68"/>
      <c r="T224" s="76"/>
      <c r="U224" s="70"/>
      <c r="V224" s="67"/>
      <c r="W224" s="68"/>
      <c r="X224" s="76"/>
      <c r="Y224" s="70"/>
      <c r="Z224" s="228">
        <f>ROUND((ROUND((_15_同援日１．５*_15・２人),0)*(1+_15・A深夜)),0)+ROUND((_15_同援日１．５＿０．５*_15・２人),0)</f>
        <v>696</v>
      </c>
      <c r="AA224" s="69"/>
    </row>
    <row r="225" spans="1:27" ht="16.5" customHeight="1" x14ac:dyDescent="0.3">
      <c r="A225" s="2">
        <v>15</v>
      </c>
      <c r="B225" s="2" t="s">
        <v>1340</v>
      </c>
      <c r="C225" s="60" t="s">
        <v>11680</v>
      </c>
      <c r="D225" s="1" t="s">
        <v>8767</v>
      </c>
      <c r="E225" s="68"/>
      <c r="F225" s="70"/>
      <c r="G225" s="1"/>
      <c r="H225" s="68"/>
      <c r="I225" s="70"/>
      <c r="J225" s="74" t="s">
        <v>18128</v>
      </c>
      <c r="K225" s="62"/>
      <c r="L225" s="63"/>
      <c r="M225" s="85"/>
      <c r="N225" s="64"/>
      <c r="O225" s="65"/>
      <c r="P225" s="99"/>
      <c r="Q225" s="70"/>
      <c r="R225" s="67"/>
      <c r="S225" s="68"/>
      <c r="T225" s="76"/>
      <c r="U225" s="70"/>
      <c r="V225" s="67"/>
      <c r="W225" s="68"/>
      <c r="X225" s="76"/>
      <c r="Y225" s="70"/>
      <c r="Z225" s="228">
        <f>ROUND((ROUND((_15_同援日１．５*_15・基礎２),0)*(1+_15・A深夜)),0)+ROUND((_15_同援日１．５＿０．５*_15・基礎２),0)</f>
        <v>627</v>
      </c>
      <c r="AA225" s="69"/>
    </row>
    <row r="226" spans="1:27" ht="16.5" customHeight="1" x14ac:dyDescent="0.3">
      <c r="A226" s="2">
        <v>15</v>
      </c>
      <c r="B226" s="2" t="s">
        <v>1341</v>
      </c>
      <c r="C226" s="60" t="s">
        <v>11679</v>
      </c>
      <c r="D226" s="1"/>
      <c r="E226" s="227">
        <v>421</v>
      </c>
      <c r="F226" s="70" t="s">
        <v>0</v>
      </c>
      <c r="G226" s="1"/>
      <c r="H226" s="119">
        <v>64</v>
      </c>
      <c r="I226" s="70" t="s">
        <v>0</v>
      </c>
      <c r="J226" s="106" t="s">
        <v>18127</v>
      </c>
      <c r="K226" s="57" t="s">
        <v>1</v>
      </c>
      <c r="L226" s="58">
        <v>0.9</v>
      </c>
      <c r="M226" s="83" t="s">
        <v>5895</v>
      </c>
      <c r="N226" s="64" t="s">
        <v>1</v>
      </c>
      <c r="O226" s="65">
        <v>1</v>
      </c>
      <c r="P226" s="99"/>
      <c r="Q226" s="70"/>
      <c r="R226" s="66"/>
      <c r="S226" s="57"/>
      <c r="T226" s="58"/>
      <c r="U226" s="77"/>
      <c r="V226" s="67"/>
      <c r="W226" s="68"/>
      <c r="X226" s="76"/>
      <c r="Y226" s="70"/>
      <c r="Z226" s="228">
        <f>ROUND((ROUND((ROUND((_15_同援日１．５*_15・基礎２),0)*_15・２人),0)*(1+_15・A深夜)),0)+ROUND((ROUND((_15_同援日１．５＿０．５*_15・基礎２),0)*_15・２人),0)</f>
        <v>627</v>
      </c>
      <c r="AA226" s="69"/>
    </row>
    <row r="227" spans="1:27" ht="16.5" customHeight="1" x14ac:dyDescent="0.3">
      <c r="A227" s="2">
        <v>15</v>
      </c>
      <c r="B227" s="2" t="s">
        <v>1342</v>
      </c>
      <c r="C227" s="60" t="s">
        <v>11678</v>
      </c>
      <c r="D227" s="1"/>
      <c r="E227" s="68"/>
      <c r="F227" s="70"/>
      <c r="G227" s="1"/>
      <c r="H227" s="68"/>
      <c r="I227" s="70"/>
      <c r="J227" s="61"/>
      <c r="K227" s="62"/>
      <c r="L227" s="63"/>
      <c r="M227" s="85"/>
      <c r="N227" s="64"/>
      <c r="O227" s="65"/>
      <c r="P227" s="99"/>
      <c r="Q227" s="70"/>
      <c r="R227" s="74" t="s">
        <v>18130</v>
      </c>
      <c r="S227" s="62"/>
      <c r="T227" s="63"/>
      <c r="U227" s="75"/>
      <c r="V227" s="67"/>
      <c r="W227" s="68"/>
      <c r="X227" s="76"/>
      <c r="Y227" s="70"/>
      <c r="Z227" s="228">
        <f>ROUND((ROUND((_15_同援日１．５*(1+_15・A深夜)),0)*(1+_15・盲ろう)),0)+ROUND((_15_同援日１．５＿０．５*(1+_15・盲ろう)),0)</f>
        <v>870</v>
      </c>
      <c r="AA227" s="69"/>
    </row>
    <row r="228" spans="1:27" ht="16.5" customHeight="1" x14ac:dyDescent="0.3">
      <c r="A228" s="2">
        <v>15</v>
      </c>
      <c r="B228" s="2" t="s">
        <v>1343</v>
      </c>
      <c r="C228" s="60" t="s">
        <v>11677</v>
      </c>
      <c r="D228" s="1"/>
      <c r="E228" s="68"/>
      <c r="F228" s="70"/>
      <c r="G228" s="1"/>
      <c r="H228" s="68"/>
      <c r="I228" s="70"/>
      <c r="J228" s="66"/>
      <c r="K228" s="57"/>
      <c r="L228" s="58"/>
      <c r="M228" s="83" t="s">
        <v>5895</v>
      </c>
      <c r="N228" s="64" t="s">
        <v>1</v>
      </c>
      <c r="O228" s="65">
        <v>1</v>
      </c>
      <c r="P228" s="99"/>
      <c r="Q228" s="70"/>
      <c r="R228" s="94" t="s">
        <v>18129</v>
      </c>
      <c r="S228" s="68"/>
      <c r="T228" s="76"/>
      <c r="U228" s="70"/>
      <c r="V228" s="67"/>
      <c r="W228" s="68"/>
      <c r="X228" s="76"/>
      <c r="Y228" s="70"/>
      <c r="Z228" s="228">
        <f>ROUND((ROUND((ROUND((_15_同援日１．５*_15・２人),0)*(1+_15・A深夜)),0)*(1+_15・盲ろう)),0)+ROUND((ROUND((_15_同援日１．５＿０．５*_15・２人),0)*(1+_15・盲ろう)),0)</f>
        <v>870</v>
      </c>
      <c r="AA228" s="69"/>
    </row>
    <row r="229" spans="1:27" ht="16.5" customHeight="1" x14ac:dyDescent="0.3">
      <c r="A229" s="2">
        <v>15</v>
      </c>
      <c r="B229" s="2" t="s">
        <v>1344</v>
      </c>
      <c r="C229" s="60" t="s">
        <v>11676</v>
      </c>
      <c r="D229" s="1"/>
      <c r="E229" s="68"/>
      <c r="F229" s="70"/>
      <c r="G229" s="1"/>
      <c r="H229" s="68"/>
      <c r="I229" s="70"/>
      <c r="J229" s="74" t="s">
        <v>5898</v>
      </c>
      <c r="K229" s="62"/>
      <c r="L229" s="63"/>
      <c r="M229" s="85"/>
      <c r="N229" s="64"/>
      <c r="O229" s="65"/>
      <c r="P229" s="99"/>
      <c r="Q229" s="70"/>
      <c r="R229" s="67"/>
      <c r="S229" s="68" t="s">
        <v>1</v>
      </c>
      <c r="T229" s="76">
        <v>0.25</v>
      </c>
      <c r="U229" s="70" t="s">
        <v>422</v>
      </c>
      <c r="V229" s="67"/>
      <c r="W229" s="68"/>
      <c r="X229" s="76"/>
      <c r="Y229" s="70"/>
      <c r="Z229" s="228">
        <f>ROUND((ROUND((ROUND((_15_同援日１．５*_15・基礎２),0)*(1+_15・A深夜)),0)*(1+_15・盲ろう)),0)+ROUND((ROUND((_15_同援日１．５＿０．５*_15・基礎２),0)*(1+_15・盲ろう)),0)</f>
        <v>784</v>
      </c>
      <c r="AA229" s="69"/>
    </row>
    <row r="230" spans="1:27" ht="16.5" customHeight="1" x14ac:dyDescent="0.3">
      <c r="A230" s="2">
        <v>15</v>
      </c>
      <c r="B230" s="2" t="s">
        <v>1345</v>
      </c>
      <c r="C230" s="60" t="s">
        <v>11675</v>
      </c>
      <c r="D230" s="1"/>
      <c r="E230" s="68"/>
      <c r="F230" s="70"/>
      <c r="G230" s="1"/>
      <c r="H230" s="68"/>
      <c r="I230" s="70"/>
      <c r="J230" s="106" t="s">
        <v>18127</v>
      </c>
      <c r="K230" s="57" t="s">
        <v>1</v>
      </c>
      <c r="L230" s="58">
        <v>0.9</v>
      </c>
      <c r="M230" s="83" t="s">
        <v>5895</v>
      </c>
      <c r="N230" s="64" t="s">
        <v>1</v>
      </c>
      <c r="O230" s="65">
        <v>1</v>
      </c>
      <c r="P230" s="99"/>
      <c r="Q230" s="70"/>
      <c r="R230" s="66"/>
      <c r="S230" s="57"/>
      <c r="T230" s="58"/>
      <c r="U230" s="77"/>
      <c r="V230" s="66"/>
      <c r="W230" s="57"/>
      <c r="X230" s="58"/>
      <c r="Y230" s="77"/>
      <c r="Z230" s="228">
        <f>ROUND((ROUND((ROUND((ROUND((_15_同援日１．５*_15・基礎２),0)*_15・２人),0)*(1+_15・A深夜)),0)*(1+_15・盲ろう)),0)+ROUND((ROUND((ROUND((_15_同援日１．５＿０．５*_15・基礎２),0)*_15・２人),0)*(1+_15・盲ろう)),0)</f>
        <v>784</v>
      </c>
      <c r="AA230" s="69"/>
    </row>
    <row r="231" spans="1:27" ht="16.5" customHeight="1" x14ac:dyDescent="0.3">
      <c r="A231" s="2">
        <v>15</v>
      </c>
      <c r="B231" s="2" t="s">
        <v>1346</v>
      </c>
      <c r="C231" s="60" t="s">
        <v>11674</v>
      </c>
      <c r="D231" s="1"/>
      <c r="E231" s="68"/>
      <c r="F231" s="70"/>
      <c r="G231" s="1"/>
      <c r="H231" s="68"/>
      <c r="I231" s="70"/>
      <c r="J231" s="61"/>
      <c r="K231" s="62"/>
      <c r="L231" s="63"/>
      <c r="M231" s="85"/>
      <c r="N231" s="64"/>
      <c r="O231" s="65"/>
      <c r="P231" s="99"/>
      <c r="Q231" s="70"/>
      <c r="R231" s="61"/>
      <c r="S231" s="62"/>
      <c r="T231" s="63"/>
      <c r="U231" s="75"/>
      <c r="V231" s="61"/>
      <c r="W231" s="62"/>
      <c r="X231" s="63"/>
      <c r="Y231" s="75"/>
      <c r="Z231" s="228">
        <f>ROUND((ROUND((_15_同援日１．５*(1+_15・A深夜)),0)*(1+_15・区３)),0)+ROUND((_15_同援日１．５＿０．５*(1+_15・区３)),0)</f>
        <v>835</v>
      </c>
      <c r="AA231" s="69"/>
    </row>
    <row r="232" spans="1:27" ht="16.5" customHeight="1" x14ac:dyDescent="0.3">
      <c r="A232" s="2">
        <v>15</v>
      </c>
      <c r="B232" s="2" t="s">
        <v>1347</v>
      </c>
      <c r="C232" s="60" t="s">
        <v>11673</v>
      </c>
      <c r="D232" s="1"/>
      <c r="E232" s="68"/>
      <c r="F232" s="70"/>
      <c r="G232" s="1"/>
      <c r="H232" s="68"/>
      <c r="I232" s="70"/>
      <c r="J232" s="66"/>
      <c r="K232" s="57"/>
      <c r="L232" s="58"/>
      <c r="M232" s="83" t="s">
        <v>5895</v>
      </c>
      <c r="N232" s="64" t="s">
        <v>1</v>
      </c>
      <c r="O232" s="65">
        <v>1</v>
      </c>
      <c r="P232" s="99"/>
      <c r="Q232" s="70"/>
      <c r="R232" s="67"/>
      <c r="S232" s="68"/>
      <c r="T232" s="76"/>
      <c r="U232" s="70"/>
      <c r="V232" s="67"/>
      <c r="W232" s="68"/>
      <c r="X232" s="76"/>
      <c r="Y232" s="70"/>
      <c r="Z232" s="228">
        <f>ROUND((ROUND((ROUND((_15_同援日１．５*_15・２人),0)*(1+_15・A深夜)),0)*(1+_15・区３)),0)+ROUND((ROUND((_15_同援日１．５＿０．５*_15・２人),0)*(1+_15・区３)),0)</f>
        <v>835</v>
      </c>
      <c r="AA232" s="69"/>
    </row>
    <row r="233" spans="1:27" ht="16.5" customHeight="1" x14ac:dyDescent="0.3">
      <c r="A233" s="2">
        <v>15</v>
      </c>
      <c r="B233" s="2" t="s">
        <v>1348</v>
      </c>
      <c r="C233" s="60" t="s">
        <v>11672</v>
      </c>
      <c r="D233" s="1"/>
      <c r="E233" s="68"/>
      <c r="F233" s="70"/>
      <c r="G233" s="1"/>
      <c r="H233" s="68"/>
      <c r="I233" s="70"/>
      <c r="J233" s="74" t="s">
        <v>18128</v>
      </c>
      <c r="K233" s="62"/>
      <c r="L233" s="63"/>
      <c r="M233" s="85"/>
      <c r="N233" s="64"/>
      <c r="O233" s="65"/>
      <c r="P233" s="99"/>
      <c r="Q233" s="70"/>
      <c r="R233" s="67"/>
      <c r="S233" s="68"/>
      <c r="T233" s="76"/>
      <c r="U233" s="70"/>
      <c r="V233" s="1" t="s">
        <v>18133</v>
      </c>
      <c r="W233" s="68"/>
      <c r="X233" s="76"/>
      <c r="Y233" s="70"/>
      <c r="Z233" s="228">
        <f>ROUND((ROUND((ROUND((_15_同援日１．５*_15・基礎２),0)*(1+_15・A深夜)),0)*(1+_15・区３)),0)+ROUND((ROUND((_15_同援日１．５＿０．５*_15・基礎２),0)*(1+_15・区３)),0)</f>
        <v>753</v>
      </c>
      <c r="AA233" s="69"/>
    </row>
    <row r="234" spans="1:27" ht="16.5" customHeight="1" x14ac:dyDescent="0.3">
      <c r="A234" s="2">
        <v>15</v>
      </c>
      <c r="B234" s="2" t="s">
        <v>1349</v>
      </c>
      <c r="C234" s="60" t="s">
        <v>11671</v>
      </c>
      <c r="D234" s="1"/>
      <c r="E234" s="68"/>
      <c r="F234" s="70"/>
      <c r="G234" s="1"/>
      <c r="H234" s="68"/>
      <c r="I234" s="70"/>
      <c r="J234" s="106" t="s">
        <v>18127</v>
      </c>
      <c r="K234" s="57" t="s">
        <v>1</v>
      </c>
      <c r="L234" s="58">
        <v>0.9</v>
      </c>
      <c r="M234" s="83" t="s">
        <v>5895</v>
      </c>
      <c r="N234" s="64" t="s">
        <v>1</v>
      </c>
      <c r="O234" s="65">
        <v>1</v>
      </c>
      <c r="P234" s="99"/>
      <c r="Q234" s="70"/>
      <c r="R234" s="66"/>
      <c r="S234" s="57"/>
      <c r="T234" s="58"/>
      <c r="U234" s="77"/>
      <c r="V234" s="1" t="s">
        <v>18131</v>
      </c>
      <c r="W234" s="68"/>
      <c r="X234" s="76"/>
      <c r="Y234" s="70"/>
      <c r="Z234" s="228">
        <f>ROUND((ROUND((ROUND((ROUND((_15_同援日１．５*_15・基礎２),0)*_15・２人),0)*(1+_15・A深夜)),0)*(1+_15・区３)),0)+ROUND((ROUND((ROUND((_15_同援日１．５＿０．５*_15・基礎２),0)*_15・２人),0)*(1+_15・区３)),0)</f>
        <v>753</v>
      </c>
      <c r="AA234" s="69"/>
    </row>
    <row r="235" spans="1:27" ht="16.5" customHeight="1" x14ac:dyDescent="0.3">
      <c r="A235" s="2">
        <v>15</v>
      </c>
      <c r="B235" s="2" t="s">
        <v>1350</v>
      </c>
      <c r="C235" s="60" t="s">
        <v>11670</v>
      </c>
      <c r="D235" s="1"/>
      <c r="E235" s="68"/>
      <c r="F235" s="70"/>
      <c r="G235" s="1"/>
      <c r="H235" s="68"/>
      <c r="I235" s="70"/>
      <c r="J235" s="61"/>
      <c r="K235" s="62"/>
      <c r="L235" s="63"/>
      <c r="M235" s="85"/>
      <c r="N235" s="64"/>
      <c r="O235" s="65"/>
      <c r="P235" s="99"/>
      <c r="Q235" s="70"/>
      <c r="R235" s="74" t="s">
        <v>18130</v>
      </c>
      <c r="S235" s="62"/>
      <c r="T235" s="63"/>
      <c r="U235" s="75"/>
      <c r="V235" s="67"/>
      <c r="W235" s="68" t="s">
        <v>1</v>
      </c>
      <c r="X235" s="76">
        <v>0.2</v>
      </c>
      <c r="Y235" s="70" t="s">
        <v>422</v>
      </c>
      <c r="Z235" s="228">
        <f>ROUND((ROUND((ROUND((_15_同援日１．５*(1+_15・A深夜)),0)*(1+_15・盲ろう)),0)*(1+_15・区３)),0)+ROUND((ROUND((_15_同援日１．５＿０．５*(1+_15・盲ろう)),0)*(1+_15・区３)),0)</f>
        <v>1044</v>
      </c>
      <c r="AA235" s="69"/>
    </row>
    <row r="236" spans="1:27" ht="16.5" customHeight="1" x14ac:dyDescent="0.3">
      <c r="A236" s="2">
        <v>15</v>
      </c>
      <c r="B236" s="2" t="s">
        <v>1351</v>
      </c>
      <c r="C236" s="60" t="s">
        <v>11669</v>
      </c>
      <c r="D236" s="1"/>
      <c r="E236" s="68"/>
      <c r="F236" s="70"/>
      <c r="G236" s="1"/>
      <c r="H236" s="68"/>
      <c r="I236" s="70"/>
      <c r="J236" s="66"/>
      <c r="K236" s="57"/>
      <c r="L236" s="58"/>
      <c r="M236" s="83" t="s">
        <v>5895</v>
      </c>
      <c r="N236" s="64" t="s">
        <v>1</v>
      </c>
      <c r="O236" s="65">
        <v>1</v>
      </c>
      <c r="P236" s="99"/>
      <c r="Q236" s="70"/>
      <c r="R236" s="94" t="s">
        <v>18129</v>
      </c>
      <c r="S236" s="68"/>
      <c r="T236" s="76"/>
      <c r="U236" s="70"/>
      <c r="V236" s="67"/>
      <c r="W236" s="68"/>
      <c r="X236" s="76"/>
      <c r="Y236" s="70"/>
      <c r="Z236" s="228">
        <f>ROUND((ROUND((ROUND((ROUND((_15_同援日１．５*_15・２人),0)*(1+_15・A深夜)),0)*(1+_15・盲ろう)),0)*(1+_15・区３)),0)+ROUND((ROUND((ROUND((_15_同援日１．５＿０．５*_15・２人),0)*(1+_15・盲ろう)),0)*(1+_15・区３)),0)</f>
        <v>1044</v>
      </c>
      <c r="AA236" s="69"/>
    </row>
    <row r="237" spans="1:27" ht="16.5" customHeight="1" x14ac:dyDescent="0.3">
      <c r="A237" s="2">
        <v>15</v>
      </c>
      <c r="B237" s="2" t="s">
        <v>1352</v>
      </c>
      <c r="C237" s="60" t="s">
        <v>11668</v>
      </c>
      <c r="D237" s="1"/>
      <c r="E237" s="68"/>
      <c r="F237" s="70"/>
      <c r="G237" s="1"/>
      <c r="H237" s="68"/>
      <c r="I237" s="70"/>
      <c r="J237" s="74" t="s">
        <v>18128</v>
      </c>
      <c r="K237" s="62"/>
      <c r="L237" s="63"/>
      <c r="M237" s="85"/>
      <c r="N237" s="64"/>
      <c r="O237" s="65"/>
      <c r="P237" s="99"/>
      <c r="Q237" s="70"/>
      <c r="R237" s="67"/>
      <c r="S237" s="68" t="s">
        <v>1</v>
      </c>
      <c r="T237" s="76">
        <v>0.25</v>
      </c>
      <c r="U237" s="70" t="s">
        <v>422</v>
      </c>
      <c r="V237" s="67"/>
      <c r="W237" s="68"/>
      <c r="X237" s="76"/>
      <c r="Y237" s="70"/>
      <c r="Z237" s="228">
        <f>ROUND((ROUND((ROUND((ROUND((_15_同援日１．５*_15・基礎２),0)*(1+_15・A深夜)),0)*(1+_15・盲ろう)),0)*(1+_15・区３)),0)+ROUND((ROUND((ROUND((_15_同援日１．５＿０．５*_15・基礎２),0)*(1+_15・盲ろう)),0)*(1+_15・区３)),0)</f>
        <v>941</v>
      </c>
      <c r="AA237" s="69"/>
    </row>
    <row r="238" spans="1:27" ht="16.5" customHeight="1" x14ac:dyDescent="0.3">
      <c r="A238" s="2">
        <v>15</v>
      </c>
      <c r="B238" s="2" t="s">
        <v>1353</v>
      </c>
      <c r="C238" s="60" t="s">
        <v>11667</v>
      </c>
      <c r="D238" s="1"/>
      <c r="E238" s="68"/>
      <c r="F238" s="70"/>
      <c r="G238" s="1"/>
      <c r="H238" s="68"/>
      <c r="I238" s="70"/>
      <c r="J238" s="106" t="s">
        <v>18127</v>
      </c>
      <c r="K238" s="57" t="s">
        <v>1</v>
      </c>
      <c r="L238" s="58">
        <v>0.9</v>
      </c>
      <c r="M238" s="83" t="s">
        <v>5895</v>
      </c>
      <c r="N238" s="64" t="s">
        <v>1</v>
      </c>
      <c r="O238" s="65">
        <v>1</v>
      </c>
      <c r="P238" s="99"/>
      <c r="Q238" s="70"/>
      <c r="R238" s="66"/>
      <c r="S238" s="57"/>
      <c r="T238" s="58"/>
      <c r="U238" s="77"/>
      <c r="V238" s="66"/>
      <c r="W238" s="57"/>
      <c r="X238" s="58"/>
      <c r="Y238" s="77"/>
      <c r="Z238" s="228">
        <f>ROUND((ROUND((ROUND((ROUND((ROUND((_15_同援日１．５*_15・基礎２),0)*_15・２人),0)*(1+_15・A深夜)),0)*(1+_15・盲ろう)),0)*(1+_15・区３)),0)+ROUND((ROUND((ROUND((ROUND((_15_同援日１．５＿０．５*_15・基礎２),0)*_15・２人),0)*(1+_15・盲ろう)),0)*(1+_15・区３)),0)</f>
        <v>941</v>
      </c>
      <c r="AA238" s="69"/>
    </row>
    <row r="239" spans="1:27" ht="16.5" customHeight="1" x14ac:dyDescent="0.3">
      <c r="A239" s="2">
        <v>15</v>
      </c>
      <c r="B239" s="2" t="s">
        <v>1354</v>
      </c>
      <c r="C239" s="60" t="s">
        <v>11666</v>
      </c>
      <c r="D239" s="1"/>
      <c r="E239" s="68"/>
      <c r="F239" s="70"/>
      <c r="G239" s="1"/>
      <c r="H239" s="68"/>
      <c r="I239" s="70"/>
      <c r="J239" s="61"/>
      <c r="K239" s="62"/>
      <c r="L239" s="63"/>
      <c r="M239" s="85"/>
      <c r="N239" s="64"/>
      <c r="O239" s="65"/>
      <c r="P239" s="99"/>
      <c r="Q239" s="70"/>
      <c r="R239" s="61"/>
      <c r="S239" s="62"/>
      <c r="T239" s="63"/>
      <c r="U239" s="75"/>
      <c r="V239" s="61"/>
      <c r="W239" s="62"/>
      <c r="X239" s="63"/>
      <c r="Y239" s="75"/>
      <c r="Z239" s="228">
        <f>ROUND((ROUND((_15_同援日１．５*(1+_15・A深夜)),0)*(1+_15・区４)),0)+ROUND((_15_同援日１．５＿０．５*(1+_15・区４)),0)</f>
        <v>975</v>
      </c>
      <c r="AA239" s="69"/>
    </row>
    <row r="240" spans="1:27" ht="16.5" customHeight="1" x14ac:dyDescent="0.3">
      <c r="A240" s="2">
        <v>15</v>
      </c>
      <c r="B240" s="2" t="s">
        <v>1355</v>
      </c>
      <c r="C240" s="60" t="s">
        <v>11665</v>
      </c>
      <c r="D240" s="1"/>
      <c r="E240" s="68"/>
      <c r="F240" s="70"/>
      <c r="G240" s="1"/>
      <c r="H240" s="68"/>
      <c r="I240" s="70"/>
      <c r="J240" s="66"/>
      <c r="K240" s="57"/>
      <c r="L240" s="58"/>
      <c r="M240" s="83" t="s">
        <v>5895</v>
      </c>
      <c r="N240" s="64" t="s">
        <v>1</v>
      </c>
      <c r="O240" s="65">
        <v>1</v>
      </c>
      <c r="P240" s="99"/>
      <c r="Q240" s="70"/>
      <c r="R240" s="67"/>
      <c r="S240" s="68"/>
      <c r="T240" s="76"/>
      <c r="U240" s="70"/>
      <c r="V240" s="67"/>
      <c r="W240" s="68"/>
      <c r="X240" s="76"/>
      <c r="Y240" s="70"/>
      <c r="Z240" s="228">
        <f>ROUND((ROUND((ROUND((_15_同援日１．５*_15・２人),0)*(1+_15・A深夜)),0)*(1+_15・区４)),0)+ROUND((ROUND((_15_同援日１．５＿０．５*_15・２人),0)*(1+_15・区４)),0)</f>
        <v>975</v>
      </c>
      <c r="AA240" s="69"/>
    </row>
    <row r="241" spans="1:27" ht="16.5" customHeight="1" x14ac:dyDescent="0.3">
      <c r="A241" s="2">
        <v>15</v>
      </c>
      <c r="B241" s="2" t="s">
        <v>1356</v>
      </c>
      <c r="C241" s="60" t="s">
        <v>11664</v>
      </c>
      <c r="D241" s="1"/>
      <c r="E241" s="68"/>
      <c r="F241" s="70"/>
      <c r="G241" s="1"/>
      <c r="H241" s="68"/>
      <c r="I241" s="70"/>
      <c r="J241" s="74" t="s">
        <v>5898</v>
      </c>
      <c r="K241" s="62"/>
      <c r="L241" s="63"/>
      <c r="M241" s="85"/>
      <c r="N241" s="64"/>
      <c r="O241" s="65"/>
      <c r="P241" s="99"/>
      <c r="Q241" s="70"/>
      <c r="R241" s="67"/>
      <c r="S241" s="68"/>
      <c r="T241" s="76"/>
      <c r="U241" s="70"/>
      <c r="V241" s="1" t="s">
        <v>18132</v>
      </c>
      <c r="W241" s="68"/>
      <c r="X241" s="76"/>
      <c r="Y241" s="70"/>
      <c r="Z241" s="228">
        <f>ROUND((ROUND((ROUND((_15_同援日１．５*_15・基礎２),0)*(1+_15・A深夜)),0)*(1+_15・区４)),0)+ROUND((ROUND((_15_同援日１．５＿０．５*_15・基礎２),0)*(1+_15・区４)),0)</f>
        <v>878</v>
      </c>
      <c r="AA241" s="69"/>
    </row>
    <row r="242" spans="1:27" ht="16.5" customHeight="1" x14ac:dyDescent="0.3">
      <c r="A242" s="2">
        <v>15</v>
      </c>
      <c r="B242" s="2" t="s">
        <v>1357</v>
      </c>
      <c r="C242" s="60" t="s">
        <v>11663</v>
      </c>
      <c r="D242" s="1"/>
      <c r="E242" s="68"/>
      <c r="F242" s="70"/>
      <c r="G242" s="1"/>
      <c r="H242" s="68"/>
      <c r="I242" s="70"/>
      <c r="J242" s="106" t="s">
        <v>18127</v>
      </c>
      <c r="K242" s="57" t="s">
        <v>1</v>
      </c>
      <c r="L242" s="58">
        <v>0.9</v>
      </c>
      <c r="M242" s="83" t="s">
        <v>5895</v>
      </c>
      <c r="N242" s="64" t="s">
        <v>1</v>
      </c>
      <c r="O242" s="65">
        <v>1</v>
      </c>
      <c r="P242" s="99"/>
      <c r="Q242" s="70"/>
      <c r="R242" s="66"/>
      <c r="S242" s="57"/>
      <c r="T242" s="58"/>
      <c r="U242" s="77"/>
      <c r="V242" s="1" t="s">
        <v>18131</v>
      </c>
      <c r="W242" s="68"/>
      <c r="X242" s="76"/>
      <c r="Y242" s="70"/>
      <c r="Z242" s="228">
        <f>ROUND((ROUND((ROUND((ROUND((_15_同援日１．５*_15・基礎２),0)*_15・２人),0)*(1+_15・A深夜)),0)*(1+_15・区４)),0)+ROUND((ROUND((ROUND((_15_同援日１．５＿０．５*_15・基礎２),0)*_15・２人),0)*(1+_15・区４)),0)</f>
        <v>878</v>
      </c>
      <c r="AA242" s="69"/>
    </row>
    <row r="243" spans="1:27" ht="16.5" customHeight="1" x14ac:dyDescent="0.3">
      <c r="A243" s="2">
        <v>15</v>
      </c>
      <c r="B243" s="2" t="s">
        <v>1358</v>
      </c>
      <c r="C243" s="60" t="s">
        <v>11662</v>
      </c>
      <c r="D243" s="1"/>
      <c r="E243" s="68"/>
      <c r="F243" s="70"/>
      <c r="G243" s="1"/>
      <c r="H243" s="68"/>
      <c r="I243" s="70"/>
      <c r="J243" s="61"/>
      <c r="K243" s="62"/>
      <c r="L243" s="63"/>
      <c r="M243" s="85"/>
      <c r="N243" s="64"/>
      <c r="O243" s="65"/>
      <c r="P243" s="99"/>
      <c r="Q243" s="70"/>
      <c r="R243" s="74" t="s">
        <v>18130</v>
      </c>
      <c r="S243" s="62"/>
      <c r="T243" s="63"/>
      <c r="U243" s="75"/>
      <c r="V243" s="67"/>
      <c r="W243" s="68" t="s">
        <v>1</v>
      </c>
      <c r="X243" s="76">
        <v>0.4</v>
      </c>
      <c r="Y243" s="70" t="s">
        <v>422</v>
      </c>
      <c r="Z243" s="228">
        <f>ROUND((ROUND((ROUND((_15_同援日１．５*(1+_15・A深夜)),0)*(1+_15・盲ろう)),0)*(1+_15・区４)),0)+ROUND((ROUND((_15_同援日１．５＿０．５*(1+_15・盲ろう)),0)*(1+_15・区４)),0)</f>
        <v>1218</v>
      </c>
      <c r="AA243" s="69"/>
    </row>
    <row r="244" spans="1:27" ht="16.5" customHeight="1" x14ac:dyDescent="0.3">
      <c r="A244" s="2">
        <v>15</v>
      </c>
      <c r="B244" s="2" t="s">
        <v>1359</v>
      </c>
      <c r="C244" s="60" t="s">
        <v>11661</v>
      </c>
      <c r="D244" s="1"/>
      <c r="E244" s="68"/>
      <c r="F244" s="70"/>
      <c r="G244" s="1"/>
      <c r="H244" s="68"/>
      <c r="I244" s="70"/>
      <c r="J244" s="66"/>
      <c r="K244" s="57"/>
      <c r="L244" s="58"/>
      <c r="M244" s="83" t="s">
        <v>5895</v>
      </c>
      <c r="N244" s="64" t="s">
        <v>1</v>
      </c>
      <c r="O244" s="65">
        <v>1</v>
      </c>
      <c r="P244" s="99"/>
      <c r="Q244" s="70"/>
      <c r="R244" s="94" t="s">
        <v>18129</v>
      </c>
      <c r="S244" s="68"/>
      <c r="T244" s="76"/>
      <c r="U244" s="70"/>
      <c r="V244" s="67"/>
      <c r="W244" s="68"/>
      <c r="X244" s="76"/>
      <c r="Y244" s="70"/>
      <c r="Z244" s="228">
        <f>ROUND((ROUND((ROUND((ROUND((_15_同援日１．５*_15・２人),0)*(1+_15・A深夜)),0)*(1+_15・盲ろう)),0)*(1+_15・区４)),0)+ROUND((ROUND((ROUND((_15_同援日１．５＿０．５*_15・２人),0)*(1+_15・盲ろう)),0)*(1+_15・区４)),0)</f>
        <v>1218</v>
      </c>
      <c r="AA244" s="69"/>
    </row>
    <row r="245" spans="1:27" ht="16.5" customHeight="1" x14ac:dyDescent="0.3">
      <c r="A245" s="2">
        <v>15</v>
      </c>
      <c r="B245" s="2" t="s">
        <v>1360</v>
      </c>
      <c r="C245" s="60" t="s">
        <v>11660</v>
      </c>
      <c r="D245" s="1"/>
      <c r="E245" s="68"/>
      <c r="F245" s="70"/>
      <c r="G245" s="1"/>
      <c r="H245" s="68"/>
      <c r="I245" s="70"/>
      <c r="J245" s="74" t="s">
        <v>18128</v>
      </c>
      <c r="K245" s="62"/>
      <c r="L245" s="63"/>
      <c r="M245" s="85"/>
      <c r="N245" s="64"/>
      <c r="O245" s="65"/>
      <c r="P245" s="99"/>
      <c r="Q245" s="70"/>
      <c r="R245" s="67"/>
      <c r="S245" s="68" t="s">
        <v>1</v>
      </c>
      <c r="T245" s="76">
        <v>0.25</v>
      </c>
      <c r="U245" s="70" t="s">
        <v>422</v>
      </c>
      <c r="V245" s="67"/>
      <c r="W245" s="68"/>
      <c r="X245" s="76"/>
      <c r="Y245" s="70"/>
      <c r="Z245" s="228">
        <f>ROUND((ROUND((ROUND((ROUND((_15_同援日１．５*_15・基礎２),0)*(1+_15・A深夜)),0)*(1+_15・盲ろう)),0)*(1+_15・区４)),0)+ROUND((ROUND((ROUND((_15_同援日１．５＿０．５*_15・基礎２),0)*(1+_15・盲ろう)),0)*(1+_15・区４)),0)</f>
        <v>1097</v>
      </c>
      <c r="AA245" s="69"/>
    </row>
    <row r="246" spans="1:27" ht="16.5" customHeight="1" x14ac:dyDescent="0.3">
      <c r="A246" s="2">
        <v>15</v>
      </c>
      <c r="B246" s="2" t="s">
        <v>1361</v>
      </c>
      <c r="C246" s="60" t="s">
        <v>11659</v>
      </c>
      <c r="D246" s="1"/>
      <c r="E246" s="68"/>
      <c r="F246" s="70"/>
      <c r="G246" s="81"/>
      <c r="H246" s="57"/>
      <c r="I246" s="77"/>
      <c r="J246" s="106" t="s">
        <v>18127</v>
      </c>
      <c r="K246" s="57" t="s">
        <v>1</v>
      </c>
      <c r="L246" s="58">
        <v>0.9</v>
      </c>
      <c r="M246" s="83" t="s">
        <v>5895</v>
      </c>
      <c r="N246" s="64" t="s">
        <v>1</v>
      </c>
      <c r="O246" s="65">
        <v>1</v>
      </c>
      <c r="P246" s="99"/>
      <c r="Q246" s="70"/>
      <c r="R246" s="66"/>
      <c r="S246" s="57"/>
      <c r="T246" s="58"/>
      <c r="U246" s="77"/>
      <c r="V246" s="66"/>
      <c r="W246" s="57"/>
      <c r="X246" s="58"/>
      <c r="Y246" s="77"/>
      <c r="Z246" s="228">
        <f>ROUND((ROUND((ROUND((ROUND((ROUND((_15_同援日１．５*_15・基礎２),0)*_15・２人),0)*(1+_15・A深夜)),0)*(1+_15・盲ろう)),0)*(1+_15・区４)),0)+ROUND((ROUND((ROUND((ROUND((_15_同援日１．５＿０．５*_15・基礎２),0)*_15・２人),0)*(1+_15・盲ろう)),0)*(1+_15・区４)),0)</f>
        <v>1097</v>
      </c>
      <c r="AA246" s="69"/>
    </row>
    <row r="247" spans="1:27" ht="16.5" customHeight="1" x14ac:dyDescent="0.3">
      <c r="A247" s="2">
        <v>15</v>
      </c>
      <c r="B247" s="2" t="s">
        <v>1362</v>
      </c>
      <c r="C247" s="60" t="s">
        <v>11658</v>
      </c>
      <c r="D247" s="1"/>
      <c r="E247" s="68"/>
      <c r="F247" s="70"/>
      <c r="G247" s="233" t="s">
        <v>18138</v>
      </c>
      <c r="H247" s="62"/>
      <c r="I247" s="75"/>
      <c r="J247" s="61"/>
      <c r="K247" s="62"/>
      <c r="L247" s="63"/>
      <c r="M247" s="85"/>
      <c r="N247" s="64"/>
      <c r="O247" s="65"/>
      <c r="P247" s="99"/>
      <c r="Q247" s="70"/>
      <c r="R247" s="61"/>
      <c r="S247" s="62"/>
      <c r="T247" s="63"/>
      <c r="U247" s="75"/>
      <c r="V247" s="61"/>
      <c r="W247" s="62"/>
      <c r="X247" s="63"/>
      <c r="Y247" s="75"/>
      <c r="Z247" s="228">
        <f>ROUND((_15_同援日１．５*(1+_15・A深夜)),0)+_15_同援日１．５＿１．０</f>
        <v>759</v>
      </c>
      <c r="AA247" s="69"/>
    </row>
    <row r="248" spans="1:27" ht="16.5" customHeight="1" x14ac:dyDescent="0.3">
      <c r="A248" s="2">
        <v>15</v>
      </c>
      <c r="B248" s="2" t="s">
        <v>1363</v>
      </c>
      <c r="C248" s="60" t="s">
        <v>11657</v>
      </c>
      <c r="D248" s="1"/>
      <c r="E248" s="68"/>
      <c r="F248" s="70"/>
      <c r="G248" s="1" t="s">
        <v>5993</v>
      </c>
      <c r="H248" s="68"/>
      <c r="I248" s="70"/>
      <c r="J248" s="66"/>
      <c r="K248" s="57"/>
      <c r="L248" s="58"/>
      <c r="M248" s="83" t="s">
        <v>5895</v>
      </c>
      <c r="N248" s="64" t="s">
        <v>1</v>
      </c>
      <c r="O248" s="65">
        <v>1</v>
      </c>
      <c r="P248" s="99"/>
      <c r="Q248" s="70"/>
      <c r="R248" s="67"/>
      <c r="S248" s="68"/>
      <c r="T248" s="76"/>
      <c r="U248" s="70"/>
      <c r="V248" s="67"/>
      <c r="W248" s="68"/>
      <c r="X248" s="76"/>
      <c r="Y248" s="70"/>
      <c r="Z248" s="228">
        <f>ROUND((ROUND((_15_同援日１．５*_15・２人),0)*(1+_15・A深夜)),0)+ROUND((_15_同援日１．５＿１．０*_15・２人),0)</f>
        <v>759</v>
      </c>
      <c r="AA248" s="69"/>
    </row>
    <row r="249" spans="1:27" ht="16.5" customHeight="1" x14ac:dyDescent="0.3">
      <c r="A249" s="2">
        <v>15</v>
      </c>
      <c r="B249" s="2" t="s">
        <v>1364</v>
      </c>
      <c r="C249" s="60" t="s">
        <v>11656</v>
      </c>
      <c r="D249" s="1"/>
      <c r="E249" s="68"/>
      <c r="F249" s="70"/>
      <c r="G249" s="1" t="s">
        <v>8572</v>
      </c>
      <c r="H249" s="68"/>
      <c r="I249" s="70"/>
      <c r="J249" s="74" t="s">
        <v>18128</v>
      </c>
      <c r="K249" s="62"/>
      <c r="L249" s="63"/>
      <c r="M249" s="85"/>
      <c r="N249" s="64"/>
      <c r="O249" s="65"/>
      <c r="P249" s="99"/>
      <c r="Q249" s="70"/>
      <c r="R249" s="67"/>
      <c r="S249" s="68"/>
      <c r="T249" s="76"/>
      <c r="U249" s="70"/>
      <c r="V249" s="67"/>
      <c r="W249" s="68"/>
      <c r="X249" s="76"/>
      <c r="Y249" s="70"/>
      <c r="Z249" s="228">
        <f>ROUND((ROUND((_15_同援日１．５*_15・基礎２),0)*(1+_15・A深夜)),0)+ROUND((_15_同援日１．５＿１．０*_15・基礎２),0)</f>
        <v>683</v>
      </c>
      <c r="AA249" s="69"/>
    </row>
    <row r="250" spans="1:27" ht="16.5" customHeight="1" x14ac:dyDescent="0.3">
      <c r="A250" s="2">
        <v>15</v>
      </c>
      <c r="B250" s="2" t="s">
        <v>1365</v>
      </c>
      <c r="C250" s="60" t="s">
        <v>11655</v>
      </c>
      <c r="D250" s="1"/>
      <c r="E250" s="68"/>
      <c r="F250" s="70"/>
      <c r="G250" s="1"/>
      <c r="H250" s="119">
        <v>127</v>
      </c>
      <c r="I250" s="70" t="s">
        <v>0</v>
      </c>
      <c r="J250" s="106" t="s">
        <v>18127</v>
      </c>
      <c r="K250" s="57" t="s">
        <v>1</v>
      </c>
      <c r="L250" s="58">
        <v>0.9</v>
      </c>
      <c r="M250" s="83" t="s">
        <v>5895</v>
      </c>
      <c r="N250" s="64" t="s">
        <v>1</v>
      </c>
      <c r="O250" s="65">
        <v>1</v>
      </c>
      <c r="P250" s="99"/>
      <c r="Q250" s="70"/>
      <c r="R250" s="66"/>
      <c r="S250" s="57"/>
      <c r="T250" s="58"/>
      <c r="U250" s="77"/>
      <c r="V250" s="67"/>
      <c r="W250" s="68"/>
      <c r="X250" s="76"/>
      <c r="Y250" s="70"/>
      <c r="Z250" s="228">
        <f>ROUND((ROUND((ROUND((_15_同援日１．５*_15・基礎２),0)*_15・２人),0)*(1+_15・A深夜)),0)+ROUND((ROUND((_15_同援日１．５＿１．０*_15・基礎２),0)*_15・２人),0)</f>
        <v>683</v>
      </c>
      <c r="AA250" s="69"/>
    </row>
    <row r="251" spans="1:27" ht="16.5" customHeight="1" x14ac:dyDescent="0.3">
      <c r="A251" s="2">
        <v>15</v>
      </c>
      <c r="B251" s="2" t="s">
        <v>1366</v>
      </c>
      <c r="C251" s="60" t="s">
        <v>11654</v>
      </c>
      <c r="D251" s="1"/>
      <c r="E251" s="68"/>
      <c r="F251" s="70"/>
      <c r="G251" s="1"/>
      <c r="H251" s="68"/>
      <c r="I251" s="70"/>
      <c r="J251" s="61"/>
      <c r="K251" s="62"/>
      <c r="L251" s="63"/>
      <c r="M251" s="85"/>
      <c r="N251" s="64"/>
      <c r="O251" s="65"/>
      <c r="P251" s="99"/>
      <c r="Q251" s="70"/>
      <c r="R251" s="74" t="s">
        <v>18130</v>
      </c>
      <c r="S251" s="62"/>
      <c r="T251" s="63"/>
      <c r="U251" s="75"/>
      <c r="V251" s="67"/>
      <c r="W251" s="68"/>
      <c r="X251" s="76"/>
      <c r="Y251" s="70"/>
      <c r="Z251" s="228">
        <f>ROUND((ROUND((_15_同援日１．５*(1+_15・A深夜)),0)*(1+_15・盲ろう)),0)+ROUND((_15_同援日１．５＿１．０*(1+_15・盲ろう)),0)</f>
        <v>949</v>
      </c>
      <c r="AA251" s="69"/>
    </row>
    <row r="252" spans="1:27" ht="16.5" customHeight="1" x14ac:dyDescent="0.3">
      <c r="A252" s="2">
        <v>15</v>
      </c>
      <c r="B252" s="2" t="s">
        <v>1367</v>
      </c>
      <c r="C252" s="60" t="s">
        <v>11653</v>
      </c>
      <c r="D252" s="1"/>
      <c r="E252" s="68"/>
      <c r="F252" s="70"/>
      <c r="G252" s="1"/>
      <c r="H252" s="68"/>
      <c r="I252" s="70"/>
      <c r="J252" s="66"/>
      <c r="K252" s="57"/>
      <c r="L252" s="58"/>
      <c r="M252" s="83" t="s">
        <v>5895</v>
      </c>
      <c r="N252" s="64" t="s">
        <v>1</v>
      </c>
      <c r="O252" s="65">
        <v>1</v>
      </c>
      <c r="P252" s="99"/>
      <c r="Q252" s="70"/>
      <c r="R252" s="94" t="s">
        <v>18129</v>
      </c>
      <c r="S252" s="68"/>
      <c r="T252" s="76"/>
      <c r="U252" s="70"/>
      <c r="V252" s="67"/>
      <c r="W252" s="68"/>
      <c r="X252" s="76"/>
      <c r="Y252" s="70"/>
      <c r="Z252" s="228">
        <f>ROUND((ROUND((ROUND((_15_同援日１．５*_15・２人),0)*(1+_15・A深夜)),0)*(1+_15・盲ろう)),0)+ROUND((ROUND((_15_同援日１．５＿１．０*_15・２人),0)*(1+_15・盲ろう)),0)</f>
        <v>949</v>
      </c>
      <c r="AA252" s="69"/>
    </row>
    <row r="253" spans="1:27" ht="16.5" customHeight="1" x14ac:dyDescent="0.3">
      <c r="A253" s="2">
        <v>15</v>
      </c>
      <c r="B253" s="2" t="s">
        <v>1368</v>
      </c>
      <c r="C253" s="60" t="s">
        <v>11652</v>
      </c>
      <c r="D253" s="1"/>
      <c r="E253" s="68"/>
      <c r="F253" s="70"/>
      <c r="G253" s="1"/>
      <c r="H253" s="68"/>
      <c r="I253" s="70"/>
      <c r="J253" s="74" t="s">
        <v>18128</v>
      </c>
      <c r="K253" s="62"/>
      <c r="L253" s="63"/>
      <c r="M253" s="85"/>
      <c r="N253" s="64"/>
      <c r="O253" s="65"/>
      <c r="P253" s="99"/>
      <c r="Q253" s="70"/>
      <c r="R253" s="67"/>
      <c r="S253" s="68" t="s">
        <v>1</v>
      </c>
      <c r="T253" s="76">
        <v>0.25</v>
      </c>
      <c r="U253" s="70" t="s">
        <v>422</v>
      </c>
      <c r="V253" s="67"/>
      <c r="W253" s="68"/>
      <c r="X253" s="76"/>
      <c r="Y253" s="70"/>
      <c r="Z253" s="228">
        <f>ROUND((ROUND((ROUND((_15_同援日１．５*_15・基礎２),0)*(1+_15・A深夜)),0)*(1+_15・盲ろう)),0)+ROUND((ROUND((_15_同援日１．５＿１．０*_15・基礎２),0)*(1+_15・盲ろう)),0)</f>
        <v>854</v>
      </c>
      <c r="AA253" s="69"/>
    </row>
    <row r="254" spans="1:27" ht="16.5" customHeight="1" x14ac:dyDescent="0.3">
      <c r="A254" s="2">
        <v>15</v>
      </c>
      <c r="B254" s="2" t="s">
        <v>1369</v>
      </c>
      <c r="C254" s="60" t="s">
        <v>11651</v>
      </c>
      <c r="D254" s="1"/>
      <c r="E254" s="68"/>
      <c r="F254" s="70"/>
      <c r="G254" s="1"/>
      <c r="H254" s="68"/>
      <c r="I254" s="70"/>
      <c r="J254" s="106" t="s">
        <v>18127</v>
      </c>
      <c r="K254" s="57" t="s">
        <v>1</v>
      </c>
      <c r="L254" s="58">
        <v>0.9</v>
      </c>
      <c r="M254" s="83" t="s">
        <v>5895</v>
      </c>
      <c r="N254" s="64" t="s">
        <v>1</v>
      </c>
      <c r="O254" s="65">
        <v>1</v>
      </c>
      <c r="P254" s="99"/>
      <c r="Q254" s="70"/>
      <c r="R254" s="66"/>
      <c r="S254" s="57"/>
      <c r="T254" s="58"/>
      <c r="U254" s="77"/>
      <c r="V254" s="66"/>
      <c r="W254" s="57"/>
      <c r="X254" s="58"/>
      <c r="Y254" s="77"/>
      <c r="Z254" s="228">
        <f>ROUND((ROUND((ROUND((ROUND((_15_同援日１．５*_15・基礎２),0)*_15・２人),0)*(1+_15・A深夜)),0)*(1+_15・盲ろう)),0)+ROUND((ROUND((ROUND((_15_同援日１．５＿１．０*_15・基礎２),0)*_15・２人),0)*(1+_15・盲ろう)),0)</f>
        <v>854</v>
      </c>
      <c r="AA254" s="69"/>
    </row>
    <row r="255" spans="1:27" ht="16.5" customHeight="1" x14ac:dyDescent="0.3">
      <c r="A255" s="2">
        <v>15</v>
      </c>
      <c r="B255" s="2" t="s">
        <v>1370</v>
      </c>
      <c r="C255" s="60" t="s">
        <v>11650</v>
      </c>
      <c r="D255" s="1"/>
      <c r="E255" s="68"/>
      <c r="F255" s="70"/>
      <c r="G255" s="1"/>
      <c r="H255" s="68"/>
      <c r="I255" s="70"/>
      <c r="J255" s="61"/>
      <c r="K255" s="62"/>
      <c r="L255" s="63"/>
      <c r="M255" s="85"/>
      <c r="N255" s="64"/>
      <c r="O255" s="65"/>
      <c r="P255" s="99"/>
      <c r="Q255" s="70"/>
      <c r="R255" s="61"/>
      <c r="S255" s="62"/>
      <c r="T255" s="63"/>
      <c r="U255" s="75"/>
      <c r="V255" s="61"/>
      <c r="W255" s="62"/>
      <c r="X255" s="63"/>
      <c r="Y255" s="75"/>
      <c r="Z255" s="228">
        <f>ROUND((ROUND((_15_同援日１．５*(1+_15・A深夜)),0)*(1+_15・区３)),0)+ROUND((_15_同援日１．５＿１．０*(1+_15・区３)),0)</f>
        <v>910</v>
      </c>
      <c r="AA255" s="69"/>
    </row>
    <row r="256" spans="1:27" ht="16.5" customHeight="1" x14ac:dyDescent="0.3">
      <c r="A256" s="2">
        <v>15</v>
      </c>
      <c r="B256" s="2" t="s">
        <v>1371</v>
      </c>
      <c r="C256" s="60" t="s">
        <v>11649</v>
      </c>
      <c r="D256" s="1"/>
      <c r="E256" s="68"/>
      <c r="F256" s="70"/>
      <c r="G256" s="1"/>
      <c r="H256" s="68"/>
      <c r="I256" s="70"/>
      <c r="J256" s="66"/>
      <c r="K256" s="57"/>
      <c r="L256" s="58"/>
      <c r="M256" s="83" t="s">
        <v>5895</v>
      </c>
      <c r="N256" s="64" t="s">
        <v>1</v>
      </c>
      <c r="O256" s="65">
        <v>1</v>
      </c>
      <c r="P256" s="99"/>
      <c r="Q256" s="70"/>
      <c r="R256" s="67"/>
      <c r="S256" s="68"/>
      <c r="T256" s="76"/>
      <c r="U256" s="70"/>
      <c r="V256" s="67"/>
      <c r="W256" s="68"/>
      <c r="X256" s="76"/>
      <c r="Y256" s="70"/>
      <c r="Z256" s="228">
        <f>ROUND((ROUND((ROUND((_15_同援日１．５*_15・２人),0)*(1+_15・A深夜)),0)*(1+_15・区３)),0)+ROUND((ROUND((_15_同援日１．５＿１．０*_15・２人),0)*(1+_15・区３)),0)</f>
        <v>910</v>
      </c>
      <c r="AA256" s="69"/>
    </row>
    <row r="257" spans="1:27" ht="16.5" customHeight="1" x14ac:dyDescent="0.3">
      <c r="A257" s="2">
        <v>15</v>
      </c>
      <c r="B257" s="2" t="s">
        <v>1372</v>
      </c>
      <c r="C257" s="60" t="s">
        <v>11648</v>
      </c>
      <c r="D257" s="1"/>
      <c r="E257" s="68"/>
      <c r="F257" s="70"/>
      <c r="G257" s="1"/>
      <c r="H257" s="68"/>
      <c r="I257" s="70"/>
      <c r="J257" s="74" t="s">
        <v>18128</v>
      </c>
      <c r="K257" s="62"/>
      <c r="L257" s="63"/>
      <c r="M257" s="85"/>
      <c r="N257" s="64"/>
      <c r="O257" s="65"/>
      <c r="P257" s="99"/>
      <c r="Q257" s="70"/>
      <c r="R257" s="67"/>
      <c r="S257" s="68"/>
      <c r="T257" s="76"/>
      <c r="U257" s="70"/>
      <c r="V257" s="1" t="s">
        <v>18133</v>
      </c>
      <c r="W257" s="68"/>
      <c r="X257" s="76"/>
      <c r="Y257" s="70"/>
      <c r="Z257" s="228">
        <f>ROUND((ROUND((ROUND((_15_同援日１．５*_15・基礎２),0)*(1+_15・A深夜)),0)*(1+_15・区３)),0)+ROUND((ROUND((_15_同援日１．５＿１．０*_15・基礎２),0)*(1+_15・区３)),0)</f>
        <v>820</v>
      </c>
      <c r="AA257" s="69"/>
    </row>
    <row r="258" spans="1:27" ht="16.5" customHeight="1" x14ac:dyDescent="0.3">
      <c r="A258" s="2">
        <v>15</v>
      </c>
      <c r="B258" s="2" t="s">
        <v>1373</v>
      </c>
      <c r="C258" s="60" t="s">
        <v>11647</v>
      </c>
      <c r="D258" s="1"/>
      <c r="E258" s="68"/>
      <c r="F258" s="70"/>
      <c r="G258" s="1"/>
      <c r="H258" s="68"/>
      <c r="I258" s="70"/>
      <c r="J258" s="106" t="s">
        <v>5896</v>
      </c>
      <c r="K258" s="57" t="s">
        <v>1</v>
      </c>
      <c r="L258" s="58">
        <v>0.9</v>
      </c>
      <c r="M258" s="83" t="s">
        <v>5895</v>
      </c>
      <c r="N258" s="64" t="s">
        <v>1</v>
      </c>
      <c r="O258" s="65">
        <v>1</v>
      </c>
      <c r="P258" s="99"/>
      <c r="Q258" s="70"/>
      <c r="R258" s="66"/>
      <c r="S258" s="57"/>
      <c r="T258" s="58"/>
      <c r="U258" s="77"/>
      <c r="V258" s="1" t="s">
        <v>18131</v>
      </c>
      <c r="W258" s="68"/>
      <c r="X258" s="76"/>
      <c r="Y258" s="70"/>
      <c r="Z258" s="228">
        <f>ROUND((ROUND((ROUND((ROUND((_15_同援日１．５*_15・基礎２),0)*_15・２人),0)*(1+_15・A深夜)),0)*(1+_15・区３)),0)+ROUND((ROUND((ROUND((_15_同援日１．５＿１．０*_15・基礎２),0)*_15・２人),0)*(1+_15・区３)),0)</f>
        <v>820</v>
      </c>
      <c r="AA258" s="69"/>
    </row>
    <row r="259" spans="1:27" ht="16.5" customHeight="1" x14ac:dyDescent="0.3">
      <c r="A259" s="2">
        <v>15</v>
      </c>
      <c r="B259" s="2" t="s">
        <v>1374</v>
      </c>
      <c r="C259" s="60" t="s">
        <v>11646</v>
      </c>
      <c r="D259" s="1"/>
      <c r="E259" s="68"/>
      <c r="F259" s="70"/>
      <c r="G259" s="1"/>
      <c r="H259" s="68"/>
      <c r="I259" s="70"/>
      <c r="J259" s="61"/>
      <c r="K259" s="62"/>
      <c r="L259" s="63"/>
      <c r="M259" s="85"/>
      <c r="N259" s="64"/>
      <c r="O259" s="65"/>
      <c r="P259" s="99"/>
      <c r="Q259" s="70"/>
      <c r="R259" s="74" t="s">
        <v>18130</v>
      </c>
      <c r="S259" s="62"/>
      <c r="T259" s="63"/>
      <c r="U259" s="75"/>
      <c r="V259" s="67"/>
      <c r="W259" s="68" t="s">
        <v>1</v>
      </c>
      <c r="X259" s="76">
        <v>0.2</v>
      </c>
      <c r="Y259" s="70" t="s">
        <v>422</v>
      </c>
      <c r="Z259" s="228">
        <f>ROUND((ROUND((ROUND((_15_同援日１．５*(1+_15・A深夜)),0)*(1+_15・盲ろう)),0)*(1+_15・区３)),0)+ROUND((ROUND((_15_同援日１．５＿１．０*(1+_15・盲ろう)),0)*(1+_15・区３)),0)</f>
        <v>1139</v>
      </c>
      <c r="AA259" s="69"/>
    </row>
    <row r="260" spans="1:27" ht="16.5" customHeight="1" x14ac:dyDescent="0.3">
      <c r="A260" s="2">
        <v>15</v>
      </c>
      <c r="B260" s="2" t="s">
        <v>1375</v>
      </c>
      <c r="C260" s="60" t="s">
        <v>11645</v>
      </c>
      <c r="D260" s="1"/>
      <c r="E260" s="68"/>
      <c r="F260" s="70"/>
      <c r="G260" s="1"/>
      <c r="H260" s="68"/>
      <c r="I260" s="70"/>
      <c r="J260" s="66"/>
      <c r="K260" s="57"/>
      <c r="L260" s="58"/>
      <c r="M260" s="83" t="s">
        <v>5895</v>
      </c>
      <c r="N260" s="64" t="s">
        <v>1</v>
      </c>
      <c r="O260" s="65">
        <v>1</v>
      </c>
      <c r="P260" s="99"/>
      <c r="Q260" s="70"/>
      <c r="R260" s="94" t="s">
        <v>18129</v>
      </c>
      <c r="S260" s="68"/>
      <c r="T260" s="76"/>
      <c r="U260" s="70"/>
      <c r="V260" s="67"/>
      <c r="W260" s="68"/>
      <c r="X260" s="76"/>
      <c r="Y260" s="70"/>
      <c r="Z260" s="228">
        <f>ROUND((ROUND((ROUND((ROUND((_15_同援日１．５*_15・２人),0)*(1+_15・A深夜)),0)*(1+_15・盲ろう)),0)*(1+_15・区３)),0)+ROUND((ROUND((ROUND((_15_同援日１．５＿１．０*_15・２人),0)*(1+_15・盲ろう)),0)*(1+_15・区３)),0)</f>
        <v>1139</v>
      </c>
      <c r="AA260" s="69"/>
    </row>
    <row r="261" spans="1:27" ht="16.5" customHeight="1" x14ac:dyDescent="0.3">
      <c r="A261" s="2">
        <v>15</v>
      </c>
      <c r="B261" s="2" t="s">
        <v>1376</v>
      </c>
      <c r="C261" s="60" t="s">
        <v>11644</v>
      </c>
      <c r="D261" s="1"/>
      <c r="E261" s="68"/>
      <c r="F261" s="70"/>
      <c r="G261" s="1"/>
      <c r="H261" s="68"/>
      <c r="I261" s="70"/>
      <c r="J261" s="74" t="s">
        <v>18128</v>
      </c>
      <c r="K261" s="62"/>
      <c r="L261" s="63"/>
      <c r="M261" s="85"/>
      <c r="N261" s="64"/>
      <c r="O261" s="65"/>
      <c r="P261" s="99"/>
      <c r="Q261" s="70"/>
      <c r="R261" s="67"/>
      <c r="S261" s="68" t="s">
        <v>1</v>
      </c>
      <c r="T261" s="76">
        <v>0.25</v>
      </c>
      <c r="U261" s="70" t="s">
        <v>422</v>
      </c>
      <c r="V261" s="67"/>
      <c r="W261" s="68"/>
      <c r="X261" s="76"/>
      <c r="Y261" s="70"/>
      <c r="Z261" s="228">
        <f>ROUND((ROUND((ROUND((ROUND((_15_同援日１．５*_15・基礎２),0)*(1+_15・A深夜)),0)*(1+_15・盲ろう)),0)*(1+_15・区３)),0)+ROUND((ROUND((ROUND((_15_同援日１．５＿１．０*_15・基礎２),0)*(1+_15・盲ろう)),0)*(1+_15・区３)),0)</f>
        <v>1025</v>
      </c>
      <c r="AA261" s="69"/>
    </row>
    <row r="262" spans="1:27" ht="16.5" customHeight="1" x14ac:dyDescent="0.3">
      <c r="A262" s="2">
        <v>15</v>
      </c>
      <c r="B262" s="2" t="s">
        <v>1377</v>
      </c>
      <c r="C262" s="60" t="s">
        <v>11643</v>
      </c>
      <c r="D262" s="1"/>
      <c r="E262" s="68"/>
      <c r="F262" s="70"/>
      <c r="G262" s="1"/>
      <c r="H262" s="68"/>
      <c r="I262" s="70"/>
      <c r="J262" s="106" t="s">
        <v>18127</v>
      </c>
      <c r="K262" s="57" t="s">
        <v>1</v>
      </c>
      <c r="L262" s="58">
        <v>0.9</v>
      </c>
      <c r="M262" s="83" t="s">
        <v>5895</v>
      </c>
      <c r="N262" s="64" t="s">
        <v>1</v>
      </c>
      <c r="O262" s="65">
        <v>1</v>
      </c>
      <c r="P262" s="99"/>
      <c r="Q262" s="70"/>
      <c r="R262" s="66"/>
      <c r="S262" s="57"/>
      <c r="T262" s="58"/>
      <c r="U262" s="77"/>
      <c r="V262" s="66"/>
      <c r="W262" s="57"/>
      <c r="X262" s="58"/>
      <c r="Y262" s="77"/>
      <c r="Z262" s="228">
        <f>ROUND((ROUND((ROUND((ROUND((ROUND((_15_同援日１．５*_15・基礎２),0)*_15・２人),0)*(1+_15・A深夜)),0)*(1+_15・盲ろう)),0)*(1+_15・区３)),0)+ROUND((ROUND((ROUND((ROUND((_15_同援日１．５＿１．０*_15・基礎２),0)*_15・２人),0)*(1+_15・盲ろう)),0)*(1+_15・区３)),0)</f>
        <v>1025</v>
      </c>
      <c r="AA262" s="69"/>
    </row>
    <row r="263" spans="1:27" ht="16.5" customHeight="1" x14ac:dyDescent="0.3">
      <c r="A263" s="2">
        <v>15</v>
      </c>
      <c r="B263" s="2" t="s">
        <v>1378</v>
      </c>
      <c r="C263" s="60" t="s">
        <v>11642</v>
      </c>
      <c r="D263" s="1"/>
      <c r="E263" s="68"/>
      <c r="F263" s="70"/>
      <c r="G263" s="1"/>
      <c r="H263" s="68"/>
      <c r="I263" s="70"/>
      <c r="J263" s="61"/>
      <c r="K263" s="62"/>
      <c r="L263" s="63"/>
      <c r="M263" s="85"/>
      <c r="N263" s="64"/>
      <c r="O263" s="65"/>
      <c r="P263" s="99"/>
      <c r="Q263" s="70"/>
      <c r="R263" s="61"/>
      <c r="S263" s="62"/>
      <c r="T263" s="63"/>
      <c r="U263" s="75"/>
      <c r="V263" s="61"/>
      <c r="W263" s="62"/>
      <c r="X263" s="63"/>
      <c r="Y263" s="75"/>
      <c r="Z263" s="228">
        <f>ROUND((ROUND((_15_同援日１．５*(1+_15・A深夜)),0)*(1+_15・区４)),0)+ROUND((_15_同援日１．５＿１．０*(1+_15・区４)),0)</f>
        <v>1063</v>
      </c>
      <c r="AA263" s="69"/>
    </row>
    <row r="264" spans="1:27" ht="16.5" customHeight="1" x14ac:dyDescent="0.3">
      <c r="A264" s="2">
        <v>15</v>
      </c>
      <c r="B264" s="2" t="s">
        <v>1379</v>
      </c>
      <c r="C264" s="60" t="s">
        <v>11641</v>
      </c>
      <c r="D264" s="1"/>
      <c r="E264" s="68"/>
      <c r="F264" s="70"/>
      <c r="G264" s="1"/>
      <c r="H264" s="68"/>
      <c r="I264" s="70"/>
      <c r="J264" s="66"/>
      <c r="K264" s="57"/>
      <c r="L264" s="58"/>
      <c r="M264" s="83" t="s">
        <v>5895</v>
      </c>
      <c r="N264" s="64" t="s">
        <v>1</v>
      </c>
      <c r="O264" s="65">
        <v>1</v>
      </c>
      <c r="P264" s="99"/>
      <c r="Q264" s="70"/>
      <c r="R264" s="67"/>
      <c r="S264" s="68"/>
      <c r="T264" s="76"/>
      <c r="U264" s="70"/>
      <c r="V264" s="67"/>
      <c r="W264" s="68"/>
      <c r="X264" s="76"/>
      <c r="Y264" s="70"/>
      <c r="Z264" s="228">
        <f>ROUND((ROUND((ROUND((_15_同援日１．５*_15・２人),0)*(1+_15・A深夜)),0)*(1+_15・区４)),0)+ROUND((ROUND((_15_同援日１．５＿１．０*_15・２人),0)*(1+_15・区４)),0)</f>
        <v>1063</v>
      </c>
      <c r="AA264" s="69"/>
    </row>
    <row r="265" spans="1:27" ht="16.5" customHeight="1" x14ac:dyDescent="0.3">
      <c r="A265" s="2">
        <v>15</v>
      </c>
      <c r="B265" s="2" t="s">
        <v>1380</v>
      </c>
      <c r="C265" s="60" t="s">
        <v>11640</v>
      </c>
      <c r="D265" s="1"/>
      <c r="E265" s="68"/>
      <c r="F265" s="70"/>
      <c r="G265" s="1"/>
      <c r="H265" s="68"/>
      <c r="I265" s="70"/>
      <c r="J265" s="74" t="s">
        <v>18128</v>
      </c>
      <c r="K265" s="62"/>
      <c r="L265" s="63"/>
      <c r="M265" s="85"/>
      <c r="N265" s="64"/>
      <c r="O265" s="65"/>
      <c r="P265" s="99"/>
      <c r="Q265" s="70"/>
      <c r="R265" s="67"/>
      <c r="S265" s="68"/>
      <c r="T265" s="76"/>
      <c r="U265" s="70"/>
      <c r="V265" s="1" t="s">
        <v>18132</v>
      </c>
      <c r="W265" s="68"/>
      <c r="X265" s="76"/>
      <c r="Y265" s="70"/>
      <c r="Z265" s="228">
        <f>ROUND((ROUND((ROUND((_15_同援日１．５*_15・基礎２),0)*(1+_15・A深夜)),0)*(1+_15・区４)),0)+ROUND((ROUND((_15_同援日１．５＿１．０*_15・基礎２),0)*(1+_15・区４)),0)</f>
        <v>957</v>
      </c>
      <c r="AA265" s="69"/>
    </row>
    <row r="266" spans="1:27" ht="16.5" customHeight="1" x14ac:dyDescent="0.3">
      <c r="A266" s="2">
        <v>15</v>
      </c>
      <c r="B266" s="2" t="s">
        <v>1381</v>
      </c>
      <c r="C266" s="60" t="s">
        <v>11639</v>
      </c>
      <c r="D266" s="1"/>
      <c r="E266" s="68"/>
      <c r="F266" s="70"/>
      <c r="G266" s="1"/>
      <c r="H266" s="68"/>
      <c r="I266" s="70"/>
      <c r="J266" s="106" t="s">
        <v>18127</v>
      </c>
      <c r="K266" s="57" t="s">
        <v>1</v>
      </c>
      <c r="L266" s="58">
        <v>0.9</v>
      </c>
      <c r="M266" s="83" t="s">
        <v>5895</v>
      </c>
      <c r="N266" s="64" t="s">
        <v>1</v>
      </c>
      <c r="O266" s="65">
        <v>1</v>
      </c>
      <c r="P266" s="99"/>
      <c r="Q266" s="70"/>
      <c r="R266" s="66"/>
      <c r="S266" s="57"/>
      <c r="T266" s="58"/>
      <c r="U266" s="77"/>
      <c r="V266" s="1" t="s">
        <v>18131</v>
      </c>
      <c r="W266" s="68"/>
      <c r="X266" s="76"/>
      <c r="Y266" s="70"/>
      <c r="Z266" s="228">
        <f>ROUND((ROUND((ROUND((ROUND((_15_同援日１．５*_15・基礎２),0)*_15・２人),0)*(1+_15・A深夜)),0)*(1+_15・区４)),0)+ROUND((ROUND((ROUND((_15_同援日１．５＿１．０*_15・基礎２),0)*_15・２人),0)*(1+_15・区４)),0)</f>
        <v>957</v>
      </c>
      <c r="AA266" s="69"/>
    </row>
    <row r="267" spans="1:27" ht="16.5" customHeight="1" x14ac:dyDescent="0.3">
      <c r="A267" s="2">
        <v>15</v>
      </c>
      <c r="B267" s="2" t="s">
        <v>1382</v>
      </c>
      <c r="C267" s="60" t="s">
        <v>11638</v>
      </c>
      <c r="D267" s="1"/>
      <c r="E267" s="68"/>
      <c r="F267" s="70"/>
      <c r="G267" s="1"/>
      <c r="H267" s="68"/>
      <c r="I267" s="70"/>
      <c r="J267" s="61"/>
      <c r="K267" s="62"/>
      <c r="L267" s="63"/>
      <c r="M267" s="85"/>
      <c r="N267" s="64"/>
      <c r="O267" s="65"/>
      <c r="P267" s="99"/>
      <c r="Q267" s="70"/>
      <c r="R267" s="74" t="s">
        <v>18130</v>
      </c>
      <c r="S267" s="62"/>
      <c r="T267" s="63"/>
      <c r="U267" s="75"/>
      <c r="V267" s="67"/>
      <c r="W267" s="68" t="s">
        <v>1</v>
      </c>
      <c r="X267" s="76">
        <v>0.4</v>
      </c>
      <c r="Y267" s="70" t="s">
        <v>422</v>
      </c>
      <c r="Z267" s="228">
        <f>ROUND((ROUND((ROUND((_15_同援日１．５*(1+_15・A深夜)),0)*(1+_15・盲ろう)),0)*(1+_15・区４)),0)+ROUND((ROUND((_15_同援日１．５＿１．０*(1+_15・盲ろう)),0)*(1+_15・区４)),0)</f>
        <v>1329</v>
      </c>
      <c r="AA267" s="69"/>
    </row>
    <row r="268" spans="1:27" ht="16.5" customHeight="1" x14ac:dyDescent="0.3">
      <c r="A268" s="2">
        <v>15</v>
      </c>
      <c r="B268" s="2" t="s">
        <v>1383</v>
      </c>
      <c r="C268" s="60" t="s">
        <v>11637</v>
      </c>
      <c r="D268" s="1"/>
      <c r="E268" s="68"/>
      <c r="F268" s="70"/>
      <c r="G268" s="1"/>
      <c r="H268" s="68"/>
      <c r="I268" s="70"/>
      <c r="J268" s="66"/>
      <c r="K268" s="57"/>
      <c r="L268" s="58"/>
      <c r="M268" s="83" t="s">
        <v>5895</v>
      </c>
      <c r="N268" s="64" t="s">
        <v>1</v>
      </c>
      <c r="O268" s="65">
        <v>1</v>
      </c>
      <c r="P268" s="99"/>
      <c r="Q268" s="70"/>
      <c r="R268" s="94" t="s">
        <v>18129</v>
      </c>
      <c r="S268" s="68"/>
      <c r="T268" s="76"/>
      <c r="U268" s="70"/>
      <c r="V268" s="67"/>
      <c r="W268" s="68"/>
      <c r="X268" s="76"/>
      <c r="Y268" s="70"/>
      <c r="Z268" s="228">
        <f>ROUND((ROUND((ROUND((ROUND((_15_同援日１．５*_15・２人),0)*(1+_15・A深夜)),0)*(1+_15・盲ろう)),0)*(1+_15・区４)),0)+ROUND((ROUND((ROUND((_15_同援日１．５＿１．０*_15・２人),0)*(1+_15・盲ろう)),0)*(1+_15・区４)),0)</f>
        <v>1329</v>
      </c>
      <c r="AA268" s="69"/>
    </row>
    <row r="269" spans="1:27" ht="16.5" customHeight="1" x14ac:dyDescent="0.3">
      <c r="A269" s="2">
        <v>15</v>
      </c>
      <c r="B269" s="2" t="s">
        <v>1384</v>
      </c>
      <c r="C269" s="60" t="s">
        <v>11636</v>
      </c>
      <c r="D269" s="1"/>
      <c r="E269" s="68"/>
      <c r="F269" s="70"/>
      <c r="G269" s="1"/>
      <c r="H269" s="68"/>
      <c r="I269" s="70"/>
      <c r="J269" s="74" t="s">
        <v>18128</v>
      </c>
      <c r="K269" s="62"/>
      <c r="L269" s="63"/>
      <c r="M269" s="85"/>
      <c r="N269" s="64"/>
      <c r="O269" s="65"/>
      <c r="P269" s="99"/>
      <c r="Q269" s="70"/>
      <c r="R269" s="67"/>
      <c r="S269" s="68" t="s">
        <v>1</v>
      </c>
      <c r="T269" s="76">
        <v>0.25</v>
      </c>
      <c r="U269" s="70" t="s">
        <v>422</v>
      </c>
      <c r="V269" s="67"/>
      <c r="W269" s="68"/>
      <c r="X269" s="76"/>
      <c r="Y269" s="70"/>
      <c r="Z269" s="228">
        <f>ROUND((ROUND((ROUND((ROUND((_15_同援日１．５*_15・基礎２),0)*(1+_15・A深夜)),0)*(1+_15・盲ろう)),0)*(1+_15・区４)),0)+ROUND((ROUND((ROUND((_15_同援日１．５＿１．０*_15・基礎２),0)*(1+_15・盲ろう)),0)*(1+_15・区４)),0)</f>
        <v>1195</v>
      </c>
      <c r="AA269" s="69"/>
    </row>
    <row r="270" spans="1:27" ht="16.5" customHeight="1" x14ac:dyDescent="0.3">
      <c r="A270" s="2">
        <v>15</v>
      </c>
      <c r="B270" s="2" t="s">
        <v>1385</v>
      </c>
      <c r="C270" s="60" t="s">
        <v>11635</v>
      </c>
      <c r="D270" s="1"/>
      <c r="E270" s="68"/>
      <c r="F270" s="70"/>
      <c r="G270" s="81"/>
      <c r="H270" s="57"/>
      <c r="I270" s="77"/>
      <c r="J270" s="106" t="s">
        <v>18127</v>
      </c>
      <c r="K270" s="57" t="s">
        <v>1</v>
      </c>
      <c r="L270" s="58">
        <v>0.9</v>
      </c>
      <c r="M270" s="83" t="s">
        <v>5895</v>
      </c>
      <c r="N270" s="64" t="s">
        <v>1</v>
      </c>
      <c r="O270" s="65">
        <v>1</v>
      </c>
      <c r="P270" s="99"/>
      <c r="Q270" s="70"/>
      <c r="R270" s="66"/>
      <c r="S270" s="57"/>
      <c r="T270" s="58"/>
      <c r="U270" s="77"/>
      <c r="V270" s="66"/>
      <c r="W270" s="57"/>
      <c r="X270" s="58"/>
      <c r="Y270" s="77"/>
      <c r="Z270" s="228">
        <f>ROUND((ROUND((ROUND((ROUND((ROUND((_15_同援日１．５*_15・基礎２),0)*_15・２人),0)*(1+_15・A深夜)),0)*(1+_15・盲ろう)),0)*(1+_15・区４)),0)+ROUND((ROUND((ROUND((ROUND((_15_同援日１．５＿１．０*_15・基礎２),0)*_15・２人),0)*(1+_15・盲ろう)),0)*(1+_15・区４)),0)</f>
        <v>1195</v>
      </c>
      <c r="AA270" s="69"/>
    </row>
    <row r="271" spans="1:27" ht="16.5" customHeight="1" x14ac:dyDescent="0.3">
      <c r="A271" s="2">
        <v>15</v>
      </c>
      <c r="B271" s="2" t="s">
        <v>1386</v>
      </c>
      <c r="C271" s="60" t="s">
        <v>11634</v>
      </c>
      <c r="D271" s="1"/>
      <c r="E271" s="68"/>
      <c r="F271" s="70"/>
      <c r="G271" s="233" t="s">
        <v>18142</v>
      </c>
      <c r="H271" s="62"/>
      <c r="I271" s="75"/>
      <c r="J271" s="61"/>
      <c r="K271" s="62"/>
      <c r="L271" s="63"/>
      <c r="M271" s="85"/>
      <c r="N271" s="64"/>
      <c r="O271" s="65"/>
      <c r="P271" s="99"/>
      <c r="Q271" s="70"/>
      <c r="R271" s="61"/>
      <c r="S271" s="62"/>
      <c r="T271" s="63"/>
      <c r="U271" s="75"/>
      <c r="V271" s="61"/>
      <c r="W271" s="62"/>
      <c r="X271" s="63"/>
      <c r="Y271" s="75"/>
      <c r="Z271" s="228">
        <f>ROUND((_15_同援日１．５*(1+_15・A深夜)),0)+_15_同援日１．５＿１．５</f>
        <v>822</v>
      </c>
      <c r="AA271" s="69"/>
    </row>
    <row r="272" spans="1:27" ht="16.5" customHeight="1" x14ac:dyDescent="0.3">
      <c r="A272" s="2">
        <v>15</v>
      </c>
      <c r="B272" s="2" t="s">
        <v>1387</v>
      </c>
      <c r="C272" s="60" t="s">
        <v>11633</v>
      </c>
      <c r="D272" s="1"/>
      <c r="E272" s="68"/>
      <c r="F272" s="70"/>
      <c r="G272" s="1" t="s">
        <v>18141</v>
      </c>
      <c r="H272" s="68"/>
      <c r="I272" s="70"/>
      <c r="J272" s="66"/>
      <c r="K272" s="57"/>
      <c r="L272" s="58"/>
      <c r="M272" s="83" t="s">
        <v>5895</v>
      </c>
      <c r="N272" s="64" t="s">
        <v>1</v>
      </c>
      <c r="O272" s="65">
        <v>1</v>
      </c>
      <c r="P272" s="99"/>
      <c r="Q272" s="70"/>
      <c r="R272" s="67"/>
      <c r="S272" s="68"/>
      <c r="T272" s="76"/>
      <c r="U272" s="70"/>
      <c r="V272" s="67"/>
      <c r="W272" s="68"/>
      <c r="X272" s="76"/>
      <c r="Y272" s="70"/>
      <c r="Z272" s="228">
        <f>ROUND((ROUND((_15_同援日１．５*_15・２人),0)*(1+_15・A深夜)),0)+ROUND((_15_同援日１．５＿１．５*_15・２人),0)</f>
        <v>822</v>
      </c>
      <c r="AA272" s="69"/>
    </row>
    <row r="273" spans="1:27" ht="16.5" customHeight="1" x14ac:dyDescent="0.3">
      <c r="A273" s="2">
        <v>15</v>
      </c>
      <c r="B273" s="2" t="s">
        <v>1388</v>
      </c>
      <c r="C273" s="60" t="s">
        <v>11632</v>
      </c>
      <c r="D273" s="1"/>
      <c r="E273" s="68"/>
      <c r="F273" s="70"/>
      <c r="G273" s="1" t="s">
        <v>8767</v>
      </c>
      <c r="H273" s="68"/>
      <c r="I273" s="70"/>
      <c r="J273" s="74" t="s">
        <v>18128</v>
      </c>
      <c r="K273" s="62"/>
      <c r="L273" s="63"/>
      <c r="M273" s="85"/>
      <c r="N273" s="64"/>
      <c r="O273" s="65"/>
      <c r="P273" s="99"/>
      <c r="Q273" s="70"/>
      <c r="R273" s="67"/>
      <c r="S273" s="68"/>
      <c r="T273" s="76"/>
      <c r="U273" s="70"/>
      <c r="V273" s="67"/>
      <c r="W273" s="68"/>
      <c r="X273" s="76"/>
      <c r="Y273" s="70"/>
      <c r="Z273" s="228">
        <f>ROUND((ROUND((_15_同援日１．５*_15・基礎２),0)*(1+_15・A深夜)),0)+ROUND((_15_同援日１．５＿１．５*_15・基礎２),0)</f>
        <v>740</v>
      </c>
      <c r="AA273" s="69"/>
    </row>
    <row r="274" spans="1:27" ht="16.5" customHeight="1" x14ac:dyDescent="0.3">
      <c r="A274" s="2">
        <v>15</v>
      </c>
      <c r="B274" s="2" t="s">
        <v>1389</v>
      </c>
      <c r="C274" s="60" t="s">
        <v>11631</v>
      </c>
      <c r="D274" s="1"/>
      <c r="E274" s="68"/>
      <c r="F274" s="70"/>
      <c r="G274" s="1"/>
      <c r="H274" s="119">
        <v>190</v>
      </c>
      <c r="I274" s="70" t="s">
        <v>0</v>
      </c>
      <c r="J274" s="106" t="s">
        <v>18127</v>
      </c>
      <c r="K274" s="57" t="s">
        <v>1</v>
      </c>
      <c r="L274" s="58">
        <v>0.9</v>
      </c>
      <c r="M274" s="83" t="s">
        <v>5895</v>
      </c>
      <c r="N274" s="64" t="s">
        <v>1</v>
      </c>
      <c r="O274" s="65">
        <v>1</v>
      </c>
      <c r="P274" s="99"/>
      <c r="Q274" s="70"/>
      <c r="R274" s="66"/>
      <c r="S274" s="57"/>
      <c r="T274" s="58"/>
      <c r="U274" s="77"/>
      <c r="V274" s="67"/>
      <c r="W274" s="68"/>
      <c r="X274" s="76"/>
      <c r="Y274" s="70"/>
      <c r="Z274" s="228">
        <f>ROUND((ROUND((ROUND((_15_同援日１．５*_15・基礎２),0)*_15・２人),0)*(1+_15・A深夜)),0)+ROUND((ROUND((_15_同援日１．５＿１．５*_15・基礎２),0)*_15・２人),0)</f>
        <v>740</v>
      </c>
      <c r="AA274" s="69"/>
    </row>
    <row r="275" spans="1:27" ht="16.5" customHeight="1" x14ac:dyDescent="0.3">
      <c r="A275" s="2">
        <v>15</v>
      </c>
      <c r="B275" s="2" t="s">
        <v>1390</v>
      </c>
      <c r="C275" s="60" t="s">
        <v>11630</v>
      </c>
      <c r="D275" s="1"/>
      <c r="E275" s="68"/>
      <c r="F275" s="70"/>
      <c r="G275" s="1"/>
      <c r="H275" s="68"/>
      <c r="I275" s="70"/>
      <c r="J275" s="61"/>
      <c r="K275" s="62"/>
      <c r="L275" s="63"/>
      <c r="M275" s="85"/>
      <c r="N275" s="64"/>
      <c r="O275" s="65"/>
      <c r="P275" s="99"/>
      <c r="Q275" s="70"/>
      <c r="R275" s="74" t="s">
        <v>18130</v>
      </c>
      <c r="S275" s="62"/>
      <c r="T275" s="63"/>
      <c r="U275" s="75"/>
      <c r="V275" s="67"/>
      <c r="W275" s="68"/>
      <c r="X275" s="76"/>
      <c r="Y275" s="70"/>
      <c r="Z275" s="228">
        <f>ROUND((ROUND((_15_同援日１．５*(1+_15・A深夜)),0)*(1+_15・盲ろう)),0)+ROUND((_15_同援日１．５＿１．５*(1+_15・盲ろう)),0)</f>
        <v>1028</v>
      </c>
      <c r="AA275" s="69"/>
    </row>
    <row r="276" spans="1:27" ht="16.5" customHeight="1" x14ac:dyDescent="0.3">
      <c r="A276" s="2">
        <v>15</v>
      </c>
      <c r="B276" s="2" t="s">
        <v>1391</v>
      </c>
      <c r="C276" s="60" t="s">
        <v>11629</v>
      </c>
      <c r="D276" s="1"/>
      <c r="E276" s="68"/>
      <c r="F276" s="70"/>
      <c r="G276" s="1"/>
      <c r="H276" s="68"/>
      <c r="I276" s="70"/>
      <c r="J276" s="66"/>
      <c r="K276" s="57"/>
      <c r="L276" s="58"/>
      <c r="M276" s="83" t="s">
        <v>5895</v>
      </c>
      <c r="N276" s="64" t="s">
        <v>1</v>
      </c>
      <c r="O276" s="65">
        <v>1</v>
      </c>
      <c r="P276" s="99"/>
      <c r="Q276" s="70"/>
      <c r="R276" s="94" t="s">
        <v>8083</v>
      </c>
      <c r="S276" s="68"/>
      <c r="T276" s="76"/>
      <c r="U276" s="70"/>
      <c r="V276" s="67"/>
      <c r="W276" s="68"/>
      <c r="X276" s="76"/>
      <c r="Y276" s="70"/>
      <c r="Z276" s="228">
        <f>ROUND((ROUND((ROUND((_15_同援日１．５*_15・２人),0)*(1+_15・A深夜)),0)*(1+_15・盲ろう)),0)+ROUND((ROUND((_15_同援日１．５＿１．５*_15・２人),0)*(1+_15・盲ろう)),0)</f>
        <v>1028</v>
      </c>
      <c r="AA276" s="69"/>
    </row>
    <row r="277" spans="1:27" ht="16.5" customHeight="1" x14ac:dyDescent="0.3">
      <c r="A277" s="2">
        <v>15</v>
      </c>
      <c r="B277" s="2" t="s">
        <v>1392</v>
      </c>
      <c r="C277" s="60" t="s">
        <v>11628</v>
      </c>
      <c r="D277" s="1"/>
      <c r="E277" s="68"/>
      <c r="F277" s="70"/>
      <c r="G277" s="1"/>
      <c r="H277" s="68"/>
      <c r="I277" s="70"/>
      <c r="J277" s="74" t="s">
        <v>18128</v>
      </c>
      <c r="K277" s="62"/>
      <c r="L277" s="63"/>
      <c r="M277" s="85"/>
      <c r="N277" s="64"/>
      <c r="O277" s="65"/>
      <c r="P277" s="99"/>
      <c r="Q277" s="70"/>
      <c r="R277" s="67"/>
      <c r="S277" s="68" t="s">
        <v>1</v>
      </c>
      <c r="T277" s="76">
        <v>0.25</v>
      </c>
      <c r="U277" s="70" t="s">
        <v>422</v>
      </c>
      <c r="V277" s="67"/>
      <c r="W277" s="68"/>
      <c r="X277" s="76"/>
      <c r="Y277" s="70"/>
      <c r="Z277" s="228">
        <f>ROUND((ROUND((ROUND((_15_同援日１．５*_15・基礎２),0)*(1+_15・A深夜)),0)*(1+_15・盲ろう)),0)+ROUND((ROUND((_15_同援日１．５＿１．５*_15・基礎２),0)*(1+_15・盲ろう)),0)</f>
        <v>925</v>
      </c>
      <c r="AA277" s="69"/>
    </row>
    <row r="278" spans="1:27" ht="16.5" customHeight="1" x14ac:dyDescent="0.3">
      <c r="A278" s="2">
        <v>15</v>
      </c>
      <c r="B278" s="2" t="s">
        <v>1393</v>
      </c>
      <c r="C278" s="60" t="s">
        <v>11627</v>
      </c>
      <c r="D278" s="1"/>
      <c r="E278" s="68"/>
      <c r="F278" s="70"/>
      <c r="G278" s="1"/>
      <c r="H278" s="68"/>
      <c r="I278" s="70"/>
      <c r="J278" s="106" t="s">
        <v>5896</v>
      </c>
      <c r="K278" s="57" t="s">
        <v>1</v>
      </c>
      <c r="L278" s="58">
        <v>0.9</v>
      </c>
      <c r="M278" s="83" t="s">
        <v>5895</v>
      </c>
      <c r="N278" s="64" t="s">
        <v>1</v>
      </c>
      <c r="O278" s="65">
        <v>1</v>
      </c>
      <c r="P278" s="99"/>
      <c r="Q278" s="70"/>
      <c r="R278" s="66"/>
      <c r="S278" s="57"/>
      <c r="T278" s="58"/>
      <c r="U278" s="77"/>
      <c r="V278" s="66"/>
      <c r="W278" s="57"/>
      <c r="X278" s="58"/>
      <c r="Y278" s="77"/>
      <c r="Z278" s="228">
        <f>ROUND((ROUND((ROUND((ROUND((_15_同援日１．５*_15・基礎２),0)*_15・２人),0)*(1+_15・A深夜)),0)*(1+_15・盲ろう)),0)+ROUND((ROUND((ROUND((_15_同援日１．５＿１．５*_15・基礎２),0)*_15・２人),0)*(1+_15・盲ろう)),0)</f>
        <v>925</v>
      </c>
      <c r="AA278" s="69"/>
    </row>
    <row r="279" spans="1:27" ht="16.5" customHeight="1" x14ac:dyDescent="0.3">
      <c r="A279" s="2">
        <v>15</v>
      </c>
      <c r="B279" s="2" t="s">
        <v>1394</v>
      </c>
      <c r="C279" s="60" t="s">
        <v>11626</v>
      </c>
      <c r="D279" s="1"/>
      <c r="E279" s="68"/>
      <c r="F279" s="70"/>
      <c r="G279" s="1"/>
      <c r="H279" s="68"/>
      <c r="I279" s="70"/>
      <c r="J279" s="61"/>
      <c r="K279" s="62"/>
      <c r="L279" s="63"/>
      <c r="M279" s="85"/>
      <c r="N279" s="64"/>
      <c r="O279" s="65"/>
      <c r="P279" s="99"/>
      <c r="Q279" s="70"/>
      <c r="R279" s="61"/>
      <c r="S279" s="62"/>
      <c r="T279" s="63"/>
      <c r="U279" s="75"/>
      <c r="V279" s="61"/>
      <c r="W279" s="62"/>
      <c r="X279" s="63"/>
      <c r="Y279" s="75"/>
      <c r="Z279" s="228">
        <f>ROUND((ROUND((_15_同援日１．５*(1+_15・A深夜)),0)*(1+_15・区３)),0)+ROUND((_15_同援日１．５＿１．５*(1+_15・区３)),0)</f>
        <v>986</v>
      </c>
      <c r="AA279" s="69"/>
    </row>
    <row r="280" spans="1:27" ht="16.5" customHeight="1" x14ac:dyDescent="0.3">
      <c r="A280" s="2">
        <v>15</v>
      </c>
      <c r="B280" s="2" t="s">
        <v>1395</v>
      </c>
      <c r="C280" s="60" t="s">
        <v>11625</v>
      </c>
      <c r="D280" s="1"/>
      <c r="E280" s="68"/>
      <c r="F280" s="70"/>
      <c r="G280" s="1"/>
      <c r="H280" s="68"/>
      <c r="I280" s="70"/>
      <c r="J280" s="66"/>
      <c r="K280" s="57"/>
      <c r="L280" s="58"/>
      <c r="M280" s="83" t="s">
        <v>5895</v>
      </c>
      <c r="N280" s="64" t="s">
        <v>1</v>
      </c>
      <c r="O280" s="65">
        <v>1</v>
      </c>
      <c r="P280" s="99"/>
      <c r="Q280" s="70"/>
      <c r="R280" s="67"/>
      <c r="S280" s="68"/>
      <c r="T280" s="76"/>
      <c r="U280" s="70"/>
      <c r="V280" s="67"/>
      <c r="W280" s="68"/>
      <c r="X280" s="76"/>
      <c r="Y280" s="70"/>
      <c r="Z280" s="228">
        <f>ROUND((ROUND((ROUND((_15_同援日１．５*_15・２人),0)*(1+_15・A深夜)),0)*(1+_15・区３)),0)+ROUND((ROUND((_15_同援日１．５＿１．５*_15・２人),0)*(1+_15・区３)),0)</f>
        <v>986</v>
      </c>
      <c r="AA280" s="69"/>
    </row>
    <row r="281" spans="1:27" ht="16.5" customHeight="1" x14ac:dyDescent="0.3">
      <c r="A281" s="2">
        <v>15</v>
      </c>
      <c r="B281" s="2" t="s">
        <v>1396</v>
      </c>
      <c r="C281" s="60" t="s">
        <v>11624</v>
      </c>
      <c r="D281" s="1"/>
      <c r="E281" s="68"/>
      <c r="F281" s="70"/>
      <c r="G281" s="1"/>
      <c r="H281" s="68"/>
      <c r="I281" s="70"/>
      <c r="J281" s="74" t="s">
        <v>18128</v>
      </c>
      <c r="K281" s="62"/>
      <c r="L281" s="63"/>
      <c r="M281" s="85"/>
      <c r="N281" s="64"/>
      <c r="O281" s="65"/>
      <c r="P281" s="99"/>
      <c r="Q281" s="70"/>
      <c r="R281" s="67"/>
      <c r="S281" s="68"/>
      <c r="T281" s="76"/>
      <c r="U281" s="70"/>
      <c r="V281" s="1" t="s">
        <v>18133</v>
      </c>
      <c r="W281" s="68"/>
      <c r="X281" s="76"/>
      <c r="Y281" s="70"/>
      <c r="Z281" s="228">
        <f>ROUND((ROUND((ROUND((_15_同援日１．５*_15・基礎２),0)*(1+_15・A深夜)),0)*(1+_15・区３)),0)+ROUND((ROUND((_15_同援日１．５＿１．５*_15・基礎２),0)*(1+_15・区３)),0)</f>
        <v>888</v>
      </c>
      <c r="AA281" s="69"/>
    </row>
    <row r="282" spans="1:27" ht="16.5" customHeight="1" x14ac:dyDescent="0.3">
      <c r="A282" s="2">
        <v>15</v>
      </c>
      <c r="B282" s="2" t="s">
        <v>1397</v>
      </c>
      <c r="C282" s="60" t="s">
        <v>11623</v>
      </c>
      <c r="D282" s="1"/>
      <c r="E282" s="68"/>
      <c r="F282" s="70"/>
      <c r="G282" s="1"/>
      <c r="H282" s="68"/>
      <c r="I282" s="70"/>
      <c r="J282" s="106" t="s">
        <v>5896</v>
      </c>
      <c r="K282" s="57" t="s">
        <v>1</v>
      </c>
      <c r="L282" s="58">
        <v>0.9</v>
      </c>
      <c r="M282" s="83" t="s">
        <v>5895</v>
      </c>
      <c r="N282" s="64" t="s">
        <v>1</v>
      </c>
      <c r="O282" s="65">
        <v>1</v>
      </c>
      <c r="P282" s="99"/>
      <c r="Q282" s="70"/>
      <c r="R282" s="66"/>
      <c r="S282" s="57"/>
      <c r="T282" s="58"/>
      <c r="U282" s="77"/>
      <c r="V282" s="1" t="s">
        <v>18131</v>
      </c>
      <c r="W282" s="68"/>
      <c r="X282" s="76"/>
      <c r="Y282" s="70"/>
      <c r="Z282" s="228">
        <f>ROUND((ROUND((ROUND((ROUND((_15_同援日１．５*_15・基礎２),0)*_15・２人),0)*(1+_15・A深夜)),0)*(1+_15・区３)),0)+ROUND((ROUND((ROUND((_15_同援日１．５＿１．５*_15・基礎２),0)*_15・２人),0)*(1+_15・区３)),0)</f>
        <v>888</v>
      </c>
      <c r="AA282" s="69"/>
    </row>
    <row r="283" spans="1:27" ht="16.5" customHeight="1" x14ac:dyDescent="0.3">
      <c r="A283" s="2">
        <v>15</v>
      </c>
      <c r="B283" s="2" t="s">
        <v>1398</v>
      </c>
      <c r="C283" s="60" t="s">
        <v>11622</v>
      </c>
      <c r="D283" s="1"/>
      <c r="E283" s="68"/>
      <c r="F283" s="70"/>
      <c r="G283" s="1"/>
      <c r="H283" s="68"/>
      <c r="I283" s="70"/>
      <c r="J283" s="61"/>
      <c r="K283" s="62"/>
      <c r="L283" s="63"/>
      <c r="M283" s="85"/>
      <c r="N283" s="64"/>
      <c r="O283" s="65"/>
      <c r="P283" s="99"/>
      <c r="Q283" s="70"/>
      <c r="R283" s="74" t="s">
        <v>18130</v>
      </c>
      <c r="S283" s="62"/>
      <c r="T283" s="63"/>
      <c r="U283" s="75"/>
      <c r="V283" s="67"/>
      <c r="W283" s="68" t="s">
        <v>1</v>
      </c>
      <c r="X283" s="76">
        <v>0.2</v>
      </c>
      <c r="Y283" s="70" t="s">
        <v>422</v>
      </c>
      <c r="Z283" s="228">
        <f>ROUND((ROUND((ROUND((_15_同援日１．５*(1+_15・A深夜)),0)*(1+_15・盲ろう)),0)*(1+_15・区３)),0)+ROUND((ROUND((_15_同援日１．５＿１．５*(1+_15・盲ろう)),0)*(1+_15・区３)),0)</f>
        <v>1234</v>
      </c>
      <c r="AA283" s="69"/>
    </row>
    <row r="284" spans="1:27" ht="16.5" customHeight="1" x14ac:dyDescent="0.3">
      <c r="A284" s="2">
        <v>15</v>
      </c>
      <c r="B284" s="2" t="s">
        <v>1399</v>
      </c>
      <c r="C284" s="60" t="s">
        <v>11621</v>
      </c>
      <c r="D284" s="1"/>
      <c r="E284" s="68"/>
      <c r="F284" s="70"/>
      <c r="G284" s="1"/>
      <c r="H284" s="68"/>
      <c r="I284" s="70"/>
      <c r="J284" s="66"/>
      <c r="K284" s="57"/>
      <c r="L284" s="58"/>
      <c r="M284" s="83" t="s">
        <v>5895</v>
      </c>
      <c r="N284" s="64" t="s">
        <v>1</v>
      </c>
      <c r="O284" s="65">
        <v>1</v>
      </c>
      <c r="P284" s="99"/>
      <c r="Q284" s="70"/>
      <c r="R284" s="94" t="s">
        <v>18129</v>
      </c>
      <c r="S284" s="68"/>
      <c r="T284" s="76"/>
      <c r="U284" s="70"/>
      <c r="V284" s="67"/>
      <c r="W284" s="68"/>
      <c r="X284" s="76"/>
      <c r="Y284" s="70"/>
      <c r="Z284" s="228">
        <f>ROUND((ROUND((ROUND((ROUND((_15_同援日１．５*_15・２人),0)*(1+_15・A深夜)),0)*(1+_15・盲ろう)),0)*(1+_15・区３)),0)+ROUND((ROUND((ROUND((_15_同援日１．５＿１．５*_15・２人),0)*(1+_15・盲ろう)),0)*(1+_15・区３)),0)</f>
        <v>1234</v>
      </c>
      <c r="AA284" s="69"/>
    </row>
    <row r="285" spans="1:27" ht="16.5" customHeight="1" x14ac:dyDescent="0.3">
      <c r="A285" s="2">
        <v>15</v>
      </c>
      <c r="B285" s="2" t="s">
        <v>1400</v>
      </c>
      <c r="C285" s="60" t="s">
        <v>11620</v>
      </c>
      <c r="D285" s="1"/>
      <c r="E285" s="68"/>
      <c r="F285" s="70"/>
      <c r="G285" s="1"/>
      <c r="H285" s="68"/>
      <c r="I285" s="70"/>
      <c r="J285" s="74" t="s">
        <v>18128</v>
      </c>
      <c r="K285" s="62"/>
      <c r="L285" s="63"/>
      <c r="M285" s="85"/>
      <c r="N285" s="64"/>
      <c r="O285" s="65"/>
      <c r="P285" s="99"/>
      <c r="Q285" s="70"/>
      <c r="R285" s="67"/>
      <c r="S285" s="68" t="s">
        <v>1</v>
      </c>
      <c r="T285" s="76">
        <v>0.25</v>
      </c>
      <c r="U285" s="70" t="s">
        <v>422</v>
      </c>
      <c r="V285" s="67"/>
      <c r="W285" s="68"/>
      <c r="X285" s="76"/>
      <c r="Y285" s="70"/>
      <c r="Z285" s="228">
        <f>ROUND((ROUND((ROUND((ROUND((_15_同援日１．５*_15・基礎２),0)*(1+_15・A深夜)),0)*(1+_15・盲ろう)),0)*(1+_15・区３)),0)+ROUND((ROUND((ROUND((_15_同援日１．５＿１．５*_15・基礎２),0)*(1+_15・盲ろう)),0)*(1+_15・区３)),0)</f>
        <v>1110</v>
      </c>
      <c r="AA285" s="69"/>
    </row>
    <row r="286" spans="1:27" ht="16.5" customHeight="1" x14ac:dyDescent="0.3">
      <c r="A286" s="2">
        <v>15</v>
      </c>
      <c r="B286" s="2" t="s">
        <v>1401</v>
      </c>
      <c r="C286" s="60" t="s">
        <v>11619</v>
      </c>
      <c r="D286" s="1"/>
      <c r="E286" s="68"/>
      <c r="F286" s="70"/>
      <c r="G286" s="1"/>
      <c r="H286" s="68"/>
      <c r="I286" s="70"/>
      <c r="J286" s="106" t="s">
        <v>18127</v>
      </c>
      <c r="K286" s="57" t="s">
        <v>1</v>
      </c>
      <c r="L286" s="58">
        <v>0.9</v>
      </c>
      <c r="M286" s="83" t="s">
        <v>5895</v>
      </c>
      <c r="N286" s="64" t="s">
        <v>1</v>
      </c>
      <c r="O286" s="65">
        <v>1</v>
      </c>
      <c r="P286" s="99"/>
      <c r="Q286" s="70"/>
      <c r="R286" s="66"/>
      <c r="S286" s="57"/>
      <c r="T286" s="58"/>
      <c r="U286" s="77"/>
      <c r="V286" s="66"/>
      <c r="W286" s="57"/>
      <c r="X286" s="58"/>
      <c r="Y286" s="77"/>
      <c r="Z286" s="228">
        <f>ROUND((ROUND((ROUND((ROUND((ROUND((_15_同援日１．５*_15・基礎２),0)*_15・２人),0)*(1+_15・A深夜)),0)*(1+_15・盲ろう)),0)*(1+_15・区３)),0)+ROUND((ROUND((ROUND((ROUND((_15_同援日１．５＿１．５*_15・基礎２),0)*_15・２人),0)*(1+_15・盲ろう)),0)*(1+_15・区３)),0)</f>
        <v>1110</v>
      </c>
      <c r="AA286" s="69"/>
    </row>
    <row r="287" spans="1:27" ht="16.5" customHeight="1" x14ac:dyDescent="0.3">
      <c r="A287" s="2">
        <v>15</v>
      </c>
      <c r="B287" s="2" t="s">
        <v>1402</v>
      </c>
      <c r="C287" s="60" t="s">
        <v>11618</v>
      </c>
      <c r="D287" s="1"/>
      <c r="E287" s="68"/>
      <c r="F287" s="70"/>
      <c r="G287" s="1"/>
      <c r="H287" s="68"/>
      <c r="I287" s="70"/>
      <c r="J287" s="61"/>
      <c r="K287" s="62"/>
      <c r="L287" s="63"/>
      <c r="M287" s="85"/>
      <c r="N287" s="64"/>
      <c r="O287" s="65"/>
      <c r="P287" s="99"/>
      <c r="Q287" s="70"/>
      <c r="R287" s="61"/>
      <c r="S287" s="62"/>
      <c r="T287" s="63"/>
      <c r="U287" s="75"/>
      <c r="V287" s="61"/>
      <c r="W287" s="62"/>
      <c r="X287" s="63"/>
      <c r="Y287" s="75"/>
      <c r="Z287" s="228">
        <f>ROUND((ROUND((_15_同援日１．５*(1+_15・A深夜)),0)*(1+_15・区４)),0)+ROUND((_15_同援日１．５＿１．５*(1+_15・区４)),0)</f>
        <v>1151</v>
      </c>
      <c r="AA287" s="69"/>
    </row>
    <row r="288" spans="1:27" ht="16.5" customHeight="1" x14ac:dyDescent="0.3">
      <c r="A288" s="2">
        <v>15</v>
      </c>
      <c r="B288" s="2" t="s">
        <v>1403</v>
      </c>
      <c r="C288" s="60" t="s">
        <v>11617</v>
      </c>
      <c r="D288" s="1"/>
      <c r="E288" s="68"/>
      <c r="F288" s="70"/>
      <c r="G288" s="1"/>
      <c r="H288" s="68"/>
      <c r="I288" s="70"/>
      <c r="J288" s="66"/>
      <c r="K288" s="57"/>
      <c r="L288" s="58"/>
      <c r="M288" s="83" t="s">
        <v>5895</v>
      </c>
      <c r="N288" s="64" t="s">
        <v>1</v>
      </c>
      <c r="O288" s="65">
        <v>1</v>
      </c>
      <c r="P288" s="99"/>
      <c r="Q288" s="70"/>
      <c r="R288" s="67"/>
      <c r="S288" s="68"/>
      <c r="T288" s="76"/>
      <c r="U288" s="70"/>
      <c r="V288" s="67"/>
      <c r="W288" s="68"/>
      <c r="X288" s="76"/>
      <c r="Y288" s="70"/>
      <c r="Z288" s="228">
        <f>ROUND((ROUND((ROUND((_15_同援日１．５*_15・２人),0)*(1+_15・A深夜)),0)*(1+_15・区４)),0)+ROUND((ROUND((_15_同援日１．５＿１．５*_15・２人),0)*(1+_15・区４)),0)</f>
        <v>1151</v>
      </c>
      <c r="AA288" s="69"/>
    </row>
    <row r="289" spans="1:27" ht="16.5" customHeight="1" x14ac:dyDescent="0.3">
      <c r="A289" s="2">
        <v>15</v>
      </c>
      <c r="B289" s="2" t="s">
        <v>1404</v>
      </c>
      <c r="C289" s="60" t="s">
        <v>11616</v>
      </c>
      <c r="D289" s="1"/>
      <c r="E289" s="68"/>
      <c r="F289" s="70"/>
      <c r="G289" s="1"/>
      <c r="H289" s="68"/>
      <c r="I289" s="70"/>
      <c r="J289" s="74" t="s">
        <v>5898</v>
      </c>
      <c r="K289" s="62"/>
      <c r="L289" s="63"/>
      <c r="M289" s="85"/>
      <c r="N289" s="64"/>
      <c r="O289" s="65"/>
      <c r="P289" s="99"/>
      <c r="Q289" s="70"/>
      <c r="R289" s="67"/>
      <c r="S289" s="68"/>
      <c r="T289" s="76"/>
      <c r="U289" s="70"/>
      <c r="V289" s="1" t="s">
        <v>18132</v>
      </c>
      <c r="W289" s="68"/>
      <c r="X289" s="76"/>
      <c r="Y289" s="70"/>
      <c r="Z289" s="228">
        <f>ROUND((ROUND((ROUND((_15_同援日１．５*_15・基礎２),0)*(1+_15・A深夜)),0)*(1+_15・区４)),0)+ROUND((ROUND((_15_同援日１．５＿１．５*_15・基礎２),0)*(1+_15・区４)),0)</f>
        <v>1036</v>
      </c>
      <c r="AA289" s="69"/>
    </row>
    <row r="290" spans="1:27" ht="16.5" customHeight="1" x14ac:dyDescent="0.3">
      <c r="A290" s="2">
        <v>15</v>
      </c>
      <c r="B290" s="2" t="s">
        <v>1405</v>
      </c>
      <c r="C290" s="60" t="s">
        <v>11615</v>
      </c>
      <c r="D290" s="1"/>
      <c r="E290" s="68"/>
      <c r="F290" s="70"/>
      <c r="G290" s="1"/>
      <c r="H290" s="68"/>
      <c r="I290" s="70"/>
      <c r="J290" s="106" t="s">
        <v>18127</v>
      </c>
      <c r="K290" s="57" t="s">
        <v>1</v>
      </c>
      <c r="L290" s="58">
        <v>0.9</v>
      </c>
      <c r="M290" s="83" t="s">
        <v>5895</v>
      </c>
      <c r="N290" s="64" t="s">
        <v>1</v>
      </c>
      <c r="O290" s="65">
        <v>1</v>
      </c>
      <c r="P290" s="99"/>
      <c r="Q290" s="70"/>
      <c r="R290" s="66"/>
      <c r="S290" s="57"/>
      <c r="T290" s="58"/>
      <c r="U290" s="77"/>
      <c r="V290" s="1" t="s">
        <v>18131</v>
      </c>
      <c r="W290" s="68"/>
      <c r="X290" s="76"/>
      <c r="Y290" s="70"/>
      <c r="Z290" s="228">
        <f>ROUND((ROUND((ROUND((ROUND((_15_同援日１．５*_15・基礎２),0)*_15・２人),0)*(1+_15・A深夜)),0)*(1+_15・区４)),0)+ROUND((ROUND((ROUND((_15_同援日１．５＿１．５*_15・基礎２),0)*_15・２人),0)*(1+_15・区４)),0)</f>
        <v>1036</v>
      </c>
      <c r="AA290" s="69"/>
    </row>
    <row r="291" spans="1:27" ht="16.5" customHeight="1" x14ac:dyDescent="0.3">
      <c r="A291" s="2">
        <v>15</v>
      </c>
      <c r="B291" s="2" t="s">
        <v>1406</v>
      </c>
      <c r="C291" s="60" t="s">
        <v>11614</v>
      </c>
      <c r="D291" s="1"/>
      <c r="E291" s="68"/>
      <c r="F291" s="70"/>
      <c r="G291" s="1"/>
      <c r="H291" s="68"/>
      <c r="I291" s="70"/>
      <c r="J291" s="61"/>
      <c r="K291" s="62"/>
      <c r="L291" s="63"/>
      <c r="M291" s="85"/>
      <c r="N291" s="64"/>
      <c r="O291" s="65"/>
      <c r="P291" s="99"/>
      <c r="Q291" s="70"/>
      <c r="R291" s="74" t="s">
        <v>18130</v>
      </c>
      <c r="S291" s="62"/>
      <c r="T291" s="63"/>
      <c r="U291" s="75"/>
      <c r="V291" s="67"/>
      <c r="W291" s="68" t="s">
        <v>1</v>
      </c>
      <c r="X291" s="76">
        <v>0.4</v>
      </c>
      <c r="Y291" s="70" t="s">
        <v>422</v>
      </c>
      <c r="Z291" s="228">
        <f>ROUND((ROUND((ROUND((_15_同援日１．５*(1+_15・A深夜)),0)*(1+_15・盲ろう)),0)*(1+_15・区４)),0)+ROUND((ROUND((_15_同援日１．５＿１．５*(1+_15・盲ろう)),0)*(1+_15・区４)),0)</f>
        <v>1439</v>
      </c>
      <c r="AA291" s="69"/>
    </row>
    <row r="292" spans="1:27" ht="16.5" customHeight="1" x14ac:dyDescent="0.3">
      <c r="A292" s="2">
        <v>15</v>
      </c>
      <c r="B292" s="2" t="s">
        <v>1407</v>
      </c>
      <c r="C292" s="60" t="s">
        <v>11613</v>
      </c>
      <c r="D292" s="1"/>
      <c r="E292" s="68"/>
      <c r="F292" s="70"/>
      <c r="G292" s="1"/>
      <c r="H292" s="68"/>
      <c r="I292" s="70"/>
      <c r="J292" s="66"/>
      <c r="K292" s="57"/>
      <c r="L292" s="58"/>
      <c r="M292" s="83" t="s">
        <v>5895</v>
      </c>
      <c r="N292" s="64" t="s">
        <v>1</v>
      </c>
      <c r="O292" s="65">
        <v>1</v>
      </c>
      <c r="P292" s="99"/>
      <c r="Q292" s="70"/>
      <c r="R292" s="94" t="s">
        <v>18129</v>
      </c>
      <c r="S292" s="68"/>
      <c r="T292" s="76"/>
      <c r="U292" s="70"/>
      <c r="V292" s="67"/>
      <c r="W292" s="68"/>
      <c r="X292" s="76"/>
      <c r="Y292" s="70"/>
      <c r="Z292" s="228">
        <f>ROUND((ROUND((ROUND((ROUND((_15_同援日１．５*_15・２人),0)*(1+_15・A深夜)),0)*(1+_15・盲ろう)),0)*(1+_15・区４)),0)+ROUND((ROUND((ROUND((_15_同援日１．５＿１．５*_15・２人),0)*(1+_15・盲ろう)),0)*(1+_15・区４)),0)</f>
        <v>1439</v>
      </c>
      <c r="AA292" s="69"/>
    </row>
    <row r="293" spans="1:27" ht="16.5" customHeight="1" x14ac:dyDescent="0.3">
      <c r="A293" s="2">
        <v>15</v>
      </c>
      <c r="B293" s="2" t="s">
        <v>1408</v>
      </c>
      <c r="C293" s="60" t="s">
        <v>11612</v>
      </c>
      <c r="D293" s="1"/>
      <c r="E293" s="68"/>
      <c r="F293" s="70"/>
      <c r="G293" s="1"/>
      <c r="H293" s="68"/>
      <c r="I293" s="70"/>
      <c r="J293" s="74" t="s">
        <v>18128</v>
      </c>
      <c r="K293" s="62"/>
      <c r="L293" s="63"/>
      <c r="M293" s="85"/>
      <c r="N293" s="64"/>
      <c r="O293" s="65"/>
      <c r="P293" s="99"/>
      <c r="Q293" s="70"/>
      <c r="R293" s="67"/>
      <c r="S293" s="68" t="s">
        <v>1</v>
      </c>
      <c r="T293" s="76">
        <v>0.25</v>
      </c>
      <c r="U293" s="70" t="s">
        <v>422</v>
      </c>
      <c r="V293" s="67"/>
      <c r="W293" s="68"/>
      <c r="X293" s="76"/>
      <c r="Y293" s="70"/>
      <c r="Z293" s="228">
        <f>ROUND((ROUND((ROUND((ROUND((_15_同援日１．５*_15・基礎２),0)*(1+_15・A深夜)),0)*(1+_15・盲ろう)),0)*(1+_15・区４)),0)+ROUND((ROUND((ROUND((_15_同援日１．５＿１．５*_15・基礎２),0)*(1+_15・盲ろう)),0)*(1+_15・区４)),0)</f>
        <v>1295</v>
      </c>
      <c r="AA293" s="69"/>
    </row>
    <row r="294" spans="1:27" ht="16.5" customHeight="1" x14ac:dyDescent="0.3">
      <c r="A294" s="2">
        <v>15</v>
      </c>
      <c r="B294" s="2" t="s">
        <v>1409</v>
      </c>
      <c r="C294" s="60" t="s">
        <v>11611</v>
      </c>
      <c r="D294" s="81"/>
      <c r="E294" s="57"/>
      <c r="F294" s="77"/>
      <c r="G294" s="81"/>
      <c r="H294" s="57"/>
      <c r="I294" s="77"/>
      <c r="J294" s="106" t="s">
        <v>18127</v>
      </c>
      <c r="K294" s="57" t="s">
        <v>1</v>
      </c>
      <c r="L294" s="58">
        <v>0.9</v>
      </c>
      <c r="M294" s="83" t="s">
        <v>5895</v>
      </c>
      <c r="N294" s="64" t="s">
        <v>1</v>
      </c>
      <c r="O294" s="65">
        <v>1</v>
      </c>
      <c r="P294" s="99"/>
      <c r="Q294" s="70"/>
      <c r="R294" s="66"/>
      <c r="S294" s="57"/>
      <c r="T294" s="58"/>
      <c r="U294" s="77"/>
      <c r="V294" s="66"/>
      <c r="W294" s="57"/>
      <c r="X294" s="58"/>
      <c r="Y294" s="77"/>
      <c r="Z294" s="228">
        <f>ROUND((ROUND((ROUND((ROUND((ROUND((_15_同援日１．５*_15・基礎２),0)*_15・２人),0)*(1+_15・A深夜)),0)*(1+_15・盲ろう)),0)*(1+_15・区４)),0)+ROUND((ROUND((ROUND((ROUND((_15_同援日１．５＿１．５*_15・基礎２),0)*_15・２人),0)*(1+_15・盲ろう)),0)*(1+_15・区４)),0)</f>
        <v>1295</v>
      </c>
      <c r="AA294" s="69"/>
    </row>
    <row r="295" spans="1:27" ht="16.5" customHeight="1" x14ac:dyDescent="0.3">
      <c r="A295" s="2">
        <v>15</v>
      </c>
      <c r="B295" s="2" t="s">
        <v>1410</v>
      </c>
      <c r="C295" s="60" t="s">
        <v>11610</v>
      </c>
      <c r="D295" s="233" t="s">
        <v>18140</v>
      </c>
      <c r="E295" s="235"/>
      <c r="F295" s="75"/>
      <c r="G295" s="233" t="s">
        <v>18135</v>
      </c>
      <c r="H295" s="62"/>
      <c r="I295" s="75"/>
      <c r="J295" s="61"/>
      <c r="K295" s="62"/>
      <c r="L295" s="63"/>
      <c r="M295" s="85"/>
      <c r="N295" s="64"/>
      <c r="O295" s="65"/>
      <c r="P295" s="99"/>
      <c r="Q295" s="70"/>
      <c r="R295" s="61"/>
      <c r="S295" s="62"/>
      <c r="T295" s="63"/>
      <c r="U295" s="75"/>
      <c r="V295" s="61"/>
      <c r="W295" s="62"/>
      <c r="X295" s="63"/>
      <c r="Y295" s="75"/>
      <c r="Z295" s="228">
        <f>ROUND((_15_同援日２．０*(1+_15・A深夜)),0)+_15_同援日２．０＿０．５</f>
        <v>791</v>
      </c>
      <c r="AA295" s="69"/>
    </row>
    <row r="296" spans="1:27" ht="16.5" customHeight="1" x14ac:dyDescent="0.3">
      <c r="A296" s="2">
        <v>15</v>
      </c>
      <c r="B296" s="2" t="s">
        <v>1411</v>
      </c>
      <c r="C296" s="60" t="s">
        <v>11609</v>
      </c>
      <c r="D296" s="1" t="s">
        <v>18139</v>
      </c>
      <c r="E296" s="68"/>
      <c r="F296" s="70"/>
      <c r="G296" s="1" t="s">
        <v>7928</v>
      </c>
      <c r="H296" s="68"/>
      <c r="I296" s="70"/>
      <c r="J296" s="66"/>
      <c r="K296" s="57"/>
      <c r="L296" s="58"/>
      <c r="M296" s="83" t="s">
        <v>5895</v>
      </c>
      <c r="N296" s="64" t="s">
        <v>1</v>
      </c>
      <c r="O296" s="65">
        <v>1</v>
      </c>
      <c r="P296" s="99"/>
      <c r="Q296" s="70"/>
      <c r="R296" s="67"/>
      <c r="S296" s="68"/>
      <c r="T296" s="76"/>
      <c r="U296" s="70"/>
      <c r="V296" s="67"/>
      <c r="W296" s="68"/>
      <c r="X296" s="76"/>
      <c r="Y296" s="70"/>
      <c r="Z296" s="228">
        <f>ROUND((ROUND((_15_同援日２．０*_15・２人),0)*(1+_15・A深夜)),0)+ROUND((_15_同援日２．０＿０．５*_15・２人),0)</f>
        <v>791</v>
      </c>
      <c r="AA296" s="69"/>
    </row>
    <row r="297" spans="1:27" ht="16.5" customHeight="1" x14ac:dyDescent="0.3">
      <c r="A297" s="2">
        <v>15</v>
      </c>
      <c r="B297" s="2" t="s">
        <v>1412</v>
      </c>
      <c r="C297" s="60" t="s">
        <v>11608</v>
      </c>
      <c r="D297" s="1" t="s">
        <v>6448</v>
      </c>
      <c r="E297" s="68"/>
      <c r="F297" s="70"/>
      <c r="G297" s="1"/>
      <c r="H297" s="68"/>
      <c r="I297" s="70"/>
      <c r="J297" s="74" t="s">
        <v>18128</v>
      </c>
      <c r="K297" s="62"/>
      <c r="L297" s="63"/>
      <c r="M297" s="85"/>
      <c r="N297" s="64"/>
      <c r="O297" s="65"/>
      <c r="P297" s="99"/>
      <c r="Q297" s="70"/>
      <c r="R297" s="67"/>
      <c r="S297" s="68"/>
      <c r="T297" s="76"/>
      <c r="U297" s="70"/>
      <c r="V297" s="67"/>
      <c r="W297" s="68"/>
      <c r="X297" s="76"/>
      <c r="Y297" s="70"/>
      <c r="Z297" s="228">
        <f>ROUND((ROUND((_15_同援日２．０*_15・基礎２),0)*(1+_15・A深夜)),0)+ROUND((_15_同援日２．０＿０．５*_15・基礎２),0)</f>
        <v>713</v>
      </c>
      <c r="AA297" s="69"/>
    </row>
    <row r="298" spans="1:27" ht="16.5" customHeight="1" x14ac:dyDescent="0.3">
      <c r="A298" s="2">
        <v>15</v>
      </c>
      <c r="B298" s="2" t="s">
        <v>1413</v>
      </c>
      <c r="C298" s="60" t="s">
        <v>11607</v>
      </c>
      <c r="D298" s="1"/>
      <c r="E298" s="227">
        <v>485</v>
      </c>
      <c r="F298" s="70" t="s">
        <v>0</v>
      </c>
      <c r="G298" s="1"/>
      <c r="H298" s="119">
        <v>63</v>
      </c>
      <c r="I298" s="70" t="s">
        <v>0</v>
      </c>
      <c r="J298" s="106" t="s">
        <v>5896</v>
      </c>
      <c r="K298" s="57" t="s">
        <v>1</v>
      </c>
      <c r="L298" s="58">
        <v>0.9</v>
      </c>
      <c r="M298" s="83" t="s">
        <v>5895</v>
      </c>
      <c r="N298" s="64" t="s">
        <v>1</v>
      </c>
      <c r="O298" s="65">
        <v>1</v>
      </c>
      <c r="P298" s="99"/>
      <c r="Q298" s="70"/>
      <c r="R298" s="66"/>
      <c r="S298" s="57"/>
      <c r="T298" s="58"/>
      <c r="U298" s="77"/>
      <c r="V298" s="67"/>
      <c r="W298" s="68"/>
      <c r="X298" s="76"/>
      <c r="Y298" s="70"/>
      <c r="Z298" s="228">
        <f>ROUND((ROUND((ROUND((_15_同援日２．０*_15・基礎２),0)*_15・２人),0)*(1+_15・A深夜)),0)+ROUND((ROUND((_15_同援日２．０＿０．５*_15・基礎２),0)*_15・２人),0)</f>
        <v>713</v>
      </c>
      <c r="AA298" s="69"/>
    </row>
    <row r="299" spans="1:27" ht="16.5" customHeight="1" x14ac:dyDescent="0.3">
      <c r="A299" s="2">
        <v>15</v>
      </c>
      <c r="B299" s="2" t="s">
        <v>1414</v>
      </c>
      <c r="C299" s="60" t="s">
        <v>11606</v>
      </c>
      <c r="D299" s="1"/>
      <c r="E299" s="68"/>
      <c r="F299" s="70"/>
      <c r="G299" s="1"/>
      <c r="H299" s="68"/>
      <c r="I299" s="70"/>
      <c r="J299" s="61"/>
      <c r="K299" s="62"/>
      <c r="L299" s="63"/>
      <c r="M299" s="85"/>
      <c r="N299" s="64"/>
      <c r="O299" s="65"/>
      <c r="P299" s="99"/>
      <c r="Q299" s="70"/>
      <c r="R299" s="74" t="s">
        <v>18130</v>
      </c>
      <c r="S299" s="62"/>
      <c r="T299" s="63"/>
      <c r="U299" s="75"/>
      <c r="V299" s="67"/>
      <c r="W299" s="68"/>
      <c r="X299" s="76"/>
      <c r="Y299" s="70"/>
      <c r="Z299" s="228">
        <f>ROUND((ROUND((_15_同援日２．０*(1+_15・A深夜)),0)*(1+_15・盲ろう)),0)+ROUND((_15_同援日２．０＿０．５*(1+_15・盲ろう)),0)</f>
        <v>989</v>
      </c>
      <c r="AA299" s="69"/>
    </row>
    <row r="300" spans="1:27" ht="16.5" customHeight="1" x14ac:dyDescent="0.3">
      <c r="A300" s="2">
        <v>15</v>
      </c>
      <c r="B300" s="2" t="s">
        <v>1415</v>
      </c>
      <c r="C300" s="60" t="s">
        <v>11605</v>
      </c>
      <c r="D300" s="1"/>
      <c r="E300" s="68"/>
      <c r="F300" s="70"/>
      <c r="G300" s="1"/>
      <c r="H300" s="68"/>
      <c r="I300" s="70"/>
      <c r="J300" s="66"/>
      <c r="K300" s="57"/>
      <c r="L300" s="58"/>
      <c r="M300" s="83" t="s">
        <v>5895</v>
      </c>
      <c r="N300" s="64" t="s">
        <v>1</v>
      </c>
      <c r="O300" s="65">
        <v>1</v>
      </c>
      <c r="P300" s="99"/>
      <c r="Q300" s="70"/>
      <c r="R300" s="94" t="s">
        <v>18129</v>
      </c>
      <c r="S300" s="68"/>
      <c r="T300" s="76"/>
      <c r="U300" s="70"/>
      <c r="V300" s="67"/>
      <c r="W300" s="68"/>
      <c r="X300" s="76"/>
      <c r="Y300" s="70"/>
      <c r="Z300" s="228">
        <f>ROUND((ROUND((ROUND((_15_同援日２．０*_15・２人),0)*(1+_15・A深夜)),0)*(1+_15・盲ろう)),0)+ROUND((ROUND((_15_同援日２．０＿０．５*_15・２人),0)*(1+_15・盲ろう)),0)</f>
        <v>989</v>
      </c>
      <c r="AA300" s="69"/>
    </row>
    <row r="301" spans="1:27" ht="16.5" customHeight="1" x14ac:dyDescent="0.3">
      <c r="A301" s="2">
        <v>15</v>
      </c>
      <c r="B301" s="2" t="s">
        <v>1416</v>
      </c>
      <c r="C301" s="60" t="s">
        <v>11604</v>
      </c>
      <c r="D301" s="1"/>
      <c r="E301" s="68"/>
      <c r="F301" s="70"/>
      <c r="G301" s="1"/>
      <c r="H301" s="68"/>
      <c r="I301" s="70"/>
      <c r="J301" s="74" t="s">
        <v>18128</v>
      </c>
      <c r="K301" s="62"/>
      <c r="L301" s="63"/>
      <c r="M301" s="85"/>
      <c r="N301" s="64"/>
      <c r="O301" s="65"/>
      <c r="P301" s="99"/>
      <c r="Q301" s="70"/>
      <c r="R301" s="67"/>
      <c r="S301" s="68" t="s">
        <v>1</v>
      </c>
      <c r="T301" s="76">
        <v>0.25</v>
      </c>
      <c r="U301" s="70" t="s">
        <v>422</v>
      </c>
      <c r="V301" s="67"/>
      <c r="W301" s="68"/>
      <c r="X301" s="76"/>
      <c r="Y301" s="70"/>
      <c r="Z301" s="228">
        <f>ROUND((ROUND((ROUND((_15_同援日２．０*_15・基礎２),0)*(1+_15・A深夜)),0)*(1+_15・盲ろう)),0)+ROUND((ROUND((_15_同援日２．０＿０．５*_15・基礎２),0)*(1+_15・盲ろう)),0)</f>
        <v>891</v>
      </c>
      <c r="AA301" s="69"/>
    </row>
    <row r="302" spans="1:27" ht="16.5" customHeight="1" x14ac:dyDescent="0.3">
      <c r="A302" s="2">
        <v>15</v>
      </c>
      <c r="B302" s="2" t="s">
        <v>1417</v>
      </c>
      <c r="C302" s="60" t="s">
        <v>11603</v>
      </c>
      <c r="D302" s="1"/>
      <c r="E302" s="68"/>
      <c r="F302" s="70"/>
      <c r="G302" s="1"/>
      <c r="H302" s="68"/>
      <c r="I302" s="70"/>
      <c r="J302" s="106" t="s">
        <v>18127</v>
      </c>
      <c r="K302" s="57" t="s">
        <v>1</v>
      </c>
      <c r="L302" s="58">
        <v>0.9</v>
      </c>
      <c r="M302" s="83" t="s">
        <v>5895</v>
      </c>
      <c r="N302" s="64" t="s">
        <v>1</v>
      </c>
      <c r="O302" s="65">
        <v>1</v>
      </c>
      <c r="P302" s="99"/>
      <c r="Q302" s="70"/>
      <c r="R302" s="66"/>
      <c r="S302" s="57"/>
      <c r="T302" s="58"/>
      <c r="U302" s="77"/>
      <c r="V302" s="66"/>
      <c r="W302" s="57"/>
      <c r="X302" s="58"/>
      <c r="Y302" s="77"/>
      <c r="Z302" s="228">
        <f>ROUND((ROUND((ROUND((ROUND((_15_同援日２．０*_15・基礎２),0)*_15・２人),0)*(1+_15・A深夜)),0)*(1+_15・盲ろう)),0)+ROUND((ROUND((ROUND((_15_同援日２．０＿０．５*_15・基礎２),0)*_15・２人),0)*(1+_15・盲ろう)),0)</f>
        <v>891</v>
      </c>
      <c r="AA302" s="69"/>
    </row>
    <row r="303" spans="1:27" ht="16.5" customHeight="1" x14ac:dyDescent="0.3">
      <c r="A303" s="2">
        <v>15</v>
      </c>
      <c r="B303" s="2" t="s">
        <v>1418</v>
      </c>
      <c r="C303" s="60" t="s">
        <v>11602</v>
      </c>
      <c r="D303" s="1"/>
      <c r="E303" s="68"/>
      <c r="F303" s="70"/>
      <c r="G303" s="1"/>
      <c r="H303" s="68"/>
      <c r="I303" s="70"/>
      <c r="J303" s="61"/>
      <c r="K303" s="62"/>
      <c r="L303" s="63"/>
      <c r="M303" s="85"/>
      <c r="N303" s="64"/>
      <c r="O303" s="65"/>
      <c r="P303" s="99"/>
      <c r="Q303" s="70"/>
      <c r="R303" s="61"/>
      <c r="S303" s="62"/>
      <c r="T303" s="63"/>
      <c r="U303" s="75"/>
      <c r="V303" s="61"/>
      <c r="W303" s="62"/>
      <c r="X303" s="63"/>
      <c r="Y303" s="75"/>
      <c r="Z303" s="228">
        <f>ROUND((ROUND((_15_同援日２．０*(1+_15・A深夜)),0)*(1+_15・区３)),0)+ROUND((_15_同援日２．０＿０．５*(1+_15・区３)),0)</f>
        <v>950</v>
      </c>
      <c r="AA303" s="69"/>
    </row>
    <row r="304" spans="1:27" ht="16.5" customHeight="1" x14ac:dyDescent="0.3">
      <c r="A304" s="2">
        <v>15</v>
      </c>
      <c r="B304" s="2" t="s">
        <v>1419</v>
      </c>
      <c r="C304" s="60" t="s">
        <v>11601</v>
      </c>
      <c r="D304" s="1"/>
      <c r="E304" s="68"/>
      <c r="F304" s="70"/>
      <c r="G304" s="1"/>
      <c r="H304" s="68"/>
      <c r="I304" s="70"/>
      <c r="J304" s="66"/>
      <c r="K304" s="57"/>
      <c r="L304" s="58"/>
      <c r="M304" s="83" t="s">
        <v>5895</v>
      </c>
      <c r="N304" s="64" t="s">
        <v>1</v>
      </c>
      <c r="O304" s="65">
        <v>1</v>
      </c>
      <c r="P304" s="99"/>
      <c r="Q304" s="70"/>
      <c r="R304" s="67"/>
      <c r="S304" s="68"/>
      <c r="T304" s="76"/>
      <c r="U304" s="70"/>
      <c r="V304" s="67"/>
      <c r="W304" s="68"/>
      <c r="X304" s="76"/>
      <c r="Y304" s="70"/>
      <c r="Z304" s="228">
        <f>ROUND((ROUND((ROUND((_15_同援日２．０*_15・２人),0)*(1+_15・A深夜)),0)*(1+_15・区３)),0)+ROUND((ROUND((_15_同援日２．０＿０．５*_15・２人),0)*(1+_15・区３)),0)</f>
        <v>950</v>
      </c>
      <c r="AA304" s="69"/>
    </row>
    <row r="305" spans="1:27" ht="16.5" customHeight="1" x14ac:dyDescent="0.3">
      <c r="A305" s="2">
        <v>15</v>
      </c>
      <c r="B305" s="2" t="s">
        <v>1420</v>
      </c>
      <c r="C305" s="60" t="s">
        <v>11600</v>
      </c>
      <c r="D305" s="1"/>
      <c r="E305" s="68"/>
      <c r="F305" s="70"/>
      <c r="G305" s="1"/>
      <c r="H305" s="68"/>
      <c r="I305" s="70"/>
      <c r="J305" s="74" t="s">
        <v>18128</v>
      </c>
      <c r="K305" s="62"/>
      <c r="L305" s="63"/>
      <c r="M305" s="85"/>
      <c r="N305" s="64"/>
      <c r="O305" s="65"/>
      <c r="P305" s="99"/>
      <c r="Q305" s="70"/>
      <c r="R305" s="67"/>
      <c r="S305" s="68"/>
      <c r="T305" s="76"/>
      <c r="U305" s="70"/>
      <c r="V305" s="1" t="s">
        <v>18133</v>
      </c>
      <c r="W305" s="68"/>
      <c r="X305" s="76"/>
      <c r="Y305" s="70"/>
      <c r="Z305" s="228">
        <f>ROUND((ROUND((ROUND((_15_同援日２．０*_15・基礎２),0)*(1+_15・A深夜)),0)*(1+_15・区３)),0)+ROUND((ROUND((_15_同援日２．０＿０．５*_15・基礎２),0)*(1+_15・区３)),0)</f>
        <v>855</v>
      </c>
      <c r="AA305" s="69"/>
    </row>
    <row r="306" spans="1:27" ht="16.5" customHeight="1" x14ac:dyDescent="0.3">
      <c r="A306" s="2">
        <v>15</v>
      </c>
      <c r="B306" s="2" t="s">
        <v>1421</v>
      </c>
      <c r="C306" s="60" t="s">
        <v>11599</v>
      </c>
      <c r="D306" s="1"/>
      <c r="E306" s="68"/>
      <c r="F306" s="70"/>
      <c r="G306" s="1"/>
      <c r="H306" s="68"/>
      <c r="I306" s="70"/>
      <c r="J306" s="106" t="s">
        <v>18127</v>
      </c>
      <c r="K306" s="57" t="s">
        <v>1</v>
      </c>
      <c r="L306" s="58">
        <v>0.9</v>
      </c>
      <c r="M306" s="83" t="s">
        <v>5895</v>
      </c>
      <c r="N306" s="64" t="s">
        <v>1</v>
      </c>
      <c r="O306" s="65">
        <v>1</v>
      </c>
      <c r="P306" s="99"/>
      <c r="Q306" s="70"/>
      <c r="R306" s="66"/>
      <c r="S306" s="57"/>
      <c r="T306" s="58"/>
      <c r="U306" s="77"/>
      <c r="V306" s="1" t="s">
        <v>18131</v>
      </c>
      <c r="W306" s="68"/>
      <c r="X306" s="76"/>
      <c r="Y306" s="70"/>
      <c r="Z306" s="228">
        <f>ROUND((ROUND((ROUND((ROUND((_15_同援日２．０*_15・基礎２),0)*_15・２人),0)*(1+_15・A深夜)),0)*(1+_15・区３)),0)+ROUND((ROUND((ROUND((_15_同援日２．０＿０．５*_15・基礎２),0)*_15・２人),0)*(1+_15・区３)),0)</f>
        <v>855</v>
      </c>
      <c r="AA306" s="69"/>
    </row>
    <row r="307" spans="1:27" ht="16.5" customHeight="1" x14ac:dyDescent="0.3">
      <c r="A307" s="2">
        <v>15</v>
      </c>
      <c r="B307" s="2" t="s">
        <v>1422</v>
      </c>
      <c r="C307" s="60" t="s">
        <v>11598</v>
      </c>
      <c r="D307" s="1"/>
      <c r="E307" s="68"/>
      <c r="F307" s="70"/>
      <c r="G307" s="1"/>
      <c r="H307" s="68"/>
      <c r="I307" s="70"/>
      <c r="J307" s="61"/>
      <c r="K307" s="62"/>
      <c r="L307" s="63"/>
      <c r="M307" s="85"/>
      <c r="N307" s="64"/>
      <c r="O307" s="65"/>
      <c r="P307" s="99"/>
      <c r="Q307" s="70"/>
      <c r="R307" s="74" t="s">
        <v>18130</v>
      </c>
      <c r="S307" s="62"/>
      <c r="T307" s="63"/>
      <c r="U307" s="75"/>
      <c r="V307" s="67"/>
      <c r="W307" s="68" t="s">
        <v>1</v>
      </c>
      <c r="X307" s="76">
        <v>0.2</v>
      </c>
      <c r="Y307" s="70" t="s">
        <v>422</v>
      </c>
      <c r="Z307" s="228">
        <f>ROUND((ROUND((ROUND((_15_同援日２．０*(1+_15・A深夜)),0)*(1+_15・盲ろう)),0)*(1+_15・区３)),0)+ROUND((ROUND((_15_同援日２．０＿０．５*(1+_15・盲ろう)),0)*(1+_15・区３)),0)</f>
        <v>1187</v>
      </c>
      <c r="AA307" s="69"/>
    </row>
    <row r="308" spans="1:27" ht="16.5" customHeight="1" x14ac:dyDescent="0.3">
      <c r="A308" s="2">
        <v>15</v>
      </c>
      <c r="B308" s="2" t="s">
        <v>1423</v>
      </c>
      <c r="C308" s="60" t="s">
        <v>11597</v>
      </c>
      <c r="D308" s="1"/>
      <c r="E308" s="68"/>
      <c r="F308" s="70"/>
      <c r="G308" s="1"/>
      <c r="H308" s="68"/>
      <c r="I308" s="70"/>
      <c r="J308" s="66"/>
      <c r="K308" s="57"/>
      <c r="L308" s="58"/>
      <c r="M308" s="83" t="s">
        <v>5895</v>
      </c>
      <c r="N308" s="64" t="s">
        <v>1</v>
      </c>
      <c r="O308" s="65">
        <v>1</v>
      </c>
      <c r="P308" s="99"/>
      <c r="Q308" s="70"/>
      <c r="R308" s="94" t="s">
        <v>8083</v>
      </c>
      <c r="S308" s="68"/>
      <c r="T308" s="76"/>
      <c r="U308" s="70"/>
      <c r="V308" s="67"/>
      <c r="W308" s="68"/>
      <c r="X308" s="76"/>
      <c r="Y308" s="70"/>
      <c r="Z308" s="228">
        <f>ROUND((ROUND((ROUND((ROUND((_15_同援日２．０*_15・２人),0)*(1+_15・A深夜)),0)*(1+_15・盲ろう)),0)*(1+_15・区３)),0)+ROUND((ROUND((ROUND((_15_同援日２．０＿０．５*_15・２人),0)*(1+_15・盲ろう)),0)*(1+_15・区３)),0)</f>
        <v>1187</v>
      </c>
      <c r="AA308" s="69"/>
    </row>
    <row r="309" spans="1:27" ht="16.5" customHeight="1" x14ac:dyDescent="0.3">
      <c r="A309" s="2">
        <v>15</v>
      </c>
      <c r="B309" s="2" t="s">
        <v>1424</v>
      </c>
      <c r="C309" s="60" t="s">
        <v>11596</v>
      </c>
      <c r="D309" s="1"/>
      <c r="E309" s="68"/>
      <c r="F309" s="70"/>
      <c r="G309" s="1"/>
      <c r="H309" s="68"/>
      <c r="I309" s="70"/>
      <c r="J309" s="74" t="s">
        <v>18128</v>
      </c>
      <c r="K309" s="62"/>
      <c r="L309" s="63"/>
      <c r="M309" s="85"/>
      <c r="N309" s="64"/>
      <c r="O309" s="65"/>
      <c r="P309" s="99"/>
      <c r="Q309" s="70"/>
      <c r="R309" s="67"/>
      <c r="S309" s="68" t="s">
        <v>1</v>
      </c>
      <c r="T309" s="76">
        <v>0.25</v>
      </c>
      <c r="U309" s="70" t="s">
        <v>422</v>
      </c>
      <c r="V309" s="67"/>
      <c r="W309" s="68"/>
      <c r="X309" s="76"/>
      <c r="Y309" s="70"/>
      <c r="Z309" s="228">
        <f>ROUND((ROUND((ROUND((ROUND((_15_同援日２．０*_15・基礎２),0)*(1+_15・A深夜)),0)*(1+_15・盲ろう)),0)*(1+_15・区３)),0)+ROUND((ROUND((ROUND((_15_同援日２．０＿０．５*_15・基礎２),0)*(1+_15・盲ろう)),0)*(1+_15・区３)),0)</f>
        <v>1069</v>
      </c>
      <c r="AA309" s="69"/>
    </row>
    <row r="310" spans="1:27" ht="16.5" customHeight="1" x14ac:dyDescent="0.3">
      <c r="A310" s="2">
        <v>15</v>
      </c>
      <c r="B310" s="2" t="s">
        <v>1425</v>
      </c>
      <c r="C310" s="60" t="s">
        <v>11595</v>
      </c>
      <c r="D310" s="1"/>
      <c r="E310" s="68"/>
      <c r="F310" s="70"/>
      <c r="G310" s="1"/>
      <c r="H310" s="68"/>
      <c r="I310" s="70"/>
      <c r="J310" s="106" t="s">
        <v>18127</v>
      </c>
      <c r="K310" s="57" t="s">
        <v>1</v>
      </c>
      <c r="L310" s="58">
        <v>0.9</v>
      </c>
      <c r="M310" s="83" t="s">
        <v>5895</v>
      </c>
      <c r="N310" s="64" t="s">
        <v>1</v>
      </c>
      <c r="O310" s="65">
        <v>1</v>
      </c>
      <c r="P310" s="99"/>
      <c r="Q310" s="70"/>
      <c r="R310" s="66"/>
      <c r="S310" s="57"/>
      <c r="T310" s="58"/>
      <c r="U310" s="77"/>
      <c r="V310" s="66"/>
      <c r="W310" s="57"/>
      <c r="X310" s="58"/>
      <c r="Y310" s="77"/>
      <c r="Z310" s="228">
        <f>ROUND((ROUND((ROUND((ROUND((ROUND((_15_同援日２．０*_15・基礎２),0)*_15・２人),0)*(1+_15・A深夜)),0)*(1+_15・盲ろう)),0)*(1+_15・区３)),0)+ROUND((ROUND((ROUND((ROUND((_15_同援日２．０＿０．５*_15・基礎２),0)*_15・２人),0)*(1+_15・盲ろう)),0)*(1+_15・区３)),0)</f>
        <v>1069</v>
      </c>
      <c r="AA310" s="69"/>
    </row>
    <row r="311" spans="1:27" ht="16.5" customHeight="1" x14ac:dyDescent="0.3">
      <c r="A311" s="2">
        <v>15</v>
      </c>
      <c r="B311" s="2" t="s">
        <v>1426</v>
      </c>
      <c r="C311" s="60" t="s">
        <v>11594</v>
      </c>
      <c r="D311" s="1"/>
      <c r="E311" s="68"/>
      <c r="F311" s="70"/>
      <c r="G311" s="1"/>
      <c r="H311" s="68"/>
      <c r="I311" s="70"/>
      <c r="J311" s="61"/>
      <c r="K311" s="62"/>
      <c r="L311" s="63"/>
      <c r="M311" s="85"/>
      <c r="N311" s="64"/>
      <c r="O311" s="65"/>
      <c r="P311" s="99"/>
      <c r="Q311" s="70"/>
      <c r="R311" s="61"/>
      <c r="S311" s="62"/>
      <c r="T311" s="63"/>
      <c r="U311" s="75"/>
      <c r="V311" s="61"/>
      <c r="W311" s="62"/>
      <c r="X311" s="63"/>
      <c r="Y311" s="75"/>
      <c r="Z311" s="228">
        <f>ROUND((ROUND((_15_同援日２．０*(1+_15・A深夜)),0)*(1+_15・区４)),0)+ROUND((_15_同援日２．０＿０．５*(1+_15・区４)),0)</f>
        <v>1107</v>
      </c>
      <c r="AA311" s="69"/>
    </row>
    <row r="312" spans="1:27" ht="16.5" customHeight="1" x14ac:dyDescent="0.3">
      <c r="A312" s="2">
        <v>15</v>
      </c>
      <c r="B312" s="2" t="s">
        <v>1427</v>
      </c>
      <c r="C312" s="60" t="s">
        <v>11593</v>
      </c>
      <c r="D312" s="1"/>
      <c r="E312" s="68"/>
      <c r="F312" s="70"/>
      <c r="G312" s="1"/>
      <c r="H312" s="68"/>
      <c r="I312" s="70"/>
      <c r="J312" s="66"/>
      <c r="K312" s="57"/>
      <c r="L312" s="58"/>
      <c r="M312" s="83" t="s">
        <v>5895</v>
      </c>
      <c r="N312" s="64" t="s">
        <v>1</v>
      </c>
      <c r="O312" s="65">
        <v>1</v>
      </c>
      <c r="P312" s="99"/>
      <c r="Q312" s="70"/>
      <c r="R312" s="67"/>
      <c r="S312" s="68"/>
      <c r="T312" s="76"/>
      <c r="U312" s="70"/>
      <c r="V312" s="67"/>
      <c r="W312" s="68"/>
      <c r="X312" s="76"/>
      <c r="Y312" s="70"/>
      <c r="Z312" s="228">
        <f>ROUND((ROUND((ROUND((_15_同援日２．０*_15・２人),0)*(1+_15・A深夜)),0)*(1+_15・区４)),0)+ROUND((ROUND((_15_同援日２．０＿０．５*_15・２人),0)*(1+_15・区４)),0)</f>
        <v>1107</v>
      </c>
      <c r="AA312" s="69"/>
    </row>
    <row r="313" spans="1:27" ht="16.5" customHeight="1" x14ac:dyDescent="0.3">
      <c r="A313" s="2">
        <v>15</v>
      </c>
      <c r="B313" s="2" t="s">
        <v>1428</v>
      </c>
      <c r="C313" s="60" t="s">
        <v>11592</v>
      </c>
      <c r="D313" s="1"/>
      <c r="E313" s="68"/>
      <c r="F313" s="70"/>
      <c r="G313" s="1"/>
      <c r="H313" s="68"/>
      <c r="I313" s="70"/>
      <c r="J313" s="74" t="s">
        <v>18128</v>
      </c>
      <c r="K313" s="62"/>
      <c r="L313" s="63"/>
      <c r="M313" s="85"/>
      <c r="N313" s="64"/>
      <c r="O313" s="65"/>
      <c r="P313" s="99"/>
      <c r="Q313" s="70"/>
      <c r="R313" s="67"/>
      <c r="S313" s="68"/>
      <c r="T313" s="76"/>
      <c r="U313" s="70"/>
      <c r="V313" s="1" t="s">
        <v>8089</v>
      </c>
      <c r="W313" s="68"/>
      <c r="X313" s="76"/>
      <c r="Y313" s="70"/>
      <c r="Z313" s="228">
        <f>ROUND((ROUND((ROUND((_15_同援日２．０*_15・基礎２),0)*(1+_15・A深夜)),0)*(1+_15・区４)),0)+ROUND((ROUND((_15_同援日２．０＿０．５*_15・基礎２),0)*(1+_15・区４)),0)</f>
        <v>998</v>
      </c>
      <c r="AA313" s="69"/>
    </row>
    <row r="314" spans="1:27" ht="16.5" customHeight="1" x14ac:dyDescent="0.3">
      <c r="A314" s="2">
        <v>15</v>
      </c>
      <c r="B314" s="2" t="s">
        <v>1429</v>
      </c>
      <c r="C314" s="60" t="s">
        <v>11591</v>
      </c>
      <c r="D314" s="1"/>
      <c r="E314" s="68"/>
      <c r="F314" s="70"/>
      <c r="G314" s="1"/>
      <c r="H314" s="68"/>
      <c r="I314" s="70"/>
      <c r="J314" s="106" t="s">
        <v>18127</v>
      </c>
      <c r="K314" s="57" t="s">
        <v>1</v>
      </c>
      <c r="L314" s="58">
        <v>0.9</v>
      </c>
      <c r="M314" s="83" t="s">
        <v>5895</v>
      </c>
      <c r="N314" s="64" t="s">
        <v>1</v>
      </c>
      <c r="O314" s="65">
        <v>1</v>
      </c>
      <c r="P314" s="99"/>
      <c r="Q314" s="70"/>
      <c r="R314" s="66"/>
      <c r="S314" s="57"/>
      <c r="T314" s="58"/>
      <c r="U314" s="77"/>
      <c r="V314" s="1" t="s">
        <v>18131</v>
      </c>
      <c r="W314" s="68"/>
      <c r="X314" s="76"/>
      <c r="Y314" s="70"/>
      <c r="Z314" s="228">
        <f>ROUND((ROUND((ROUND((ROUND((_15_同援日２．０*_15・基礎２),0)*_15・２人),0)*(1+_15・A深夜)),0)*(1+_15・区４)),0)+ROUND((ROUND((ROUND((_15_同援日２．０＿０．５*_15・基礎２),0)*_15・２人),0)*(1+_15・区４)),0)</f>
        <v>998</v>
      </c>
      <c r="AA314" s="69"/>
    </row>
    <row r="315" spans="1:27" ht="16.5" customHeight="1" x14ac:dyDescent="0.3">
      <c r="A315" s="2">
        <v>15</v>
      </c>
      <c r="B315" s="2" t="s">
        <v>1430</v>
      </c>
      <c r="C315" s="60" t="s">
        <v>11590</v>
      </c>
      <c r="D315" s="1"/>
      <c r="E315" s="68"/>
      <c r="F315" s="70"/>
      <c r="G315" s="1"/>
      <c r="H315" s="68"/>
      <c r="I315" s="70"/>
      <c r="J315" s="61"/>
      <c r="K315" s="62"/>
      <c r="L315" s="63"/>
      <c r="M315" s="85"/>
      <c r="N315" s="64"/>
      <c r="O315" s="65"/>
      <c r="P315" s="99"/>
      <c r="Q315" s="70"/>
      <c r="R315" s="74" t="s">
        <v>8085</v>
      </c>
      <c r="S315" s="62"/>
      <c r="T315" s="63"/>
      <c r="U315" s="75"/>
      <c r="V315" s="67"/>
      <c r="W315" s="68" t="s">
        <v>1</v>
      </c>
      <c r="X315" s="76">
        <v>0.4</v>
      </c>
      <c r="Y315" s="70" t="s">
        <v>422</v>
      </c>
      <c r="Z315" s="228">
        <f>ROUND((ROUND((ROUND((_15_同援日２．０*(1+_15・A深夜)),0)*(1+_15・盲ろう)),0)*(1+_15・区４)),0)+ROUND((ROUND((_15_同援日２．０＿０．５*(1+_15・盲ろう)),0)*(1+_15・区４)),0)</f>
        <v>1385</v>
      </c>
      <c r="AA315" s="69"/>
    </row>
    <row r="316" spans="1:27" ht="16.5" customHeight="1" x14ac:dyDescent="0.3">
      <c r="A316" s="2">
        <v>15</v>
      </c>
      <c r="B316" s="2" t="s">
        <v>1431</v>
      </c>
      <c r="C316" s="60" t="s">
        <v>11589</v>
      </c>
      <c r="D316" s="1"/>
      <c r="E316" s="68"/>
      <c r="F316" s="70"/>
      <c r="G316" s="1"/>
      <c r="H316" s="68"/>
      <c r="I316" s="70"/>
      <c r="J316" s="66"/>
      <c r="K316" s="57"/>
      <c r="L316" s="58"/>
      <c r="M316" s="83" t="s">
        <v>5895</v>
      </c>
      <c r="N316" s="64" t="s">
        <v>1</v>
      </c>
      <c r="O316" s="65">
        <v>1</v>
      </c>
      <c r="P316" s="99"/>
      <c r="Q316" s="70"/>
      <c r="R316" s="94" t="s">
        <v>18129</v>
      </c>
      <c r="S316" s="68"/>
      <c r="T316" s="76"/>
      <c r="U316" s="70"/>
      <c r="V316" s="67"/>
      <c r="W316" s="68"/>
      <c r="X316" s="76"/>
      <c r="Y316" s="70"/>
      <c r="Z316" s="228">
        <f>ROUND((ROUND((ROUND((ROUND((_15_同援日２．０*_15・２人),0)*(1+_15・A深夜)),0)*(1+_15・盲ろう)),0)*(1+_15・区４)),0)+ROUND((ROUND((ROUND((_15_同援日２．０＿０．５*_15・２人),0)*(1+_15・盲ろう)),0)*(1+_15・区４)),0)</f>
        <v>1385</v>
      </c>
      <c r="AA316" s="69"/>
    </row>
    <row r="317" spans="1:27" ht="16.5" customHeight="1" x14ac:dyDescent="0.3">
      <c r="A317" s="2">
        <v>15</v>
      </c>
      <c r="B317" s="2" t="s">
        <v>1432</v>
      </c>
      <c r="C317" s="60" t="s">
        <v>11588</v>
      </c>
      <c r="D317" s="1"/>
      <c r="E317" s="68"/>
      <c r="F317" s="70"/>
      <c r="G317" s="1"/>
      <c r="H317" s="68"/>
      <c r="I317" s="70"/>
      <c r="J317" s="74" t="s">
        <v>18128</v>
      </c>
      <c r="K317" s="62"/>
      <c r="L317" s="63"/>
      <c r="M317" s="85"/>
      <c r="N317" s="64"/>
      <c r="O317" s="65"/>
      <c r="P317" s="99"/>
      <c r="Q317" s="70"/>
      <c r="R317" s="67"/>
      <c r="S317" s="68" t="s">
        <v>1</v>
      </c>
      <c r="T317" s="76">
        <v>0.25</v>
      </c>
      <c r="U317" s="70" t="s">
        <v>422</v>
      </c>
      <c r="V317" s="67"/>
      <c r="W317" s="68"/>
      <c r="X317" s="76"/>
      <c r="Y317" s="70"/>
      <c r="Z317" s="228">
        <f>ROUND((ROUND((ROUND((ROUND((_15_同援日２．０*_15・基礎２),0)*(1+_15・A深夜)),0)*(1+_15・盲ろう)),0)*(1+_15・区４)),0)+ROUND((ROUND((ROUND((_15_同援日２．０＿０．５*_15・基礎２),0)*(1+_15・盲ろう)),0)*(1+_15・区４)),0)</f>
        <v>1247</v>
      </c>
      <c r="AA317" s="69"/>
    </row>
    <row r="318" spans="1:27" ht="16.5" customHeight="1" x14ac:dyDescent="0.3">
      <c r="A318" s="2">
        <v>15</v>
      </c>
      <c r="B318" s="2" t="s">
        <v>1433</v>
      </c>
      <c r="C318" s="60" t="s">
        <v>11587</v>
      </c>
      <c r="D318" s="1"/>
      <c r="E318" s="68"/>
      <c r="F318" s="70"/>
      <c r="G318" s="81"/>
      <c r="H318" s="57"/>
      <c r="I318" s="77"/>
      <c r="J318" s="106" t="s">
        <v>5896</v>
      </c>
      <c r="K318" s="57" t="s">
        <v>1</v>
      </c>
      <c r="L318" s="58">
        <v>0.9</v>
      </c>
      <c r="M318" s="83" t="s">
        <v>5895</v>
      </c>
      <c r="N318" s="64" t="s">
        <v>1</v>
      </c>
      <c r="O318" s="65">
        <v>1</v>
      </c>
      <c r="P318" s="99"/>
      <c r="Q318" s="70"/>
      <c r="R318" s="66"/>
      <c r="S318" s="57"/>
      <c r="T318" s="58"/>
      <c r="U318" s="77"/>
      <c r="V318" s="66"/>
      <c r="W318" s="57"/>
      <c r="X318" s="58"/>
      <c r="Y318" s="77"/>
      <c r="Z318" s="228">
        <f>ROUND((ROUND((ROUND((ROUND((ROUND((_15_同援日２．０*_15・基礎２),0)*_15・２人),0)*(1+_15・A深夜)),0)*(1+_15・盲ろう)),0)*(1+_15・区４)),0)+ROUND((ROUND((ROUND((ROUND((_15_同援日２．０＿０．５*_15・基礎２),0)*_15・２人),0)*(1+_15・盲ろう)),0)*(1+_15・区４)),0)</f>
        <v>1247</v>
      </c>
      <c r="AA318" s="69"/>
    </row>
    <row r="319" spans="1:27" ht="16.5" customHeight="1" x14ac:dyDescent="0.3">
      <c r="A319" s="2">
        <v>15</v>
      </c>
      <c r="B319" s="2" t="s">
        <v>1434</v>
      </c>
      <c r="C319" s="60" t="s">
        <v>11586</v>
      </c>
      <c r="D319" s="1"/>
      <c r="E319" s="68"/>
      <c r="F319" s="70"/>
      <c r="G319" s="233" t="s">
        <v>18138</v>
      </c>
      <c r="H319" s="62"/>
      <c r="I319" s="75"/>
      <c r="J319" s="61"/>
      <c r="K319" s="62"/>
      <c r="L319" s="63"/>
      <c r="M319" s="85"/>
      <c r="N319" s="64"/>
      <c r="O319" s="65"/>
      <c r="P319" s="99"/>
      <c r="Q319" s="70"/>
      <c r="R319" s="61"/>
      <c r="S319" s="62"/>
      <c r="T319" s="63"/>
      <c r="U319" s="75"/>
      <c r="V319" s="61"/>
      <c r="W319" s="62"/>
      <c r="X319" s="63"/>
      <c r="Y319" s="75"/>
      <c r="Z319" s="228">
        <f>ROUND((_15_同援日２．０*(1+_15・A深夜)),0)+_15_同援日２．０＿１．０</f>
        <v>854</v>
      </c>
      <c r="AA319" s="69"/>
    </row>
    <row r="320" spans="1:27" ht="16.5" customHeight="1" x14ac:dyDescent="0.3">
      <c r="A320" s="2">
        <v>15</v>
      </c>
      <c r="B320" s="2" t="s">
        <v>1435</v>
      </c>
      <c r="C320" s="60" t="s">
        <v>11585</v>
      </c>
      <c r="D320" s="1"/>
      <c r="E320" s="68"/>
      <c r="F320" s="70"/>
      <c r="G320" s="1" t="s">
        <v>18137</v>
      </c>
      <c r="H320" s="68"/>
      <c r="I320" s="70"/>
      <c r="J320" s="66"/>
      <c r="K320" s="57"/>
      <c r="L320" s="58"/>
      <c r="M320" s="83" t="s">
        <v>5895</v>
      </c>
      <c r="N320" s="64" t="s">
        <v>1</v>
      </c>
      <c r="O320" s="65">
        <v>1</v>
      </c>
      <c r="P320" s="99"/>
      <c r="Q320" s="70"/>
      <c r="R320" s="67"/>
      <c r="S320" s="68"/>
      <c r="T320" s="76"/>
      <c r="U320" s="70"/>
      <c r="V320" s="67"/>
      <c r="W320" s="68"/>
      <c r="X320" s="76"/>
      <c r="Y320" s="70"/>
      <c r="Z320" s="228">
        <f>ROUND((ROUND((_15_同援日２．０*_15・２人),0)*(1+_15・A深夜)),0)+ROUND((_15_同援日２．０＿１．０*_15・２人),0)</f>
        <v>854</v>
      </c>
      <c r="AA320" s="69"/>
    </row>
    <row r="321" spans="1:27" ht="16.5" customHeight="1" x14ac:dyDescent="0.3">
      <c r="A321" s="2">
        <v>15</v>
      </c>
      <c r="B321" s="2" t="s">
        <v>1436</v>
      </c>
      <c r="C321" s="60" t="s">
        <v>11584</v>
      </c>
      <c r="D321" s="1"/>
      <c r="E321" s="68"/>
      <c r="F321" s="70"/>
      <c r="G321" s="1" t="s">
        <v>8572</v>
      </c>
      <c r="H321" s="68"/>
      <c r="I321" s="70"/>
      <c r="J321" s="74" t="s">
        <v>18128</v>
      </c>
      <c r="K321" s="62"/>
      <c r="L321" s="63"/>
      <c r="M321" s="85"/>
      <c r="N321" s="64"/>
      <c r="O321" s="65"/>
      <c r="P321" s="99"/>
      <c r="Q321" s="70"/>
      <c r="R321" s="67"/>
      <c r="S321" s="68"/>
      <c r="T321" s="76"/>
      <c r="U321" s="70"/>
      <c r="V321" s="67"/>
      <c r="W321" s="68"/>
      <c r="X321" s="76"/>
      <c r="Y321" s="70"/>
      <c r="Z321" s="228">
        <f>ROUND((ROUND((_15_同援日２．０*_15・基礎２),0)*(1+_15・A深夜)),0)+ROUND((_15_同援日２．０＿１．０*_15・基礎２),0)</f>
        <v>769</v>
      </c>
      <c r="AA321" s="69"/>
    </row>
    <row r="322" spans="1:27" ht="16.5" customHeight="1" x14ac:dyDescent="0.3">
      <c r="A322" s="2">
        <v>15</v>
      </c>
      <c r="B322" s="2" t="s">
        <v>1437</v>
      </c>
      <c r="C322" s="60" t="s">
        <v>11583</v>
      </c>
      <c r="D322" s="1"/>
      <c r="E322" s="68"/>
      <c r="F322" s="70"/>
      <c r="G322" s="1"/>
      <c r="H322" s="119">
        <v>126</v>
      </c>
      <c r="I322" s="70" t="s">
        <v>0</v>
      </c>
      <c r="J322" s="106" t="s">
        <v>18127</v>
      </c>
      <c r="K322" s="57" t="s">
        <v>1</v>
      </c>
      <c r="L322" s="58">
        <v>0.9</v>
      </c>
      <c r="M322" s="83" t="s">
        <v>5895</v>
      </c>
      <c r="N322" s="64" t="s">
        <v>1</v>
      </c>
      <c r="O322" s="65">
        <v>1</v>
      </c>
      <c r="P322" s="99"/>
      <c r="Q322" s="70"/>
      <c r="R322" s="66"/>
      <c r="S322" s="57"/>
      <c r="T322" s="58"/>
      <c r="U322" s="77"/>
      <c r="V322" s="67"/>
      <c r="W322" s="68"/>
      <c r="X322" s="76"/>
      <c r="Y322" s="70"/>
      <c r="Z322" s="228">
        <f>ROUND((ROUND((ROUND((_15_同援日２．０*_15・基礎２),0)*_15・２人),0)*(1+_15・A深夜)),0)+ROUND((ROUND((_15_同援日２．０＿１．０*_15・基礎２),0)*_15・２人),0)</f>
        <v>769</v>
      </c>
      <c r="AA322" s="69"/>
    </row>
    <row r="323" spans="1:27" ht="16.5" customHeight="1" x14ac:dyDescent="0.3">
      <c r="A323" s="2">
        <v>15</v>
      </c>
      <c r="B323" s="2" t="s">
        <v>1438</v>
      </c>
      <c r="C323" s="60" t="s">
        <v>11582</v>
      </c>
      <c r="D323" s="1"/>
      <c r="E323" s="68"/>
      <c r="F323" s="70"/>
      <c r="G323" s="1"/>
      <c r="H323" s="68"/>
      <c r="I323" s="70"/>
      <c r="J323" s="61"/>
      <c r="K323" s="62"/>
      <c r="L323" s="63"/>
      <c r="M323" s="85"/>
      <c r="N323" s="64"/>
      <c r="O323" s="65"/>
      <c r="P323" s="99"/>
      <c r="Q323" s="70"/>
      <c r="R323" s="74" t="s">
        <v>18130</v>
      </c>
      <c r="S323" s="62"/>
      <c r="T323" s="63"/>
      <c r="U323" s="75"/>
      <c r="V323" s="67"/>
      <c r="W323" s="68"/>
      <c r="X323" s="76"/>
      <c r="Y323" s="70"/>
      <c r="Z323" s="228">
        <f>ROUND((ROUND((_15_同援日２．０*(1+_15・A深夜)),0)*(1+_15・盲ろう)),0)+ROUND((_15_同援日２．０＿１．０*(1+_15・盲ろう)),0)</f>
        <v>1068</v>
      </c>
      <c r="AA323" s="69"/>
    </row>
    <row r="324" spans="1:27" ht="16.5" customHeight="1" x14ac:dyDescent="0.3">
      <c r="A324" s="2">
        <v>15</v>
      </c>
      <c r="B324" s="2" t="s">
        <v>1439</v>
      </c>
      <c r="C324" s="60" t="s">
        <v>11581</v>
      </c>
      <c r="D324" s="1"/>
      <c r="E324" s="68"/>
      <c r="F324" s="70"/>
      <c r="G324" s="1"/>
      <c r="H324" s="68"/>
      <c r="I324" s="70"/>
      <c r="J324" s="66"/>
      <c r="K324" s="57"/>
      <c r="L324" s="58"/>
      <c r="M324" s="83" t="s">
        <v>5895</v>
      </c>
      <c r="N324" s="64" t="s">
        <v>1</v>
      </c>
      <c r="O324" s="65">
        <v>1</v>
      </c>
      <c r="P324" s="99"/>
      <c r="Q324" s="70"/>
      <c r="R324" s="94" t="s">
        <v>8083</v>
      </c>
      <c r="S324" s="68"/>
      <c r="T324" s="76"/>
      <c r="U324" s="70"/>
      <c r="V324" s="67"/>
      <c r="W324" s="68"/>
      <c r="X324" s="76"/>
      <c r="Y324" s="70"/>
      <c r="Z324" s="228">
        <f>ROUND((ROUND((ROUND((_15_同援日２．０*_15・２人),0)*(1+_15・A深夜)),0)*(1+_15・盲ろう)),0)+ROUND((ROUND((_15_同援日２．０＿１．０*_15・２人),0)*(1+_15・盲ろう)),0)</f>
        <v>1068</v>
      </c>
      <c r="AA324" s="69"/>
    </row>
    <row r="325" spans="1:27" ht="16.5" customHeight="1" x14ac:dyDescent="0.3">
      <c r="A325" s="2">
        <v>15</v>
      </c>
      <c r="B325" s="2" t="s">
        <v>1440</v>
      </c>
      <c r="C325" s="60" t="s">
        <v>11580</v>
      </c>
      <c r="D325" s="1"/>
      <c r="E325" s="68"/>
      <c r="F325" s="70"/>
      <c r="G325" s="1"/>
      <c r="H325" s="68"/>
      <c r="I325" s="70"/>
      <c r="J325" s="74" t="s">
        <v>18128</v>
      </c>
      <c r="K325" s="62"/>
      <c r="L325" s="63"/>
      <c r="M325" s="85"/>
      <c r="N325" s="64"/>
      <c r="O325" s="65"/>
      <c r="P325" s="99"/>
      <c r="Q325" s="70"/>
      <c r="R325" s="67"/>
      <c r="S325" s="68" t="s">
        <v>1</v>
      </c>
      <c r="T325" s="76">
        <v>0.25</v>
      </c>
      <c r="U325" s="70" t="s">
        <v>422</v>
      </c>
      <c r="V325" s="67"/>
      <c r="W325" s="68"/>
      <c r="X325" s="76"/>
      <c r="Y325" s="70"/>
      <c r="Z325" s="228">
        <f>ROUND((ROUND((ROUND((_15_同援日２．０*_15・基礎２),0)*(1+_15・A深夜)),0)*(1+_15・盲ろう)),0)+ROUND((ROUND((_15_同援日２．０＿１．０*_15・基礎２),0)*(1+_15・盲ろう)),0)</f>
        <v>961</v>
      </c>
      <c r="AA325" s="69"/>
    </row>
    <row r="326" spans="1:27" ht="16.5" customHeight="1" x14ac:dyDescent="0.3">
      <c r="A326" s="2">
        <v>15</v>
      </c>
      <c r="B326" s="2" t="s">
        <v>1441</v>
      </c>
      <c r="C326" s="60" t="s">
        <v>11579</v>
      </c>
      <c r="D326" s="1"/>
      <c r="E326" s="68"/>
      <c r="F326" s="70"/>
      <c r="G326" s="1"/>
      <c r="H326" s="68"/>
      <c r="I326" s="70"/>
      <c r="J326" s="106" t="s">
        <v>18127</v>
      </c>
      <c r="K326" s="57" t="s">
        <v>1</v>
      </c>
      <c r="L326" s="58">
        <v>0.9</v>
      </c>
      <c r="M326" s="83" t="s">
        <v>5895</v>
      </c>
      <c r="N326" s="64" t="s">
        <v>1</v>
      </c>
      <c r="O326" s="65">
        <v>1</v>
      </c>
      <c r="P326" s="99"/>
      <c r="Q326" s="70"/>
      <c r="R326" s="66"/>
      <c r="S326" s="57"/>
      <c r="T326" s="58"/>
      <c r="U326" s="77"/>
      <c r="V326" s="66"/>
      <c r="W326" s="57"/>
      <c r="X326" s="58"/>
      <c r="Y326" s="77"/>
      <c r="Z326" s="228">
        <f>ROUND((ROUND((ROUND((ROUND((_15_同援日２．０*_15・基礎２),0)*_15・２人),0)*(1+_15・A深夜)),0)*(1+_15・盲ろう)),0)+ROUND((ROUND((ROUND((_15_同援日２．０＿１．０*_15・基礎２),0)*_15・２人),0)*(1+_15・盲ろう)),0)</f>
        <v>961</v>
      </c>
      <c r="AA326" s="69"/>
    </row>
    <row r="327" spans="1:27" ht="16.5" customHeight="1" x14ac:dyDescent="0.3">
      <c r="A327" s="2">
        <v>15</v>
      </c>
      <c r="B327" s="2" t="s">
        <v>1442</v>
      </c>
      <c r="C327" s="60" t="s">
        <v>11578</v>
      </c>
      <c r="D327" s="1"/>
      <c r="E327" s="68"/>
      <c r="F327" s="70"/>
      <c r="G327" s="1"/>
      <c r="H327" s="68"/>
      <c r="I327" s="70"/>
      <c r="J327" s="61"/>
      <c r="K327" s="62"/>
      <c r="L327" s="63"/>
      <c r="M327" s="85"/>
      <c r="N327" s="64"/>
      <c r="O327" s="65"/>
      <c r="P327" s="99"/>
      <c r="Q327" s="70"/>
      <c r="R327" s="61"/>
      <c r="S327" s="62"/>
      <c r="T327" s="63"/>
      <c r="U327" s="75"/>
      <c r="V327" s="61"/>
      <c r="W327" s="62"/>
      <c r="X327" s="63"/>
      <c r="Y327" s="75"/>
      <c r="Z327" s="228">
        <f>ROUND((ROUND((_15_同援日２．０*(1+_15・A深夜)),0)*(1+_15・区３)),0)+ROUND((_15_同援日２．０＿１．０*(1+_15・区３)),0)</f>
        <v>1025</v>
      </c>
      <c r="AA327" s="69"/>
    </row>
    <row r="328" spans="1:27" ht="16.5" customHeight="1" x14ac:dyDescent="0.3">
      <c r="A328" s="2">
        <v>15</v>
      </c>
      <c r="B328" s="2" t="s">
        <v>1443</v>
      </c>
      <c r="C328" s="60" t="s">
        <v>11577</v>
      </c>
      <c r="D328" s="1"/>
      <c r="E328" s="68"/>
      <c r="F328" s="70"/>
      <c r="G328" s="1"/>
      <c r="H328" s="68"/>
      <c r="I328" s="70"/>
      <c r="J328" s="66"/>
      <c r="K328" s="57"/>
      <c r="L328" s="58"/>
      <c r="M328" s="83" t="s">
        <v>5895</v>
      </c>
      <c r="N328" s="64" t="s">
        <v>1</v>
      </c>
      <c r="O328" s="65">
        <v>1</v>
      </c>
      <c r="P328" s="99"/>
      <c r="Q328" s="70"/>
      <c r="R328" s="67"/>
      <c r="S328" s="68"/>
      <c r="T328" s="76"/>
      <c r="U328" s="70"/>
      <c r="V328" s="67"/>
      <c r="W328" s="68"/>
      <c r="X328" s="76"/>
      <c r="Y328" s="70"/>
      <c r="Z328" s="228">
        <f>ROUND((ROUND((ROUND((_15_同援日２．０*_15・２人),0)*(1+_15・A深夜)),0)*(1+_15・区３)),0)+ROUND((ROUND((_15_同援日２．０＿１．０*_15・２人),0)*(1+_15・区３)),0)</f>
        <v>1025</v>
      </c>
      <c r="AA328" s="69"/>
    </row>
    <row r="329" spans="1:27" ht="16.5" customHeight="1" x14ac:dyDescent="0.3">
      <c r="A329" s="2">
        <v>15</v>
      </c>
      <c r="B329" s="2" t="s">
        <v>1444</v>
      </c>
      <c r="C329" s="60" t="s">
        <v>11576</v>
      </c>
      <c r="D329" s="1"/>
      <c r="E329" s="68"/>
      <c r="F329" s="70"/>
      <c r="G329" s="1"/>
      <c r="H329" s="68"/>
      <c r="I329" s="70"/>
      <c r="J329" s="74" t="s">
        <v>18128</v>
      </c>
      <c r="K329" s="62"/>
      <c r="L329" s="63"/>
      <c r="M329" s="85"/>
      <c r="N329" s="64"/>
      <c r="O329" s="65"/>
      <c r="P329" s="99"/>
      <c r="Q329" s="70"/>
      <c r="R329" s="67"/>
      <c r="S329" s="68"/>
      <c r="T329" s="76"/>
      <c r="U329" s="70"/>
      <c r="V329" s="1" t="s">
        <v>18133</v>
      </c>
      <c r="W329" s="68"/>
      <c r="X329" s="76"/>
      <c r="Y329" s="70"/>
      <c r="Z329" s="228">
        <f>ROUND((ROUND((ROUND((_15_同援日２．０*_15・基礎２),0)*(1+_15・A深夜)),0)*(1+_15・区３)),0)+ROUND((ROUND((_15_同援日２．０＿１．０*_15・基礎２),0)*(1+_15・区３)),0)</f>
        <v>923</v>
      </c>
      <c r="AA329" s="69"/>
    </row>
    <row r="330" spans="1:27" ht="16.5" customHeight="1" x14ac:dyDescent="0.3">
      <c r="A330" s="2">
        <v>15</v>
      </c>
      <c r="B330" s="2" t="s">
        <v>1445</v>
      </c>
      <c r="C330" s="60" t="s">
        <v>11575</v>
      </c>
      <c r="D330" s="1"/>
      <c r="E330" s="68"/>
      <c r="F330" s="70"/>
      <c r="G330" s="1"/>
      <c r="H330" s="68"/>
      <c r="I330" s="70"/>
      <c r="J330" s="106" t="s">
        <v>18127</v>
      </c>
      <c r="K330" s="57" t="s">
        <v>1</v>
      </c>
      <c r="L330" s="58">
        <v>0.9</v>
      </c>
      <c r="M330" s="83" t="s">
        <v>5895</v>
      </c>
      <c r="N330" s="64" t="s">
        <v>1</v>
      </c>
      <c r="O330" s="65">
        <v>1</v>
      </c>
      <c r="P330" s="99"/>
      <c r="Q330" s="70"/>
      <c r="R330" s="66"/>
      <c r="S330" s="57"/>
      <c r="T330" s="58"/>
      <c r="U330" s="77"/>
      <c r="V330" s="1" t="s">
        <v>18131</v>
      </c>
      <c r="W330" s="68"/>
      <c r="X330" s="76"/>
      <c r="Y330" s="70"/>
      <c r="Z330" s="228">
        <f>ROUND((ROUND((ROUND((ROUND((_15_同援日２．０*_15・基礎２),0)*_15・２人),0)*(1+_15・A深夜)),0)*(1+_15・区３)),0)+ROUND((ROUND((ROUND((_15_同援日２．０＿１．０*_15・基礎２),0)*_15・２人),0)*(1+_15・区３)),0)</f>
        <v>923</v>
      </c>
      <c r="AA330" s="69"/>
    </row>
    <row r="331" spans="1:27" ht="16.5" customHeight="1" x14ac:dyDescent="0.3">
      <c r="A331" s="2">
        <v>15</v>
      </c>
      <c r="B331" s="2" t="s">
        <v>1446</v>
      </c>
      <c r="C331" s="60" t="s">
        <v>11574</v>
      </c>
      <c r="D331" s="1"/>
      <c r="E331" s="68"/>
      <c r="F331" s="70"/>
      <c r="G331" s="1"/>
      <c r="H331" s="68"/>
      <c r="I331" s="70"/>
      <c r="J331" s="61"/>
      <c r="K331" s="62"/>
      <c r="L331" s="63"/>
      <c r="M331" s="85"/>
      <c r="N331" s="64"/>
      <c r="O331" s="65"/>
      <c r="P331" s="99"/>
      <c r="Q331" s="70"/>
      <c r="R331" s="74" t="s">
        <v>8085</v>
      </c>
      <c r="S331" s="62"/>
      <c r="T331" s="63"/>
      <c r="U331" s="75"/>
      <c r="V331" s="67"/>
      <c r="W331" s="68" t="s">
        <v>1</v>
      </c>
      <c r="X331" s="76">
        <v>0.2</v>
      </c>
      <c r="Y331" s="70" t="s">
        <v>422</v>
      </c>
      <c r="Z331" s="228">
        <f>ROUND((ROUND((ROUND((_15_同援日２．０*(1+_15・A深夜)),0)*(1+_15・盲ろう)),0)*(1+_15・区３)),0)+ROUND((ROUND((_15_同援日２．０＿１．０*(1+_15・盲ろう)),0)*(1+_15・区３)),0)</f>
        <v>1282</v>
      </c>
      <c r="AA331" s="69"/>
    </row>
    <row r="332" spans="1:27" ht="16.5" customHeight="1" x14ac:dyDescent="0.3">
      <c r="A332" s="2">
        <v>15</v>
      </c>
      <c r="B332" s="2" t="s">
        <v>1447</v>
      </c>
      <c r="C332" s="60" t="s">
        <v>11573</v>
      </c>
      <c r="D332" s="1"/>
      <c r="E332" s="68"/>
      <c r="F332" s="70"/>
      <c r="G332" s="1"/>
      <c r="H332" s="68"/>
      <c r="I332" s="70"/>
      <c r="J332" s="66"/>
      <c r="K332" s="57"/>
      <c r="L332" s="58"/>
      <c r="M332" s="83" t="s">
        <v>5895</v>
      </c>
      <c r="N332" s="64" t="s">
        <v>1</v>
      </c>
      <c r="O332" s="65">
        <v>1</v>
      </c>
      <c r="P332" s="99"/>
      <c r="Q332" s="70"/>
      <c r="R332" s="94" t="s">
        <v>18129</v>
      </c>
      <c r="S332" s="68"/>
      <c r="T332" s="76"/>
      <c r="U332" s="70"/>
      <c r="V332" s="67"/>
      <c r="W332" s="68"/>
      <c r="X332" s="76"/>
      <c r="Y332" s="70"/>
      <c r="Z332" s="228">
        <f>ROUND((ROUND((ROUND((ROUND((_15_同援日２．０*_15・２人),0)*(1+_15・A深夜)),0)*(1+_15・盲ろう)),0)*(1+_15・区３)),0)+ROUND((ROUND((ROUND((_15_同援日２．０＿１．０*_15・２人),0)*(1+_15・盲ろう)),0)*(1+_15・区３)),0)</f>
        <v>1282</v>
      </c>
      <c r="AA332" s="69"/>
    </row>
    <row r="333" spans="1:27" ht="16.5" customHeight="1" x14ac:dyDescent="0.3">
      <c r="A333" s="2">
        <v>15</v>
      </c>
      <c r="B333" s="2" t="s">
        <v>1448</v>
      </c>
      <c r="C333" s="60" t="s">
        <v>11572</v>
      </c>
      <c r="D333" s="1"/>
      <c r="E333" s="68"/>
      <c r="F333" s="70"/>
      <c r="G333" s="1"/>
      <c r="H333" s="68"/>
      <c r="I333" s="70"/>
      <c r="J333" s="74" t="s">
        <v>18128</v>
      </c>
      <c r="K333" s="62"/>
      <c r="L333" s="63"/>
      <c r="M333" s="85"/>
      <c r="N333" s="64"/>
      <c r="O333" s="65"/>
      <c r="P333" s="99"/>
      <c r="Q333" s="70"/>
      <c r="R333" s="67"/>
      <c r="S333" s="68" t="s">
        <v>1</v>
      </c>
      <c r="T333" s="76">
        <v>0.25</v>
      </c>
      <c r="U333" s="70" t="s">
        <v>422</v>
      </c>
      <c r="V333" s="67"/>
      <c r="W333" s="68"/>
      <c r="X333" s="76"/>
      <c r="Y333" s="70"/>
      <c r="Z333" s="228">
        <f>ROUND((ROUND((ROUND((ROUND((_15_同援日２．０*_15・基礎２),0)*(1+_15・A深夜)),0)*(1+_15・盲ろう)),0)*(1+_15・区３)),0)+ROUND((ROUND((ROUND((_15_同援日２．０＿１．０*_15・基礎２),0)*(1+_15・盲ろう)),0)*(1+_15・区３)),0)</f>
        <v>1153</v>
      </c>
      <c r="AA333" s="69"/>
    </row>
    <row r="334" spans="1:27" ht="16.5" customHeight="1" x14ac:dyDescent="0.3">
      <c r="A334" s="2">
        <v>15</v>
      </c>
      <c r="B334" s="2" t="s">
        <v>1449</v>
      </c>
      <c r="C334" s="60" t="s">
        <v>11571</v>
      </c>
      <c r="D334" s="1"/>
      <c r="E334" s="68"/>
      <c r="F334" s="70"/>
      <c r="G334" s="1"/>
      <c r="H334" s="68"/>
      <c r="I334" s="70"/>
      <c r="J334" s="106" t="s">
        <v>18127</v>
      </c>
      <c r="K334" s="57" t="s">
        <v>1</v>
      </c>
      <c r="L334" s="58">
        <v>0.9</v>
      </c>
      <c r="M334" s="83" t="s">
        <v>5895</v>
      </c>
      <c r="N334" s="64" t="s">
        <v>1</v>
      </c>
      <c r="O334" s="65">
        <v>1</v>
      </c>
      <c r="P334" s="99"/>
      <c r="Q334" s="70"/>
      <c r="R334" s="66"/>
      <c r="S334" s="57"/>
      <c r="T334" s="58"/>
      <c r="U334" s="77"/>
      <c r="V334" s="66"/>
      <c r="W334" s="57"/>
      <c r="X334" s="58"/>
      <c r="Y334" s="77"/>
      <c r="Z334" s="228">
        <f>ROUND((ROUND((ROUND((ROUND((ROUND((_15_同援日２．０*_15・基礎２),0)*_15・２人),0)*(1+_15・A深夜)),0)*(1+_15・盲ろう)),0)*(1+_15・区３)),0)+ROUND((ROUND((ROUND((ROUND((_15_同援日２．０＿１．０*_15・基礎２),0)*_15・２人),0)*(1+_15・盲ろう)),0)*(1+_15・区３)),0)</f>
        <v>1153</v>
      </c>
      <c r="AA334" s="69"/>
    </row>
    <row r="335" spans="1:27" ht="16.5" customHeight="1" x14ac:dyDescent="0.3">
      <c r="A335" s="2">
        <v>15</v>
      </c>
      <c r="B335" s="2" t="s">
        <v>1450</v>
      </c>
      <c r="C335" s="60" t="s">
        <v>11570</v>
      </c>
      <c r="D335" s="1"/>
      <c r="E335" s="68"/>
      <c r="F335" s="70"/>
      <c r="G335" s="1"/>
      <c r="H335" s="68"/>
      <c r="I335" s="70"/>
      <c r="J335" s="61"/>
      <c r="K335" s="62"/>
      <c r="L335" s="63"/>
      <c r="M335" s="85"/>
      <c r="N335" s="64"/>
      <c r="O335" s="65"/>
      <c r="P335" s="99"/>
      <c r="Q335" s="70"/>
      <c r="R335" s="61"/>
      <c r="S335" s="62"/>
      <c r="T335" s="63"/>
      <c r="U335" s="75"/>
      <c r="V335" s="61"/>
      <c r="W335" s="62"/>
      <c r="X335" s="63"/>
      <c r="Y335" s="75"/>
      <c r="Z335" s="228">
        <f>ROUND((ROUND((_15_同援日２．０*(1+_15・A深夜)),0)*(1+_15・区４)),0)+ROUND((_15_同援日２．０＿１．０*(1+_15・区４)),0)</f>
        <v>1195</v>
      </c>
      <c r="AA335" s="69"/>
    </row>
    <row r="336" spans="1:27" ht="16.5" customHeight="1" x14ac:dyDescent="0.3">
      <c r="A336" s="2">
        <v>15</v>
      </c>
      <c r="B336" s="2" t="s">
        <v>1451</v>
      </c>
      <c r="C336" s="60" t="s">
        <v>11569</v>
      </c>
      <c r="D336" s="1"/>
      <c r="E336" s="68"/>
      <c r="F336" s="70"/>
      <c r="G336" s="1"/>
      <c r="H336" s="68"/>
      <c r="I336" s="70"/>
      <c r="J336" s="66"/>
      <c r="K336" s="57"/>
      <c r="L336" s="58"/>
      <c r="M336" s="83" t="s">
        <v>5895</v>
      </c>
      <c r="N336" s="64" t="s">
        <v>1</v>
      </c>
      <c r="O336" s="65">
        <v>1</v>
      </c>
      <c r="P336" s="99"/>
      <c r="Q336" s="70"/>
      <c r="R336" s="67"/>
      <c r="S336" s="68"/>
      <c r="T336" s="76"/>
      <c r="U336" s="70"/>
      <c r="V336" s="67"/>
      <c r="W336" s="68"/>
      <c r="X336" s="76"/>
      <c r="Y336" s="70"/>
      <c r="Z336" s="228">
        <f>ROUND((ROUND((ROUND((_15_同援日２．０*_15・２人),0)*(1+_15・A深夜)),0)*(1+_15・区４)),0)+ROUND((ROUND((_15_同援日２．０＿１．０*_15・２人),0)*(1+_15・区４)),0)</f>
        <v>1195</v>
      </c>
      <c r="AA336" s="69"/>
    </row>
    <row r="337" spans="1:27" ht="16.5" customHeight="1" x14ac:dyDescent="0.3">
      <c r="A337" s="2">
        <v>15</v>
      </c>
      <c r="B337" s="2" t="s">
        <v>1452</v>
      </c>
      <c r="C337" s="60" t="s">
        <v>11568</v>
      </c>
      <c r="D337" s="1"/>
      <c r="E337" s="68"/>
      <c r="F337" s="70"/>
      <c r="G337" s="1"/>
      <c r="H337" s="68"/>
      <c r="I337" s="70"/>
      <c r="J337" s="74" t="s">
        <v>18128</v>
      </c>
      <c r="K337" s="62"/>
      <c r="L337" s="63"/>
      <c r="M337" s="85"/>
      <c r="N337" s="64"/>
      <c r="O337" s="65"/>
      <c r="P337" s="99"/>
      <c r="Q337" s="70"/>
      <c r="R337" s="67"/>
      <c r="S337" s="68"/>
      <c r="T337" s="76"/>
      <c r="U337" s="70"/>
      <c r="V337" s="1" t="s">
        <v>18132</v>
      </c>
      <c r="W337" s="68"/>
      <c r="X337" s="76"/>
      <c r="Y337" s="70"/>
      <c r="Z337" s="228">
        <f>ROUND((ROUND((ROUND((_15_同援日２．０*_15・基礎２),0)*(1+_15・A深夜)),0)*(1+_15・区４)),0)+ROUND((ROUND((_15_同援日２．０＿１．０*_15・基礎２),0)*(1+_15・区４)),0)</f>
        <v>1076</v>
      </c>
      <c r="AA337" s="69"/>
    </row>
    <row r="338" spans="1:27" ht="16.5" customHeight="1" x14ac:dyDescent="0.3">
      <c r="A338" s="2">
        <v>15</v>
      </c>
      <c r="B338" s="2" t="s">
        <v>1453</v>
      </c>
      <c r="C338" s="60" t="s">
        <v>11567</v>
      </c>
      <c r="D338" s="1"/>
      <c r="E338" s="68"/>
      <c r="F338" s="70"/>
      <c r="G338" s="1"/>
      <c r="H338" s="68"/>
      <c r="I338" s="70"/>
      <c r="J338" s="106" t="s">
        <v>18127</v>
      </c>
      <c r="K338" s="57" t="s">
        <v>1</v>
      </c>
      <c r="L338" s="58">
        <v>0.9</v>
      </c>
      <c r="M338" s="83" t="s">
        <v>5895</v>
      </c>
      <c r="N338" s="64" t="s">
        <v>1</v>
      </c>
      <c r="O338" s="65">
        <v>1</v>
      </c>
      <c r="P338" s="99"/>
      <c r="Q338" s="70"/>
      <c r="R338" s="66"/>
      <c r="S338" s="57"/>
      <c r="T338" s="58"/>
      <c r="U338" s="77"/>
      <c r="V338" s="1" t="s">
        <v>18131</v>
      </c>
      <c r="W338" s="68"/>
      <c r="X338" s="76"/>
      <c r="Y338" s="70"/>
      <c r="Z338" s="228">
        <f>ROUND((ROUND((ROUND((ROUND((_15_同援日２．０*_15・基礎２),0)*_15・２人),0)*(1+_15・A深夜)),0)*(1+_15・区４)),0)+ROUND((ROUND((ROUND((_15_同援日２．０＿１．０*_15・基礎２),0)*_15・２人),0)*(1+_15・区４)),0)</f>
        <v>1076</v>
      </c>
      <c r="AA338" s="69"/>
    </row>
    <row r="339" spans="1:27" ht="16.5" customHeight="1" x14ac:dyDescent="0.3">
      <c r="A339" s="2">
        <v>15</v>
      </c>
      <c r="B339" s="2" t="s">
        <v>1454</v>
      </c>
      <c r="C339" s="60" t="s">
        <v>11566</v>
      </c>
      <c r="D339" s="1"/>
      <c r="E339" s="68"/>
      <c r="F339" s="70"/>
      <c r="G339" s="1"/>
      <c r="H339" s="68"/>
      <c r="I339" s="70"/>
      <c r="J339" s="61"/>
      <c r="K339" s="62"/>
      <c r="L339" s="63"/>
      <c r="M339" s="85"/>
      <c r="N339" s="64"/>
      <c r="O339" s="65"/>
      <c r="P339" s="99"/>
      <c r="Q339" s="70"/>
      <c r="R339" s="74" t="s">
        <v>18130</v>
      </c>
      <c r="S339" s="62"/>
      <c r="T339" s="63"/>
      <c r="U339" s="75"/>
      <c r="V339" s="67"/>
      <c r="W339" s="68" t="s">
        <v>1</v>
      </c>
      <c r="X339" s="76">
        <v>0.4</v>
      </c>
      <c r="Y339" s="70" t="s">
        <v>422</v>
      </c>
      <c r="Z339" s="228">
        <f>ROUND((ROUND((ROUND((_15_同援日２．０*(1+_15・A深夜)),0)*(1+_15・盲ろう)),0)*(1+_15・区４)),0)+ROUND((ROUND((_15_同援日２．０＿１．０*(1+_15・盲ろう)),0)*(1+_15・区４)),0)</f>
        <v>1495</v>
      </c>
      <c r="AA339" s="69"/>
    </row>
    <row r="340" spans="1:27" ht="16.5" customHeight="1" x14ac:dyDescent="0.3">
      <c r="A340" s="2">
        <v>15</v>
      </c>
      <c r="B340" s="2" t="s">
        <v>1455</v>
      </c>
      <c r="C340" s="60" t="s">
        <v>11565</v>
      </c>
      <c r="D340" s="1"/>
      <c r="E340" s="68"/>
      <c r="F340" s="70"/>
      <c r="G340" s="1"/>
      <c r="H340" s="68"/>
      <c r="I340" s="70"/>
      <c r="J340" s="66"/>
      <c r="K340" s="57"/>
      <c r="L340" s="58"/>
      <c r="M340" s="83" t="s">
        <v>5895</v>
      </c>
      <c r="N340" s="64" t="s">
        <v>1</v>
      </c>
      <c r="O340" s="65">
        <v>1</v>
      </c>
      <c r="P340" s="99"/>
      <c r="Q340" s="70"/>
      <c r="R340" s="94" t="s">
        <v>18129</v>
      </c>
      <c r="S340" s="68"/>
      <c r="T340" s="76"/>
      <c r="U340" s="70"/>
      <c r="V340" s="67"/>
      <c r="W340" s="68"/>
      <c r="X340" s="76"/>
      <c r="Y340" s="70"/>
      <c r="Z340" s="228">
        <f>ROUND((ROUND((ROUND((ROUND((_15_同援日２．０*_15・２人),0)*(1+_15・A深夜)),0)*(1+_15・盲ろう)),0)*(1+_15・区４)),0)+ROUND((ROUND((ROUND((_15_同援日２．０＿１．０*_15・２人),0)*(1+_15・盲ろう)),0)*(1+_15・区４)),0)</f>
        <v>1495</v>
      </c>
      <c r="AA340" s="69"/>
    </row>
    <row r="341" spans="1:27" ht="16.5" customHeight="1" x14ac:dyDescent="0.3">
      <c r="A341" s="2">
        <v>15</v>
      </c>
      <c r="B341" s="2" t="s">
        <v>1456</v>
      </c>
      <c r="C341" s="60" t="s">
        <v>11564</v>
      </c>
      <c r="D341" s="1"/>
      <c r="E341" s="68"/>
      <c r="F341" s="70"/>
      <c r="G341" s="1"/>
      <c r="H341" s="68"/>
      <c r="I341" s="70"/>
      <c r="J341" s="74" t="s">
        <v>18128</v>
      </c>
      <c r="K341" s="62"/>
      <c r="L341" s="63"/>
      <c r="M341" s="85"/>
      <c r="N341" s="64"/>
      <c r="O341" s="65"/>
      <c r="P341" s="99"/>
      <c r="Q341" s="70"/>
      <c r="R341" s="67"/>
      <c r="S341" s="68" t="s">
        <v>1</v>
      </c>
      <c r="T341" s="76">
        <v>0.25</v>
      </c>
      <c r="U341" s="70" t="s">
        <v>422</v>
      </c>
      <c r="V341" s="67"/>
      <c r="W341" s="68"/>
      <c r="X341" s="76"/>
      <c r="Y341" s="70"/>
      <c r="Z341" s="228">
        <f>ROUND((ROUND((ROUND((ROUND((_15_同援日２．０*_15・基礎２),0)*(1+_15・A深夜)),0)*(1+_15・盲ろう)),0)*(1+_15・区４)),0)+ROUND((ROUND((ROUND((_15_同援日２．０＿１．０*_15・基礎２),0)*(1+_15・盲ろう)),0)*(1+_15・区４)),0)</f>
        <v>1345</v>
      </c>
      <c r="AA341" s="69"/>
    </row>
    <row r="342" spans="1:27" ht="16.5" customHeight="1" x14ac:dyDescent="0.3">
      <c r="A342" s="2">
        <v>15</v>
      </c>
      <c r="B342" s="2" t="s">
        <v>1457</v>
      </c>
      <c r="C342" s="60" t="s">
        <v>11563</v>
      </c>
      <c r="D342" s="81"/>
      <c r="E342" s="57"/>
      <c r="F342" s="77"/>
      <c r="G342" s="81"/>
      <c r="H342" s="57"/>
      <c r="I342" s="77"/>
      <c r="J342" s="106" t="s">
        <v>18127</v>
      </c>
      <c r="K342" s="57" t="s">
        <v>1</v>
      </c>
      <c r="L342" s="58">
        <v>0.9</v>
      </c>
      <c r="M342" s="83" t="s">
        <v>5895</v>
      </c>
      <c r="N342" s="64" t="s">
        <v>1</v>
      </c>
      <c r="O342" s="65">
        <v>1</v>
      </c>
      <c r="P342" s="99"/>
      <c r="Q342" s="70"/>
      <c r="R342" s="66"/>
      <c r="S342" s="57"/>
      <c r="T342" s="58"/>
      <c r="U342" s="77"/>
      <c r="V342" s="66"/>
      <c r="W342" s="57"/>
      <c r="X342" s="58"/>
      <c r="Y342" s="77"/>
      <c r="Z342" s="228">
        <f>ROUND((ROUND((ROUND((ROUND((ROUND((_15_同援日２．０*_15・基礎２),0)*_15・２人),0)*(1+_15・A深夜)),0)*(1+_15・盲ろう)),0)*(1+_15・区４)),0)+ROUND((ROUND((ROUND((ROUND((_15_同援日２．０＿１．０*_15・基礎２),0)*_15・２人),0)*(1+_15・盲ろう)),0)*(1+_15・区４)),0)</f>
        <v>1345</v>
      </c>
      <c r="AA342" s="69"/>
    </row>
    <row r="343" spans="1:27" ht="16.5" customHeight="1" x14ac:dyDescent="0.3">
      <c r="A343" s="2">
        <v>15</v>
      </c>
      <c r="B343" s="2" t="s">
        <v>1458</v>
      </c>
      <c r="C343" s="60" t="s">
        <v>11562</v>
      </c>
      <c r="D343" s="233" t="s">
        <v>18136</v>
      </c>
      <c r="E343" s="235"/>
      <c r="F343" s="75"/>
      <c r="G343" s="233" t="s">
        <v>18135</v>
      </c>
      <c r="H343" s="62"/>
      <c r="I343" s="75"/>
      <c r="J343" s="61"/>
      <c r="K343" s="62"/>
      <c r="L343" s="63"/>
      <c r="M343" s="85"/>
      <c r="N343" s="64"/>
      <c r="O343" s="65"/>
      <c r="P343" s="99"/>
      <c r="Q343" s="70"/>
      <c r="R343" s="61"/>
      <c r="S343" s="62"/>
      <c r="T343" s="63"/>
      <c r="U343" s="75"/>
      <c r="V343" s="61"/>
      <c r="W343" s="62"/>
      <c r="X343" s="63"/>
      <c r="Y343" s="75"/>
      <c r="Z343" s="228">
        <f>ROUND((_15_同援日２．５*(1+_15・A深夜)),0)+_15_同援日２．５＿０．５</f>
        <v>885</v>
      </c>
      <c r="AA343" s="69"/>
    </row>
    <row r="344" spans="1:27" ht="16.5" customHeight="1" x14ac:dyDescent="0.3">
      <c r="A344" s="2">
        <v>15</v>
      </c>
      <c r="B344" s="2" t="s">
        <v>1459</v>
      </c>
      <c r="C344" s="60" t="s">
        <v>11561</v>
      </c>
      <c r="D344" s="1" t="s">
        <v>18134</v>
      </c>
      <c r="E344" s="68"/>
      <c r="F344" s="70"/>
      <c r="G344" s="1" t="s">
        <v>7928</v>
      </c>
      <c r="H344" s="68"/>
      <c r="I344" s="70"/>
      <c r="J344" s="66"/>
      <c r="K344" s="57"/>
      <c r="L344" s="58"/>
      <c r="M344" s="83" t="s">
        <v>5895</v>
      </c>
      <c r="N344" s="64" t="s">
        <v>1</v>
      </c>
      <c r="O344" s="65">
        <v>1</v>
      </c>
      <c r="P344" s="99"/>
      <c r="Q344" s="70"/>
      <c r="R344" s="67"/>
      <c r="S344" s="68"/>
      <c r="T344" s="76"/>
      <c r="U344" s="70"/>
      <c r="V344" s="67"/>
      <c r="W344" s="68"/>
      <c r="X344" s="76"/>
      <c r="Y344" s="70"/>
      <c r="Z344" s="228">
        <f>ROUND((ROUND((_15_同援日２．５*_15・２人),0)*(1+_15・A深夜)),0)+ROUND((_15_同援日２．５＿０．５*_15・２人),0)</f>
        <v>885</v>
      </c>
      <c r="AA344" s="69"/>
    </row>
    <row r="345" spans="1:27" ht="16.5" customHeight="1" x14ac:dyDescent="0.3">
      <c r="A345" s="2">
        <v>15</v>
      </c>
      <c r="B345" s="2" t="s">
        <v>1460</v>
      </c>
      <c r="C345" s="60" t="s">
        <v>11560</v>
      </c>
      <c r="D345" s="1" t="s">
        <v>8499</v>
      </c>
      <c r="E345" s="68"/>
      <c r="F345" s="70"/>
      <c r="G345" s="1"/>
      <c r="H345" s="68"/>
      <c r="I345" s="70"/>
      <c r="J345" s="74" t="s">
        <v>18128</v>
      </c>
      <c r="K345" s="62"/>
      <c r="L345" s="63"/>
      <c r="M345" s="85"/>
      <c r="N345" s="64"/>
      <c r="O345" s="65"/>
      <c r="P345" s="99"/>
      <c r="Q345" s="70"/>
      <c r="R345" s="67"/>
      <c r="S345" s="68"/>
      <c r="T345" s="76"/>
      <c r="U345" s="70"/>
      <c r="V345" s="67"/>
      <c r="W345" s="68"/>
      <c r="X345" s="76"/>
      <c r="Y345" s="70"/>
      <c r="Z345" s="228">
        <f>ROUND((ROUND((_15_同援日２．５*_15・基礎２),0)*(1+_15・A深夜)),0)+ROUND((_15_同援日２．５＿０．５*_15・基礎２),0)</f>
        <v>797</v>
      </c>
      <c r="AA345" s="69"/>
    </row>
    <row r="346" spans="1:27" ht="16.5" customHeight="1" x14ac:dyDescent="0.3">
      <c r="A346" s="2">
        <v>15</v>
      </c>
      <c r="B346" s="2" t="s">
        <v>1461</v>
      </c>
      <c r="C346" s="60" t="s">
        <v>11559</v>
      </c>
      <c r="D346" s="1"/>
      <c r="E346" s="227">
        <v>548</v>
      </c>
      <c r="F346" s="70" t="s">
        <v>0</v>
      </c>
      <c r="G346" s="1"/>
      <c r="H346" s="119">
        <v>63</v>
      </c>
      <c r="I346" s="70" t="s">
        <v>0</v>
      </c>
      <c r="J346" s="106" t="s">
        <v>18127</v>
      </c>
      <c r="K346" s="57" t="s">
        <v>1</v>
      </c>
      <c r="L346" s="58">
        <v>0.9</v>
      </c>
      <c r="M346" s="83" t="s">
        <v>5895</v>
      </c>
      <c r="N346" s="64" t="s">
        <v>1</v>
      </c>
      <c r="O346" s="65">
        <v>1</v>
      </c>
      <c r="P346" s="99"/>
      <c r="Q346" s="70"/>
      <c r="R346" s="66"/>
      <c r="S346" s="57"/>
      <c r="T346" s="58"/>
      <c r="U346" s="77"/>
      <c r="V346" s="67"/>
      <c r="W346" s="68"/>
      <c r="X346" s="76"/>
      <c r="Y346" s="70"/>
      <c r="Z346" s="228">
        <f>ROUND((ROUND((ROUND((_15_同援日２．５*_15・基礎２),0)*_15・２人),0)*(1+_15・A深夜)),0)+ROUND((ROUND((_15_同援日２．５＿０．５*_15・基礎２),0)*_15・２人),0)</f>
        <v>797</v>
      </c>
      <c r="AA346" s="69"/>
    </row>
    <row r="347" spans="1:27" ht="16.5" customHeight="1" x14ac:dyDescent="0.3">
      <c r="A347" s="2">
        <v>15</v>
      </c>
      <c r="B347" s="2" t="s">
        <v>1462</v>
      </c>
      <c r="C347" s="60" t="s">
        <v>11558</v>
      </c>
      <c r="D347" s="1"/>
      <c r="E347" s="68"/>
      <c r="F347" s="70"/>
      <c r="G347" s="1"/>
      <c r="H347" s="68"/>
      <c r="I347" s="70"/>
      <c r="J347" s="61"/>
      <c r="K347" s="62"/>
      <c r="L347" s="63"/>
      <c r="M347" s="85"/>
      <c r="N347" s="64"/>
      <c r="O347" s="65"/>
      <c r="P347" s="99"/>
      <c r="Q347" s="70"/>
      <c r="R347" s="74" t="s">
        <v>18130</v>
      </c>
      <c r="S347" s="62"/>
      <c r="T347" s="63"/>
      <c r="U347" s="75"/>
      <c r="V347" s="67"/>
      <c r="W347" s="68"/>
      <c r="X347" s="76"/>
      <c r="Y347" s="70"/>
      <c r="Z347" s="228">
        <f>ROUND((ROUND((_15_同援日２．５*(1+_15・A深夜)),0)*(1+_15・盲ろう)),0)+ROUND((_15_同援日２．５＿０．５*(1+_15・盲ろう)),0)</f>
        <v>1107</v>
      </c>
      <c r="AA347" s="69"/>
    </row>
    <row r="348" spans="1:27" ht="16.5" customHeight="1" x14ac:dyDescent="0.3">
      <c r="A348" s="2">
        <v>15</v>
      </c>
      <c r="B348" s="2" t="s">
        <v>1463</v>
      </c>
      <c r="C348" s="60" t="s">
        <v>11557</v>
      </c>
      <c r="D348" s="1"/>
      <c r="E348" s="68"/>
      <c r="F348" s="70"/>
      <c r="G348" s="1"/>
      <c r="H348" s="68"/>
      <c r="I348" s="70"/>
      <c r="J348" s="66"/>
      <c r="K348" s="57"/>
      <c r="L348" s="58"/>
      <c r="M348" s="83" t="s">
        <v>5895</v>
      </c>
      <c r="N348" s="64" t="s">
        <v>1</v>
      </c>
      <c r="O348" s="65">
        <v>1</v>
      </c>
      <c r="P348" s="99"/>
      <c r="Q348" s="70"/>
      <c r="R348" s="94" t="s">
        <v>18129</v>
      </c>
      <c r="S348" s="68"/>
      <c r="T348" s="76"/>
      <c r="U348" s="70"/>
      <c r="V348" s="67"/>
      <c r="W348" s="68"/>
      <c r="X348" s="76"/>
      <c r="Y348" s="70"/>
      <c r="Z348" s="228">
        <f>ROUND((ROUND((ROUND((_15_同援日２．５*_15・２人),0)*(1+_15・A深夜)),0)*(1+_15・盲ろう)),0)+ROUND((ROUND((_15_同援日２．５＿０．５*_15・２人),0)*(1+_15・盲ろう)),0)</f>
        <v>1107</v>
      </c>
      <c r="AA348" s="69"/>
    </row>
    <row r="349" spans="1:27" ht="16.5" customHeight="1" x14ac:dyDescent="0.3">
      <c r="A349" s="2">
        <v>15</v>
      </c>
      <c r="B349" s="2" t="s">
        <v>1464</v>
      </c>
      <c r="C349" s="60" t="s">
        <v>11556</v>
      </c>
      <c r="D349" s="1"/>
      <c r="E349" s="68"/>
      <c r="F349" s="70"/>
      <c r="G349" s="1"/>
      <c r="H349" s="68"/>
      <c r="I349" s="70"/>
      <c r="J349" s="74" t="s">
        <v>18128</v>
      </c>
      <c r="K349" s="62"/>
      <c r="L349" s="63"/>
      <c r="M349" s="85"/>
      <c r="N349" s="64"/>
      <c r="O349" s="65"/>
      <c r="P349" s="99"/>
      <c r="Q349" s="70"/>
      <c r="R349" s="67"/>
      <c r="S349" s="68" t="s">
        <v>1</v>
      </c>
      <c r="T349" s="76">
        <v>0.25</v>
      </c>
      <c r="U349" s="70" t="s">
        <v>422</v>
      </c>
      <c r="V349" s="67"/>
      <c r="W349" s="68"/>
      <c r="X349" s="76"/>
      <c r="Y349" s="70"/>
      <c r="Z349" s="228">
        <f>ROUND((ROUND((ROUND((_15_同援日２．５*_15・基礎２),0)*(1+_15・A深夜)),0)*(1+_15・盲ろう)),0)+ROUND((ROUND((_15_同援日２．５＿０．５*_15・基礎２),0)*(1+_15・盲ろう)),0)</f>
        <v>996</v>
      </c>
      <c r="AA349" s="69"/>
    </row>
    <row r="350" spans="1:27" ht="16.5" customHeight="1" x14ac:dyDescent="0.3">
      <c r="A350" s="2">
        <v>15</v>
      </c>
      <c r="B350" s="2" t="s">
        <v>1465</v>
      </c>
      <c r="C350" s="60" t="s">
        <v>11555</v>
      </c>
      <c r="D350" s="1"/>
      <c r="E350" s="68"/>
      <c r="F350" s="70"/>
      <c r="G350" s="1"/>
      <c r="H350" s="68"/>
      <c r="I350" s="70"/>
      <c r="J350" s="106" t="s">
        <v>18127</v>
      </c>
      <c r="K350" s="57" t="s">
        <v>1</v>
      </c>
      <c r="L350" s="58">
        <v>0.9</v>
      </c>
      <c r="M350" s="83" t="s">
        <v>5895</v>
      </c>
      <c r="N350" s="64" t="s">
        <v>1</v>
      </c>
      <c r="O350" s="65">
        <v>1</v>
      </c>
      <c r="P350" s="99"/>
      <c r="Q350" s="70"/>
      <c r="R350" s="66"/>
      <c r="S350" s="57"/>
      <c r="T350" s="58"/>
      <c r="U350" s="77"/>
      <c r="V350" s="66"/>
      <c r="W350" s="57"/>
      <c r="X350" s="58"/>
      <c r="Y350" s="77"/>
      <c r="Z350" s="228">
        <f>ROUND((ROUND((ROUND((ROUND((_15_同援日２．５*_15・基礎２),0)*_15・２人),0)*(1+_15・A深夜)),0)*(1+_15・盲ろう)),0)+ROUND((ROUND((ROUND((_15_同援日２．５＿０．５*_15・基礎２),0)*_15・２人),0)*(1+_15・盲ろう)),0)</f>
        <v>996</v>
      </c>
      <c r="AA350" s="69"/>
    </row>
    <row r="351" spans="1:27" ht="16.5" customHeight="1" x14ac:dyDescent="0.3">
      <c r="A351" s="2">
        <v>15</v>
      </c>
      <c r="B351" s="2" t="s">
        <v>1466</v>
      </c>
      <c r="C351" s="60" t="s">
        <v>11554</v>
      </c>
      <c r="D351" s="1"/>
      <c r="E351" s="68"/>
      <c r="F351" s="70"/>
      <c r="G351" s="1"/>
      <c r="H351" s="68"/>
      <c r="I351" s="70"/>
      <c r="J351" s="61"/>
      <c r="K351" s="62"/>
      <c r="L351" s="63"/>
      <c r="M351" s="85"/>
      <c r="N351" s="64"/>
      <c r="O351" s="65"/>
      <c r="P351" s="99"/>
      <c r="Q351" s="70"/>
      <c r="R351" s="61"/>
      <c r="S351" s="62"/>
      <c r="T351" s="63"/>
      <c r="U351" s="75"/>
      <c r="V351" s="61"/>
      <c r="W351" s="62"/>
      <c r="X351" s="63"/>
      <c r="Y351" s="75"/>
      <c r="Z351" s="228">
        <f>ROUND((ROUND((_15_同援日２．５*(1+_15・A深夜)),0)*(1+_15・区３)),0)+ROUND((_15_同援日２．５＿０．５*(1+_15・区３)),0)</f>
        <v>1062</v>
      </c>
      <c r="AA351" s="69"/>
    </row>
    <row r="352" spans="1:27" ht="16.5" customHeight="1" x14ac:dyDescent="0.3">
      <c r="A352" s="2">
        <v>15</v>
      </c>
      <c r="B352" s="2" t="s">
        <v>1467</v>
      </c>
      <c r="C352" s="60" t="s">
        <v>11553</v>
      </c>
      <c r="D352" s="1"/>
      <c r="E352" s="68"/>
      <c r="F352" s="70"/>
      <c r="G352" s="1"/>
      <c r="H352" s="68"/>
      <c r="I352" s="70"/>
      <c r="J352" s="66"/>
      <c r="K352" s="57"/>
      <c r="L352" s="58"/>
      <c r="M352" s="83" t="s">
        <v>5895</v>
      </c>
      <c r="N352" s="64" t="s">
        <v>1</v>
      </c>
      <c r="O352" s="65">
        <v>1</v>
      </c>
      <c r="P352" s="99"/>
      <c r="Q352" s="70"/>
      <c r="R352" s="67"/>
      <c r="S352" s="68"/>
      <c r="T352" s="76"/>
      <c r="U352" s="70"/>
      <c r="V352" s="67"/>
      <c r="W352" s="68"/>
      <c r="X352" s="76"/>
      <c r="Y352" s="70"/>
      <c r="Z352" s="228">
        <f>ROUND((ROUND((ROUND((_15_同援日２．５*_15・２人),0)*(1+_15・A深夜)),0)*(1+_15・区３)),0)+ROUND((ROUND((_15_同援日２．５＿０．５*_15・２人),0)*(1+_15・区３)),0)</f>
        <v>1062</v>
      </c>
      <c r="AA352" s="69"/>
    </row>
    <row r="353" spans="1:27" ht="16.5" customHeight="1" x14ac:dyDescent="0.3">
      <c r="A353" s="2">
        <v>15</v>
      </c>
      <c r="B353" s="2" t="s">
        <v>1468</v>
      </c>
      <c r="C353" s="60" t="s">
        <v>11552</v>
      </c>
      <c r="D353" s="1"/>
      <c r="E353" s="68"/>
      <c r="F353" s="70"/>
      <c r="G353" s="1"/>
      <c r="H353" s="68"/>
      <c r="I353" s="70"/>
      <c r="J353" s="74" t="s">
        <v>18128</v>
      </c>
      <c r="K353" s="62"/>
      <c r="L353" s="63"/>
      <c r="M353" s="85"/>
      <c r="N353" s="64"/>
      <c r="O353" s="65"/>
      <c r="P353" s="99"/>
      <c r="Q353" s="70"/>
      <c r="R353" s="67"/>
      <c r="S353" s="68"/>
      <c r="T353" s="76"/>
      <c r="U353" s="70"/>
      <c r="V353" s="1" t="s">
        <v>18133</v>
      </c>
      <c r="W353" s="68"/>
      <c r="X353" s="76"/>
      <c r="Y353" s="70"/>
      <c r="Z353" s="228">
        <f>ROUND((ROUND((ROUND((_15_同援日２．５*_15・基礎２),0)*(1+_15・A深夜)),0)*(1+_15・区３)),0)+ROUND((ROUND((_15_同援日２．５＿０．５*_15・基礎２),0)*(1+_15・区３)),0)</f>
        <v>956</v>
      </c>
      <c r="AA353" s="69"/>
    </row>
    <row r="354" spans="1:27" ht="16.5" customHeight="1" x14ac:dyDescent="0.3">
      <c r="A354" s="2">
        <v>15</v>
      </c>
      <c r="B354" s="2" t="s">
        <v>1469</v>
      </c>
      <c r="C354" s="60" t="s">
        <v>11551</v>
      </c>
      <c r="D354" s="1"/>
      <c r="E354" s="68"/>
      <c r="F354" s="70"/>
      <c r="G354" s="1"/>
      <c r="H354" s="68"/>
      <c r="I354" s="70"/>
      <c r="J354" s="106" t="s">
        <v>18127</v>
      </c>
      <c r="K354" s="57" t="s">
        <v>1</v>
      </c>
      <c r="L354" s="58">
        <v>0.9</v>
      </c>
      <c r="M354" s="83" t="s">
        <v>5895</v>
      </c>
      <c r="N354" s="64" t="s">
        <v>1</v>
      </c>
      <c r="O354" s="65">
        <v>1</v>
      </c>
      <c r="P354" s="99"/>
      <c r="Q354" s="70"/>
      <c r="R354" s="66"/>
      <c r="S354" s="57"/>
      <c r="T354" s="58"/>
      <c r="U354" s="77"/>
      <c r="V354" s="1" t="s">
        <v>18131</v>
      </c>
      <c r="W354" s="68"/>
      <c r="X354" s="76"/>
      <c r="Y354" s="70"/>
      <c r="Z354" s="228">
        <f>ROUND((ROUND((ROUND((ROUND((_15_同援日２．５*_15・基礎２),0)*_15・２人),0)*(1+_15・A深夜)),0)*(1+_15・区３)),0)+ROUND((ROUND((ROUND((_15_同援日２．５＿０．５*_15・基礎２),0)*_15・２人),0)*(1+_15・区３)),0)</f>
        <v>956</v>
      </c>
      <c r="AA354" s="69"/>
    </row>
    <row r="355" spans="1:27" ht="16.5" customHeight="1" x14ac:dyDescent="0.3">
      <c r="A355" s="2">
        <v>15</v>
      </c>
      <c r="B355" s="2" t="s">
        <v>1470</v>
      </c>
      <c r="C355" s="60" t="s">
        <v>11550</v>
      </c>
      <c r="D355" s="1"/>
      <c r="E355" s="68"/>
      <c r="F355" s="70"/>
      <c r="G355" s="1"/>
      <c r="H355" s="68"/>
      <c r="I355" s="70"/>
      <c r="J355" s="61"/>
      <c r="K355" s="62"/>
      <c r="L355" s="63"/>
      <c r="M355" s="85"/>
      <c r="N355" s="64"/>
      <c r="O355" s="65"/>
      <c r="P355" s="99"/>
      <c r="Q355" s="70"/>
      <c r="R355" s="74" t="s">
        <v>18130</v>
      </c>
      <c r="S355" s="62"/>
      <c r="T355" s="63"/>
      <c r="U355" s="75"/>
      <c r="V355" s="67"/>
      <c r="W355" s="68" t="s">
        <v>1</v>
      </c>
      <c r="X355" s="76">
        <v>0.2</v>
      </c>
      <c r="Y355" s="70" t="s">
        <v>422</v>
      </c>
      <c r="Z355" s="228">
        <f>ROUND((ROUND((ROUND((_15_同援日２．５*(1+_15・A深夜)),0)*(1+_15・盲ろう)),0)*(1+_15・区３)),0)+ROUND((ROUND((_15_同援日２．５＿０．５*(1+_15・盲ろう)),0)*(1+_15・区３)),0)</f>
        <v>1329</v>
      </c>
      <c r="AA355" s="69"/>
    </row>
    <row r="356" spans="1:27" ht="16.5" customHeight="1" x14ac:dyDescent="0.3">
      <c r="A356" s="2">
        <v>15</v>
      </c>
      <c r="B356" s="2" t="s">
        <v>1471</v>
      </c>
      <c r="C356" s="60" t="s">
        <v>11549</v>
      </c>
      <c r="D356" s="1"/>
      <c r="E356" s="68"/>
      <c r="F356" s="70"/>
      <c r="G356" s="1"/>
      <c r="H356" s="68"/>
      <c r="I356" s="70"/>
      <c r="J356" s="66"/>
      <c r="K356" s="57"/>
      <c r="L356" s="58"/>
      <c r="M356" s="83" t="s">
        <v>5895</v>
      </c>
      <c r="N356" s="64" t="s">
        <v>1</v>
      </c>
      <c r="O356" s="65">
        <v>1</v>
      </c>
      <c r="P356" s="99"/>
      <c r="Q356" s="70"/>
      <c r="R356" s="94" t="s">
        <v>18129</v>
      </c>
      <c r="S356" s="68"/>
      <c r="T356" s="76"/>
      <c r="U356" s="70"/>
      <c r="V356" s="67"/>
      <c r="W356" s="68"/>
      <c r="X356" s="76"/>
      <c r="Y356" s="70"/>
      <c r="Z356" s="228">
        <f>ROUND((ROUND((ROUND((ROUND((_15_同援日２．５*_15・２人),0)*(1+_15・A深夜)),0)*(1+_15・盲ろう)),0)*(1+_15・区３)),0)+ROUND((ROUND((ROUND((_15_同援日２．５＿０．５*_15・２人),0)*(1+_15・盲ろう)),0)*(1+_15・区３)),0)</f>
        <v>1329</v>
      </c>
      <c r="AA356" s="69"/>
    </row>
    <row r="357" spans="1:27" ht="16.5" customHeight="1" x14ac:dyDescent="0.3">
      <c r="A357" s="2">
        <v>15</v>
      </c>
      <c r="B357" s="2" t="s">
        <v>1472</v>
      </c>
      <c r="C357" s="60" t="s">
        <v>11548</v>
      </c>
      <c r="D357" s="1"/>
      <c r="E357" s="68"/>
      <c r="F357" s="70"/>
      <c r="G357" s="1"/>
      <c r="H357" s="68"/>
      <c r="I357" s="70"/>
      <c r="J357" s="74" t="s">
        <v>18128</v>
      </c>
      <c r="K357" s="62"/>
      <c r="L357" s="63"/>
      <c r="M357" s="85"/>
      <c r="N357" s="64"/>
      <c r="O357" s="65"/>
      <c r="P357" s="99"/>
      <c r="Q357" s="70"/>
      <c r="R357" s="67"/>
      <c r="S357" s="68" t="s">
        <v>1</v>
      </c>
      <c r="T357" s="76">
        <v>0.25</v>
      </c>
      <c r="U357" s="70" t="s">
        <v>422</v>
      </c>
      <c r="V357" s="67"/>
      <c r="W357" s="68"/>
      <c r="X357" s="76"/>
      <c r="Y357" s="70"/>
      <c r="Z357" s="228">
        <f>ROUND((ROUND((ROUND((ROUND((_15_同援日２．５*_15・基礎２),0)*(1+_15・A深夜)),0)*(1+_15・盲ろう)),0)*(1+_15・区３)),0)+ROUND((ROUND((ROUND((_15_同援日２．５＿０．５*_15・基礎２),0)*(1+_15・盲ろう)),0)*(1+_15・区３)),0)</f>
        <v>1195</v>
      </c>
      <c r="AA357" s="69"/>
    </row>
    <row r="358" spans="1:27" ht="16.5" customHeight="1" x14ac:dyDescent="0.3">
      <c r="A358" s="2">
        <v>15</v>
      </c>
      <c r="B358" s="2" t="s">
        <v>1473</v>
      </c>
      <c r="C358" s="60" t="s">
        <v>11547</v>
      </c>
      <c r="D358" s="1"/>
      <c r="E358" s="68"/>
      <c r="F358" s="70"/>
      <c r="G358" s="1"/>
      <c r="H358" s="68"/>
      <c r="I358" s="70"/>
      <c r="J358" s="106" t="s">
        <v>18127</v>
      </c>
      <c r="K358" s="57" t="s">
        <v>1</v>
      </c>
      <c r="L358" s="58">
        <v>0.9</v>
      </c>
      <c r="M358" s="83" t="s">
        <v>5895</v>
      </c>
      <c r="N358" s="64" t="s">
        <v>1</v>
      </c>
      <c r="O358" s="65">
        <v>1</v>
      </c>
      <c r="P358" s="99"/>
      <c r="Q358" s="70"/>
      <c r="R358" s="66"/>
      <c r="S358" s="57"/>
      <c r="T358" s="58"/>
      <c r="U358" s="77"/>
      <c r="V358" s="66"/>
      <c r="W358" s="57"/>
      <c r="X358" s="58"/>
      <c r="Y358" s="77"/>
      <c r="Z358" s="228">
        <f>ROUND((ROUND((ROUND((ROUND((ROUND((_15_同援日２．５*_15・基礎２),0)*_15・２人),0)*(1+_15・A深夜)),0)*(1+_15・盲ろう)),0)*(1+_15・区３)),0)+ROUND((ROUND((ROUND((ROUND((_15_同援日２．５＿０．５*_15・基礎２),0)*_15・２人),0)*(1+_15・盲ろう)),0)*(1+_15・区３)),0)</f>
        <v>1195</v>
      </c>
      <c r="AA358" s="69"/>
    </row>
    <row r="359" spans="1:27" ht="16.5" customHeight="1" x14ac:dyDescent="0.3">
      <c r="A359" s="2">
        <v>15</v>
      </c>
      <c r="B359" s="2" t="s">
        <v>1474</v>
      </c>
      <c r="C359" s="60" t="s">
        <v>11546</v>
      </c>
      <c r="D359" s="1"/>
      <c r="E359" s="68"/>
      <c r="F359" s="70"/>
      <c r="G359" s="1"/>
      <c r="H359" s="68"/>
      <c r="I359" s="70"/>
      <c r="J359" s="61"/>
      <c r="K359" s="62"/>
      <c r="L359" s="63"/>
      <c r="M359" s="85"/>
      <c r="N359" s="64"/>
      <c r="O359" s="65"/>
      <c r="P359" s="99"/>
      <c r="Q359" s="70"/>
      <c r="R359" s="61"/>
      <c r="S359" s="62"/>
      <c r="T359" s="63"/>
      <c r="U359" s="75"/>
      <c r="V359" s="61"/>
      <c r="W359" s="62"/>
      <c r="X359" s="63"/>
      <c r="Y359" s="75"/>
      <c r="Z359" s="228">
        <f>ROUND((ROUND((_15_同援日２．５*(1+_15・A深夜)),0)*(1+_15・区４)),0)+ROUND((_15_同援日２．５＿０．５*(1+_15・区４)),0)</f>
        <v>1239</v>
      </c>
      <c r="AA359" s="69"/>
    </row>
    <row r="360" spans="1:27" ht="16.5" customHeight="1" x14ac:dyDescent="0.3">
      <c r="A360" s="2">
        <v>15</v>
      </c>
      <c r="B360" s="2" t="s">
        <v>1475</v>
      </c>
      <c r="C360" s="60" t="s">
        <v>11545</v>
      </c>
      <c r="D360" s="1"/>
      <c r="E360" s="68"/>
      <c r="F360" s="70"/>
      <c r="G360" s="1"/>
      <c r="H360" s="68"/>
      <c r="I360" s="70"/>
      <c r="J360" s="66"/>
      <c r="K360" s="57"/>
      <c r="L360" s="58"/>
      <c r="M360" s="83" t="s">
        <v>5895</v>
      </c>
      <c r="N360" s="64" t="s">
        <v>1</v>
      </c>
      <c r="O360" s="65">
        <v>1</v>
      </c>
      <c r="P360" s="99"/>
      <c r="Q360" s="70"/>
      <c r="R360" s="67"/>
      <c r="S360" s="68"/>
      <c r="T360" s="76"/>
      <c r="U360" s="70"/>
      <c r="V360" s="67"/>
      <c r="W360" s="68"/>
      <c r="X360" s="76"/>
      <c r="Y360" s="70"/>
      <c r="Z360" s="228">
        <f>ROUND((ROUND((ROUND((_15_同援日２．５*_15・２人),0)*(1+_15・A深夜)),0)*(1+_15・区４)),0)+ROUND((ROUND((_15_同援日２．５＿０．５*_15・２人),0)*(1+_15・区４)),0)</f>
        <v>1239</v>
      </c>
      <c r="AA360" s="69"/>
    </row>
    <row r="361" spans="1:27" ht="16.5" customHeight="1" x14ac:dyDescent="0.3">
      <c r="A361" s="2">
        <v>15</v>
      </c>
      <c r="B361" s="2" t="s">
        <v>1476</v>
      </c>
      <c r="C361" s="60" t="s">
        <v>11544</v>
      </c>
      <c r="D361" s="1"/>
      <c r="E361" s="68"/>
      <c r="F361" s="70"/>
      <c r="G361" s="1"/>
      <c r="H361" s="68"/>
      <c r="I361" s="70"/>
      <c r="J361" s="74" t="s">
        <v>18128</v>
      </c>
      <c r="K361" s="62"/>
      <c r="L361" s="63"/>
      <c r="M361" s="85"/>
      <c r="N361" s="64"/>
      <c r="O361" s="65"/>
      <c r="P361" s="99"/>
      <c r="Q361" s="70"/>
      <c r="R361" s="67"/>
      <c r="S361" s="68"/>
      <c r="T361" s="76"/>
      <c r="U361" s="70"/>
      <c r="V361" s="1" t="s">
        <v>18132</v>
      </c>
      <c r="W361" s="68"/>
      <c r="X361" s="76"/>
      <c r="Y361" s="70"/>
      <c r="Z361" s="228">
        <f>ROUND((ROUND((ROUND((_15_同援日２．５*_15・基礎２),0)*(1+_15・A深夜)),0)*(1+_15・区４)),0)+ROUND((ROUND((_15_同援日２．５＿０．５*_15・基礎２),0)*(1+_15・区４)),0)</f>
        <v>1116</v>
      </c>
      <c r="AA361" s="69"/>
    </row>
    <row r="362" spans="1:27" ht="16.5" customHeight="1" x14ac:dyDescent="0.3">
      <c r="A362" s="2">
        <v>15</v>
      </c>
      <c r="B362" s="2" t="s">
        <v>1477</v>
      </c>
      <c r="C362" s="60" t="s">
        <v>11543</v>
      </c>
      <c r="D362" s="1"/>
      <c r="E362" s="68"/>
      <c r="F362" s="70"/>
      <c r="G362" s="1"/>
      <c r="H362" s="68"/>
      <c r="I362" s="70"/>
      <c r="J362" s="106" t="s">
        <v>18127</v>
      </c>
      <c r="K362" s="57" t="s">
        <v>1</v>
      </c>
      <c r="L362" s="58">
        <v>0.9</v>
      </c>
      <c r="M362" s="83" t="s">
        <v>5895</v>
      </c>
      <c r="N362" s="64" t="s">
        <v>1</v>
      </c>
      <c r="O362" s="65">
        <v>1</v>
      </c>
      <c r="P362" s="99"/>
      <c r="Q362" s="70"/>
      <c r="R362" s="66"/>
      <c r="S362" s="57"/>
      <c r="T362" s="58"/>
      <c r="U362" s="77"/>
      <c r="V362" s="1" t="s">
        <v>18131</v>
      </c>
      <c r="W362" s="68"/>
      <c r="X362" s="76"/>
      <c r="Y362" s="70"/>
      <c r="Z362" s="228">
        <f>ROUND((ROUND((ROUND((ROUND((_15_同援日２．５*_15・基礎２),0)*_15・２人),0)*(1+_15・A深夜)),0)*(1+_15・区４)),0)+ROUND((ROUND((ROUND((_15_同援日２．５＿０．５*_15・基礎２),0)*_15・２人),0)*(1+_15・区４)),0)</f>
        <v>1116</v>
      </c>
      <c r="AA362" s="69"/>
    </row>
    <row r="363" spans="1:27" ht="16.5" customHeight="1" x14ac:dyDescent="0.3">
      <c r="A363" s="2">
        <v>15</v>
      </c>
      <c r="B363" s="2" t="s">
        <v>1478</v>
      </c>
      <c r="C363" s="60" t="s">
        <v>11542</v>
      </c>
      <c r="D363" s="1"/>
      <c r="E363" s="68"/>
      <c r="F363" s="70"/>
      <c r="G363" s="1"/>
      <c r="H363" s="68"/>
      <c r="I363" s="70"/>
      <c r="J363" s="61"/>
      <c r="K363" s="62"/>
      <c r="L363" s="63"/>
      <c r="M363" s="85"/>
      <c r="N363" s="64"/>
      <c r="O363" s="65"/>
      <c r="P363" s="99"/>
      <c r="Q363" s="70"/>
      <c r="R363" s="74" t="s">
        <v>18130</v>
      </c>
      <c r="S363" s="62"/>
      <c r="T363" s="63"/>
      <c r="U363" s="75"/>
      <c r="V363" s="67"/>
      <c r="W363" s="68" t="s">
        <v>1</v>
      </c>
      <c r="X363" s="76">
        <v>0.4</v>
      </c>
      <c r="Y363" s="70" t="s">
        <v>422</v>
      </c>
      <c r="Z363" s="228">
        <f>ROUND((ROUND((ROUND((_15_同援日２．５*(1+_15・A深夜)),0)*(1+_15・盲ろう)),0)*(1+_15・区４)),0)+ROUND((ROUND((_15_同援日２．５＿０．５*(1+_15・盲ろう)),0)*(1+_15・区４)),0)</f>
        <v>1550</v>
      </c>
      <c r="AA363" s="69"/>
    </row>
    <row r="364" spans="1:27" ht="16.5" customHeight="1" x14ac:dyDescent="0.3">
      <c r="A364" s="2">
        <v>15</v>
      </c>
      <c r="B364" s="2" t="s">
        <v>1479</v>
      </c>
      <c r="C364" s="60" t="s">
        <v>11541</v>
      </c>
      <c r="D364" s="1"/>
      <c r="E364" s="68"/>
      <c r="F364" s="70"/>
      <c r="G364" s="1"/>
      <c r="H364" s="68"/>
      <c r="I364" s="70"/>
      <c r="J364" s="66"/>
      <c r="K364" s="57"/>
      <c r="L364" s="58"/>
      <c r="M364" s="83" t="s">
        <v>5895</v>
      </c>
      <c r="N364" s="64" t="s">
        <v>1</v>
      </c>
      <c r="O364" s="65">
        <v>1</v>
      </c>
      <c r="P364" s="99"/>
      <c r="Q364" s="70"/>
      <c r="R364" s="94" t="s">
        <v>18129</v>
      </c>
      <c r="S364" s="68"/>
      <c r="T364" s="76"/>
      <c r="U364" s="70"/>
      <c r="V364" s="67"/>
      <c r="W364" s="68"/>
      <c r="X364" s="76"/>
      <c r="Y364" s="70"/>
      <c r="Z364" s="228">
        <f>ROUND((ROUND((ROUND((ROUND((_15_同援日２．５*_15・２人),0)*(1+_15・A深夜)),0)*(1+_15・盲ろう)),0)*(1+_15・区４)),0)+ROUND((ROUND((ROUND((_15_同援日２．５＿０．５*_15・２人),0)*(1+_15・盲ろう)),0)*(1+_15・区４)),0)</f>
        <v>1550</v>
      </c>
      <c r="AA364" s="69"/>
    </row>
    <row r="365" spans="1:27" ht="16.5" customHeight="1" x14ac:dyDescent="0.3">
      <c r="A365" s="2">
        <v>15</v>
      </c>
      <c r="B365" s="2" t="s">
        <v>1480</v>
      </c>
      <c r="C365" s="60" t="s">
        <v>11540</v>
      </c>
      <c r="D365" s="1"/>
      <c r="E365" s="68"/>
      <c r="F365" s="70"/>
      <c r="G365" s="1"/>
      <c r="H365" s="68"/>
      <c r="I365" s="70"/>
      <c r="J365" s="74" t="s">
        <v>18128</v>
      </c>
      <c r="K365" s="62"/>
      <c r="L365" s="63"/>
      <c r="M365" s="85"/>
      <c r="N365" s="64"/>
      <c r="O365" s="65"/>
      <c r="P365" s="99"/>
      <c r="Q365" s="70"/>
      <c r="R365" s="67"/>
      <c r="S365" s="68" t="s">
        <v>1</v>
      </c>
      <c r="T365" s="76">
        <v>0.25</v>
      </c>
      <c r="U365" s="70" t="s">
        <v>422</v>
      </c>
      <c r="V365" s="67"/>
      <c r="W365" s="68"/>
      <c r="X365" s="76"/>
      <c r="Y365" s="70"/>
      <c r="Z365" s="228">
        <f>ROUND((ROUND((ROUND((ROUND((_15_同援日２．５*_15・基礎２),0)*(1+_15・A深夜)),0)*(1+_15・盲ろう)),0)*(1+_15・区４)),0)+ROUND((ROUND((ROUND((_15_同援日２．５＿０．５*_15・基礎２),0)*(1+_15・盲ろう)),0)*(1+_15・区４)),0)</f>
        <v>1394</v>
      </c>
      <c r="AA365" s="69"/>
    </row>
    <row r="366" spans="1:27" ht="16.5" customHeight="1" x14ac:dyDescent="0.3">
      <c r="A366" s="2">
        <v>15</v>
      </c>
      <c r="B366" s="2" t="s">
        <v>1481</v>
      </c>
      <c r="C366" s="60" t="s">
        <v>11539</v>
      </c>
      <c r="D366" s="81"/>
      <c r="E366" s="57"/>
      <c r="F366" s="77"/>
      <c r="G366" s="81"/>
      <c r="H366" s="57"/>
      <c r="I366" s="77"/>
      <c r="J366" s="106" t="s">
        <v>18127</v>
      </c>
      <c r="K366" s="57" t="s">
        <v>1</v>
      </c>
      <c r="L366" s="58">
        <v>0.9</v>
      </c>
      <c r="M366" s="83" t="s">
        <v>5895</v>
      </c>
      <c r="N366" s="64" t="s">
        <v>1</v>
      </c>
      <c r="O366" s="65">
        <v>1</v>
      </c>
      <c r="P366" s="101"/>
      <c r="Q366" s="77"/>
      <c r="R366" s="66"/>
      <c r="S366" s="57"/>
      <c r="T366" s="58"/>
      <c r="U366" s="77"/>
      <c r="V366" s="66"/>
      <c r="W366" s="57"/>
      <c r="X366" s="58"/>
      <c r="Y366" s="77"/>
      <c r="Z366" s="228">
        <f>ROUND((ROUND((ROUND((ROUND((ROUND((_15_同援日２．５*_15・基礎２),0)*_15・２人),0)*(1+_15・A深夜)),0)*(1+_15・盲ろう)),0)*(1+_15・区４)),0)+ROUND((ROUND((ROUND((ROUND((_15_同援日２．５＿０．５*_15・基礎２),0)*_15・２人),0)*(1+_15・盲ろう)),0)*(1+_15・区４)),0)</f>
        <v>1394</v>
      </c>
      <c r="AA366" s="71"/>
    </row>
    <row r="367" spans="1:27" ht="16.5" customHeight="1" x14ac:dyDescent="0.3"/>
    <row r="368" spans="1:27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10" max="16383" man="1"/>
    <brk id="214" max="16383" man="1"/>
    <brk id="31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0000"/>
    <pageSetUpPr fitToPage="1"/>
  </sheetPr>
  <dimension ref="A1:AF517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4.62890625" style="45" customWidth="1"/>
    <col min="11" max="11" width="4.1015625" style="46" bestFit="1" customWidth="1"/>
    <col min="12" max="12" width="4.734375" style="46" bestFit="1" customWidth="1"/>
    <col min="13" max="13" width="14.62890625" style="46" customWidth="1"/>
    <col min="14" max="14" width="3.1015625" style="46" bestFit="1" customWidth="1"/>
    <col min="15" max="15" width="4.1015625" style="47" bestFit="1" customWidth="1"/>
    <col min="16" max="16" width="25.62890625" style="46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bestFit="1" customWidth="1"/>
    <col min="21" max="21" width="4.1015625" style="47" bestFit="1" customWidth="1"/>
    <col min="22" max="22" width="4.734375" style="46" bestFit="1" customWidth="1"/>
    <col min="23" max="23" width="10.62890625" style="46" customWidth="1"/>
    <col min="24" max="24" width="3.1015625" style="46" bestFit="1" customWidth="1"/>
    <col min="25" max="25" width="4.1015625" style="47" bestFit="1" customWidth="1"/>
    <col min="26" max="26" width="4.734375" style="46" bestFit="1" customWidth="1"/>
    <col min="27" max="27" width="8.62890625" style="46" customWidth="1"/>
    <col min="28" max="28" width="3.1015625" style="46" bestFit="1" customWidth="1"/>
    <col min="29" max="29" width="4.1015625" style="47" bestFit="1" customWidth="1"/>
    <col min="30" max="30" width="4.734375" style="46" bestFit="1" customWidth="1"/>
    <col min="31" max="31" width="6.3671875" style="84" bestFit="1" customWidth="1"/>
    <col min="32" max="32" width="7.734375" style="48" bestFit="1" customWidth="1"/>
    <col min="33" max="16384" width="9" style="49"/>
  </cols>
  <sheetData>
    <row r="1" spans="1:32" ht="16.5" customHeight="1" x14ac:dyDescent="0.3"/>
    <row r="2" spans="1:32" ht="16.5" customHeight="1" x14ac:dyDescent="0.3"/>
    <row r="3" spans="1:32" ht="16.5" customHeight="1" x14ac:dyDescent="0.3"/>
    <row r="4" spans="1:32" ht="16.5" customHeight="1" x14ac:dyDescent="0.3">
      <c r="B4" s="229" t="s">
        <v>18166</v>
      </c>
      <c r="C4" s="131"/>
      <c r="D4" s="230"/>
      <c r="E4" s="231"/>
      <c r="F4" s="231"/>
      <c r="G4" s="131"/>
      <c r="H4" s="231"/>
      <c r="I4" s="45"/>
    </row>
    <row r="5" spans="1:3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79"/>
      <c r="K5" s="53"/>
      <c r="L5" s="53"/>
      <c r="M5" s="53"/>
      <c r="N5" s="53"/>
      <c r="O5" s="54"/>
      <c r="P5" s="53"/>
      <c r="Q5" s="53"/>
      <c r="R5" s="54"/>
      <c r="S5" s="54"/>
      <c r="T5" s="53"/>
      <c r="U5" s="54"/>
      <c r="V5" s="53"/>
      <c r="W5" s="53"/>
      <c r="X5" s="53"/>
      <c r="Y5" s="54"/>
      <c r="Z5" s="53"/>
      <c r="AA5" s="53"/>
      <c r="AB5" s="53"/>
      <c r="AC5" s="54"/>
      <c r="AD5" s="53"/>
      <c r="AE5" s="55" t="s">
        <v>5869</v>
      </c>
      <c r="AF5" s="55" t="s">
        <v>5871</v>
      </c>
    </row>
    <row r="6" spans="1:3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80" t="s">
        <v>5872</v>
      </c>
      <c r="H6" s="86"/>
      <c r="I6" s="87"/>
      <c r="J6" s="80" t="s">
        <v>5873</v>
      </c>
      <c r="K6" s="86"/>
      <c r="L6" s="87"/>
      <c r="M6" s="57"/>
      <c r="N6" s="57"/>
      <c r="O6" s="58"/>
      <c r="P6" s="57"/>
      <c r="Q6" s="57"/>
      <c r="R6" s="58"/>
      <c r="S6" s="58"/>
      <c r="T6" s="57"/>
      <c r="U6" s="58"/>
      <c r="V6" s="57"/>
      <c r="W6" s="57"/>
      <c r="X6" s="57"/>
      <c r="Y6" s="58"/>
      <c r="Z6" s="57"/>
      <c r="AA6" s="57"/>
      <c r="AB6" s="57"/>
      <c r="AC6" s="58"/>
      <c r="AD6" s="57"/>
      <c r="AE6" s="59" t="s">
        <v>5870</v>
      </c>
      <c r="AF6" s="59" t="s">
        <v>0</v>
      </c>
    </row>
    <row r="7" spans="1:32" ht="16.5" customHeight="1" x14ac:dyDescent="0.3">
      <c r="A7" s="2">
        <v>15</v>
      </c>
      <c r="B7" s="2" t="s">
        <v>1482</v>
      </c>
      <c r="C7" s="60" t="s">
        <v>12400</v>
      </c>
      <c r="D7" s="233" t="s">
        <v>18165</v>
      </c>
      <c r="E7" s="235"/>
      <c r="F7" s="75"/>
      <c r="G7" s="233" t="s">
        <v>17869</v>
      </c>
      <c r="H7" s="62"/>
      <c r="I7" s="75"/>
      <c r="J7" s="74" t="s">
        <v>17867</v>
      </c>
      <c r="K7" s="62"/>
      <c r="L7" s="75"/>
      <c r="M7" s="74"/>
      <c r="N7" s="62"/>
      <c r="O7" s="63"/>
      <c r="P7" s="83"/>
      <c r="Q7" s="64"/>
      <c r="R7" s="65"/>
      <c r="S7" s="98"/>
      <c r="T7" s="75"/>
      <c r="U7" s="98"/>
      <c r="V7" s="75"/>
      <c r="W7" s="74"/>
      <c r="X7" s="62"/>
      <c r="Y7" s="63"/>
      <c r="Z7" s="75"/>
      <c r="AA7" s="74"/>
      <c r="AB7" s="62"/>
      <c r="AC7" s="63"/>
      <c r="AD7" s="75"/>
      <c r="AE7" s="228">
        <f>_15_同援日０．５+ROUND((_15_同援日０．５＿０．５*(1+_15・B夜間)),0)+ROUND((_15_同援日０．５＿０．５＿０．５*(1+_15・C深夜)),0)</f>
        <v>513</v>
      </c>
      <c r="AF7" s="52" t="s">
        <v>5863</v>
      </c>
    </row>
    <row r="8" spans="1:32" ht="16.5" customHeight="1" x14ac:dyDescent="0.3">
      <c r="A8" s="2">
        <v>15</v>
      </c>
      <c r="B8" s="2" t="s">
        <v>1483</v>
      </c>
      <c r="C8" s="60" t="s">
        <v>12399</v>
      </c>
      <c r="D8" s="1" t="s">
        <v>7928</v>
      </c>
      <c r="E8" s="68"/>
      <c r="F8" s="70"/>
      <c r="G8" s="1" t="s">
        <v>7928</v>
      </c>
      <c r="H8" s="68"/>
      <c r="I8" s="70"/>
      <c r="J8" s="1" t="s">
        <v>7928</v>
      </c>
      <c r="K8" s="68"/>
      <c r="L8" s="70"/>
      <c r="M8" s="81"/>
      <c r="N8" s="57"/>
      <c r="O8" s="58"/>
      <c r="P8" s="83" t="s">
        <v>5895</v>
      </c>
      <c r="Q8" s="64" t="s">
        <v>1</v>
      </c>
      <c r="R8" s="65">
        <v>1</v>
      </c>
      <c r="S8" s="99"/>
      <c r="T8" s="70"/>
      <c r="U8" s="99"/>
      <c r="V8" s="70"/>
      <c r="W8" s="1"/>
      <c r="X8" s="68"/>
      <c r="Y8" s="76"/>
      <c r="Z8" s="70"/>
      <c r="AA8" s="1"/>
      <c r="AB8" s="68"/>
      <c r="AC8" s="76"/>
      <c r="AD8" s="70"/>
      <c r="AE8" s="228">
        <f>ROUND((_15_同援日０．５*_15・２人),0)+ROUND((ROUND((_15_同援日０．５＿０．５*_15・２人),0)*(1+_15・B夜間)),0)+ROUND((ROUND((_15_同援日０．５＿０．５＿０．５*_15・２人),0)*(1+_15・C深夜)),0)</f>
        <v>513</v>
      </c>
      <c r="AF8" s="69"/>
    </row>
    <row r="9" spans="1:32" ht="16.5" customHeight="1" x14ac:dyDescent="0.3">
      <c r="A9" s="2">
        <v>15</v>
      </c>
      <c r="B9" s="2" t="s">
        <v>1484</v>
      </c>
      <c r="C9" s="60" t="s">
        <v>12398</v>
      </c>
      <c r="D9" s="1"/>
      <c r="E9" s="68"/>
      <c r="F9" s="70"/>
      <c r="G9" s="1"/>
      <c r="H9" s="68"/>
      <c r="I9" s="70"/>
      <c r="J9" s="1"/>
      <c r="K9" s="68"/>
      <c r="L9" s="70"/>
      <c r="M9" s="74" t="s">
        <v>17972</v>
      </c>
      <c r="N9" s="62"/>
      <c r="O9" s="63"/>
      <c r="P9" s="83"/>
      <c r="Q9" s="64"/>
      <c r="R9" s="65"/>
      <c r="S9" s="99"/>
      <c r="T9" s="70"/>
      <c r="U9" s="99"/>
      <c r="V9" s="70"/>
      <c r="W9" s="1"/>
      <c r="X9" s="68"/>
      <c r="Y9" s="76"/>
      <c r="Z9" s="70"/>
      <c r="AA9" s="1"/>
      <c r="AB9" s="68"/>
      <c r="AC9" s="76"/>
      <c r="AD9" s="70"/>
      <c r="AE9" s="228">
        <f>ROUND((_15_同援日０．５*_15・基礎２),0)+ROUND((ROUND((_15_同援日０．５＿０．５*_15・基礎２),0)*(1+_15・B夜間)),0)+ROUND((ROUND((_15_同援日０．５＿０．５＿０．５*_15・基礎２),0)*(1+_15・C深夜)),0)</f>
        <v>461</v>
      </c>
      <c r="AF9" s="69"/>
    </row>
    <row r="10" spans="1:32" ht="16.5" customHeight="1" x14ac:dyDescent="0.3">
      <c r="A10" s="2">
        <v>15</v>
      </c>
      <c r="B10" s="2" t="s">
        <v>1485</v>
      </c>
      <c r="C10" s="60" t="s">
        <v>12397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"/>
      <c r="K10" s="119">
        <v>129</v>
      </c>
      <c r="L10" s="70" t="s">
        <v>0</v>
      </c>
      <c r="M10" s="81" t="s">
        <v>17864</v>
      </c>
      <c r="N10" s="57" t="s">
        <v>1</v>
      </c>
      <c r="O10" s="58">
        <v>0.9</v>
      </c>
      <c r="P10" s="83" t="s">
        <v>5895</v>
      </c>
      <c r="Q10" s="64" t="s">
        <v>1</v>
      </c>
      <c r="R10" s="65">
        <v>1</v>
      </c>
      <c r="S10" s="99"/>
      <c r="T10" s="70"/>
      <c r="U10" s="99"/>
      <c r="V10" s="70"/>
      <c r="W10" s="81"/>
      <c r="X10" s="57"/>
      <c r="Y10" s="58"/>
      <c r="Z10" s="77"/>
      <c r="AA10" s="1"/>
      <c r="AB10" s="68"/>
      <c r="AC10" s="76"/>
      <c r="AD10" s="70"/>
      <c r="AE10" s="228">
        <f>ROUND((ROUND((_15_同援日０．５*_15・基礎２),0)*_15・２人),0)+ROUND((ROUND((ROUND((_15_同援日０．５＿０．５*_15・基礎２),0)*_15・２人),0)*(1+_15・B夜間)),0)+ROUND((ROUND((ROUND((_15_同援日０．５＿０．５＿０．５*_15・基礎２),0)*_15・２人),0)*(1+_15・C深夜)),0)</f>
        <v>461</v>
      </c>
      <c r="AF10" s="69"/>
    </row>
    <row r="11" spans="1:32" ht="16.5" customHeight="1" x14ac:dyDescent="0.3">
      <c r="A11" s="2">
        <v>15</v>
      </c>
      <c r="B11" s="2" t="s">
        <v>1486</v>
      </c>
      <c r="C11" s="60" t="s">
        <v>12396</v>
      </c>
      <c r="D11" s="1"/>
      <c r="E11" s="68"/>
      <c r="F11" s="70"/>
      <c r="G11" s="1"/>
      <c r="H11" s="68"/>
      <c r="I11" s="70"/>
      <c r="J11" s="1"/>
      <c r="K11" s="68"/>
      <c r="L11" s="70"/>
      <c r="M11" s="74"/>
      <c r="N11" s="62"/>
      <c r="O11" s="63"/>
      <c r="P11" s="83"/>
      <c r="Q11" s="64"/>
      <c r="R11" s="65"/>
      <c r="S11" s="99"/>
      <c r="T11" s="70"/>
      <c r="U11" s="99"/>
      <c r="V11" s="70"/>
      <c r="W11" s="74" t="s">
        <v>18000</v>
      </c>
      <c r="X11" s="62"/>
      <c r="Y11" s="63"/>
      <c r="Z11" s="75"/>
      <c r="AA11" s="1"/>
      <c r="AB11" s="68"/>
      <c r="AC11" s="76"/>
      <c r="AD11" s="70"/>
      <c r="AE11" s="228">
        <f>ROUND((_15_同援日０．５*(1+_15・盲ろう)),0)+ROUND((ROUND((_15_同援日０．５＿０．５*(1+_15・B夜間)),0)*(1+_15・盲ろう)),0)+ROUND((ROUND((_15_同援日０．５＿０．５＿０．５*(1+_15・C深夜)),0)*(1+_15・盲ろう)),0)</f>
        <v>642</v>
      </c>
      <c r="AF11" s="69"/>
    </row>
    <row r="12" spans="1:32" ht="16.5" customHeight="1" x14ac:dyDescent="0.3">
      <c r="A12" s="2">
        <v>15</v>
      </c>
      <c r="B12" s="2" t="s">
        <v>1487</v>
      </c>
      <c r="C12" s="60" t="s">
        <v>12395</v>
      </c>
      <c r="D12" s="1"/>
      <c r="E12" s="68"/>
      <c r="F12" s="70"/>
      <c r="G12" s="1"/>
      <c r="H12" s="68"/>
      <c r="I12" s="70"/>
      <c r="J12" s="1"/>
      <c r="K12" s="68"/>
      <c r="L12" s="70"/>
      <c r="M12" s="81"/>
      <c r="N12" s="57"/>
      <c r="O12" s="58"/>
      <c r="P12" s="83" t="s">
        <v>5895</v>
      </c>
      <c r="Q12" s="64" t="s">
        <v>1</v>
      </c>
      <c r="R12" s="65">
        <v>1</v>
      </c>
      <c r="S12" s="108" t="s">
        <v>7743</v>
      </c>
      <c r="T12" s="70"/>
      <c r="U12" s="113" t="s">
        <v>7920</v>
      </c>
      <c r="V12" s="70"/>
      <c r="W12" s="1" t="s">
        <v>17975</v>
      </c>
      <c r="X12" s="68"/>
      <c r="Y12" s="76"/>
      <c r="Z12" s="70"/>
      <c r="AA12" s="1"/>
      <c r="AB12" s="68"/>
      <c r="AC12" s="76"/>
      <c r="AD12" s="70"/>
      <c r="AE12" s="228">
        <f>ROUND((ROUND((_15_同援日０．５*_15・２人),0)*(1+_15・盲ろう)),0)+ROUND((ROUND((ROUND((_15_同援日０．５＿０．５*_15・２人),0)*(1+_15・B夜間)),0)*(1+_15・盲ろう)),0)+ROUND((ROUND((ROUND((_15_同援日０．５＿０．５＿０．５*_15・２人),0)*(1+_15・C深夜)),0)*(1+_15・盲ろう)),0)</f>
        <v>642</v>
      </c>
      <c r="AF12" s="69"/>
    </row>
    <row r="13" spans="1:32" ht="16.5" customHeight="1" x14ac:dyDescent="0.3">
      <c r="A13" s="2">
        <v>15</v>
      </c>
      <c r="B13" s="2" t="s">
        <v>1488</v>
      </c>
      <c r="C13" s="60" t="s">
        <v>12394</v>
      </c>
      <c r="D13" s="1"/>
      <c r="E13" s="68"/>
      <c r="F13" s="70"/>
      <c r="G13" s="1"/>
      <c r="H13" s="68"/>
      <c r="I13" s="70"/>
      <c r="J13" s="1"/>
      <c r="K13" s="68"/>
      <c r="L13" s="70"/>
      <c r="M13" s="74" t="s">
        <v>17972</v>
      </c>
      <c r="N13" s="62"/>
      <c r="O13" s="63"/>
      <c r="P13" s="83"/>
      <c r="Q13" s="64"/>
      <c r="R13" s="65"/>
      <c r="S13" s="99"/>
      <c r="T13" s="110" t="s">
        <v>7948</v>
      </c>
      <c r="U13" s="99"/>
      <c r="V13" s="110" t="s">
        <v>7947</v>
      </c>
      <c r="W13" s="1"/>
      <c r="X13" s="68" t="s">
        <v>1</v>
      </c>
      <c r="Y13" s="76">
        <v>0.25</v>
      </c>
      <c r="Z13" s="70" t="s">
        <v>422</v>
      </c>
      <c r="AA13" s="1"/>
      <c r="AB13" s="68"/>
      <c r="AC13" s="76"/>
      <c r="AD13" s="70"/>
      <c r="AE13" s="228">
        <f>ROUND((ROUND((_15_同援日０．５*_15・基礎２),0)*(1+_15・盲ろう)),0)+ROUND((ROUND((ROUND((_15_同援日０．５＿０．５*_15・基礎２),0)*(1+_15・B夜間)),0)*(1+_15・盲ろう)),0)+ROUND((ROUND((ROUND((_15_同援日０．５＿０．５＿０．５*_15・基礎２),0)*(1+_15・C深夜)),0)*(1+_15・盲ろう)),0)</f>
        <v>577</v>
      </c>
      <c r="AF13" s="69"/>
    </row>
    <row r="14" spans="1:32" ht="16.5" customHeight="1" x14ac:dyDescent="0.3">
      <c r="A14" s="2">
        <v>15</v>
      </c>
      <c r="B14" s="2" t="s">
        <v>1489</v>
      </c>
      <c r="C14" s="60" t="s">
        <v>12393</v>
      </c>
      <c r="D14" s="1"/>
      <c r="E14" s="68"/>
      <c r="F14" s="70"/>
      <c r="G14" s="1"/>
      <c r="H14" s="68"/>
      <c r="I14" s="70"/>
      <c r="J14" s="1"/>
      <c r="K14" s="68"/>
      <c r="L14" s="70"/>
      <c r="M14" s="81" t="s">
        <v>17864</v>
      </c>
      <c r="N14" s="57" t="s">
        <v>1</v>
      </c>
      <c r="O14" s="58">
        <v>0.9</v>
      </c>
      <c r="P14" s="83" t="s">
        <v>5895</v>
      </c>
      <c r="Q14" s="64" t="s">
        <v>1</v>
      </c>
      <c r="R14" s="65">
        <v>1</v>
      </c>
      <c r="S14" s="99"/>
      <c r="T14" s="70"/>
      <c r="U14" s="99"/>
      <c r="V14" s="70"/>
      <c r="W14" s="81"/>
      <c r="X14" s="57"/>
      <c r="Y14" s="58"/>
      <c r="Z14" s="77"/>
      <c r="AA14" s="81"/>
      <c r="AB14" s="57"/>
      <c r="AC14" s="58"/>
      <c r="AD14" s="77"/>
      <c r="AE14" s="228">
        <f>ROUND((ROUND((ROUND((_15_同援日０．５*_15・基礎２),0)*_15・２人),0)*(1+_15・盲ろう)),0)+ROUND((ROUND((ROUND((ROUND((_15_同援日０．５＿０．５*_15・基礎２),0)*_15・２人),0)*(1+_15・B夜間)),0)*(1+_15・盲ろう)),0)+ROUND((ROUND((ROUND((ROUND((_15_同援日０．５＿０．５＿０．５*_15・基礎２),0)*_15・２人),0)*(1+_15・C深夜)),0)*(1+_15・盲ろう)),0)</f>
        <v>577</v>
      </c>
      <c r="AF14" s="69"/>
    </row>
    <row r="15" spans="1:32" ht="16.5" customHeight="1" x14ac:dyDescent="0.3">
      <c r="A15" s="2">
        <v>15</v>
      </c>
      <c r="B15" s="2" t="s">
        <v>1490</v>
      </c>
      <c r="C15" s="60" t="s">
        <v>12392</v>
      </c>
      <c r="D15" s="1"/>
      <c r="E15" s="68"/>
      <c r="F15" s="70"/>
      <c r="G15" s="1"/>
      <c r="H15" s="68"/>
      <c r="I15" s="70"/>
      <c r="J15" s="1"/>
      <c r="K15" s="68"/>
      <c r="L15" s="70"/>
      <c r="M15" s="74"/>
      <c r="N15" s="62"/>
      <c r="O15" s="63"/>
      <c r="P15" s="83"/>
      <c r="Q15" s="64"/>
      <c r="R15" s="65"/>
      <c r="S15" s="67" t="s">
        <v>1</v>
      </c>
      <c r="T15" s="93">
        <v>0.25</v>
      </c>
      <c r="U15" s="67" t="s">
        <v>1</v>
      </c>
      <c r="V15" s="93">
        <v>0.5</v>
      </c>
      <c r="W15" s="74"/>
      <c r="X15" s="62"/>
      <c r="Y15" s="63"/>
      <c r="Z15" s="75"/>
      <c r="AA15" s="74"/>
      <c r="AB15" s="62"/>
      <c r="AC15" s="63"/>
      <c r="AD15" s="75"/>
      <c r="AE15" s="228">
        <f>ROUND((_15_同援日０．５*(1+_15・区３)),0)+ROUND((ROUND((_15_同援日０．５＿０．５*(1+_15・B夜間)),0)*(1+_15・区３)),0)+ROUND((ROUND((_15_同援日０．５＿０．５＿０．５*(1+_15・C深夜)),0)*(1+_15・区３)),0)</f>
        <v>616</v>
      </c>
      <c r="AF15" s="69"/>
    </row>
    <row r="16" spans="1:32" ht="16.5" customHeight="1" x14ac:dyDescent="0.3">
      <c r="A16" s="2">
        <v>15</v>
      </c>
      <c r="B16" s="2" t="s">
        <v>1491</v>
      </c>
      <c r="C16" s="60" t="s">
        <v>12391</v>
      </c>
      <c r="D16" s="1"/>
      <c r="E16" s="68"/>
      <c r="F16" s="70"/>
      <c r="G16" s="1"/>
      <c r="H16" s="68"/>
      <c r="I16" s="70"/>
      <c r="J16" s="1"/>
      <c r="K16" s="68"/>
      <c r="L16" s="70"/>
      <c r="M16" s="81"/>
      <c r="N16" s="57"/>
      <c r="O16" s="58"/>
      <c r="P16" s="83" t="s">
        <v>5895</v>
      </c>
      <c r="Q16" s="64" t="s">
        <v>1</v>
      </c>
      <c r="R16" s="65">
        <v>1</v>
      </c>
      <c r="S16" s="99"/>
      <c r="T16" s="100" t="s">
        <v>422</v>
      </c>
      <c r="U16" s="99"/>
      <c r="V16" s="100" t="s">
        <v>422</v>
      </c>
      <c r="W16" s="1"/>
      <c r="X16" s="68"/>
      <c r="Y16" s="76"/>
      <c r="Z16" s="70"/>
      <c r="AA16" s="1"/>
      <c r="AB16" s="68"/>
      <c r="AC16" s="76"/>
      <c r="AD16" s="70"/>
      <c r="AE16" s="228">
        <f>ROUND((ROUND((_15_同援日０．５*_15・２人),0)*(1+_15・区３)),0)+ROUND((ROUND((ROUND((_15_同援日０．５＿０．５*_15・２人),0)*(1+_15・B夜間)),0)*(1+_15・区３)),0)+ROUND((ROUND((ROUND((_15_同援日０．５＿０．５＿０．５*_15・２人),0)*(1+_15・C深夜)),0)*(1+_15・区３)),0)</f>
        <v>616</v>
      </c>
      <c r="AF16" s="69"/>
    </row>
    <row r="17" spans="1:32" ht="16.5" customHeight="1" x14ac:dyDescent="0.3">
      <c r="A17" s="2">
        <v>15</v>
      </c>
      <c r="B17" s="2" t="s">
        <v>1492</v>
      </c>
      <c r="C17" s="60" t="s">
        <v>12390</v>
      </c>
      <c r="D17" s="1"/>
      <c r="E17" s="68"/>
      <c r="F17" s="70"/>
      <c r="G17" s="1"/>
      <c r="H17" s="68"/>
      <c r="I17" s="70"/>
      <c r="J17" s="1"/>
      <c r="K17" s="68"/>
      <c r="L17" s="70"/>
      <c r="M17" s="74" t="s">
        <v>17972</v>
      </c>
      <c r="N17" s="62"/>
      <c r="O17" s="63"/>
      <c r="P17" s="83"/>
      <c r="Q17" s="64"/>
      <c r="R17" s="65"/>
      <c r="S17" s="99"/>
      <c r="T17" s="70"/>
      <c r="U17" s="99"/>
      <c r="V17" s="70"/>
      <c r="W17" s="1"/>
      <c r="X17" s="68"/>
      <c r="Y17" s="76"/>
      <c r="Z17" s="70"/>
      <c r="AA17" s="1" t="s">
        <v>17997</v>
      </c>
      <c r="AB17" s="68"/>
      <c r="AC17" s="76"/>
      <c r="AD17" s="70"/>
      <c r="AE17" s="228">
        <f>ROUND((ROUND((_15_同援日０．５*_15・基礎２),0)*(1+_15・区３)),0)+ROUND((ROUND((ROUND((_15_同援日０．５＿０．５*_15・基礎２),0)*(1+_15・B夜間)),0)*(1+_15・区３)),0)+ROUND((ROUND((ROUND((_15_同援日０．５＿０．５＿０．５*_15・基礎２),0)*(1+_15・C深夜)),0)*(1+_15・区３)),0)</f>
        <v>553</v>
      </c>
      <c r="AF17" s="69"/>
    </row>
    <row r="18" spans="1:32" ht="16.5" customHeight="1" x14ac:dyDescent="0.3">
      <c r="A18" s="2">
        <v>15</v>
      </c>
      <c r="B18" s="2" t="s">
        <v>1493</v>
      </c>
      <c r="C18" s="60" t="s">
        <v>12389</v>
      </c>
      <c r="D18" s="1"/>
      <c r="E18" s="68"/>
      <c r="F18" s="70"/>
      <c r="G18" s="1"/>
      <c r="H18" s="68"/>
      <c r="I18" s="70"/>
      <c r="J18" s="1"/>
      <c r="K18" s="68"/>
      <c r="L18" s="70"/>
      <c r="M18" s="81" t="s">
        <v>17864</v>
      </c>
      <c r="N18" s="57" t="s">
        <v>1</v>
      </c>
      <c r="O18" s="58">
        <v>0.9</v>
      </c>
      <c r="P18" s="83" t="s">
        <v>5895</v>
      </c>
      <c r="Q18" s="64" t="s">
        <v>1</v>
      </c>
      <c r="R18" s="65">
        <v>1</v>
      </c>
      <c r="S18" s="99"/>
      <c r="T18" s="70"/>
      <c r="U18" s="99"/>
      <c r="V18" s="70"/>
      <c r="W18" s="81"/>
      <c r="X18" s="57"/>
      <c r="Y18" s="58"/>
      <c r="Z18" s="77"/>
      <c r="AA18" s="1" t="s">
        <v>17980</v>
      </c>
      <c r="AB18" s="68"/>
      <c r="AC18" s="76"/>
      <c r="AD18" s="70"/>
      <c r="AE18" s="228">
        <f>ROUND((ROUND((ROUND((_15_同援日０．５*_15・基礎２),0)*_15・２人),0)*(1+_15・区３)),0)+ROUND((ROUND((ROUND((ROUND((_15_同援日０．５＿０．５*_15・基礎２),0)*_15・２人),0)*(1+_15・B夜間)),0)*(1+_15・区３)),0)+ROUND((ROUND((ROUND((ROUND((_15_同援日０．５＿０．５＿０．５*_15・基礎２),0)*_15・２人),0)*(1+_15・C深夜)),0)*(1+_15・区３)),0)</f>
        <v>553</v>
      </c>
      <c r="AF18" s="69"/>
    </row>
    <row r="19" spans="1:32" ht="16.5" customHeight="1" x14ac:dyDescent="0.3">
      <c r="A19" s="2">
        <v>15</v>
      </c>
      <c r="B19" s="2" t="s">
        <v>1494</v>
      </c>
      <c r="C19" s="60" t="s">
        <v>12388</v>
      </c>
      <c r="D19" s="1"/>
      <c r="E19" s="68"/>
      <c r="F19" s="70"/>
      <c r="G19" s="1"/>
      <c r="H19" s="68"/>
      <c r="I19" s="70"/>
      <c r="J19" s="1"/>
      <c r="K19" s="68"/>
      <c r="L19" s="70"/>
      <c r="M19" s="74"/>
      <c r="N19" s="62"/>
      <c r="O19" s="63"/>
      <c r="P19" s="83"/>
      <c r="Q19" s="64"/>
      <c r="R19" s="65"/>
      <c r="S19" s="99"/>
      <c r="T19" s="70"/>
      <c r="U19" s="99"/>
      <c r="V19" s="70"/>
      <c r="W19" s="74" t="s">
        <v>17987</v>
      </c>
      <c r="X19" s="62"/>
      <c r="Y19" s="63"/>
      <c r="Z19" s="75"/>
      <c r="AA19" s="1"/>
      <c r="AB19" s="68" t="s">
        <v>1</v>
      </c>
      <c r="AC19" s="76">
        <v>0.2</v>
      </c>
      <c r="AD19" s="70" t="s">
        <v>422</v>
      </c>
      <c r="AE19" s="228">
        <f>ROUND((ROUND((_15_同援日０．５*(1+_15・盲ろう)),0)*(1+_15・区３)),0)+ROUND((ROUND((ROUND((_15_同援日０．５＿０．５*(1+_15・B夜間)),0)*(1+_15・盲ろう)),0)*(1+_15・区３)),0)+ROUND((ROUND((ROUND((_15_同援日０．５＿０．５＿０．５*(1+_15・C深夜)),0)*(1+_15・盲ろう)),0)*(1+_15・区３)),0)</f>
        <v>771</v>
      </c>
      <c r="AF19" s="69"/>
    </row>
    <row r="20" spans="1:32" ht="16.5" customHeight="1" x14ac:dyDescent="0.3">
      <c r="A20" s="2">
        <v>15</v>
      </c>
      <c r="B20" s="2" t="s">
        <v>1495</v>
      </c>
      <c r="C20" s="60" t="s">
        <v>12387</v>
      </c>
      <c r="D20" s="1"/>
      <c r="E20" s="68"/>
      <c r="F20" s="70"/>
      <c r="G20" s="1"/>
      <c r="H20" s="68"/>
      <c r="I20" s="70"/>
      <c r="J20" s="1"/>
      <c r="K20" s="68"/>
      <c r="L20" s="70"/>
      <c r="M20" s="81"/>
      <c r="N20" s="57"/>
      <c r="O20" s="58"/>
      <c r="P20" s="83" t="s">
        <v>5895</v>
      </c>
      <c r="Q20" s="64" t="s">
        <v>1</v>
      </c>
      <c r="R20" s="65">
        <v>1</v>
      </c>
      <c r="S20" s="99"/>
      <c r="T20" s="70"/>
      <c r="U20" s="99"/>
      <c r="V20" s="70"/>
      <c r="W20" s="1" t="s">
        <v>17973</v>
      </c>
      <c r="X20" s="68"/>
      <c r="Y20" s="76"/>
      <c r="Z20" s="70"/>
      <c r="AA20" s="1"/>
      <c r="AB20" s="68"/>
      <c r="AC20" s="76"/>
      <c r="AD20" s="70"/>
      <c r="AE20" s="228">
        <f>ROUND((ROUND((ROUND((_15_同援日０．５*_15・２人),0)*(1+_15・盲ろう)),0)*(1+_15・区３)),0)+ROUND((ROUND((ROUND((ROUND((_15_同援日０．５＿０．５*_15・２人),0)*(1+_15・B夜間)),0)*(1+_15・盲ろう)),0)*(1+_15・区３)),0)+ROUND((ROUND((ROUND((ROUND((_15_同援日０．５＿０．５＿０．５*_15・２人),0)*(1+_15・C深夜)),0)*(1+_15・盲ろう)),0)*(1+_15・区３)),0)</f>
        <v>771</v>
      </c>
      <c r="AF20" s="69"/>
    </row>
    <row r="21" spans="1:32" ht="16.5" customHeight="1" x14ac:dyDescent="0.3">
      <c r="A21" s="2">
        <v>15</v>
      </c>
      <c r="B21" s="2" t="s">
        <v>1496</v>
      </c>
      <c r="C21" s="60" t="s">
        <v>12386</v>
      </c>
      <c r="D21" s="1"/>
      <c r="E21" s="68"/>
      <c r="F21" s="70"/>
      <c r="G21" s="1"/>
      <c r="H21" s="68"/>
      <c r="I21" s="70"/>
      <c r="J21" s="1"/>
      <c r="K21" s="68"/>
      <c r="L21" s="70"/>
      <c r="M21" s="74" t="s">
        <v>17972</v>
      </c>
      <c r="N21" s="62"/>
      <c r="O21" s="63"/>
      <c r="P21" s="83"/>
      <c r="Q21" s="64"/>
      <c r="R21" s="65"/>
      <c r="S21" s="99"/>
      <c r="T21" s="70"/>
      <c r="U21" s="99"/>
      <c r="V21" s="70"/>
      <c r="W21" s="1"/>
      <c r="X21" s="68" t="s">
        <v>1</v>
      </c>
      <c r="Y21" s="76">
        <v>0.25</v>
      </c>
      <c r="Z21" s="70" t="s">
        <v>422</v>
      </c>
      <c r="AA21" s="1"/>
      <c r="AB21" s="68"/>
      <c r="AC21" s="76"/>
      <c r="AD21" s="70"/>
      <c r="AE21" s="228">
        <f>ROUND((ROUND((ROUND((_15_同援日０．５*_15・基礎２),0)*(1+_15・盲ろう)),0)*(1+_15・区３)),0)+ROUND((ROUND((ROUND((ROUND((_15_同援日０．５＿０．５*_15・基礎２),0)*(1+_15・B夜間)),0)*(1+_15・盲ろう)),0)*(1+_15・区３)),0)+ROUND((ROUND((ROUND((ROUND((_15_同援日０．５＿０．５＿０．５*_15・基礎２),0)*(1+_15・C深夜)),0)*(1+_15・盲ろう)),0)*(1+_15・区３)),0)</f>
        <v>693</v>
      </c>
      <c r="AF21" s="69"/>
    </row>
    <row r="22" spans="1:32" ht="16.5" customHeight="1" x14ac:dyDescent="0.3">
      <c r="A22" s="2">
        <v>15</v>
      </c>
      <c r="B22" s="2" t="s">
        <v>1497</v>
      </c>
      <c r="C22" s="60" t="s">
        <v>12385</v>
      </c>
      <c r="D22" s="1"/>
      <c r="E22" s="68"/>
      <c r="F22" s="70"/>
      <c r="G22" s="1"/>
      <c r="H22" s="68"/>
      <c r="I22" s="70"/>
      <c r="J22" s="1"/>
      <c r="K22" s="68"/>
      <c r="L22" s="70"/>
      <c r="M22" s="81" t="s">
        <v>17850</v>
      </c>
      <c r="N22" s="57" t="s">
        <v>1</v>
      </c>
      <c r="O22" s="58">
        <v>0.9</v>
      </c>
      <c r="P22" s="83" t="s">
        <v>5895</v>
      </c>
      <c r="Q22" s="64" t="s">
        <v>1</v>
      </c>
      <c r="R22" s="65">
        <v>1</v>
      </c>
      <c r="S22" s="99"/>
      <c r="T22" s="70"/>
      <c r="U22" s="99"/>
      <c r="V22" s="70"/>
      <c r="W22" s="81"/>
      <c r="X22" s="57"/>
      <c r="Y22" s="58"/>
      <c r="Z22" s="77"/>
      <c r="AA22" s="81"/>
      <c r="AB22" s="57"/>
      <c r="AC22" s="58"/>
      <c r="AD22" s="77"/>
      <c r="AE22" s="228">
        <f>ROUND((ROUND((ROUND((ROUND((_15_同援日０．５*_15・基礎２),0)*_15・２人),0)*(1+_15・盲ろう)),0)*(1+_15・区３)),0)+ROUND((ROUND((ROUND((ROUND((ROUND((_15_同援日０．５＿０．５*_15・基礎２),0)*_15・２人),0)*(1+_15・B夜間)),0)*(1+_15・盲ろう)),0)*(1+_15・区３)),0)+ROUND((ROUND((ROUND((ROUND((ROUND((_15_同援日０．５＿０．５＿０．５*_15・基礎２),0)*_15・２人),0)*(1+_15・C深夜)),0)*(1+_15・盲ろう)),0)*(1+_15・区３)),0)</f>
        <v>693</v>
      </c>
      <c r="AF22" s="69"/>
    </row>
    <row r="23" spans="1:32" ht="16.5" customHeight="1" x14ac:dyDescent="0.3">
      <c r="A23" s="2">
        <v>15</v>
      </c>
      <c r="B23" s="2" t="s">
        <v>1498</v>
      </c>
      <c r="C23" s="60" t="s">
        <v>12384</v>
      </c>
      <c r="D23" s="1"/>
      <c r="E23" s="68"/>
      <c r="F23" s="70"/>
      <c r="G23" s="1"/>
      <c r="H23" s="68"/>
      <c r="I23" s="70"/>
      <c r="J23" s="1"/>
      <c r="K23" s="68"/>
      <c r="L23" s="70"/>
      <c r="M23" s="74"/>
      <c r="N23" s="62"/>
      <c r="O23" s="63"/>
      <c r="P23" s="83"/>
      <c r="Q23" s="64"/>
      <c r="R23" s="65"/>
      <c r="S23" s="99"/>
      <c r="T23" s="70"/>
      <c r="U23" s="99"/>
      <c r="V23" s="70"/>
      <c r="W23" s="74"/>
      <c r="X23" s="62"/>
      <c r="Y23" s="63"/>
      <c r="Z23" s="75"/>
      <c r="AA23" s="74"/>
      <c r="AB23" s="62"/>
      <c r="AC23" s="63"/>
      <c r="AD23" s="75"/>
      <c r="AE23" s="228">
        <f>ROUND((_15_同援日０．５*(1+_15・区４)),0)+ROUND((ROUND((_15_同援日０．５＿０．５*(1+_15・B夜間)),0)*(1+_15・区４)),0)+ROUND((ROUND((_15_同援日０．５＿０．５＿０．５*(1+_15・C深夜)),0)*(1+_15・区４)),0)</f>
        <v>719</v>
      </c>
      <c r="AF23" s="69"/>
    </row>
    <row r="24" spans="1:32" ht="16.5" customHeight="1" x14ac:dyDescent="0.3">
      <c r="A24" s="2">
        <v>15</v>
      </c>
      <c r="B24" s="2" t="s">
        <v>1499</v>
      </c>
      <c r="C24" s="60" t="s">
        <v>12383</v>
      </c>
      <c r="D24" s="1"/>
      <c r="E24" s="68"/>
      <c r="F24" s="70"/>
      <c r="G24" s="1"/>
      <c r="H24" s="68"/>
      <c r="I24" s="70"/>
      <c r="J24" s="1"/>
      <c r="K24" s="68"/>
      <c r="L24" s="70"/>
      <c r="M24" s="81"/>
      <c r="N24" s="57"/>
      <c r="O24" s="58"/>
      <c r="P24" s="83" t="s">
        <v>5895</v>
      </c>
      <c r="Q24" s="64" t="s">
        <v>1</v>
      </c>
      <c r="R24" s="65">
        <v>1</v>
      </c>
      <c r="S24" s="99"/>
      <c r="T24" s="70"/>
      <c r="U24" s="99"/>
      <c r="V24" s="70"/>
      <c r="W24" s="1"/>
      <c r="X24" s="68"/>
      <c r="Y24" s="76"/>
      <c r="Z24" s="70"/>
      <c r="AA24" s="1"/>
      <c r="AB24" s="68"/>
      <c r="AC24" s="76"/>
      <c r="AD24" s="70"/>
      <c r="AE24" s="228">
        <f>ROUND((ROUND((_15_同援日０．５*_15・２人),0)*(1+_15・区４)),0)+ROUND((ROUND((ROUND((_15_同援日０．５＿０．５*_15・２人),0)*(1+_15・B夜間)),0)*(1+_15・区４)),0)+ROUND((ROUND((ROUND((_15_同援日０．５＿０．５＿０．５*_15・２人),0)*(1+_15・C深夜)),0)*(1+_15・区４)),0)</f>
        <v>719</v>
      </c>
      <c r="AF24" s="69"/>
    </row>
    <row r="25" spans="1:32" ht="16.5" customHeight="1" x14ac:dyDescent="0.3">
      <c r="A25" s="2">
        <v>15</v>
      </c>
      <c r="B25" s="2" t="s">
        <v>1500</v>
      </c>
      <c r="C25" s="60" t="s">
        <v>12382</v>
      </c>
      <c r="D25" s="1"/>
      <c r="E25" s="68"/>
      <c r="F25" s="70"/>
      <c r="G25" s="1"/>
      <c r="H25" s="68"/>
      <c r="I25" s="70"/>
      <c r="J25" s="1"/>
      <c r="K25" s="68"/>
      <c r="L25" s="70"/>
      <c r="M25" s="74" t="s">
        <v>17972</v>
      </c>
      <c r="N25" s="62"/>
      <c r="O25" s="63"/>
      <c r="P25" s="83"/>
      <c r="Q25" s="64"/>
      <c r="R25" s="65"/>
      <c r="S25" s="99"/>
      <c r="T25" s="70"/>
      <c r="U25" s="99"/>
      <c r="V25" s="70"/>
      <c r="W25" s="1"/>
      <c r="X25" s="68"/>
      <c r="Y25" s="76"/>
      <c r="Z25" s="70"/>
      <c r="AA25" s="1" t="s">
        <v>17988</v>
      </c>
      <c r="AB25" s="68"/>
      <c r="AC25" s="76"/>
      <c r="AD25" s="70"/>
      <c r="AE25" s="228">
        <f>ROUND((ROUND((_15_同援日０．５*_15・基礎２),0)*(1+_15・区４)),0)+ROUND((ROUND((ROUND((_15_同援日０．５＿０．５*_15・基礎２),0)*(1+_15・B夜間)),0)*(1+_15・区４)),0)+ROUND((ROUND((ROUND((_15_同援日０．５＿０．５＿０．５*_15・基礎２),0)*(1+_15・C深夜)),0)*(1+_15・区４)),0)</f>
        <v>645</v>
      </c>
      <c r="AF25" s="69"/>
    </row>
    <row r="26" spans="1:32" ht="16.5" customHeight="1" x14ac:dyDescent="0.3">
      <c r="A26" s="2">
        <v>15</v>
      </c>
      <c r="B26" s="2" t="s">
        <v>1501</v>
      </c>
      <c r="C26" s="60" t="s">
        <v>12381</v>
      </c>
      <c r="D26" s="1"/>
      <c r="E26" s="68"/>
      <c r="F26" s="70"/>
      <c r="G26" s="1"/>
      <c r="H26" s="68"/>
      <c r="I26" s="70"/>
      <c r="J26" s="1"/>
      <c r="K26" s="68"/>
      <c r="L26" s="70"/>
      <c r="M26" s="81" t="s">
        <v>17864</v>
      </c>
      <c r="N26" s="57" t="s">
        <v>1</v>
      </c>
      <c r="O26" s="58">
        <v>0.9</v>
      </c>
      <c r="P26" s="83" t="s">
        <v>5895</v>
      </c>
      <c r="Q26" s="64" t="s">
        <v>1</v>
      </c>
      <c r="R26" s="65">
        <v>1</v>
      </c>
      <c r="S26" s="99"/>
      <c r="T26" s="70"/>
      <c r="U26" s="99"/>
      <c r="V26" s="70"/>
      <c r="W26" s="81"/>
      <c r="X26" s="57"/>
      <c r="Y26" s="58"/>
      <c r="Z26" s="77"/>
      <c r="AA26" s="1" t="s">
        <v>17980</v>
      </c>
      <c r="AB26" s="68"/>
      <c r="AC26" s="76"/>
      <c r="AD26" s="70"/>
      <c r="AE26" s="228">
        <f>ROUND((ROUND((ROUND((_15_同援日０．５*_15・基礎２),0)*_15・２人),0)*(1+_15・区４)),0)+ROUND((ROUND((ROUND((ROUND((_15_同援日０．５＿０．５*_15・基礎２),0)*_15・２人),0)*(1+_15・B夜間)),0)*(1+_15・区４)),0)+ROUND((ROUND((ROUND((ROUND((_15_同援日０．５＿０．５＿０．５*_15・基礎２),0)*_15・２人),0)*(1+_15・C深夜)),0)*(1+_15・区４)),0)</f>
        <v>645</v>
      </c>
      <c r="AF26" s="69"/>
    </row>
    <row r="27" spans="1:32" ht="16.5" customHeight="1" x14ac:dyDescent="0.3">
      <c r="A27" s="2">
        <v>15</v>
      </c>
      <c r="B27" s="2" t="s">
        <v>1502</v>
      </c>
      <c r="C27" s="60" t="s">
        <v>12380</v>
      </c>
      <c r="D27" s="1"/>
      <c r="E27" s="68"/>
      <c r="F27" s="70"/>
      <c r="G27" s="1"/>
      <c r="H27" s="68"/>
      <c r="I27" s="70"/>
      <c r="J27" s="1"/>
      <c r="K27" s="68"/>
      <c r="L27" s="70"/>
      <c r="M27" s="74"/>
      <c r="N27" s="62"/>
      <c r="O27" s="63"/>
      <c r="P27" s="83"/>
      <c r="Q27" s="64"/>
      <c r="R27" s="65"/>
      <c r="S27" s="99"/>
      <c r="T27" s="70"/>
      <c r="U27" s="99"/>
      <c r="V27" s="70"/>
      <c r="W27" s="74" t="s">
        <v>17987</v>
      </c>
      <c r="X27" s="62"/>
      <c r="Y27" s="63"/>
      <c r="Z27" s="75"/>
      <c r="AA27" s="1"/>
      <c r="AB27" s="68" t="s">
        <v>1</v>
      </c>
      <c r="AC27" s="76">
        <v>0.4</v>
      </c>
      <c r="AD27" s="70" t="s">
        <v>422</v>
      </c>
      <c r="AE27" s="228">
        <f>ROUND((ROUND((_15_同援日０．５*(1+_15・盲ろう)),0)*(1+_15・区４)),0)+ROUND((ROUND((ROUND((_15_同援日０．５＿０．５*(1+_15・B夜間)),0)*(1+_15・盲ろう)),0)*(1+_15・区４)),0)+ROUND((ROUND((ROUND((_15_同援日０．５＿０．５＿０．５*(1+_15・C深夜)),0)*(1+_15・盲ろう)),0)*(1+_15・区４)),0)</f>
        <v>899</v>
      </c>
      <c r="AF27" s="69"/>
    </row>
    <row r="28" spans="1:32" ht="16.5" customHeight="1" x14ac:dyDescent="0.3">
      <c r="A28" s="2">
        <v>15</v>
      </c>
      <c r="B28" s="2" t="s">
        <v>1503</v>
      </c>
      <c r="C28" s="60" t="s">
        <v>12379</v>
      </c>
      <c r="D28" s="1"/>
      <c r="E28" s="68"/>
      <c r="F28" s="70"/>
      <c r="G28" s="1"/>
      <c r="H28" s="68"/>
      <c r="I28" s="70"/>
      <c r="J28" s="1"/>
      <c r="K28" s="68"/>
      <c r="L28" s="70"/>
      <c r="M28" s="81"/>
      <c r="N28" s="57"/>
      <c r="O28" s="58"/>
      <c r="P28" s="83" t="s">
        <v>5895</v>
      </c>
      <c r="Q28" s="64" t="s">
        <v>1</v>
      </c>
      <c r="R28" s="65">
        <v>1</v>
      </c>
      <c r="S28" s="99"/>
      <c r="T28" s="70"/>
      <c r="U28" s="99"/>
      <c r="V28" s="70"/>
      <c r="W28" s="1" t="s">
        <v>17973</v>
      </c>
      <c r="X28" s="68"/>
      <c r="Y28" s="76"/>
      <c r="Z28" s="70"/>
      <c r="AA28" s="1"/>
      <c r="AB28" s="68"/>
      <c r="AC28" s="76"/>
      <c r="AD28" s="70"/>
      <c r="AE28" s="228">
        <f>ROUND((ROUND((ROUND((_15_同援日０．５*_15・２人),0)*(1+_15・盲ろう)),0)*(1+_15・区４)),0)+ROUND((ROUND((ROUND((ROUND((_15_同援日０．５＿０．５*_15・２人),0)*(1+_15・B夜間)),0)*(1+_15・盲ろう)),0)*(1+_15・区４)),0)+ROUND((ROUND((ROUND((ROUND((_15_同援日０．５＿０．５＿０．５*_15・２人),0)*(1+_15・C深夜)),0)*(1+_15・盲ろう)),0)*(1+_15・区４)),0)</f>
        <v>899</v>
      </c>
      <c r="AF28" s="69"/>
    </row>
    <row r="29" spans="1:32" ht="16.5" customHeight="1" x14ac:dyDescent="0.3">
      <c r="A29" s="2">
        <v>15</v>
      </c>
      <c r="B29" s="2" t="s">
        <v>1504</v>
      </c>
      <c r="C29" s="60" t="s">
        <v>12378</v>
      </c>
      <c r="D29" s="1"/>
      <c r="E29" s="68"/>
      <c r="F29" s="70"/>
      <c r="G29" s="1"/>
      <c r="H29" s="68"/>
      <c r="I29" s="70"/>
      <c r="J29" s="1"/>
      <c r="K29" s="68"/>
      <c r="L29" s="70"/>
      <c r="M29" s="74" t="s">
        <v>17972</v>
      </c>
      <c r="N29" s="62"/>
      <c r="O29" s="63"/>
      <c r="P29" s="83"/>
      <c r="Q29" s="64"/>
      <c r="R29" s="65"/>
      <c r="S29" s="99"/>
      <c r="T29" s="70"/>
      <c r="U29" s="99"/>
      <c r="V29" s="70"/>
      <c r="W29" s="1"/>
      <c r="X29" s="68" t="s">
        <v>1</v>
      </c>
      <c r="Y29" s="76">
        <v>0.25</v>
      </c>
      <c r="Z29" s="70" t="s">
        <v>422</v>
      </c>
      <c r="AA29" s="1"/>
      <c r="AB29" s="68"/>
      <c r="AC29" s="76"/>
      <c r="AD29" s="70"/>
      <c r="AE29" s="228">
        <f>ROUND((ROUND((ROUND((_15_同援日０．５*_15・基礎２),0)*(1+_15・盲ろう)),0)*(1+_15・区４)),0)+ROUND((ROUND((ROUND((ROUND((_15_同援日０．５＿０．５*_15・基礎２),0)*(1+_15・B夜間)),0)*(1+_15・盲ろう)),0)*(1+_15・区４)),0)+ROUND((ROUND((ROUND((ROUND((_15_同援日０．５＿０．５＿０．５*_15・基礎２),0)*(1+_15・C深夜)),0)*(1+_15・盲ろう)),0)*(1+_15・区４)),0)</f>
        <v>807</v>
      </c>
      <c r="AF29" s="69"/>
    </row>
    <row r="30" spans="1:32" ht="16.5" customHeight="1" x14ac:dyDescent="0.3">
      <c r="A30" s="2">
        <v>15</v>
      </c>
      <c r="B30" s="2" t="s">
        <v>1505</v>
      </c>
      <c r="C30" s="60" t="s">
        <v>12377</v>
      </c>
      <c r="D30" s="1"/>
      <c r="E30" s="68"/>
      <c r="F30" s="70"/>
      <c r="G30" s="1"/>
      <c r="H30" s="68"/>
      <c r="I30" s="70"/>
      <c r="J30" s="81"/>
      <c r="K30" s="57"/>
      <c r="L30" s="77"/>
      <c r="M30" s="81" t="s">
        <v>17864</v>
      </c>
      <c r="N30" s="57" t="s">
        <v>1</v>
      </c>
      <c r="O30" s="58">
        <v>0.9</v>
      </c>
      <c r="P30" s="83" t="s">
        <v>5895</v>
      </c>
      <c r="Q30" s="64" t="s">
        <v>1</v>
      </c>
      <c r="R30" s="65">
        <v>1</v>
      </c>
      <c r="S30" s="99"/>
      <c r="T30" s="70"/>
      <c r="U30" s="99"/>
      <c r="V30" s="70"/>
      <c r="W30" s="81"/>
      <c r="X30" s="57"/>
      <c r="Y30" s="58"/>
      <c r="Z30" s="77"/>
      <c r="AA30" s="81"/>
      <c r="AB30" s="57"/>
      <c r="AC30" s="58"/>
      <c r="AD30" s="77"/>
      <c r="AE30" s="228">
        <f>ROUND((ROUND((ROUND((ROUND((_15_同援日０．５*_15・基礎２),0)*_15・２人),0)*(1+_15・盲ろう)),0)*(1+_15・区４)),0)+ROUND((ROUND((ROUND((ROUND((ROUND((_15_同援日０．５＿０．５*_15・基礎２),0)*_15・２人),0)*(1+_15・B夜間)),0)*(1+_15・盲ろう)),0)*(1+_15・区４)),0)+ROUND((ROUND((ROUND((ROUND((ROUND((_15_同援日０．５＿０．５＿０．５*_15・基礎２),0)*_15・２人),0)*(1+_15・C深夜)),0)*(1+_15・盲ろう)),0)*(1+_15・区４)),0)</f>
        <v>807</v>
      </c>
      <c r="AF30" s="69"/>
    </row>
    <row r="31" spans="1:32" ht="16.5" customHeight="1" x14ac:dyDescent="0.3">
      <c r="A31" s="2">
        <v>15</v>
      </c>
      <c r="B31" s="2" t="s">
        <v>1506</v>
      </c>
      <c r="C31" s="60" t="s">
        <v>12376</v>
      </c>
      <c r="D31" s="1"/>
      <c r="E31" s="68"/>
      <c r="F31" s="70"/>
      <c r="G31" s="1"/>
      <c r="H31" s="68"/>
      <c r="I31" s="70"/>
      <c r="J31" s="74" t="s">
        <v>17866</v>
      </c>
      <c r="K31" s="62"/>
      <c r="L31" s="75"/>
      <c r="M31" s="74"/>
      <c r="N31" s="62"/>
      <c r="O31" s="63"/>
      <c r="P31" s="83"/>
      <c r="Q31" s="64"/>
      <c r="R31" s="65"/>
      <c r="S31" s="99"/>
      <c r="T31" s="70"/>
      <c r="U31" s="99"/>
      <c r="V31" s="70"/>
      <c r="W31" s="74"/>
      <c r="X31" s="62"/>
      <c r="Y31" s="63"/>
      <c r="Z31" s="75"/>
      <c r="AA31" s="74"/>
      <c r="AB31" s="62"/>
      <c r="AC31" s="63"/>
      <c r="AD31" s="75"/>
      <c r="AE31" s="228">
        <f>_15_同援日０．５+ROUND((_15_同援日０．５＿０．５*(1+_15・B夜間)),0)+ROUND((_15_同援日０．５＿０．５＿１．０*(1+_15・C深夜)),0)</f>
        <v>609</v>
      </c>
      <c r="AF31" s="69"/>
    </row>
    <row r="32" spans="1:32" ht="16.5" customHeight="1" x14ac:dyDescent="0.3">
      <c r="A32" s="2">
        <v>15</v>
      </c>
      <c r="B32" s="2" t="s">
        <v>1507</v>
      </c>
      <c r="C32" s="60" t="s">
        <v>12375</v>
      </c>
      <c r="D32" s="1"/>
      <c r="E32" s="68"/>
      <c r="F32" s="70"/>
      <c r="G32" s="1"/>
      <c r="H32" s="68"/>
      <c r="I32" s="70"/>
      <c r="J32" s="1" t="s">
        <v>18155</v>
      </c>
      <c r="K32" s="68"/>
      <c r="L32" s="70"/>
      <c r="M32" s="81"/>
      <c r="N32" s="57"/>
      <c r="O32" s="58"/>
      <c r="P32" s="83" t="s">
        <v>5895</v>
      </c>
      <c r="Q32" s="64" t="s">
        <v>1</v>
      </c>
      <c r="R32" s="65">
        <v>1</v>
      </c>
      <c r="S32" s="99"/>
      <c r="T32" s="70"/>
      <c r="U32" s="99"/>
      <c r="V32" s="70"/>
      <c r="W32" s="1"/>
      <c r="X32" s="68"/>
      <c r="Y32" s="76"/>
      <c r="Z32" s="70"/>
      <c r="AA32" s="1"/>
      <c r="AB32" s="68"/>
      <c r="AC32" s="76"/>
      <c r="AD32" s="70"/>
      <c r="AE32" s="228">
        <f>ROUND((_15_同援日０．５*_15・２人),0)+ROUND((ROUND((_15_同援日０．５＿０．５*_15・２人),0)*(1+_15・B夜間)),0)+ROUND((ROUND((_15_同援日０．５＿０．５＿１．０*_15・２人),0)*(1+_15・C深夜)),0)</f>
        <v>609</v>
      </c>
      <c r="AF32" s="69"/>
    </row>
    <row r="33" spans="1:32" ht="16.5" customHeight="1" x14ac:dyDescent="0.3">
      <c r="A33" s="2">
        <v>15</v>
      </c>
      <c r="B33" s="2" t="s">
        <v>1508</v>
      </c>
      <c r="C33" s="60" t="s">
        <v>12374</v>
      </c>
      <c r="D33" s="1"/>
      <c r="E33" s="68"/>
      <c r="F33" s="70"/>
      <c r="G33" s="1"/>
      <c r="H33" s="68"/>
      <c r="I33" s="70"/>
      <c r="J33" s="1" t="s">
        <v>8572</v>
      </c>
      <c r="K33" s="68"/>
      <c r="L33" s="70"/>
      <c r="M33" s="74" t="s">
        <v>17972</v>
      </c>
      <c r="N33" s="62"/>
      <c r="O33" s="63"/>
      <c r="P33" s="83"/>
      <c r="Q33" s="64"/>
      <c r="R33" s="65"/>
      <c r="S33" s="99"/>
      <c r="T33" s="70"/>
      <c r="U33" s="99"/>
      <c r="V33" s="70"/>
      <c r="W33" s="1"/>
      <c r="X33" s="68"/>
      <c r="Y33" s="76"/>
      <c r="Z33" s="70"/>
      <c r="AA33" s="1"/>
      <c r="AB33" s="68"/>
      <c r="AC33" s="76"/>
      <c r="AD33" s="70"/>
      <c r="AE33" s="228">
        <f>ROUND((_15_同援日０．５*_15・基礎２),0)+ROUND((ROUND((_15_同援日０．５＿０．５*_15・基礎２),0)*(1+_15・B夜間)),0)+ROUND((ROUND((_15_同援日０．５＿０．５＿１．０*_15・基礎２),0)*(1+_15・C深夜)),0)</f>
        <v>548</v>
      </c>
      <c r="AF33" s="69"/>
    </row>
    <row r="34" spans="1:32" ht="16.5" customHeight="1" x14ac:dyDescent="0.3">
      <c r="A34" s="2">
        <v>15</v>
      </c>
      <c r="B34" s="2" t="s">
        <v>1509</v>
      </c>
      <c r="C34" s="60" t="s">
        <v>12373</v>
      </c>
      <c r="D34" s="1"/>
      <c r="E34" s="68"/>
      <c r="F34" s="70"/>
      <c r="G34" s="1"/>
      <c r="H34" s="68"/>
      <c r="I34" s="70"/>
      <c r="J34" s="1"/>
      <c r="K34" s="119">
        <v>193</v>
      </c>
      <c r="L34" s="70" t="s">
        <v>0</v>
      </c>
      <c r="M34" s="81" t="s">
        <v>17864</v>
      </c>
      <c r="N34" s="57" t="s">
        <v>1</v>
      </c>
      <c r="O34" s="58">
        <v>0.9</v>
      </c>
      <c r="P34" s="83" t="s">
        <v>5895</v>
      </c>
      <c r="Q34" s="64" t="s">
        <v>1</v>
      </c>
      <c r="R34" s="65">
        <v>1</v>
      </c>
      <c r="S34" s="99"/>
      <c r="T34" s="70"/>
      <c r="U34" s="99"/>
      <c r="V34" s="70"/>
      <c r="W34" s="81"/>
      <c r="X34" s="57"/>
      <c r="Y34" s="58"/>
      <c r="Z34" s="77"/>
      <c r="AA34" s="1"/>
      <c r="AB34" s="68"/>
      <c r="AC34" s="76"/>
      <c r="AD34" s="70"/>
      <c r="AE34" s="228">
        <f>ROUND((ROUND((_15_同援日０．５*_15・基礎２),0)*_15・２人),0)+ROUND((ROUND((ROUND((_15_同援日０．５＿０．５*_15・基礎２),0)*_15・２人),0)*(1+_15・B夜間)),0)+ROUND((ROUND((ROUND((_15_同援日０．５＿０．５＿１．０*_15・基礎２),0)*_15・２人),0)*(1+_15・C深夜)),0)</f>
        <v>548</v>
      </c>
      <c r="AF34" s="69"/>
    </row>
    <row r="35" spans="1:32" ht="16.5" customHeight="1" x14ac:dyDescent="0.3">
      <c r="A35" s="2">
        <v>15</v>
      </c>
      <c r="B35" s="2" t="s">
        <v>1510</v>
      </c>
      <c r="C35" s="60" t="s">
        <v>12372</v>
      </c>
      <c r="D35" s="1"/>
      <c r="E35" s="68"/>
      <c r="F35" s="70"/>
      <c r="G35" s="1"/>
      <c r="H35" s="68"/>
      <c r="I35" s="70"/>
      <c r="J35" s="1"/>
      <c r="K35" s="68"/>
      <c r="L35" s="70"/>
      <c r="M35" s="74"/>
      <c r="N35" s="62"/>
      <c r="O35" s="63"/>
      <c r="P35" s="83"/>
      <c r="Q35" s="64"/>
      <c r="R35" s="65"/>
      <c r="S35" s="99"/>
      <c r="T35" s="70"/>
      <c r="U35" s="99"/>
      <c r="V35" s="70"/>
      <c r="W35" s="74" t="s">
        <v>17987</v>
      </c>
      <c r="X35" s="62"/>
      <c r="Y35" s="63"/>
      <c r="Z35" s="75"/>
      <c r="AA35" s="1"/>
      <c r="AB35" s="68"/>
      <c r="AC35" s="76"/>
      <c r="AD35" s="70"/>
      <c r="AE35" s="228">
        <f>ROUND((_15_同援日０．５*(1+_15・盲ろう)),0)+ROUND((ROUND((_15_同援日０．５＿０．５*(1+_15・B夜間)),0)*(1+_15・盲ろう)),0)+ROUND((ROUND((_15_同援日０．５＿０．５＿１．０*(1+_15・C深夜)),0)*(1+_15・盲ろう)),0)</f>
        <v>762</v>
      </c>
      <c r="AF35" s="69"/>
    </row>
    <row r="36" spans="1:32" ht="16.5" customHeight="1" x14ac:dyDescent="0.3">
      <c r="A36" s="2">
        <v>15</v>
      </c>
      <c r="B36" s="2" t="s">
        <v>1511</v>
      </c>
      <c r="C36" s="60" t="s">
        <v>12371</v>
      </c>
      <c r="D36" s="1"/>
      <c r="E36" s="68"/>
      <c r="F36" s="70"/>
      <c r="G36" s="1"/>
      <c r="H36" s="68"/>
      <c r="I36" s="70"/>
      <c r="J36" s="1"/>
      <c r="K36" s="68"/>
      <c r="L36" s="70"/>
      <c r="M36" s="81"/>
      <c r="N36" s="57"/>
      <c r="O36" s="58"/>
      <c r="P36" s="83" t="s">
        <v>5895</v>
      </c>
      <c r="Q36" s="64" t="s">
        <v>1</v>
      </c>
      <c r="R36" s="65">
        <v>1</v>
      </c>
      <c r="S36" s="99"/>
      <c r="T36" s="70"/>
      <c r="U36" s="99"/>
      <c r="V36" s="70"/>
      <c r="W36" s="1" t="s">
        <v>17973</v>
      </c>
      <c r="X36" s="68"/>
      <c r="Y36" s="76"/>
      <c r="Z36" s="70"/>
      <c r="AA36" s="1"/>
      <c r="AB36" s="68"/>
      <c r="AC36" s="76"/>
      <c r="AD36" s="70"/>
      <c r="AE36" s="228">
        <f>ROUND((ROUND((_15_同援日０．５*_15・２人),0)*(1+_15・盲ろう)),0)+ROUND((ROUND((ROUND((_15_同援日０．５＿０．５*_15・２人),0)*(1+_15・B夜間)),0)*(1+_15・盲ろう)),0)+ROUND((ROUND((ROUND((_15_同援日０．５＿０．５＿１．０*_15・２人),0)*(1+_15・C深夜)),0)*(1+_15・盲ろう)),0)</f>
        <v>762</v>
      </c>
      <c r="AF36" s="69"/>
    </row>
    <row r="37" spans="1:32" ht="16.5" customHeight="1" x14ac:dyDescent="0.3">
      <c r="A37" s="2">
        <v>15</v>
      </c>
      <c r="B37" s="2" t="s">
        <v>1512</v>
      </c>
      <c r="C37" s="60" t="s">
        <v>12370</v>
      </c>
      <c r="D37" s="1"/>
      <c r="E37" s="68"/>
      <c r="F37" s="70"/>
      <c r="G37" s="1"/>
      <c r="H37" s="68"/>
      <c r="I37" s="70"/>
      <c r="J37" s="1"/>
      <c r="K37" s="68"/>
      <c r="L37" s="70"/>
      <c r="M37" s="74" t="s">
        <v>17972</v>
      </c>
      <c r="N37" s="62"/>
      <c r="O37" s="63"/>
      <c r="P37" s="83"/>
      <c r="Q37" s="64"/>
      <c r="R37" s="65"/>
      <c r="S37" s="99"/>
      <c r="T37" s="70"/>
      <c r="U37" s="99"/>
      <c r="V37" s="70"/>
      <c r="W37" s="1"/>
      <c r="X37" s="68" t="s">
        <v>1</v>
      </c>
      <c r="Y37" s="76">
        <v>0.25</v>
      </c>
      <c r="Z37" s="70" t="s">
        <v>422</v>
      </c>
      <c r="AA37" s="1"/>
      <c r="AB37" s="68"/>
      <c r="AC37" s="76"/>
      <c r="AD37" s="70"/>
      <c r="AE37" s="228">
        <f>ROUND((ROUND((_15_同援日０．５*_15・基礎２),0)*(1+_15・盲ろう)),0)+ROUND((ROUND((ROUND((_15_同援日０．５＿０．５*_15・基礎２),0)*(1+_15・B夜間)),0)*(1+_15・盲ろう)),0)+ROUND((ROUND((ROUND((_15_同援日０．５＿０．５＿１．０*_15・基礎２),0)*(1+_15・C深夜)),0)*(1+_15・盲ろう)),0)</f>
        <v>685</v>
      </c>
      <c r="AF37" s="69"/>
    </row>
    <row r="38" spans="1:32" ht="16.5" customHeight="1" x14ac:dyDescent="0.3">
      <c r="A38" s="2">
        <v>15</v>
      </c>
      <c r="B38" s="2" t="s">
        <v>1513</v>
      </c>
      <c r="C38" s="60" t="s">
        <v>12369</v>
      </c>
      <c r="D38" s="1"/>
      <c r="E38" s="68"/>
      <c r="F38" s="70"/>
      <c r="G38" s="1"/>
      <c r="H38" s="68"/>
      <c r="I38" s="70"/>
      <c r="J38" s="1"/>
      <c r="K38" s="68"/>
      <c r="L38" s="70"/>
      <c r="M38" s="81" t="s">
        <v>17864</v>
      </c>
      <c r="N38" s="57" t="s">
        <v>1</v>
      </c>
      <c r="O38" s="58">
        <v>0.9</v>
      </c>
      <c r="P38" s="83" t="s">
        <v>5895</v>
      </c>
      <c r="Q38" s="64" t="s">
        <v>1</v>
      </c>
      <c r="R38" s="65">
        <v>1</v>
      </c>
      <c r="S38" s="99"/>
      <c r="T38" s="70"/>
      <c r="U38" s="99"/>
      <c r="V38" s="70"/>
      <c r="W38" s="81"/>
      <c r="X38" s="57"/>
      <c r="Y38" s="58"/>
      <c r="Z38" s="77"/>
      <c r="AA38" s="81"/>
      <c r="AB38" s="57"/>
      <c r="AC38" s="58"/>
      <c r="AD38" s="77"/>
      <c r="AE38" s="228">
        <f>ROUND((ROUND((ROUND((_15_同援日０．５*_15・基礎２),0)*_15・２人),0)*(1+_15・盲ろう)),0)+ROUND((ROUND((ROUND((ROUND((_15_同援日０．５＿０．５*_15・基礎２),0)*_15・２人),0)*(1+_15・B夜間)),0)*(1+_15・盲ろう)),0)+ROUND((ROUND((ROUND((ROUND((_15_同援日０．５＿０．５＿１．０*_15・基礎２),0)*_15・２人),0)*(1+_15・C深夜)),0)*(1+_15・盲ろう)),0)</f>
        <v>685</v>
      </c>
      <c r="AF38" s="69"/>
    </row>
    <row r="39" spans="1:32" ht="16.5" customHeight="1" x14ac:dyDescent="0.3">
      <c r="A39" s="2">
        <v>15</v>
      </c>
      <c r="B39" s="2" t="s">
        <v>1514</v>
      </c>
      <c r="C39" s="60" t="s">
        <v>12368</v>
      </c>
      <c r="D39" s="1"/>
      <c r="E39" s="68"/>
      <c r="F39" s="70"/>
      <c r="G39" s="1"/>
      <c r="H39" s="68"/>
      <c r="I39" s="70"/>
      <c r="J39" s="1"/>
      <c r="K39" s="68"/>
      <c r="L39" s="70"/>
      <c r="M39" s="74"/>
      <c r="N39" s="62"/>
      <c r="O39" s="63"/>
      <c r="P39" s="83"/>
      <c r="Q39" s="64"/>
      <c r="R39" s="65"/>
      <c r="S39" s="99"/>
      <c r="T39" s="70"/>
      <c r="U39" s="99"/>
      <c r="V39" s="70"/>
      <c r="W39" s="74"/>
      <c r="X39" s="62"/>
      <c r="Y39" s="63"/>
      <c r="Z39" s="75"/>
      <c r="AA39" s="74"/>
      <c r="AB39" s="62"/>
      <c r="AC39" s="63"/>
      <c r="AD39" s="75"/>
      <c r="AE39" s="228">
        <f>ROUND((_15_同援日０．５*(1+_15・区３)),0)+ROUND((ROUND((_15_同援日０．５＿０．５*(1+_15・B夜間)),0)*(1+_15・区３)),0)+ROUND((ROUND((_15_同援日０．５＿０．５＿１．０*(1+_15・C深夜)),0)*(1+_15・区３)),0)</f>
        <v>731</v>
      </c>
      <c r="AF39" s="69"/>
    </row>
    <row r="40" spans="1:32" ht="16.5" customHeight="1" x14ac:dyDescent="0.3">
      <c r="A40" s="2">
        <v>15</v>
      </c>
      <c r="B40" s="2" t="s">
        <v>1515</v>
      </c>
      <c r="C40" s="60" t="s">
        <v>12367</v>
      </c>
      <c r="D40" s="1"/>
      <c r="E40" s="68"/>
      <c r="F40" s="70"/>
      <c r="G40" s="1"/>
      <c r="H40" s="68"/>
      <c r="I40" s="70"/>
      <c r="J40" s="1"/>
      <c r="K40" s="68"/>
      <c r="L40" s="70"/>
      <c r="M40" s="81"/>
      <c r="N40" s="57"/>
      <c r="O40" s="58"/>
      <c r="P40" s="83" t="s">
        <v>5895</v>
      </c>
      <c r="Q40" s="64" t="s">
        <v>1</v>
      </c>
      <c r="R40" s="65">
        <v>1</v>
      </c>
      <c r="S40" s="99"/>
      <c r="T40" s="70"/>
      <c r="U40" s="99"/>
      <c r="V40" s="70"/>
      <c r="W40" s="1"/>
      <c r="X40" s="68"/>
      <c r="Y40" s="76"/>
      <c r="Z40" s="70"/>
      <c r="AA40" s="1"/>
      <c r="AB40" s="68"/>
      <c r="AC40" s="76"/>
      <c r="AD40" s="70"/>
      <c r="AE40" s="228">
        <f>ROUND((ROUND((_15_同援日０．５*_15・２人),0)*(1+_15・区３)),0)+ROUND((ROUND((ROUND((_15_同援日０．５＿０．５*_15・２人),0)*(1+_15・B夜間)),0)*(1+_15・区３)),0)+ROUND((ROUND((ROUND((_15_同援日０．５＿０．５＿１．０*_15・２人),0)*(1+_15・C深夜)),0)*(1+_15・区３)),0)</f>
        <v>731</v>
      </c>
      <c r="AF40" s="69"/>
    </row>
    <row r="41" spans="1:32" ht="16.5" customHeight="1" x14ac:dyDescent="0.3">
      <c r="A41" s="2">
        <v>15</v>
      </c>
      <c r="B41" s="2" t="s">
        <v>1516</v>
      </c>
      <c r="C41" s="60" t="s">
        <v>12366</v>
      </c>
      <c r="D41" s="1"/>
      <c r="E41" s="68"/>
      <c r="F41" s="70"/>
      <c r="G41" s="1"/>
      <c r="H41" s="68"/>
      <c r="I41" s="70"/>
      <c r="J41" s="1"/>
      <c r="K41" s="68"/>
      <c r="L41" s="70"/>
      <c r="M41" s="74" t="s">
        <v>17972</v>
      </c>
      <c r="N41" s="62"/>
      <c r="O41" s="63"/>
      <c r="P41" s="83"/>
      <c r="Q41" s="64"/>
      <c r="R41" s="65"/>
      <c r="S41" s="99"/>
      <c r="T41" s="70"/>
      <c r="U41" s="99"/>
      <c r="V41" s="70"/>
      <c r="W41" s="1"/>
      <c r="X41" s="68"/>
      <c r="Y41" s="76"/>
      <c r="Z41" s="70"/>
      <c r="AA41" s="1" t="s">
        <v>17997</v>
      </c>
      <c r="AB41" s="68"/>
      <c r="AC41" s="76"/>
      <c r="AD41" s="70"/>
      <c r="AE41" s="228">
        <f>ROUND((ROUND((_15_同援日０．５*_15・基礎２),0)*(1+_15・区３)),0)+ROUND((ROUND((ROUND((_15_同援日０．５＿０．５*_15・基礎２),0)*(1+_15・B夜間)),0)*(1+_15・区３)),0)+ROUND((ROUND((ROUND((_15_同援日０．５＿０．５＿１．０*_15・基礎２),0)*(1+_15・C深夜)),0)*(1+_15・区３)),0)</f>
        <v>657</v>
      </c>
      <c r="AF41" s="69"/>
    </row>
    <row r="42" spans="1:32" ht="16.5" customHeight="1" x14ac:dyDescent="0.3">
      <c r="A42" s="2">
        <v>15</v>
      </c>
      <c r="B42" s="2" t="s">
        <v>1517</v>
      </c>
      <c r="C42" s="60" t="s">
        <v>12365</v>
      </c>
      <c r="D42" s="1"/>
      <c r="E42" s="68"/>
      <c r="F42" s="70"/>
      <c r="G42" s="1"/>
      <c r="H42" s="68"/>
      <c r="I42" s="70"/>
      <c r="J42" s="1"/>
      <c r="K42" s="68"/>
      <c r="L42" s="70"/>
      <c r="M42" s="81" t="s">
        <v>17864</v>
      </c>
      <c r="N42" s="57" t="s">
        <v>1</v>
      </c>
      <c r="O42" s="58">
        <v>0.9</v>
      </c>
      <c r="P42" s="83" t="s">
        <v>5895</v>
      </c>
      <c r="Q42" s="64" t="s">
        <v>1</v>
      </c>
      <c r="R42" s="65">
        <v>1</v>
      </c>
      <c r="S42" s="99"/>
      <c r="T42" s="70"/>
      <c r="U42" s="99"/>
      <c r="V42" s="70"/>
      <c r="W42" s="81"/>
      <c r="X42" s="57"/>
      <c r="Y42" s="58"/>
      <c r="Z42" s="77"/>
      <c r="AA42" s="1" t="s">
        <v>17980</v>
      </c>
      <c r="AB42" s="68"/>
      <c r="AC42" s="76"/>
      <c r="AD42" s="70"/>
      <c r="AE42" s="228">
        <f>ROUND((ROUND((ROUND((_15_同援日０．５*_15・基礎２),0)*_15・２人),0)*(1+_15・区３)),0)+ROUND((ROUND((ROUND((ROUND((_15_同援日０．５＿０．５*_15・基礎２),0)*_15・２人),0)*(1+_15・B夜間)),0)*(1+_15・区３)),0)+ROUND((ROUND((ROUND((ROUND((_15_同援日０．５＿０．５＿１．０*_15・基礎２),0)*_15・２人),0)*(1+_15・C深夜)),0)*(1+_15・区３)),0)</f>
        <v>657</v>
      </c>
      <c r="AF42" s="69"/>
    </row>
    <row r="43" spans="1:32" ht="16.5" customHeight="1" x14ac:dyDescent="0.3">
      <c r="A43" s="2">
        <v>15</v>
      </c>
      <c r="B43" s="2" t="s">
        <v>1518</v>
      </c>
      <c r="C43" s="60" t="s">
        <v>12364</v>
      </c>
      <c r="D43" s="1"/>
      <c r="E43" s="68"/>
      <c r="F43" s="70"/>
      <c r="G43" s="1"/>
      <c r="H43" s="68"/>
      <c r="I43" s="70"/>
      <c r="J43" s="1"/>
      <c r="K43" s="68"/>
      <c r="L43" s="70"/>
      <c r="M43" s="74"/>
      <c r="N43" s="62"/>
      <c r="O43" s="63"/>
      <c r="P43" s="83"/>
      <c r="Q43" s="64"/>
      <c r="R43" s="65"/>
      <c r="S43" s="99"/>
      <c r="T43" s="70"/>
      <c r="U43" s="99"/>
      <c r="V43" s="70"/>
      <c r="W43" s="74" t="s">
        <v>17987</v>
      </c>
      <c r="X43" s="62"/>
      <c r="Y43" s="63"/>
      <c r="Z43" s="75"/>
      <c r="AA43" s="1"/>
      <c r="AB43" s="68" t="s">
        <v>1</v>
      </c>
      <c r="AC43" s="76">
        <v>0.2</v>
      </c>
      <c r="AD43" s="70" t="s">
        <v>422</v>
      </c>
      <c r="AE43" s="228">
        <f>ROUND((ROUND((_15_同援日０．５*(1+_15・盲ろう)),0)*(1+_15・区３)),0)+ROUND((ROUND((ROUND((_15_同援日０．５＿０．５*(1+_15・B夜間)),0)*(1+_15・盲ろう)),0)*(1+_15・区３)),0)+ROUND((ROUND((ROUND((_15_同援日０．５＿０．５＿１．０*(1+_15・C深夜)),0)*(1+_15・盲ろう)),0)*(1+_15・区３)),0)</f>
        <v>915</v>
      </c>
      <c r="AF43" s="69"/>
    </row>
    <row r="44" spans="1:32" ht="16.5" customHeight="1" x14ac:dyDescent="0.3">
      <c r="A44" s="2">
        <v>15</v>
      </c>
      <c r="B44" s="2" t="s">
        <v>1519</v>
      </c>
      <c r="C44" s="60" t="s">
        <v>12363</v>
      </c>
      <c r="D44" s="1"/>
      <c r="E44" s="68"/>
      <c r="F44" s="70"/>
      <c r="G44" s="1"/>
      <c r="H44" s="68"/>
      <c r="I44" s="70"/>
      <c r="J44" s="1"/>
      <c r="K44" s="68"/>
      <c r="L44" s="70"/>
      <c r="M44" s="81"/>
      <c r="N44" s="57"/>
      <c r="O44" s="58"/>
      <c r="P44" s="83" t="s">
        <v>5895</v>
      </c>
      <c r="Q44" s="64" t="s">
        <v>1</v>
      </c>
      <c r="R44" s="65">
        <v>1</v>
      </c>
      <c r="S44" s="99"/>
      <c r="T44" s="70"/>
      <c r="U44" s="99"/>
      <c r="V44" s="70"/>
      <c r="W44" s="1" t="s">
        <v>17973</v>
      </c>
      <c r="X44" s="68"/>
      <c r="Y44" s="76"/>
      <c r="Z44" s="70"/>
      <c r="AA44" s="1"/>
      <c r="AB44" s="68"/>
      <c r="AC44" s="76"/>
      <c r="AD44" s="70"/>
      <c r="AE44" s="228">
        <f>ROUND((ROUND((ROUND((_15_同援日０．５*_15・２人),0)*(1+_15・盲ろう)),0)*(1+_15・区３)),0)+ROUND((ROUND((ROUND((ROUND((_15_同援日０．５＿０．５*_15・２人),0)*(1+_15・B夜間)),0)*(1+_15・盲ろう)),0)*(1+_15・区３)),0)+ROUND((ROUND((ROUND((ROUND((_15_同援日０．５＿０．５＿１．０*_15・２人),0)*(1+_15・C深夜)),0)*(1+_15・盲ろう)),0)*(1+_15・区３)),0)</f>
        <v>915</v>
      </c>
      <c r="AF44" s="69"/>
    </row>
    <row r="45" spans="1:32" ht="16.5" customHeight="1" x14ac:dyDescent="0.3">
      <c r="A45" s="2">
        <v>15</v>
      </c>
      <c r="B45" s="2" t="s">
        <v>1520</v>
      </c>
      <c r="C45" s="60" t="s">
        <v>12362</v>
      </c>
      <c r="D45" s="1"/>
      <c r="E45" s="68"/>
      <c r="F45" s="70"/>
      <c r="G45" s="1"/>
      <c r="H45" s="68"/>
      <c r="I45" s="70"/>
      <c r="J45" s="1"/>
      <c r="K45" s="68"/>
      <c r="L45" s="70"/>
      <c r="M45" s="74" t="s">
        <v>17972</v>
      </c>
      <c r="N45" s="62"/>
      <c r="O45" s="63"/>
      <c r="P45" s="83"/>
      <c r="Q45" s="64"/>
      <c r="R45" s="65"/>
      <c r="S45" s="99"/>
      <c r="T45" s="70"/>
      <c r="U45" s="99"/>
      <c r="V45" s="70"/>
      <c r="W45" s="1"/>
      <c r="X45" s="68" t="s">
        <v>1</v>
      </c>
      <c r="Y45" s="76">
        <v>0.25</v>
      </c>
      <c r="Z45" s="70" t="s">
        <v>422</v>
      </c>
      <c r="AA45" s="1"/>
      <c r="AB45" s="68"/>
      <c r="AC45" s="76"/>
      <c r="AD45" s="70"/>
      <c r="AE45" s="228">
        <f>ROUND((ROUND((ROUND((_15_同援日０．５*_15・基礎２),0)*(1+_15・盲ろう)),0)*(1+_15・区３)),0)+ROUND((ROUND((ROUND((ROUND((_15_同援日０．５＿０．５*_15・基礎２),0)*(1+_15・B夜間)),0)*(1+_15・盲ろう)),0)*(1+_15・区３)),0)+ROUND((ROUND((ROUND((ROUND((_15_同援日０．５＿０．５＿１．０*_15・基礎２),0)*(1+_15・C深夜)),0)*(1+_15・盲ろう)),0)*(1+_15・区３)),0)</f>
        <v>822</v>
      </c>
      <c r="AF45" s="69"/>
    </row>
    <row r="46" spans="1:32" ht="16.5" customHeight="1" x14ac:dyDescent="0.3">
      <c r="A46" s="2">
        <v>15</v>
      </c>
      <c r="B46" s="2" t="s">
        <v>1521</v>
      </c>
      <c r="C46" s="60" t="s">
        <v>12361</v>
      </c>
      <c r="D46" s="1"/>
      <c r="E46" s="68"/>
      <c r="F46" s="70"/>
      <c r="G46" s="1"/>
      <c r="H46" s="68"/>
      <c r="I46" s="70"/>
      <c r="J46" s="1"/>
      <c r="K46" s="68"/>
      <c r="L46" s="70"/>
      <c r="M46" s="81" t="s">
        <v>17864</v>
      </c>
      <c r="N46" s="57" t="s">
        <v>1</v>
      </c>
      <c r="O46" s="58">
        <v>0.9</v>
      </c>
      <c r="P46" s="83" t="s">
        <v>5895</v>
      </c>
      <c r="Q46" s="64" t="s">
        <v>1</v>
      </c>
      <c r="R46" s="65">
        <v>1</v>
      </c>
      <c r="S46" s="99"/>
      <c r="T46" s="70"/>
      <c r="U46" s="99"/>
      <c r="V46" s="70"/>
      <c r="W46" s="81"/>
      <c r="X46" s="57"/>
      <c r="Y46" s="58"/>
      <c r="Z46" s="77"/>
      <c r="AA46" s="81"/>
      <c r="AB46" s="57"/>
      <c r="AC46" s="58"/>
      <c r="AD46" s="77"/>
      <c r="AE46" s="228">
        <f>ROUND((ROUND((ROUND((ROUND((_15_同援日０．５*_15・基礎２),0)*_15・２人),0)*(1+_15・盲ろう)),0)*(1+_15・区３)),0)+ROUND((ROUND((ROUND((ROUND((ROUND((_15_同援日０．５＿０．５*_15・基礎２),0)*_15・２人),0)*(1+_15・B夜間)),0)*(1+_15・盲ろう)),0)*(1+_15・区３)),0)+ROUND((ROUND((ROUND((ROUND((ROUND((_15_同援日０．５＿０．５＿１．０*_15・基礎２),0)*_15・２人),0)*(1+_15・C深夜)),0)*(1+_15・盲ろう)),0)*(1+_15・区３)),0)</f>
        <v>822</v>
      </c>
      <c r="AF46" s="69"/>
    </row>
    <row r="47" spans="1:32" ht="16.5" customHeight="1" x14ac:dyDescent="0.3">
      <c r="A47" s="2">
        <v>15</v>
      </c>
      <c r="B47" s="2" t="s">
        <v>1522</v>
      </c>
      <c r="C47" s="60" t="s">
        <v>12360</v>
      </c>
      <c r="D47" s="1"/>
      <c r="E47" s="68"/>
      <c r="F47" s="70"/>
      <c r="G47" s="1"/>
      <c r="H47" s="68"/>
      <c r="I47" s="70"/>
      <c r="J47" s="1"/>
      <c r="K47" s="68"/>
      <c r="L47" s="70"/>
      <c r="M47" s="74"/>
      <c r="N47" s="62"/>
      <c r="O47" s="63"/>
      <c r="P47" s="83"/>
      <c r="Q47" s="64"/>
      <c r="R47" s="65"/>
      <c r="S47" s="99"/>
      <c r="T47" s="70"/>
      <c r="U47" s="99"/>
      <c r="V47" s="70"/>
      <c r="W47" s="74"/>
      <c r="X47" s="62"/>
      <c r="Y47" s="63"/>
      <c r="Z47" s="75"/>
      <c r="AA47" s="74"/>
      <c r="AB47" s="62"/>
      <c r="AC47" s="63"/>
      <c r="AD47" s="75"/>
      <c r="AE47" s="228">
        <f>ROUND((_15_同援日０．５*(1+_15・区４)),0)+ROUND((ROUND((_15_同援日０．５＿０．５*(1+_15・B夜間)),0)*(1+_15・区４)),0)+ROUND((ROUND((_15_同援日０．５＿０．５＿１．０*(1+_15・C深夜)),0)*(1+_15・区４)),0)</f>
        <v>853</v>
      </c>
      <c r="AF47" s="69"/>
    </row>
    <row r="48" spans="1:32" ht="16.5" customHeight="1" x14ac:dyDescent="0.3">
      <c r="A48" s="2">
        <v>15</v>
      </c>
      <c r="B48" s="2" t="s">
        <v>1523</v>
      </c>
      <c r="C48" s="60" t="s">
        <v>12359</v>
      </c>
      <c r="D48" s="1"/>
      <c r="E48" s="68"/>
      <c r="F48" s="70"/>
      <c r="G48" s="1"/>
      <c r="H48" s="68"/>
      <c r="I48" s="70"/>
      <c r="J48" s="1"/>
      <c r="K48" s="68"/>
      <c r="L48" s="70"/>
      <c r="M48" s="81"/>
      <c r="N48" s="57"/>
      <c r="O48" s="58"/>
      <c r="P48" s="83" t="s">
        <v>5895</v>
      </c>
      <c r="Q48" s="64" t="s">
        <v>1</v>
      </c>
      <c r="R48" s="65">
        <v>1</v>
      </c>
      <c r="S48" s="99"/>
      <c r="T48" s="70"/>
      <c r="U48" s="99"/>
      <c r="V48" s="70"/>
      <c r="W48" s="1"/>
      <c r="X48" s="68"/>
      <c r="Y48" s="76"/>
      <c r="Z48" s="70"/>
      <c r="AA48" s="1"/>
      <c r="AB48" s="68"/>
      <c r="AC48" s="76"/>
      <c r="AD48" s="70"/>
      <c r="AE48" s="228">
        <f>ROUND((ROUND((_15_同援日０．５*_15・２人),0)*(1+_15・区４)),0)+ROUND((ROUND((ROUND((_15_同援日０．５＿０．５*_15・２人),0)*(1+_15・B夜間)),0)*(1+_15・区４)),0)+ROUND((ROUND((ROUND((_15_同援日０．５＿０．５＿１．０*_15・２人),0)*(1+_15・C深夜)),0)*(1+_15・区４)),0)</f>
        <v>853</v>
      </c>
      <c r="AF48" s="69"/>
    </row>
    <row r="49" spans="1:32" ht="16.5" customHeight="1" x14ac:dyDescent="0.3">
      <c r="A49" s="2">
        <v>15</v>
      </c>
      <c r="B49" s="2" t="s">
        <v>1524</v>
      </c>
      <c r="C49" s="60" t="s">
        <v>12358</v>
      </c>
      <c r="D49" s="1"/>
      <c r="E49" s="68"/>
      <c r="F49" s="70"/>
      <c r="G49" s="1"/>
      <c r="H49" s="68"/>
      <c r="I49" s="70"/>
      <c r="J49" s="1"/>
      <c r="K49" s="68"/>
      <c r="L49" s="70"/>
      <c r="M49" s="74" t="s">
        <v>17972</v>
      </c>
      <c r="N49" s="62"/>
      <c r="O49" s="63"/>
      <c r="P49" s="83"/>
      <c r="Q49" s="64"/>
      <c r="R49" s="65"/>
      <c r="S49" s="99"/>
      <c r="T49" s="70"/>
      <c r="U49" s="99"/>
      <c r="V49" s="70"/>
      <c r="W49" s="1"/>
      <c r="X49" s="68"/>
      <c r="Y49" s="76"/>
      <c r="Z49" s="70"/>
      <c r="AA49" s="1" t="s">
        <v>17988</v>
      </c>
      <c r="AB49" s="68"/>
      <c r="AC49" s="76"/>
      <c r="AD49" s="70"/>
      <c r="AE49" s="228">
        <f>ROUND((ROUND((_15_同援日０．５*_15・基礎２),0)*(1+_15・区４)),0)+ROUND((ROUND((ROUND((_15_同援日０．５＿０．５*_15・基礎２),0)*(1+_15・B夜間)),0)*(1+_15・区４)),0)+ROUND((ROUND((ROUND((_15_同援日０．５＿０．５＿１．０*_15・基礎２),0)*(1+_15・C深夜)),0)*(1+_15・区４)),0)</f>
        <v>766</v>
      </c>
      <c r="AF49" s="69"/>
    </row>
    <row r="50" spans="1:32" ht="16.5" customHeight="1" x14ac:dyDescent="0.3">
      <c r="A50" s="2">
        <v>15</v>
      </c>
      <c r="B50" s="2" t="s">
        <v>1525</v>
      </c>
      <c r="C50" s="60" t="s">
        <v>12357</v>
      </c>
      <c r="D50" s="1"/>
      <c r="E50" s="68"/>
      <c r="F50" s="70"/>
      <c r="G50" s="1"/>
      <c r="H50" s="68"/>
      <c r="I50" s="70"/>
      <c r="J50" s="1"/>
      <c r="K50" s="68"/>
      <c r="L50" s="70"/>
      <c r="M50" s="81" t="s">
        <v>17864</v>
      </c>
      <c r="N50" s="57" t="s">
        <v>1</v>
      </c>
      <c r="O50" s="58">
        <v>0.9</v>
      </c>
      <c r="P50" s="83" t="s">
        <v>5895</v>
      </c>
      <c r="Q50" s="64" t="s">
        <v>1</v>
      </c>
      <c r="R50" s="65">
        <v>1</v>
      </c>
      <c r="S50" s="99"/>
      <c r="T50" s="70"/>
      <c r="U50" s="99"/>
      <c r="V50" s="70"/>
      <c r="W50" s="81"/>
      <c r="X50" s="57"/>
      <c r="Y50" s="58"/>
      <c r="Z50" s="77"/>
      <c r="AA50" s="1" t="s">
        <v>17980</v>
      </c>
      <c r="AB50" s="68"/>
      <c r="AC50" s="76"/>
      <c r="AD50" s="70"/>
      <c r="AE50" s="228">
        <f>ROUND((ROUND((ROUND((_15_同援日０．５*_15・基礎２),0)*_15・２人),0)*(1+_15・区４)),0)+ROUND((ROUND((ROUND((ROUND((_15_同援日０．５＿０．５*_15・基礎２),0)*_15・２人),0)*(1+_15・B夜間)),0)*(1+_15・区４)),0)+ROUND((ROUND((ROUND((ROUND((_15_同援日０．５＿０．５＿１．０*_15・基礎２),0)*_15・２人),0)*(1+_15・C深夜)),0)*(1+_15・区４)),0)</f>
        <v>766</v>
      </c>
      <c r="AF50" s="69"/>
    </row>
    <row r="51" spans="1:32" ht="16.5" customHeight="1" x14ac:dyDescent="0.3">
      <c r="A51" s="2">
        <v>15</v>
      </c>
      <c r="B51" s="2" t="s">
        <v>1526</v>
      </c>
      <c r="C51" s="60" t="s">
        <v>12356</v>
      </c>
      <c r="D51" s="1"/>
      <c r="E51" s="68"/>
      <c r="F51" s="70"/>
      <c r="G51" s="1"/>
      <c r="H51" s="68"/>
      <c r="I51" s="70"/>
      <c r="J51" s="1"/>
      <c r="K51" s="68"/>
      <c r="L51" s="70"/>
      <c r="M51" s="74"/>
      <c r="N51" s="62"/>
      <c r="O51" s="63"/>
      <c r="P51" s="83"/>
      <c r="Q51" s="64"/>
      <c r="R51" s="65"/>
      <c r="S51" s="99"/>
      <c r="T51" s="70"/>
      <c r="U51" s="99"/>
      <c r="V51" s="70"/>
      <c r="W51" s="74" t="s">
        <v>17987</v>
      </c>
      <c r="X51" s="62"/>
      <c r="Y51" s="63"/>
      <c r="Z51" s="75"/>
      <c r="AA51" s="1"/>
      <c r="AB51" s="68" t="s">
        <v>1</v>
      </c>
      <c r="AC51" s="76">
        <v>0.4</v>
      </c>
      <c r="AD51" s="70" t="s">
        <v>422</v>
      </c>
      <c r="AE51" s="228">
        <f>ROUND((ROUND((_15_同援日０．５*(1+_15・盲ろう)),0)*(1+_15・区４)),0)+ROUND((ROUND((ROUND((_15_同援日０．５＿０．５*(1+_15・B夜間)),0)*(1+_15・盲ろう)),0)*(1+_15・区４)),0)+ROUND((ROUND((ROUND((_15_同援日０．５＿０．５＿１．０*(1+_15・C深夜)),0)*(1+_15・盲ろう)),0)*(1+_15・区４)),0)</f>
        <v>1067</v>
      </c>
      <c r="AF51" s="69"/>
    </row>
    <row r="52" spans="1:32" ht="16.5" customHeight="1" x14ac:dyDescent="0.3">
      <c r="A52" s="2">
        <v>15</v>
      </c>
      <c r="B52" s="2" t="s">
        <v>1527</v>
      </c>
      <c r="C52" s="60" t="s">
        <v>12355</v>
      </c>
      <c r="D52" s="1"/>
      <c r="E52" s="68"/>
      <c r="F52" s="70"/>
      <c r="G52" s="1"/>
      <c r="H52" s="68"/>
      <c r="I52" s="70"/>
      <c r="J52" s="1"/>
      <c r="K52" s="68"/>
      <c r="L52" s="70"/>
      <c r="M52" s="81"/>
      <c r="N52" s="57"/>
      <c r="O52" s="58"/>
      <c r="P52" s="83" t="s">
        <v>5895</v>
      </c>
      <c r="Q52" s="64" t="s">
        <v>1</v>
      </c>
      <c r="R52" s="65">
        <v>1</v>
      </c>
      <c r="S52" s="99"/>
      <c r="T52" s="70"/>
      <c r="U52" s="99"/>
      <c r="V52" s="70"/>
      <c r="W52" s="1" t="s">
        <v>17973</v>
      </c>
      <c r="X52" s="68"/>
      <c r="Y52" s="76"/>
      <c r="Z52" s="70"/>
      <c r="AA52" s="1"/>
      <c r="AB52" s="68"/>
      <c r="AC52" s="76"/>
      <c r="AD52" s="70"/>
      <c r="AE52" s="228">
        <f>ROUND((ROUND((ROUND((_15_同援日０．５*_15・２人),0)*(1+_15・盲ろう)),0)*(1+_15・区４)),0)+ROUND((ROUND((ROUND((ROUND((_15_同援日０．５＿０．５*_15・２人),0)*(1+_15・B夜間)),0)*(1+_15・盲ろう)),0)*(1+_15・区４)),0)+ROUND((ROUND((ROUND((ROUND((_15_同援日０．５＿０．５＿１．０*_15・２人),0)*(1+_15・C深夜)),0)*(1+_15・盲ろう)),0)*(1+_15・区４)),0)</f>
        <v>1067</v>
      </c>
      <c r="AF52" s="69"/>
    </row>
    <row r="53" spans="1:32" ht="16.5" customHeight="1" x14ac:dyDescent="0.3">
      <c r="A53" s="2">
        <v>15</v>
      </c>
      <c r="B53" s="2" t="s">
        <v>1528</v>
      </c>
      <c r="C53" s="60" t="s">
        <v>12354</v>
      </c>
      <c r="D53" s="1"/>
      <c r="E53" s="68"/>
      <c r="F53" s="70"/>
      <c r="G53" s="1"/>
      <c r="H53" s="68"/>
      <c r="I53" s="70"/>
      <c r="J53" s="1"/>
      <c r="K53" s="68"/>
      <c r="L53" s="70"/>
      <c r="M53" s="74" t="s">
        <v>17972</v>
      </c>
      <c r="N53" s="62"/>
      <c r="O53" s="63"/>
      <c r="P53" s="83"/>
      <c r="Q53" s="64"/>
      <c r="R53" s="65"/>
      <c r="S53" s="99"/>
      <c r="T53" s="70"/>
      <c r="U53" s="99"/>
      <c r="V53" s="70"/>
      <c r="W53" s="1"/>
      <c r="X53" s="68" t="s">
        <v>1</v>
      </c>
      <c r="Y53" s="76">
        <v>0.25</v>
      </c>
      <c r="Z53" s="70" t="s">
        <v>422</v>
      </c>
      <c r="AA53" s="1"/>
      <c r="AB53" s="68"/>
      <c r="AC53" s="76"/>
      <c r="AD53" s="70"/>
      <c r="AE53" s="228">
        <f>ROUND((ROUND((ROUND((_15_同援日０．５*_15・基礎２),0)*(1+_15・盲ろう)),0)*(1+_15・区４)),0)+ROUND((ROUND((ROUND((ROUND((_15_同援日０．５＿０．５*_15・基礎２),0)*(1+_15・B夜間)),0)*(1+_15・盲ろう)),0)*(1+_15・区４)),0)+ROUND((ROUND((ROUND((ROUND((_15_同援日０．５＿０．５＿１．０*_15・基礎２),0)*(1+_15・C深夜)),0)*(1+_15・盲ろう)),0)*(1+_15・区４)),0)</f>
        <v>958</v>
      </c>
      <c r="AF53" s="69"/>
    </row>
    <row r="54" spans="1:32" ht="16.5" customHeight="1" x14ac:dyDescent="0.3">
      <c r="A54" s="2">
        <v>15</v>
      </c>
      <c r="B54" s="2" t="s">
        <v>1529</v>
      </c>
      <c r="C54" s="60" t="s">
        <v>12353</v>
      </c>
      <c r="D54" s="1"/>
      <c r="E54" s="68"/>
      <c r="F54" s="70"/>
      <c r="G54" s="1"/>
      <c r="H54" s="68"/>
      <c r="I54" s="70"/>
      <c r="J54" s="81"/>
      <c r="K54" s="57"/>
      <c r="L54" s="77"/>
      <c r="M54" s="81" t="s">
        <v>17864</v>
      </c>
      <c r="N54" s="57" t="s">
        <v>1</v>
      </c>
      <c r="O54" s="58">
        <v>0.9</v>
      </c>
      <c r="P54" s="83" t="s">
        <v>5895</v>
      </c>
      <c r="Q54" s="64" t="s">
        <v>1</v>
      </c>
      <c r="R54" s="65">
        <v>1</v>
      </c>
      <c r="S54" s="99"/>
      <c r="T54" s="70"/>
      <c r="U54" s="99"/>
      <c r="V54" s="70"/>
      <c r="W54" s="81"/>
      <c r="X54" s="57"/>
      <c r="Y54" s="58"/>
      <c r="Z54" s="77"/>
      <c r="AA54" s="81"/>
      <c r="AB54" s="57"/>
      <c r="AC54" s="58"/>
      <c r="AD54" s="77"/>
      <c r="AE54" s="228">
        <f>ROUND((ROUND((ROUND((ROUND((_15_同援日０．５*_15・基礎２),0)*_15・２人),0)*(1+_15・盲ろう)),0)*(1+_15・区４)),0)+ROUND((ROUND((ROUND((ROUND((ROUND((_15_同援日０．５＿０．５*_15・基礎２),0)*_15・２人),0)*(1+_15・B夜間)),0)*(1+_15・盲ろう)),0)*(1+_15・区４)),0)+ROUND((ROUND((ROUND((ROUND((ROUND((_15_同援日０．５＿０．５＿１．０*_15・基礎２),0)*_15・２人),0)*(1+_15・C深夜)),0)*(1+_15・盲ろう)),0)*(1+_15・区４)),0)</f>
        <v>958</v>
      </c>
      <c r="AF54" s="69"/>
    </row>
    <row r="55" spans="1:32" ht="16.5" customHeight="1" x14ac:dyDescent="0.3">
      <c r="A55" s="2">
        <v>15</v>
      </c>
      <c r="B55" s="2" t="s">
        <v>1530</v>
      </c>
      <c r="C55" s="60" t="s">
        <v>12352</v>
      </c>
      <c r="D55" s="1"/>
      <c r="E55" s="68"/>
      <c r="F55" s="70"/>
      <c r="G55" s="1"/>
      <c r="H55" s="68"/>
      <c r="I55" s="70"/>
      <c r="J55" s="74" t="s">
        <v>18159</v>
      </c>
      <c r="K55" s="62"/>
      <c r="L55" s="75"/>
      <c r="M55" s="74"/>
      <c r="N55" s="62"/>
      <c r="O55" s="63"/>
      <c r="P55" s="83"/>
      <c r="Q55" s="64"/>
      <c r="R55" s="65"/>
      <c r="S55" s="99"/>
      <c r="T55" s="70"/>
      <c r="U55" s="99"/>
      <c r="V55" s="70"/>
      <c r="W55" s="74"/>
      <c r="X55" s="62"/>
      <c r="Y55" s="63"/>
      <c r="Z55" s="75"/>
      <c r="AA55" s="74"/>
      <c r="AB55" s="62"/>
      <c r="AC55" s="63"/>
      <c r="AD55" s="75"/>
      <c r="AE55" s="228">
        <f>_15_同援日０．５+ROUND((_15_同援日０．５＿０．５*(1+_15・B夜間)),0)+ROUND((_15_同援日０．５＿０．５＿１．５*(1+_15・C深夜)),0)</f>
        <v>703</v>
      </c>
      <c r="AF55" s="69"/>
    </row>
    <row r="56" spans="1:32" ht="16.5" customHeight="1" x14ac:dyDescent="0.3">
      <c r="A56" s="2">
        <v>15</v>
      </c>
      <c r="B56" s="2" t="s">
        <v>1531</v>
      </c>
      <c r="C56" s="60" t="s">
        <v>12351</v>
      </c>
      <c r="D56" s="1"/>
      <c r="E56" s="68"/>
      <c r="F56" s="70"/>
      <c r="G56" s="1"/>
      <c r="H56" s="68"/>
      <c r="I56" s="70"/>
      <c r="J56" s="1" t="s">
        <v>18156</v>
      </c>
      <c r="K56" s="68"/>
      <c r="L56" s="70"/>
      <c r="M56" s="81"/>
      <c r="N56" s="57"/>
      <c r="O56" s="58"/>
      <c r="P56" s="83" t="s">
        <v>5895</v>
      </c>
      <c r="Q56" s="64" t="s">
        <v>1</v>
      </c>
      <c r="R56" s="65">
        <v>1</v>
      </c>
      <c r="S56" s="99"/>
      <c r="T56" s="70"/>
      <c r="U56" s="99"/>
      <c r="V56" s="70"/>
      <c r="W56" s="1"/>
      <c r="X56" s="68"/>
      <c r="Y56" s="76"/>
      <c r="Z56" s="70"/>
      <c r="AA56" s="1"/>
      <c r="AB56" s="68"/>
      <c r="AC56" s="76"/>
      <c r="AD56" s="70"/>
      <c r="AE56" s="228">
        <f>ROUND((_15_同援日０．５*_15・２人),0)+ROUND((ROUND((_15_同援日０．５＿０．５*_15・２人),0)*(1+_15・B夜間)),0)+ROUND((ROUND((_15_同援日０．５＿０．５＿１．５*_15・２人),0)*(1+_15・C深夜)),0)</f>
        <v>703</v>
      </c>
      <c r="AF56" s="69"/>
    </row>
    <row r="57" spans="1:32" ht="16.5" customHeight="1" x14ac:dyDescent="0.3">
      <c r="A57" s="2">
        <v>15</v>
      </c>
      <c r="B57" s="2" t="s">
        <v>1532</v>
      </c>
      <c r="C57" s="60" t="s">
        <v>12350</v>
      </c>
      <c r="D57" s="1"/>
      <c r="E57" s="68"/>
      <c r="F57" s="70"/>
      <c r="G57" s="1"/>
      <c r="H57" s="68"/>
      <c r="I57" s="70"/>
      <c r="J57" s="1" t="s">
        <v>8767</v>
      </c>
      <c r="K57" s="68"/>
      <c r="L57" s="70"/>
      <c r="M57" s="74" t="s">
        <v>17972</v>
      </c>
      <c r="N57" s="62"/>
      <c r="O57" s="63"/>
      <c r="P57" s="83"/>
      <c r="Q57" s="64"/>
      <c r="R57" s="65"/>
      <c r="S57" s="99"/>
      <c r="T57" s="70"/>
      <c r="U57" s="99"/>
      <c r="V57" s="70"/>
      <c r="W57" s="1"/>
      <c r="X57" s="68"/>
      <c r="Y57" s="76"/>
      <c r="Z57" s="70"/>
      <c r="AA57" s="1"/>
      <c r="AB57" s="68"/>
      <c r="AC57" s="76"/>
      <c r="AD57" s="70"/>
      <c r="AE57" s="228">
        <f>ROUND((_15_同援日０．５*_15・基礎２),0)+ROUND((ROUND((_15_同援日０．５＿０．５*_15・基礎２),0)*(1+_15・B夜間)),0)+ROUND((ROUND((_15_同援日０．５＿０．５＿１．５*_15・基礎２),0)*(1+_15・C深夜)),0)</f>
        <v>632</v>
      </c>
      <c r="AF57" s="69"/>
    </row>
    <row r="58" spans="1:32" ht="16.5" customHeight="1" x14ac:dyDescent="0.3">
      <c r="A58" s="2">
        <v>15</v>
      </c>
      <c r="B58" s="2" t="s">
        <v>1533</v>
      </c>
      <c r="C58" s="60" t="s">
        <v>12349</v>
      </c>
      <c r="D58" s="1"/>
      <c r="E58" s="68"/>
      <c r="F58" s="70"/>
      <c r="G58" s="1"/>
      <c r="H58" s="68"/>
      <c r="I58" s="70"/>
      <c r="J58" s="1"/>
      <c r="K58" s="119">
        <v>256</v>
      </c>
      <c r="L58" s="70" t="s">
        <v>0</v>
      </c>
      <c r="M58" s="81" t="s">
        <v>17864</v>
      </c>
      <c r="N58" s="57" t="s">
        <v>1</v>
      </c>
      <c r="O58" s="58">
        <v>0.9</v>
      </c>
      <c r="P58" s="83" t="s">
        <v>5895</v>
      </c>
      <c r="Q58" s="64" t="s">
        <v>1</v>
      </c>
      <c r="R58" s="65">
        <v>1</v>
      </c>
      <c r="S58" s="99"/>
      <c r="T58" s="70"/>
      <c r="U58" s="99"/>
      <c r="V58" s="70"/>
      <c r="W58" s="81"/>
      <c r="X58" s="57"/>
      <c r="Y58" s="58"/>
      <c r="Z58" s="77"/>
      <c r="AA58" s="1"/>
      <c r="AB58" s="68"/>
      <c r="AC58" s="76"/>
      <c r="AD58" s="70"/>
      <c r="AE58" s="228">
        <f>ROUND((ROUND((_15_同援日０．５*_15・基礎２),0)*_15・２人),0)+ROUND((ROUND((ROUND((_15_同援日０．５＿０．５*_15・基礎２),0)*_15・２人),0)*(1+_15・B夜間)),0)+ROUND((ROUND((ROUND((_15_同援日０．５＿０．５＿１．５*_15・基礎２),0)*_15・２人),0)*(1+_15・C深夜)),0)</f>
        <v>632</v>
      </c>
      <c r="AF58" s="69"/>
    </row>
    <row r="59" spans="1:32" ht="16.5" customHeight="1" x14ac:dyDescent="0.3">
      <c r="A59" s="2">
        <v>15</v>
      </c>
      <c r="B59" s="2" t="s">
        <v>1534</v>
      </c>
      <c r="C59" s="60" t="s">
        <v>12348</v>
      </c>
      <c r="D59" s="1"/>
      <c r="E59" s="68"/>
      <c r="F59" s="70"/>
      <c r="G59" s="1"/>
      <c r="H59" s="68"/>
      <c r="I59" s="70"/>
      <c r="J59" s="1"/>
      <c r="K59" s="68"/>
      <c r="L59" s="70"/>
      <c r="M59" s="74"/>
      <c r="N59" s="62"/>
      <c r="O59" s="63"/>
      <c r="P59" s="83"/>
      <c r="Q59" s="64"/>
      <c r="R59" s="65"/>
      <c r="S59" s="99"/>
      <c r="T59" s="70"/>
      <c r="U59" s="99"/>
      <c r="V59" s="70"/>
      <c r="W59" s="74" t="s">
        <v>17987</v>
      </c>
      <c r="X59" s="62"/>
      <c r="Y59" s="63"/>
      <c r="Z59" s="75"/>
      <c r="AA59" s="1"/>
      <c r="AB59" s="68"/>
      <c r="AC59" s="76"/>
      <c r="AD59" s="70"/>
      <c r="AE59" s="228">
        <f>ROUND((_15_同援日０．５*(1+_15・盲ろう)),0)+ROUND((ROUND((_15_同援日０．５＿０．５*(1+_15・B夜間)),0)*(1+_15・盲ろう)),0)+ROUND((ROUND((_15_同援日０．５＿０．５＿１．５*(1+_15・C深夜)),0)*(1+_15・盲ろう)),0)</f>
        <v>879</v>
      </c>
      <c r="AF59" s="69"/>
    </row>
    <row r="60" spans="1:32" ht="16.5" customHeight="1" x14ac:dyDescent="0.3">
      <c r="A60" s="2">
        <v>15</v>
      </c>
      <c r="B60" s="2" t="s">
        <v>1535</v>
      </c>
      <c r="C60" s="60" t="s">
        <v>12347</v>
      </c>
      <c r="D60" s="1"/>
      <c r="E60" s="68"/>
      <c r="F60" s="70"/>
      <c r="G60" s="1"/>
      <c r="H60" s="68"/>
      <c r="I60" s="70"/>
      <c r="J60" s="1"/>
      <c r="K60" s="68"/>
      <c r="L60" s="70"/>
      <c r="M60" s="81"/>
      <c r="N60" s="57"/>
      <c r="O60" s="58"/>
      <c r="P60" s="83" t="s">
        <v>5895</v>
      </c>
      <c r="Q60" s="64" t="s">
        <v>1</v>
      </c>
      <c r="R60" s="65">
        <v>1</v>
      </c>
      <c r="S60" s="99"/>
      <c r="T60" s="70"/>
      <c r="U60" s="99"/>
      <c r="V60" s="70"/>
      <c r="W60" s="1" t="s">
        <v>17973</v>
      </c>
      <c r="X60" s="68"/>
      <c r="Y60" s="76"/>
      <c r="Z60" s="70"/>
      <c r="AA60" s="1"/>
      <c r="AB60" s="68"/>
      <c r="AC60" s="76"/>
      <c r="AD60" s="70"/>
      <c r="AE60" s="228">
        <f>ROUND((ROUND((_15_同援日０．５*_15・２人),0)*(1+_15・盲ろう)),0)+ROUND((ROUND((ROUND((_15_同援日０．５＿０．５*_15・２人),0)*(1+_15・B夜間)),0)*(1+_15・盲ろう)),0)+ROUND((ROUND((ROUND((_15_同援日０．５＿０．５＿１．５*_15・２人),0)*(1+_15・C深夜)),0)*(1+_15・盲ろう)),0)</f>
        <v>879</v>
      </c>
      <c r="AF60" s="69"/>
    </row>
    <row r="61" spans="1:32" ht="16.5" customHeight="1" x14ac:dyDescent="0.3">
      <c r="A61" s="2">
        <v>15</v>
      </c>
      <c r="B61" s="2" t="s">
        <v>1536</v>
      </c>
      <c r="C61" s="60" t="s">
        <v>12346</v>
      </c>
      <c r="D61" s="1"/>
      <c r="E61" s="68"/>
      <c r="F61" s="70"/>
      <c r="G61" s="1"/>
      <c r="H61" s="68"/>
      <c r="I61" s="70"/>
      <c r="J61" s="1"/>
      <c r="K61" s="68"/>
      <c r="L61" s="70"/>
      <c r="M61" s="74" t="s">
        <v>17972</v>
      </c>
      <c r="N61" s="62"/>
      <c r="O61" s="63"/>
      <c r="P61" s="83"/>
      <c r="Q61" s="64"/>
      <c r="R61" s="65"/>
      <c r="S61" s="99"/>
      <c r="T61" s="70"/>
      <c r="U61" s="99"/>
      <c r="V61" s="70"/>
      <c r="W61" s="1"/>
      <c r="X61" s="68" t="s">
        <v>1</v>
      </c>
      <c r="Y61" s="76">
        <v>0.25</v>
      </c>
      <c r="Z61" s="70" t="s">
        <v>422</v>
      </c>
      <c r="AA61" s="1"/>
      <c r="AB61" s="68"/>
      <c r="AC61" s="76"/>
      <c r="AD61" s="70"/>
      <c r="AE61" s="228">
        <f>ROUND((ROUND((_15_同援日０．５*_15・基礎２),0)*(1+_15・盲ろう)),0)+ROUND((ROUND((ROUND((_15_同援日０．５＿０．５*_15・基礎２),0)*(1+_15・B夜間)),0)*(1+_15・盲ろう)),0)+ROUND((ROUND((ROUND((_15_同援日０．５＿０．５＿１．５*_15・基礎２),0)*(1+_15・C深夜)),0)*(1+_15・盲ろう)),0)</f>
        <v>790</v>
      </c>
      <c r="AF61" s="69"/>
    </row>
    <row r="62" spans="1:32" ht="16.5" customHeight="1" x14ac:dyDescent="0.3">
      <c r="A62" s="2">
        <v>15</v>
      </c>
      <c r="B62" s="2" t="s">
        <v>1537</v>
      </c>
      <c r="C62" s="60" t="s">
        <v>12345</v>
      </c>
      <c r="D62" s="1"/>
      <c r="E62" s="68"/>
      <c r="F62" s="70"/>
      <c r="G62" s="1"/>
      <c r="H62" s="68"/>
      <c r="I62" s="70"/>
      <c r="J62" s="1"/>
      <c r="K62" s="68"/>
      <c r="L62" s="70"/>
      <c r="M62" s="81" t="s">
        <v>17864</v>
      </c>
      <c r="N62" s="57" t="s">
        <v>1</v>
      </c>
      <c r="O62" s="58">
        <v>0.9</v>
      </c>
      <c r="P62" s="83" t="s">
        <v>5895</v>
      </c>
      <c r="Q62" s="64" t="s">
        <v>1</v>
      </c>
      <c r="R62" s="65">
        <v>1</v>
      </c>
      <c r="S62" s="99"/>
      <c r="T62" s="70"/>
      <c r="U62" s="99"/>
      <c r="V62" s="70"/>
      <c r="W62" s="81"/>
      <c r="X62" s="57"/>
      <c r="Y62" s="58"/>
      <c r="Z62" s="77"/>
      <c r="AA62" s="81"/>
      <c r="AB62" s="57"/>
      <c r="AC62" s="58"/>
      <c r="AD62" s="77"/>
      <c r="AE62" s="228">
        <f>ROUND((ROUND((ROUND((_15_同援日０．５*_15・基礎２),0)*_15・２人),0)*(1+_15・盲ろう)),0)+ROUND((ROUND((ROUND((ROUND((_15_同援日０．５＿０．５*_15・基礎２),0)*_15・２人),0)*(1+_15・B夜間)),0)*(1+_15・盲ろう)),0)+ROUND((ROUND((ROUND((ROUND((_15_同援日０．５＿０．５＿１．５*_15・基礎２),0)*_15・２人),0)*(1+_15・C深夜)),0)*(1+_15・盲ろう)),0)</f>
        <v>790</v>
      </c>
      <c r="AF62" s="69"/>
    </row>
    <row r="63" spans="1:32" ht="16.5" customHeight="1" x14ac:dyDescent="0.3">
      <c r="A63" s="2">
        <v>15</v>
      </c>
      <c r="B63" s="2" t="s">
        <v>1538</v>
      </c>
      <c r="C63" s="60" t="s">
        <v>12344</v>
      </c>
      <c r="D63" s="1"/>
      <c r="E63" s="68"/>
      <c r="F63" s="70"/>
      <c r="G63" s="1"/>
      <c r="H63" s="68"/>
      <c r="I63" s="70"/>
      <c r="J63" s="1"/>
      <c r="K63" s="68"/>
      <c r="L63" s="70"/>
      <c r="M63" s="74"/>
      <c r="N63" s="62"/>
      <c r="O63" s="63"/>
      <c r="P63" s="83"/>
      <c r="Q63" s="64"/>
      <c r="R63" s="65"/>
      <c r="S63" s="99"/>
      <c r="T63" s="70"/>
      <c r="U63" s="99"/>
      <c r="V63" s="70"/>
      <c r="W63" s="74"/>
      <c r="X63" s="62"/>
      <c r="Y63" s="63"/>
      <c r="Z63" s="75"/>
      <c r="AA63" s="74"/>
      <c r="AB63" s="62"/>
      <c r="AC63" s="63"/>
      <c r="AD63" s="75"/>
      <c r="AE63" s="228">
        <f>ROUND((_15_同援日０．５*(1+_15・区３)),0)+ROUND((ROUND((_15_同援日０．５＿０．５*(1+_15・B夜間)),0)*(1+_15・区３)),0)+ROUND((ROUND((_15_同援日０．５＿０．５＿１．５*(1+_15・C深夜)),0)*(1+_15・区３)),0)</f>
        <v>844</v>
      </c>
      <c r="AF63" s="69"/>
    </row>
    <row r="64" spans="1:32" ht="16.5" customHeight="1" x14ac:dyDescent="0.3">
      <c r="A64" s="2">
        <v>15</v>
      </c>
      <c r="B64" s="2" t="s">
        <v>1539</v>
      </c>
      <c r="C64" s="60" t="s">
        <v>12343</v>
      </c>
      <c r="D64" s="1"/>
      <c r="E64" s="68"/>
      <c r="F64" s="70"/>
      <c r="G64" s="1"/>
      <c r="H64" s="68"/>
      <c r="I64" s="70"/>
      <c r="J64" s="1"/>
      <c r="K64" s="68"/>
      <c r="L64" s="70"/>
      <c r="M64" s="81"/>
      <c r="N64" s="57"/>
      <c r="O64" s="58"/>
      <c r="P64" s="83" t="s">
        <v>5895</v>
      </c>
      <c r="Q64" s="64" t="s">
        <v>1</v>
      </c>
      <c r="R64" s="65">
        <v>1</v>
      </c>
      <c r="S64" s="99"/>
      <c r="T64" s="70"/>
      <c r="U64" s="99"/>
      <c r="V64" s="70"/>
      <c r="W64" s="1"/>
      <c r="X64" s="68"/>
      <c r="Y64" s="76"/>
      <c r="Z64" s="70"/>
      <c r="AA64" s="1"/>
      <c r="AB64" s="68"/>
      <c r="AC64" s="76"/>
      <c r="AD64" s="70"/>
      <c r="AE64" s="228">
        <f>ROUND((ROUND((_15_同援日０．５*_15・２人),0)*(1+_15・区３)),0)+ROUND((ROUND((ROUND((_15_同援日０．５＿０．５*_15・２人),0)*(1+_15・B夜間)),0)*(1+_15・区３)),0)+ROUND((ROUND((ROUND((_15_同援日０．５＿０．５＿１．５*_15・２人),0)*(1+_15・C深夜)),0)*(1+_15・区３)),0)</f>
        <v>844</v>
      </c>
      <c r="AF64" s="69"/>
    </row>
    <row r="65" spans="1:32" ht="16.5" customHeight="1" x14ac:dyDescent="0.3">
      <c r="A65" s="2">
        <v>15</v>
      </c>
      <c r="B65" s="2" t="s">
        <v>1540</v>
      </c>
      <c r="C65" s="60" t="s">
        <v>12342</v>
      </c>
      <c r="D65" s="1"/>
      <c r="E65" s="68"/>
      <c r="F65" s="70"/>
      <c r="G65" s="1"/>
      <c r="H65" s="68"/>
      <c r="I65" s="70"/>
      <c r="J65" s="1"/>
      <c r="K65" s="68"/>
      <c r="L65" s="70"/>
      <c r="M65" s="74" t="s">
        <v>17972</v>
      </c>
      <c r="N65" s="62"/>
      <c r="O65" s="63"/>
      <c r="P65" s="83"/>
      <c r="Q65" s="64"/>
      <c r="R65" s="65"/>
      <c r="S65" s="99"/>
      <c r="T65" s="70"/>
      <c r="U65" s="99"/>
      <c r="V65" s="70"/>
      <c r="W65" s="1"/>
      <c r="X65" s="68"/>
      <c r="Y65" s="76"/>
      <c r="Z65" s="70"/>
      <c r="AA65" s="1" t="s">
        <v>17997</v>
      </c>
      <c r="AB65" s="68"/>
      <c r="AC65" s="76"/>
      <c r="AD65" s="70"/>
      <c r="AE65" s="228">
        <f>ROUND((ROUND((_15_同援日０．５*_15・基礎２),0)*(1+_15・区３)),0)+ROUND((ROUND((ROUND((_15_同援日０．５＿０．５*_15・基礎２),0)*(1+_15・B夜間)),0)*(1+_15・区３)),0)+ROUND((ROUND((ROUND((_15_同援日０．５＿０．５＿１．５*_15・基礎２),0)*(1+_15・C深夜)),0)*(1+_15・区３)),0)</f>
        <v>758</v>
      </c>
      <c r="AF65" s="69"/>
    </row>
    <row r="66" spans="1:32" ht="16.5" customHeight="1" x14ac:dyDescent="0.3">
      <c r="A66" s="2">
        <v>15</v>
      </c>
      <c r="B66" s="2" t="s">
        <v>1541</v>
      </c>
      <c r="C66" s="60" t="s">
        <v>12341</v>
      </c>
      <c r="D66" s="1"/>
      <c r="E66" s="68"/>
      <c r="F66" s="70"/>
      <c r="G66" s="1"/>
      <c r="H66" s="68"/>
      <c r="I66" s="70"/>
      <c r="J66" s="1"/>
      <c r="K66" s="68"/>
      <c r="L66" s="70"/>
      <c r="M66" s="81" t="s">
        <v>17864</v>
      </c>
      <c r="N66" s="57" t="s">
        <v>1</v>
      </c>
      <c r="O66" s="58">
        <v>0.9</v>
      </c>
      <c r="P66" s="83" t="s">
        <v>5895</v>
      </c>
      <c r="Q66" s="64" t="s">
        <v>1</v>
      </c>
      <c r="R66" s="65">
        <v>1</v>
      </c>
      <c r="S66" s="99"/>
      <c r="T66" s="70"/>
      <c r="U66" s="99"/>
      <c r="V66" s="70"/>
      <c r="W66" s="81"/>
      <c r="X66" s="57"/>
      <c r="Y66" s="58"/>
      <c r="Z66" s="77"/>
      <c r="AA66" s="1" t="s">
        <v>17980</v>
      </c>
      <c r="AB66" s="68"/>
      <c r="AC66" s="76"/>
      <c r="AD66" s="70"/>
      <c r="AE66" s="228">
        <f>ROUND((ROUND((ROUND((_15_同援日０．５*_15・基礎２),0)*_15・２人),0)*(1+_15・区３)),0)+ROUND((ROUND((ROUND((ROUND((_15_同援日０．５＿０．５*_15・基礎２),0)*_15・２人),0)*(1+_15・B夜間)),0)*(1+_15・区３)),0)+ROUND((ROUND((ROUND((ROUND((_15_同援日０．５＿０．５＿１．５*_15・基礎２),0)*_15・２人),0)*(1+_15・C深夜)),0)*(1+_15・区３)),0)</f>
        <v>758</v>
      </c>
      <c r="AF66" s="69"/>
    </row>
    <row r="67" spans="1:32" ht="16.5" customHeight="1" x14ac:dyDescent="0.3">
      <c r="A67" s="2">
        <v>15</v>
      </c>
      <c r="B67" s="2" t="s">
        <v>1542</v>
      </c>
      <c r="C67" s="60" t="s">
        <v>12340</v>
      </c>
      <c r="D67" s="1"/>
      <c r="E67" s="68"/>
      <c r="F67" s="70"/>
      <c r="G67" s="1"/>
      <c r="H67" s="68"/>
      <c r="I67" s="70"/>
      <c r="J67" s="1"/>
      <c r="K67" s="68"/>
      <c r="L67" s="70"/>
      <c r="M67" s="74"/>
      <c r="N67" s="62"/>
      <c r="O67" s="63"/>
      <c r="P67" s="83"/>
      <c r="Q67" s="64"/>
      <c r="R67" s="65"/>
      <c r="S67" s="99"/>
      <c r="T67" s="70"/>
      <c r="U67" s="99"/>
      <c r="V67" s="70"/>
      <c r="W67" s="74" t="s">
        <v>17987</v>
      </c>
      <c r="X67" s="62"/>
      <c r="Y67" s="63"/>
      <c r="Z67" s="75"/>
      <c r="AA67" s="1"/>
      <c r="AB67" s="68" t="s">
        <v>1</v>
      </c>
      <c r="AC67" s="76">
        <v>0.2</v>
      </c>
      <c r="AD67" s="70" t="s">
        <v>422</v>
      </c>
      <c r="AE67" s="228">
        <f>ROUND((ROUND((_15_同援日０．５*(1+_15・盲ろう)),0)*(1+_15・区３)),0)+ROUND((ROUND((ROUND((_15_同援日０．５＿０．５*(1+_15・B夜間)),0)*(1+_15・盲ろう)),0)*(1+_15・区３)),0)+ROUND((ROUND((ROUND((_15_同援日０．５＿０．５＿１．５*(1+_15・C深夜)),0)*(1+_15・盲ろう)),0)*(1+_15・区３)),0)</f>
        <v>1055</v>
      </c>
      <c r="AF67" s="69"/>
    </row>
    <row r="68" spans="1:32" ht="16.5" customHeight="1" x14ac:dyDescent="0.3">
      <c r="A68" s="2">
        <v>15</v>
      </c>
      <c r="B68" s="2" t="s">
        <v>1543</v>
      </c>
      <c r="C68" s="60" t="s">
        <v>12339</v>
      </c>
      <c r="D68" s="1"/>
      <c r="E68" s="68"/>
      <c r="F68" s="70"/>
      <c r="G68" s="1"/>
      <c r="H68" s="68"/>
      <c r="I68" s="70"/>
      <c r="J68" s="1"/>
      <c r="K68" s="68"/>
      <c r="L68" s="70"/>
      <c r="M68" s="81"/>
      <c r="N68" s="57"/>
      <c r="O68" s="58"/>
      <c r="P68" s="83" t="s">
        <v>5895</v>
      </c>
      <c r="Q68" s="64" t="s">
        <v>1</v>
      </c>
      <c r="R68" s="65">
        <v>1</v>
      </c>
      <c r="S68" s="99"/>
      <c r="T68" s="70"/>
      <c r="U68" s="99"/>
      <c r="V68" s="70"/>
      <c r="W68" s="1" t="s">
        <v>17973</v>
      </c>
      <c r="X68" s="68"/>
      <c r="Y68" s="76"/>
      <c r="Z68" s="70"/>
      <c r="AA68" s="1"/>
      <c r="AB68" s="68"/>
      <c r="AC68" s="76"/>
      <c r="AD68" s="70"/>
      <c r="AE68" s="228">
        <f>ROUND((ROUND((ROUND((_15_同援日０．５*_15・２人),0)*(1+_15・盲ろう)),0)*(1+_15・区３)),0)+ROUND((ROUND((ROUND((ROUND((_15_同援日０．５＿０．５*_15・２人),0)*(1+_15・B夜間)),0)*(1+_15・盲ろう)),0)*(1+_15・区３)),0)+ROUND((ROUND((ROUND((ROUND((_15_同援日０．５＿０．５＿１．５*_15・２人),0)*(1+_15・C深夜)),0)*(1+_15・盲ろう)),0)*(1+_15・区３)),0)</f>
        <v>1055</v>
      </c>
      <c r="AF68" s="69"/>
    </row>
    <row r="69" spans="1:32" ht="16.5" customHeight="1" x14ac:dyDescent="0.3">
      <c r="A69" s="2">
        <v>15</v>
      </c>
      <c r="B69" s="2" t="s">
        <v>1544</v>
      </c>
      <c r="C69" s="60" t="s">
        <v>12338</v>
      </c>
      <c r="D69" s="1"/>
      <c r="E69" s="68"/>
      <c r="F69" s="70"/>
      <c r="G69" s="1"/>
      <c r="H69" s="68"/>
      <c r="I69" s="70"/>
      <c r="J69" s="1"/>
      <c r="K69" s="68"/>
      <c r="L69" s="70"/>
      <c r="M69" s="74" t="s">
        <v>17972</v>
      </c>
      <c r="N69" s="62"/>
      <c r="O69" s="63"/>
      <c r="P69" s="83"/>
      <c r="Q69" s="64"/>
      <c r="R69" s="65"/>
      <c r="S69" s="99"/>
      <c r="T69" s="70"/>
      <c r="U69" s="99"/>
      <c r="V69" s="70"/>
      <c r="W69" s="1"/>
      <c r="X69" s="68" t="s">
        <v>1</v>
      </c>
      <c r="Y69" s="76">
        <v>0.25</v>
      </c>
      <c r="Z69" s="70" t="s">
        <v>422</v>
      </c>
      <c r="AA69" s="1"/>
      <c r="AB69" s="68"/>
      <c r="AC69" s="76"/>
      <c r="AD69" s="70"/>
      <c r="AE69" s="228">
        <f>ROUND((ROUND((ROUND((_15_同援日０．５*_15・基礎２),0)*(1+_15・盲ろう)),0)*(1+_15・区３)),0)+ROUND((ROUND((ROUND((ROUND((_15_同援日０．５＿０．５*_15・基礎２),0)*(1+_15・B夜間)),0)*(1+_15・盲ろう)),0)*(1+_15・区３)),0)+ROUND((ROUND((ROUND((ROUND((_15_同援日０．５＿０．５＿１．５*_15・基礎２),0)*(1+_15・C深夜)),0)*(1+_15・盲ろう)),0)*(1+_15・区３)),0)</f>
        <v>948</v>
      </c>
      <c r="AF69" s="69"/>
    </row>
    <row r="70" spans="1:32" ht="16.5" customHeight="1" x14ac:dyDescent="0.3">
      <c r="A70" s="2">
        <v>15</v>
      </c>
      <c r="B70" s="2" t="s">
        <v>1545</v>
      </c>
      <c r="C70" s="60" t="s">
        <v>12337</v>
      </c>
      <c r="D70" s="1"/>
      <c r="E70" s="68"/>
      <c r="F70" s="70"/>
      <c r="G70" s="1"/>
      <c r="H70" s="68"/>
      <c r="I70" s="70"/>
      <c r="J70" s="1"/>
      <c r="K70" s="68"/>
      <c r="L70" s="70"/>
      <c r="M70" s="81" t="s">
        <v>17864</v>
      </c>
      <c r="N70" s="57" t="s">
        <v>1</v>
      </c>
      <c r="O70" s="58">
        <v>0.9</v>
      </c>
      <c r="P70" s="83" t="s">
        <v>5895</v>
      </c>
      <c r="Q70" s="64" t="s">
        <v>1</v>
      </c>
      <c r="R70" s="65">
        <v>1</v>
      </c>
      <c r="S70" s="99"/>
      <c r="T70" s="70"/>
      <c r="U70" s="99"/>
      <c r="V70" s="70"/>
      <c r="W70" s="81"/>
      <c r="X70" s="57"/>
      <c r="Y70" s="58"/>
      <c r="Z70" s="77"/>
      <c r="AA70" s="81"/>
      <c r="AB70" s="57"/>
      <c r="AC70" s="58"/>
      <c r="AD70" s="77"/>
      <c r="AE70" s="228">
        <f>ROUND((ROUND((ROUND((ROUND((_15_同援日０．５*_15・基礎２),0)*_15・２人),0)*(1+_15・盲ろう)),0)*(1+_15・区３)),0)+ROUND((ROUND((ROUND((ROUND((ROUND((_15_同援日０．５＿０．５*_15・基礎２),0)*_15・２人),0)*(1+_15・B夜間)),0)*(1+_15・盲ろう)),0)*(1+_15・区３)),0)+ROUND((ROUND((ROUND((ROUND((ROUND((_15_同援日０．５＿０．５＿１．５*_15・基礎２),0)*_15・２人),0)*(1+_15・C深夜)),0)*(1+_15・盲ろう)),0)*(1+_15・区３)),0)</f>
        <v>948</v>
      </c>
      <c r="AF70" s="69"/>
    </row>
    <row r="71" spans="1:32" ht="16.5" customHeight="1" x14ac:dyDescent="0.3">
      <c r="A71" s="2">
        <v>15</v>
      </c>
      <c r="B71" s="2" t="s">
        <v>1546</v>
      </c>
      <c r="C71" s="60" t="s">
        <v>12336</v>
      </c>
      <c r="D71" s="1"/>
      <c r="E71" s="68"/>
      <c r="F71" s="70"/>
      <c r="G71" s="1"/>
      <c r="H71" s="68"/>
      <c r="I71" s="70"/>
      <c r="J71" s="1"/>
      <c r="K71" s="68"/>
      <c r="L71" s="70"/>
      <c r="M71" s="74"/>
      <c r="N71" s="62"/>
      <c r="O71" s="63"/>
      <c r="P71" s="83"/>
      <c r="Q71" s="64"/>
      <c r="R71" s="65"/>
      <c r="S71" s="99"/>
      <c r="T71" s="70"/>
      <c r="U71" s="99"/>
      <c r="V71" s="70"/>
      <c r="W71" s="74"/>
      <c r="X71" s="62"/>
      <c r="Y71" s="63"/>
      <c r="Z71" s="75"/>
      <c r="AA71" s="74"/>
      <c r="AB71" s="62"/>
      <c r="AC71" s="63"/>
      <c r="AD71" s="75"/>
      <c r="AE71" s="228">
        <f>ROUND((_15_同援日０．５*(1+_15・区４)),0)+ROUND((ROUND((_15_同援日０．５＿０．５*(1+_15・B夜間)),0)*(1+_15・区４)),0)+ROUND((ROUND((_15_同援日０．５＿０．５＿１．５*(1+_15・C深夜)),0)*(1+_15・区４)),0)</f>
        <v>985</v>
      </c>
      <c r="AF71" s="69"/>
    </row>
    <row r="72" spans="1:32" ht="16.5" customHeight="1" x14ac:dyDescent="0.3">
      <c r="A72" s="2">
        <v>15</v>
      </c>
      <c r="B72" s="2" t="s">
        <v>1547</v>
      </c>
      <c r="C72" s="60" t="s">
        <v>12335</v>
      </c>
      <c r="D72" s="1"/>
      <c r="E72" s="68"/>
      <c r="F72" s="70"/>
      <c r="G72" s="1"/>
      <c r="H72" s="68"/>
      <c r="I72" s="70"/>
      <c r="J72" s="1"/>
      <c r="K72" s="68"/>
      <c r="L72" s="70"/>
      <c r="M72" s="81"/>
      <c r="N72" s="57"/>
      <c r="O72" s="58"/>
      <c r="P72" s="83" t="s">
        <v>5895</v>
      </c>
      <c r="Q72" s="64" t="s">
        <v>1</v>
      </c>
      <c r="R72" s="65">
        <v>1</v>
      </c>
      <c r="S72" s="99"/>
      <c r="T72" s="70"/>
      <c r="U72" s="99"/>
      <c r="V72" s="70"/>
      <c r="W72" s="1"/>
      <c r="X72" s="68"/>
      <c r="Y72" s="76"/>
      <c r="Z72" s="70"/>
      <c r="AA72" s="1"/>
      <c r="AB72" s="68"/>
      <c r="AC72" s="76"/>
      <c r="AD72" s="70"/>
      <c r="AE72" s="228">
        <f>ROUND((ROUND((_15_同援日０．５*_15・２人),0)*(1+_15・区４)),0)+ROUND((ROUND((ROUND((_15_同援日０．５＿０．５*_15・２人),0)*(1+_15・B夜間)),0)*(1+_15・区４)),0)+ROUND((ROUND((ROUND((_15_同援日０．５＿０．５＿１．５*_15・２人),0)*(1+_15・C深夜)),0)*(1+_15・区４)),0)</f>
        <v>985</v>
      </c>
      <c r="AF72" s="69"/>
    </row>
    <row r="73" spans="1:32" ht="16.5" customHeight="1" x14ac:dyDescent="0.3">
      <c r="A73" s="2">
        <v>15</v>
      </c>
      <c r="B73" s="2" t="s">
        <v>1548</v>
      </c>
      <c r="C73" s="60" t="s">
        <v>12334</v>
      </c>
      <c r="D73" s="1"/>
      <c r="E73" s="68"/>
      <c r="F73" s="70"/>
      <c r="G73" s="1"/>
      <c r="H73" s="68"/>
      <c r="I73" s="70"/>
      <c r="J73" s="1"/>
      <c r="K73" s="68"/>
      <c r="L73" s="70"/>
      <c r="M73" s="74" t="s">
        <v>17972</v>
      </c>
      <c r="N73" s="62"/>
      <c r="O73" s="63"/>
      <c r="P73" s="83"/>
      <c r="Q73" s="64"/>
      <c r="R73" s="65"/>
      <c r="S73" s="99"/>
      <c r="T73" s="70"/>
      <c r="U73" s="99"/>
      <c r="V73" s="70"/>
      <c r="W73" s="1"/>
      <c r="X73" s="68"/>
      <c r="Y73" s="76"/>
      <c r="Z73" s="70"/>
      <c r="AA73" s="1" t="s">
        <v>17988</v>
      </c>
      <c r="AB73" s="68"/>
      <c r="AC73" s="76"/>
      <c r="AD73" s="70"/>
      <c r="AE73" s="228">
        <f>ROUND((ROUND((_15_同援日０．５*_15・基礎２),0)*(1+_15・区４)),0)+ROUND((ROUND((ROUND((_15_同援日０．５＿０．５*_15・基礎２),0)*(1+_15・B夜間)),0)*(1+_15・区４)),0)+ROUND((ROUND((ROUND((_15_同援日０．５＿０．５＿１．５*_15・基礎２),0)*(1+_15・C深夜)),0)*(1+_15・区４)),0)</f>
        <v>884</v>
      </c>
      <c r="AF73" s="69"/>
    </row>
    <row r="74" spans="1:32" ht="16.5" customHeight="1" x14ac:dyDescent="0.3">
      <c r="A74" s="2">
        <v>15</v>
      </c>
      <c r="B74" s="2" t="s">
        <v>1549</v>
      </c>
      <c r="C74" s="60" t="s">
        <v>12333</v>
      </c>
      <c r="D74" s="1"/>
      <c r="E74" s="68"/>
      <c r="F74" s="70"/>
      <c r="G74" s="1"/>
      <c r="H74" s="68"/>
      <c r="I74" s="70"/>
      <c r="J74" s="1"/>
      <c r="K74" s="68"/>
      <c r="L74" s="70"/>
      <c r="M74" s="81" t="s">
        <v>17864</v>
      </c>
      <c r="N74" s="57" t="s">
        <v>1</v>
      </c>
      <c r="O74" s="58">
        <v>0.9</v>
      </c>
      <c r="P74" s="83" t="s">
        <v>5895</v>
      </c>
      <c r="Q74" s="64" t="s">
        <v>1</v>
      </c>
      <c r="R74" s="65">
        <v>1</v>
      </c>
      <c r="S74" s="99"/>
      <c r="T74" s="70"/>
      <c r="U74" s="99"/>
      <c r="V74" s="70"/>
      <c r="W74" s="81"/>
      <c r="X74" s="57"/>
      <c r="Y74" s="58"/>
      <c r="Z74" s="77"/>
      <c r="AA74" s="1" t="s">
        <v>17996</v>
      </c>
      <c r="AB74" s="68"/>
      <c r="AC74" s="76"/>
      <c r="AD74" s="70"/>
      <c r="AE74" s="228">
        <f>ROUND((ROUND((ROUND((_15_同援日０．５*_15・基礎２),0)*_15・２人),0)*(1+_15・区４)),0)+ROUND((ROUND((ROUND((ROUND((_15_同援日０．５＿０．５*_15・基礎２),0)*_15・２人),0)*(1+_15・B夜間)),0)*(1+_15・区４)),0)+ROUND((ROUND((ROUND((ROUND((_15_同援日０．５＿０．５＿１．５*_15・基礎２),0)*_15・２人),0)*(1+_15・C深夜)),0)*(1+_15・区４)),0)</f>
        <v>884</v>
      </c>
      <c r="AF74" s="69"/>
    </row>
    <row r="75" spans="1:32" ht="16.5" customHeight="1" x14ac:dyDescent="0.3">
      <c r="A75" s="2">
        <v>15</v>
      </c>
      <c r="B75" s="2" t="s">
        <v>1550</v>
      </c>
      <c r="C75" s="60" t="s">
        <v>12332</v>
      </c>
      <c r="D75" s="1"/>
      <c r="E75" s="68"/>
      <c r="F75" s="70"/>
      <c r="G75" s="1"/>
      <c r="H75" s="68"/>
      <c r="I75" s="70"/>
      <c r="J75" s="1"/>
      <c r="K75" s="68"/>
      <c r="L75" s="70"/>
      <c r="M75" s="74"/>
      <c r="N75" s="62"/>
      <c r="O75" s="63"/>
      <c r="P75" s="83"/>
      <c r="Q75" s="64"/>
      <c r="R75" s="65"/>
      <c r="S75" s="99"/>
      <c r="T75" s="70"/>
      <c r="U75" s="99"/>
      <c r="V75" s="70"/>
      <c r="W75" s="74" t="s">
        <v>17987</v>
      </c>
      <c r="X75" s="62"/>
      <c r="Y75" s="63"/>
      <c r="Z75" s="75"/>
      <c r="AA75" s="1"/>
      <c r="AB75" s="68" t="s">
        <v>1</v>
      </c>
      <c r="AC75" s="76">
        <v>0.4</v>
      </c>
      <c r="AD75" s="70" t="s">
        <v>422</v>
      </c>
      <c r="AE75" s="228">
        <f>ROUND((ROUND((_15_同援日０．５*(1+_15・盲ろう)),0)*(1+_15・区４)),0)+ROUND((ROUND((ROUND((_15_同援日０．５＿０．５*(1+_15・B夜間)),0)*(1+_15・盲ろう)),0)*(1+_15・区４)),0)+ROUND((ROUND((ROUND((_15_同援日０．５＿０．５＿１．５*(1+_15・C深夜)),0)*(1+_15・盲ろう)),0)*(1+_15・区４)),0)</f>
        <v>1231</v>
      </c>
      <c r="AF75" s="69"/>
    </row>
    <row r="76" spans="1:32" ht="16.5" customHeight="1" x14ac:dyDescent="0.3">
      <c r="A76" s="2">
        <v>15</v>
      </c>
      <c r="B76" s="2" t="s">
        <v>1551</v>
      </c>
      <c r="C76" s="60" t="s">
        <v>12331</v>
      </c>
      <c r="D76" s="1"/>
      <c r="E76" s="68"/>
      <c r="F76" s="70"/>
      <c r="G76" s="1"/>
      <c r="H76" s="68"/>
      <c r="I76" s="70"/>
      <c r="J76" s="1"/>
      <c r="K76" s="68"/>
      <c r="L76" s="70"/>
      <c r="M76" s="81"/>
      <c r="N76" s="57"/>
      <c r="O76" s="58"/>
      <c r="P76" s="83" t="s">
        <v>5895</v>
      </c>
      <c r="Q76" s="64" t="s">
        <v>1</v>
      </c>
      <c r="R76" s="65">
        <v>1</v>
      </c>
      <c r="S76" s="99"/>
      <c r="T76" s="70"/>
      <c r="U76" s="99"/>
      <c r="V76" s="70"/>
      <c r="W76" s="1" t="s">
        <v>17973</v>
      </c>
      <c r="X76" s="68"/>
      <c r="Y76" s="76"/>
      <c r="Z76" s="70"/>
      <c r="AA76" s="1"/>
      <c r="AB76" s="68"/>
      <c r="AC76" s="76"/>
      <c r="AD76" s="70"/>
      <c r="AE76" s="228">
        <f>ROUND((ROUND((ROUND((_15_同援日０．５*_15・２人),0)*(1+_15・盲ろう)),0)*(1+_15・区４)),0)+ROUND((ROUND((ROUND((ROUND((_15_同援日０．５＿０．５*_15・２人),0)*(1+_15・B夜間)),0)*(1+_15・盲ろう)),0)*(1+_15・区４)),0)+ROUND((ROUND((ROUND((ROUND((_15_同援日０．５＿０．５＿１．５*_15・２人),0)*(1+_15・C深夜)),0)*(1+_15・盲ろう)),0)*(1+_15・区４)),0)</f>
        <v>1231</v>
      </c>
      <c r="AF76" s="69"/>
    </row>
    <row r="77" spans="1:32" ht="16.5" customHeight="1" x14ac:dyDescent="0.3">
      <c r="A77" s="2">
        <v>15</v>
      </c>
      <c r="B77" s="2" t="s">
        <v>1552</v>
      </c>
      <c r="C77" s="60" t="s">
        <v>12330</v>
      </c>
      <c r="D77" s="1"/>
      <c r="E77" s="68"/>
      <c r="F77" s="70"/>
      <c r="G77" s="1"/>
      <c r="H77" s="68"/>
      <c r="I77" s="70"/>
      <c r="J77" s="1"/>
      <c r="K77" s="68"/>
      <c r="L77" s="70"/>
      <c r="M77" s="74" t="s">
        <v>17972</v>
      </c>
      <c r="N77" s="62"/>
      <c r="O77" s="63"/>
      <c r="P77" s="83"/>
      <c r="Q77" s="64"/>
      <c r="R77" s="65"/>
      <c r="S77" s="99"/>
      <c r="T77" s="70"/>
      <c r="U77" s="99"/>
      <c r="V77" s="70"/>
      <c r="W77" s="1"/>
      <c r="X77" s="68" t="s">
        <v>1</v>
      </c>
      <c r="Y77" s="76">
        <v>0.25</v>
      </c>
      <c r="Z77" s="70" t="s">
        <v>422</v>
      </c>
      <c r="AA77" s="1"/>
      <c r="AB77" s="68"/>
      <c r="AC77" s="76"/>
      <c r="AD77" s="70"/>
      <c r="AE77" s="228">
        <f>ROUND((ROUND((ROUND((_15_同援日０．５*_15・基礎２),0)*(1+_15・盲ろう)),0)*(1+_15・区４)),0)+ROUND((ROUND((ROUND((ROUND((_15_同援日０．５＿０．５*_15・基礎２),0)*(1+_15・B夜間)),0)*(1+_15・盲ろう)),0)*(1+_15・区４)),0)+ROUND((ROUND((ROUND((ROUND((_15_同援日０．５＿０．５＿１．５*_15・基礎２),0)*(1+_15・C深夜)),0)*(1+_15・盲ろう)),0)*(1+_15・区４)),0)</f>
        <v>1105</v>
      </c>
      <c r="AF77" s="69"/>
    </row>
    <row r="78" spans="1:32" ht="16.5" customHeight="1" x14ac:dyDescent="0.3">
      <c r="A78" s="2">
        <v>15</v>
      </c>
      <c r="B78" s="2" t="s">
        <v>1553</v>
      </c>
      <c r="C78" s="60" t="s">
        <v>12329</v>
      </c>
      <c r="D78" s="1"/>
      <c r="E78" s="68"/>
      <c r="F78" s="70"/>
      <c r="G78" s="1"/>
      <c r="H78" s="68"/>
      <c r="I78" s="70"/>
      <c r="J78" s="81"/>
      <c r="K78" s="57"/>
      <c r="L78" s="77"/>
      <c r="M78" s="81" t="s">
        <v>17864</v>
      </c>
      <c r="N78" s="57" t="s">
        <v>1</v>
      </c>
      <c r="O78" s="58">
        <v>0.9</v>
      </c>
      <c r="P78" s="83" t="s">
        <v>5895</v>
      </c>
      <c r="Q78" s="64" t="s">
        <v>1</v>
      </c>
      <c r="R78" s="65">
        <v>1</v>
      </c>
      <c r="S78" s="99"/>
      <c r="T78" s="70"/>
      <c r="U78" s="99"/>
      <c r="V78" s="70"/>
      <c r="W78" s="81"/>
      <c r="X78" s="57"/>
      <c r="Y78" s="58"/>
      <c r="Z78" s="77"/>
      <c r="AA78" s="81"/>
      <c r="AB78" s="57"/>
      <c r="AC78" s="58"/>
      <c r="AD78" s="77"/>
      <c r="AE78" s="228">
        <f>ROUND((ROUND((ROUND((ROUND((_15_同援日０．５*_15・基礎２),0)*_15・２人),0)*(1+_15・盲ろう)),0)*(1+_15・区４)),0)+ROUND((ROUND((ROUND((ROUND((ROUND((_15_同援日０．５＿０．５*_15・基礎２),0)*_15・２人),0)*(1+_15・B夜間)),0)*(1+_15・盲ろう)),0)*(1+_15・区４)),0)+ROUND((ROUND((ROUND((ROUND((ROUND((_15_同援日０．５＿０．５＿１．５*_15・基礎２),0)*_15・２人),0)*(1+_15・C深夜)),0)*(1+_15・盲ろう)),0)*(1+_15・区４)),0)</f>
        <v>1105</v>
      </c>
      <c r="AF78" s="69"/>
    </row>
    <row r="79" spans="1:32" ht="16.5" customHeight="1" x14ac:dyDescent="0.3">
      <c r="A79" s="2">
        <v>15</v>
      </c>
      <c r="B79" s="2" t="s">
        <v>1554</v>
      </c>
      <c r="C79" s="60" t="s">
        <v>12328</v>
      </c>
      <c r="D79" s="1"/>
      <c r="E79" s="68"/>
      <c r="F79" s="70"/>
      <c r="G79" s="1"/>
      <c r="H79" s="68"/>
      <c r="I79" s="70"/>
      <c r="J79" s="74" t="s">
        <v>18164</v>
      </c>
      <c r="K79" s="62"/>
      <c r="L79" s="75"/>
      <c r="M79" s="74"/>
      <c r="N79" s="62"/>
      <c r="O79" s="63"/>
      <c r="P79" s="83"/>
      <c r="Q79" s="64"/>
      <c r="R79" s="65"/>
      <c r="S79" s="99"/>
      <c r="T79" s="70"/>
      <c r="U79" s="99"/>
      <c r="V79" s="70"/>
      <c r="W79" s="74"/>
      <c r="X79" s="62"/>
      <c r="Y79" s="63"/>
      <c r="Z79" s="75"/>
      <c r="AA79" s="74"/>
      <c r="AB79" s="62"/>
      <c r="AC79" s="63"/>
      <c r="AD79" s="75"/>
      <c r="AE79" s="228">
        <f>_15_同援日０．５+ROUND((_15_同援日０．５＿０．５*(1+_15・B夜間)),0)+ROUND((_15_同援日０．５＿０．５＿２．０*(1+_15・C深夜)),0)</f>
        <v>798</v>
      </c>
      <c r="AF79" s="69"/>
    </row>
    <row r="80" spans="1:32" ht="16.5" customHeight="1" x14ac:dyDescent="0.3">
      <c r="A80" s="2">
        <v>15</v>
      </c>
      <c r="B80" s="2" t="s">
        <v>1555</v>
      </c>
      <c r="C80" s="60" t="s">
        <v>12327</v>
      </c>
      <c r="D80" s="1"/>
      <c r="E80" s="68"/>
      <c r="F80" s="70"/>
      <c r="G80" s="1"/>
      <c r="H80" s="68"/>
      <c r="I80" s="70"/>
      <c r="J80" s="1" t="s">
        <v>17985</v>
      </c>
      <c r="K80" s="68"/>
      <c r="L80" s="70"/>
      <c r="M80" s="81"/>
      <c r="N80" s="57"/>
      <c r="O80" s="58"/>
      <c r="P80" s="83" t="s">
        <v>5895</v>
      </c>
      <c r="Q80" s="64" t="s">
        <v>1</v>
      </c>
      <c r="R80" s="65">
        <v>1</v>
      </c>
      <c r="S80" s="99"/>
      <c r="T80" s="70"/>
      <c r="U80" s="99"/>
      <c r="V80" s="70"/>
      <c r="W80" s="1"/>
      <c r="X80" s="68"/>
      <c r="Y80" s="76"/>
      <c r="Z80" s="70"/>
      <c r="AA80" s="1"/>
      <c r="AB80" s="68"/>
      <c r="AC80" s="76"/>
      <c r="AD80" s="70"/>
      <c r="AE80" s="228">
        <f>ROUND((_15_同援日０．５*_15・２人),0)+ROUND((ROUND((_15_同援日０．５＿０．５*_15・２人),0)*(1+_15・B夜間)),0)+ROUND((ROUND((_15_同援日０．５＿０．５＿２．０*_15・２人),0)*(1+_15・C深夜)),0)</f>
        <v>798</v>
      </c>
      <c r="AF80" s="69"/>
    </row>
    <row r="81" spans="1:32" ht="16.5" customHeight="1" x14ac:dyDescent="0.3">
      <c r="A81" s="2">
        <v>15</v>
      </c>
      <c r="B81" s="2" t="s">
        <v>1556</v>
      </c>
      <c r="C81" s="60" t="s">
        <v>12326</v>
      </c>
      <c r="D81" s="1"/>
      <c r="E81" s="68"/>
      <c r="F81" s="70"/>
      <c r="G81" s="1"/>
      <c r="H81" s="68"/>
      <c r="I81" s="70"/>
      <c r="J81" s="1" t="s">
        <v>6448</v>
      </c>
      <c r="K81" s="68"/>
      <c r="L81" s="70"/>
      <c r="M81" s="74" t="s">
        <v>17972</v>
      </c>
      <c r="N81" s="62"/>
      <c r="O81" s="63"/>
      <c r="P81" s="83"/>
      <c r="Q81" s="64"/>
      <c r="R81" s="65"/>
      <c r="S81" s="99"/>
      <c r="T81" s="70"/>
      <c r="U81" s="99"/>
      <c r="V81" s="70"/>
      <c r="W81" s="1"/>
      <c r="X81" s="68"/>
      <c r="Y81" s="76"/>
      <c r="Z81" s="70"/>
      <c r="AA81" s="1"/>
      <c r="AB81" s="68"/>
      <c r="AC81" s="76"/>
      <c r="AD81" s="70"/>
      <c r="AE81" s="228">
        <f>ROUND((_15_同援日０．５*_15・基礎２),0)+ROUND((ROUND((_15_同援日０．５＿０．５*_15・基礎２),0)*(1+_15・B夜間)),0)+ROUND((ROUND((_15_同援日０．５＿０．５＿２．０*_15・基礎２),0)*(1+_15・C深夜)),0)</f>
        <v>718</v>
      </c>
      <c r="AF81" s="69"/>
    </row>
    <row r="82" spans="1:32" ht="16.5" customHeight="1" x14ac:dyDescent="0.3">
      <c r="A82" s="2">
        <v>15</v>
      </c>
      <c r="B82" s="2" t="s">
        <v>1557</v>
      </c>
      <c r="C82" s="60" t="s">
        <v>12325</v>
      </c>
      <c r="D82" s="1"/>
      <c r="E82" s="68"/>
      <c r="F82" s="70"/>
      <c r="G82" s="1"/>
      <c r="H82" s="68"/>
      <c r="I82" s="70"/>
      <c r="J82" s="1"/>
      <c r="K82" s="119">
        <v>319</v>
      </c>
      <c r="L82" s="70" t="s">
        <v>0</v>
      </c>
      <c r="M82" s="81" t="s">
        <v>17864</v>
      </c>
      <c r="N82" s="57" t="s">
        <v>1</v>
      </c>
      <c r="O82" s="58">
        <v>0.9</v>
      </c>
      <c r="P82" s="83" t="s">
        <v>5895</v>
      </c>
      <c r="Q82" s="64" t="s">
        <v>1</v>
      </c>
      <c r="R82" s="65">
        <v>1</v>
      </c>
      <c r="S82" s="99"/>
      <c r="T82" s="70"/>
      <c r="U82" s="99"/>
      <c r="V82" s="70"/>
      <c r="W82" s="81"/>
      <c r="X82" s="57"/>
      <c r="Y82" s="58"/>
      <c r="Z82" s="77"/>
      <c r="AA82" s="1"/>
      <c r="AB82" s="68"/>
      <c r="AC82" s="76"/>
      <c r="AD82" s="70"/>
      <c r="AE82" s="228">
        <f>ROUND((ROUND((_15_同援日０．５*_15・基礎２),0)*_15・２人),0)+ROUND((ROUND((ROUND((_15_同援日０．５＿０．５*_15・基礎２),0)*_15・２人),0)*(1+_15・B夜間)),0)+ROUND((ROUND((ROUND((_15_同援日０．５＿０．５＿２．０*_15・基礎２),0)*_15・２人),0)*(1+_15・C深夜)),0)</f>
        <v>718</v>
      </c>
      <c r="AF82" s="69"/>
    </row>
    <row r="83" spans="1:32" ht="16.5" customHeight="1" x14ac:dyDescent="0.3">
      <c r="A83" s="2">
        <v>15</v>
      </c>
      <c r="B83" s="2" t="s">
        <v>1558</v>
      </c>
      <c r="C83" s="60" t="s">
        <v>12324</v>
      </c>
      <c r="D83" s="1"/>
      <c r="E83" s="68"/>
      <c r="F83" s="70"/>
      <c r="G83" s="1"/>
      <c r="H83" s="68"/>
      <c r="I83" s="70"/>
      <c r="J83" s="1"/>
      <c r="K83" s="68"/>
      <c r="L83" s="70"/>
      <c r="M83" s="74"/>
      <c r="N83" s="62"/>
      <c r="O83" s="63"/>
      <c r="P83" s="83"/>
      <c r="Q83" s="64"/>
      <c r="R83" s="65"/>
      <c r="S83" s="99"/>
      <c r="T83" s="70"/>
      <c r="U83" s="99"/>
      <c r="V83" s="70"/>
      <c r="W83" s="74" t="s">
        <v>17987</v>
      </c>
      <c r="X83" s="62"/>
      <c r="Y83" s="63"/>
      <c r="Z83" s="75"/>
      <c r="AA83" s="1"/>
      <c r="AB83" s="68"/>
      <c r="AC83" s="76"/>
      <c r="AD83" s="70"/>
      <c r="AE83" s="228">
        <f>ROUND((_15_同援日０．５*(1+_15・盲ろう)),0)+ROUND((ROUND((_15_同援日０．５＿０．５*(1+_15・B夜間)),0)*(1+_15・盲ろう)),0)+ROUND((ROUND((_15_同援日０．５＿０．５＿２．０*(1+_15・C深夜)),0)*(1+_15・盲ろう)),0)</f>
        <v>998</v>
      </c>
      <c r="AF83" s="69"/>
    </row>
    <row r="84" spans="1:32" ht="16.5" customHeight="1" x14ac:dyDescent="0.3">
      <c r="A84" s="2">
        <v>15</v>
      </c>
      <c r="B84" s="2" t="s">
        <v>1559</v>
      </c>
      <c r="C84" s="60" t="s">
        <v>12323</v>
      </c>
      <c r="D84" s="1"/>
      <c r="E84" s="68"/>
      <c r="F84" s="70"/>
      <c r="G84" s="1"/>
      <c r="H84" s="68"/>
      <c r="I84" s="70"/>
      <c r="J84" s="1"/>
      <c r="K84" s="68"/>
      <c r="L84" s="70"/>
      <c r="M84" s="81"/>
      <c r="N84" s="57"/>
      <c r="O84" s="58"/>
      <c r="P84" s="83" t="s">
        <v>5895</v>
      </c>
      <c r="Q84" s="64" t="s">
        <v>1</v>
      </c>
      <c r="R84" s="65">
        <v>1</v>
      </c>
      <c r="S84" s="99"/>
      <c r="T84" s="70"/>
      <c r="U84" s="99"/>
      <c r="V84" s="70"/>
      <c r="W84" s="1" t="s">
        <v>17975</v>
      </c>
      <c r="X84" s="68"/>
      <c r="Y84" s="76"/>
      <c r="Z84" s="70"/>
      <c r="AA84" s="1"/>
      <c r="AB84" s="68"/>
      <c r="AC84" s="76"/>
      <c r="AD84" s="70"/>
      <c r="AE84" s="228">
        <f>ROUND((ROUND((_15_同援日０．５*_15・２人),0)*(1+_15・盲ろう)),0)+ROUND((ROUND((ROUND((_15_同援日０．５＿０．５*_15・２人),0)*(1+_15・B夜間)),0)*(1+_15・盲ろう)),0)+ROUND((ROUND((ROUND((_15_同援日０．５＿０．５＿２．０*_15・２人),0)*(1+_15・C深夜)),0)*(1+_15・盲ろう)),0)</f>
        <v>998</v>
      </c>
      <c r="AF84" s="69"/>
    </row>
    <row r="85" spans="1:32" ht="16.5" customHeight="1" x14ac:dyDescent="0.3">
      <c r="A85" s="2">
        <v>15</v>
      </c>
      <c r="B85" s="2" t="s">
        <v>1560</v>
      </c>
      <c r="C85" s="60" t="s">
        <v>12322</v>
      </c>
      <c r="D85" s="1"/>
      <c r="E85" s="68"/>
      <c r="F85" s="70"/>
      <c r="G85" s="1"/>
      <c r="H85" s="68"/>
      <c r="I85" s="70"/>
      <c r="J85" s="1"/>
      <c r="K85" s="68"/>
      <c r="L85" s="70"/>
      <c r="M85" s="74" t="s">
        <v>17972</v>
      </c>
      <c r="N85" s="62"/>
      <c r="O85" s="63"/>
      <c r="P85" s="83"/>
      <c r="Q85" s="64"/>
      <c r="R85" s="65"/>
      <c r="S85" s="99"/>
      <c r="T85" s="70"/>
      <c r="U85" s="99"/>
      <c r="V85" s="70"/>
      <c r="W85" s="1"/>
      <c r="X85" s="68" t="s">
        <v>1</v>
      </c>
      <c r="Y85" s="76">
        <v>0.25</v>
      </c>
      <c r="Z85" s="70" t="s">
        <v>422</v>
      </c>
      <c r="AA85" s="1"/>
      <c r="AB85" s="68"/>
      <c r="AC85" s="76"/>
      <c r="AD85" s="70"/>
      <c r="AE85" s="228">
        <f>ROUND((ROUND((_15_同援日０．５*_15・基礎２),0)*(1+_15・盲ろう)),0)+ROUND((ROUND((ROUND((_15_同援日０．５＿０．５*_15・基礎２),0)*(1+_15・B夜間)),0)*(1+_15・盲ろう)),0)+ROUND((ROUND((ROUND((_15_同援日０．５＿０．５＿２．０*_15・基礎２),0)*(1+_15・C深夜)),0)*(1+_15・盲ろう)),0)</f>
        <v>898</v>
      </c>
      <c r="AF85" s="69"/>
    </row>
    <row r="86" spans="1:32" ht="16.5" customHeight="1" x14ac:dyDescent="0.3">
      <c r="A86" s="2">
        <v>15</v>
      </c>
      <c r="B86" s="2" t="s">
        <v>1561</v>
      </c>
      <c r="C86" s="60" t="s">
        <v>12321</v>
      </c>
      <c r="D86" s="1"/>
      <c r="E86" s="68"/>
      <c r="F86" s="70"/>
      <c r="G86" s="1"/>
      <c r="H86" s="68"/>
      <c r="I86" s="70"/>
      <c r="J86" s="1"/>
      <c r="K86" s="68"/>
      <c r="L86" s="70"/>
      <c r="M86" s="81" t="s">
        <v>17864</v>
      </c>
      <c r="N86" s="57" t="s">
        <v>1</v>
      </c>
      <c r="O86" s="58">
        <v>0.9</v>
      </c>
      <c r="P86" s="83" t="s">
        <v>5895</v>
      </c>
      <c r="Q86" s="64" t="s">
        <v>1</v>
      </c>
      <c r="R86" s="65">
        <v>1</v>
      </c>
      <c r="S86" s="99"/>
      <c r="T86" s="70"/>
      <c r="U86" s="99"/>
      <c r="V86" s="70"/>
      <c r="W86" s="81"/>
      <c r="X86" s="57"/>
      <c r="Y86" s="58"/>
      <c r="Z86" s="77"/>
      <c r="AA86" s="81"/>
      <c r="AB86" s="57"/>
      <c r="AC86" s="58"/>
      <c r="AD86" s="77"/>
      <c r="AE86" s="228">
        <f>ROUND((ROUND((ROUND((_15_同援日０．５*_15・基礎２),0)*_15・２人),0)*(1+_15・盲ろう)),0)+ROUND((ROUND((ROUND((ROUND((_15_同援日０．５＿０．５*_15・基礎２),0)*_15・２人),0)*(1+_15・B夜間)),0)*(1+_15・盲ろう)),0)+ROUND((ROUND((ROUND((ROUND((_15_同援日０．５＿０．５＿２．０*_15・基礎２),0)*_15・２人),0)*(1+_15・C深夜)),0)*(1+_15・盲ろう)),0)</f>
        <v>898</v>
      </c>
      <c r="AF86" s="69"/>
    </row>
    <row r="87" spans="1:32" ht="16.5" customHeight="1" x14ac:dyDescent="0.3">
      <c r="A87" s="2">
        <v>15</v>
      </c>
      <c r="B87" s="2" t="s">
        <v>1562</v>
      </c>
      <c r="C87" s="60" t="s">
        <v>12320</v>
      </c>
      <c r="D87" s="1"/>
      <c r="E87" s="68"/>
      <c r="F87" s="70"/>
      <c r="G87" s="1"/>
      <c r="H87" s="68"/>
      <c r="I87" s="70"/>
      <c r="J87" s="1"/>
      <c r="K87" s="68"/>
      <c r="L87" s="70"/>
      <c r="M87" s="74"/>
      <c r="N87" s="62"/>
      <c r="O87" s="63"/>
      <c r="P87" s="83"/>
      <c r="Q87" s="64"/>
      <c r="R87" s="65"/>
      <c r="S87" s="99"/>
      <c r="T87" s="70"/>
      <c r="U87" s="99"/>
      <c r="V87" s="70"/>
      <c r="W87" s="74"/>
      <c r="X87" s="62"/>
      <c r="Y87" s="63"/>
      <c r="Z87" s="75"/>
      <c r="AA87" s="74"/>
      <c r="AB87" s="62"/>
      <c r="AC87" s="63"/>
      <c r="AD87" s="75"/>
      <c r="AE87" s="228">
        <f>ROUND((_15_同援日０．５*(1+_15・区３)),0)+ROUND((ROUND((_15_同援日０．５＿０．５*(1+_15・B夜間)),0)*(1+_15・区３)),0)+ROUND((ROUND((_15_同援日０．５＿０．５＿２．０*(1+_15・C深夜)),0)*(1+_15・区３)),0)</f>
        <v>958</v>
      </c>
      <c r="AF87" s="69"/>
    </row>
    <row r="88" spans="1:32" ht="16.5" customHeight="1" x14ac:dyDescent="0.3">
      <c r="A88" s="2">
        <v>15</v>
      </c>
      <c r="B88" s="2" t="s">
        <v>1563</v>
      </c>
      <c r="C88" s="60" t="s">
        <v>12319</v>
      </c>
      <c r="D88" s="1"/>
      <c r="E88" s="68"/>
      <c r="F88" s="70"/>
      <c r="G88" s="1"/>
      <c r="H88" s="68"/>
      <c r="I88" s="70"/>
      <c r="J88" s="1"/>
      <c r="K88" s="68"/>
      <c r="L88" s="70"/>
      <c r="M88" s="81"/>
      <c r="N88" s="57"/>
      <c r="O88" s="58"/>
      <c r="P88" s="83" t="s">
        <v>5895</v>
      </c>
      <c r="Q88" s="64" t="s">
        <v>1</v>
      </c>
      <c r="R88" s="65">
        <v>1</v>
      </c>
      <c r="S88" s="99"/>
      <c r="T88" s="70"/>
      <c r="U88" s="99"/>
      <c r="V88" s="70"/>
      <c r="W88" s="1"/>
      <c r="X88" s="68"/>
      <c r="Y88" s="76"/>
      <c r="Z88" s="70"/>
      <c r="AA88" s="1"/>
      <c r="AB88" s="68"/>
      <c r="AC88" s="76"/>
      <c r="AD88" s="70"/>
      <c r="AE88" s="228">
        <f>ROUND((ROUND((_15_同援日０．５*_15・２人),0)*(1+_15・区３)),0)+ROUND((ROUND((ROUND((_15_同援日０．５＿０．５*_15・２人),0)*(1+_15・B夜間)),0)*(1+_15・区３)),0)+ROUND((ROUND((ROUND((_15_同援日０．５＿０．５＿２．０*_15・２人),0)*(1+_15・C深夜)),0)*(1+_15・区３)),0)</f>
        <v>958</v>
      </c>
      <c r="AF88" s="69"/>
    </row>
    <row r="89" spans="1:32" ht="16.5" customHeight="1" x14ac:dyDescent="0.3">
      <c r="A89" s="2">
        <v>15</v>
      </c>
      <c r="B89" s="2" t="s">
        <v>1564</v>
      </c>
      <c r="C89" s="60" t="s">
        <v>12318</v>
      </c>
      <c r="D89" s="1"/>
      <c r="E89" s="68"/>
      <c r="F89" s="70"/>
      <c r="G89" s="1"/>
      <c r="H89" s="68"/>
      <c r="I89" s="70"/>
      <c r="J89" s="1"/>
      <c r="K89" s="68"/>
      <c r="L89" s="70"/>
      <c r="M89" s="74" t="s">
        <v>17972</v>
      </c>
      <c r="N89" s="62"/>
      <c r="O89" s="63"/>
      <c r="P89" s="83"/>
      <c r="Q89" s="64"/>
      <c r="R89" s="65"/>
      <c r="S89" s="99"/>
      <c r="T89" s="70"/>
      <c r="U89" s="99"/>
      <c r="V89" s="70"/>
      <c r="W89" s="1"/>
      <c r="X89" s="68"/>
      <c r="Y89" s="76"/>
      <c r="Z89" s="70"/>
      <c r="AA89" s="1" t="s">
        <v>17997</v>
      </c>
      <c r="AB89" s="68"/>
      <c r="AC89" s="76"/>
      <c r="AD89" s="70"/>
      <c r="AE89" s="228">
        <f>ROUND((ROUND((_15_同援日０．５*_15・基礎２),0)*(1+_15・区３)),0)+ROUND((ROUND((ROUND((_15_同援日０．５＿０．５*_15・基礎２),0)*(1+_15・B夜間)),0)*(1+_15・区３)),0)+ROUND((ROUND((ROUND((_15_同援日０．５＿０．５＿２．０*_15・基礎２),0)*(1+_15・C深夜)),0)*(1+_15・区３)),0)</f>
        <v>861</v>
      </c>
      <c r="AF89" s="69"/>
    </row>
    <row r="90" spans="1:32" ht="16.5" customHeight="1" x14ac:dyDescent="0.3">
      <c r="A90" s="2">
        <v>15</v>
      </c>
      <c r="B90" s="2" t="s">
        <v>1565</v>
      </c>
      <c r="C90" s="60" t="s">
        <v>12317</v>
      </c>
      <c r="D90" s="1"/>
      <c r="E90" s="68"/>
      <c r="F90" s="70"/>
      <c r="G90" s="1"/>
      <c r="H90" s="68"/>
      <c r="I90" s="70"/>
      <c r="J90" s="1"/>
      <c r="K90" s="68"/>
      <c r="L90" s="70"/>
      <c r="M90" s="81" t="s">
        <v>17864</v>
      </c>
      <c r="N90" s="57" t="s">
        <v>1</v>
      </c>
      <c r="O90" s="58">
        <v>0.9</v>
      </c>
      <c r="P90" s="83" t="s">
        <v>5895</v>
      </c>
      <c r="Q90" s="64" t="s">
        <v>1</v>
      </c>
      <c r="R90" s="65">
        <v>1</v>
      </c>
      <c r="S90" s="99"/>
      <c r="T90" s="70"/>
      <c r="U90" s="99"/>
      <c r="V90" s="70"/>
      <c r="W90" s="81"/>
      <c r="X90" s="57"/>
      <c r="Y90" s="58"/>
      <c r="Z90" s="77"/>
      <c r="AA90" s="1" t="s">
        <v>17980</v>
      </c>
      <c r="AB90" s="68"/>
      <c r="AC90" s="76"/>
      <c r="AD90" s="70"/>
      <c r="AE90" s="228">
        <f>ROUND((ROUND((ROUND((_15_同援日０．５*_15・基礎２),0)*_15・２人),0)*(1+_15・区３)),0)+ROUND((ROUND((ROUND((ROUND((_15_同援日０．５＿０．５*_15・基礎２),0)*_15・２人),0)*(1+_15・B夜間)),0)*(1+_15・区３)),0)+ROUND((ROUND((ROUND((ROUND((_15_同援日０．５＿０．５＿２．０*_15・基礎２),0)*_15・２人),0)*(1+_15・C深夜)),0)*(1+_15・区３)),0)</f>
        <v>861</v>
      </c>
      <c r="AF90" s="69"/>
    </row>
    <row r="91" spans="1:32" ht="16.5" customHeight="1" x14ac:dyDescent="0.3">
      <c r="A91" s="2">
        <v>15</v>
      </c>
      <c r="B91" s="2" t="s">
        <v>1566</v>
      </c>
      <c r="C91" s="60" t="s">
        <v>12316</v>
      </c>
      <c r="D91" s="1"/>
      <c r="E91" s="68"/>
      <c r="F91" s="70"/>
      <c r="G91" s="1"/>
      <c r="H91" s="68"/>
      <c r="I91" s="70"/>
      <c r="J91" s="1"/>
      <c r="K91" s="68"/>
      <c r="L91" s="70"/>
      <c r="M91" s="74"/>
      <c r="N91" s="62"/>
      <c r="O91" s="63"/>
      <c r="P91" s="83"/>
      <c r="Q91" s="64"/>
      <c r="R91" s="65"/>
      <c r="S91" s="99"/>
      <c r="T91" s="70"/>
      <c r="U91" s="99"/>
      <c r="V91" s="70"/>
      <c r="W91" s="74" t="s">
        <v>18000</v>
      </c>
      <c r="X91" s="62"/>
      <c r="Y91" s="63"/>
      <c r="Z91" s="75"/>
      <c r="AA91" s="1"/>
      <c r="AB91" s="68" t="s">
        <v>1</v>
      </c>
      <c r="AC91" s="76">
        <v>0.2</v>
      </c>
      <c r="AD91" s="70" t="s">
        <v>422</v>
      </c>
      <c r="AE91" s="228">
        <f>ROUND((ROUND((_15_同援日０．５*(1+_15・盲ろう)),0)*(1+_15・区３)),0)+ROUND((ROUND((ROUND((_15_同援日０．５＿０．５*(1+_15・B夜間)),0)*(1+_15・盲ろう)),0)*(1+_15・区３)),0)+ROUND((ROUND((ROUND((_15_同援日０．５＿０．５＿２．０*(1+_15・C深夜)),0)*(1+_15・盲ろう)),0)*(1+_15・区３)),0)</f>
        <v>1198</v>
      </c>
      <c r="AF91" s="69"/>
    </row>
    <row r="92" spans="1:32" ht="16.5" customHeight="1" x14ac:dyDescent="0.3">
      <c r="A92" s="2">
        <v>15</v>
      </c>
      <c r="B92" s="2" t="s">
        <v>1567</v>
      </c>
      <c r="C92" s="60" t="s">
        <v>12315</v>
      </c>
      <c r="D92" s="1"/>
      <c r="E92" s="68"/>
      <c r="F92" s="70"/>
      <c r="G92" s="1"/>
      <c r="H92" s="68"/>
      <c r="I92" s="70"/>
      <c r="J92" s="1"/>
      <c r="K92" s="68"/>
      <c r="L92" s="70"/>
      <c r="M92" s="81"/>
      <c r="N92" s="57"/>
      <c r="O92" s="58"/>
      <c r="P92" s="83" t="s">
        <v>5895</v>
      </c>
      <c r="Q92" s="64" t="s">
        <v>1</v>
      </c>
      <c r="R92" s="65">
        <v>1</v>
      </c>
      <c r="S92" s="99"/>
      <c r="T92" s="70"/>
      <c r="U92" s="99"/>
      <c r="V92" s="70"/>
      <c r="W92" s="1" t="s">
        <v>17973</v>
      </c>
      <c r="X92" s="68"/>
      <c r="Y92" s="76"/>
      <c r="Z92" s="70"/>
      <c r="AA92" s="1"/>
      <c r="AB92" s="68"/>
      <c r="AC92" s="76"/>
      <c r="AD92" s="70"/>
      <c r="AE92" s="228">
        <f>ROUND((ROUND((ROUND((_15_同援日０．５*_15・２人),0)*(1+_15・盲ろう)),0)*(1+_15・区３)),0)+ROUND((ROUND((ROUND((ROUND((_15_同援日０．５＿０．５*_15・２人),0)*(1+_15・B夜間)),0)*(1+_15・盲ろう)),0)*(1+_15・区３)),0)+ROUND((ROUND((ROUND((ROUND((_15_同援日０．５＿０．５＿２．０*_15・２人),0)*(1+_15・C深夜)),0)*(1+_15・盲ろう)),0)*(1+_15・区３)),0)</f>
        <v>1198</v>
      </c>
      <c r="AF92" s="69"/>
    </row>
    <row r="93" spans="1:32" ht="16.5" customHeight="1" x14ac:dyDescent="0.3">
      <c r="A93" s="2">
        <v>15</v>
      </c>
      <c r="B93" s="2" t="s">
        <v>1568</v>
      </c>
      <c r="C93" s="60" t="s">
        <v>12314</v>
      </c>
      <c r="D93" s="1"/>
      <c r="E93" s="68"/>
      <c r="F93" s="70"/>
      <c r="G93" s="1"/>
      <c r="H93" s="68"/>
      <c r="I93" s="70"/>
      <c r="J93" s="1"/>
      <c r="K93" s="68"/>
      <c r="L93" s="70"/>
      <c r="M93" s="74" t="s">
        <v>17972</v>
      </c>
      <c r="N93" s="62"/>
      <c r="O93" s="63"/>
      <c r="P93" s="83"/>
      <c r="Q93" s="64"/>
      <c r="R93" s="65"/>
      <c r="S93" s="99"/>
      <c r="T93" s="70"/>
      <c r="U93" s="99"/>
      <c r="V93" s="70"/>
      <c r="W93" s="1"/>
      <c r="X93" s="68" t="s">
        <v>1</v>
      </c>
      <c r="Y93" s="76">
        <v>0.25</v>
      </c>
      <c r="Z93" s="70" t="s">
        <v>422</v>
      </c>
      <c r="AA93" s="1"/>
      <c r="AB93" s="68"/>
      <c r="AC93" s="76"/>
      <c r="AD93" s="70"/>
      <c r="AE93" s="228">
        <f>ROUND((ROUND((ROUND((_15_同援日０．５*_15・基礎２),0)*(1+_15・盲ろう)),0)*(1+_15・区３)),0)+ROUND((ROUND((ROUND((ROUND((_15_同援日０．５＿０．５*_15・基礎２),0)*(1+_15・B夜間)),0)*(1+_15・盲ろう)),0)*(1+_15・区３)),0)+ROUND((ROUND((ROUND((ROUND((_15_同援日０．５＿０．５＿２．０*_15・基礎２),0)*(1+_15・C深夜)),0)*(1+_15・盲ろう)),0)*(1+_15・区３)),0)</f>
        <v>1078</v>
      </c>
      <c r="AF93" s="69"/>
    </row>
    <row r="94" spans="1:32" ht="16.5" customHeight="1" x14ac:dyDescent="0.3">
      <c r="A94" s="2">
        <v>15</v>
      </c>
      <c r="B94" s="2" t="s">
        <v>1569</v>
      </c>
      <c r="C94" s="60" t="s">
        <v>12313</v>
      </c>
      <c r="D94" s="1"/>
      <c r="E94" s="68"/>
      <c r="F94" s="70"/>
      <c r="G94" s="1"/>
      <c r="H94" s="68"/>
      <c r="I94" s="70"/>
      <c r="J94" s="1"/>
      <c r="K94" s="68"/>
      <c r="L94" s="70"/>
      <c r="M94" s="81" t="s">
        <v>17864</v>
      </c>
      <c r="N94" s="57" t="s">
        <v>1</v>
      </c>
      <c r="O94" s="58">
        <v>0.9</v>
      </c>
      <c r="P94" s="83" t="s">
        <v>5895</v>
      </c>
      <c r="Q94" s="64" t="s">
        <v>1</v>
      </c>
      <c r="R94" s="65">
        <v>1</v>
      </c>
      <c r="S94" s="99"/>
      <c r="T94" s="70"/>
      <c r="U94" s="99"/>
      <c r="V94" s="70"/>
      <c r="W94" s="81"/>
      <c r="X94" s="57"/>
      <c r="Y94" s="58"/>
      <c r="Z94" s="77"/>
      <c r="AA94" s="81"/>
      <c r="AB94" s="57"/>
      <c r="AC94" s="58"/>
      <c r="AD94" s="77"/>
      <c r="AE94" s="228">
        <f>ROUND((ROUND((ROUND((ROUND((_15_同援日０．５*_15・基礎２),0)*_15・２人),0)*(1+_15・盲ろう)),0)*(1+_15・区３)),0)+ROUND((ROUND((ROUND((ROUND((ROUND((_15_同援日０．５＿０．５*_15・基礎２),0)*_15・２人),0)*(1+_15・B夜間)),0)*(1+_15・盲ろう)),0)*(1+_15・区３)),0)+ROUND((ROUND((ROUND((ROUND((ROUND((_15_同援日０．５＿０．５＿２．０*_15・基礎２),0)*_15・２人),0)*(1+_15・C深夜)),0)*(1+_15・盲ろう)),0)*(1+_15・区３)),0)</f>
        <v>1078</v>
      </c>
      <c r="AF94" s="69"/>
    </row>
    <row r="95" spans="1:32" ht="16.5" customHeight="1" x14ac:dyDescent="0.3">
      <c r="A95" s="2">
        <v>15</v>
      </c>
      <c r="B95" s="2" t="s">
        <v>1570</v>
      </c>
      <c r="C95" s="60" t="s">
        <v>12312</v>
      </c>
      <c r="D95" s="1"/>
      <c r="E95" s="68"/>
      <c r="F95" s="70"/>
      <c r="G95" s="1"/>
      <c r="H95" s="68"/>
      <c r="I95" s="70"/>
      <c r="J95" s="1"/>
      <c r="K95" s="68"/>
      <c r="L95" s="70"/>
      <c r="M95" s="74"/>
      <c r="N95" s="62"/>
      <c r="O95" s="63"/>
      <c r="P95" s="83"/>
      <c r="Q95" s="64"/>
      <c r="R95" s="65"/>
      <c r="S95" s="99"/>
      <c r="T95" s="70"/>
      <c r="U95" s="99"/>
      <c r="V95" s="70"/>
      <c r="W95" s="74"/>
      <c r="X95" s="62"/>
      <c r="Y95" s="63"/>
      <c r="Z95" s="75"/>
      <c r="AA95" s="74"/>
      <c r="AB95" s="62"/>
      <c r="AC95" s="63"/>
      <c r="AD95" s="75"/>
      <c r="AE95" s="228">
        <f>ROUND((_15_同援日０．５*(1+_15・区４)),0)+ROUND((ROUND((_15_同援日０．５＿０．５*(1+_15・B夜間)),0)*(1+_15・区４)),0)+ROUND((ROUND((_15_同援日０．５＿０．５＿２．０*(1+_15・C深夜)),0)*(1+_15・区４)),0)</f>
        <v>1118</v>
      </c>
      <c r="AF95" s="69"/>
    </row>
    <row r="96" spans="1:32" ht="16.5" customHeight="1" x14ac:dyDescent="0.3">
      <c r="A96" s="2">
        <v>15</v>
      </c>
      <c r="B96" s="2" t="s">
        <v>1571</v>
      </c>
      <c r="C96" s="60" t="s">
        <v>12311</v>
      </c>
      <c r="D96" s="1"/>
      <c r="E96" s="68"/>
      <c r="F96" s="70"/>
      <c r="G96" s="1"/>
      <c r="H96" s="68"/>
      <c r="I96" s="70"/>
      <c r="J96" s="1"/>
      <c r="K96" s="68"/>
      <c r="L96" s="70"/>
      <c r="M96" s="81"/>
      <c r="N96" s="57"/>
      <c r="O96" s="58"/>
      <c r="P96" s="83" t="s">
        <v>5895</v>
      </c>
      <c r="Q96" s="64" t="s">
        <v>1</v>
      </c>
      <c r="R96" s="65">
        <v>1</v>
      </c>
      <c r="S96" s="99"/>
      <c r="T96" s="70"/>
      <c r="U96" s="99"/>
      <c r="V96" s="70"/>
      <c r="W96" s="1"/>
      <c r="X96" s="68"/>
      <c r="Y96" s="76"/>
      <c r="Z96" s="70"/>
      <c r="AA96" s="1"/>
      <c r="AB96" s="68"/>
      <c r="AC96" s="76"/>
      <c r="AD96" s="70"/>
      <c r="AE96" s="228">
        <f>ROUND((ROUND((_15_同援日０．５*_15・２人),0)*(1+_15・区４)),0)+ROUND((ROUND((ROUND((_15_同援日０．５＿０．５*_15・２人),0)*(1+_15・B夜間)),0)*(1+_15・区４)),0)+ROUND((ROUND((ROUND((_15_同援日０．５＿０．５＿２．０*_15・２人),0)*(1+_15・C深夜)),0)*(1+_15・区４)),0)</f>
        <v>1118</v>
      </c>
      <c r="AF96" s="69"/>
    </row>
    <row r="97" spans="1:32" ht="16.5" customHeight="1" x14ac:dyDescent="0.3">
      <c r="A97" s="2">
        <v>15</v>
      </c>
      <c r="B97" s="2" t="s">
        <v>1572</v>
      </c>
      <c r="C97" s="60" t="s">
        <v>12310</v>
      </c>
      <c r="D97" s="1"/>
      <c r="E97" s="68"/>
      <c r="F97" s="70"/>
      <c r="G97" s="1"/>
      <c r="H97" s="68"/>
      <c r="I97" s="70"/>
      <c r="J97" s="1"/>
      <c r="K97" s="68"/>
      <c r="L97" s="70"/>
      <c r="M97" s="74" t="s">
        <v>17972</v>
      </c>
      <c r="N97" s="62"/>
      <c r="O97" s="63"/>
      <c r="P97" s="83"/>
      <c r="Q97" s="64"/>
      <c r="R97" s="65"/>
      <c r="S97" s="99"/>
      <c r="T97" s="70"/>
      <c r="U97" s="99"/>
      <c r="V97" s="70"/>
      <c r="W97" s="1"/>
      <c r="X97" s="68"/>
      <c r="Y97" s="76"/>
      <c r="Z97" s="70"/>
      <c r="AA97" s="1" t="s">
        <v>17988</v>
      </c>
      <c r="AB97" s="68"/>
      <c r="AC97" s="76"/>
      <c r="AD97" s="70"/>
      <c r="AE97" s="228">
        <f>ROUND((ROUND((_15_同援日０．５*_15・基礎２),0)*(1+_15・区４)),0)+ROUND((ROUND((ROUND((_15_同援日０．５＿０．５*_15・基礎２),0)*(1+_15・B夜間)),0)*(1+_15・区４)),0)+ROUND((ROUND((ROUND((_15_同援日０．５＿０．５＿２．０*_15・基礎２),0)*(1+_15・C深夜)),0)*(1+_15・区４)),0)</f>
        <v>1004</v>
      </c>
      <c r="AF97" s="69"/>
    </row>
    <row r="98" spans="1:32" ht="16.5" customHeight="1" x14ac:dyDescent="0.3">
      <c r="A98" s="2">
        <v>15</v>
      </c>
      <c r="B98" s="2" t="s">
        <v>1573</v>
      </c>
      <c r="C98" s="60" t="s">
        <v>12309</v>
      </c>
      <c r="D98" s="1"/>
      <c r="E98" s="68"/>
      <c r="F98" s="70"/>
      <c r="G98" s="1"/>
      <c r="H98" s="68"/>
      <c r="I98" s="70"/>
      <c r="J98" s="1"/>
      <c r="K98" s="68"/>
      <c r="L98" s="70"/>
      <c r="M98" s="81" t="s">
        <v>17864</v>
      </c>
      <c r="N98" s="57" t="s">
        <v>1</v>
      </c>
      <c r="O98" s="58">
        <v>0.9</v>
      </c>
      <c r="P98" s="83" t="s">
        <v>5895</v>
      </c>
      <c r="Q98" s="64" t="s">
        <v>1</v>
      </c>
      <c r="R98" s="65">
        <v>1</v>
      </c>
      <c r="S98" s="99"/>
      <c r="T98" s="70"/>
      <c r="U98" s="99"/>
      <c r="V98" s="70"/>
      <c r="W98" s="81"/>
      <c r="X98" s="57"/>
      <c r="Y98" s="58"/>
      <c r="Z98" s="77"/>
      <c r="AA98" s="1" t="s">
        <v>17980</v>
      </c>
      <c r="AB98" s="68"/>
      <c r="AC98" s="76"/>
      <c r="AD98" s="70"/>
      <c r="AE98" s="228">
        <f>ROUND((ROUND((ROUND((_15_同援日０．５*_15・基礎２),0)*_15・２人),0)*(1+_15・区４)),0)+ROUND((ROUND((ROUND((ROUND((_15_同援日０．５＿０．５*_15・基礎２),0)*_15・２人),0)*(1+_15・B夜間)),0)*(1+_15・区４)),0)+ROUND((ROUND((ROUND((ROUND((_15_同援日０．５＿０．５＿２．０*_15・基礎２),0)*_15・２人),0)*(1+_15・C深夜)),0)*(1+_15・区４)),0)</f>
        <v>1004</v>
      </c>
      <c r="AF98" s="69"/>
    </row>
    <row r="99" spans="1:32" ht="16.5" customHeight="1" x14ac:dyDescent="0.3">
      <c r="A99" s="2">
        <v>15</v>
      </c>
      <c r="B99" s="2" t="s">
        <v>1574</v>
      </c>
      <c r="C99" s="60" t="s">
        <v>12308</v>
      </c>
      <c r="D99" s="1"/>
      <c r="E99" s="68"/>
      <c r="F99" s="70"/>
      <c r="G99" s="1"/>
      <c r="H99" s="68"/>
      <c r="I99" s="70"/>
      <c r="J99" s="1"/>
      <c r="K99" s="68"/>
      <c r="L99" s="70"/>
      <c r="M99" s="74"/>
      <c r="N99" s="62"/>
      <c r="O99" s="63"/>
      <c r="P99" s="83"/>
      <c r="Q99" s="64"/>
      <c r="R99" s="65"/>
      <c r="S99" s="99"/>
      <c r="T99" s="70"/>
      <c r="U99" s="99"/>
      <c r="V99" s="70"/>
      <c r="W99" s="74" t="s">
        <v>17987</v>
      </c>
      <c r="X99" s="62"/>
      <c r="Y99" s="63"/>
      <c r="Z99" s="75"/>
      <c r="AA99" s="1"/>
      <c r="AB99" s="68" t="s">
        <v>1</v>
      </c>
      <c r="AC99" s="76">
        <v>0.4</v>
      </c>
      <c r="AD99" s="70" t="s">
        <v>422</v>
      </c>
      <c r="AE99" s="228">
        <f>ROUND((ROUND((_15_同援日０．５*(1+_15・盲ろう)),0)*(1+_15・区４)),0)+ROUND((ROUND((ROUND((_15_同援日０．５＿０．５*(1+_15・B夜間)),0)*(1+_15・盲ろう)),0)*(1+_15・区４)),0)+ROUND((ROUND((ROUND((_15_同援日０．５＿０．５＿２．０*(1+_15・C深夜)),0)*(1+_15・盲ろう)),0)*(1+_15・区４)),0)</f>
        <v>1398</v>
      </c>
      <c r="AF99" s="69"/>
    </row>
    <row r="100" spans="1:32" ht="16.5" customHeight="1" x14ac:dyDescent="0.3">
      <c r="A100" s="2">
        <v>15</v>
      </c>
      <c r="B100" s="2" t="s">
        <v>1575</v>
      </c>
      <c r="C100" s="60" t="s">
        <v>12307</v>
      </c>
      <c r="D100" s="1"/>
      <c r="E100" s="68"/>
      <c r="F100" s="70"/>
      <c r="G100" s="1"/>
      <c r="H100" s="68"/>
      <c r="I100" s="70"/>
      <c r="J100" s="1"/>
      <c r="K100" s="68"/>
      <c r="L100" s="70"/>
      <c r="M100" s="81"/>
      <c r="N100" s="57"/>
      <c r="O100" s="58"/>
      <c r="P100" s="83" t="s">
        <v>5895</v>
      </c>
      <c r="Q100" s="64" t="s">
        <v>1</v>
      </c>
      <c r="R100" s="65">
        <v>1</v>
      </c>
      <c r="S100" s="99"/>
      <c r="T100" s="70"/>
      <c r="U100" s="99"/>
      <c r="V100" s="70"/>
      <c r="W100" s="1" t="s">
        <v>17973</v>
      </c>
      <c r="X100" s="68"/>
      <c r="Y100" s="76"/>
      <c r="Z100" s="70"/>
      <c r="AA100" s="1"/>
      <c r="AB100" s="68"/>
      <c r="AC100" s="76"/>
      <c r="AD100" s="70"/>
      <c r="AE100" s="228">
        <f>ROUND((ROUND((ROUND((_15_同援日０．５*_15・２人),0)*(1+_15・盲ろう)),0)*(1+_15・区４)),0)+ROUND((ROUND((ROUND((ROUND((_15_同援日０．５＿０．５*_15・２人),0)*(1+_15・B夜間)),0)*(1+_15・盲ろう)),0)*(1+_15・区４)),0)+ROUND((ROUND((ROUND((ROUND((_15_同援日０．５＿０．５＿２．０*_15・２人),0)*(1+_15・C深夜)),0)*(1+_15・盲ろう)),0)*(1+_15・区４)),0)</f>
        <v>1398</v>
      </c>
      <c r="AF100" s="69"/>
    </row>
    <row r="101" spans="1:32" ht="16.5" customHeight="1" x14ac:dyDescent="0.3">
      <c r="A101" s="2">
        <v>15</v>
      </c>
      <c r="B101" s="2" t="s">
        <v>1576</v>
      </c>
      <c r="C101" s="60" t="s">
        <v>12306</v>
      </c>
      <c r="D101" s="1"/>
      <c r="E101" s="68"/>
      <c r="F101" s="70"/>
      <c r="G101" s="1"/>
      <c r="H101" s="68"/>
      <c r="I101" s="70"/>
      <c r="J101" s="1"/>
      <c r="K101" s="68"/>
      <c r="L101" s="70"/>
      <c r="M101" s="74" t="s">
        <v>17972</v>
      </c>
      <c r="N101" s="62"/>
      <c r="O101" s="63"/>
      <c r="P101" s="83"/>
      <c r="Q101" s="64"/>
      <c r="R101" s="65"/>
      <c r="S101" s="99"/>
      <c r="T101" s="70"/>
      <c r="U101" s="99"/>
      <c r="V101" s="70"/>
      <c r="W101" s="1"/>
      <c r="X101" s="68" t="s">
        <v>1</v>
      </c>
      <c r="Y101" s="76">
        <v>0.25</v>
      </c>
      <c r="Z101" s="70" t="s">
        <v>422</v>
      </c>
      <c r="AA101" s="1"/>
      <c r="AB101" s="68"/>
      <c r="AC101" s="76"/>
      <c r="AD101" s="70"/>
      <c r="AE101" s="228">
        <f>ROUND((ROUND((ROUND((_15_同援日０．５*_15・基礎２),0)*(1+_15・盲ろう)),0)*(1+_15・区４)),0)+ROUND((ROUND((ROUND((ROUND((_15_同援日０．５＿０．５*_15・基礎２),0)*(1+_15・B夜間)),0)*(1+_15・盲ろう)),0)*(1+_15・区４)),0)+ROUND((ROUND((ROUND((ROUND((_15_同援日０．５＿０．５＿２．０*_15・基礎２),0)*(1+_15・C深夜)),0)*(1+_15・盲ろう)),0)*(1+_15・区４)),0)</f>
        <v>1257</v>
      </c>
      <c r="AF101" s="69"/>
    </row>
    <row r="102" spans="1:32" ht="16.5" customHeight="1" x14ac:dyDescent="0.3">
      <c r="A102" s="2">
        <v>15</v>
      </c>
      <c r="B102" s="2" t="s">
        <v>1577</v>
      </c>
      <c r="C102" s="60" t="s">
        <v>12305</v>
      </c>
      <c r="D102" s="1"/>
      <c r="E102" s="68"/>
      <c r="F102" s="70"/>
      <c r="G102" s="81"/>
      <c r="H102" s="57"/>
      <c r="I102" s="77"/>
      <c r="J102" s="81"/>
      <c r="K102" s="57"/>
      <c r="L102" s="77"/>
      <c r="M102" s="81" t="s">
        <v>17864</v>
      </c>
      <c r="N102" s="57" t="s">
        <v>1</v>
      </c>
      <c r="O102" s="58">
        <v>0.9</v>
      </c>
      <c r="P102" s="83" t="s">
        <v>5895</v>
      </c>
      <c r="Q102" s="64" t="s">
        <v>1</v>
      </c>
      <c r="R102" s="65">
        <v>1</v>
      </c>
      <c r="S102" s="99"/>
      <c r="T102" s="70"/>
      <c r="U102" s="99"/>
      <c r="V102" s="70"/>
      <c r="W102" s="81"/>
      <c r="X102" s="57"/>
      <c r="Y102" s="58"/>
      <c r="Z102" s="77"/>
      <c r="AA102" s="81"/>
      <c r="AB102" s="57"/>
      <c r="AC102" s="58"/>
      <c r="AD102" s="77"/>
      <c r="AE102" s="228">
        <f>ROUND((ROUND((ROUND((ROUND((_15_同援日０．５*_15・基礎２),0)*_15・２人),0)*(1+_15・盲ろう)),0)*(1+_15・区４)),0)+ROUND((ROUND((ROUND((ROUND((ROUND((_15_同援日０．５＿０．５*_15・基礎２),0)*_15・２人),0)*(1+_15・B夜間)),0)*(1+_15・盲ろう)),0)*(1+_15・区４)),0)+ROUND((ROUND((ROUND((ROUND((ROUND((_15_同援日０．５＿０．５＿２．０*_15・基礎２),0)*_15・２人),0)*(1+_15・C深夜)),0)*(1+_15・盲ろう)),0)*(1+_15・区４)),0)</f>
        <v>1257</v>
      </c>
      <c r="AF102" s="69"/>
    </row>
    <row r="103" spans="1:32" ht="16.5" customHeight="1" x14ac:dyDescent="0.3">
      <c r="A103" s="2">
        <v>15</v>
      </c>
      <c r="B103" s="2" t="s">
        <v>1578</v>
      </c>
      <c r="C103" s="60" t="s">
        <v>12304</v>
      </c>
      <c r="D103" s="1"/>
      <c r="E103" s="68"/>
      <c r="F103" s="70"/>
      <c r="G103" s="233" t="s">
        <v>18163</v>
      </c>
      <c r="H103" s="62"/>
      <c r="I103" s="75"/>
      <c r="J103" s="74" t="s">
        <v>17862</v>
      </c>
      <c r="K103" s="62"/>
      <c r="L103" s="75"/>
      <c r="M103" s="74"/>
      <c r="N103" s="62"/>
      <c r="O103" s="63"/>
      <c r="P103" s="83"/>
      <c r="Q103" s="64"/>
      <c r="R103" s="65"/>
      <c r="S103" s="99"/>
      <c r="T103" s="70"/>
      <c r="U103" s="99"/>
      <c r="V103" s="70"/>
      <c r="W103" s="74"/>
      <c r="X103" s="62"/>
      <c r="Y103" s="63"/>
      <c r="Z103" s="75"/>
      <c r="AA103" s="74"/>
      <c r="AB103" s="62"/>
      <c r="AC103" s="63"/>
      <c r="AD103" s="75"/>
      <c r="AE103" s="228">
        <f>_15_同援日０．５+ROUND((_15_同援日０．５＿１．０*(1+_15・B夜間)),0)+ROUND((_15_同援日０．５＿１．０＿０．５*(1+_15・C深夜)),0)</f>
        <v>576</v>
      </c>
      <c r="AF103" s="69"/>
    </row>
    <row r="104" spans="1:32" ht="16.5" customHeight="1" x14ac:dyDescent="0.3">
      <c r="A104" s="2">
        <v>15</v>
      </c>
      <c r="B104" s="2" t="s">
        <v>1579</v>
      </c>
      <c r="C104" s="60" t="s">
        <v>12303</v>
      </c>
      <c r="D104" s="1"/>
      <c r="E104" s="68"/>
      <c r="F104" s="70"/>
      <c r="G104" s="1" t="s">
        <v>18155</v>
      </c>
      <c r="H104" s="68"/>
      <c r="I104" s="70"/>
      <c r="J104" s="1" t="s">
        <v>7928</v>
      </c>
      <c r="K104" s="68"/>
      <c r="L104" s="70"/>
      <c r="M104" s="81"/>
      <c r="N104" s="57"/>
      <c r="O104" s="58"/>
      <c r="P104" s="83" t="s">
        <v>5895</v>
      </c>
      <c r="Q104" s="64" t="s">
        <v>1</v>
      </c>
      <c r="R104" s="65">
        <v>1</v>
      </c>
      <c r="S104" s="99"/>
      <c r="T104" s="70"/>
      <c r="U104" s="99"/>
      <c r="V104" s="70"/>
      <c r="W104" s="1"/>
      <c r="X104" s="68"/>
      <c r="Y104" s="76"/>
      <c r="Z104" s="70"/>
      <c r="AA104" s="1"/>
      <c r="AB104" s="68"/>
      <c r="AC104" s="76"/>
      <c r="AD104" s="70"/>
      <c r="AE104" s="228">
        <f>ROUND((_15_同援日０．５*_15・２人),0)+ROUND((ROUND((_15_同援日０．５＿１．０*_15・２人),0)*(1+_15・B夜間)),0)+ROUND((ROUND((_15_同援日０．５＿１．０＿０．５*_15・２人),0)*(1+_15・C深夜)),0)</f>
        <v>576</v>
      </c>
      <c r="AF104" s="69"/>
    </row>
    <row r="105" spans="1:32" ht="16.5" customHeight="1" x14ac:dyDescent="0.3">
      <c r="A105" s="2">
        <v>15</v>
      </c>
      <c r="B105" s="2" t="s">
        <v>1580</v>
      </c>
      <c r="C105" s="60" t="s">
        <v>12302</v>
      </c>
      <c r="D105" s="1"/>
      <c r="E105" s="68"/>
      <c r="F105" s="70"/>
      <c r="G105" s="1" t="s">
        <v>8572</v>
      </c>
      <c r="H105" s="68"/>
      <c r="I105" s="70"/>
      <c r="J105" s="1"/>
      <c r="K105" s="68"/>
      <c r="L105" s="70"/>
      <c r="M105" s="74" t="s">
        <v>17972</v>
      </c>
      <c r="N105" s="62"/>
      <c r="O105" s="63"/>
      <c r="P105" s="83"/>
      <c r="Q105" s="64"/>
      <c r="R105" s="65"/>
      <c r="S105" s="99"/>
      <c r="T105" s="70"/>
      <c r="U105" s="99"/>
      <c r="V105" s="70"/>
      <c r="W105" s="1"/>
      <c r="X105" s="68"/>
      <c r="Y105" s="76"/>
      <c r="Z105" s="70"/>
      <c r="AA105" s="1"/>
      <c r="AB105" s="68"/>
      <c r="AC105" s="76"/>
      <c r="AD105" s="70"/>
      <c r="AE105" s="228">
        <f>ROUND((_15_同援日０．５*_15・基礎２),0)+ROUND((ROUND((_15_同援日０．５＿１．０*_15・基礎２),0)*(1+_15・B夜間)),0)+ROUND((ROUND((_15_同援日０．５＿１．０＿０．５*_15・基礎２),0)*(1+_15・C深夜)),0)</f>
        <v>519</v>
      </c>
      <c r="AF105" s="69"/>
    </row>
    <row r="106" spans="1:32" ht="16.5" customHeight="1" x14ac:dyDescent="0.3">
      <c r="A106" s="2">
        <v>15</v>
      </c>
      <c r="B106" s="2" t="s">
        <v>1581</v>
      </c>
      <c r="C106" s="60" t="s">
        <v>12301</v>
      </c>
      <c r="D106" s="1"/>
      <c r="E106" s="68"/>
      <c r="F106" s="70"/>
      <c r="G106" s="1"/>
      <c r="H106" s="227">
        <v>237</v>
      </c>
      <c r="I106" s="70" t="s">
        <v>0</v>
      </c>
      <c r="J106" s="1"/>
      <c r="K106" s="119">
        <v>64</v>
      </c>
      <c r="L106" s="70" t="s">
        <v>0</v>
      </c>
      <c r="M106" s="81" t="s">
        <v>17864</v>
      </c>
      <c r="N106" s="57" t="s">
        <v>1</v>
      </c>
      <c r="O106" s="58">
        <v>0.9</v>
      </c>
      <c r="P106" s="83" t="s">
        <v>5895</v>
      </c>
      <c r="Q106" s="64" t="s">
        <v>1</v>
      </c>
      <c r="R106" s="65">
        <v>1</v>
      </c>
      <c r="S106" s="99"/>
      <c r="T106" s="70"/>
      <c r="U106" s="99"/>
      <c r="V106" s="70"/>
      <c r="W106" s="81"/>
      <c r="X106" s="57"/>
      <c r="Y106" s="58"/>
      <c r="Z106" s="77"/>
      <c r="AA106" s="1"/>
      <c r="AB106" s="68"/>
      <c r="AC106" s="76"/>
      <c r="AD106" s="70"/>
      <c r="AE106" s="228">
        <f>ROUND((ROUND((_15_同援日０．５*_15・基礎２),0)*_15・２人),0)+ROUND((ROUND((ROUND((_15_同援日０．５＿１．０*_15・基礎２),0)*_15・２人),0)*(1+_15・B夜間)),0)+ROUND((ROUND((ROUND((_15_同援日０．５＿１．０＿０．５*_15・基礎２),0)*_15・２人),0)*(1+_15・C深夜)),0)</f>
        <v>519</v>
      </c>
      <c r="AF106" s="69"/>
    </row>
    <row r="107" spans="1:32" ht="16.5" customHeight="1" x14ac:dyDescent="0.3">
      <c r="A107" s="2">
        <v>15</v>
      </c>
      <c r="B107" s="2" t="s">
        <v>1582</v>
      </c>
      <c r="C107" s="60" t="s">
        <v>12300</v>
      </c>
      <c r="D107" s="1"/>
      <c r="E107" s="68"/>
      <c r="F107" s="70"/>
      <c r="G107" s="1"/>
      <c r="H107" s="68"/>
      <c r="I107" s="70"/>
      <c r="J107" s="1"/>
      <c r="K107" s="68"/>
      <c r="L107" s="70"/>
      <c r="M107" s="74"/>
      <c r="N107" s="62"/>
      <c r="O107" s="63"/>
      <c r="P107" s="83"/>
      <c r="Q107" s="64"/>
      <c r="R107" s="65"/>
      <c r="S107" s="99"/>
      <c r="T107" s="70"/>
      <c r="U107" s="99"/>
      <c r="V107" s="70"/>
      <c r="W107" s="74" t="s">
        <v>17987</v>
      </c>
      <c r="X107" s="62"/>
      <c r="Y107" s="63"/>
      <c r="Z107" s="75"/>
      <c r="AA107" s="1"/>
      <c r="AB107" s="68"/>
      <c r="AC107" s="76"/>
      <c r="AD107" s="70"/>
      <c r="AE107" s="228">
        <f>ROUND((_15_同援日０．５*(1+_15・盲ろう)),0)+ROUND((ROUND((_15_同援日０．５＿１．０*(1+_15・B夜間)),0)*(1+_15・盲ろう)),0)+ROUND((ROUND((_15_同援日０．５＿１．０＿０．５*(1+_15・C深夜)),0)*(1+_15・盲ろう)),0)</f>
        <v>720</v>
      </c>
      <c r="AF107" s="69"/>
    </row>
    <row r="108" spans="1:32" ht="16.5" customHeight="1" x14ac:dyDescent="0.3">
      <c r="A108" s="2">
        <v>15</v>
      </c>
      <c r="B108" s="2" t="s">
        <v>1583</v>
      </c>
      <c r="C108" s="60" t="s">
        <v>12299</v>
      </c>
      <c r="D108" s="1"/>
      <c r="E108" s="68"/>
      <c r="F108" s="70"/>
      <c r="G108" s="1"/>
      <c r="H108" s="68"/>
      <c r="I108" s="70"/>
      <c r="J108" s="1"/>
      <c r="K108" s="68"/>
      <c r="L108" s="70"/>
      <c r="M108" s="81"/>
      <c r="N108" s="57"/>
      <c r="O108" s="58"/>
      <c r="P108" s="83" t="s">
        <v>5895</v>
      </c>
      <c r="Q108" s="64" t="s">
        <v>1</v>
      </c>
      <c r="R108" s="65">
        <v>1</v>
      </c>
      <c r="S108" s="99"/>
      <c r="T108" s="70"/>
      <c r="U108" s="99"/>
      <c r="V108" s="70"/>
      <c r="W108" s="1" t="s">
        <v>17973</v>
      </c>
      <c r="X108" s="68"/>
      <c r="Y108" s="76"/>
      <c r="Z108" s="70"/>
      <c r="AA108" s="1"/>
      <c r="AB108" s="68"/>
      <c r="AC108" s="76"/>
      <c r="AD108" s="70"/>
      <c r="AE108" s="228">
        <f>ROUND((ROUND((_15_同援日０．５*_15・２人),0)*(1+_15・盲ろう)),0)+ROUND((ROUND((ROUND((_15_同援日０．５＿１．０*_15・２人),0)*(1+_15・B夜間)),0)*(1+_15・盲ろう)),0)+ROUND((ROUND((ROUND((_15_同援日０．５＿１．０＿０．５*_15・２人),0)*(1+_15・C深夜)),0)*(1+_15・盲ろう)),0)</f>
        <v>720</v>
      </c>
      <c r="AF108" s="69"/>
    </row>
    <row r="109" spans="1:32" ht="16.5" customHeight="1" x14ac:dyDescent="0.3">
      <c r="A109" s="2">
        <v>15</v>
      </c>
      <c r="B109" s="2" t="s">
        <v>1584</v>
      </c>
      <c r="C109" s="60" t="s">
        <v>12298</v>
      </c>
      <c r="D109" s="1"/>
      <c r="E109" s="68"/>
      <c r="F109" s="70"/>
      <c r="G109" s="1"/>
      <c r="H109" s="68"/>
      <c r="I109" s="70"/>
      <c r="J109" s="1"/>
      <c r="K109" s="68"/>
      <c r="L109" s="70"/>
      <c r="M109" s="74" t="s">
        <v>17993</v>
      </c>
      <c r="N109" s="62"/>
      <c r="O109" s="63"/>
      <c r="P109" s="83"/>
      <c r="Q109" s="64"/>
      <c r="R109" s="65"/>
      <c r="S109" s="99"/>
      <c r="T109" s="70"/>
      <c r="U109" s="99"/>
      <c r="V109" s="70"/>
      <c r="W109" s="1"/>
      <c r="X109" s="68" t="s">
        <v>1</v>
      </c>
      <c r="Y109" s="76">
        <v>0.25</v>
      </c>
      <c r="Z109" s="70" t="s">
        <v>422</v>
      </c>
      <c r="AA109" s="1"/>
      <c r="AB109" s="68"/>
      <c r="AC109" s="76"/>
      <c r="AD109" s="70"/>
      <c r="AE109" s="228">
        <f>ROUND((ROUND((_15_同援日０．５*_15・基礎２),0)*(1+_15・盲ろう)),0)+ROUND((ROUND((ROUND((_15_同援日０．５＿１．０*_15・基礎２),0)*(1+_15・B夜間)),0)*(1+_15・盲ろう)),0)+ROUND((ROUND((ROUND((_15_同援日０．５＿１．０＿０．５*_15・基礎２),0)*(1+_15・C深夜)),0)*(1+_15・盲ろう)),0)</f>
        <v>650</v>
      </c>
      <c r="AF109" s="69"/>
    </row>
    <row r="110" spans="1:32" ht="16.5" customHeight="1" x14ac:dyDescent="0.3">
      <c r="A110" s="2">
        <v>15</v>
      </c>
      <c r="B110" s="2" t="s">
        <v>1585</v>
      </c>
      <c r="C110" s="60" t="s">
        <v>12297</v>
      </c>
      <c r="D110" s="1"/>
      <c r="E110" s="68"/>
      <c r="F110" s="70"/>
      <c r="G110" s="1"/>
      <c r="H110" s="68"/>
      <c r="I110" s="70"/>
      <c r="J110" s="1"/>
      <c r="K110" s="68"/>
      <c r="L110" s="70"/>
      <c r="M110" s="81" t="s">
        <v>17864</v>
      </c>
      <c r="N110" s="57" t="s">
        <v>1</v>
      </c>
      <c r="O110" s="58">
        <v>0.9</v>
      </c>
      <c r="P110" s="83" t="s">
        <v>5895</v>
      </c>
      <c r="Q110" s="64" t="s">
        <v>1</v>
      </c>
      <c r="R110" s="65">
        <v>1</v>
      </c>
      <c r="S110" s="99"/>
      <c r="T110" s="70"/>
      <c r="U110" s="99"/>
      <c r="V110" s="70"/>
      <c r="W110" s="81"/>
      <c r="X110" s="57"/>
      <c r="Y110" s="58"/>
      <c r="Z110" s="77"/>
      <c r="AA110" s="81"/>
      <c r="AB110" s="57"/>
      <c r="AC110" s="58"/>
      <c r="AD110" s="77"/>
      <c r="AE110" s="228">
        <f>ROUND((ROUND((ROUND((_15_同援日０．５*_15・基礎２),0)*_15・２人),0)*(1+_15・盲ろう)),0)+ROUND((ROUND((ROUND((ROUND((_15_同援日０．５＿１．０*_15・基礎２),0)*_15・２人),0)*(1+_15・B夜間)),0)*(1+_15・盲ろう)),0)+ROUND((ROUND((ROUND((ROUND((_15_同援日０．５＿１．０＿０．５*_15・基礎２),0)*_15・２人),0)*(1+_15・C深夜)),0)*(1+_15・盲ろう)),0)</f>
        <v>650</v>
      </c>
      <c r="AF110" s="69"/>
    </row>
    <row r="111" spans="1:32" ht="16.5" customHeight="1" x14ac:dyDescent="0.3">
      <c r="A111" s="2">
        <v>15</v>
      </c>
      <c r="B111" s="2" t="s">
        <v>1586</v>
      </c>
      <c r="C111" s="60" t="s">
        <v>12296</v>
      </c>
      <c r="D111" s="1"/>
      <c r="E111" s="68"/>
      <c r="F111" s="70"/>
      <c r="G111" s="1"/>
      <c r="H111" s="68"/>
      <c r="I111" s="70"/>
      <c r="J111" s="1"/>
      <c r="K111" s="68"/>
      <c r="L111" s="70"/>
      <c r="M111" s="74"/>
      <c r="N111" s="62"/>
      <c r="O111" s="63"/>
      <c r="P111" s="83"/>
      <c r="Q111" s="64"/>
      <c r="R111" s="65"/>
      <c r="S111" s="99"/>
      <c r="T111" s="70"/>
      <c r="U111" s="99"/>
      <c r="V111" s="70"/>
      <c r="W111" s="74"/>
      <c r="X111" s="62"/>
      <c r="Y111" s="63"/>
      <c r="Z111" s="75"/>
      <c r="AA111" s="74"/>
      <c r="AB111" s="62"/>
      <c r="AC111" s="63"/>
      <c r="AD111" s="75"/>
      <c r="AE111" s="228">
        <f>ROUND((_15_同援日０．５*(1+_15・区３)),0)+ROUND((ROUND((_15_同援日０．５＿１．０*(1+_15・B夜間)),0)*(1+_15・区３)),0)+ROUND((ROUND((_15_同援日０．５＿１．０＿０．５*(1+_15・C深夜)),0)*(1+_15・区３)),0)</f>
        <v>691</v>
      </c>
      <c r="AF111" s="69"/>
    </row>
    <row r="112" spans="1:32" ht="16.5" customHeight="1" x14ac:dyDescent="0.3">
      <c r="A112" s="2">
        <v>15</v>
      </c>
      <c r="B112" s="2" t="s">
        <v>1587</v>
      </c>
      <c r="C112" s="60" t="s">
        <v>12295</v>
      </c>
      <c r="D112" s="1"/>
      <c r="E112" s="68"/>
      <c r="F112" s="70"/>
      <c r="G112" s="1"/>
      <c r="H112" s="68"/>
      <c r="I112" s="70"/>
      <c r="J112" s="1"/>
      <c r="K112" s="68"/>
      <c r="L112" s="70"/>
      <c r="M112" s="81"/>
      <c r="N112" s="57"/>
      <c r="O112" s="58"/>
      <c r="P112" s="83" t="s">
        <v>5895</v>
      </c>
      <c r="Q112" s="64" t="s">
        <v>1</v>
      </c>
      <c r="R112" s="65">
        <v>1</v>
      </c>
      <c r="S112" s="99"/>
      <c r="T112" s="70"/>
      <c r="U112" s="99"/>
      <c r="V112" s="70"/>
      <c r="W112" s="1"/>
      <c r="X112" s="68"/>
      <c r="Y112" s="76"/>
      <c r="Z112" s="70"/>
      <c r="AA112" s="1"/>
      <c r="AB112" s="68"/>
      <c r="AC112" s="76"/>
      <c r="AD112" s="70"/>
      <c r="AE112" s="228">
        <f>ROUND((ROUND((_15_同援日０．５*_15・２人),0)*(1+_15・区３)),0)+ROUND((ROUND((ROUND((_15_同援日０．５＿１．０*_15・２人),0)*(1+_15・B夜間)),0)*(1+_15・区３)),0)+ROUND((ROUND((ROUND((_15_同援日０．５＿１．０＿０．５*_15・２人),0)*(1+_15・C深夜)),0)*(1+_15・区３)),0)</f>
        <v>691</v>
      </c>
      <c r="AF112" s="69"/>
    </row>
    <row r="113" spans="1:32" ht="16.5" customHeight="1" x14ac:dyDescent="0.3">
      <c r="A113" s="2">
        <v>15</v>
      </c>
      <c r="B113" s="2" t="s">
        <v>1588</v>
      </c>
      <c r="C113" s="60" t="s">
        <v>12294</v>
      </c>
      <c r="D113" s="1"/>
      <c r="E113" s="68"/>
      <c r="F113" s="70"/>
      <c r="G113" s="1"/>
      <c r="H113" s="68"/>
      <c r="I113" s="70"/>
      <c r="J113" s="1"/>
      <c r="K113" s="68"/>
      <c r="L113" s="70"/>
      <c r="M113" s="74" t="s">
        <v>17972</v>
      </c>
      <c r="N113" s="62"/>
      <c r="O113" s="63"/>
      <c r="P113" s="83"/>
      <c r="Q113" s="64"/>
      <c r="R113" s="65"/>
      <c r="S113" s="99"/>
      <c r="T113" s="70"/>
      <c r="U113" s="99"/>
      <c r="V113" s="70"/>
      <c r="W113" s="1"/>
      <c r="X113" s="68"/>
      <c r="Y113" s="76"/>
      <c r="Z113" s="70"/>
      <c r="AA113" s="1" t="s">
        <v>17997</v>
      </c>
      <c r="AB113" s="68"/>
      <c r="AC113" s="76"/>
      <c r="AD113" s="70"/>
      <c r="AE113" s="228">
        <f>ROUND((ROUND((_15_同援日０．５*_15・基礎２),0)*(1+_15・区３)),0)+ROUND((ROUND((ROUND((_15_同援日０．５＿１．０*_15・基礎２),0)*(1+_15・B夜間)),0)*(1+_15・区３)),0)+ROUND((ROUND((ROUND((_15_同援日０．５＿１．０＿０．５*_15・基礎２),0)*(1+_15・C深夜)),0)*(1+_15・区３)),0)</f>
        <v>622</v>
      </c>
      <c r="AF113" s="69"/>
    </row>
    <row r="114" spans="1:32" ht="16.5" customHeight="1" x14ac:dyDescent="0.3">
      <c r="A114" s="2">
        <v>15</v>
      </c>
      <c r="B114" s="2" t="s">
        <v>1589</v>
      </c>
      <c r="C114" s="60" t="s">
        <v>12293</v>
      </c>
      <c r="D114" s="1"/>
      <c r="E114" s="68"/>
      <c r="F114" s="70"/>
      <c r="G114" s="1"/>
      <c r="H114" s="68"/>
      <c r="I114" s="70"/>
      <c r="J114" s="1"/>
      <c r="K114" s="68"/>
      <c r="L114" s="70"/>
      <c r="M114" s="81" t="s">
        <v>17864</v>
      </c>
      <c r="N114" s="57" t="s">
        <v>1</v>
      </c>
      <c r="O114" s="58">
        <v>0.9</v>
      </c>
      <c r="P114" s="83" t="s">
        <v>5895</v>
      </c>
      <c r="Q114" s="64" t="s">
        <v>1</v>
      </c>
      <c r="R114" s="65">
        <v>1</v>
      </c>
      <c r="S114" s="99"/>
      <c r="T114" s="70"/>
      <c r="U114" s="99"/>
      <c r="V114" s="70"/>
      <c r="W114" s="81"/>
      <c r="X114" s="57"/>
      <c r="Y114" s="58"/>
      <c r="Z114" s="77"/>
      <c r="AA114" s="1" t="s">
        <v>17980</v>
      </c>
      <c r="AB114" s="68"/>
      <c r="AC114" s="76"/>
      <c r="AD114" s="70"/>
      <c r="AE114" s="228">
        <f>ROUND((ROUND((ROUND((_15_同援日０．５*_15・基礎２),0)*_15・２人),0)*(1+_15・区３)),0)+ROUND((ROUND((ROUND((ROUND((_15_同援日０．５＿１．０*_15・基礎２),0)*_15・２人),0)*(1+_15・B夜間)),0)*(1+_15・区３)),0)+ROUND((ROUND((ROUND((ROUND((_15_同援日０．５＿１．０＿０．５*_15・基礎２),0)*_15・２人),0)*(1+_15・C深夜)),0)*(1+_15・区３)),0)</f>
        <v>622</v>
      </c>
      <c r="AF114" s="69"/>
    </row>
    <row r="115" spans="1:32" ht="16.5" customHeight="1" x14ac:dyDescent="0.3">
      <c r="A115" s="2">
        <v>15</v>
      </c>
      <c r="B115" s="2" t="s">
        <v>1590</v>
      </c>
      <c r="C115" s="60" t="s">
        <v>12292</v>
      </c>
      <c r="D115" s="1"/>
      <c r="E115" s="68"/>
      <c r="F115" s="70"/>
      <c r="G115" s="1"/>
      <c r="H115" s="68"/>
      <c r="I115" s="70"/>
      <c r="J115" s="1"/>
      <c r="K115" s="68"/>
      <c r="L115" s="70"/>
      <c r="M115" s="74"/>
      <c r="N115" s="62"/>
      <c r="O115" s="63"/>
      <c r="P115" s="83"/>
      <c r="Q115" s="64"/>
      <c r="R115" s="65"/>
      <c r="S115" s="99"/>
      <c r="T115" s="70"/>
      <c r="U115" s="99"/>
      <c r="V115" s="70"/>
      <c r="W115" s="74" t="s">
        <v>17987</v>
      </c>
      <c r="X115" s="62"/>
      <c r="Y115" s="63"/>
      <c r="Z115" s="75"/>
      <c r="AA115" s="1"/>
      <c r="AB115" s="68" t="s">
        <v>1</v>
      </c>
      <c r="AC115" s="76">
        <v>0.2</v>
      </c>
      <c r="AD115" s="70" t="s">
        <v>422</v>
      </c>
      <c r="AE115" s="228">
        <f>ROUND((ROUND((_15_同援日０．５*(1+_15・盲ろう)),0)*(1+_15・区３)),0)+ROUND((ROUND((ROUND((_15_同援日０．５＿１．０*(1+_15・B夜間)),0)*(1+_15・盲ろう)),0)*(1+_15・区３)),0)+ROUND((ROUND((ROUND((_15_同援日０．５＿１．０＿０．５*(1+_15・C深夜)),0)*(1+_15・盲ろう)),0)*(1+_15・区３)),0)</f>
        <v>864</v>
      </c>
      <c r="AF115" s="69"/>
    </row>
    <row r="116" spans="1:32" ht="16.5" customHeight="1" x14ac:dyDescent="0.3">
      <c r="A116" s="2">
        <v>15</v>
      </c>
      <c r="B116" s="2" t="s">
        <v>1591</v>
      </c>
      <c r="C116" s="60" t="s">
        <v>12291</v>
      </c>
      <c r="D116" s="1"/>
      <c r="E116" s="68"/>
      <c r="F116" s="70"/>
      <c r="G116" s="1"/>
      <c r="H116" s="68"/>
      <c r="I116" s="70"/>
      <c r="J116" s="1"/>
      <c r="K116" s="68"/>
      <c r="L116" s="70"/>
      <c r="M116" s="81"/>
      <c r="N116" s="57"/>
      <c r="O116" s="58"/>
      <c r="P116" s="83" t="s">
        <v>5895</v>
      </c>
      <c r="Q116" s="64" t="s">
        <v>1</v>
      </c>
      <c r="R116" s="65">
        <v>1</v>
      </c>
      <c r="S116" s="99"/>
      <c r="T116" s="70"/>
      <c r="U116" s="99"/>
      <c r="V116" s="70"/>
      <c r="W116" s="1" t="s">
        <v>17973</v>
      </c>
      <c r="X116" s="68"/>
      <c r="Y116" s="76"/>
      <c r="Z116" s="70"/>
      <c r="AA116" s="1"/>
      <c r="AB116" s="68"/>
      <c r="AC116" s="76"/>
      <c r="AD116" s="70"/>
      <c r="AE116" s="228">
        <f>ROUND((ROUND((ROUND((_15_同援日０．５*_15・２人),0)*(1+_15・盲ろう)),0)*(1+_15・区３)),0)+ROUND((ROUND((ROUND((ROUND((_15_同援日０．５＿１．０*_15・２人),0)*(1+_15・B夜間)),0)*(1+_15・盲ろう)),0)*(1+_15・区３)),0)+ROUND((ROUND((ROUND((ROUND((_15_同援日０．５＿１．０＿０．５*_15・２人),0)*(1+_15・C深夜)),0)*(1+_15・盲ろう)),0)*(1+_15・区３)),0)</f>
        <v>864</v>
      </c>
      <c r="AF116" s="69"/>
    </row>
    <row r="117" spans="1:32" ht="16.5" customHeight="1" x14ac:dyDescent="0.3">
      <c r="A117" s="2">
        <v>15</v>
      </c>
      <c r="B117" s="2" t="s">
        <v>1592</v>
      </c>
      <c r="C117" s="60" t="s">
        <v>12290</v>
      </c>
      <c r="D117" s="1"/>
      <c r="E117" s="68"/>
      <c r="F117" s="70"/>
      <c r="G117" s="1"/>
      <c r="H117" s="68"/>
      <c r="I117" s="70"/>
      <c r="J117" s="1"/>
      <c r="K117" s="68"/>
      <c r="L117" s="70"/>
      <c r="M117" s="74" t="s">
        <v>17972</v>
      </c>
      <c r="N117" s="62"/>
      <c r="O117" s="63"/>
      <c r="P117" s="83"/>
      <c r="Q117" s="64"/>
      <c r="R117" s="65"/>
      <c r="S117" s="99"/>
      <c r="T117" s="70"/>
      <c r="U117" s="99"/>
      <c r="V117" s="70"/>
      <c r="W117" s="1"/>
      <c r="X117" s="68" t="s">
        <v>1</v>
      </c>
      <c r="Y117" s="76">
        <v>0.25</v>
      </c>
      <c r="Z117" s="70" t="s">
        <v>422</v>
      </c>
      <c r="AA117" s="1"/>
      <c r="AB117" s="68"/>
      <c r="AC117" s="76"/>
      <c r="AD117" s="70"/>
      <c r="AE117" s="228">
        <f>ROUND((ROUND((ROUND((_15_同援日０．５*_15・基礎２),0)*(1+_15・盲ろう)),0)*(1+_15・区３)),0)+ROUND((ROUND((ROUND((ROUND((_15_同援日０．５＿１．０*_15・基礎２),0)*(1+_15・B夜間)),0)*(1+_15・盲ろう)),0)*(1+_15・区３)),0)+ROUND((ROUND((ROUND((ROUND((_15_同援日０．５＿１．０＿０．５*_15・基礎２),0)*(1+_15・C深夜)),0)*(1+_15・盲ろう)),0)*(1+_15・区３)),0)</f>
        <v>781</v>
      </c>
      <c r="AF117" s="69"/>
    </row>
    <row r="118" spans="1:32" ht="16.5" customHeight="1" x14ac:dyDescent="0.3">
      <c r="A118" s="2">
        <v>15</v>
      </c>
      <c r="B118" s="2" t="s">
        <v>1593</v>
      </c>
      <c r="C118" s="60" t="s">
        <v>12289</v>
      </c>
      <c r="D118" s="1"/>
      <c r="E118" s="68"/>
      <c r="F118" s="70"/>
      <c r="G118" s="1"/>
      <c r="H118" s="68"/>
      <c r="I118" s="70"/>
      <c r="J118" s="1"/>
      <c r="K118" s="68"/>
      <c r="L118" s="70"/>
      <c r="M118" s="81" t="s">
        <v>17864</v>
      </c>
      <c r="N118" s="57" t="s">
        <v>1</v>
      </c>
      <c r="O118" s="58">
        <v>0.9</v>
      </c>
      <c r="P118" s="83" t="s">
        <v>5895</v>
      </c>
      <c r="Q118" s="64" t="s">
        <v>1</v>
      </c>
      <c r="R118" s="65">
        <v>1</v>
      </c>
      <c r="S118" s="99"/>
      <c r="T118" s="70"/>
      <c r="U118" s="99"/>
      <c r="V118" s="70"/>
      <c r="W118" s="81"/>
      <c r="X118" s="57"/>
      <c r="Y118" s="58"/>
      <c r="Z118" s="77"/>
      <c r="AA118" s="81"/>
      <c r="AB118" s="57"/>
      <c r="AC118" s="58"/>
      <c r="AD118" s="77"/>
      <c r="AE118" s="228">
        <f>ROUND((ROUND((ROUND((ROUND((_15_同援日０．５*_15・基礎２),0)*_15・２人),0)*(1+_15・盲ろう)),0)*(1+_15・区３)),0)+ROUND((ROUND((ROUND((ROUND((ROUND((_15_同援日０．５＿１．０*_15・基礎２),0)*_15・２人),0)*(1+_15・B夜間)),0)*(1+_15・盲ろう)),0)*(1+_15・区３)),0)+ROUND((ROUND((ROUND((ROUND((ROUND((_15_同援日０．５＿１．０＿０．５*_15・基礎２),0)*_15・２人),0)*(1+_15・C深夜)),0)*(1+_15・盲ろう)),0)*(1+_15・区３)),0)</f>
        <v>781</v>
      </c>
      <c r="AF118" s="69"/>
    </row>
    <row r="119" spans="1:32" ht="16.5" customHeight="1" x14ac:dyDescent="0.3">
      <c r="A119" s="2">
        <v>15</v>
      </c>
      <c r="B119" s="2" t="s">
        <v>1594</v>
      </c>
      <c r="C119" s="60" t="s">
        <v>12288</v>
      </c>
      <c r="D119" s="1"/>
      <c r="E119" s="68"/>
      <c r="F119" s="70"/>
      <c r="G119" s="1"/>
      <c r="H119" s="68"/>
      <c r="I119" s="70"/>
      <c r="J119" s="1"/>
      <c r="K119" s="68"/>
      <c r="L119" s="70"/>
      <c r="M119" s="74"/>
      <c r="N119" s="62"/>
      <c r="O119" s="63"/>
      <c r="P119" s="83"/>
      <c r="Q119" s="64"/>
      <c r="R119" s="65"/>
      <c r="S119" s="99"/>
      <c r="T119" s="70"/>
      <c r="U119" s="99"/>
      <c r="V119" s="70"/>
      <c r="W119" s="74"/>
      <c r="X119" s="62"/>
      <c r="Y119" s="63"/>
      <c r="Z119" s="75"/>
      <c r="AA119" s="74"/>
      <c r="AB119" s="62"/>
      <c r="AC119" s="63"/>
      <c r="AD119" s="75"/>
      <c r="AE119" s="228">
        <f>ROUND((_15_同援日０．５*(1+_15・区４)),0)+ROUND((ROUND((_15_同援日０．５＿１．０*(1+_15・B夜間)),0)*(1+_15・区４)),0)+ROUND((ROUND((_15_同援日０．５＿１．０＿０．５*(1+_15・C深夜)),0)*(1+_15・区４)),0)</f>
        <v>806</v>
      </c>
      <c r="AF119" s="69"/>
    </row>
    <row r="120" spans="1:32" ht="16.5" customHeight="1" x14ac:dyDescent="0.3">
      <c r="A120" s="2">
        <v>15</v>
      </c>
      <c r="B120" s="2" t="s">
        <v>1595</v>
      </c>
      <c r="C120" s="60" t="s">
        <v>12287</v>
      </c>
      <c r="D120" s="1"/>
      <c r="E120" s="68"/>
      <c r="F120" s="70"/>
      <c r="G120" s="1"/>
      <c r="H120" s="68"/>
      <c r="I120" s="70"/>
      <c r="J120" s="1"/>
      <c r="K120" s="68"/>
      <c r="L120" s="70"/>
      <c r="M120" s="81"/>
      <c r="N120" s="57"/>
      <c r="O120" s="58"/>
      <c r="P120" s="83" t="s">
        <v>5895</v>
      </c>
      <c r="Q120" s="64" t="s">
        <v>1</v>
      </c>
      <c r="R120" s="65">
        <v>1</v>
      </c>
      <c r="S120" s="99"/>
      <c r="T120" s="70"/>
      <c r="U120" s="99"/>
      <c r="V120" s="70"/>
      <c r="W120" s="1"/>
      <c r="X120" s="68"/>
      <c r="Y120" s="76"/>
      <c r="Z120" s="70"/>
      <c r="AA120" s="1"/>
      <c r="AB120" s="68"/>
      <c r="AC120" s="76"/>
      <c r="AD120" s="70"/>
      <c r="AE120" s="228">
        <f>ROUND((ROUND((_15_同援日０．５*_15・２人),0)*(1+_15・区４)),0)+ROUND((ROUND((ROUND((_15_同援日０．５＿１．０*_15・２人),0)*(1+_15・B夜間)),0)*(1+_15・区４)),0)+ROUND((ROUND((ROUND((_15_同援日０．５＿１．０＿０．５*_15・２人),0)*(1+_15・C深夜)),0)*(1+_15・区４)),0)</f>
        <v>806</v>
      </c>
      <c r="AF120" s="69"/>
    </row>
    <row r="121" spans="1:32" ht="16.5" customHeight="1" x14ac:dyDescent="0.3">
      <c r="A121" s="2">
        <v>15</v>
      </c>
      <c r="B121" s="2" t="s">
        <v>1596</v>
      </c>
      <c r="C121" s="60" t="s">
        <v>12286</v>
      </c>
      <c r="D121" s="1"/>
      <c r="E121" s="68"/>
      <c r="F121" s="70"/>
      <c r="G121" s="1"/>
      <c r="H121" s="68"/>
      <c r="I121" s="70"/>
      <c r="J121" s="1"/>
      <c r="K121" s="68"/>
      <c r="L121" s="70"/>
      <c r="M121" s="74" t="s">
        <v>17972</v>
      </c>
      <c r="N121" s="62"/>
      <c r="O121" s="63"/>
      <c r="P121" s="83"/>
      <c r="Q121" s="64"/>
      <c r="R121" s="65"/>
      <c r="S121" s="99"/>
      <c r="T121" s="70"/>
      <c r="U121" s="99"/>
      <c r="V121" s="70"/>
      <c r="W121" s="1"/>
      <c r="X121" s="68"/>
      <c r="Y121" s="76"/>
      <c r="Z121" s="70"/>
      <c r="AA121" s="1" t="s">
        <v>17988</v>
      </c>
      <c r="AB121" s="68"/>
      <c r="AC121" s="76"/>
      <c r="AD121" s="70"/>
      <c r="AE121" s="228">
        <f>ROUND((ROUND((_15_同援日０．５*_15・基礎２),0)*(1+_15・区４)),0)+ROUND((ROUND((ROUND((_15_同援日０．５＿１．０*_15・基礎２),0)*(1+_15・B夜間)),0)*(1+_15・区４)),0)+ROUND((ROUND((ROUND((_15_同援日０．５＿１．０＿０．５*_15・基礎２),0)*(1+_15・C深夜)),0)*(1+_15・区４)),0)</f>
        <v>726</v>
      </c>
      <c r="AF121" s="69"/>
    </row>
    <row r="122" spans="1:32" ht="16.5" customHeight="1" x14ac:dyDescent="0.3">
      <c r="A122" s="2">
        <v>15</v>
      </c>
      <c r="B122" s="2" t="s">
        <v>1597</v>
      </c>
      <c r="C122" s="60" t="s">
        <v>12285</v>
      </c>
      <c r="D122" s="1"/>
      <c r="E122" s="68"/>
      <c r="F122" s="70"/>
      <c r="G122" s="1"/>
      <c r="H122" s="68"/>
      <c r="I122" s="70"/>
      <c r="J122" s="1"/>
      <c r="K122" s="68"/>
      <c r="L122" s="70"/>
      <c r="M122" s="81" t="s">
        <v>17864</v>
      </c>
      <c r="N122" s="57" t="s">
        <v>1</v>
      </c>
      <c r="O122" s="58">
        <v>0.9</v>
      </c>
      <c r="P122" s="83" t="s">
        <v>5895</v>
      </c>
      <c r="Q122" s="64" t="s">
        <v>1</v>
      </c>
      <c r="R122" s="65">
        <v>1</v>
      </c>
      <c r="S122" s="99"/>
      <c r="T122" s="70"/>
      <c r="U122" s="99"/>
      <c r="V122" s="70"/>
      <c r="W122" s="81"/>
      <c r="X122" s="57"/>
      <c r="Y122" s="58"/>
      <c r="Z122" s="77"/>
      <c r="AA122" s="1" t="s">
        <v>17980</v>
      </c>
      <c r="AB122" s="68"/>
      <c r="AC122" s="76"/>
      <c r="AD122" s="70"/>
      <c r="AE122" s="228">
        <f>ROUND((ROUND((ROUND((_15_同援日０．５*_15・基礎２),0)*_15・２人),0)*(1+_15・区４)),0)+ROUND((ROUND((ROUND((ROUND((_15_同援日０．５＿１．０*_15・基礎２),0)*_15・２人),0)*(1+_15・B夜間)),0)*(1+_15・区４)),0)+ROUND((ROUND((ROUND((ROUND((_15_同援日０．５＿１．０＿０．５*_15・基礎２),0)*_15・２人),0)*(1+_15・C深夜)),0)*(1+_15・区４)),0)</f>
        <v>726</v>
      </c>
      <c r="AF122" s="69"/>
    </row>
    <row r="123" spans="1:32" ht="16.5" customHeight="1" x14ac:dyDescent="0.3">
      <c r="A123" s="2">
        <v>15</v>
      </c>
      <c r="B123" s="2" t="s">
        <v>1598</v>
      </c>
      <c r="C123" s="60" t="s">
        <v>18162</v>
      </c>
      <c r="D123" s="1"/>
      <c r="E123" s="68"/>
      <c r="F123" s="70"/>
      <c r="G123" s="1"/>
      <c r="H123" s="68"/>
      <c r="I123" s="70"/>
      <c r="J123" s="1"/>
      <c r="K123" s="68"/>
      <c r="L123" s="70"/>
      <c r="M123" s="74"/>
      <c r="N123" s="62"/>
      <c r="O123" s="63"/>
      <c r="P123" s="83"/>
      <c r="Q123" s="64"/>
      <c r="R123" s="65"/>
      <c r="S123" s="99"/>
      <c r="T123" s="70"/>
      <c r="U123" s="99"/>
      <c r="V123" s="70"/>
      <c r="W123" s="74" t="s">
        <v>17987</v>
      </c>
      <c r="X123" s="62"/>
      <c r="Y123" s="63"/>
      <c r="Z123" s="75"/>
      <c r="AA123" s="1"/>
      <c r="AB123" s="68" t="s">
        <v>1</v>
      </c>
      <c r="AC123" s="76">
        <v>0.4</v>
      </c>
      <c r="AD123" s="70" t="s">
        <v>422</v>
      </c>
      <c r="AE123" s="228">
        <f>ROUND((ROUND((_15_同援日０．５*(1+_15・盲ろう)),0)*(1+_15・区４)),0)+ROUND((ROUND((ROUND((_15_同援日０．５＿１．０*(1+_15・B夜間)),0)*(1+_15・盲ろう)),0)*(1+_15・区４)),0)+ROUND((ROUND((ROUND((_15_同援日０．５＿１．０＿０．５*(1+_15・C深夜)),0)*(1+_15・盲ろう)),0)*(1+_15・区４)),0)</f>
        <v>1008</v>
      </c>
      <c r="AF123" s="69"/>
    </row>
    <row r="124" spans="1:32" ht="16.5" customHeight="1" x14ac:dyDescent="0.3">
      <c r="A124" s="2">
        <v>15</v>
      </c>
      <c r="B124" s="2" t="s">
        <v>1599</v>
      </c>
      <c r="C124" s="60" t="s">
        <v>18161</v>
      </c>
      <c r="D124" s="1"/>
      <c r="E124" s="68"/>
      <c r="F124" s="70"/>
      <c r="G124" s="1"/>
      <c r="H124" s="68"/>
      <c r="I124" s="70"/>
      <c r="J124" s="1"/>
      <c r="K124" s="68"/>
      <c r="L124" s="70"/>
      <c r="M124" s="81"/>
      <c r="N124" s="57"/>
      <c r="O124" s="58"/>
      <c r="P124" s="83" t="s">
        <v>5895</v>
      </c>
      <c r="Q124" s="64" t="s">
        <v>1</v>
      </c>
      <c r="R124" s="65">
        <v>1</v>
      </c>
      <c r="S124" s="99"/>
      <c r="T124" s="70"/>
      <c r="U124" s="99"/>
      <c r="V124" s="70"/>
      <c r="W124" s="1" t="s">
        <v>17973</v>
      </c>
      <c r="X124" s="68"/>
      <c r="Y124" s="76"/>
      <c r="Z124" s="70"/>
      <c r="AA124" s="1"/>
      <c r="AB124" s="68"/>
      <c r="AC124" s="76"/>
      <c r="AD124" s="70"/>
      <c r="AE124" s="228">
        <f>ROUND((ROUND((ROUND((_15_同援日０．５*_15・２人),0)*(1+_15・盲ろう)),0)*(1+_15・区４)),0)+ROUND((ROUND((ROUND((ROUND((_15_同援日０．５＿１．０*_15・２人),0)*(1+_15・B夜間)),0)*(1+_15・盲ろう)),0)*(1+_15・区４)),0)+ROUND((ROUND((ROUND((ROUND((_15_同援日０．５＿１．０＿０．５*_15・２人),0)*(1+_15・C深夜)),0)*(1+_15・盲ろう)),0)*(1+_15・区４)),0)</f>
        <v>1008</v>
      </c>
      <c r="AF124" s="69"/>
    </row>
    <row r="125" spans="1:32" ht="16.5" customHeight="1" x14ac:dyDescent="0.3">
      <c r="A125" s="2">
        <v>15</v>
      </c>
      <c r="B125" s="2" t="s">
        <v>1600</v>
      </c>
      <c r="C125" s="60" t="s">
        <v>12284</v>
      </c>
      <c r="D125" s="1"/>
      <c r="E125" s="68"/>
      <c r="F125" s="70"/>
      <c r="G125" s="1"/>
      <c r="H125" s="68"/>
      <c r="I125" s="70"/>
      <c r="J125" s="1"/>
      <c r="K125" s="68"/>
      <c r="L125" s="70"/>
      <c r="M125" s="74" t="s">
        <v>17972</v>
      </c>
      <c r="N125" s="62"/>
      <c r="O125" s="63"/>
      <c r="P125" s="83"/>
      <c r="Q125" s="64"/>
      <c r="R125" s="65"/>
      <c r="S125" s="99"/>
      <c r="T125" s="70"/>
      <c r="U125" s="99"/>
      <c r="V125" s="70"/>
      <c r="W125" s="1"/>
      <c r="X125" s="68" t="s">
        <v>1</v>
      </c>
      <c r="Y125" s="76">
        <v>0.25</v>
      </c>
      <c r="Z125" s="70" t="s">
        <v>422</v>
      </c>
      <c r="AA125" s="1"/>
      <c r="AB125" s="68"/>
      <c r="AC125" s="76"/>
      <c r="AD125" s="70"/>
      <c r="AE125" s="228">
        <f>ROUND((ROUND((ROUND((_15_同援日０．５*_15・基礎２),0)*(1+_15・盲ろう)),0)*(1+_15・区４)),0)+ROUND((ROUND((ROUND((ROUND((_15_同援日０．５＿１．０*_15・基礎２),0)*(1+_15・B夜間)),0)*(1+_15・盲ろう)),0)*(1+_15・区４)),0)+ROUND((ROUND((ROUND((ROUND((_15_同援日０．５＿１．０＿０．５*_15・基礎２),0)*(1+_15・C深夜)),0)*(1+_15・盲ろう)),0)*(1+_15・区４)),0)</f>
        <v>910</v>
      </c>
      <c r="AF125" s="69"/>
    </row>
    <row r="126" spans="1:32" ht="16.5" customHeight="1" x14ac:dyDescent="0.3">
      <c r="A126" s="2">
        <v>15</v>
      </c>
      <c r="B126" s="2" t="s">
        <v>1601</v>
      </c>
      <c r="C126" s="60" t="s">
        <v>12283</v>
      </c>
      <c r="D126" s="1"/>
      <c r="E126" s="68"/>
      <c r="F126" s="70"/>
      <c r="G126" s="1"/>
      <c r="H126" s="68"/>
      <c r="I126" s="70"/>
      <c r="J126" s="1"/>
      <c r="K126" s="68"/>
      <c r="L126" s="70"/>
      <c r="M126" s="81" t="s">
        <v>17864</v>
      </c>
      <c r="N126" s="57" t="s">
        <v>1</v>
      </c>
      <c r="O126" s="58">
        <v>0.9</v>
      </c>
      <c r="P126" s="83" t="s">
        <v>5895</v>
      </c>
      <c r="Q126" s="64" t="s">
        <v>1</v>
      </c>
      <c r="R126" s="65">
        <v>1</v>
      </c>
      <c r="S126" s="99"/>
      <c r="T126" s="70"/>
      <c r="U126" s="99"/>
      <c r="V126" s="70"/>
      <c r="W126" s="81"/>
      <c r="X126" s="57"/>
      <c r="Y126" s="58"/>
      <c r="Z126" s="77"/>
      <c r="AA126" s="81"/>
      <c r="AB126" s="57"/>
      <c r="AC126" s="58"/>
      <c r="AD126" s="77"/>
      <c r="AE126" s="228">
        <f>ROUND((ROUND((ROUND((ROUND((_15_同援日０．５*_15・基礎２),0)*_15・２人),0)*(1+_15・盲ろう)),0)*(1+_15・区４)),0)+ROUND((ROUND((ROUND((ROUND((ROUND((_15_同援日０．５＿１．０*_15・基礎２),0)*_15・２人),0)*(1+_15・B夜間)),0)*(1+_15・盲ろう)),0)*(1+_15・区４)),0)+ROUND((ROUND((ROUND((ROUND((ROUND((_15_同援日０．５＿１．０＿０．５*_15・基礎２),0)*_15・２人),0)*(1+_15・C深夜)),0)*(1+_15・盲ろう)),0)*(1+_15・区４)),0)</f>
        <v>910</v>
      </c>
      <c r="AF126" s="69"/>
    </row>
    <row r="127" spans="1:32" ht="16.5" customHeight="1" x14ac:dyDescent="0.3">
      <c r="A127" s="2">
        <v>15</v>
      </c>
      <c r="B127" s="2" t="s">
        <v>1602</v>
      </c>
      <c r="C127" s="60" t="s">
        <v>12282</v>
      </c>
      <c r="D127" s="1"/>
      <c r="E127" s="68"/>
      <c r="F127" s="70"/>
      <c r="G127" s="1"/>
      <c r="H127" s="68"/>
      <c r="I127" s="70"/>
      <c r="J127" s="74" t="s">
        <v>17866</v>
      </c>
      <c r="K127" s="62"/>
      <c r="L127" s="75"/>
      <c r="M127" s="74"/>
      <c r="N127" s="62"/>
      <c r="O127" s="63"/>
      <c r="P127" s="83"/>
      <c r="Q127" s="64"/>
      <c r="R127" s="65"/>
      <c r="S127" s="99"/>
      <c r="T127" s="70"/>
      <c r="U127" s="99"/>
      <c r="V127" s="70"/>
      <c r="W127" s="74"/>
      <c r="X127" s="62"/>
      <c r="Y127" s="63"/>
      <c r="Z127" s="75"/>
      <c r="AA127" s="74"/>
      <c r="AB127" s="62"/>
      <c r="AC127" s="63"/>
      <c r="AD127" s="75"/>
      <c r="AE127" s="228">
        <f>_15_同援日０．５+ROUND((_15_同援日０．５＿１．０*(1+_15・B夜間)),0)+ROUND((_15_同援日０．５＿１．０＿１．０*(1+_15・C深夜)),0)</f>
        <v>671</v>
      </c>
      <c r="AF127" s="69"/>
    </row>
    <row r="128" spans="1:32" ht="16.5" customHeight="1" x14ac:dyDescent="0.3">
      <c r="A128" s="2">
        <v>15</v>
      </c>
      <c r="B128" s="2" t="s">
        <v>1603</v>
      </c>
      <c r="C128" s="60" t="s">
        <v>12281</v>
      </c>
      <c r="D128" s="1"/>
      <c r="E128" s="68"/>
      <c r="F128" s="70"/>
      <c r="G128" s="1"/>
      <c r="H128" s="68"/>
      <c r="I128" s="70"/>
      <c r="J128" s="1" t="s">
        <v>18155</v>
      </c>
      <c r="K128" s="68"/>
      <c r="L128" s="70"/>
      <c r="M128" s="81"/>
      <c r="N128" s="57"/>
      <c r="O128" s="58"/>
      <c r="P128" s="83" t="s">
        <v>5895</v>
      </c>
      <c r="Q128" s="64" t="s">
        <v>1</v>
      </c>
      <c r="R128" s="65">
        <v>1</v>
      </c>
      <c r="S128" s="99"/>
      <c r="T128" s="70"/>
      <c r="U128" s="99"/>
      <c r="V128" s="70"/>
      <c r="W128" s="1"/>
      <c r="X128" s="68"/>
      <c r="Y128" s="76"/>
      <c r="Z128" s="70"/>
      <c r="AA128" s="1"/>
      <c r="AB128" s="68"/>
      <c r="AC128" s="76"/>
      <c r="AD128" s="70"/>
      <c r="AE128" s="228">
        <f>ROUND((_15_同援日０．５*_15・２人),0)+ROUND((ROUND((_15_同援日０．５＿１．０*_15・２人),0)*(1+_15・B夜間)),0)+ROUND((ROUND((_15_同援日０．５＿１．０＿１．０*_15・２人),0)*(1+_15・C深夜)),0)</f>
        <v>671</v>
      </c>
      <c r="AF128" s="69"/>
    </row>
    <row r="129" spans="1:32" ht="16.5" customHeight="1" x14ac:dyDescent="0.3">
      <c r="A129" s="2">
        <v>15</v>
      </c>
      <c r="B129" s="2" t="s">
        <v>1604</v>
      </c>
      <c r="C129" s="60" t="s">
        <v>12280</v>
      </c>
      <c r="D129" s="1"/>
      <c r="E129" s="68"/>
      <c r="F129" s="70"/>
      <c r="G129" s="1"/>
      <c r="H129" s="68"/>
      <c r="I129" s="70"/>
      <c r="J129" s="1" t="s">
        <v>8572</v>
      </c>
      <c r="K129" s="68"/>
      <c r="L129" s="70"/>
      <c r="M129" s="74" t="s">
        <v>17972</v>
      </c>
      <c r="N129" s="62"/>
      <c r="O129" s="63"/>
      <c r="P129" s="83"/>
      <c r="Q129" s="64"/>
      <c r="R129" s="65"/>
      <c r="S129" s="99"/>
      <c r="T129" s="70"/>
      <c r="U129" s="99"/>
      <c r="V129" s="70"/>
      <c r="W129" s="1"/>
      <c r="X129" s="68"/>
      <c r="Y129" s="76"/>
      <c r="Z129" s="70"/>
      <c r="AA129" s="1"/>
      <c r="AB129" s="68"/>
      <c r="AC129" s="76"/>
      <c r="AD129" s="70"/>
      <c r="AE129" s="228">
        <f>ROUND((_15_同援日０．５*_15・基礎２),0)+ROUND((ROUND((_15_同援日０．５＿１．０*_15・基礎２),0)*(1+_15・B夜間)),0)+ROUND((ROUND((_15_同援日０．５＿１．０＿１．０*_15・基礎２),0)*(1+_15・C深夜)),0)</f>
        <v>603</v>
      </c>
      <c r="AF129" s="69"/>
    </row>
    <row r="130" spans="1:32" ht="16.5" customHeight="1" x14ac:dyDescent="0.3">
      <c r="A130" s="2">
        <v>15</v>
      </c>
      <c r="B130" s="2" t="s">
        <v>1605</v>
      </c>
      <c r="C130" s="60" t="s">
        <v>12279</v>
      </c>
      <c r="D130" s="1"/>
      <c r="E130" s="68"/>
      <c r="F130" s="70"/>
      <c r="G130" s="1"/>
      <c r="H130" s="68"/>
      <c r="I130" s="70"/>
      <c r="J130" s="1"/>
      <c r="K130" s="119">
        <v>127</v>
      </c>
      <c r="L130" s="70" t="s">
        <v>0</v>
      </c>
      <c r="M130" s="81" t="s">
        <v>17864</v>
      </c>
      <c r="N130" s="57" t="s">
        <v>1</v>
      </c>
      <c r="O130" s="58">
        <v>0.9</v>
      </c>
      <c r="P130" s="83" t="s">
        <v>5895</v>
      </c>
      <c r="Q130" s="64" t="s">
        <v>1</v>
      </c>
      <c r="R130" s="65">
        <v>1</v>
      </c>
      <c r="S130" s="99"/>
      <c r="T130" s="70"/>
      <c r="U130" s="99"/>
      <c r="V130" s="70"/>
      <c r="W130" s="81"/>
      <c r="X130" s="57"/>
      <c r="Y130" s="58"/>
      <c r="Z130" s="77"/>
      <c r="AA130" s="1"/>
      <c r="AB130" s="68"/>
      <c r="AC130" s="76"/>
      <c r="AD130" s="70"/>
      <c r="AE130" s="228">
        <f>ROUND((ROUND((_15_同援日０．５*_15・基礎２),0)*_15・２人),0)+ROUND((ROUND((ROUND((_15_同援日０．５＿１．０*_15・基礎２),0)*_15・２人),0)*(1+_15・B夜間)),0)+ROUND((ROUND((ROUND((_15_同援日０．５＿１．０＿１．０*_15・基礎２),0)*_15・２人),0)*(1+_15・C深夜)),0)</f>
        <v>603</v>
      </c>
      <c r="AF130" s="69"/>
    </row>
    <row r="131" spans="1:32" ht="16.5" customHeight="1" x14ac:dyDescent="0.3">
      <c r="A131" s="2">
        <v>15</v>
      </c>
      <c r="B131" s="2" t="s">
        <v>1606</v>
      </c>
      <c r="C131" s="60" t="s">
        <v>12278</v>
      </c>
      <c r="D131" s="1"/>
      <c r="E131" s="68"/>
      <c r="F131" s="70"/>
      <c r="G131" s="1"/>
      <c r="H131" s="68"/>
      <c r="I131" s="70"/>
      <c r="J131" s="1"/>
      <c r="K131" s="68"/>
      <c r="L131" s="70"/>
      <c r="M131" s="74"/>
      <c r="N131" s="62"/>
      <c r="O131" s="63"/>
      <c r="P131" s="83"/>
      <c r="Q131" s="64"/>
      <c r="R131" s="65"/>
      <c r="S131" s="99"/>
      <c r="T131" s="70"/>
      <c r="U131" s="99"/>
      <c r="V131" s="70"/>
      <c r="W131" s="74" t="s">
        <v>17987</v>
      </c>
      <c r="X131" s="62"/>
      <c r="Y131" s="63"/>
      <c r="Z131" s="75"/>
      <c r="AA131" s="1"/>
      <c r="AB131" s="68"/>
      <c r="AC131" s="76"/>
      <c r="AD131" s="70"/>
      <c r="AE131" s="228">
        <f>ROUND((_15_同援日０．５*(1+_15・盲ろう)),0)+ROUND((ROUND((_15_同援日０．５＿１．０*(1+_15・B夜間)),0)*(1+_15・盲ろう)),0)+ROUND((ROUND((_15_同援日０．５＿１．０＿１．０*(1+_15・C深夜)),0)*(1+_15・盲ろう)),0)</f>
        <v>839</v>
      </c>
      <c r="AF131" s="69"/>
    </row>
    <row r="132" spans="1:32" ht="16.5" customHeight="1" x14ac:dyDescent="0.3">
      <c r="A132" s="2">
        <v>15</v>
      </c>
      <c r="B132" s="2" t="s">
        <v>1607</v>
      </c>
      <c r="C132" s="60" t="s">
        <v>12277</v>
      </c>
      <c r="D132" s="1"/>
      <c r="E132" s="68"/>
      <c r="F132" s="70"/>
      <c r="G132" s="1"/>
      <c r="H132" s="68"/>
      <c r="I132" s="70"/>
      <c r="J132" s="1"/>
      <c r="K132" s="68"/>
      <c r="L132" s="70"/>
      <c r="M132" s="81"/>
      <c r="N132" s="57"/>
      <c r="O132" s="58"/>
      <c r="P132" s="83" t="s">
        <v>5895</v>
      </c>
      <c r="Q132" s="64" t="s">
        <v>1</v>
      </c>
      <c r="R132" s="65">
        <v>1</v>
      </c>
      <c r="S132" s="99"/>
      <c r="T132" s="70"/>
      <c r="U132" s="99"/>
      <c r="V132" s="70"/>
      <c r="W132" s="1" t="s">
        <v>17975</v>
      </c>
      <c r="X132" s="68"/>
      <c r="Y132" s="76"/>
      <c r="Z132" s="70"/>
      <c r="AA132" s="1"/>
      <c r="AB132" s="68"/>
      <c r="AC132" s="76"/>
      <c r="AD132" s="70"/>
      <c r="AE132" s="228">
        <f>ROUND((ROUND((_15_同援日０．５*_15・２人),0)*(1+_15・盲ろう)),0)+ROUND((ROUND((ROUND((_15_同援日０．５＿１．０*_15・２人),0)*(1+_15・B夜間)),0)*(1+_15・盲ろう)),0)+ROUND((ROUND((ROUND((_15_同援日０．５＿１．０＿１．０*_15・２人),0)*(1+_15・C深夜)),0)*(1+_15・盲ろう)),0)</f>
        <v>839</v>
      </c>
      <c r="AF132" s="69"/>
    </row>
    <row r="133" spans="1:32" ht="16.5" customHeight="1" x14ac:dyDescent="0.3">
      <c r="A133" s="2">
        <v>15</v>
      </c>
      <c r="B133" s="2" t="s">
        <v>1608</v>
      </c>
      <c r="C133" s="60" t="s">
        <v>12276</v>
      </c>
      <c r="D133" s="1"/>
      <c r="E133" s="68"/>
      <c r="F133" s="70"/>
      <c r="G133" s="1"/>
      <c r="H133" s="68"/>
      <c r="I133" s="70"/>
      <c r="J133" s="1"/>
      <c r="K133" s="68"/>
      <c r="L133" s="70"/>
      <c r="M133" s="74" t="s">
        <v>17972</v>
      </c>
      <c r="N133" s="62"/>
      <c r="O133" s="63"/>
      <c r="P133" s="83"/>
      <c r="Q133" s="64"/>
      <c r="R133" s="65"/>
      <c r="S133" s="99"/>
      <c r="T133" s="70"/>
      <c r="U133" s="99"/>
      <c r="V133" s="70"/>
      <c r="W133" s="1"/>
      <c r="X133" s="68" t="s">
        <v>1</v>
      </c>
      <c r="Y133" s="76">
        <v>0.25</v>
      </c>
      <c r="Z133" s="70" t="s">
        <v>422</v>
      </c>
      <c r="AA133" s="1"/>
      <c r="AB133" s="68"/>
      <c r="AC133" s="76"/>
      <c r="AD133" s="70"/>
      <c r="AE133" s="228">
        <f>ROUND((ROUND((_15_同援日０．５*_15・基礎２),0)*(1+_15・盲ろう)),0)+ROUND((ROUND((ROUND((_15_同援日０．５＿１．０*_15・基礎２),0)*(1+_15・B夜間)),0)*(1+_15・盲ろう)),0)+ROUND((ROUND((ROUND((_15_同援日０．５＿１．０＿１．０*_15・基礎２),0)*(1+_15・C深夜)),0)*(1+_15・盲ろう)),0)</f>
        <v>755</v>
      </c>
      <c r="AF133" s="69"/>
    </row>
    <row r="134" spans="1:32" ht="16.5" customHeight="1" x14ac:dyDescent="0.3">
      <c r="A134" s="2">
        <v>15</v>
      </c>
      <c r="B134" s="2" t="s">
        <v>1609</v>
      </c>
      <c r="C134" s="60" t="s">
        <v>12275</v>
      </c>
      <c r="D134" s="1"/>
      <c r="E134" s="68"/>
      <c r="F134" s="70"/>
      <c r="G134" s="1"/>
      <c r="H134" s="68"/>
      <c r="I134" s="70"/>
      <c r="J134" s="1"/>
      <c r="K134" s="68"/>
      <c r="L134" s="70"/>
      <c r="M134" s="81" t="s">
        <v>17864</v>
      </c>
      <c r="N134" s="57" t="s">
        <v>1</v>
      </c>
      <c r="O134" s="58">
        <v>0.9</v>
      </c>
      <c r="P134" s="83" t="s">
        <v>5895</v>
      </c>
      <c r="Q134" s="64" t="s">
        <v>1</v>
      </c>
      <c r="R134" s="65">
        <v>1</v>
      </c>
      <c r="S134" s="99"/>
      <c r="T134" s="70"/>
      <c r="U134" s="99"/>
      <c r="V134" s="70"/>
      <c r="W134" s="81"/>
      <c r="X134" s="57"/>
      <c r="Y134" s="58"/>
      <c r="Z134" s="77"/>
      <c r="AA134" s="81"/>
      <c r="AB134" s="57"/>
      <c r="AC134" s="58"/>
      <c r="AD134" s="77"/>
      <c r="AE134" s="228">
        <f>ROUND((ROUND((ROUND((_15_同援日０．５*_15・基礎２),0)*_15・２人),0)*(1+_15・盲ろう)),0)+ROUND((ROUND((ROUND((ROUND((_15_同援日０．５＿１．０*_15・基礎２),0)*_15・２人),0)*(1+_15・B夜間)),0)*(1+_15・盲ろう)),0)+ROUND((ROUND((ROUND((ROUND((_15_同援日０．５＿１．０＿１．０*_15・基礎２),0)*_15・２人),0)*(1+_15・C深夜)),0)*(1+_15・盲ろう)),0)</f>
        <v>755</v>
      </c>
      <c r="AF134" s="69"/>
    </row>
    <row r="135" spans="1:32" ht="16.5" customHeight="1" x14ac:dyDescent="0.3">
      <c r="A135" s="2">
        <v>15</v>
      </c>
      <c r="B135" s="2" t="s">
        <v>1610</v>
      </c>
      <c r="C135" s="60" t="s">
        <v>12274</v>
      </c>
      <c r="D135" s="1"/>
      <c r="E135" s="68"/>
      <c r="F135" s="70"/>
      <c r="G135" s="1"/>
      <c r="H135" s="68"/>
      <c r="I135" s="70"/>
      <c r="J135" s="1"/>
      <c r="K135" s="68"/>
      <c r="L135" s="70"/>
      <c r="M135" s="74"/>
      <c r="N135" s="62"/>
      <c r="O135" s="63"/>
      <c r="P135" s="83"/>
      <c r="Q135" s="64"/>
      <c r="R135" s="65"/>
      <c r="S135" s="99"/>
      <c r="T135" s="70"/>
      <c r="U135" s="99"/>
      <c r="V135" s="70"/>
      <c r="W135" s="74"/>
      <c r="X135" s="62"/>
      <c r="Y135" s="63"/>
      <c r="Z135" s="75"/>
      <c r="AA135" s="74"/>
      <c r="AB135" s="62"/>
      <c r="AC135" s="63"/>
      <c r="AD135" s="75"/>
      <c r="AE135" s="228">
        <f>ROUND((_15_同援日０．５*(1+_15・区３)),0)+ROUND((ROUND((_15_同援日０．５＿１．０*(1+_15・B夜間)),0)*(1+_15・区３)),0)+ROUND((ROUND((_15_同援日０．５＿１．０＿１．０*(1+_15・C深夜)),0)*(1+_15・区３)),0)</f>
        <v>805</v>
      </c>
      <c r="AF135" s="69"/>
    </row>
    <row r="136" spans="1:32" ht="16.5" customHeight="1" x14ac:dyDescent="0.3">
      <c r="A136" s="2">
        <v>15</v>
      </c>
      <c r="B136" s="2" t="s">
        <v>1611</v>
      </c>
      <c r="C136" s="60" t="s">
        <v>12273</v>
      </c>
      <c r="D136" s="1"/>
      <c r="E136" s="68"/>
      <c r="F136" s="70"/>
      <c r="G136" s="1"/>
      <c r="H136" s="68"/>
      <c r="I136" s="70"/>
      <c r="J136" s="1"/>
      <c r="K136" s="68"/>
      <c r="L136" s="70"/>
      <c r="M136" s="81"/>
      <c r="N136" s="57"/>
      <c r="O136" s="58"/>
      <c r="P136" s="83" t="s">
        <v>5895</v>
      </c>
      <c r="Q136" s="64" t="s">
        <v>1</v>
      </c>
      <c r="R136" s="65">
        <v>1</v>
      </c>
      <c r="S136" s="99"/>
      <c r="T136" s="70"/>
      <c r="U136" s="99"/>
      <c r="V136" s="70"/>
      <c r="W136" s="1"/>
      <c r="X136" s="68"/>
      <c r="Y136" s="76"/>
      <c r="Z136" s="70"/>
      <c r="AA136" s="1"/>
      <c r="AB136" s="68"/>
      <c r="AC136" s="76"/>
      <c r="AD136" s="70"/>
      <c r="AE136" s="228">
        <f>ROUND((ROUND((_15_同援日０．５*_15・２人),0)*(1+_15・区３)),0)+ROUND((ROUND((ROUND((_15_同援日０．５＿１．０*_15・２人),0)*(1+_15・B夜間)),0)*(1+_15・区３)),0)+ROUND((ROUND((ROUND((_15_同援日０．５＿１．０＿１．０*_15・２人),0)*(1+_15・C深夜)),0)*(1+_15・区３)),0)</f>
        <v>805</v>
      </c>
      <c r="AF136" s="69"/>
    </row>
    <row r="137" spans="1:32" ht="16.5" customHeight="1" x14ac:dyDescent="0.3">
      <c r="A137" s="2">
        <v>15</v>
      </c>
      <c r="B137" s="2" t="s">
        <v>1612</v>
      </c>
      <c r="C137" s="60" t="s">
        <v>12272</v>
      </c>
      <c r="D137" s="1"/>
      <c r="E137" s="68"/>
      <c r="F137" s="70"/>
      <c r="G137" s="1"/>
      <c r="H137" s="68"/>
      <c r="I137" s="70"/>
      <c r="J137" s="1"/>
      <c r="K137" s="68"/>
      <c r="L137" s="70"/>
      <c r="M137" s="74" t="s">
        <v>17972</v>
      </c>
      <c r="N137" s="62"/>
      <c r="O137" s="63"/>
      <c r="P137" s="83"/>
      <c r="Q137" s="64"/>
      <c r="R137" s="65"/>
      <c r="S137" s="99"/>
      <c r="T137" s="70"/>
      <c r="U137" s="99"/>
      <c r="V137" s="70"/>
      <c r="W137" s="1"/>
      <c r="X137" s="68"/>
      <c r="Y137" s="76"/>
      <c r="Z137" s="70"/>
      <c r="AA137" s="1" t="s">
        <v>17997</v>
      </c>
      <c r="AB137" s="68"/>
      <c r="AC137" s="76"/>
      <c r="AD137" s="70"/>
      <c r="AE137" s="228">
        <f>ROUND((ROUND((_15_同援日０．５*_15・基礎２),0)*(1+_15・区３)),0)+ROUND((ROUND((ROUND((_15_同援日０．５＿１．０*_15・基礎２),0)*(1+_15・B夜間)),0)*(1+_15・区３)),0)+ROUND((ROUND((ROUND((_15_同援日０．５＿１．０＿１．０*_15・基礎２),0)*(1+_15・C深夜)),0)*(1+_15・区３)),0)</f>
        <v>723</v>
      </c>
      <c r="AF137" s="69"/>
    </row>
    <row r="138" spans="1:32" ht="16.5" customHeight="1" x14ac:dyDescent="0.3">
      <c r="A138" s="2">
        <v>15</v>
      </c>
      <c r="B138" s="2" t="s">
        <v>1613</v>
      </c>
      <c r="C138" s="60" t="s">
        <v>12271</v>
      </c>
      <c r="D138" s="1"/>
      <c r="E138" s="68"/>
      <c r="F138" s="70"/>
      <c r="G138" s="1"/>
      <c r="H138" s="68"/>
      <c r="I138" s="70"/>
      <c r="J138" s="1"/>
      <c r="K138" s="68"/>
      <c r="L138" s="70"/>
      <c r="M138" s="81" t="s">
        <v>17864</v>
      </c>
      <c r="N138" s="57" t="s">
        <v>1</v>
      </c>
      <c r="O138" s="58">
        <v>0.9</v>
      </c>
      <c r="P138" s="83" t="s">
        <v>5895</v>
      </c>
      <c r="Q138" s="64" t="s">
        <v>1</v>
      </c>
      <c r="R138" s="65">
        <v>1</v>
      </c>
      <c r="S138" s="99"/>
      <c r="T138" s="70"/>
      <c r="U138" s="99"/>
      <c r="V138" s="70"/>
      <c r="W138" s="81"/>
      <c r="X138" s="57"/>
      <c r="Y138" s="58"/>
      <c r="Z138" s="77"/>
      <c r="AA138" s="1" t="s">
        <v>17980</v>
      </c>
      <c r="AB138" s="68"/>
      <c r="AC138" s="76"/>
      <c r="AD138" s="70"/>
      <c r="AE138" s="228">
        <f>ROUND((ROUND((ROUND((_15_同援日０．５*_15・基礎２),0)*_15・２人),0)*(1+_15・区３)),0)+ROUND((ROUND((ROUND((ROUND((_15_同援日０．５＿１．０*_15・基礎２),0)*_15・２人),0)*(1+_15・B夜間)),0)*(1+_15・区３)),0)+ROUND((ROUND((ROUND((ROUND((_15_同援日０．５＿１．０＿１．０*_15・基礎２),0)*_15・２人),0)*(1+_15・C深夜)),0)*(1+_15・区３)),0)</f>
        <v>723</v>
      </c>
      <c r="AF138" s="69"/>
    </row>
    <row r="139" spans="1:32" ht="16.5" customHeight="1" x14ac:dyDescent="0.3">
      <c r="A139" s="2">
        <v>15</v>
      </c>
      <c r="B139" s="2" t="s">
        <v>1614</v>
      </c>
      <c r="C139" s="60" t="s">
        <v>12270</v>
      </c>
      <c r="D139" s="1"/>
      <c r="E139" s="68"/>
      <c r="F139" s="70"/>
      <c r="G139" s="1"/>
      <c r="H139" s="68"/>
      <c r="I139" s="70"/>
      <c r="J139" s="1"/>
      <c r="K139" s="68"/>
      <c r="L139" s="70"/>
      <c r="M139" s="74"/>
      <c r="N139" s="62"/>
      <c r="O139" s="63"/>
      <c r="P139" s="83"/>
      <c r="Q139" s="64"/>
      <c r="R139" s="65"/>
      <c r="S139" s="99"/>
      <c r="T139" s="70"/>
      <c r="U139" s="99"/>
      <c r="V139" s="70"/>
      <c r="W139" s="74" t="s">
        <v>17987</v>
      </c>
      <c r="X139" s="62"/>
      <c r="Y139" s="63"/>
      <c r="Z139" s="75"/>
      <c r="AA139" s="1"/>
      <c r="AB139" s="68" t="s">
        <v>1</v>
      </c>
      <c r="AC139" s="76">
        <v>0.2</v>
      </c>
      <c r="AD139" s="70" t="s">
        <v>422</v>
      </c>
      <c r="AE139" s="228">
        <f>ROUND((ROUND((_15_同援日０．５*(1+_15・盲ろう)),0)*(1+_15・区３)),0)+ROUND((ROUND((ROUND((_15_同援日０．５＿１．０*(1+_15・B夜間)),0)*(1+_15・盲ろう)),0)*(1+_15・区３)),0)+ROUND((ROUND((ROUND((_15_同援日０．５＿１．０＿１．０*(1+_15・C深夜)),0)*(1+_15・盲ろう)),0)*(1+_15・区３)),0)</f>
        <v>1007</v>
      </c>
      <c r="AF139" s="69"/>
    </row>
    <row r="140" spans="1:32" ht="16.5" customHeight="1" x14ac:dyDescent="0.3">
      <c r="A140" s="2">
        <v>15</v>
      </c>
      <c r="B140" s="2" t="s">
        <v>1615</v>
      </c>
      <c r="C140" s="60" t="s">
        <v>12269</v>
      </c>
      <c r="D140" s="1"/>
      <c r="E140" s="68"/>
      <c r="F140" s="70"/>
      <c r="G140" s="1"/>
      <c r="H140" s="68"/>
      <c r="I140" s="70"/>
      <c r="J140" s="1"/>
      <c r="K140" s="68"/>
      <c r="L140" s="70"/>
      <c r="M140" s="81"/>
      <c r="N140" s="57"/>
      <c r="O140" s="58"/>
      <c r="P140" s="83" t="s">
        <v>5895</v>
      </c>
      <c r="Q140" s="64" t="s">
        <v>1</v>
      </c>
      <c r="R140" s="65">
        <v>1</v>
      </c>
      <c r="S140" s="99"/>
      <c r="T140" s="70"/>
      <c r="U140" s="99"/>
      <c r="V140" s="70"/>
      <c r="W140" s="1" t="s">
        <v>17973</v>
      </c>
      <c r="X140" s="68"/>
      <c r="Y140" s="76"/>
      <c r="Z140" s="70"/>
      <c r="AA140" s="1"/>
      <c r="AB140" s="68"/>
      <c r="AC140" s="76"/>
      <c r="AD140" s="70"/>
      <c r="AE140" s="228">
        <f>ROUND((ROUND((ROUND((_15_同援日０．５*_15・２人),0)*(1+_15・盲ろう)),0)*(1+_15・区３)),0)+ROUND((ROUND((ROUND((ROUND((_15_同援日０．５＿１．０*_15・２人),0)*(1+_15・B夜間)),0)*(1+_15・盲ろう)),0)*(1+_15・区３)),0)+ROUND((ROUND((ROUND((ROUND((_15_同援日０．５＿１．０＿１．０*_15・２人),0)*(1+_15・C深夜)),0)*(1+_15・盲ろう)),0)*(1+_15・区３)),0)</f>
        <v>1007</v>
      </c>
      <c r="AF140" s="69"/>
    </row>
    <row r="141" spans="1:32" ht="16.5" customHeight="1" x14ac:dyDescent="0.3">
      <c r="A141" s="2">
        <v>15</v>
      </c>
      <c r="B141" s="2" t="s">
        <v>1616</v>
      </c>
      <c r="C141" s="60" t="s">
        <v>12268</v>
      </c>
      <c r="D141" s="1"/>
      <c r="E141" s="68"/>
      <c r="F141" s="70"/>
      <c r="G141" s="1"/>
      <c r="H141" s="68"/>
      <c r="I141" s="70"/>
      <c r="J141" s="1"/>
      <c r="K141" s="68"/>
      <c r="L141" s="70"/>
      <c r="M141" s="74" t="s">
        <v>17972</v>
      </c>
      <c r="N141" s="62"/>
      <c r="O141" s="63"/>
      <c r="P141" s="83"/>
      <c r="Q141" s="64"/>
      <c r="R141" s="65"/>
      <c r="S141" s="99"/>
      <c r="T141" s="70"/>
      <c r="U141" s="99"/>
      <c r="V141" s="70"/>
      <c r="W141" s="1"/>
      <c r="X141" s="68" t="s">
        <v>1</v>
      </c>
      <c r="Y141" s="76">
        <v>0.25</v>
      </c>
      <c r="Z141" s="70" t="s">
        <v>422</v>
      </c>
      <c r="AA141" s="1"/>
      <c r="AB141" s="68"/>
      <c r="AC141" s="76"/>
      <c r="AD141" s="70"/>
      <c r="AE141" s="228">
        <f>ROUND((ROUND((ROUND((_15_同援日０．５*_15・基礎２),0)*(1+_15・盲ろう)),0)*(1+_15・区３)),0)+ROUND((ROUND((ROUND((ROUND((_15_同援日０．５＿１．０*_15・基礎２),0)*(1+_15・B夜間)),0)*(1+_15・盲ろう)),0)*(1+_15・区３)),0)+ROUND((ROUND((ROUND((ROUND((_15_同援日０．５＿１．０＿１．０*_15・基礎２),0)*(1+_15・C深夜)),0)*(1+_15・盲ろう)),0)*(1+_15・区３)),0)</f>
        <v>907</v>
      </c>
      <c r="AF141" s="69"/>
    </row>
    <row r="142" spans="1:32" ht="16.5" customHeight="1" x14ac:dyDescent="0.3">
      <c r="A142" s="2">
        <v>15</v>
      </c>
      <c r="B142" s="2" t="s">
        <v>1617</v>
      </c>
      <c r="C142" s="60" t="s">
        <v>12267</v>
      </c>
      <c r="D142" s="1"/>
      <c r="E142" s="68"/>
      <c r="F142" s="70"/>
      <c r="G142" s="1"/>
      <c r="H142" s="68"/>
      <c r="I142" s="70"/>
      <c r="J142" s="1"/>
      <c r="K142" s="68"/>
      <c r="L142" s="70"/>
      <c r="M142" s="81" t="s">
        <v>17864</v>
      </c>
      <c r="N142" s="57" t="s">
        <v>1</v>
      </c>
      <c r="O142" s="58">
        <v>0.9</v>
      </c>
      <c r="P142" s="83" t="s">
        <v>5895</v>
      </c>
      <c r="Q142" s="64" t="s">
        <v>1</v>
      </c>
      <c r="R142" s="65">
        <v>1</v>
      </c>
      <c r="S142" s="99"/>
      <c r="T142" s="70"/>
      <c r="U142" s="99"/>
      <c r="V142" s="70"/>
      <c r="W142" s="81"/>
      <c r="X142" s="57"/>
      <c r="Y142" s="58"/>
      <c r="Z142" s="77"/>
      <c r="AA142" s="81"/>
      <c r="AB142" s="57"/>
      <c r="AC142" s="58"/>
      <c r="AD142" s="77"/>
      <c r="AE142" s="228">
        <f>ROUND((ROUND((ROUND((ROUND((_15_同援日０．５*_15・基礎２),0)*_15・２人),0)*(1+_15・盲ろう)),0)*(1+_15・区３)),0)+ROUND((ROUND((ROUND((ROUND((ROUND((_15_同援日０．５＿１．０*_15・基礎２),0)*_15・２人),0)*(1+_15・B夜間)),0)*(1+_15・盲ろう)),0)*(1+_15・区３)),0)+ROUND((ROUND((ROUND((ROUND((ROUND((_15_同援日０．５＿１．０＿１．０*_15・基礎２),0)*_15・２人),0)*(1+_15・C深夜)),0)*(1+_15・盲ろう)),0)*(1+_15・区３)),0)</f>
        <v>907</v>
      </c>
      <c r="AF142" s="69"/>
    </row>
    <row r="143" spans="1:32" ht="16.5" customHeight="1" x14ac:dyDescent="0.3">
      <c r="A143" s="2">
        <v>15</v>
      </c>
      <c r="B143" s="2" t="s">
        <v>1618</v>
      </c>
      <c r="C143" s="60" t="s">
        <v>12266</v>
      </c>
      <c r="D143" s="1"/>
      <c r="E143" s="68"/>
      <c r="F143" s="70"/>
      <c r="G143" s="1"/>
      <c r="H143" s="68"/>
      <c r="I143" s="70"/>
      <c r="J143" s="1"/>
      <c r="K143" s="68"/>
      <c r="L143" s="70"/>
      <c r="M143" s="74"/>
      <c r="N143" s="62"/>
      <c r="O143" s="63"/>
      <c r="P143" s="83"/>
      <c r="Q143" s="64"/>
      <c r="R143" s="65"/>
      <c r="S143" s="99"/>
      <c r="T143" s="70"/>
      <c r="U143" s="99"/>
      <c r="V143" s="70"/>
      <c r="W143" s="74"/>
      <c r="X143" s="62"/>
      <c r="Y143" s="63"/>
      <c r="Z143" s="75"/>
      <c r="AA143" s="74"/>
      <c r="AB143" s="62"/>
      <c r="AC143" s="63"/>
      <c r="AD143" s="75"/>
      <c r="AE143" s="228">
        <f>ROUND((_15_同援日０．５*(1+_15・区４)),0)+ROUND((ROUND((_15_同援日０．５＿１．０*(1+_15・B夜間)),0)*(1+_15・区４)),0)+ROUND((ROUND((_15_同援日０．５＿１．０＿１．０*(1+_15・C深夜)),0)*(1+_15・区４)),0)</f>
        <v>939</v>
      </c>
      <c r="AF143" s="69"/>
    </row>
    <row r="144" spans="1:32" ht="16.5" customHeight="1" x14ac:dyDescent="0.3">
      <c r="A144" s="2">
        <v>15</v>
      </c>
      <c r="B144" s="2" t="s">
        <v>1619</v>
      </c>
      <c r="C144" s="60" t="s">
        <v>12265</v>
      </c>
      <c r="D144" s="1"/>
      <c r="E144" s="68"/>
      <c r="F144" s="70"/>
      <c r="G144" s="1"/>
      <c r="H144" s="68"/>
      <c r="I144" s="70"/>
      <c r="J144" s="1"/>
      <c r="K144" s="68"/>
      <c r="L144" s="70"/>
      <c r="M144" s="81"/>
      <c r="N144" s="57"/>
      <c r="O144" s="58"/>
      <c r="P144" s="83" t="s">
        <v>5895</v>
      </c>
      <c r="Q144" s="64" t="s">
        <v>1</v>
      </c>
      <c r="R144" s="65">
        <v>1</v>
      </c>
      <c r="S144" s="99"/>
      <c r="T144" s="70"/>
      <c r="U144" s="99"/>
      <c r="V144" s="70"/>
      <c r="W144" s="1"/>
      <c r="X144" s="68"/>
      <c r="Y144" s="76"/>
      <c r="Z144" s="70"/>
      <c r="AA144" s="1"/>
      <c r="AB144" s="68"/>
      <c r="AC144" s="76"/>
      <c r="AD144" s="70"/>
      <c r="AE144" s="228">
        <f>ROUND((ROUND((_15_同援日０．５*_15・２人),0)*(1+_15・区４)),0)+ROUND((ROUND((ROUND((_15_同援日０．５＿１．０*_15・２人),0)*(1+_15・B夜間)),0)*(1+_15・区４)),0)+ROUND((ROUND((ROUND((_15_同援日０．５＿１．０＿１．０*_15・２人),0)*(1+_15・C深夜)),0)*(1+_15・区４)),0)</f>
        <v>939</v>
      </c>
      <c r="AF144" s="69"/>
    </row>
    <row r="145" spans="1:32" ht="16.5" customHeight="1" x14ac:dyDescent="0.3">
      <c r="A145" s="2">
        <v>15</v>
      </c>
      <c r="B145" s="2" t="s">
        <v>1620</v>
      </c>
      <c r="C145" s="60" t="s">
        <v>12264</v>
      </c>
      <c r="D145" s="1"/>
      <c r="E145" s="68"/>
      <c r="F145" s="70"/>
      <c r="G145" s="1"/>
      <c r="H145" s="68"/>
      <c r="I145" s="70"/>
      <c r="J145" s="1"/>
      <c r="K145" s="68"/>
      <c r="L145" s="70"/>
      <c r="M145" s="74" t="s">
        <v>17972</v>
      </c>
      <c r="N145" s="62"/>
      <c r="O145" s="63"/>
      <c r="P145" s="83"/>
      <c r="Q145" s="64"/>
      <c r="R145" s="65"/>
      <c r="S145" s="99"/>
      <c r="T145" s="70"/>
      <c r="U145" s="99"/>
      <c r="V145" s="70"/>
      <c r="W145" s="1"/>
      <c r="X145" s="68"/>
      <c r="Y145" s="76"/>
      <c r="Z145" s="70"/>
      <c r="AA145" s="1" t="s">
        <v>17988</v>
      </c>
      <c r="AB145" s="68"/>
      <c r="AC145" s="76"/>
      <c r="AD145" s="70"/>
      <c r="AE145" s="228">
        <f>ROUND((ROUND((_15_同援日０．５*_15・基礎２),0)*(1+_15・区４)),0)+ROUND((ROUND((ROUND((_15_同援日０．５＿１．０*_15・基礎２),0)*(1+_15・B夜間)),0)*(1+_15・区４)),0)+ROUND((ROUND((ROUND((_15_同援日０．５＿１．０＿１．０*_15・基礎２),0)*(1+_15・C深夜)),0)*(1+_15・区４)),0)</f>
        <v>843</v>
      </c>
      <c r="AF145" s="69"/>
    </row>
    <row r="146" spans="1:32" ht="16.5" customHeight="1" x14ac:dyDescent="0.3">
      <c r="A146" s="2">
        <v>15</v>
      </c>
      <c r="B146" s="2" t="s">
        <v>1621</v>
      </c>
      <c r="C146" s="60" t="s">
        <v>12263</v>
      </c>
      <c r="D146" s="1"/>
      <c r="E146" s="68"/>
      <c r="F146" s="70"/>
      <c r="G146" s="1"/>
      <c r="H146" s="68"/>
      <c r="I146" s="70"/>
      <c r="J146" s="1"/>
      <c r="K146" s="68"/>
      <c r="L146" s="70"/>
      <c r="M146" s="81" t="s">
        <v>17864</v>
      </c>
      <c r="N146" s="57" t="s">
        <v>1</v>
      </c>
      <c r="O146" s="58">
        <v>0.9</v>
      </c>
      <c r="P146" s="83" t="s">
        <v>5895</v>
      </c>
      <c r="Q146" s="64" t="s">
        <v>1</v>
      </c>
      <c r="R146" s="65">
        <v>1</v>
      </c>
      <c r="S146" s="99"/>
      <c r="T146" s="70"/>
      <c r="U146" s="99"/>
      <c r="V146" s="70"/>
      <c r="W146" s="81"/>
      <c r="X146" s="57"/>
      <c r="Y146" s="58"/>
      <c r="Z146" s="77"/>
      <c r="AA146" s="1" t="s">
        <v>17980</v>
      </c>
      <c r="AB146" s="68"/>
      <c r="AC146" s="76"/>
      <c r="AD146" s="70"/>
      <c r="AE146" s="228">
        <f>ROUND((ROUND((ROUND((_15_同援日０．５*_15・基礎２),0)*_15・２人),0)*(1+_15・区４)),0)+ROUND((ROUND((ROUND((ROUND((_15_同援日０．５＿１．０*_15・基礎２),0)*_15・２人),0)*(1+_15・B夜間)),0)*(1+_15・区４)),0)+ROUND((ROUND((ROUND((ROUND((_15_同援日０．５＿１．０＿１．０*_15・基礎２),0)*_15・２人),0)*(1+_15・C深夜)),0)*(1+_15・区４)),0)</f>
        <v>843</v>
      </c>
      <c r="AF146" s="69"/>
    </row>
    <row r="147" spans="1:32" ht="16.5" customHeight="1" x14ac:dyDescent="0.3">
      <c r="A147" s="2">
        <v>15</v>
      </c>
      <c r="B147" s="2" t="s">
        <v>1622</v>
      </c>
      <c r="C147" s="60" t="s">
        <v>12262</v>
      </c>
      <c r="D147" s="1"/>
      <c r="E147" s="68"/>
      <c r="F147" s="70"/>
      <c r="G147" s="1"/>
      <c r="H147" s="68"/>
      <c r="I147" s="70"/>
      <c r="J147" s="1"/>
      <c r="K147" s="68"/>
      <c r="L147" s="70"/>
      <c r="M147" s="74"/>
      <c r="N147" s="62"/>
      <c r="O147" s="63"/>
      <c r="P147" s="83"/>
      <c r="Q147" s="64"/>
      <c r="R147" s="65"/>
      <c r="S147" s="99"/>
      <c r="T147" s="70"/>
      <c r="U147" s="99"/>
      <c r="V147" s="70"/>
      <c r="W147" s="74" t="s">
        <v>17987</v>
      </c>
      <c r="X147" s="62"/>
      <c r="Y147" s="63"/>
      <c r="Z147" s="75"/>
      <c r="AA147" s="1"/>
      <c r="AB147" s="68" t="s">
        <v>1</v>
      </c>
      <c r="AC147" s="76">
        <v>0.4</v>
      </c>
      <c r="AD147" s="70" t="s">
        <v>422</v>
      </c>
      <c r="AE147" s="228">
        <f>ROUND((ROUND((_15_同援日０．５*(1+_15・盲ろう)),0)*(1+_15・区４)),0)+ROUND((ROUND((ROUND((_15_同援日０．５＿１．０*(1+_15・B夜間)),0)*(1+_15・盲ろう)),0)*(1+_15・区４)),0)+ROUND((ROUND((ROUND((_15_同援日０．５＿１．０＿１．０*(1+_15・C深夜)),0)*(1+_15・盲ろう)),0)*(1+_15・区４)),0)</f>
        <v>1175</v>
      </c>
      <c r="AF147" s="69"/>
    </row>
    <row r="148" spans="1:32" ht="16.5" customHeight="1" x14ac:dyDescent="0.3">
      <c r="A148" s="2">
        <v>15</v>
      </c>
      <c r="B148" s="2" t="s">
        <v>1623</v>
      </c>
      <c r="C148" s="60" t="s">
        <v>12261</v>
      </c>
      <c r="D148" s="1"/>
      <c r="E148" s="68"/>
      <c r="F148" s="70"/>
      <c r="G148" s="1"/>
      <c r="H148" s="68"/>
      <c r="I148" s="70"/>
      <c r="J148" s="1"/>
      <c r="K148" s="68"/>
      <c r="L148" s="70"/>
      <c r="M148" s="81"/>
      <c r="N148" s="57"/>
      <c r="O148" s="58"/>
      <c r="P148" s="83" t="s">
        <v>5895</v>
      </c>
      <c r="Q148" s="64" t="s">
        <v>1</v>
      </c>
      <c r="R148" s="65">
        <v>1</v>
      </c>
      <c r="S148" s="99"/>
      <c r="T148" s="70"/>
      <c r="U148" s="99"/>
      <c r="V148" s="70"/>
      <c r="W148" s="1" t="s">
        <v>17973</v>
      </c>
      <c r="X148" s="68"/>
      <c r="Y148" s="76"/>
      <c r="Z148" s="70"/>
      <c r="AA148" s="1"/>
      <c r="AB148" s="68"/>
      <c r="AC148" s="76"/>
      <c r="AD148" s="70"/>
      <c r="AE148" s="228">
        <f>ROUND((ROUND((ROUND((_15_同援日０．５*_15・２人),0)*(1+_15・盲ろう)),0)*(1+_15・区４)),0)+ROUND((ROUND((ROUND((ROUND((_15_同援日０．５＿１．０*_15・２人),0)*(1+_15・B夜間)),0)*(1+_15・盲ろう)),0)*(1+_15・区４)),0)+ROUND((ROUND((ROUND((ROUND((_15_同援日０．５＿１．０＿１．０*_15・２人),0)*(1+_15・C深夜)),0)*(1+_15・盲ろう)),0)*(1+_15・区４)),0)</f>
        <v>1175</v>
      </c>
      <c r="AF148" s="69"/>
    </row>
    <row r="149" spans="1:32" ht="16.5" customHeight="1" x14ac:dyDescent="0.3">
      <c r="A149" s="2">
        <v>15</v>
      </c>
      <c r="B149" s="2" t="s">
        <v>1624</v>
      </c>
      <c r="C149" s="60" t="s">
        <v>12260</v>
      </c>
      <c r="D149" s="1"/>
      <c r="E149" s="68"/>
      <c r="F149" s="70"/>
      <c r="G149" s="1"/>
      <c r="H149" s="68"/>
      <c r="I149" s="70"/>
      <c r="J149" s="1"/>
      <c r="K149" s="68"/>
      <c r="L149" s="70"/>
      <c r="M149" s="74" t="s">
        <v>17972</v>
      </c>
      <c r="N149" s="62"/>
      <c r="O149" s="63"/>
      <c r="P149" s="83"/>
      <c r="Q149" s="64"/>
      <c r="R149" s="65"/>
      <c r="S149" s="99"/>
      <c r="T149" s="70"/>
      <c r="U149" s="99"/>
      <c r="V149" s="70"/>
      <c r="W149" s="1"/>
      <c r="X149" s="68" t="s">
        <v>1</v>
      </c>
      <c r="Y149" s="76">
        <v>0.25</v>
      </c>
      <c r="Z149" s="70" t="s">
        <v>422</v>
      </c>
      <c r="AA149" s="1"/>
      <c r="AB149" s="68"/>
      <c r="AC149" s="76"/>
      <c r="AD149" s="70"/>
      <c r="AE149" s="228">
        <f>ROUND((ROUND((ROUND((_15_同援日０．５*_15・基礎２),0)*(1+_15・盲ろう)),0)*(1+_15・区４)),0)+ROUND((ROUND((ROUND((ROUND((_15_同援日０．５＿１．０*_15・基礎２),0)*(1+_15・B夜間)),0)*(1+_15・盲ろう)),0)*(1+_15・区４)),0)+ROUND((ROUND((ROUND((ROUND((_15_同援日０．５＿１．０＿１．０*_15・基礎２),0)*(1+_15・C深夜)),0)*(1+_15・盲ろう)),0)*(1+_15・区４)),0)</f>
        <v>1057</v>
      </c>
      <c r="AF149" s="69"/>
    </row>
    <row r="150" spans="1:32" ht="16.5" customHeight="1" x14ac:dyDescent="0.3">
      <c r="A150" s="2">
        <v>15</v>
      </c>
      <c r="B150" s="2" t="s">
        <v>1625</v>
      </c>
      <c r="C150" s="60" t="s">
        <v>12259</v>
      </c>
      <c r="D150" s="1"/>
      <c r="E150" s="68"/>
      <c r="F150" s="70"/>
      <c r="G150" s="1"/>
      <c r="H150" s="68"/>
      <c r="I150" s="70"/>
      <c r="J150" s="1"/>
      <c r="K150" s="68"/>
      <c r="L150" s="70"/>
      <c r="M150" s="81" t="s">
        <v>17864</v>
      </c>
      <c r="N150" s="57" t="s">
        <v>1</v>
      </c>
      <c r="O150" s="58">
        <v>0.9</v>
      </c>
      <c r="P150" s="83" t="s">
        <v>5895</v>
      </c>
      <c r="Q150" s="64" t="s">
        <v>1</v>
      </c>
      <c r="R150" s="65">
        <v>1</v>
      </c>
      <c r="S150" s="99"/>
      <c r="T150" s="70"/>
      <c r="U150" s="99"/>
      <c r="V150" s="70"/>
      <c r="W150" s="81"/>
      <c r="X150" s="57"/>
      <c r="Y150" s="58"/>
      <c r="Z150" s="77"/>
      <c r="AA150" s="81"/>
      <c r="AB150" s="57"/>
      <c r="AC150" s="58"/>
      <c r="AD150" s="77"/>
      <c r="AE150" s="228">
        <f>ROUND((ROUND((ROUND((ROUND((_15_同援日０．５*_15・基礎２),0)*_15・２人),0)*(1+_15・盲ろう)),0)*(1+_15・区４)),0)+ROUND((ROUND((ROUND((ROUND((ROUND((_15_同援日０．５＿１．０*_15・基礎２),0)*_15・２人),0)*(1+_15・B夜間)),0)*(1+_15・盲ろう)),0)*(1+_15・区４)),0)+ROUND((ROUND((ROUND((ROUND((ROUND((_15_同援日０．５＿１．０＿１．０*_15・基礎２),0)*_15・２人),0)*(1+_15・C深夜)),0)*(1+_15・盲ろう)),0)*(1+_15・区４)),0)</f>
        <v>1057</v>
      </c>
      <c r="AF150" s="69"/>
    </row>
    <row r="151" spans="1:32" ht="16.5" customHeight="1" x14ac:dyDescent="0.3">
      <c r="A151" s="2">
        <v>15</v>
      </c>
      <c r="B151" s="2" t="s">
        <v>1626</v>
      </c>
      <c r="C151" s="60" t="s">
        <v>12258</v>
      </c>
      <c r="D151" s="1"/>
      <c r="E151" s="68"/>
      <c r="F151" s="70"/>
      <c r="G151" s="1"/>
      <c r="H151" s="68"/>
      <c r="I151" s="70"/>
      <c r="J151" s="74" t="s">
        <v>18159</v>
      </c>
      <c r="K151" s="62"/>
      <c r="L151" s="75"/>
      <c r="M151" s="74"/>
      <c r="N151" s="62"/>
      <c r="O151" s="63"/>
      <c r="P151" s="83"/>
      <c r="Q151" s="64"/>
      <c r="R151" s="65"/>
      <c r="S151" s="99"/>
      <c r="T151" s="70"/>
      <c r="U151" s="99"/>
      <c r="V151" s="70"/>
      <c r="W151" s="74"/>
      <c r="X151" s="62"/>
      <c r="Y151" s="63"/>
      <c r="Z151" s="75"/>
      <c r="AA151" s="74"/>
      <c r="AB151" s="62"/>
      <c r="AC151" s="63"/>
      <c r="AD151" s="75"/>
      <c r="AE151" s="228">
        <f>_15_同援日０．５+ROUND((_15_同援日０．５＿１．０*(1+_15・B夜間)),0)+ROUND((_15_同援日０．５＿１．０＿１．５*(1+_15・C深夜)),0)</f>
        <v>765</v>
      </c>
      <c r="AF151" s="69"/>
    </row>
    <row r="152" spans="1:32" ht="16.5" customHeight="1" x14ac:dyDescent="0.3">
      <c r="A152" s="2">
        <v>15</v>
      </c>
      <c r="B152" s="2" t="s">
        <v>1627</v>
      </c>
      <c r="C152" s="60" t="s">
        <v>12257</v>
      </c>
      <c r="D152" s="1"/>
      <c r="E152" s="68"/>
      <c r="F152" s="70"/>
      <c r="G152" s="1"/>
      <c r="H152" s="68"/>
      <c r="I152" s="70"/>
      <c r="J152" s="1" t="s">
        <v>18156</v>
      </c>
      <c r="K152" s="68"/>
      <c r="L152" s="70"/>
      <c r="M152" s="81"/>
      <c r="N152" s="57"/>
      <c r="O152" s="58"/>
      <c r="P152" s="83" t="s">
        <v>5895</v>
      </c>
      <c r="Q152" s="64" t="s">
        <v>1</v>
      </c>
      <c r="R152" s="65">
        <v>1</v>
      </c>
      <c r="S152" s="99"/>
      <c r="T152" s="70"/>
      <c r="U152" s="99"/>
      <c r="V152" s="70"/>
      <c r="W152" s="1"/>
      <c r="X152" s="68"/>
      <c r="Y152" s="76"/>
      <c r="Z152" s="70"/>
      <c r="AA152" s="1"/>
      <c r="AB152" s="68"/>
      <c r="AC152" s="76"/>
      <c r="AD152" s="70"/>
      <c r="AE152" s="228">
        <f>ROUND((_15_同援日０．５*_15・２人),0)+ROUND((ROUND((_15_同援日０．５＿１．０*_15・２人),0)*(1+_15・B夜間)),0)+ROUND((ROUND((_15_同援日０．５＿１．０＿１．５*_15・２人),0)*(1+_15・C深夜)),0)</f>
        <v>765</v>
      </c>
      <c r="AF152" s="69"/>
    </row>
    <row r="153" spans="1:32" ht="16.5" customHeight="1" x14ac:dyDescent="0.3">
      <c r="A153" s="2">
        <v>15</v>
      </c>
      <c r="B153" s="2" t="s">
        <v>1628</v>
      </c>
      <c r="C153" s="60" t="s">
        <v>12256</v>
      </c>
      <c r="D153" s="1"/>
      <c r="E153" s="68"/>
      <c r="F153" s="70"/>
      <c r="G153" s="1"/>
      <c r="H153" s="68"/>
      <c r="I153" s="70"/>
      <c r="J153" s="1" t="s">
        <v>8767</v>
      </c>
      <c r="K153" s="68"/>
      <c r="L153" s="70"/>
      <c r="M153" s="74" t="s">
        <v>17972</v>
      </c>
      <c r="N153" s="62"/>
      <c r="O153" s="63"/>
      <c r="P153" s="83"/>
      <c r="Q153" s="64"/>
      <c r="R153" s="65"/>
      <c r="S153" s="99"/>
      <c r="T153" s="70"/>
      <c r="U153" s="99"/>
      <c r="V153" s="70"/>
      <c r="W153" s="1"/>
      <c r="X153" s="68"/>
      <c r="Y153" s="76"/>
      <c r="Z153" s="70"/>
      <c r="AA153" s="1"/>
      <c r="AB153" s="68"/>
      <c r="AC153" s="76"/>
      <c r="AD153" s="70"/>
      <c r="AE153" s="228">
        <f>ROUND((_15_同援日０．５*_15・基礎２),0)+ROUND((ROUND((_15_同援日０．５＿１．０*_15・基礎２),0)*(1+_15・B夜間)),0)+ROUND((ROUND((_15_同援日０．５＿１．０＿１．５*_15・基礎２),0)*(1+_15・C深夜)),0)</f>
        <v>689</v>
      </c>
      <c r="AF153" s="69"/>
    </row>
    <row r="154" spans="1:32" ht="16.5" customHeight="1" x14ac:dyDescent="0.3">
      <c r="A154" s="2">
        <v>15</v>
      </c>
      <c r="B154" s="2" t="s">
        <v>1629</v>
      </c>
      <c r="C154" s="60" t="s">
        <v>12255</v>
      </c>
      <c r="D154" s="1"/>
      <c r="E154" s="68"/>
      <c r="F154" s="70"/>
      <c r="G154" s="1"/>
      <c r="H154" s="68"/>
      <c r="I154" s="70"/>
      <c r="J154" s="1"/>
      <c r="K154" s="119">
        <v>190</v>
      </c>
      <c r="L154" s="70" t="s">
        <v>0</v>
      </c>
      <c r="M154" s="81" t="s">
        <v>17864</v>
      </c>
      <c r="N154" s="57" t="s">
        <v>1</v>
      </c>
      <c r="O154" s="58">
        <v>0.9</v>
      </c>
      <c r="P154" s="83" t="s">
        <v>5895</v>
      </c>
      <c r="Q154" s="64" t="s">
        <v>1</v>
      </c>
      <c r="R154" s="65">
        <v>1</v>
      </c>
      <c r="S154" s="99"/>
      <c r="T154" s="70"/>
      <c r="U154" s="99"/>
      <c r="V154" s="70"/>
      <c r="W154" s="81"/>
      <c r="X154" s="57"/>
      <c r="Y154" s="58"/>
      <c r="Z154" s="77"/>
      <c r="AA154" s="1"/>
      <c r="AB154" s="68"/>
      <c r="AC154" s="76"/>
      <c r="AD154" s="70"/>
      <c r="AE154" s="228">
        <f>ROUND((ROUND((_15_同援日０．５*_15・基礎２),0)*_15・２人),0)+ROUND((ROUND((ROUND((_15_同援日０．５＿１．０*_15・基礎２),0)*_15・２人),0)*(1+_15・B夜間)),0)+ROUND((ROUND((ROUND((_15_同援日０．５＿１．０＿１．５*_15・基礎２),0)*_15・２人),0)*(1+_15・C深夜)),0)</f>
        <v>689</v>
      </c>
      <c r="AF154" s="69"/>
    </row>
    <row r="155" spans="1:32" ht="16.5" customHeight="1" x14ac:dyDescent="0.3">
      <c r="A155" s="2">
        <v>15</v>
      </c>
      <c r="B155" s="2" t="s">
        <v>1630</v>
      </c>
      <c r="C155" s="60" t="s">
        <v>12254</v>
      </c>
      <c r="D155" s="1"/>
      <c r="E155" s="68"/>
      <c r="F155" s="70"/>
      <c r="G155" s="1"/>
      <c r="H155" s="68"/>
      <c r="I155" s="70"/>
      <c r="J155" s="1"/>
      <c r="K155" s="68"/>
      <c r="L155" s="70"/>
      <c r="M155" s="74"/>
      <c r="N155" s="62"/>
      <c r="O155" s="63"/>
      <c r="P155" s="83"/>
      <c r="Q155" s="64"/>
      <c r="R155" s="65"/>
      <c r="S155" s="99"/>
      <c r="T155" s="70"/>
      <c r="U155" s="99"/>
      <c r="V155" s="70"/>
      <c r="W155" s="74" t="s">
        <v>17987</v>
      </c>
      <c r="X155" s="62"/>
      <c r="Y155" s="63"/>
      <c r="Z155" s="75"/>
      <c r="AA155" s="1"/>
      <c r="AB155" s="68"/>
      <c r="AC155" s="76"/>
      <c r="AD155" s="70"/>
      <c r="AE155" s="228">
        <f>ROUND((_15_同援日０．５*(1+_15・盲ろう)),0)+ROUND((ROUND((_15_同援日０．５＿１．０*(1+_15・B夜間)),0)*(1+_15・盲ろう)),0)+ROUND((ROUND((_15_同援日０．５＿１．０＿１．５*(1+_15・C深夜)),0)*(1+_15・盲ろう)),0)</f>
        <v>956</v>
      </c>
      <c r="AF155" s="69"/>
    </row>
    <row r="156" spans="1:32" ht="16.5" customHeight="1" x14ac:dyDescent="0.3">
      <c r="A156" s="2">
        <v>15</v>
      </c>
      <c r="B156" s="2" t="s">
        <v>1631</v>
      </c>
      <c r="C156" s="60" t="s">
        <v>12253</v>
      </c>
      <c r="D156" s="1"/>
      <c r="E156" s="68"/>
      <c r="F156" s="70"/>
      <c r="G156" s="1"/>
      <c r="H156" s="68"/>
      <c r="I156" s="70"/>
      <c r="J156" s="1"/>
      <c r="K156" s="68"/>
      <c r="L156" s="70"/>
      <c r="M156" s="81"/>
      <c r="N156" s="57"/>
      <c r="O156" s="58"/>
      <c r="P156" s="83" t="s">
        <v>5895</v>
      </c>
      <c r="Q156" s="64" t="s">
        <v>1</v>
      </c>
      <c r="R156" s="65">
        <v>1</v>
      </c>
      <c r="S156" s="99"/>
      <c r="T156" s="70"/>
      <c r="U156" s="99"/>
      <c r="V156" s="70"/>
      <c r="W156" s="1" t="s">
        <v>17973</v>
      </c>
      <c r="X156" s="68"/>
      <c r="Y156" s="76"/>
      <c r="Z156" s="70"/>
      <c r="AA156" s="1"/>
      <c r="AB156" s="68"/>
      <c r="AC156" s="76"/>
      <c r="AD156" s="70"/>
      <c r="AE156" s="228">
        <f>ROUND((ROUND((_15_同援日０．５*_15・２人),0)*(1+_15・盲ろう)),0)+ROUND((ROUND((ROUND((_15_同援日０．５＿１．０*_15・２人),0)*(1+_15・B夜間)),0)*(1+_15・盲ろう)),0)+ROUND((ROUND((ROUND((_15_同援日０．５＿１．０＿１．５*_15・２人),0)*(1+_15・C深夜)),0)*(1+_15・盲ろう)),0)</f>
        <v>956</v>
      </c>
      <c r="AF156" s="69"/>
    </row>
    <row r="157" spans="1:32" ht="16.5" customHeight="1" x14ac:dyDescent="0.3">
      <c r="A157" s="2">
        <v>15</v>
      </c>
      <c r="B157" s="2" t="s">
        <v>1632</v>
      </c>
      <c r="C157" s="60" t="s">
        <v>12252</v>
      </c>
      <c r="D157" s="1"/>
      <c r="E157" s="68"/>
      <c r="F157" s="70"/>
      <c r="G157" s="1"/>
      <c r="H157" s="68"/>
      <c r="I157" s="70"/>
      <c r="J157" s="1"/>
      <c r="K157" s="68"/>
      <c r="L157" s="70"/>
      <c r="M157" s="74" t="s">
        <v>17972</v>
      </c>
      <c r="N157" s="62"/>
      <c r="O157" s="63"/>
      <c r="P157" s="83"/>
      <c r="Q157" s="64"/>
      <c r="R157" s="65"/>
      <c r="S157" s="99"/>
      <c r="T157" s="70"/>
      <c r="U157" s="99"/>
      <c r="V157" s="70"/>
      <c r="W157" s="1"/>
      <c r="X157" s="68" t="s">
        <v>1</v>
      </c>
      <c r="Y157" s="76">
        <v>0.25</v>
      </c>
      <c r="Z157" s="70" t="s">
        <v>422</v>
      </c>
      <c r="AA157" s="1"/>
      <c r="AB157" s="68"/>
      <c r="AC157" s="76"/>
      <c r="AD157" s="70"/>
      <c r="AE157" s="228">
        <f>ROUND((ROUND((_15_同援日０．５*_15・基礎２),0)*(1+_15・盲ろう)),0)+ROUND((ROUND((ROUND((_15_同援日０．５＿１．０*_15・基礎２),0)*(1+_15・B夜間)),0)*(1+_15・盲ろう)),0)+ROUND((ROUND((ROUND((_15_同援日０．５＿１．０＿１．５*_15・基礎２),0)*(1+_15・C深夜)),0)*(1+_15・盲ろう)),0)</f>
        <v>862</v>
      </c>
      <c r="AF157" s="69"/>
    </row>
    <row r="158" spans="1:32" ht="16.5" customHeight="1" x14ac:dyDescent="0.3">
      <c r="A158" s="2">
        <v>15</v>
      </c>
      <c r="B158" s="2" t="s">
        <v>1633</v>
      </c>
      <c r="C158" s="60" t="s">
        <v>12251</v>
      </c>
      <c r="D158" s="1"/>
      <c r="E158" s="68"/>
      <c r="F158" s="70"/>
      <c r="G158" s="1"/>
      <c r="H158" s="68"/>
      <c r="I158" s="70"/>
      <c r="J158" s="1"/>
      <c r="K158" s="68"/>
      <c r="L158" s="70"/>
      <c r="M158" s="81" t="s">
        <v>17864</v>
      </c>
      <c r="N158" s="57" t="s">
        <v>1</v>
      </c>
      <c r="O158" s="58">
        <v>0.9</v>
      </c>
      <c r="P158" s="83" t="s">
        <v>5895</v>
      </c>
      <c r="Q158" s="64" t="s">
        <v>1</v>
      </c>
      <c r="R158" s="65">
        <v>1</v>
      </c>
      <c r="S158" s="99"/>
      <c r="T158" s="70"/>
      <c r="U158" s="99"/>
      <c r="V158" s="70"/>
      <c r="W158" s="81"/>
      <c r="X158" s="57"/>
      <c r="Y158" s="58"/>
      <c r="Z158" s="77"/>
      <c r="AA158" s="81"/>
      <c r="AB158" s="57"/>
      <c r="AC158" s="58"/>
      <c r="AD158" s="77"/>
      <c r="AE158" s="228">
        <f>ROUND((ROUND((ROUND((_15_同援日０．５*_15・基礎２),0)*_15・２人),0)*(1+_15・盲ろう)),0)+ROUND((ROUND((ROUND((ROUND((_15_同援日０．５＿１．０*_15・基礎２),0)*_15・２人),0)*(1+_15・B夜間)),0)*(1+_15・盲ろう)),0)+ROUND((ROUND((ROUND((ROUND((_15_同援日０．５＿１．０＿１．５*_15・基礎２),0)*_15・２人),0)*(1+_15・C深夜)),0)*(1+_15・盲ろう)),0)</f>
        <v>862</v>
      </c>
      <c r="AF158" s="69"/>
    </row>
    <row r="159" spans="1:32" ht="16.5" customHeight="1" x14ac:dyDescent="0.3">
      <c r="A159" s="2">
        <v>15</v>
      </c>
      <c r="B159" s="2" t="s">
        <v>1634</v>
      </c>
      <c r="C159" s="60" t="s">
        <v>12250</v>
      </c>
      <c r="D159" s="1"/>
      <c r="E159" s="68"/>
      <c r="F159" s="70"/>
      <c r="G159" s="1"/>
      <c r="H159" s="68"/>
      <c r="I159" s="70"/>
      <c r="J159" s="1"/>
      <c r="K159" s="68"/>
      <c r="L159" s="70"/>
      <c r="M159" s="74"/>
      <c r="N159" s="62"/>
      <c r="O159" s="63"/>
      <c r="P159" s="83"/>
      <c r="Q159" s="64"/>
      <c r="R159" s="65"/>
      <c r="S159" s="99"/>
      <c r="T159" s="70"/>
      <c r="U159" s="99"/>
      <c r="V159" s="70"/>
      <c r="W159" s="74"/>
      <c r="X159" s="62"/>
      <c r="Y159" s="63"/>
      <c r="Z159" s="75"/>
      <c r="AA159" s="74"/>
      <c r="AB159" s="62"/>
      <c r="AC159" s="63"/>
      <c r="AD159" s="75"/>
      <c r="AE159" s="228">
        <f>ROUND((_15_同援日０．５*(1+_15・区３)),0)+ROUND((ROUND((_15_同援日０．５＿１．０*(1+_15・B夜間)),0)*(1+_15・区３)),0)+ROUND((ROUND((_15_同援日０．５＿１．０＿１．５*(1+_15・C深夜)),0)*(1+_15・区３)),0)</f>
        <v>918</v>
      </c>
      <c r="AF159" s="69"/>
    </row>
    <row r="160" spans="1:32" ht="16.5" customHeight="1" x14ac:dyDescent="0.3">
      <c r="A160" s="2">
        <v>15</v>
      </c>
      <c r="B160" s="2" t="s">
        <v>1635</v>
      </c>
      <c r="C160" s="60" t="s">
        <v>12249</v>
      </c>
      <c r="D160" s="1"/>
      <c r="E160" s="68"/>
      <c r="F160" s="70"/>
      <c r="G160" s="1"/>
      <c r="H160" s="68"/>
      <c r="I160" s="70"/>
      <c r="J160" s="1"/>
      <c r="K160" s="68"/>
      <c r="L160" s="70"/>
      <c r="M160" s="81"/>
      <c r="N160" s="57"/>
      <c r="O160" s="58"/>
      <c r="P160" s="83" t="s">
        <v>5895</v>
      </c>
      <c r="Q160" s="64" t="s">
        <v>1</v>
      </c>
      <c r="R160" s="65">
        <v>1</v>
      </c>
      <c r="S160" s="99"/>
      <c r="T160" s="70"/>
      <c r="U160" s="99"/>
      <c r="V160" s="70"/>
      <c r="W160" s="1"/>
      <c r="X160" s="68"/>
      <c r="Y160" s="76"/>
      <c r="Z160" s="70"/>
      <c r="AA160" s="1"/>
      <c r="AB160" s="68"/>
      <c r="AC160" s="76"/>
      <c r="AD160" s="70"/>
      <c r="AE160" s="228">
        <f>ROUND((ROUND((_15_同援日０．５*_15・２人),0)*(1+_15・区３)),0)+ROUND((ROUND((ROUND((_15_同援日０．５＿１．０*_15・２人),0)*(1+_15・B夜間)),0)*(1+_15・区３)),0)+ROUND((ROUND((ROUND((_15_同援日０．５＿１．０＿１．５*_15・２人),0)*(1+_15・C深夜)),0)*(1+_15・区３)),0)</f>
        <v>918</v>
      </c>
      <c r="AF160" s="69"/>
    </row>
    <row r="161" spans="1:32" ht="16.5" customHeight="1" x14ac:dyDescent="0.3">
      <c r="A161" s="2">
        <v>15</v>
      </c>
      <c r="B161" s="2" t="s">
        <v>1636</v>
      </c>
      <c r="C161" s="60" t="s">
        <v>12248</v>
      </c>
      <c r="D161" s="1"/>
      <c r="E161" s="68"/>
      <c r="F161" s="70"/>
      <c r="G161" s="1"/>
      <c r="H161" s="68"/>
      <c r="I161" s="70"/>
      <c r="J161" s="1"/>
      <c r="K161" s="68"/>
      <c r="L161" s="70"/>
      <c r="M161" s="74" t="s">
        <v>17972</v>
      </c>
      <c r="N161" s="62"/>
      <c r="O161" s="63"/>
      <c r="P161" s="83"/>
      <c r="Q161" s="64"/>
      <c r="R161" s="65"/>
      <c r="S161" s="99"/>
      <c r="T161" s="70"/>
      <c r="U161" s="99"/>
      <c r="V161" s="70"/>
      <c r="W161" s="1"/>
      <c r="X161" s="68"/>
      <c r="Y161" s="76"/>
      <c r="Z161" s="70"/>
      <c r="AA161" s="1" t="s">
        <v>17997</v>
      </c>
      <c r="AB161" s="68"/>
      <c r="AC161" s="76"/>
      <c r="AD161" s="70"/>
      <c r="AE161" s="228">
        <f>ROUND((ROUND((_15_同援日０．５*_15・基礎２),0)*(1+_15・区３)),0)+ROUND((ROUND((ROUND((_15_同援日０．５＿１．０*_15・基礎２),0)*(1+_15・B夜間)),0)*(1+_15・区３)),0)+ROUND((ROUND((ROUND((_15_同援日０．５＿１．０＿１．５*_15・基礎２),0)*(1+_15・C深夜)),0)*(1+_15・区３)),0)</f>
        <v>826</v>
      </c>
      <c r="AF161" s="69"/>
    </row>
    <row r="162" spans="1:32" ht="16.5" customHeight="1" x14ac:dyDescent="0.3">
      <c r="A162" s="2">
        <v>15</v>
      </c>
      <c r="B162" s="2" t="s">
        <v>1637</v>
      </c>
      <c r="C162" s="60" t="s">
        <v>12247</v>
      </c>
      <c r="D162" s="1"/>
      <c r="E162" s="68"/>
      <c r="F162" s="70"/>
      <c r="G162" s="1"/>
      <c r="H162" s="68"/>
      <c r="I162" s="70"/>
      <c r="J162" s="1"/>
      <c r="K162" s="68"/>
      <c r="L162" s="70"/>
      <c r="M162" s="81" t="s">
        <v>17864</v>
      </c>
      <c r="N162" s="57" t="s">
        <v>1</v>
      </c>
      <c r="O162" s="58">
        <v>0.9</v>
      </c>
      <c r="P162" s="83" t="s">
        <v>5895</v>
      </c>
      <c r="Q162" s="64" t="s">
        <v>1</v>
      </c>
      <c r="R162" s="65">
        <v>1</v>
      </c>
      <c r="S162" s="99"/>
      <c r="T162" s="70"/>
      <c r="U162" s="99"/>
      <c r="V162" s="70"/>
      <c r="W162" s="81"/>
      <c r="X162" s="57"/>
      <c r="Y162" s="58"/>
      <c r="Z162" s="77"/>
      <c r="AA162" s="1" t="s">
        <v>17980</v>
      </c>
      <c r="AB162" s="68"/>
      <c r="AC162" s="76"/>
      <c r="AD162" s="70"/>
      <c r="AE162" s="228">
        <f>ROUND((ROUND((ROUND((_15_同援日０．５*_15・基礎２),0)*_15・２人),0)*(1+_15・区３)),0)+ROUND((ROUND((ROUND((ROUND((_15_同援日０．５＿１．０*_15・基礎２),0)*_15・２人),0)*(1+_15・B夜間)),0)*(1+_15・区３)),0)+ROUND((ROUND((ROUND((ROUND((_15_同援日０．５＿１．０＿１．５*_15・基礎２),0)*_15・２人),0)*(1+_15・C深夜)),0)*(1+_15・区３)),0)</f>
        <v>826</v>
      </c>
      <c r="AF162" s="69"/>
    </row>
    <row r="163" spans="1:32" ht="16.5" customHeight="1" x14ac:dyDescent="0.3">
      <c r="A163" s="2">
        <v>15</v>
      </c>
      <c r="B163" s="2" t="s">
        <v>1638</v>
      </c>
      <c r="C163" s="60" t="s">
        <v>12246</v>
      </c>
      <c r="D163" s="1"/>
      <c r="E163" s="68"/>
      <c r="F163" s="70"/>
      <c r="G163" s="1"/>
      <c r="H163" s="68"/>
      <c r="I163" s="70"/>
      <c r="J163" s="1"/>
      <c r="K163" s="68"/>
      <c r="L163" s="70"/>
      <c r="M163" s="74"/>
      <c r="N163" s="62"/>
      <c r="O163" s="63"/>
      <c r="P163" s="83"/>
      <c r="Q163" s="64"/>
      <c r="R163" s="65"/>
      <c r="S163" s="99"/>
      <c r="T163" s="70"/>
      <c r="U163" s="99"/>
      <c r="V163" s="70"/>
      <c r="W163" s="74" t="s">
        <v>17987</v>
      </c>
      <c r="X163" s="62"/>
      <c r="Y163" s="63"/>
      <c r="Z163" s="75"/>
      <c r="AA163" s="1"/>
      <c r="AB163" s="68" t="s">
        <v>1</v>
      </c>
      <c r="AC163" s="76">
        <v>0.2</v>
      </c>
      <c r="AD163" s="70" t="s">
        <v>422</v>
      </c>
      <c r="AE163" s="228">
        <f>ROUND((ROUND((_15_同援日０．５*(1+_15・盲ろう)),0)*(1+_15・区３)),0)+ROUND((ROUND((ROUND((_15_同援日０．５＿１．０*(1+_15・B夜間)),0)*(1+_15・盲ろう)),0)*(1+_15・区３)),0)+ROUND((ROUND((ROUND((_15_同援日０．５＿１．０＿１．５*(1+_15・C深夜)),0)*(1+_15・盲ろう)),0)*(1+_15・区３)),0)</f>
        <v>1147</v>
      </c>
      <c r="AF163" s="69"/>
    </row>
    <row r="164" spans="1:32" ht="16.5" customHeight="1" x14ac:dyDescent="0.3">
      <c r="A164" s="2">
        <v>15</v>
      </c>
      <c r="B164" s="2" t="s">
        <v>1639</v>
      </c>
      <c r="C164" s="60" t="s">
        <v>12245</v>
      </c>
      <c r="D164" s="1"/>
      <c r="E164" s="68"/>
      <c r="F164" s="70"/>
      <c r="G164" s="1"/>
      <c r="H164" s="68"/>
      <c r="I164" s="70"/>
      <c r="J164" s="1"/>
      <c r="K164" s="68"/>
      <c r="L164" s="70"/>
      <c r="M164" s="81"/>
      <c r="N164" s="57"/>
      <c r="O164" s="58"/>
      <c r="P164" s="83" t="s">
        <v>5895</v>
      </c>
      <c r="Q164" s="64" t="s">
        <v>1</v>
      </c>
      <c r="R164" s="65">
        <v>1</v>
      </c>
      <c r="S164" s="99"/>
      <c r="T164" s="70"/>
      <c r="U164" s="99"/>
      <c r="V164" s="70"/>
      <c r="W164" s="1" t="s">
        <v>17975</v>
      </c>
      <c r="X164" s="68"/>
      <c r="Y164" s="76"/>
      <c r="Z164" s="70"/>
      <c r="AA164" s="1"/>
      <c r="AB164" s="68"/>
      <c r="AC164" s="76"/>
      <c r="AD164" s="70"/>
      <c r="AE164" s="228">
        <f>ROUND((ROUND((ROUND((_15_同援日０．５*_15・２人),0)*(1+_15・盲ろう)),0)*(1+_15・区３)),0)+ROUND((ROUND((ROUND((ROUND((_15_同援日０．５＿１．０*_15・２人),0)*(1+_15・B夜間)),0)*(1+_15・盲ろう)),0)*(1+_15・区３)),0)+ROUND((ROUND((ROUND((ROUND((_15_同援日０．５＿１．０＿１．５*_15・２人),0)*(1+_15・C深夜)),0)*(1+_15・盲ろう)),0)*(1+_15・区３)),0)</f>
        <v>1147</v>
      </c>
      <c r="AF164" s="69"/>
    </row>
    <row r="165" spans="1:32" ht="16.5" customHeight="1" x14ac:dyDescent="0.3">
      <c r="A165" s="2">
        <v>15</v>
      </c>
      <c r="B165" s="2" t="s">
        <v>1640</v>
      </c>
      <c r="C165" s="60" t="s">
        <v>12244</v>
      </c>
      <c r="D165" s="1"/>
      <c r="E165" s="68"/>
      <c r="F165" s="70"/>
      <c r="G165" s="1"/>
      <c r="H165" s="68"/>
      <c r="I165" s="70"/>
      <c r="J165" s="1"/>
      <c r="K165" s="68"/>
      <c r="L165" s="70"/>
      <c r="M165" s="74" t="s">
        <v>17972</v>
      </c>
      <c r="N165" s="62"/>
      <c r="O165" s="63"/>
      <c r="P165" s="83"/>
      <c r="Q165" s="64"/>
      <c r="R165" s="65"/>
      <c r="S165" s="99"/>
      <c r="T165" s="70"/>
      <c r="U165" s="99"/>
      <c r="V165" s="70"/>
      <c r="W165" s="1"/>
      <c r="X165" s="68" t="s">
        <v>1</v>
      </c>
      <c r="Y165" s="76">
        <v>0.25</v>
      </c>
      <c r="Z165" s="70" t="s">
        <v>422</v>
      </c>
      <c r="AA165" s="1"/>
      <c r="AB165" s="68"/>
      <c r="AC165" s="76"/>
      <c r="AD165" s="70"/>
      <c r="AE165" s="228">
        <f>ROUND((ROUND((ROUND((_15_同援日０．５*_15・基礎２),0)*(1+_15・盲ろう)),0)*(1+_15・区３)),0)+ROUND((ROUND((ROUND((ROUND((_15_同援日０．５＿１．０*_15・基礎２),0)*(1+_15・B夜間)),0)*(1+_15・盲ろう)),0)*(1+_15・区３)),0)+ROUND((ROUND((ROUND((ROUND((_15_同援日０．５＿１．０＿１．５*_15・基礎２),0)*(1+_15・C深夜)),0)*(1+_15・盲ろう)),0)*(1+_15・区３)),0)</f>
        <v>1035</v>
      </c>
      <c r="AF165" s="69"/>
    </row>
    <row r="166" spans="1:32" ht="16.5" customHeight="1" x14ac:dyDescent="0.3">
      <c r="A166" s="2">
        <v>15</v>
      </c>
      <c r="B166" s="2" t="s">
        <v>1641</v>
      </c>
      <c r="C166" s="60" t="s">
        <v>12243</v>
      </c>
      <c r="D166" s="1"/>
      <c r="E166" s="68"/>
      <c r="F166" s="70"/>
      <c r="G166" s="1"/>
      <c r="H166" s="68"/>
      <c r="I166" s="70"/>
      <c r="J166" s="1"/>
      <c r="K166" s="68"/>
      <c r="L166" s="70"/>
      <c r="M166" s="81" t="s">
        <v>17864</v>
      </c>
      <c r="N166" s="57" t="s">
        <v>1</v>
      </c>
      <c r="O166" s="58">
        <v>0.9</v>
      </c>
      <c r="P166" s="83" t="s">
        <v>5895</v>
      </c>
      <c r="Q166" s="64" t="s">
        <v>1</v>
      </c>
      <c r="R166" s="65">
        <v>1</v>
      </c>
      <c r="S166" s="99"/>
      <c r="T166" s="70"/>
      <c r="U166" s="99"/>
      <c r="V166" s="70"/>
      <c r="W166" s="81"/>
      <c r="X166" s="57"/>
      <c r="Y166" s="58"/>
      <c r="Z166" s="77"/>
      <c r="AA166" s="81"/>
      <c r="AB166" s="57"/>
      <c r="AC166" s="58"/>
      <c r="AD166" s="77"/>
      <c r="AE166" s="228">
        <f>ROUND((ROUND((ROUND((ROUND((_15_同援日０．５*_15・基礎２),0)*_15・２人),0)*(1+_15・盲ろう)),0)*(1+_15・区３)),0)+ROUND((ROUND((ROUND((ROUND((ROUND((_15_同援日０．５＿１．０*_15・基礎２),0)*_15・２人),0)*(1+_15・B夜間)),0)*(1+_15・盲ろう)),0)*(1+_15・区３)),0)+ROUND((ROUND((ROUND((ROUND((ROUND((_15_同援日０．５＿１．０＿１．５*_15・基礎２),0)*_15・２人),0)*(1+_15・C深夜)),0)*(1+_15・盲ろう)),0)*(1+_15・区３)),0)</f>
        <v>1035</v>
      </c>
      <c r="AF166" s="69"/>
    </row>
    <row r="167" spans="1:32" ht="16.5" customHeight="1" x14ac:dyDescent="0.3">
      <c r="A167" s="2">
        <v>15</v>
      </c>
      <c r="B167" s="2" t="s">
        <v>1642</v>
      </c>
      <c r="C167" s="60" t="s">
        <v>12242</v>
      </c>
      <c r="D167" s="1"/>
      <c r="E167" s="68"/>
      <c r="F167" s="70"/>
      <c r="G167" s="1"/>
      <c r="H167" s="68"/>
      <c r="I167" s="70"/>
      <c r="J167" s="1"/>
      <c r="K167" s="68"/>
      <c r="L167" s="70"/>
      <c r="M167" s="74"/>
      <c r="N167" s="62"/>
      <c r="O167" s="63"/>
      <c r="P167" s="83"/>
      <c r="Q167" s="64"/>
      <c r="R167" s="65"/>
      <c r="S167" s="99"/>
      <c r="T167" s="70"/>
      <c r="U167" s="99"/>
      <c r="V167" s="70"/>
      <c r="W167" s="74"/>
      <c r="X167" s="62"/>
      <c r="Y167" s="63"/>
      <c r="Z167" s="75"/>
      <c r="AA167" s="74"/>
      <c r="AB167" s="62"/>
      <c r="AC167" s="63"/>
      <c r="AD167" s="75"/>
      <c r="AE167" s="228">
        <f>ROUND((_15_同援日０．５*(1+_15・区４)),0)+ROUND((ROUND((_15_同援日０．５＿１．０*(1+_15・B夜間)),0)*(1+_15・区４)),0)+ROUND((ROUND((_15_同援日０．５＿１．０＿１．５*(1+_15・C深夜)),0)*(1+_15・区４)),0)</f>
        <v>1071</v>
      </c>
      <c r="AF167" s="69"/>
    </row>
    <row r="168" spans="1:32" ht="16.5" customHeight="1" x14ac:dyDescent="0.3">
      <c r="A168" s="2">
        <v>15</v>
      </c>
      <c r="B168" s="2" t="s">
        <v>1643</v>
      </c>
      <c r="C168" s="60" t="s">
        <v>12241</v>
      </c>
      <c r="D168" s="1"/>
      <c r="E168" s="68"/>
      <c r="F168" s="70"/>
      <c r="G168" s="1"/>
      <c r="H168" s="68"/>
      <c r="I168" s="70"/>
      <c r="J168" s="1"/>
      <c r="K168" s="68"/>
      <c r="L168" s="70"/>
      <c r="M168" s="81"/>
      <c r="N168" s="57"/>
      <c r="O168" s="58"/>
      <c r="P168" s="83" t="s">
        <v>5895</v>
      </c>
      <c r="Q168" s="64" t="s">
        <v>1</v>
      </c>
      <c r="R168" s="65">
        <v>1</v>
      </c>
      <c r="S168" s="99"/>
      <c r="T168" s="70"/>
      <c r="U168" s="99"/>
      <c r="V168" s="70"/>
      <c r="W168" s="1"/>
      <c r="X168" s="68"/>
      <c r="Y168" s="76"/>
      <c r="Z168" s="70"/>
      <c r="AA168" s="1"/>
      <c r="AB168" s="68"/>
      <c r="AC168" s="76"/>
      <c r="AD168" s="70"/>
      <c r="AE168" s="228">
        <f>ROUND((ROUND((_15_同援日０．５*_15・２人),0)*(1+_15・区４)),0)+ROUND((ROUND((ROUND((_15_同援日０．５＿１．０*_15・２人),0)*(1+_15・B夜間)),0)*(1+_15・区４)),0)+ROUND((ROUND((ROUND((_15_同援日０．５＿１．０＿１．５*_15・２人),0)*(1+_15・C深夜)),0)*(1+_15・区４)),0)</f>
        <v>1071</v>
      </c>
      <c r="AF168" s="69"/>
    </row>
    <row r="169" spans="1:32" ht="16.5" customHeight="1" x14ac:dyDescent="0.3">
      <c r="A169" s="2">
        <v>15</v>
      </c>
      <c r="B169" s="2" t="s">
        <v>1644</v>
      </c>
      <c r="C169" s="60" t="s">
        <v>12240</v>
      </c>
      <c r="D169" s="1"/>
      <c r="E169" s="68"/>
      <c r="F169" s="70"/>
      <c r="G169" s="1"/>
      <c r="H169" s="68"/>
      <c r="I169" s="70"/>
      <c r="J169" s="1"/>
      <c r="K169" s="68"/>
      <c r="L169" s="70"/>
      <c r="M169" s="74" t="s">
        <v>17972</v>
      </c>
      <c r="N169" s="62"/>
      <c r="O169" s="63"/>
      <c r="P169" s="83"/>
      <c r="Q169" s="64"/>
      <c r="R169" s="65"/>
      <c r="S169" s="99"/>
      <c r="T169" s="70"/>
      <c r="U169" s="99"/>
      <c r="V169" s="70"/>
      <c r="W169" s="1"/>
      <c r="X169" s="68"/>
      <c r="Y169" s="76"/>
      <c r="Z169" s="70"/>
      <c r="AA169" s="1" t="s">
        <v>17988</v>
      </c>
      <c r="AB169" s="68"/>
      <c r="AC169" s="76"/>
      <c r="AD169" s="70"/>
      <c r="AE169" s="228">
        <f>ROUND((ROUND((_15_同援日０．５*_15・基礎２),0)*(1+_15・区４)),0)+ROUND((ROUND((ROUND((_15_同援日０．５＿１．０*_15・基礎２),0)*(1+_15・B夜間)),0)*(1+_15・区４)),0)+ROUND((ROUND((ROUND((_15_同援日０．５＿１．０＿１．５*_15・基礎２),0)*(1+_15・C深夜)),0)*(1+_15・区４)),0)</f>
        <v>964</v>
      </c>
      <c r="AF169" s="69"/>
    </row>
    <row r="170" spans="1:32" ht="16.5" customHeight="1" x14ac:dyDescent="0.3">
      <c r="A170" s="2">
        <v>15</v>
      </c>
      <c r="B170" s="2" t="s">
        <v>1645</v>
      </c>
      <c r="C170" s="60" t="s">
        <v>12239</v>
      </c>
      <c r="D170" s="1"/>
      <c r="E170" s="68"/>
      <c r="F170" s="70"/>
      <c r="G170" s="1"/>
      <c r="H170" s="68"/>
      <c r="I170" s="70"/>
      <c r="J170" s="1"/>
      <c r="K170" s="68"/>
      <c r="L170" s="70"/>
      <c r="M170" s="81" t="s">
        <v>17864</v>
      </c>
      <c r="N170" s="57" t="s">
        <v>1</v>
      </c>
      <c r="O170" s="58">
        <v>0.9</v>
      </c>
      <c r="P170" s="83" t="s">
        <v>5895</v>
      </c>
      <c r="Q170" s="64" t="s">
        <v>1</v>
      </c>
      <c r="R170" s="65">
        <v>1</v>
      </c>
      <c r="S170" s="99"/>
      <c r="T170" s="70"/>
      <c r="U170" s="99"/>
      <c r="V170" s="70"/>
      <c r="W170" s="81"/>
      <c r="X170" s="57"/>
      <c r="Y170" s="58"/>
      <c r="Z170" s="77"/>
      <c r="AA170" s="1" t="s">
        <v>17980</v>
      </c>
      <c r="AB170" s="68"/>
      <c r="AC170" s="76"/>
      <c r="AD170" s="70"/>
      <c r="AE170" s="228">
        <f>ROUND((ROUND((ROUND((_15_同援日０．５*_15・基礎２),0)*_15・２人),0)*(1+_15・区４)),0)+ROUND((ROUND((ROUND((ROUND((_15_同援日０．５＿１．０*_15・基礎２),0)*_15・２人),0)*(1+_15・B夜間)),0)*(1+_15・区４)),0)+ROUND((ROUND((ROUND((ROUND((_15_同援日０．５＿１．０＿１．５*_15・基礎２),0)*_15・２人),0)*(1+_15・C深夜)),0)*(1+_15・区４)),0)</f>
        <v>964</v>
      </c>
      <c r="AF170" s="69"/>
    </row>
    <row r="171" spans="1:32" ht="16.5" customHeight="1" x14ac:dyDescent="0.3">
      <c r="A171" s="2">
        <v>15</v>
      </c>
      <c r="B171" s="2" t="s">
        <v>1646</v>
      </c>
      <c r="C171" s="60" t="s">
        <v>12238</v>
      </c>
      <c r="D171" s="1"/>
      <c r="E171" s="68"/>
      <c r="F171" s="70"/>
      <c r="G171" s="1"/>
      <c r="H171" s="68"/>
      <c r="I171" s="70"/>
      <c r="J171" s="1"/>
      <c r="K171" s="68"/>
      <c r="L171" s="70"/>
      <c r="M171" s="74"/>
      <c r="N171" s="62"/>
      <c r="O171" s="63"/>
      <c r="P171" s="83"/>
      <c r="Q171" s="64"/>
      <c r="R171" s="65"/>
      <c r="S171" s="99"/>
      <c r="T171" s="70"/>
      <c r="U171" s="99"/>
      <c r="V171" s="70"/>
      <c r="W171" s="74" t="s">
        <v>17987</v>
      </c>
      <c r="X171" s="62"/>
      <c r="Y171" s="63"/>
      <c r="Z171" s="75"/>
      <c r="AA171" s="1"/>
      <c r="AB171" s="68" t="s">
        <v>1</v>
      </c>
      <c r="AC171" s="76">
        <v>0.4</v>
      </c>
      <c r="AD171" s="70" t="s">
        <v>422</v>
      </c>
      <c r="AE171" s="228">
        <f>ROUND((ROUND((_15_同援日０．５*(1+_15・盲ろう)),0)*(1+_15・区４)),0)+ROUND((ROUND((ROUND((_15_同援日０．５＿１．０*(1+_15・B夜間)),0)*(1+_15・盲ろう)),0)*(1+_15・区４)),0)+ROUND((ROUND((ROUND((_15_同援日０．５＿１．０＿１．５*(1+_15・C深夜)),0)*(1+_15・盲ろう)),0)*(1+_15・区４)),0)</f>
        <v>1338</v>
      </c>
      <c r="AF171" s="69"/>
    </row>
    <row r="172" spans="1:32" ht="16.5" customHeight="1" x14ac:dyDescent="0.3">
      <c r="A172" s="2">
        <v>15</v>
      </c>
      <c r="B172" s="2" t="s">
        <v>1647</v>
      </c>
      <c r="C172" s="60" t="s">
        <v>12237</v>
      </c>
      <c r="D172" s="1"/>
      <c r="E172" s="68"/>
      <c r="F172" s="70"/>
      <c r="G172" s="1"/>
      <c r="H172" s="68"/>
      <c r="I172" s="70"/>
      <c r="J172" s="1"/>
      <c r="K172" s="68"/>
      <c r="L172" s="70"/>
      <c r="M172" s="81"/>
      <c r="N172" s="57"/>
      <c r="O172" s="58"/>
      <c r="P172" s="83" t="s">
        <v>5895</v>
      </c>
      <c r="Q172" s="64" t="s">
        <v>1</v>
      </c>
      <c r="R172" s="65">
        <v>1</v>
      </c>
      <c r="S172" s="99"/>
      <c r="T172" s="70"/>
      <c r="U172" s="99"/>
      <c r="V172" s="70"/>
      <c r="W172" s="1" t="s">
        <v>17973</v>
      </c>
      <c r="X172" s="68"/>
      <c r="Y172" s="76"/>
      <c r="Z172" s="70"/>
      <c r="AA172" s="1"/>
      <c r="AB172" s="68"/>
      <c r="AC172" s="76"/>
      <c r="AD172" s="70"/>
      <c r="AE172" s="228">
        <f>ROUND((ROUND((ROUND((_15_同援日０．５*_15・２人),0)*(1+_15・盲ろう)),0)*(1+_15・区４)),0)+ROUND((ROUND((ROUND((ROUND((_15_同援日０．５＿１．０*_15・２人),0)*(1+_15・B夜間)),0)*(1+_15・盲ろう)),0)*(1+_15・区４)),0)+ROUND((ROUND((ROUND((ROUND((_15_同援日０．５＿１．０＿１．５*_15・２人),0)*(1+_15・C深夜)),0)*(1+_15・盲ろう)),0)*(1+_15・区４)),0)</f>
        <v>1338</v>
      </c>
      <c r="AF172" s="69"/>
    </row>
    <row r="173" spans="1:32" ht="16.5" customHeight="1" x14ac:dyDescent="0.3">
      <c r="A173" s="2">
        <v>15</v>
      </c>
      <c r="B173" s="2" t="s">
        <v>1648</v>
      </c>
      <c r="C173" s="60" t="s">
        <v>12236</v>
      </c>
      <c r="D173" s="1"/>
      <c r="E173" s="68"/>
      <c r="F173" s="70"/>
      <c r="G173" s="1"/>
      <c r="H173" s="68"/>
      <c r="I173" s="70"/>
      <c r="J173" s="1"/>
      <c r="K173" s="68"/>
      <c r="L173" s="70"/>
      <c r="M173" s="74" t="s">
        <v>17972</v>
      </c>
      <c r="N173" s="62"/>
      <c r="O173" s="63"/>
      <c r="P173" s="83"/>
      <c r="Q173" s="64"/>
      <c r="R173" s="65"/>
      <c r="S173" s="99"/>
      <c r="T173" s="70"/>
      <c r="U173" s="99"/>
      <c r="V173" s="70"/>
      <c r="W173" s="1"/>
      <c r="X173" s="68" t="s">
        <v>1</v>
      </c>
      <c r="Y173" s="76">
        <v>0.25</v>
      </c>
      <c r="Z173" s="70" t="s">
        <v>422</v>
      </c>
      <c r="AA173" s="1"/>
      <c r="AB173" s="68"/>
      <c r="AC173" s="76"/>
      <c r="AD173" s="70"/>
      <c r="AE173" s="228">
        <f>ROUND((ROUND((ROUND((_15_同援日０．５*_15・基礎２),0)*(1+_15・盲ろう)),0)*(1+_15・区４)),0)+ROUND((ROUND((ROUND((ROUND((_15_同援日０．５＿１．０*_15・基礎２),0)*(1+_15・B夜間)),0)*(1+_15・盲ろう)),0)*(1+_15・区４)),0)+ROUND((ROUND((ROUND((ROUND((_15_同援日０．５＿１．０＿１．５*_15・基礎２),0)*(1+_15・C深夜)),0)*(1+_15・盲ろう)),0)*(1+_15・区４)),0)</f>
        <v>1206</v>
      </c>
      <c r="AF173" s="69"/>
    </row>
    <row r="174" spans="1:32" ht="16.5" customHeight="1" x14ac:dyDescent="0.3">
      <c r="A174" s="2">
        <v>15</v>
      </c>
      <c r="B174" s="2" t="s">
        <v>1649</v>
      </c>
      <c r="C174" s="60" t="s">
        <v>12235</v>
      </c>
      <c r="D174" s="1"/>
      <c r="E174" s="68"/>
      <c r="F174" s="70"/>
      <c r="G174" s="81"/>
      <c r="H174" s="57"/>
      <c r="I174" s="77"/>
      <c r="J174" s="81"/>
      <c r="K174" s="57"/>
      <c r="L174" s="77"/>
      <c r="M174" s="81" t="s">
        <v>17864</v>
      </c>
      <c r="N174" s="57" t="s">
        <v>1</v>
      </c>
      <c r="O174" s="58">
        <v>0.9</v>
      </c>
      <c r="P174" s="83" t="s">
        <v>5895</v>
      </c>
      <c r="Q174" s="64" t="s">
        <v>1</v>
      </c>
      <c r="R174" s="65">
        <v>1</v>
      </c>
      <c r="S174" s="99"/>
      <c r="T174" s="70"/>
      <c r="U174" s="99"/>
      <c r="V174" s="70"/>
      <c r="W174" s="81"/>
      <c r="X174" s="57"/>
      <c r="Y174" s="58"/>
      <c r="Z174" s="77"/>
      <c r="AA174" s="81"/>
      <c r="AB174" s="57"/>
      <c r="AC174" s="58"/>
      <c r="AD174" s="77"/>
      <c r="AE174" s="228">
        <f>ROUND((ROUND((ROUND((ROUND((_15_同援日０．５*_15・基礎２),0)*_15・２人),0)*(1+_15・盲ろう)),0)*(1+_15・区４)),0)+ROUND((ROUND((ROUND((ROUND((ROUND((_15_同援日０．５＿１．０*_15・基礎２),0)*_15・２人),0)*(1+_15・B夜間)),0)*(1+_15・盲ろう)),0)*(1+_15・区４)),0)+ROUND((ROUND((ROUND((ROUND((ROUND((_15_同援日０．５＿１．０＿１．５*_15・基礎２),0)*_15・２人),0)*(1+_15・C深夜)),0)*(1+_15・盲ろう)),0)*(1+_15・区４)),0)</f>
        <v>1206</v>
      </c>
      <c r="AF174" s="69"/>
    </row>
    <row r="175" spans="1:32" ht="16.5" customHeight="1" x14ac:dyDescent="0.3">
      <c r="A175" s="2">
        <v>15</v>
      </c>
      <c r="B175" s="2" t="s">
        <v>1650</v>
      </c>
      <c r="C175" s="60" t="s">
        <v>12234</v>
      </c>
      <c r="D175" s="1"/>
      <c r="E175" s="68"/>
      <c r="F175" s="70"/>
      <c r="G175" s="233" t="s">
        <v>18158</v>
      </c>
      <c r="H175" s="62"/>
      <c r="I175" s="75"/>
      <c r="J175" s="74" t="s">
        <v>17867</v>
      </c>
      <c r="K175" s="62"/>
      <c r="L175" s="75"/>
      <c r="M175" s="74"/>
      <c r="N175" s="62"/>
      <c r="O175" s="63"/>
      <c r="P175" s="83"/>
      <c r="Q175" s="64"/>
      <c r="R175" s="65"/>
      <c r="S175" s="99"/>
      <c r="T175" s="70"/>
      <c r="U175" s="99"/>
      <c r="V175" s="70"/>
      <c r="W175" s="74"/>
      <c r="X175" s="62"/>
      <c r="Y175" s="63"/>
      <c r="Z175" s="75"/>
      <c r="AA175" s="74"/>
      <c r="AB175" s="62"/>
      <c r="AC175" s="63"/>
      <c r="AD175" s="75"/>
      <c r="AE175" s="228">
        <f>_15_同援日０．５+ROUND((_15_同援日０．５＿１．５*(1+_15・B夜間)),0)+ROUND((_15_同援日０．５＿１．５＿０．５*(1+_15・C深夜)),0)</f>
        <v>655</v>
      </c>
      <c r="AF175" s="69"/>
    </row>
    <row r="176" spans="1:32" ht="16.5" customHeight="1" x14ac:dyDescent="0.3">
      <c r="A176" s="2">
        <v>15</v>
      </c>
      <c r="B176" s="2" t="s">
        <v>1651</v>
      </c>
      <c r="C176" s="60" t="s">
        <v>12233</v>
      </c>
      <c r="D176" s="1"/>
      <c r="E176" s="68"/>
      <c r="F176" s="70"/>
      <c r="G176" s="1" t="s">
        <v>18156</v>
      </c>
      <c r="H176" s="68"/>
      <c r="I176" s="70"/>
      <c r="J176" s="1" t="s">
        <v>7928</v>
      </c>
      <c r="K176" s="68"/>
      <c r="L176" s="70"/>
      <c r="M176" s="81"/>
      <c r="N176" s="57"/>
      <c r="O176" s="58"/>
      <c r="P176" s="83" t="s">
        <v>5895</v>
      </c>
      <c r="Q176" s="64" t="s">
        <v>1</v>
      </c>
      <c r="R176" s="65">
        <v>1</v>
      </c>
      <c r="S176" s="99"/>
      <c r="T176" s="70"/>
      <c r="U176" s="99"/>
      <c r="V176" s="70"/>
      <c r="W176" s="1"/>
      <c r="X176" s="68"/>
      <c r="Y176" s="76"/>
      <c r="Z176" s="70"/>
      <c r="AA176" s="1"/>
      <c r="AB176" s="68"/>
      <c r="AC176" s="76"/>
      <c r="AD176" s="70"/>
      <c r="AE176" s="228">
        <f>ROUND((_15_同援日０．５*_15・２人),0)+ROUND((ROUND((_15_同援日０．５＿１．５*_15・２人),0)*(1+_15・B夜間)),0)+ROUND((ROUND((_15_同援日０．５＿１．５＿０．５*_15・２人),0)*(1+_15・C深夜)),0)</f>
        <v>655</v>
      </c>
      <c r="AF176" s="69"/>
    </row>
    <row r="177" spans="1:32" ht="16.5" customHeight="1" x14ac:dyDescent="0.3">
      <c r="A177" s="2">
        <v>15</v>
      </c>
      <c r="B177" s="2" t="s">
        <v>1652</v>
      </c>
      <c r="C177" s="60" t="s">
        <v>12232</v>
      </c>
      <c r="D177" s="1"/>
      <c r="E177" s="68"/>
      <c r="F177" s="70"/>
      <c r="G177" s="1" t="s">
        <v>8767</v>
      </c>
      <c r="H177" s="68"/>
      <c r="I177" s="70"/>
      <c r="J177" s="1"/>
      <c r="K177" s="68"/>
      <c r="L177" s="70"/>
      <c r="M177" s="74" t="s">
        <v>17972</v>
      </c>
      <c r="N177" s="62"/>
      <c r="O177" s="63"/>
      <c r="P177" s="83"/>
      <c r="Q177" s="64"/>
      <c r="R177" s="65"/>
      <c r="S177" s="99"/>
      <c r="T177" s="70"/>
      <c r="U177" s="99"/>
      <c r="V177" s="70"/>
      <c r="W177" s="1"/>
      <c r="X177" s="68"/>
      <c r="Y177" s="76"/>
      <c r="Z177" s="70"/>
      <c r="AA177" s="1"/>
      <c r="AB177" s="68"/>
      <c r="AC177" s="76"/>
      <c r="AD177" s="70"/>
      <c r="AE177" s="228">
        <f>ROUND((_15_同援日０．５*_15・基礎２),0)+ROUND((ROUND((_15_同援日０．５＿１．５*_15・基礎２),0)*(1+_15・B夜間)),0)+ROUND((ROUND((_15_同援日０．５＿１．５＿０．５*_15・基礎２),0)*(1+_15・C深夜)),0)</f>
        <v>591</v>
      </c>
      <c r="AF177" s="69"/>
    </row>
    <row r="178" spans="1:32" ht="16.5" customHeight="1" x14ac:dyDescent="0.3">
      <c r="A178" s="2">
        <v>15</v>
      </c>
      <c r="B178" s="2" t="s">
        <v>1653</v>
      </c>
      <c r="C178" s="60" t="s">
        <v>12231</v>
      </c>
      <c r="D178" s="1"/>
      <c r="E178" s="68"/>
      <c r="F178" s="70"/>
      <c r="G178" s="1"/>
      <c r="H178" s="227">
        <v>301</v>
      </c>
      <c r="I178" s="70" t="s">
        <v>0</v>
      </c>
      <c r="J178" s="1"/>
      <c r="K178" s="119">
        <v>63</v>
      </c>
      <c r="L178" s="70" t="s">
        <v>0</v>
      </c>
      <c r="M178" s="81" t="s">
        <v>17864</v>
      </c>
      <c r="N178" s="57" t="s">
        <v>1</v>
      </c>
      <c r="O178" s="58">
        <v>0.9</v>
      </c>
      <c r="P178" s="83" t="s">
        <v>5895</v>
      </c>
      <c r="Q178" s="64" t="s">
        <v>1</v>
      </c>
      <c r="R178" s="65">
        <v>1</v>
      </c>
      <c r="S178" s="99"/>
      <c r="T178" s="70"/>
      <c r="U178" s="99"/>
      <c r="V178" s="70"/>
      <c r="W178" s="81"/>
      <c r="X178" s="57"/>
      <c r="Y178" s="58"/>
      <c r="Z178" s="77"/>
      <c r="AA178" s="1"/>
      <c r="AB178" s="68"/>
      <c r="AC178" s="76"/>
      <c r="AD178" s="70"/>
      <c r="AE178" s="228">
        <f>ROUND((ROUND((_15_同援日０．５*_15・基礎２),0)*_15・２人),0)+ROUND((ROUND((ROUND((_15_同援日０．５＿１．５*_15・基礎２),0)*_15・２人),0)*(1+_15・B夜間)),0)+ROUND((ROUND((ROUND((_15_同援日０．５＿１．５＿０．５*_15・基礎２),0)*_15・２人),0)*(1+_15・C深夜)),0)</f>
        <v>591</v>
      </c>
      <c r="AF178" s="69"/>
    </row>
    <row r="179" spans="1:32" ht="16.5" customHeight="1" x14ac:dyDescent="0.3">
      <c r="A179" s="2">
        <v>15</v>
      </c>
      <c r="B179" s="2" t="s">
        <v>1654</v>
      </c>
      <c r="C179" s="60" t="s">
        <v>12230</v>
      </c>
      <c r="D179" s="1"/>
      <c r="E179" s="68"/>
      <c r="F179" s="70"/>
      <c r="G179" s="1"/>
      <c r="H179" s="68"/>
      <c r="I179" s="70"/>
      <c r="J179" s="1"/>
      <c r="K179" s="68"/>
      <c r="L179" s="70"/>
      <c r="M179" s="74"/>
      <c r="N179" s="62"/>
      <c r="O179" s="63"/>
      <c r="P179" s="83"/>
      <c r="Q179" s="64"/>
      <c r="R179" s="65"/>
      <c r="S179" s="99"/>
      <c r="T179" s="70"/>
      <c r="U179" s="99"/>
      <c r="V179" s="70"/>
      <c r="W179" s="74" t="s">
        <v>17987</v>
      </c>
      <c r="X179" s="62"/>
      <c r="Y179" s="63"/>
      <c r="Z179" s="75"/>
      <c r="AA179" s="1"/>
      <c r="AB179" s="68"/>
      <c r="AC179" s="76"/>
      <c r="AD179" s="70"/>
      <c r="AE179" s="228">
        <f>ROUND((_15_同援日０．５*(1+_15・盲ろう)),0)+ROUND((ROUND((_15_同援日０．５＿１．５*(1+_15・B夜間)),0)*(1+_15・盲ろう)),0)+ROUND((ROUND((_15_同援日０．５＿１．５＿０．５*(1+_15・C深夜)),0)*(1+_15・盲ろう)),0)</f>
        <v>819</v>
      </c>
      <c r="AF179" s="69"/>
    </row>
    <row r="180" spans="1:32" ht="16.5" customHeight="1" x14ac:dyDescent="0.3">
      <c r="A180" s="2">
        <v>15</v>
      </c>
      <c r="B180" s="2" t="s">
        <v>1655</v>
      </c>
      <c r="C180" s="60" t="s">
        <v>12229</v>
      </c>
      <c r="D180" s="1"/>
      <c r="E180" s="68"/>
      <c r="F180" s="70"/>
      <c r="G180" s="1"/>
      <c r="H180" s="68"/>
      <c r="I180" s="70"/>
      <c r="J180" s="1"/>
      <c r="K180" s="68"/>
      <c r="L180" s="70"/>
      <c r="M180" s="81"/>
      <c r="N180" s="57"/>
      <c r="O180" s="58"/>
      <c r="P180" s="83" t="s">
        <v>5895</v>
      </c>
      <c r="Q180" s="64" t="s">
        <v>1</v>
      </c>
      <c r="R180" s="65">
        <v>1</v>
      </c>
      <c r="S180" s="99"/>
      <c r="T180" s="70"/>
      <c r="U180" s="99"/>
      <c r="V180" s="70"/>
      <c r="W180" s="1" t="s">
        <v>17973</v>
      </c>
      <c r="X180" s="68"/>
      <c r="Y180" s="76"/>
      <c r="Z180" s="70"/>
      <c r="AA180" s="1"/>
      <c r="AB180" s="68"/>
      <c r="AC180" s="76"/>
      <c r="AD180" s="70"/>
      <c r="AE180" s="228">
        <f>ROUND((ROUND((_15_同援日０．５*_15・２人),0)*(1+_15・盲ろう)),0)+ROUND((ROUND((ROUND((_15_同援日０．５＿１．５*_15・２人),0)*(1+_15・B夜間)),0)*(1+_15・盲ろう)),0)+ROUND((ROUND((ROUND((_15_同援日０．５＿１．５＿０．５*_15・２人),0)*(1+_15・C深夜)),0)*(1+_15・盲ろう)),0)</f>
        <v>819</v>
      </c>
      <c r="AF180" s="69"/>
    </row>
    <row r="181" spans="1:32" ht="16.5" customHeight="1" x14ac:dyDescent="0.3">
      <c r="A181" s="2">
        <v>15</v>
      </c>
      <c r="B181" s="2" t="s">
        <v>1656</v>
      </c>
      <c r="C181" s="60" t="s">
        <v>12228</v>
      </c>
      <c r="D181" s="1"/>
      <c r="E181" s="68"/>
      <c r="F181" s="70"/>
      <c r="G181" s="1"/>
      <c r="H181" s="68"/>
      <c r="I181" s="70"/>
      <c r="J181" s="1"/>
      <c r="K181" s="68"/>
      <c r="L181" s="70"/>
      <c r="M181" s="74" t="s">
        <v>17972</v>
      </c>
      <c r="N181" s="62"/>
      <c r="O181" s="63"/>
      <c r="P181" s="83"/>
      <c r="Q181" s="64"/>
      <c r="R181" s="65"/>
      <c r="S181" s="99"/>
      <c r="T181" s="70"/>
      <c r="U181" s="99"/>
      <c r="V181" s="70"/>
      <c r="W181" s="1"/>
      <c r="X181" s="68" t="s">
        <v>1</v>
      </c>
      <c r="Y181" s="76">
        <v>0.25</v>
      </c>
      <c r="Z181" s="70" t="s">
        <v>422</v>
      </c>
      <c r="AA181" s="1"/>
      <c r="AB181" s="68"/>
      <c r="AC181" s="76"/>
      <c r="AD181" s="70"/>
      <c r="AE181" s="228">
        <f>ROUND((ROUND((_15_同援日０．５*_15・基礎２),0)*(1+_15・盲ろう)),0)+ROUND((ROUND((ROUND((_15_同援日０．５＿１．５*_15・基礎２),0)*(1+_15・B夜間)),0)*(1+_15・盲ろう)),0)+ROUND((ROUND((ROUND((_15_同援日０．５＿１．５＿０．５*_15・基礎２),0)*(1+_15・C深夜)),0)*(1+_15・盲ろう)),0)</f>
        <v>740</v>
      </c>
      <c r="AF181" s="69"/>
    </row>
    <row r="182" spans="1:32" ht="16.5" customHeight="1" x14ac:dyDescent="0.3">
      <c r="A182" s="2">
        <v>15</v>
      </c>
      <c r="B182" s="2" t="s">
        <v>1657</v>
      </c>
      <c r="C182" s="60" t="s">
        <v>12227</v>
      </c>
      <c r="D182" s="1"/>
      <c r="E182" s="68"/>
      <c r="F182" s="70"/>
      <c r="G182" s="1"/>
      <c r="H182" s="68"/>
      <c r="I182" s="70"/>
      <c r="J182" s="1"/>
      <c r="K182" s="68"/>
      <c r="L182" s="70"/>
      <c r="M182" s="81" t="s">
        <v>17864</v>
      </c>
      <c r="N182" s="57" t="s">
        <v>1</v>
      </c>
      <c r="O182" s="58">
        <v>0.9</v>
      </c>
      <c r="P182" s="83" t="s">
        <v>5895</v>
      </c>
      <c r="Q182" s="64" t="s">
        <v>1</v>
      </c>
      <c r="R182" s="65">
        <v>1</v>
      </c>
      <c r="S182" s="99"/>
      <c r="T182" s="70"/>
      <c r="U182" s="99"/>
      <c r="V182" s="70"/>
      <c r="W182" s="81"/>
      <c r="X182" s="57"/>
      <c r="Y182" s="58"/>
      <c r="Z182" s="77"/>
      <c r="AA182" s="81"/>
      <c r="AB182" s="57"/>
      <c r="AC182" s="58"/>
      <c r="AD182" s="77"/>
      <c r="AE182" s="228">
        <f>ROUND((ROUND((ROUND((_15_同援日０．５*_15・基礎２),0)*_15・２人),0)*(1+_15・盲ろう)),0)+ROUND((ROUND((ROUND((ROUND((_15_同援日０．５＿１．５*_15・基礎２),0)*_15・２人),0)*(1+_15・B夜間)),0)*(1+_15・盲ろう)),0)+ROUND((ROUND((ROUND((ROUND((_15_同援日０．５＿１．５＿０．５*_15・基礎２),0)*_15・２人),0)*(1+_15・C深夜)),0)*(1+_15・盲ろう)),0)</f>
        <v>740</v>
      </c>
      <c r="AF182" s="69"/>
    </row>
    <row r="183" spans="1:32" ht="16.5" customHeight="1" x14ac:dyDescent="0.3">
      <c r="A183" s="2">
        <v>15</v>
      </c>
      <c r="B183" s="2" t="s">
        <v>1658</v>
      </c>
      <c r="C183" s="60" t="s">
        <v>12226</v>
      </c>
      <c r="D183" s="1"/>
      <c r="E183" s="68"/>
      <c r="F183" s="70"/>
      <c r="G183" s="1"/>
      <c r="H183" s="68"/>
      <c r="I183" s="70"/>
      <c r="J183" s="1"/>
      <c r="K183" s="68"/>
      <c r="L183" s="70"/>
      <c r="M183" s="74"/>
      <c r="N183" s="62"/>
      <c r="O183" s="63"/>
      <c r="P183" s="83"/>
      <c r="Q183" s="64"/>
      <c r="R183" s="65"/>
      <c r="S183" s="99"/>
      <c r="T183" s="70"/>
      <c r="U183" s="99"/>
      <c r="V183" s="70"/>
      <c r="W183" s="74"/>
      <c r="X183" s="62"/>
      <c r="Y183" s="63"/>
      <c r="Z183" s="75"/>
      <c r="AA183" s="74"/>
      <c r="AB183" s="62"/>
      <c r="AC183" s="63"/>
      <c r="AD183" s="75"/>
      <c r="AE183" s="228">
        <f>ROUND((_15_同援日０．５*(1+_15・区３)),0)+ROUND((ROUND((_15_同援日０．５＿１．５*(1+_15・B夜間)),0)*(1+_15・区３)),0)+ROUND((ROUND((_15_同援日０．５＿１．５＿０．５*(1+_15・C深夜)),0)*(1+_15・区３)),0)</f>
        <v>786</v>
      </c>
      <c r="AF183" s="69"/>
    </row>
    <row r="184" spans="1:32" ht="16.5" customHeight="1" x14ac:dyDescent="0.3">
      <c r="A184" s="2">
        <v>15</v>
      </c>
      <c r="B184" s="2" t="s">
        <v>1659</v>
      </c>
      <c r="C184" s="60" t="s">
        <v>12225</v>
      </c>
      <c r="D184" s="1"/>
      <c r="E184" s="68"/>
      <c r="F184" s="70"/>
      <c r="G184" s="1"/>
      <c r="H184" s="68"/>
      <c r="I184" s="70"/>
      <c r="J184" s="1"/>
      <c r="K184" s="68"/>
      <c r="L184" s="70"/>
      <c r="M184" s="81"/>
      <c r="N184" s="57"/>
      <c r="O184" s="58"/>
      <c r="P184" s="83" t="s">
        <v>5895</v>
      </c>
      <c r="Q184" s="64" t="s">
        <v>1</v>
      </c>
      <c r="R184" s="65">
        <v>1</v>
      </c>
      <c r="S184" s="99"/>
      <c r="T184" s="70"/>
      <c r="U184" s="99"/>
      <c r="V184" s="70"/>
      <c r="W184" s="1"/>
      <c r="X184" s="68"/>
      <c r="Y184" s="76"/>
      <c r="Z184" s="70"/>
      <c r="AA184" s="1"/>
      <c r="AB184" s="68"/>
      <c r="AC184" s="76"/>
      <c r="AD184" s="70"/>
      <c r="AE184" s="228">
        <f>ROUND((ROUND((_15_同援日０．５*_15・２人),0)*(1+_15・区３)),0)+ROUND((ROUND((ROUND((_15_同援日０．５＿１．５*_15・２人),0)*(1+_15・B夜間)),0)*(1+_15・区３)),0)+ROUND((ROUND((ROUND((_15_同援日０．５＿１．５＿０．５*_15・２人),0)*(1+_15・C深夜)),0)*(1+_15・区３)),0)</f>
        <v>786</v>
      </c>
      <c r="AF184" s="69"/>
    </row>
    <row r="185" spans="1:32" ht="16.5" customHeight="1" x14ac:dyDescent="0.3">
      <c r="A185" s="2">
        <v>15</v>
      </c>
      <c r="B185" s="2" t="s">
        <v>1660</v>
      </c>
      <c r="C185" s="60" t="s">
        <v>12224</v>
      </c>
      <c r="D185" s="1"/>
      <c r="E185" s="68"/>
      <c r="F185" s="70"/>
      <c r="G185" s="1"/>
      <c r="H185" s="68"/>
      <c r="I185" s="70"/>
      <c r="J185" s="1"/>
      <c r="K185" s="68"/>
      <c r="L185" s="70"/>
      <c r="M185" s="74" t="s">
        <v>17972</v>
      </c>
      <c r="N185" s="62"/>
      <c r="O185" s="63"/>
      <c r="P185" s="83"/>
      <c r="Q185" s="64"/>
      <c r="R185" s="65"/>
      <c r="S185" s="99"/>
      <c r="T185" s="70"/>
      <c r="U185" s="99"/>
      <c r="V185" s="70"/>
      <c r="W185" s="1"/>
      <c r="X185" s="68"/>
      <c r="Y185" s="76"/>
      <c r="Z185" s="70"/>
      <c r="AA185" s="1" t="s">
        <v>17997</v>
      </c>
      <c r="AB185" s="68"/>
      <c r="AC185" s="76"/>
      <c r="AD185" s="70"/>
      <c r="AE185" s="228">
        <f>ROUND((ROUND((_15_同援日０．５*_15・基礎２),0)*(1+_15・区３)),0)+ROUND((ROUND((ROUND((_15_同援日０．５＿１．５*_15・基礎２),0)*(1+_15・B夜間)),0)*(1+_15・区３)),0)+ROUND((ROUND((ROUND((_15_同援日０．５＿１．５＿０．５*_15・基礎２),0)*(1+_15・C深夜)),0)*(1+_15・区３)),0)</f>
        <v>709</v>
      </c>
      <c r="AF185" s="69"/>
    </row>
    <row r="186" spans="1:32" ht="16.5" customHeight="1" x14ac:dyDescent="0.3">
      <c r="A186" s="2">
        <v>15</v>
      </c>
      <c r="B186" s="2" t="s">
        <v>1661</v>
      </c>
      <c r="C186" s="60" t="s">
        <v>12223</v>
      </c>
      <c r="D186" s="1"/>
      <c r="E186" s="68"/>
      <c r="F186" s="70"/>
      <c r="G186" s="1"/>
      <c r="H186" s="68"/>
      <c r="I186" s="70"/>
      <c r="J186" s="1"/>
      <c r="K186" s="68"/>
      <c r="L186" s="70"/>
      <c r="M186" s="81" t="s">
        <v>17864</v>
      </c>
      <c r="N186" s="57" t="s">
        <v>1</v>
      </c>
      <c r="O186" s="58">
        <v>0.9</v>
      </c>
      <c r="P186" s="83" t="s">
        <v>5895</v>
      </c>
      <c r="Q186" s="64" t="s">
        <v>1</v>
      </c>
      <c r="R186" s="65">
        <v>1</v>
      </c>
      <c r="S186" s="99"/>
      <c r="T186" s="70"/>
      <c r="U186" s="99"/>
      <c r="V186" s="70"/>
      <c r="W186" s="81"/>
      <c r="X186" s="57"/>
      <c r="Y186" s="58"/>
      <c r="Z186" s="77"/>
      <c r="AA186" s="1" t="s">
        <v>17980</v>
      </c>
      <c r="AB186" s="68"/>
      <c r="AC186" s="76"/>
      <c r="AD186" s="70"/>
      <c r="AE186" s="228">
        <f>ROUND((ROUND((ROUND((_15_同援日０．５*_15・基礎２),0)*_15・２人),0)*(1+_15・区３)),0)+ROUND((ROUND((ROUND((ROUND((_15_同援日０．５＿１．５*_15・基礎２),0)*_15・２人),0)*(1+_15・B夜間)),0)*(1+_15・区３)),0)+ROUND((ROUND((ROUND((ROUND((_15_同援日０．５＿１．５＿０．５*_15・基礎２),0)*_15・２人),0)*(1+_15・C深夜)),0)*(1+_15・区３)),0)</f>
        <v>709</v>
      </c>
      <c r="AF186" s="69"/>
    </row>
    <row r="187" spans="1:32" ht="16.5" customHeight="1" x14ac:dyDescent="0.3">
      <c r="A187" s="2">
        <v>15</v>
      </c>
      <c r="B187" s="2" t="s">
        <v>1662</v>
      </c>
      <c r="C187" s="60" t="s">
        <v>12222</v>
      </c>
      <c r="D187" s="1"/>
      <c r="E187" s="68"/>
      <c r="F187" s="70"/>
      <c r="G187" s="1"/>
      <c r="H187" s="68"/>
      <c r="I187" s="70"/>
      <c r="J187" s="1"/>
      <c r="K187" s="68"/>
      <c r="L187" s="70"/>
      <c r="M187" s="74"/>
      <c r="N187" s="62"/>
      <c r="O187" s="63"/>
      <c r="P187" s="83"/>
      <c r="Q187" s="64"/>
      <c r="R187" s="65"/>
      <c r="S187" s="99"/>
      <c r="T187" s="70"/>
      <c r="U187" s="99"/>
      <c r="V187" s="70"/>
      <c r="W187" s="74" t="s">
        <v>17987</v>
      </c>
      <c r="X187" s="62"/>
      <c r="Y187" s="63"/>
      <c r="Z187" s="75"/>
      <c r="AA187" s="1"/>
      <c r="AB187" s="68" t="s">
        <v>1</v>
      </c>
      <c r="AC187" s="76">
        <v>0.2</v>
      </c>
      <c r="AD187" s="70" t="s">
        <v>422</v>
      </c>
      <c r="AE187" s="228">
        <f>ROUND((ROUND((_15_同援日０．５*(1+_15・盲ろう)),0)*(1+_15・区３)),0)+ROUND((ROUND((ROUND((_15_同援日０．５＿１．５*(1+_15・B夜間)),0)*(1+_15・盲ろう)),0)*(1+_15・区３)),0)+ROUND((ROUND((ROUND((_15_同援日０．５＿１．５＿０．５*(1+_15・C深夜)),0)*(1+_15・盲ろう)),0)*(1+_15・区３)),0)</f>
        <v>983</v>
      </c>
      <c r="AF187" s="69"/>
    </row>
    <row r="188" spans="1:32" ht="16.5" customHeight="1" x14ac:dyDescent="0.3">
      <c r="A188" s="2">
        <v>15</v>
      </c>
      <c r="B188" s="2" t="s">
        <v>1663</v>
      </c>
      <c r="C188" s="60" t="s">
        <v>12221</v>
      </c>
      <c r="D188" s="1"/>
      <c r="E188" s="68"/>
      <c r="F188" s="70"/>
      <c r="G188" s="1"/>
      <c r="H188" s="68"/>
      <c r="I188" s="70"/>
      <c r="J188" s="1"/>
      <c r="K188" s="68"/>
      <c r="L188" s="70"/>
      <c r="M188" s="81"/>
      <c r="N188" s="57"/>
      <c r="O188" s="58"/>
      <c r="P188" s="83" t="s">
        <v>5895</v>
      </c>
      <c r="Q188" s="64" t="s">
        <v>1</v>
      </c>
      <c r="R188" s="65">
        <v>1</v>
      </c>
      <c r="S188" s="99"/>
      <c r="T188" s="70"/>
      <c r="U188" s="99"/>
      <c r="V188" s="70"/>
      <c r="W188" s="1" t="s">
        <v>17973</v>
      </c>
      <c r="X188" s="68"/>
      <c r="Y188" s="76"/>
      <c r="Z188" s="70"/>
      <c r="AA188" s="1"/>
      <c r="AB188" s="68"/>
      <c r="AC188" s="76"/>
      <c r="AD188" s="70"/>
      <c r="AE188" s="228">
        <f>ROUND((ROUND((ROUND((_15_同援日０．５*_15・２人),0)*(1+_15・盲ろう)),0)*(1+_15・区３)),0)+ROUND((ROUND((ROUND((ROUND((_15_同援日０．５＿１．５*_15・２人),0)*(1+_15・B夜間)),0)*(1+_15・盲ろう)),0)*(1+_15・区３)),0)+ROUND((ROUND((ROUND((ROUND((_15_同援日０．５＿１．５＿０．５*_15・２人),0)*(1+_15・C深夜)),0)*(1+_15・盲ろう)),0)*(1+_15・区３)),0)</f>
        <v>983</v>
      </c>
      <c r="AF188" s="69"/>
    </row>
    <row r="189" spans="1:32" ht="16.5" customHeight="1" x14ac:dyDescent="0.3">
      <c r="A189" s="2">
        <v>15</v>
      </c>
      <c r="B189" s="2" t="s">
        <v>1664</v>
      </c>
      <c r="C189" s="60" t="s">
        <v>12220</v>
      </c>
      <c r="D189" s="1"/>
      <c r="E189" s="68"/>
      <c r="F189" s="70"/>
      <c r="G189" s="1"/>
      <c r="H189" s="68"/>
      <c r="I189" s="70"/>
      <c r="J189" s="1"/>
      <c r="K189" s="68"/>
      <c r="L189" s="70"/>
      <c r="M189" s="74" t="s">
        <v>17972</v>
      </c>
      <c r="N189" s="62"/>
      <c r="O189" s="63"/>
      <c r="P189" s="83"/>
      <c r="Q189" s="64"/>
      <c r="R189" s="65"/>
      <c r="S189" s="99"/>
      <c r="T189" s="70"/>
      <c r="U189" s="99"/>
      <c r="V189" s="70"/>
      <c r="W189" s="1"/>
      <c r="X189" s="68" t="s">
        <v>1</v>
      </c>
      <c r="Y189" s="76">
        <v>0.25</v>
      </c>
      <c r="Z189" s="70" t="s">
        <v>422</v>
      </c>
      <c r="AA189" s="1"/>
      <c r="AB189" s="68"/>
      <c r="AC189" s="76"/>
      <c r="AD189" s="70"/>
      <c r="AE189" s="228">
        <f>ROUND((ROUND((ROUND((_15_同援日０．５*_15・基礎２),0)*(1+_15・盲ろう)),0)*(1+_15・区３)),0)+ROUND((ROUND((ROUND((ROUND((_15_同援日０．５＿１．５*_15・基礎２),0)*(1+_15・B夜間)),0)*(1+_15・盲ろう)),0)*(1+_15・区３)),0)+ROUND((ROUND((ROUND((ROUND((_15_同援日０．５＿１．５＿０．５*_15・基礎２),0)*(1+_15・C深夜)),0)*(1+_15・盲ろう)),0)*(1+_15・区３)),0)</f>
        <v>889</v>
      </c>
      <c r="AF189" s="69"/>
    </row>
    <row r="190" spans="1:32" ht="16.5" customHeight="1" x14ac:dyDescent="0.3">
      <c r="A190" s="2">
        <v>15</v>
      </c>
      <c r="B190" s="2" t="s">
        <v>1665</v>
      </c>
      <c r="C190" s="60" t="s">
        <v>12219</v>
      </c>
      <c r="D190" s="1"/>
      <c r="E190" s="68"/>
      <c r="F190" s="70"/>
      <c r="G190" s="1"/>
      <c r="H190" s="68"/>
      <c r="I190" s="70"/>
      <c r="J190" s="1"/>
      <c r="K190" s="68"/>
      <c r="L190" s="70"/>
      <c r="M190" s="81" t="s">
        <v>17864</v>
      </c>
      <c r="N190" s="57" t="s">
        <v>1</v>
      </c>
      <c r="O190" s="58">
        <v>0.9</v>
      </c>
      <c r="P190" s="83" t="s">
        <v>5895</v>
      </c>
      <c r="Q190" s="64" t="s">
        <v>1</v>
      </c>
      <c r="R190" s="65">
        <v>1</v>
      </c>
      <c r="S190" s="99"/>
      <c r="T190" s="70"/>
      <c r="U190" s="99"/>
      <c r="V190" s="70"/>
      <c r="W190" s="81"/>
      <c r="X190" s="57"/>
      <c r="Y190" s="58"/>
      <c r="Z190" s="77"/>
      <c r="AA190" s="81"/>
      <c r="AB190" s="57"/>
      <c r="AC190" s="58"/>
      <c r="AD190" s="77"/>
      <c r="AE190" s="228">
        <f>ROUND((ROUND((ROUND((ROUND((_15_同援日０．５*_15・基礎２),0)*_15・２人),0)*(1+_15・盲ろう)),0)*(1+_15・区３)),0)+ROUND((ROUND((ROUND((ROUND((ROUND((_15_同援日０．５＿１．５*_15・基礎２),0)*_15・２人),0)*(1+_15・B夜間)),0)*(1+_15・盲ろう)),0)*(1+_15・区３)),0)+ROUND((ROUND((ROUND((ROUND((ROUND((_15_同援日０．５＿１．５＿０．５*_15・基礎２),0)*_15・２人),0)*(1+_15・C深夜)),0)*(1+_15・盲ろう)),0)*(1+_15・区３)),0)</f>
        <v>889</v>
      </c>
      <c r="AF190" s="69"/>
    </row>
    <row r="191" spans="1:32" ht="16.5" customHeight="1" x14ac:dyDescent="0.3">
      <c r="A191" s="2">
        <v>15</v>
      </c>
      <c r="B191" s="2" t="s">
        <v>1666</v>
      </c>
      <c r="C191" s="60" t="s">
        <v>12218</v>
      </c>
      <c r="D191" s="1"/>
      <c r="E191" s="68"/>
      <c r="F191" s="70"/>
      <c r="G191" s="1"/>
      <c r="H191" s="68"/>
      <c r="I191" s="70"/>
      <c r="J191" s="1"/>
      <c r="K191" s="68"/>
      <c r="L191" s="70"/>
      <c r="M191" s="74"/>
      <c r="N191" s="62"/>
      <c r="O191" s="63"/>
      <c r="P191" s="83"/>
      <c r="Q191" s="64"/>
      <c r="R191" s="65"/>
      <c r="S191" s="99"/>
      <c r="T191" s="70"/>
      <c r="U191" s="99"/>
      <c r="V191" s="70"/>
      <c r="W191" s="74"/>
      <c r="X191" s="62"/>
      <c r="Y191" s="63"/>
      <c r="Z191" s="75"/>
      <c r="AA191" s="74"/>
      <c r="AB191" s="62"/>
      <c r="AC191" s="63"/>
      <c r="AD191" s="75"/>
      <c r="AE191" s="228">
        <f>ROUND((_15_同援日０．５*(1+_15・区４)),0)+ROUND((ROUND((_15_同援日０．５＿１．５*(1+_15・B夜間)),0)*(1+_15・区４)),0)+ROUND((ROUND((_15_同援日０．５＿１．５＿０．５*(1+_15・C深夜)),0)*(1+_15・区４)),0)</f>
        <v>917</v>
      </c>
      <c r="AF191" s="69"/>
    </row>
    <row r="192" spans="1:32" ht="16.5" customHeight="1" x14ac:dyDescent="0.3">
      <c r="A192" s="2">
        <v>15</v>
      </c>
      <c r="B192" s="2" t="s">
        <v>1667</v>
      </c>
      <c r="C192" s="60" t="s">
        <v>12217</v>
      </c>
      <c r="D192" s="1"/>
      <c r="E192" s="68"/>
      <c r="F192" s="70"/>
      <c r="G192" s="1"/>
      <c r="H192" s="68"/>
      <c r="I192" s="70"/>
      <c r="J192" s="1"/>
      <c r="K192" s="68"/>
      <c r="L192" s="70"/>
      <c r="M192" s="81"/>
      <c r="N192" s="57"/>
      <c r="O192" s="58"/>
      <c r="P192" s="83" t="s">
        <v>5895</v>
      </c>
      <c r="Q192" s="64" t="s">
        <v>1</v>
      </c>
      <c r="R192" s="65">
        <v>1</v>
      </c>
      <c r="S192" s="99"/>
      <c r="T192" s="70"/>
      <c r="U192" s="99"/>
      <c r="V192" s="70"/>
      <c r="W192" s="1"/>
      <c r="X192" s="68"/>
      <c r="Y192" s="76"/>
      <c r="Z192" s="70"/>
      <c r="AA192" s="1"/>
      <c r="AB192" s="68"/>
      <c r="AC192" s="76"/>
      <c r="AD192" s="70"/>
      <c r="AE192" s="228">
        <f>ROUND((ROUND((_15_同援日０．５*_15・２人),0)*(1+_15・区４)),0)+ROUND((ROUND((ROUND((_15_同援日０．５＿１．５*_15・２人),0)*(1+_15・B夜間)),0)*(1+_15・区４)),0)+ROUND((ROUND((ROUND((_15_同援日０．５＿１．５＿０．５*_15・２人),0)*(1+_15・C深夜)),0)*(1+_15・区４)),0)</f>
        <v>917</v>
      </c>
      <c r="AF192" s="69"/>
    </row>
    <row r="193" spans="1:32" ht="16.5" customHeight="1" x14ac:dyDescent="0.3">
      <c r="A193" s="2">
        <v>15</v>
      </c>
      <c r="B193" s="2" t="s">
        <v>1668</v>
      </c>
      <c r="C193" s="60" t="s">
        <v>12216</v>
      </c>
      <c r="D193" s="1"/>
      <c r="E193" s="68"/>
      <c r="F193" s="70"/>
      <c r="G193" s="1"/>
      <c r="H193" s="68"/>
      <c r="I193" s="70"/>
      <c r="J193" s="1"/>
      <c r="K193" s="68"/>
      <c r="L193" s="70"/>
      <c r="M193" s="74" t="s">
        <v>17972</v>
      </c>
      <c r="N193" s="62"/>
      <c r="O193" s="63"/>
      <c r="P193" s="83"/>
      <c r="Q193" s="64"/>
      <c r="R193" s="65"/>
      <c r="S193" s="99"/>
      <c r="T193" s="70"/>
      <c r="U193" s="99"/>
      <c r="V193" s="70"/>
      <c r="W193" s="1"/>
      <c r="X193" s="68"/>
      <c r="Y193" s="76"/>
      <c r="Z193" s="70"/>
      <c r="AA193" s="1" t="s">
        <v>17988</v>
      </c>
      <c r="AB193" s="68"/>
      <c r="AC193" s="76"/>
      <c r="AD193" s="70"/>
      <c r="AE193" s="228">
        <f>ROUND((ROUND((_15_同援日０．５*_15・基礎２),0)*(1+_15・区４)),0)+ROUND((ROUND((ROUND((_15_同援日０．５＿１．５*_15・基礎２),0)*(1+_15・B夜間)),0)*(1+_15・区４)),0)+ROUND((ROUND((ROUND((_15_同援日０．５＿１．５＿０．５*_15・基礎２),0)*(1+_15・C深夜)),0)*(1+_15・区４)),0)</f>
        <v>827</v>
      </c>
      <c r="AF193" s="69"/>
    </row>
    <row r="194" spans="1:32" ht="16.5" customHeight="1" x14ac:dyDescent="0.3">
      <c r="A194" s="2">
        <v>15</v>
      </c>
      <c r="B194" s="2" t="s">
        <v>1669</v>
      </c>
      <c r="C194" s="60" t="s">
        <v>12215</v>
      </c>
      <c r="D194" s="1"/>
      <c r="E194" s="68"/>
      <c r="F194" s="70"/>
      <c r="G194" s="1"/>
      <c r="H194" s="68"/>
      <c r="I194" s="70"/>
      <c r="J194" s="1"/>
      <c r="K194" s="68"/>
      <c r="L194" s="70"/>
      <c r="M194" s="81" t="s">
        <v>17864</v>
      </c>
      <c r="N194" s="57" t="s">
        <v>1</v>
      </c>
      <c r="O194" s="58">
        <v>0.9</v>
      </c>
      <c r="P194" s="83" t="s">
        <v>5895</v>
      </c>
      <c r="Q194" s="64" t="s">
        <v>1</v>
      </c>
      <c r="R194" s="65">
        <v>1</v>
      </c>
      <c r="S194" s="99"/>
      <c r="T194" s="70"/>
      <c r="U194" s="99"/>
      <c r="V194" s="70"/>
      <c r="W194" s="81"/>
      <c r="X194" s="57"/>
      <c r="Y194" s="58"/>
      <c r="Z194" s="77"/>
      <c r="AA194" s="1" t="s">
        <v>17980</v>
      </c>
      <c r="AB194" s="68"/>
      <c r="AC194" s="76"/>
      <c r="AD194" s="70"/>
      <c r="AE194" s="228">
        <f>ROUND((ROUND((ROUND((_15_同援日０．５*_15・基礎２),0)*_15・２人),0)*(1+_15・区４)),0)+ROUND((ROUND((ROUND((ROUND((_15_同援日０．５＿１．５*_15・基礎２),0)*_15・２人),0)*(1+_15・B夜間)),0)*(1+_15・区４)),0)+ROUND((ROUND((ROUND((ROUND((_15_同援日０．５＿１．５＿０．５*_15・基礎２),0)*_15・２人),0)*(1+_15・C深夜)),0)*(1+_15・区４)),0)</f>
        <v>827</v>
      </c>
      <c r="AF194" s="69"/>
    </row>
    <row r="195" spans="1:32" ht="16.5" customHeight="1" x14ac:dyDescent="0.3">
      <c r="A195" s="2">
        <v>15</v>
      </c>
      <c r="B195" s="2" t="s">
        <v>1670</v>
      </c>
      <c r="C195" s="60" t="s">
        <v>12214</v>
      </c>
      <c r="D195" s="1"/>
      <c r="E195" s="68"/>
      <c r="F195" s="70"/>
      <c r="G195" s="1"/>
      <c r="H195" s="68"/>
      <c r="I195" s="70"/>
      <c r="J195" s="1"/>
      <c r="K195" s="68"/>
      <c r="L195" s="70"/>
      <c r="M195" s="74"/>
      <c r="N195" s="62"/>
      <c r="O195" s="63"/>
      <c r="P195" s="83"/>
      <c r="Q195" s="64"/>
      <c r="R195" s="65"/>
      <c r="S195" s="99"/>
      <c r="T195" s="70"/>
      <c r="U195" s="99"/>
      <c r="V195" s="70"/>
      <c r="W195" s="74" t="s">
        <v>17987</v>
      </c>
      <c r="X195" s="62"/>
      <c r="Y195" s="63"/>
      <c r="Z195" s="75"/>
      <c r="AA195" s="1"/>
      <c r="AB195" s="68" t="s">
        <v>1</v>
      </c>
      <c r="AC195" s="76">
        <v>0.4</v>
      </c>
      <c r="AD195" s="70" t="s">
        <v>422</v>
      </c>
      <c r="AE195" s="228">
        <f>ROUND((ROUND((_15_同援日０．５*(1+_15・盲ろう)),0)*(1+_15・区４)),0)+ROUND((ROUND((ROUND((_15_同援日０．５＿１．５*(1+_15・B夜間)),0)*(1+_15・盲ろう)),0)*(1+_15・区４)),0)+ROUND((ROUND((ROUND((_15_同援日０．５＿１．５＿０．５*(1+_15・C深夜)),0)*(1+_15・盲ろう)),0)*(1+_15・区４)),0)</f>
        <v>1147</v>
      </c>
      <c r="AF195" s="69"/>
    </row>
    <row r="196" spans="1:32" ht="16.5" customHeight="1" x14ac:dyDescent="0.3">
      <c r="A196" s="2">
        <v>15</v>
      </c>
      <c r="B196" s="2" t="s">
        <v>1671</v>
      </c>
      <c r="C196" s="60" t="s">
        <v>12213</v>
      </c>
      <c r="D196" s="1"/>
      <c r="E196" s="68"/>
      <c r="F196" s="70"/>
      <c r="G196" s="1"/>
      <c r="H196" s="68"/>
      <c r="I196" s="70"/>
      <c r="J196" s="1"/>
      <c r="K196" s="68"/>
      <c r="L196" s="70"/>
      <c r="M196" s="81"/>
      <c r="N196" s="57"/>
      <c r="O196" s="58"/>
      <c r="P196" s="83" t="s">
        <v>5895</v>
      </c>
      <c r="Q196" s="64" t="s">
        <v>1</v>
      </c>
      <c r="R196" s="65">
        <v>1</v>
      </c>
      <c r="S196" s="99"/>
      <c r="T196" s="70"/>
      <c r="U196" s="99"/>
      <c r="V196" s="70"/>
      <c r="W196" s="1" t="s">
        <v>17973</v>
      </c>
      <c r="X196" s="68"/>
      <c r="Y196" s="76"/>
      <c r="Z196" s="70"/>
      <c r="AA196" s="1"/>
      <c r="AB196" s="68"/>
      <c r="AC196" s="76"/>
      <c r="AD196" s="70"/>
      <c r="AE196" s="228">
        <f>ROUND((ROUND((ROUND((_15_同援日０．５*_15・２人),0)*(1+_15・盲ろう)),0)*(1+_15・区４)),0)+ROUND((ROUND((ROUND((ROUND((_15_同援日０．５＿１．５*_15・２人),0)*(1+_15・B夜間)),0)*(1+_15・盲ろう)),0)*(1+_15・区４)),0)+ROUND((ROUND((ROUND((ROUND((_15_同援日０．５＿１．５＿０．５*_15・２人),0)*(1+_15・C深夜)),0)*(1+_15・盲ろう)),0)*(1+_15・区４)),0)</f>
        <v>1147</v>
      </c>
      <c r="AF196" s="69"/>
    </row>
    <row r="197" spans="1:32" ht="16.5" customHeight="1" x14ac:dyDescent="0.3">
      <c r="A197" s="2">
        <v>15</v>
      </c>
      <c r="B197" s="2" t="s">
        <v>1672</v>
      </c>
      <c r="C197" s="60" t="s">
        <v>12212</v>
      </c>
      <c r="D197" s="1"/>
      <c r="E197" s="68"/>
      <c r="F197" s="70"/>
      <c r="G197" s="1"/>
      <c r="H197" s="68"/>
      <c r="I197" s="70"/>
      <c r="J197" s="1"/>
      <c r="K197" s="68"/>
      <c r="L197" s="70"/>
      <c r="M197" s="74" t="s">
        <v>17972</v>
      </c>
      <c r="N197" s="62"/>
      <c r="O197" s="63"/>
      <c r="P197" s="83"/>
      <c r="Q197" s="64"/>
      <c r="R197" s="65"/>
      <c r="S197" s="99"/>
      <c r="T197" s="70"/>
      <c r="U197" s="99"/>
      <c r="V197" s="70"/>
      <c r="W197" s="1"/>
      <c r="X197" s="68" t="s">
        <v>1</v>
      </c>
      <c r="Y197" s="76">
        <v>0.25</v>
      </c>
      <c r="Z197" s="70" t="s">
        <v>422</v>
      </c>
      <c r="AA197" s="1"/>
      <c r="AB197" s="68"/>
      <c r="AC197" s="76"/>
      <c r="AD197" s="70"/>
      <c r="AE197" s="228">
        <f>ROUND((ROUND((ROUND((_15_同援日０．５*_15・基礎２),0)*(1+_15・盲ろう)),0)*(1+_15・区４)),0)+ROUND((ROUND((ROUND((ROUND((_15_同援日０．５＿１．５*_15・基礎２),0)*(1+_15・B夜間)),0)*(1+_15・盲ろう)),0)*(1+_15・区４)),0)+ROUND((ROUND((ROUND((ROUND((_15_同援日０．５＿１．５＿０．５*_15・基礎２),0)*(1+_15・C深夜)),0)*(1+_15・盲ろう)),0)*(1+_15・区４)),0)</f>
        <v>1036</v>
      </c>
      <c r="AF197" s="69"/>
    </row>
    <row r="198" spans="1:32" ht="16.5" customHeight="1" x14ac:dyDescent="0.3">
      <c r="A198" s="2">
        <v>15</v>
      </c>
      <c r="B198" s="2" t="s">
        <v>1673</v>
      </c>
      <c r="C198" s="60" t="s">
        <v>12211</v>
      </c>
      <c r="D198" s="1"/>
      <c r="E198" s="68"/>
      <c r="F198" s="70"/>
      <c r="G198" s="1"/>
      <c r="H198" s="68"/>
      <c r="I198" s="70"/>
      <c r="J198" s="81"/>
      <c r="K198" s="57"/>
      <c r="L198" s="77"/>
      <c r="M198" s="81" t="s">
        <v>17864</v>
      </c>
      <c r="N198" s="57" t="s">
        <v>1</v>
      </c>
      <c r="O198" s="58">
        <v>0.9</v>
      </c>
      <c r="P198" s="83" t="s">
        <v>5895</v>
      </c>
      <c r="Q198" s="64" t="s">
        <v>1</v>
      </c>
      <c r="R198" s="65">
        <v>1</v>
      </c>
      <c r="S198" s="99"/>
      <c r="T198" s="70"/>
      <c r="U198" s="99"/>
      <c r="V198" s="70"/>
      <c r="W198" s="81"/>
      <c r="X198" s="57"/>
      <c r="Y198" s="58"/>
      <c r="Z198" s="77"/>
      <c r="AA198" s="81"/>
      <c r="AB198" s="57"/>
      <c r="AC198" s="58"/>
      <c r="AD198" s="77"/>
      <c r="AE198" s="228">
        <f>ROUND((ROUND((ROUND((ROUND((_15_同援日０．５*_15・基礎２),0)*_15・２人),0)*(1+_15・盲ろう)),0)*(1+_15・区４)),0)+ROUND((ROUND((ROUND((ROUND((ROUND((_15_同援日０．５＿１．５*_15・基礎２),0)*_15・２人),0)*(1+_15・B夜間)),0)*(1+_15・盲ろう)),0)*(1+_15・区４)),0)+ROUND((ROUND((ROUND((ROUND((ROUND((_15_同援日０．５＿１．５＿０．５*_15・基礎２),0)*_15・２人),0)*(1+_15・C深夜)),0)*(1+_15・盲ろう)),0)*(1+_15・区４)),0)</f>
        <v>1036</v>
      </c>
      <c r="AF198" s="69"/>
    </row>
    <row r="199" spans="1:32" ht="16.5" customHeight="1" x14ac:dyDescent="0.3">
      <c r="A199" s="2">
        <v>15</v>
      </c>
      <c r="B199" s="2" t="s">
        <v>1674</v>
      </c>
      <c r="C199" s="60" t="s">
        <v>12210</v>
      </c>
      <c r="D199" s="1"/>
      <c r="E199" s="68"/>
      <c r="F199" s="70"/>
      <c r="G199" s="1"/>
      <c r="H199" s="68"/>
      <c r="I199" s="70"/>
      <c r="J199" s="74" t="s">
        <v>17866</v>
      </c>
      <c r="K199" s="62"/>
      <c r="L199" s="75"/>
      <c r="M199" s="74"/>
      <c r="N199" s="62"/>
      <c r="O199" s="63"/>
      <c r="P199" s="83"/>
      <c r="Q199" s="64"/>
      <c r="R199" s="65"/>
      <c r="S199" s="99"/>
      <c r="T199" s="70"/>
      <c r="U199" s="99"/>
      <c r="V199" s="70"/>
      <c r="W199" s="74"/>
      <c r="X199" s="62"/>
      <c r="Y199" s="63"/>
      <c r="Z199" s="75"/>
      <c r="AA199" s="74"/>
      <c r="AB199" s="62"/>
      <c r="AC199" s="63"/>
      <c r="AD199" s="75"/>
      <c r="AE199" s="228">
        <f>_15_同援日０．５+ROUND((_15_同援日０．５＿１．５*(1+_15・B夜間)),0)+ROUND((_15_同援日０．５＿１．５＿１．０*(1+_15・C深夜)),0)</f>
        <v>749</v>
      </c>
      <c r="AF199" s="69"/>
    </row>
    <row r="200" spans="1:32" ht="16.5" customHeight="1" x14ac:dyDescent="0.3">
      <c r="A200" s="2">
        <v>15</v>
      </c>
      <c r="B200" s="2" t="s">
        <v>1675</v>
      </c>
      <c r="C200" s="60" t="s">
        <v>12209</v>
      </c>
      <c r="D200" s="1"/>
      <c r="E200" s="68"/>
      <c r="F200" s="70"/>
      <c r="G200" s="1"/>
      <c r="H200" s="68"/>
      <c r="I200" s="70"/>
      <c r="J200" s="1" t="s">
        <v>18155</v>
      </c>
      <c r="K200" s="68"/>
      <c r="L200" s="70"/>
      <c r="M200" s="81"/>
      <c r="N200" s="57"/>
      <c r="O200" s="58"/>
      <c r="P200" s="83" t="s">
        <v>5895</v>
      </c>
      <c r="Q200" s="64" t="s">
        <v>1</v>
      </c>
      <c r="R200" s="65">
        <v>1</v>
      </c>
      <c r="S200" s="99"/>
      <c r="T200" s="70"/>
      <c r="U200" s="99"/>
      <c r="V200" s="70"/>
      <c r="W200" s="1"/>
      <c r="X200" s="68"/>
      <c r="Y200" s="76"/>
      <c r="Z200" s="70"/>
      <c r="AA200" s="1"/>
      <c r="AB200" s="68"/>
      <c r="AC200" s="76"/>
      <c r="AD200" s="70"/>
      <c r="AE200" s="228">
        <f>ROUND((_15_同援日０．５*_15・２人),0)+ROUND((ROUND((_15_同援日０．５＿１．５*_15・２人),0)*(1+_15・B夜間)),0)+ROUND((ROUND((_15_同援日０．５＿１．５＿１．０*_15・２人),0)*(1+_15・C深夜)),0)</f>
        <v>749</v>
      </c>
      <c r="AF200" s="69"/>
    </row>
    <row r="201" spans="1:32" ht="16.5" customHeight="1" x14ac:dyDescent="0.3">
      <c r="A201" s="2">
        <v>15</v>
      </c>
      <c r="B201" s="2" t="s">
        <v>1676</v>
      </c>
      <c r="C201" s="60" t="s">
        <v>12208</v>
      </c>
      <c r="D201" s="1"/>
      <c r="E201" s="68"/>
      <c r="F201" s="70"/>
      <c r="G201" s="1"/>
      <c r="H201" s="68"/>
      <c r="I201" s="70"/>
      <c r="J201" s="1" t="s">
        <v>8572</v>
      </c>
      <c r="K201" s="68"/>
      <c r="L201" s="70"/>
      <c r="M201" s="74" t="s">
        <v>17972</v>
      </c>
      <c r="N201" s="62"/>
      <c r="O201" s="63"/>
      <c r="P201" s="83"/>
      <c r="Q201" s="64"/>
      <c r="R201" s="65"/>
      <c r="S201" s="99"/>
      <c r="T201" s="70"/>
      <c r="U201" s="99"/>
      <c r="V201" s="70"/>
      <c r="W201" s="1"/>
      <c r="X201" s="68"/>
      <c r="Y201" s="76"/>
      <c r="Z201" s="70"/>
      <c r="AA201" s="1"/>
      <c r="AB201" s="68"/>
      <c r="AC201" s="76"/>
      <c r="AD201" s="70"/>
      <c r="AE201" s="120">
        <f>ROUND((_15_同援日０．５*_15・基礎２),0)+ROUND((ROUND((_15_同援日０．５＿１．５*_15・基礎２),0)*(1+_15・B夜間)),0)+ROUND((ROUND((_15_同援日０．５＿１．５＿１．０*_15・基礎２),0)*(1+_15・C深夜)),0)</f>
        <v>675</v>
      </c>
      <c r="AF201" s="69"/>
    </row>
    <row r="202" spans="1:32" ht="16.5" customHeight="1" x14ac:dyDescent="0.3">
      <c r="A202" s="2">
        <v>15</v>
      </c>
      <c r="B202" s="2" t="s">
        <v>1677</v>
      </c>
      <c r="C202" s="60" t="s">
        <v>12207</v>
      </c>
      <c r="D202" s="1"/>
      <c r="E202" s="68"/>
      <c r="F202" s="70"/>
      <c r="G202" s="1"/>
      <c r="H202" s="68"/>
      <c r="I202" s="70"/>
      <c r="J202" s="1"/>
      <c r="K202" s="227">
        <v>126</v>
      </c>
      <c r="L202" s="70" t="s">
        <v>0</v>
      </c>
      <c r="M202" s="81" t="s">
        <v>17864</v>
      </c>
      <c r="N202" s="57" t="s">
        <v>1</v>
      </c>
      <c r="O202" s="58">
        <v>0.9</v>
      </c>
      <c r="P202" s="83" t="s">
        <v>5895</v>
      </c>
      <c r="Q202" s="64" t="s">
        <v>1</v>
      </c>
      <c r="R202" s="65">
        <v>1</v>
      </c>
      <c r="S202" s="99"/>
      <c r="T202" s="70"/>
      <c r="U202" s="99"/>
      <c r="V202" s="70"/>
      <c r="W202" s="81"/>
      <c r="X202" s="57"/>
      <c r="Y202" s="58"/>
      <c r="Z202" s="77"/>
      <c r="AA202" s="1"/>
      <c r="AB202" s="68"/>
      <c r="AC202" s="76"/>
      <c r="AD202" s="70"/>
      <c r="AE202" s="120">
        <f>ROUND((ROUND((_15_同援日０．５*_15・基礎２),0)*_15・２人),0)+ROUND((ROUND((ROUND((_15_同援日０．５＿１．５*_15・基礎２),0)*_15・２人),0)*(1+_15・B夜間)),0)+ROUND((ROUND((ROUND((_15_同援日０．５＿１．５＿１．０*_15・基礎２),0)*_15・２人),0)*(1+_15・C深夜)),0)</f>
        <v>675</v>
      </c>
      <c r="AF202" s="69"/>
    </row>
    <row r="203" spans="1:32" ht="16.5" customHeight="1" x14ac:dyDescent="0.3">
      <c r="A203" s="2">
        <v>15</v>
      </c>
      <c r="B203" s="2" t="s">
        <v>1678</v>
      </c>
      <c r="C203" s="60" t="s">
        <v>12206</v>
      </c>
      <c r="D203" s="1"/>
      <c r="E203" s="68"/>
      <c r="F203" s="70"/>
      <c r="G203" s="1"/>
      <c r="H203" s="68"/>
      <c r="I203" s="70"/>
      <c r="J203" s="1"/>
      <c r="K203" s="68"/>
      <c r="L203" s="70"/>
      <c r="M203" s="74"/>
      <c r="N203" s="62"/>
      <c r="O203" s="63"/>
      <c r="P203" s="83"/>
      <c r="Q203" s="64"/>
      <c r="R203" s="65"/>
      <c r="S203" s="99"/>
      <c r="T203" s="70"/>
      <c r="U203" s="99"/>
      <c r="V203" s="70"/>
      <c r="W203" s="74" t="s">
        <v>17987</v>
      </c>
      <c r="X203" s="62"/>
      <c r="Y203" s="63"/>
      <c r="Z203" s="75"/>
      <c r="AA203" s="1"/>
      <c r="AB203" s="68"/>
      <c r="AC203" s="76"/>
      <c r="AD203" s="70"/>
      <c r="AE203" s="228">
        <f>ROUND((_15_同援日０．５*(1+_15・盲ろう)),0)+ROUND((ROUND((_15_同援日０．５＿１．５*(1+_15・B夜間)),0)*(1+_15・盲ろう)),0)+ROUND((ROUND((_15_同援日０．５＿１．５＿１．０*(1+_15・C深夜)),0)*(1+_15・盲ろう)),0)</f>
        <v>936</v>
      </c>
      <c r="AF203" s="69"/>
    </row>
    <row r="204" spans="1:32" ht="16.5" customHeight="1" x14ac:dyDescent="0.3">
      <c r="A204" s="2">
        <v>15</v>
      </c>
      <c r="B204" s="2" t="s">
        <v>1679</v>
      </c>
      <c r="C204" s="60" t="s">
        <v>12205</v>
      </c>
      <c r="D204" s="1"/>
      <c r="E204" s="68"/>
      <c r="F204" s="70"/>
      <c r="G204" s="1"/>
      <c r="H204" s="68"/>
      <c r="I204" s="70"/>
      <c r="J204" s="1"/>
      <c r="K204" s="68"/>
      <c r="L204" s="70"/>
      <c r="M204" s="81"/>
      <c r="N204" s="57"/>
      <c r="O204" s="58"/>
      <c r="P204" s="83" t="s">
        <v>5895</v>
      </c>
      <c r="Q204" s="64" t="s">
        <v>1</v>
      </c>
      <c r="R204" s="65">
        <v>1</v>
      </c>
      <c r="S204" s="99"/>
      <c r="T204" s="70"/>
      <c r="U204" s="99"/>
      <c r="V204" s="70"/>
      <c r="W204" s="1" t="s">
        <v>17973</v>
      </c>
      <c r="X204" s="68"/>
      <c r="Y204" s="76"/>
      <c r="Z204" s="70"/>
      <c r="AA204" s="1"/>
      <c r="AB204" s="68"/>
      <c r="AC204" s="76"/>
      <c r="AD204" s="70"/>
      <c r="AE204" s="228">
        <f>ROUND((ROUND((_15_同援日０．５*_15・２人),0)*(1+_15・盲ろう)),0)+ROUND((ROUND((ROUND((_15_同援日０．５＿１．５*_15・２人),0)*(1+_15・B夜間)),0)*(1+_15・盲ろう)),0)+ROUND((ROUND((ROUND((_15_同援日０．５＿１．５＿１．０*_15・２人),0)*(1+_15・C深夜)),0)*(1+_15・盲ろう)),0)</f>
        <v>936</v>
      </c>
      <c r="AF204" s="69"/>
    </row>
    <row r="205" spans="1:32" ht="16.5" customHeight="1" x14ac:dyDescent="0.3">
      <c r="A205" s="2">
        <v>15</v>
      </c>
      <c r="B205" s="2" t="s">
        <v>1680</v>
      </c>
      <c r="C205" s="60" t="s">
        <v>12204</v>
      </c>
      <c r="D205" s="1"/>
      <c r="E205" s="68"/>
      <c r="F205" s="70"/>
      <c r="G205" s="1"/>
      <c r="H205" s="68"/>
      <c r="I205" s="70"/>
      <c r="J205" s="1"/>
      <c r="K205" s="68"/>
      <c r="L205" s="70"/>
      <c r="M205" s="74" t="s">
        <v>17972</v>
      </c>
      <c r="N205" s="62"/>
      <c r="O205" s="63"/>
      <c r="P205" s="83"/>
      <c r="Q205" s="64"/>
      <c r="R205" s="65"/>
      <c r="S205" s="99"/>
      <c r="T205" s="70"/>
      <c r="U205" s="99"/>
      <c r="V205" s="70"/>
      <c r="W205" s="1"/>
      <c r="X205" s="68" t="s">
        <v>1</v>
      </c>
      <c r="Y205" s="76">
        <v>0.25</v>
      </c>
      <c r="Z205" s="70" t="s">
        <v>422</v>
      </c>
      <c r="AA205" s="1"/>
      <c r="AB205" s="68"/>
      <c r="AC205" s="76"/>
      <c r="AD205" s="70"/>
      <c r="AE205" s="120">
        <f>ROUND((ROUND((_15_同援日０．５*_15・基礎２),0)*(1+_15・盲ろう)),0)+ROUND((ROUND((ROUND((_15_同援日０．５＿１．５*_15・基礎２),0)*(1+_15・B夜間)),0)*(1+_15・盲ろう)),0)+ROUND((ROUND((ROUND((_15_同援日０．５＿１．５＿１．０*_15・基礎２),0)*(1+_15・C深夜)),0)*(1+_15・盲ろう)),0)</f>
        <v>845</v>
      </c>
      <c r="AF205" s="69"/>
    </row>
    <row r="206" spans="1:32" ht="16.5" customHeight="1" x14ac:dyDescent="0.3">
      <c r="A206" s="2">
        <v>15</v>
      </c>
      <c r="B206" s="2" t="s">
        <v>1681</v>
      </c>
      <c r="C206" s="60" t="s">
        <v>12203</v>
      </c>
      <c r="D206" s="1"/>
      <c r="E206" s="68"/>
      <c r="F206" s="70"/>
      <c r="G206" s="1"/>
      <c r="H206" s="68"/>
      <c r="I206" s="70"/>
      <c r="J206" s="1"/>
      <c r="K206" s="68"/>
      <c r="L206" s="70"/>
      <c r="M206" s="81" t="s">
        <v>17864</v>
      </c>
      <c r="N206" s="57" t="s">
        <v>1</v>
      </c>
      <c r="O206" s="58">
        <v>0.9</v>
      </c>
      <c r="P206" s="83" t="s">
        <v>5895</v>
      </c>
      <c r="Q206" s="64" t="s">
        <v>1</v>
      </c>
      <c r="R206" s="65">
        <v>1</v>
      </c>
      <c r="S206" s="99"/>
      <c r="T206" s="70"/>
      <c r="U206" s="99"/>
      <c r="V206" s="70"/>
      <c r="W206" s="81"/>
      <c r="X206" s="57"/>
      <c r="Y206" s="58"/>
      <c r="Z206" s="77"/>
      <c r="AA206" s="81"/>
      <c r="AB206" s="57"/>
      <c r="AC206" s="58"/>
      <c r="AD206" s="77"/>
      <c r="AE206" s="120">
        <f>ROUND((ROUND((ROUND((_15_同援日０．５*_15・基礎２),0)*_15・２人),0)*(1+_15・盲ろう)),0)+ROUND((ROUND((ROUND((ROUND((_15_同援日０．５＿１．５*_15・基礎２),0)*_15・２人),0)*(1+_15・B夜間)),0)*(1+_15・盲ろう)),0)+ROUND((ROUND((ROUND((ROUND((_15_同援日０．５＿１．５＿１．０*_15・基礎２),0)*_15・２人),0)*(1+_15・C深夜)),0)*(1+_15・盲ろう)),0)</f>
        <v>845</v>
      </c>
      <c r="AF206" s="69"/>
    </row>
    <row r="207" spans="1:32" ht="16.5" customHeight="1" x14ac:dyDescent="0.3">
      <c r="A207" s="2">
        <v>15</v>
      </c>
      <c r="B207" s="2" t="s">
        <v>1682</v>
      </c>
      <c r="C207" s="60" t="s">
        <v>12202</v>
      </c>
      <c r="D207" s="1"/>
      <c r="E207" s="68"/>
      <c r="F207" s="70"/>
      <c r="G207" s="1"/>
      <c r="H207" s="68"/>
      <c r="I207" s="70"/>
      <c r="J207" s="1"/>
      <c r="K207" s="68"/>
      <c r="L207" s="70"/>
      <c r="M207" s="74"/>
      <c r="N207" s="62"/>
      <c r="O207" s="63"/>
      <c r="P207" s="83"/>
      <c r="Q207" s="64"/>
      <c r="R207" s="65"/>
      <c r="S207" s="99"/>
      <c r="T207" s="70"/>
      <c r="U207" s="99"/>
      <c r="V207" s="70"/>
      <c r="W207" s="74"/>
      <c r="X207" s="62"/>
      <c r="Y207" s="63"/>
      <c r="Z207" s="75"/>
      <c r="AA207" s="74"/>
      <c r="AB207" s="62"/>
      <c r="AC207" s="63"/>
      <c r="AD207" s="75"/>
      <c r="AE207" s="228">
        <f>ROUND((_15_同援日０．５*(1+_15・区３)),0)+ROUND((ROUND((_15_同援日０．５＿１．５*(1+_15・B夜間)),0)*(1+_15・区３)),0)+ROUND((ROUND((_15_同援日０．５＿１．５＿１．０*(1+_15・C深夜)),0)*(1+_15・区３)),0)</f>
        <v>899</v>
      </c>
      <c r="AF207" s="69"/>
    </row>
    <row r="208" spans="1:32" ht="16.5" customHeight="1" x14ac:dyDescent="0.3">
      <c r="A208" s="2">
        <v>15</v>
      </c>
      <c r="B208" s="2" t="s">
        <v>1683</v>
      </c>
      <c r="C208" s="60" t="s">
        <v>12201</v>
      </c>
      <c r="D208" s="1"/>
      <c r="E208" s="68"/>
      <c r="F208" s="70"/>
      <c r="G208" s="1"/>
      <c r="H208" s="68"/>
      <c r="I208" s="70"/>
      <c r="J208" s="1"/>
      <c r="K208" s="68"/>
      <c r="L208" s="70"/>
      <c r="M208" s="81"/>
      <c r="N208" s="57"/>
      <c r="O208" s="58"/>
      <c r="P208" s="83" t="s">
        <v>5895</v>
      </c>
      <c r="Q208" s="64" t="s">
        <v>1</v>
      </c>
      <c r="R208" s="65">
        <v>1</v>
      </c>
      <c r="S208" s="99"/>
      <c r="T208" s="70"/>
      <c r="U208" s="99"/>
      <c r="V208" s="70"/>
      <c r="W208" s="1"/>
      <c r="X208" s="68"/>
      <c r="Y208" s="76"/>
      <c r="Z208" s="70"/>
      <c r="AA208" s="1"/>
      <c r="AB208" s="68"/>
      <c r="AC208" s="76"/>
      <c r="AD208" s="70"/>
      <c r="AE208" s="228">
        <f>ROUND((ROUND((_15_同援日０．５*_15・２人),0)*(1+_15・区３)),0)+ROUND((ROUND((ROUND((_15_同援日０．５＿１．５*_15・２人),0)*(1+_15・B夜間)),0)*(1+_15・区３)),0)+ROUND((ROUND((ROUND((_15_同援日０．５＿１．５＿１．０*_15・２人),0)*(1+_15・C深夜)),0)*(1+_15・区３)),0)</f>
        <v>899</v>
      </c>
      <c r="AF208" s="69"/>
    </row>
    <row r="209" spans="1:32" ht="16.5" customHeight="1" x14ac:dyDescent="0.3">
      <c r="A209" s="2">
        <v>15</v>
      </c>
      <c r="B209" s="2" t="s">
        <v>1684</v>
      </c>
      <c r="C209" s="60" t="s">
        <v>12200</v>
      </c>
      <c r="D209" s="1"/>
      <c r="E209" s="68"/>
      <c r="F209" s="70"/>
      <c r="G209" s="1"/>
      <c r="H209" s="68"/>
      <c r="I209" s="70"/>
      <c r="J209" s="1"/>
      <c r="K209" s="68"/>
      <c r="L209" s="70"/>
      <c r="M209" s="74" t="s">
        <v>17972</v>
      </c>
      <c r="N209" s="62"/>
      <c r="O209" s="63"/>
      <c r="P209" s="83"/>
      <c r="Q209" s="64"/>
      <c r="R209" s="65"/>
      <c r="S209" s="99"/>
      <c r="T209" s="70"/>
      <c r="U209" s="99"/>
      <c r="V209" s="70"/>
      <c r="W209" s="1"/>
      <c r="X209" s="68"/>
      <c r="Y209" s="76"/>
      <c r="Z209" s="70"/>
      <c r="AA209" s="1" t="s">
        <v>17997</v>
      </c>
      <c r="AB209" s="68"/>
      <c r="AC209" s="76"/>
      <c r="AD209" s="70"/>
      <c r="AE209" s="120">
        <f>ROUND((ROUND((_15_同援日０．５*_15・基礎２),0)*(1+_15・区３)),0)+ROUND((ROUND((ROUND((_15_同援日０．５＿１．５*_15・基礎２),0)*(1+_15・B夜間)),0)*(1+_15・区３)),0)+ROUND((ROUND((ROUND((_15_同援日０．５＿１．５＿１．０*_15・基礎２),0)*(1+_15・C深夜)),0)*(1+_15・区３)),0)</f>
        <v>810</v>
      </c>
      <c r="AF209" s="69"/>
    </row>
    <row r="210" spans="1:32" ht="16.5" customHeight="1" x14ac:dyDescent="0.3">
      <c r="A210" s="2">
        <v>15</v>
      </c>
      <c r="B210" s="2" t="s">
        <v>1685</v>
      </c>
      <c r="C210" s="60" t="s">
        <v>12199</v>
      </c>
      <c r="D210" s="1"/>
      <c r="E210" s="68"/>
      <c r="F210" s="70"/>
      <c r="G210" s="1"/>
      <c r="H210" s="68"/>
      <c r="I210" s="70"/>
      <c r="J210" s="1"/>
      <c r="K210" s="68"/>
      <c r="L210" s="70"/>
      <c r="M210" s="81" t="s">
        <v>17864</v>
      </c>
      <c r="N210" s="57" t="s">
        <v>1</v>
      </c>
      <c r="O210" s="58">
        <v>0.9</v>
      </c>
      <c r="P210" s="83" t="s">
        <v>5895</v>
      </c>
      <c r="Q210" s="64" t="s">
        <v>1</v>
      </c>
      <c r="R210" s="65">
        <v>1</v>
      </c>
      <c r="S210" s="99"/>
      <c r="T210" s="70"/>
      <c r="U210" s="99"/>
      <c r="V210" s="70"/>
      <c r="W210" s="81"/>
      <c r="X210" s="57"/>
      <c r="Y210" s="58"/>
      <c r="Z210" s="77"/>
      <c r="AA210" s="1" t="s">
        <v>17980</v>
      </c>
      <c r="AB210" s="68"/>
      <c r="AC210" s="76"/>
      <c r="AD210" s="70"/>
      <c r="AE210" s="120">
        <f>ROUND((ROUND((ROUND((_15_同援日０．５*_15・基礎２),0)*_15・２人),0)*(1+_15・区３)),0)+ROUND((ROUND((ROUND((ROUND((_15_同援日０．５＿１．５*_15・基礎２),0)*_15・２人),0)*(1+_15・B夜間)),0)*(1+_15・区３)),0)+ROUND((ROUND((ROUND((ROUND((_15_同援日０．５＿１．５＿１．０*_15・基礎２),0)*_15・２人),0)*(1+_15・C深夜)),0)*(1+_15・区３)),0)</f>
        <v>810</v>
      </c>
      <c r="AF210" s="69"/>
    </row>
    <row r="211" spans="1:32" ht="16.5" customHeight="1" x14ac:dyDescent="0.3">
      <c r="A211" s="2">
        <v>15</v>
      </c>
      <c r="B211" s="2" t="s">
        <v>1686</v>
      </c>
      <c r="C211" s="60" t="s">
        <v>12198</v>
      </c>
      <c r="D211" s="1"/>
      <c r="E211" s="68"/>
      <c r="F211" s="70"/>
      <c r="G211" s="1"/>
      <c r="H211" s="68"/>
      <c r="I211" s="70"/>
      <c r="J211" s="1"/>
      <c r="K211" s="68"/>
      <c r="L211" s="70"/>
      <c r="M211" s="74"/>
      <c r="N211" s="62"/>
      <c r="O211" s="63"/>
      <c r="P211" s="83"/>
      <c r="Q211" s="64"/>
      <c r="R211" s="65"/>
      <c r="S211" s="99"/>
      <c r="T211" s="70"/>
      <c r="U211" s="99"/>
      <c r="V211" s="70"/>
      <c r="W211" s="74" t="s">
        <v>17987</v>
      </c>
      <c r="X211" s="62"/>
      <c r="Y211" s="63"/>
      <c r="Z211" s="75"/>
      <c r="AA211" s="1"/>
      <c r="AB211" s="68" t="s">
        <v>1</v>
      </c>
      <c r="AC211" s="76">
        <v>0.2</v>
      </c>
      <c r="AD211" s="70" t="s">
        <v>422</v>
      </c>
      <c r="AE211" s="228">
        <f>ROUND((ROUND((_15_同援日０．５*(1+_15・盲ろう)),0)*(1+_15・区３)),0)+ROUND((ROUND((ROUND((_15_同援日０．５＿１．５*(1+_15・B夜間)),0)*(1+_15・盲ろう)),0)*(1+_15・区３)),0)+ROUND((ROUND((ROUND((_15_同援日０．５＿１．５＿１．０*(1+_15・C深夜)),0)*(1+_15・盲ろう)),0)*(1+_15・区３)),0)</f>
        <v>1123</v>
      </c>
      <c r="AF211" s="69"/>
    </row>
    <row r="212" spans="1:32" ht="16.5" customHeight="1" x14ac:dyDescent="0.3">
      <c r="A212" s="2">
        <v>15</v>
      </c>
      <c r="B212" s="2" t="s">
        <v>1687</v>
      </c>
      <c r="C212" s="60" t="s">
        <v>12197</v>
      </c>
      <c r="D212" s="1"/>
      <c r="E212" s="68"/>
      <c r="F212" s="70"/>
      <c r="G212" s="1"/>
      <c r="H212" s="68"/>
      <c r="I212" s="70"/>
      <c r="J212" s="1"/>
      <c r="K212" s="68"/>
      <c r="L212" s="70"/>
      <c r="M212" s="81"/>
      <c r="N212" s="57"/>
      <c r="O212" s="58"/>
      <c r="P212" s="83" t="s">
        <v>5895</v>
      </c>
      <c r="Q212" s="64" t="s">
        <v>1</v>
      </c>
      <c r="R212" s="65">
        <v>1</v>
      </c>
      <c r="S212" s="99"/>
      <c r="T212" s="70"/>
      <c r="U212" s="99"/>
      <c r="V212" s="70"/>
      <c r="W212" s="1" t="s">
        <v>17973</v>
      </c>
      <c r="X212" s="68"/>
      <c r="Y212" s="76"/>
      <c r="Z212" s="70"/>
      <c r="AA212" s="1"/>
      <c r="AB212" s="68"/>
      <c r="AC212" s="76"/>
      <c r="AD212" s="70"/>
      <c r="AE212" s="228">
        <f>ROUND((ROUND((ROUND((_15_同援日０．５*_15・２人),0)*(1+_15・盲ろう)),0)*(1+_15・区３)),0)+ROUND((ROUND((ROUND((ROUND((_15_同援日０．５＿１．５*_15・２人),0)*(1+_15・B夜間)),0)*(1+_15・盲ろう)),0)*(1+_15・区３)),0)+ROUND((ROUND((ROUND((ROUND((_15_同援日０．５＿１．５＿１．０*_15・２人),0)*(1+_15・C深夜)),0)*(1+_15・盲ろう)),0)*(1+_15・区３)),0)</f>
        <v>1123</v>
      </c>
      <c r="AF212" s="69"/>
    </row>
    <row r="213" spans="1:32" ht="16.5" customHeight="1" x14ac:dyDescent="0.3">
      <c r="A213" s="2">
        <v>15</v>
      </c>
      <c r="B213" s="2" t="s">
        <v>1688</v>
      </c>
      <c r="C213" s="60" t="s">
        <v>12196</v>
      </c>
      <c r="D213" s="1"/>
      <c r="E213" s="68"/>
      <c r="F213" s="70"/>
      <c r="G213" s="1"/>
      <c r="H213" s="68"/>
      <c r="I213" s="70"/>
      <c r="J213" s="1"/>
      <c r="K213" s="68"/>
      <c r="L213" s="70"/>
      <c r="M213" s="74" t="s">
        <v>17972</v>
      </c>
      <c r="N213" s="62"/>
      <c r="O213" s="63"/>
      <c r="P213" s="83"/>
      <c r="Q213" s="64"/>
      <c r="R213" s="65"/>
      <c r="S213" s="99"/>
      <c r="T213" s="70"/>
      <c r="U213" s="99"/>
      <c r="V213" s="70"/>
      <c r="W213" s="1"/>
      <c r="X213" s="68" t="s">
        <v>1</v>
      </c>
      <c r="Y213" s="76">
        <v>0.25</v>
      </c>
      <c r="Z213" s="70" t="s">
        <v>422</v>
      </c>
      <c r="AA213" s="1"/>
      <c r="AB213" s="68"/>
      <c r="AC213" s="76"/>
      <c r="AD213" s="70"/>
      <c r="AE213" s="120">
        <f>ROUND((ROUND((ROUND((_15_同援日０．５*_15・基礎２),0)*(1+_15・盲ろう)),0)*(1+_15・区３)),0)+ROUND((ROUND((ROUND((ROUND((_15_同援日０．５＿１．５*_15・基礎２),0)*(1+_15・B夜間)),0)*(1+_15・盲ろう)),0)*(1+_15・区３)),0)+ROUND((ROUND((ROUND((ROUND((_15_同援日０．５＿１．５＿１．０*_15・基礎２),0)*(1+_15・C深夜)),0)*(1+_15・盲ろう)),0)*(1+_15・区３)),0)</f>
        <v>1015</v>
      </c>
      <c r="AF213" s="69"/>
    </row>
    <row r="214" spans="1:32" ht="16.5" customHeight="1" x14ac:dyDescent="0.3">
      <c r="A214" s="2">
        <v>15</v>
      </c>
      <c r="B214" s="2" t="s">
        <v>1689</v>
      </c>
      <c r="C214" s="60" t="s">
        <v>12195</v>
      </c>
      <c r="D214" s="1"/>
      <c r="E214" s="68"/>
      <c r="F214" s="70"/>
      <c r="G214" s="1"/>
      <c r="H214" s="68"/>
      <c r="I214" s="70"/>
      <c r="J214" s="1"/>
      <c r="K214" s="68"/>
      <c r="L214" s="70"/>
      <c r="M214" s="81" t="s">
        <v>17864</v>
      </c>
      <c r="N214" s="57" t="s">
        <v>1</v>
      </c>
      <c r="O214" s="58">
        <v>0.9</v>
      </c>
      <c r="P214" s="83" t="s">
        <v>5895</v>
      </c>
      <c r="Q214" s="64" t="s">
        <v>1</v>
      </c>
      <c r="R214" s="65">
        <v>1</v>
      </c>
      <c r="S214" s="99"/>
      <c r="T214" s="70"/>
      <c r="U214" s="99"/>
      <c r="V214" s="70"/>
      <c r="W214" s="81"/>
      <c r="X214" s="57"/>
      <c r="Y214" s="58"/>
      <c r="Z214" s="77"/>
      <c r="AA214" s="81"/>
      <c r="AB214" s="57"/>
      <c r="AC214" s="58"/>
      <c r="AD214" s="77"/>
      <c r="AE214" s="120">
        <f>ROUND((ROUND((ROUND((ROUND((_15_同援日０．５*_15・基礎２),0)*_15・２人),0)*(1+_15・盲ろう)),0)*(1+_15・区３)),0)+ROUND((ROUND((ROUND((ROUND((ROUND((_15_同援日０．５＿１．５*_15・基礎２),0)*_15・２人),0)*(1+_15・B夜間)),0)*(1+_15・盲ろう)),0)*(1+_15・区３)),0)+ROUND((ROUND((ROUND((ROUND((ROUND((_15_同援日０．５＿１．５＿１．０*_15・基礎２),0)*_15・２人),0)*(1+_15・C深夜)),0)*(1+_15・盲ろう)),0)*(1+_15・区３)),0)</f>
        <v>1015</v>
      </c>
      <c r="AF214" s="69"/>
    </row>
    <row r="215" spans="1:32" ht="16.5" customHeight="1" x14ac:dyDescent="0.3">
      <c r="A215" s="2">
        <v>15</v>
      </c>
      <c r="B215" s="2" t="s">
        <v>1690</v>
      </c>
      <c r="C215" s="60" t="s">
        <v>12194</v>
      </c>
      <c r="D215" s="1"/>
      <c r="E215" s="68"/>
      <c r="F215" s="70"/>
      <c r="G215" s="1"/>
      <c r="H215" s="68"/>
      <c r="I215" s="70"/>
      <c r="J215" s="1"/>
      <c r="K215" s="68"/>
      <c r="L215" s="70"/>
      <c r="M215" s="74"/>
      <c r="N215" s="62"/>
      <c r="O215" s="63"/>
      <c r="P215" s="83"/>
      <c r="Q215" s="64"/>
      <c r="R215" s="65"/>
      <c r="S215" s="99"/>
      <c r="T215" s="70"/>
      <c r="U215" s="99"/>
      <c r="V215" s="70"/>
      <c r="W215" s="74"/>
      <c r="X215" s="62"/>
      <c r="Y215" s="63"/>
      <c r="Z215" s="75"/>
      <c r="AA215" s="74"/>
      <c r="AB215" s="62"/>
      <c r="AC215" s="63"/>
      <c r="AD215" s="75"/>
      <c r="AE215" s="228">
        <f>ROUND((_15_同援日０．５*(1+_15・区４)),0)+ROUND((ROUND((_15_同援日０．５＿１．５*(1+_15・B夜間)),0)*(1+_15・区４)),0)+ROUND((ROUND((_15_同援日０．５＿１．５＿１．０*(1+_15・C深夜)),0)*(1+_15・区４)),0)</f>
        <v>1049</v>
      </c>
      <c r="AF215" s="69"/>
    </row>
    <row r="216" spans="1:32" ht="16.5" customHeight="1" x14ac:dyDescent="0.3">
      <c r="A216" s="2">
        <v>15</v>
      </c>
      <c r="B216" s="2" t="s">
        <v>1691</v>
      </c>
      <c r="C216" s="60" t="s">
        <v>12193</v>
      </c>
      <c r="D216" s="1"/>
      <c r="E216" s="68"/>
      <c r="F216" s="70"/>
      <c r="G216" s="1"/>
      <c r="H216" s="68"/>
      <c r="I216" s="70"/>
      <c r="J216" s="1"/>
      <c r="K216" s="68"/>
      <c r="L216" s="70"/>
      <c r="M216" s="81"/>
      <c r="N216" s="57"/>
      <c r="O216" s="58"/>
      <c r="P216" s="83" t="s">
        <v>5895</v>
      </c>
      <c r="Q216" s="64" t="s">
        <v>1</v>
      </c>
      <c r="R216" s="65">
        <v>1</v>
      </c>
      <c r="S216" s="99"/>
      <c r="T216" s="70"/>
      <c r="U216" s="99"/>
      <c r="V216" s="70"/>
      <c r="W216" s="1"/>
      <c r="X216" s="68"/>
      <c r="Y216" s="76"/>
      <c r="Z216" s="70"/>
      <c r="AA216" s="1"/>
      <c r="AB216" s="68"/>
      <c r="AC216" s="76"/>
      <c r="AD216" s="70"/>
      <c r="AE216" s="228">
        <f>ROUND((ROUND((_15_同援日０．５*_15・２人),0)*(1+_15・区４)),0)+ROUND((ROUND((ROUND((_15_同援日０．５＿１．５*_15・２人),0)*(1+_15・B夜間)),0)*(1+_15・区４)),0)+ROUND((ROUND((ROUND((_15_同援日０．５＿１．５＿１．０*_15・２人),0)*(1+_15・C深夜)),0)*(1+_15・区４)),0)</f>
        <v>1049</v>
      </c>
      <c r="AF216" s="69"/>
    </row>
    <row r="217" spans="1:32" ht="16.5" customHeight="1" x14ac:dyDescent="0.3">
      <c r="A217" s="2">
        <v>15</v>
      </c>
      <c r="B217" s="2" t="s">
        <v>1692</v>
      </c>
      <c r="C217" s="60" t="s">
        <v>12192</v>
      </c>
      <c r="D217" s="1"/>
      <c r="E217" s="68"/>
      <c r="F217" s="70"/>
      <c r="G217" s="1"/>
      <c r="H217" s="68"/>
      <c r="I217" s="70"/>
      <c r="J217" s="1"/>
      <c r="K217" s="68"/>
      <c r="L217" s="70"/>
      <c r="M217" s="74" t="s">
        <v>17972</v>
      </c>
      <c r="N217" s="62"/>
      <c r="O217" s="63"/>
      <c r="P217" s="83"/>
      <c r="Q217" s="64"/>
      <c r="R217" s="65"/>
      <c r="S217" s="99"/>
      <c r="T217" s="70"/>
      <c r="U217" s="99"/>
      <c r="V217" s="70"/>
      <c r="W217" s="1"/>
      <c r="X217" s="68"/>
      <c r="Y217" s="76"/>
      <c r="Z217" s="70"/>
      <c r="AA217" s="1" t="s">
        <v>17988</v>
      </c>
      <c r="AB217" s="68"/>
      <c r="AC217" s="76"/>
      <c r="AD217" s="70"/>
      <c r="AE217" s="228">
        <f>ROUND((ROUND((_15_同援日０．５*_15・基礎２),0)*(1+_15・区４)),0)+ROUND((ROUND((ROUND((_15_同援日０．５＿１．５*_15・基礎２),0)*(1+_15・B夜間)),0)*(1+_15・区４)),0)+ROUND((ROUND((ROUND((_15_同援日０．５＿１．５＿１．０*_15・基礎２),0)*(1+_15・C深夜)),0)*(1+_15・区４)),0)</f>
        <v>945</v>
      </c>
      <c r="AF217" s="69"/>
    </row>
    <row r="218" spans="1:32" ht="16.5" customHeight="1" x14ac:dyDescent="0.3">
      <c r="A218" s="2">
        <v>15</v>
      </c>
      <c r="B218" s="2" t="s">
        <v>1693</v>
      </c>
      <c r="C218" s="60" t="s">
        <v>12191</v>
      </c>
      <c r="D218" s="1"/>
      <c r="E218" s="68"/>
      <c r="F218" s="70"/>
      <c r="G218" s="1"/>
      <c r="H218" s="68"/>
      <c r="I218" s="70"/>
      <c r="J218" s="1"/>
      <c r="K218" s="68"/>
      <c r="L218" s="70"/>
      <c r="M218" s="81" t="s">
        <v>17864</v>
      </c>
      <c r="N218" s="57" t="s">
        <v>1</v>
      </c>
      <c r="O218" s="58">
        <v>0.9</v>
      </c>
      <c r="P218" s="83" t="s">
        <v>5895</v>
      </c>
      <c r="Q218" s="64" t="s">
        <v>1</v>
      </c>
      <c r="R218" s="65">
        <v>1</v>
      </c>
      <c r="S218" s="99"/>
      <c r="T218" s="70"/>
      <c r="U218" s="99"/>
      <c r="V218" s="70"/>
      <c r="W218" s="81"/>
      <c r="X218" s="57"/>
      <c r="Y218" s="58"/>
      <c r="Z218" s="77"/>
      <c r="AA218" s="1" t="s">
        <v>17980</v>
      </c>
      <c r="AB218" s="68"/>
      <c r="AC218" s="76"/>
      <c r="AD218" s="70"/>
      <c r="AE218" s="228">
        <f>ROUND((ROUND((ROUND((_15_同援日０．５*_15・基礎２),0)*_15・２人),0)*(1+_15・区４)),0)+ROUND((ROUND((ROUND((ROUND((_15_同援日０．５＿１．５*_15・基礎２),0)*_15・２人),0)*(1+_15・B夜間)),0)*(1+_15・区４)),0)+ROUND((ROUND((ROUND((ROUND((_15_同援日０．５＿１．５＿１．０*_15・基礎２),0)*_15・２人),0)*(1+_15・C深夜)),0)*(1+_15・区４)),0)</f>
        <v>945</v>
      </c>
      <c r="AF218" s="69"/>
    </row>
    <row r="219" spans="1:32" ht="16.5" customHeight="1" x14ac:dyDescent="0.3">
      <c r="A219" s="2">
        <v>15</v>
      </c>
      <c r="B219" s="2" t="s">
        <v>1694</v>
      </c>
      <c r="C219" s="60" t="s">
        <v>12190</v>
      </c>
      <c r="D219" s="1"/>
      <c r="E219" s="68"/>
      <c r="F219" s="70"/>
      <c r="G219" s="1"/>
      <c r="H219" s="68"/>
      <c r="I219" s="70"/>
      <c r="J219" s="1"/>
      <c r="K219" s="68"/>
      <c r="L219" s="70"/>
      <c r="M219" s="74"/>
      <c r="N219" s="62"/>
      <c r="O219" s="63"/>
      <c r="P219" s="83"/>
      <c r="Q219" s="64"/>
      <c r="R219" s="65"/>
      <c r="S219" s="99"/>
      <c r="T219" s="70"/>
      <c r="U219" s="99"/>
      <c r="V219" s="70"/>
      <c r="W219" s="74" t="s">
        <v>17987</v>
      </c>
      <c r="X219" s="62"/>
      <c r="Y219" s="63"/>
      <c r="Z219" s="75"/>
      <c r="AA219" s="1"/>
      <c r="AB219" s="68" t="s">
        <v>1</v>
      </c>
      <c r="AC219" s="76">
        <v>0.4</v>
      </c>
      <c r="AD219" s="70" t="s">
        <v>422</v>
      </c>
      <c r="AE219" s="228">
        <f>ROUND((ROUND((_15_同援日０．５*(1+_15・盲ろう)),0)*(1+_15・区４)),0)+ROUND((ROUND((ROUND((_15_同援日０．５＿１．５*(1+_15・B夜間)),0)*(1+_15・盲ろう)),0)*(1+_15・区４)),0)+ROUND((ROUND((ROUND((_15_同援日０．５＿１．５＿１．０*(1+_15・C深夜)),0)*(1+_15・盲ろう)),0)*(1+_15・区４)),0)</f>
        <v>1310</v>
      </c>
      <c r="AF219" s="69"/>
    </row>
    <row r="220" spans="1:32" ht="16.5" customHeight="1" x14ac:dyDescent="0.3">
      <c r="A220" s="2">
        <v>15</v>
      </c>
      <c r="B220" s="2" t="s">
        <v>1695</v>
      </c>
      <c r="C220" s="60" t="s">
        <v>12189</v>
      </c>
      <c r="D220" s="1"/>
      <c r="E220" s="68"/>
      <c r="F220" s="70"/>
      <c r="G220" s="1"/>
      <c r="H220" s="68"/>
      <c r="I220" s="70"/>
      <c r="J220" s="1"/>
      <c r="K220" s="68"/>
      <c r="L220" s="70"/>
      <c r="M220" s="81"/>
      <c r="N220" s="57"/>
      <c r="O220" s="58"/>
      <c r="P220" s="83" t="s">
        <v>5895</v>
      </c>
      <c r="Q220" s="64" t="s">
        <v>1</v>
      </c>
      <c r="R220" s="65">
        <v>1</v>
      </c>
      <c r="S220" s="99"/>
      <c r="T220" s="70"/>
      <c r="U220" s="99"/>
      <c r="V220" s="70"/>
      <c r="W220" s="1" t="s">
        <v>17973</v>
      </c>
      <c r="X220" s="68"/>
      <c r="Y220" s="76"/>
      <c r="Z220" s="70"/>
      <c r="AA220" s="1"/>
      <c r="AB220" s="68"/>
      <c r="AC220" s="76"/>
      <c r="AD220" s="70"/>
      <c r="AE220" s="228">
        <f>ROUND((ROUND((ROUND((_15_同援日０．５*_15・２人),0)*(1+_15・盲ろう)),0)*(1+_15・区４)),0)+ROUND((ROUND((ROUND((ROUND((_15_同援日０．５＿１．５*_15・２人),0)*(1+_15・B夜間)),0)*(1+_15・盲ろう)),0)*(1+_15・区４)),0)+ROUND((ROUND((ROUND((ROUND((_15_同援日０．５＿１．５＿１．０*_15・２人),0)*(1+_15・C深夜)),0)*(1+_15・盲ろう)),0)*(1+_15・区４)),0)</f>
        <v>1310</v>
      </c>
      <c r="AF220" s="69"/>
    </row>
    <row r="221" spans="1:32" ht="16.5" customHeight="1" x14ac:dyDescent="0.3">
      <c r="A221" s="2">
        <v>15</v>
      </c>
      <c r="B221" s="2" t="s">
        <v>1696</v>
      </c>
      <c r="C221" s="60" t="s">
        <v>12188</v>
      </c>
      <c r="D221" s="1"/>
      <c r="E221" s="68"/>
      <c r="F221" s="70"/>
      <c r="G221" s="1"/>
      <c r="H221" s="68"/>
      <c r="I221" s="70"/>
      <c r="J221" s="1"/>
      <c r="K221" s="68"/>
      <c r="L221" s="70"/>
      <c r="M221" s="74" t="s">
        <v>17972</v>
      </c>
      <c r="N221" s="62"/>
      <c r="O221" s="63"/>
      <c r="P221" s="83"/>
      <c r="Q221" s="64"/>
      <c r="R221" s="65"/>
      <c r="S221" s="99"/>
      <c r="T221" s="70"/>
      <c r="U221" s="99"/>
      <c r="V221" s="70"/>
      <c r="W221" s="1"/>
      <c r="X221" s="68" t="s">
        <v>1</v>
      </c>
      <c r="Y221" s="76">
        <v>0.25</v>
      </c>
      <c r="Z221" s="70" t="s">
        <v>422</v>
      </c>
      <c r="AA221" s="1"/>
      <c r="AB221" s="68"/>
      <c r="AC221" s="76"/>
      <c r="AD221" s="70"/>
      <c r="AE221" s="120">
        <f>ROUND((ROUND((ROUND((_15_同援日０．５*_15・基礎２),0)*(1+_15・盲ろう)),0)*(1+_15・区４)),0)+ROUND((ROUND((ROUND((ROUND((_15_同援日０．５＿１．５*_15・基礎２),0)*(1+_15・B夜間)),0)*(1+_15・盲ろう)),0)*(1+_15・区４)),0)+ROUND((ROUND((ROUND((ROUND((_15_同援日０．５＿１．５＿１．０*_15・基礎２),0)*(1+_15・C深夜)),0)*(1+_15・盲ろう)),0)*(1+_15・区４)),0)</f>
        <v>1183</v>
      </c>
      <c r="AF221" s="69"/>
    </row>
    <row r="222" spans="1:32" ht="16.5" customHeight="1" x14ac:dyDescent="0.3">
      <c r="A222" s="2">
        <v>15</v>
      </c>
      <c r="B222" s="2" t="s">
        <v>1697</v>
      </c>
      <c r="C222" s="60" t="s">
        <v>12187</v>
      </c>
      <c r="D222" s="1"/>
      <c r="E222" s="68"/>
      <c r="F222" s="70"/>
      <c r="G222" s="81"/>
      <c r="H222" s="57"/>
      <c r="I222" s="77"/>
      <c r="J222" s="81"/>
      <c r="K222" s="57"/>
      <c r="L222" s="77"/>
      <c r="M222" s="81" t="s">
        <v>17864</v>
      </c>
      <c r="N222" s="57" t="s">
        <v>1</v>
      </c>
      <c r="O222" s="58">
        <v>0.9</v>
      </c>
      <c r="P222" s="83" t="s">
        <v>5895</v>
      </c>
      <c r="Q222" s="64" t="s">
        <v>1</v>
      </c>
      <c r="R222" s="65">
        <v>1</v>
      </c>
      <c r="S222" s="99"/>
      <c r="T222" s="70"/>
      <c r="U222" s="99"/>
      <c r="V222" s="70"/>
      <c r="W222" s="81"/>
      <c r="X222" s="57"/>
      <c r="Y222" s="58"/>
      <c r="Z222" s="77"/>
      <c r="AA222" s="81"/>
      <c r="AB222" s="57"/>
      <c r="AC222" s="58"/>
      <c r="AD222" s="77"/>
      <c r="AE222" s="120">
        <f>ROUND((ROUND((ROUND((ROUND((_15_同援日０．５*_15・基礎２),0)*_15・２人),0)*(1+_15・盲ろう)),0)*(1+_15・区４)),0)+ROUND((ROUND((ROUND((ROUND((ROUND((_15_同援日０．５＿１．５*_15・基礎２),0)*_15・２人),0)*(1+_15・B夜間)),0)*(1+_15・盲ろう)),0)*(1+_15・区４)),0)+ROUND((ROUND((ROUND((ROUND((ROUND((_15_同援日０．５＿１．５＿１．０*_15・基礎２),0)*_15・２人),0)*(1+_15・C深夜)),0)*(1+_15・盲ろう)),0)*(1+_15・区４)),0)</f>
        <v>1183</v>
      </c>
      <c r="AF222" s="69"/>
    </row>
    <row r="223" spans="1:32" ht="16.5" customHeight="1" x14ac:dyDescent="0.3">
      <c r="A223" s="2">
        <v>15</v>
      </c>
      <c r="B223" s="2" t="s">
        <v>1698</v>
      </c>
      <c r="C223" s="60" t="s">
        <v>12186</v>
      </c>
      <c r="D223" s="1"/>
      <c r="E223" s="68"/>
      <c r="F223" s="70"/>
      <c r="G223" s="233" t="s">
        <v>6027</v>
      </c>
      <c r="H223" s="62"/>
      <c r="I223" s="75"/>
      <c r="J223" s="74" t="s">
        <v>6333</v>
      </c>
      <c r="K223" s="62"/>
      <c r="L223" s="75"/>
      <c r="M223" s="74"/>
      <c r="N223" s="62"/>
      <c r="O223" s="63"/>
      <c r="P223" s="83"/>
      <c r="Q223" s="64"/>
      <c r="R223" s="65"/>
      <c r="S223" s="99"/>
      <c r="T223" s="70"/>
      <c r="U223" s="99"/>
      <c r="V223" s="70"/>
      <c r="W223" s="74"/>
      <c r="X223" s="62"/>
      <c r="Y223" s="63"/>
      <c r="Z223" s="75"/>
      <c r="AA223" s="74"/>
      <c r="AB223" s="62"/>
      <c r="AC223" s="63"/>
      <c r="AD223" s="75"/>
      <c r="AE223" s="120">
        <f>_15_同援日０．５+ROUND((_15_同援日０．５＿２．０*(1+_15・B夜間)),0)+ROUND((_15_同援日０．５＿２．０＿０．５*(1+_15・C深夜)),0)</f>
        <v>734</v>
      </c>
      <c r="AF223" s="69"/>
    </row>
    <row r="224" spans="1:32" ht="16.5" customHeight="1" x14ac:dyDescent="0.3">
      <c r="A224" s="2">
        <v>15</v>
      </c>
      <c r="B224" s="2" t="s">
        <v>1699</v>
      </c>
      <c r="C224" s="60" t="s">
        <v>12185</v>
      </c>
      <c r="D224" s="1"/>
      <c r="E224" s="68"/>
      <c r="F224" s="70"/>
      <c r="G224" s="1" t="s">
        <v>5983</v>
      </c>
      <c r="H224" s="68"/>
      <c r="I224" s="70"/>
      <c r="J224" s="1" t="s">
        <v>7928</v>
      </c>
      <c r="K224" s="68"/>
      <c r="L224" s="70"/>
      <c r="M224" s="81"/>
      <c r="N224" s="57"/>
      <c r="O224" s="58"/>
      <c r="P224" s="83" t="s">
        <v>5895</v>
      </c>
      <c r="Q224" s="64" t="s">
        <v>1</v>
      </c>
      <c r="R224" s="65">
        <v>1</v>
      </c>
      <c r="S224" s="99"/>
      <c r="T224" s="70"/>
      <c r="U224" s="99"/>
      <c r="V224" s="70"/>
      <c r="W224" s="1"/>
      <c r="X224" s="68"/>
      <c r="Y224" s="76"/>
      <c r="Z224" s="70"/>
      <c r="AA224" s="1"/>
      <c r="AB224" s="68"/>
      <c r="AC224" s="76"/>
      <c r="AD224" s="70"/>
      <c r="AE224" s="120">
        <f>ROUND((_15_同援日０．５*_15・２人),0)+ROUND((ROUND((_15_同援日０．５＿２．０*_15・２人),0)*(1+_15・B夜間)),0)+ROUND((ROUND((_15_同援日０．５＿２．０＿０．５*_15・２人),0)*(1+_15・C深夜)),0)</f>
        <v>734</v>
      </c>
      <c r="AF224" s="69"/>
    </row>
    <row r="225" spans="1:32" ht="16.5" customHeight="1" x14ac:dyDescent="0.3">
      <c r="A225" s="2">
        <v>15</v>
      </c>
      <c r="B225" s="2" t="s">
        <v>1700</v>
      </c>
      <c r="C225" s="60" t="s">
        <v>12184</v>
      </c>
      <c r="D225" s="1"/>
      <c r="E225" s="68"/>
      <c r="F225" s="70"/>
      <c r="G225" s="1" t="s">
        <v>6448</v>
      </c>
      <c r="H225" s="68"/>
      <c r="I225" s="70"/>
      <c r="J225" s="1"/>
      <c r="K225" s="68"/>
      <c r="L225" s="70"/>
      <c r="M225" s="74" t="s">
        <v>5898</v>
      </c>
      <c r="N225" s="62"/>
      <c r="O225" s="63"/>
      <c r="P225" s="83"/>
      <c r="Q225" s="64"/>
      <c r="R225" s="65"/>
      <c r="S225" s="99"/>
      <c r="T225" s="70"/>
      <c r="U225" s="99"/>
      <c r="V225" s="70"/>
      <c r="W225" s="1"/>
      <c r="X225" s="68"/>
      <c r="Y225" s="76"/>
      <c r="Z225" s="70"/>
      <c r="AA225" s="1"/>
      <c r="AB225" s="68"/>
      <c r="AC225" s="76"/>
      <c r="AD225" s="70"/>
      <c r="AE225" s="120">
        <f>ROUND((_15_同援日０．５*_15・基礎２),0)+ROUND((ROUND((_15_同援日０．５＿２．０*_15・基礎２),0)*(1+_15・B夜間)),0)+ROUND((ROUND((_15_同援日０．５＿２．０＿０．５*_15・基礎２),0)*(1+_15・C深夜)),0)</f>
        <v>662</v>
      </c>
      <c r="AF225" s="69"/>
    </row>
    <row r="226" spans="1:32" ht="16.5" customHeight="1" x14ac:dyDescent="0.3">
      <c r="A226" s="2">
        <v>15</v>
      </c>
      <c r="B226" s="2" t="s">
        <v>1701</v>
      </c>
      <c r="C226" s="60" t="s">
        <v>12183</v>
      </c>
      <c r="D226" s="1"/>
      <c r="E226" s="68"/>
      <c r="F226" s="70"/>
      <c r="G226" s="1"/>
      <c r="H226" s="227">
        <v>364</v>
      </c>
      <c r="I226" s="70" t="s">
        <v>0</v>
      </c>
      <c r="J226" s="1"/>
      <c r="K226" s="227">
        <v>63</v>
      </c>
      <c r="L226" s="70" t="s">
        <v>0</v>
      </c>
      <c r="M226" s="81" t="s">
        <v>5896</v>
      </c>
      <c r="N226" s="57" t="s">
        <v>1</v>
      </c>
      <c r="O226" s="58">
        <v>0.9</v>
      </c>
      <c r="P226" s="83" t="s">
        <v>5895</v>
      </c>
      <c r="Q226" s="64" t="s">
        <v>1</v>
      </c>
      <c r="R226" s="65">
        <v>1</v>
      </c>
      <c r="S226" s="99"/>
      <c r="T226" s="70"/>
      <c r="U226" s="99"/>
      <c r="V226" s="70"/>
      <c r="W226" s="81"/>
      <c r="X226" s="57"/>
      <c r="Y226" s="58"/>
      <c r="Z226" s="77"/>
      <c r="AA226" s="1"/>
      <c r="AB226" s="68"/>
      <c r="AC226" s="76"/>
      <c r="AD226" s="70"/>
      <c r="AE226" s="120">
        <f>ROUND((ROUND((_15_同援日０．５*_15・基礎２),0)*_15・２人),0)+ROUND((ROUND((ROUND((_15_同援日０．５＿２．０*_15・基礎２),0)*_15・２人),0)*(1+_15・B夜間)),0)+ROUND((ROUND((ROUND((_15_同援日０．５＿２．０＿０．５*_15・基礎２),0)*_15・２人),0)*(1+_15・C深夜)),0)</f>
        <v>662</v>
      </c>
      <c r="AF226" s="69"/>
    </row>
    <row r="227" spans="1:32" ht="16.5" customHeight="1" x14ac:dyDescent="0.3">
      <c r="A227" s="2">
        <v>15</v>
      </c>
      <c r="B227" s="2" t="s">
        <v>1702</v>
      </c>
      <c r="C227" s="60" t="s">
        <v>12182</v>
      </c>
      <c r="D227" s="1"/>
      <c r="E227" s="68"/>
      <c r="F227" s="70"/>
      <c r="G227" s="1"/>
      <c r="H227" s="68"/>
      <c r="I227" s="70"/>
      <c r="J227" s="1"/>
      <c r="K227" s="68"/>
      <c r="L227" s="70"/>
      <c r="M227" s="74"/>
      <c r="N227" s="62"/>
      <c r="O227" s="63"/>
      <c r="P227" s="83"/>
      <c r="Q227" s="64"/>
      <c r="R227" s="65"/>
      <c r="S227" s="99"/>
      <c r="T227" s="70"/>
      <c r="U227" s="99"/>
      <c r="V227" s="70"/>
      <c r="W227" s="74" t="s">
        <v>8085</v>
      </c>
      <c r="X227" s="62"/>
      <c r="Y227" s="63"/>
      <c r="Z227" s="75"/>
      <c r="AA227" s="1"/>
      <c r="AB227" s="68"/>
      <c r="AC227" s="76"/>
      <c r="AD227" s="70"/>
      <c r="AE227" s="120">
        <f>ROUND((_15_同援日０．５*(1+_15・盲ろう)),0)+ROUND((ROUND((_15_同援日０．５＿２．０*(1+_15・B夜間)),0)*(1+_15・盲ろう)),0)+ROUND((ROUND((_15_同援日０．５＿２．０＿０．５*(1+_15・C深夜)),0)*(1+_15・盲ろう)),0)</f>
        <v>918</v>
      </c>
      <c r="AF227" s="69"/>
    </row>
    <row r="228" spans="1:32" ht="16.5" customHeight="1" x14ac:dyDescent="0.3">
      <c r="A228" s="2">
        <v>15</v>
      </c>
      <c r="B228" s="2" t="s">
        <v>1703</v>
      </c>
      <c r="C228" s="60" t="s">
        <v>12181</v>
      </c>
      <c r="D228" s="1"/>
      <c r="E228" s="68"/>
      <c r="F228" s="70"/>
      <c r="G228" s="1"/>
      <c r="H228" s="68"/>
      <c r="I228" s="70"/>
      <c r="J228" s="1"/>
      <c r="K228" s="68"/>
      <c r="L228" s="70"/>
      <c r="M228" s="81"/>
      <c r="N228" s="57"/>
      <c r="O228" s="58"/>
      <c r="P228" s="83" t="s">
        <v>5895</v>
      </c>
      <c r="Q228" s="64" t="s">
        <v>1</v>
      </c>
      <c r="R228" s="65">
        <v>1</v>
      </c>
      <c r="S228" s="99"/>
      <c r="T228" s="70"/>
      <c r="U228" s="99"/>
      <c r="V228" s="70"/>
      <c r="W228" s="1" t="s">
        <v>17973</v>
      </c>
      <c r="X228" s="68"/>
      <c r="Y228" s="76"/>
      <c r="Z228" s="70"/>
      <c r="AA228" s="1"/>
      <c r="AB228" s="68"/>
      <c r="AC228" s="76"/>
      <c r="AD228" s="70"/>
      <c r="AE228" s="120">
        <f>ROUND((ROUND((_15_同援日０．５*_15・２人),0)*(1+_15・盲ろう)),0)+ROUND((ROUND((ROUND((_15_同援日０．５＿２．０*_15・２人),0)*(1+_15・B夜間)),0)*(1+_15・盲ろう)),0)+ROUND((ROUND((ROUND((_15_同援日０．５＿２．０＿０．５*_15・２人),0)*(1+_15・C深夜)),0)*(1+_15・盲ろう)),0)</f>
        <v>918</v>
      </c>
      <c r="AF228" s="69"/>
    </row>
    <row r="229" spans="1:32" ht="16.5" customHeight="1" x14ac:dyDescent="0.3">
      <c r="A229" s="2">
        <v>15</v>
      </c>
      <c r="B229" s="2" t="s">
        <v>1704</v>
      </c>
      <c r="C229" s="60" t="s">
        <v>12180</v>
      </c>
      <c r="D229" s="1"/>
      <c r="E229" s="68"/>
      <c r="F229" s="70"/>
      <c r="G229" s="1"/>
      <c r="H229" s="68"/>
      <c r="I229" s="70"/>
      <c r="J229" s="1"/>
      <c r="K229" s="68"/>
      <c r="L229" s="70"/>
      <c r="M229" s="74" t="s">
        <v>5898</v>
      </c>
      <c r="N229" s="62"/>
      <c r="O229" s="63"/>
      <c r="P229" s="83"/>
      <c r="Q229" s="64"/>
      <c r="R229" s="65"/>
      <c r="S229" s="99"/>
      <c r="T229" s="70"/>
      <c r="U229" s="99"/>
      <c r="V229" s="70"/>
      <c r="W229" s="1"/>
      <c r="X229" s="68" t="s">
        <v>1</v>
      </c>
      <c r="Y229" s="76">
        <v>0.25</v>
      </c>
      <c r="Z229" s="70" t="s">
        <v>422</v>
      </c>
      <c r="AA229" s="1"/>
      <c r="AB229" s="68"/>
      <c r="AC229" s="76"/>
      <c r="AD229" s="70"/>
      <c r="AE229" s="228">
        <f>ROUND((ROUND((_15_同援日０．５*_15・基礎２),0)*(1+_15・盲ろう)),0)+ROUND((ROUND((ROUND((_15_同援日０．５＿２．０*_15・基礎２),0)*(1+_15・B夜間)),0)*(1+_15・盲ろう)),0)+ROUND((ROUND((ROUND((_15_同援日０．５＿２．０＿０．５*_15・基礎２),0)*(1+_15・C深夜)),0)*(1+_15・盲ろう)),0)</f>
        <v>829</v>
      </c>
      <c r="AF229" s="69"/>
    </row>
    <row r="230" spans="1:32" ht="16.5" customHeight="1" x14ac:dyDescent="0.3">
      <c r="A230" s="2">
        <v>15</v>
      </c>
      <c r="B230" s="2" t="s">
        <v>1705</v>
      </c>
      <c r="C230" s="60" t="s">
        <v>12179</v>
      </c>
      <c r="D230" s="1"/>
      <c r="E230" s="68"/>
      <c r="F230" s="70"/>
      <c r="G230" s="1"/>
      <c r="H230" s="68"/>
      <c r="I230" s="70"/>
      <c r="J230" s="1"/>
      <c r="K230" s="68"/>
      <c r="L230" s="70"/>
      <c r="M230" s="81" t="s">
        <v>5896</v>
      </c>
      <c r="N230" s="57" t="s">
        <v>1</v>
      </c>
      <c r="O230" s="58">
        <v>0.9</v>
      </c>
      <c r="P230" s="83" t="s">
        <v>5895</v>
      </c>
      <c r="Q230" s="64" t="s">
        <v>1</v>
      </c>
      <c r="R230" s="65">
        <v>1</v>
      </c>
      <c r="S230" s="99"/>
      <c r="T230" s="70"/>
      <c r="U230" s="99"/>
      <c r="V230" s="70"/>
      <c r="W230" s="81"/>
      <c r="X230" s="57"/>
      <c r="Y230" s="58"/>
      <c r="Z230" s="77"/>
      <c r="AA230" s="81"/>
      <c r="AB230" s="57"/>
      <c r="AC230" s="58"/>
      <c r="AD230" s="77"/>
      <c r="AE230" s="228">
        <f>ROUND((ROUND((ROUND((_15_同援日０．５*_15・基礎２),0)*_15・２人),0)*(1+_15・盲ろう)),0)+ROUND((ROUND((ROUND((ROUND((_15_同援日０．５＿２．０*_15・基礎２),0)*_15・２人),0)*(1+_15・B夜間)),0)*(1+_15・盲ろう)),0)+ROUND((ROUND((ROUND((ROUND((_15_同援日０．５＿２．０＿０．５*_15・基礎２),0)*_15・２人),0)*(1+_15・C深夜)),0)*(1+_15・盲ろう)),0)</f>
        <v>829</v>
      </c>
      <c r="AF230" s="69"/>
    </row>
    <row r="231" spans="1:32" ht="16.5" customHeight="1" x14ac:dyDescent="0.3">
      <c r="A231" s="2">
        <v>15</v>
      </c>
      <c r="B231" s="2" t="s">
        <v>1706</v>
      </c>
      <c r="C231" s="60" t="s">
        <v>12178</v>
      </c>
      <c r="D231" s="1"/>
      <c r="E231" s="68"/>
      <c r="F231" s="70"/>
      <c r="G231" s="1"/>
      <c r="H231" s="68"/>
      <c r="I231" s="70"/>
      <c r="J231" s="1"/>
      <c r="K231" s="68"/>
      <c r="L231" s="70"/>
      <c r="M231" s="74"/>
      <c r="N231" s="62"/>
      <c r="O231" s="63"/>
      <c r="P231" s="83"/>
      <c r="Q231" s="64"/>
      <c r="R231" s="65"/>
      <c r="S231" s="99"/>
      <c r="T231" s="70"/>
      <c r="U231" s="99"/>
      <c r="V231" s="70"/>
      <c r="W231" s="74"/>
      <c r="X231" s="62"/>
      <c r="Y231" s="63"/>
      <c r="Z231" s="75"/>
      <c r="AA231" s="74"/>
      <c r="AB231" s="62"/>
      <c r="AC231" s="63"/>
      <c r="AD231" s="75"/>
      <c r="AE231" s="120">
        <f>ROUND((_15_同援日０．５*(1+_15・区３)),0)+ROUND((ROUND((_15_同援日０．５＿２．０*(1+_15・B夜間)),0)*(1+_15・区３)),0)+ROUND((ROUND((_15_同援日０．５＿２．０＿０．５*(1+_15・C深夜)),0)*(1+_15・区３)),0)</f>
        <v>881</v>
      </c>
      <c r="AF231" s="69"/>
    </row>
    <row r="232" spans="1:32" ht="16.5" customHeight="1" x14ac:dyDescent="0.3">
      <c r="A232" s="2">
        <v>15</v>
      </c>
      <c r="B232" s="2" t="s">
        <v>1707</v>
      </c>
      <c r="C232" s="60" t="s">
        <v>12177</v>
      </c>
      <c r="D232" s="1"/>
      <c r="E232" s="68"/>
      <c r="F232" s="70"/>
      <c r="G232" s="1"/>
      <c r="H232" s="68"/>
      <c r="I232" s="70"/>
      <c r="J232" s="1"/>
      <c r="K232" s="68"/>
      <c r="L232" s="70"/>
      <c r="M232" s="81"/>
      <c r="N232" s="57"/>
      <c r="O232" s="58"/>
      <c r="P232" s="83" t="s">
        <v>5895</v>
      </c>
      <c r="Q232" s="64" t="s">
        <v>1</v>
      </c>
      <c r="R232" s="65">
        <v>1</v>
      </c>
      <c r="S232" s="99"/>
      <c r="T232" s="70"/>
      <c r="U232" s="99"/>
      <c r="V232" s="70"/>
      <c r="W232" s="1"/>
      <c r="X232" s="68"/>
      <c r="Y232" s="76"/>
      <c r="Z232" s="70"/>
      <c r="AA232" s="1"/>
      <c r="AB232" s="68"/>
      <c r="AC232" s="76"/>
      <c r="AD232" s="70"/>
      <c r="AE232" s="120">
        <f>ROUND((ROUND((_15_同援日０．５*_15・２人),0)*(1+_15・区３)),0)+ROUND((ROUND((ROUND((_15_同援日０．５＿２．０*_15・２人),0)*(1+_15・B夜間)),0)*(1+_15・区３)),0)+ROUND((ROUND((ROUND((_15_同援日０．５＿２．０＿０．５*_15・２人),0)*(1+_15・C深夜)),0)*(1+_15・区３)),0)</f>
        <v>881</v>
      </c>
      <c r="AF232" s="69"/>
    </row>
    <row r="233" spans="1:32" ht="16.5" customHeight="1" x14ac:dyDescent="0.3">
      <c r="A233" s="2">
        <v>15</v>
      </c>
      <c r="B233" s="2" t="s">
        <v>1708</v>
      </c>
      <c r="C233" s="60" t="s">
        <v>12176</v>
      </c>
      <c r="D233" s="1"/>
      <c r="E233" s="68"/>
      <c r="F233" s="70"/>
      <c r="G233" s="1"/>
      <c r="H233" s="68"/>
      <c r="I233" s="70"/>
      <c r="J233" s="1"/>
      <c r="K233" s="68"/>
      <c r="L233" s="70"/>
      <c r="M233" s="74" t="s">
        <v>5898</v>
      </c>
      <c r="N233" s="62"/>
      <c r="O233" s="63"/>
      <c r="P233" s="83"/>
      <c r="Q233" s="64"/>
      <c r="R233" s="65"/>
      <c r="S233" s="99"/>
      <c r="T233" s="70"/>
      <c r="U233" s="99"/>
      <c r="V233" s="70"/>
      <c r="W233" s="1"/>
      <c r="X233" s="68"/>
      <c r="Y233" s="76"/>
      <c r="Z233" s="70"/>
      <c r="AA233" s="1" t="s">
        <v>8098</v>
      </c>
      <c r="AB233" s="68"/>
      <c r="AC233" s="76"/>
      <c r="AD233" s="70"/>
      <c r="AE233" s="120">
        <f>ROUND((ROUND((_15_同援日０．５*_15・基礎２),0)*(1+_15・区３)),0)+ROUND((ROUND((ROUND((_15_同援日０．５＿２．０*_15・基礎２),0)*(1+_15・B夜間)),0)*(1+_15・区３)),0)+ROUND((ROUND((ROUND((_15_同援日０．５＿２．０＿０．５*_15・基礎２),0)*(1+_15・C深夜)),0)*(1+_15・区３)),0)</f>
        <v>794</v>
      </c>
      <c r="AF233" s="69"/>
    </row>
    <row r="234" spans="1:32" ht="16.5" customHeight="1" x14ac:dyDescent="0.3">
      <c r="A234" s="2">
        <v>15</v>
      </c>
      <c r="B234" s="2" t="s">
        <v>1709</v>
      </c>
      <c r="C234" s="60" t="s">
        <v>12175</v>
      </c>
      <c r="D234" s="1"/>
      <c r="E234" s="68"/>
      <c r="F234" s="70"/>
      <c r="G234" s="1"/>
      <c r="H234" s="68"/>
      <c r="I234" s="70"/>
      <c r="J234" s="1"/>
      <c r="K234" s="68"/>
      <c r="L234" s="70"/>
      <c r="M234" s="81" t="s">
        <v>5896</v>
      </c>
      <c r="N234" s="57" t="s">
        <v>1</v>
      </c>
      <c r="O234" s="58">
        <v>0.9</v>
      </c>
      <c r="P234" s="83" t="s">
        <v>5895</v>
      </c>
      <c r="Q234" s="64" t="s">
        <v>1</v>
      </c>
      <c r="R234" s="65">
        <v>1</v>
      </c>
      <c r="S234" s="99"/>
      <c r="T234" s="70"/>
      <c r="U234" s="99"/>
      <c r="V234" s="70"/>
      <c r="W234" s="81"/>
      <c r="X234" s="57"/>
      <c r="Y234" s="58"/>
      <c r="Z234" s="77"/>
      <c r="AA234" s="1" t="s">
        <v>8087</v>
      </c>
      <c r="AB234" s="68"/>
      <c r="AC234" s="76"/>
      <c r="AD234" s="70"/>
      <c r="AE234" s="120">
        <f>ROUND((ROUND((ROUND((_15_同援日０．５*_15・基礎２),0)*_15・２人),0)*(1+_15・区３)),0)+ROUND((ROUND((ROUND((ROUND((_15_同援日０．５＿２．０*_15・基礎２),0)*_15・２人),0)*(1+_15・B夜間)),0)*(1+_15・区３)),0)+ROUND((ROUND((ROUND((ROUND((_15_同援日０．５＿２．０＿０．５*_15・基礎２),0)*_15・２人),0)*(1+_15・C深夜)),0)*(1+_15・区３)),0)</f>
        <v>794</v>
      </c>
      <c r="AF234" s="69"/>
    </row>
    <row r="235" spans="1:32" ht="16.5" customHeight="1" x14ac:dyDescent="0.3">
      <c r="A235" s="2">
        <v>15</v>
      </c>
      <c r="B235" s="2" t="s">
        <v>1710</v>
      </c>
      <c r="C235" s="60" t="s">
        <v>12174</v>
      </c>
      <c r="D235" s="1"/>
      <c r="E235" s="68"/>
      <c r="F235" s="70"/>
      <c r="G235" s="1"/>
      <c r="H235" s="68"/>
      <c r="I235" s="70"/>
      <c r="J235" s="1"/>
      <c r="K235" s="68"/>
      <c r="L235" s="70"/>
      <c r="M235" s="74"/>
      <c r="N235" s="62"/>
      <c r="O235" s="63"/>
      <c r="P235" s="83"/>
      <c r="Q235" s="64"/>
      <c r="R235" s="65"/>
      <c r="S235" s="99"/>
      <c r="T235" s="70"/>
      <c r="U235" s="99"/>
      <c r="V235" s="70"/>
      <c r="W235" s="74" t="s">
        <v>8085</v>
      </c>
      <c r="X235" s="62"/>
      <c r="Y235" s="63"/>
      <c r="Z235" s="75"/>
      <c r="AA235" s="1"/>
      <c r="AB235" s="68" t="s">
        <v>1</v>
      </c>
      <c r="AC235" s="76">
        <v>0.2</v>
      </c>
      <c r="AD235" s="70" t="s">
        <v>422</v>
      </c>
      <c r="AE235" s="120">
        <f>ROUND((ROUND((_15_同援日０．５*(1+_15・盲ろう)),0)*(1+_15・区３)),0)+ROUND((ROUND((ROUND((_15_同援日０．５＿２．０*(1+_15・B夜間)),0)*(1+_15・盲ろう)),0)*(1+_15・区３)),0)+ROUND((ROUND((ROUND((_15_同援日０．５＿２．０＿０．５*(1+_15・C深夜)),0)*(1+_15・盲ろう)),0)*(1+_15・区３)),0)</f>
        <v>1102</v>
      </c>
      <c r="AF235" s="69"/>
    </row>
    <row r="236" spans="1:32" ht="16.5" customHeight="1" x14ac:dyDescent="0.3">
      <c r="A236" s="2">
        <v>15</v>
      </c>
      <c r="B236" s="2" t="s">
        <v>1711</v>
      </c>
      <c r="C236" s="60" t="s">
        <v>12173</v>
      </c>
      <c r="D236" s="1"/>
      <c r="E236" s="68"/>
      <c r="F236" s="70"/>
      <c r="G236" s="1"/>
      <c r="H236" s="68"/>
      <c r="I236" s="70"/>
      <c r="J236" s="1"/>
      <c r="K236" s="68"/>
      <c r="L236" s="70"/>
      <c r="M236" s="81"/>
      <c r="N236" s="57"/>
      <c r="O236" s="58"/>
      <c r="P236" s="83" t="s">
        <v>5895</v>
      </c>
      <c r="Q236" s="64" t="s">
        <v>1</v>
      </c>
      <c r="R236" s="65">
        <v>1</v>
      </c>
      <c r="S236" s="99"/>
      <c r="T236" s="70"/>
      <c r="U236" s="99"/>
      <c r="V236" s="70"/>
      <c r="W236" s="1" t="s">
        <v>8083</v>
      </c>
      <c r="X236" s="68"/>
      <c r="Y236" s="76"/>
      <c r="Z236" s="70"/>
      <c r="AA236" s="1"/>
      <c r="AB236" s="68"/>
      <c r="AC236" s="76"/>
      <c r="AD236" s="70"/>
      <c r="AE236" s="120">
        <f>ROUND((ROUND((ROUND((_15_同援日０．５*_15・２人),0)*(1+_15・盲ろう)),0)*(1+_15・区３)),0)+ROUND((ROUND((ROUND((ROUND((_15_同援日０．５＿２．０*_15・２人),0)*(1+_15・B夜間)),0)*(1+_15・盲ろう)),0)*(1+_15・区３)),0)+ROUND((ROUND((ROUND((ROUND((_15_同援日０．５＿２．０＿０．５*_15・２人),0)*(1+_15・C深夜)),0)*(1+_15・盲ろう)),0)*(1+_15・区３)),0)</f>
        <v>1102</v>
      </c>
      <c r="AF236" s="69"/>
    </row>
    <row r="237" spans="1:32" ht="16.5" customHeight="1" x14ac:dyDescent="0.3">
      <c r="A237" s="2">
        <v>15</v>
      </c>
      <c r="B237" s="2" t="s">
        <v>1712</v>
      </c>
      <c r="C237" s="60" t="s">
        <v>12172</v>
      </c>
      <c r="D237" s="1"/>
      <c r="E237" s="68"/>
      <c r="F237" s="70"/>
      <c r="G237" s="1"/>
      <c r="H237" s="68"/>
      <c r="I237" s="70"/>
      <c r="J237" s="1"/>
      <c r="K237" s="68"/>
      <c r="L237" s="70"/>
      <c r="M237" s="74" t="s">
        <v>5898</v>
      </c>
      <c r="N237" s="62"/>
      <c r="O237" s="63"/>
      <c r="P237" s="83"/>
      <c r="Q237" s="64"/>
      <c r="R237" s="65"/>
      <c r="S237" s="99"/>
      <c r="T237" s="70"/>
      <c r="U237" s="99"/>
      <c r="V237" s="70"/>
      <c r="W237" s="1"/>
      <c r="X237" s="68" t="s">
        <v>1</v>
      </c>
      <c r="Y237" s="76">
        <v>0.25</v>
      </c>
      <c r="Z237" s="70" t="s">
        <v>422</v>
      </c>
      <c r="AA237" s="1"/>
      <c r="AB237" s="68"/>
      <c r="AC237" s="76"/>
      <c r="AD237" s="70"/>
      <c r="AE237" s="228">
        <f>ROUND((ROUND((ROUND((_15_同援日０．５*_15・基礎２),0)*(1+_15・盲ろう)),0)*(1+_15・区３)),0)+ROUND((ROUND((ROUND((ROUND((_15_同援日０．５＿２．０*_15・基礎２),0)*(1+_15・B夜間)),0)*(1+_15・盲ろう)),0)*(1+_15・区３)),0)+ROUND((ROUND((ROUND((ROUND((_15_同援日０．５＿２．０＿０．５*_15・基礎２),0)*(1+_15・C深夜)),0)*(1+_15・盲ろう)),0)*(1+_15・区３)),0)</f>
        <v>996</v>
      </c>
      <c r="AF237" s="69"/>
    </row>
    <row r="238" spans="1:32" ht="16.5" customHeight="1" x14ac:dyDescent="0.3">
      <c r="A238" s="2">
        <v>15</v>
      </c>
      <c r="B238" s="2" t="s">
        <v>1713</v>
      </c>
      <c r="C238" s="60" t="s">
        <v>12171</v>
      </c>
      <c r="D238" s="1"/>
      <c r="E238" s="68"/>
      <c r="F238" s="70"/>
      <c r="G238" s="1"/>
      <c r="H238" s="68"/>
      <c r="I238" s="70"/>
      <c r="J238" s="1"/>
      <c r="K238" s="68"/>
      <c r="L238" s="70"/>
      <c r="M238" s="81" t="s">
        <v>5896</v>
      </c>
      <c r="N238" s="57" t="s">
        <v>1</v>
      </c>
      <c r="O238" s="58">
        <v>0.9</v>
      </c>
      <c r="P238" s="83" t="s">
        <v>5895</v>
      </c>
      <c r="Q238" s="64" t="s">
        <v>1</v>
      </c>
      <c r="R238" s="65">
        <v>1</v>
      </c>
      <c r="S238" s="99"/>
      <c r="T238" s="70"/>
      <c r="U238" s="99"/>
      <c r="V238" s="70"/>
      <c r="W238" s="81"/>
      <c r="X238" s="57"/>
      <c r="Y238" s="58"/>
      <c r="Z238" s="77"/>
      <c r="AA238" s="81"/>
      <c r="AB238" s="57"/>
      <c r="AC238" s="58"/>
      <c r="AD238" s="77"/>
      <c r="AE238" s="228">
        <f>ROUND((ROUND((ROUND((ROUND((_15_同援日０．５*_15・基礎２),0)*_15・２人),0)*(1+_15・盲ろう)),0)*(1+_15・区３)),0)+ROUND((ROUND((ROUND((ROUND((ROUND((_15_同援日０．５＿２．０*_15・基礎２),0)*_15・２人),0)*(1+_15・B夜間)),0)*(1+_15・盲ろう)),0)*(1+_15・区３)),0)+ROUND((ROUND((ROUND((ROUND((ROUND((_15_同援日０．５＿２．０＿０．５*_15・基礎２),0)*_15・２人),0)*(1+_15・C深夜)),0)*(1+_15・盲ろう)),0)*(1+_15・区３)),0)</f>
        <v>996</v>
      </c>
      <c r="AF238" s="69"/>
    </row>
    <row r="239" spans="1:32" ht="16.5" customHeight="1" x14ac:dyDescent="0.3">
      <c r="A239" s="2">
        <v>15</v>
      </c>
      <c r="B239" s="2" t="s">
        <v>1714</v>
      </c>
      <c r="C239" s="60" t="s">
        <v>12170</v>
      </c>
      <c r="D239" s="1"/>
      <c r="E239" s="68"/>
      <c r="F239" s="70"/>
      <c r="G239" s="1"/>
      <c r="H239" s="68"/>
      <c r="I239" s="70"/>
      <c r="J239" s="1"/>
      <c r="K239" s="68"/>
      <c r="L239" s="70"/>
      <c r="M239" s="74"/>
      <c r="N239" s="62"/>
      <c r="O239" s="63"/>
      <c r="P239" s="83"/>
      <c r="Q239" s="64"/>
      <c r="R239" s="65"/>
      <c r="S239" s="99"/>
      <c r="T239" s="70"/>
      <c r="U239" s="99"/>
      <c r="V239" s="70"/>
      <c r="W239" s="74"/>
      <c r="X239" s="62"/>
      <c r="Y239" s="63"/>
      <c r="Z239" s="75"/>
      <c r="AA239" s="74"/>
      <c r="AB239" s="62"/>
      <c r="AC239" s="63"/>
      <c r="AD239" s="75"/>
      <c r="AE239" s="120">
        <f>ROUND((_15_同援日０．５*(1+_15・区４)),0)+ROUND((ROUND((_15_同援日０．５＿２．０*(1+_15・B夜間)),0)*(1+_15・区４)),0)+ROUND((ROUND((_15_同援日０．５＿２．０＿０．５*(1+_15・C深夜)),0)*(1+_15・区４)),0)</f>
        <v>1028</v>
      </c>
      <c r="AF239" s="69"/>
    </row>
    <row r="240" spans="1:32" ht="16.5" customHeight="1" x14ac:dyDescent="0.3">
      <c r="A240" s="2">
        <v>15</v>
      </c>
      <c r="B240" s="2" t="s">
        <v>1715</v>
      </c>
      <c r="C240" s="60" t="s">
        <v>12169</v>
      </c>
      <c r="D240" s="1"/>
      <c r="E240" s="68"/>
      <c r="F240" s="70"/>
      <c r="G240" s="1"/>
      <c r="H240" s="68"/>
      <c r="I240" s="70"/>
      <c r="J240" s="1"/>
      <c r="K240" s="68"/>
      <c r="L240" s="70"/>
      <c r="M240" s="81"/>
      <c r="N240" s="57"/>
      <c r="O240" s="58"/>
      <c r="P240" s="83" t="s">
        <v>5895</v>
      </c>
      <c r="Q240" s="64" t="s">
        <v>1</v>
      </c>
      <c r="R240" s="65">
        <v>1</v>
      </c>
      <c r="S240" s="99"/>
      <c r="T240" s="70"/>
      <c r="U240" s="99"/>
      <c r="V240" s="70"/>
      <c r="W240" s="1"/>
      <c r="X240" s="68"/>
      <c r="Y240" s="76"/>
      <c r="Z240" s="70"/>
      <c r="AA240" s="1"/>
      <c r="AB240" s="68"/>
      <c r="AC240" s="76"/>
      <c r="AD240" s="70"/>
      <c r="AE240" s="120">
        <f>ROUND((ROUND((_15_同援日０．５*_15・２人),0)*(1+_15・区４)),0)+ROUND((ROUND((ROUND((_15_同援日０．５＿２．０*_15・２人),0)*(1+_15・B夜間)),0)*(1+_15・区４)),0)+ROUND((ROUND((ROUND((_15_同援日０．５＿２．０＿０．５*_15・２人),0)*(1+_15・C深夜)),0)*(1+_15・区４)),0)</f>
        <v>1028</v>
      </c>
      <c r="AF240" s="69"/>
    </row>
    <row r="241" spans="1:32" ht="16.5" customHeight="1" x14ac:dyDescent="0.3">
      <c r="A241" s="2">
        <v>15</v>
      </c>
      <c r="B241" s="2" t="s">
        <v>1716</v>
      </c>
      <c r="C241" s="60" t="s">
        <v>12168</v>
      </c>
      <c r="D241" s="1"/>
      <c r="E241" s="68"/>
      <c r="F241" s="70"/>
      <c r="G241" s="1"/>
      <c r="H241" s="68"/>
      <c r="I241" s="70"/>
      <c r="J241" s="1"/>
      <c r="K241" s="68"/>
      <c r="L241" s="70"/>
      <c r="M241" s="74" t="s">
        <v>5898</v>
      </c>
      <c r="N241" s="62"/>
      <c r="O241" s="63"/>
      <c r="P241" s="83"/>
      <c r="Q241" s="64"/>
      <c r="R241" s="65"/>
      <c r="S241" s="99"/>
      <c r="T241" s="70"/>
      <c r="U241" s="99"/>
      <c r="V241" s="70"/>
      <c r="W241" s="1"/>
      <c r="X241" s="68"/>
      <c r="Y241" s="76"/>
      <c r="Z241" s="70"/>
      <c r="AA241" s="1" t="s">
        <v>8089</v>
      </c>
      <c r="AB241" s="68"/>
      <c r="AC241" s="76"/>
      <c r="AD241" s="70"/>
      <c r="AE241" s="228">
        <f>ROUND((ROUND((_15_同援日０．５*_15・基礎２),0)*(1+_15・区４)),0)+ROUND((ROUND((ROUND((_15_同援日０．５＿２．０*_15・基礎２),0)*(1+_15・B夜間)),0)*(1+_15・区４)),0)+ROUND((ROUND((ROUND((_15_同援日０．５＿２．０＿０．５*_15・基礎２),0)*(1+_15・C深夜)),0)*(1+_15・区４)),0)</f>
        <v>926</v>
      </c>
      <c r="AF241" s="69"/>
    </row>
    <row r="242" spans="1:32" ht="16.5" customHeight="1" x14ac:dyDescent="0.3">
      <c r="A242" s="2">
        <v>15</v>
      </c>
      <c r="B242" s="2" t="s">
        <v>1717</v>
      </c>
      <c r="C242" s="60" t="s">
        <v>12167</v>
      </c>
      <c r="D242" s="1"/>
      <c r="E242" s="68"/>
      <c r="F242" s="70"/>
      <c r="G242" s="1"/>
      <c r="H242" s="68"/>
      <c r="I242" s="70"/>
      <c r="J242" s="1"/>
      <c r="K242" s="68"/>
      <c r="L242" s="70"/>
      <c r="M242" s="81" t="s">
        <v>5896</v>
      </c>
      <c r="N242" s="57" t="s">
        <v>1</v>
      </c>
      <c r="O242" s="58">
        <v>0.9</v>
      </c>
      <c r="P242" s="83" t="s">
        <v>5895</v>
      </c>
      <c r="Q242" s="64" t="s">
        <v>1</v>
      </c>
      <c r="R242" s="65">
        <v>1</v>
      </c>
      <c r="S242" s="99"/>
      <c r="T242" s="70"/>
      <c r="U242" s="99"/>
      <c r="V242" s="70"/>
      <c r="W242" s="81"/>
      <c r="X242" s="57"/>
      <c r="Y242" s="58"/>
      <c r="Z242" s="77"/>
      <c r="AA242" s="1" t="s">
        <v>8087</v>
      </c>
      <c r="AB242" s="68"/>
      <c r="AC242" s="76"/>
      <c r="AD242" s="70"/>
      <c r="AE242" s="228">
        <f>ROUND((ROUND((ROUND((_15_同援日０．５*_15・基礎２),0)*_15・２人),0)*(1+_15・区４)),0)+ROUND((ROUND((ROUND((ROUND((_15_同援日０．５＿２．０*_15・基礎２),0)*_15・２人),0)*(1+_15・B夜間)),0)*(1+_15・区４)),0)+ROUND((ROUND((ROUND((ROUND((_15_同援日０．５＿２．０＿０．５*_15・基礎２),0)*_15・２人),0)*(1+_15・C深夜)),0)*(1+_15・区４)),0)</f>
        <v>926</v>
      </c>
      <c r="AF242" s="69"/>
    </row>
    <row r="243" spans="1:32" ht="16.5" customHeight="1" x14ac:dyDescent="0.3">
      <c r="A243" s="2">
        <v>15</v>
      </c>
      <c r="B243" s="2" t="s">
        <v>1718</v>
      </c>
      <c r="C243" s="60" t="s">
        <v>12166</v>
      </c>
      <c r="D243" s="1"/>
      <c r="E243" s="68"/>
      <c r="F243" s="70"/>
      <c r="G243" s="1"/>
      <c r="H243" s="68"/>
      <c r="I243" s="70"/>
      <c r="J243" s="1"/>
      <c r="K243" s="68"/>
      <c r="L243" s="70"/>
      <c r="M243" s="74"/>
      <c r="N243" s="62"/>
      <c r="O243" s="63"/>
      <c r="P243" s="83"/>
      <c r="Q243" s="64"/>
      <c r="R243" s="65"/>
      <c r="S243" s="99"/>
      <c r="T243" s="70"/>
      <c r="U243" s="99"/>
      <c r="V243" s="70"/>
      <c r="W243" s="74" t="s">
        <v>17987</v>
      </c>
      <c r="X243" s="62"/>
      <c r="Y243" s="63"/>
      <c r="Z243" s="75"/>
      <c r="AA243" s="1"/>
      <c r="AB243" s="68" t="s">
        <v>1</v>
      </c>
      <c r="AC243" s="76">
        <v>0.4</v>
      </c>
      <c r="AD243" s="70" t="s">
        <v>422</v>
      </c>
      <c r="AE243" s="228">
        <f>ROUND((ROUND((_15_同援日０．５*(1+_15・盲ろう)),0)*(1+_15・区４)),0)+ROUND((ROUND((ROUND((_15_同援日０．５＿２．０*(1+_15・B夜間)),0)*(1+_15・盲ろう)),0)*(1+_15・区４)),0)+ROUND((ROUND((ROUND((_15_同援日０．５＿２．０＿０．５*(1+_15・C深夜)),0)*(1+_15・盲ろう)),0)*(1+_15・区４)),0)</f>
        <v>1286</v>
      </c>
      <c r="AF243" s="69"/>
    </row>
    <row r="244" spans="1:32" ht="16.5" customHeight="1" x14ac:dyDescent="0.3">
      <c r="A244" s="2">
        <v>15</v>
      </c>
      <c r="B244" s="2" t="s">
        <v>1719</v>
      </c>
      <c r="C244" s="60" t="s">
        <v>12165</v>
      </c>
      <c r="D244" s="1"/>
      <c r="E244" s="68"/>
      <c r="F244" s="70"/>
      <c r="G244" s="1"/>
      <c r="H244" s="68"/>
      <c r="I244" s="70"/>
      <c r="J244" s="1"/>
      <c r="K244" s="68"/>
      <c r="L244" s="70"/>
      <c r="M244" s="81"/>
      <c r="N244" s="57"/>
      <c r="O244" s="58"/>
      <c r="P244" s="83" t="s">
        <v>5895</v>
      </c>
      <c r="Q244" s="64" t="s">
        <v>1</v>
      </c>
      <c r="R244" s="65">
        <v>1</v>
      </c>
      <c r="S244" s="99"/>
      <c r="T244" s="70"/>
      <c r="U244" s="99"/>
      <c r="V244" s="70"/>
      <c r="W244" s="1" t="s">
        <v>8083</v>
      </c>
      <c r="X244" s="68"/>
      <c r="Y244" s="76"/>
      <c r="Z244" s="70"/>
      <c r="AA244" s="1"/>
      <c r="AB244" s="68"/>
      <c r="AC244" s="76"/>
      <c r="AD244" s="70"/>
      <c r="AE244" s="228">
        <f>ROUND((ROUND((ROUND((_15_同援日０．５*_15・２人),0)*(1+_15・盲ろう)),0)*(1+_15・区４)),0)+ROUND((ROUND((ROUND((ROUND((_15_同援日０．５＿２．０*_15・２人),0)*(1+_15・B夜間)),0)*(1+_15・盲ろう)),0)*(1+_15・区４)),0)+ROUND((ROUND((ROUND((ROUND((_15_同援日０．５＿２．０＿０．５*_15・２人),0)*(1+_15・C深夜)),0)*(1+_15・盲ろう)),0)*(1+_15・区４)),0)</f>
        <v>1286</v>
      </c>
      <c r="AF244" s="69"/>
    </row>
    <row r="245" spans="1:32" ht="16.5" customHeight="1" x14ac:dyDescent="0.3">
      <c r="A245" s="2">
        <v>15</v>
      </c>
      <c r="B245" s="2" t="s">
        <v>1720</v>
      </c>
      <c r="C245" s="60" t="s">
        <v>12164</v>
      </c>
      <c r="D245" s="1"/>
      <c r="E245" s="68"/>
      <c r="F245" s="70"/>
      <c r="G245" s="1"/>
      <c r="H245" s="68"/>
      <c r="I245" s="70"/>
      <c r="J245" s="1"/>
      <c r="K245" s="68"/>
      <c r="L245" s="70"/>
      <c r="M245" s="74" t="s">
        <v>5898</v>
      </c>
      <c r="N245" s="62"/>
      <c r="O245" s="63"/>
      <c r="P245" s="83"/>
      <c r="Q245" s="64"/>
      <c r="R245" s="65"/>
      <c r="S245" s="99"/>
      <c r="T245" s="70"/>
      <c r="U245" s="99"/>
      <c r="V245" s="70"/>
      <c r="W245" s="1"/>
      <c r="X245" s="68" t="s">
        <v>1</v>
      </c>
      <c r="Y245" s="76">
        <v>0.25</v>
      </c>
      <c r="Z245" s="70" t="s">
        <v>422</v>
      </c>
      <c r="AA245" s="1"/>
      <c r="AB245" s="68"/>
      <c r="AC245" s="76"/>
      <c r="AD245" s="70"/>
      <c r="AE245" s="228">
        <f>ROUND((ROUND((ROUND((_15_同援日０．５*_15・基礎２),0)*(1+_15・盲ろう)),0)*(1+_15・区４)),0)+ROUND((ROUND((ROUND((ROUND((_15_同援日０．５＿２．０*_15・基礎２),0)*(1+_15・B夜間)),0)*(1+_15・盲ろう)),0)*(1+_15・区４)),0)+ROUND((ROUND((ROUND((ROUND((_15_同援日０．５＿２．０＿０．５*_15・基礎２),0)*(1+_15・C深夜)),0)*(1+_15・盲ろう)),0)*(1+_15・区４)),0)</f>
        <v>1160</v>
      </c>
      <c r="AF245" s="69"/>
    </row>
    <row r="246" spans="1:32" ht="16.5" customHeight="1" x14ac:dyDescent="0.3">
      <c r="A246" s="2">
        <v>15</v>
      </c>
      <c r="B246" s="2" t="s">
        <v>1721</v>
      </c>
      <c r="C246" s="60" t="s">
        <v>12163</v>
      </c>
      <c r="D246" s="81"/>
      <c r="E246" s="57"/>
      <c r="F246" s="77"/>
      <c r="G246" s="81"/>
      <c r="H246" s="57"/>
      <c r="I246" s="77"/>
      <c r="J246" s="1"/>
      <c r="K246" s="68"/>
      <c r="L246" s="70"/>
      <c r="M246" s="81" t="s">
        <v>5896</v>
      </c>
      <c r="N246" s="57" t="s">
        <v>1</v>
      </c>
      <c r="O246" s="58">
        <v>0.9</v>
      </c>
      <c r="P246" s="83" t="s">
        <v>5895</v>
      </c>
      <c r="Q246" s="64" t="s">
        <v>1</v>
      </c>
      <c r="R246" s="65">
        <v>1</v>
      </c>
      <c r="S246" s="99"/>
      <c r="T246" s="70"/>
      <c r="U246" s="99"/>
      <c r="V246" s="70"/>
      <c r="W246" s="81"/>
      <c r="X246" s="57"/>
      <c r="Y246" s="58"/>
      <c r="Z246" s="77"/>
      <c r="AA246" s="81"/>
      <c r="AB246" s="57"/>
      <c r="AC246" s="58"/>
      <c r="AD246" s="77"/>
      <c r="AE246" s="228">
        <f>ROUND((ROUND((ROUND((ROUND((_15_同援日０．５*_15・基礎２),0)*_15・２人),0)*(1+_15・盲ろう)),0)*(1+_15・区４)),0)+ROUND((ROUND((ROUND((ROUND((ROUND((_15_同援日０．５＿２．０*_15・基礎２),0)*_15・２人),0)*(1+_15・B夜間)),0)*(1+_15・盲ろう)),0)*(1+_15・区４)),0)+ROUND((ROUND((ROUND((ROUND((ROUND((_15_同援日０．５＿２．０＿０．５*_15・基礎２),0)*_15・２人),0)*(1+_15・C深夜)),0)*(1+_15・盲ろう)),0)*(1+_15・区４)),0)</f>
        <v>1160</v>
      </c>
      <c r="AF246" s="69"/>
    </row>
    <row r="247" spans="1:32" ht="16.5" customHeight="1" x14ac:dyDescent="0.3">
      <c r="A247" s="2">
        <v>15</v>
      </c>
      <c r="B247" s="2" t="s">
        <v>1722</v>
      </c>
      <c r="C247" s="60" t="s">
        <v>12162</v>
      </c>
      <c r="D247" s="233" t="s">
        <v>18160</v>
      </c>
      <c r="E247" s="235"/>
      <c r="F247" s="75"/>
      <c r="G247" s="233" t="s">
        <v>17869</v>
      </c>
      <c r="H247" s="62"/>
      <c r="I247" s="75"/>
      <c r="J247" s="74" t="s">
        <v>17867</v>
      </c>
      <c r="K247" s="62"/>
      <c r="L247" s="75"/>
      <c r="M247" s="74"/>
      <c r="N247" s="62"/>
      <c r="O247" s="63"/>
      <c r="P247" s="83"/>
      <c r="Q247" s="64"/>
      <c r="R247" s="65"/>
      <c r="S247" s="99"/>
      <c r="T247" s="70"/>
      <c r="U247" s="99"/>
      <c r="V247" s="70"/>
      <c r="W247" s="74"/>
      <c r="X247" s="62"/>
      <c r="Y247" s="63"/>
      <c r="Z247" s="75"/>
      <c r="AA247" s="74"/>
      <c r="AB247" s="62"/>
      <c r="AC247" s="63"/>
      <c r="AD247" s="75"/>
      <c r="AE247" s="228">
        <f>_15_同援日１．０+ROUND((_15_同援日１．０＿０．５*(1+_15・B夜間)),0)+ROUND((_15_同援日１．０＿０．５＿０．５*(1+_15・C深夜)),0)</f>
        <v>549</v>
      </c>
      <c r="AF247" s="69"/>
    </row>
    <row r="248" spans="1:32" ht="16.5" customHeight="1" x14ac:dyDescent="0.3">
      <c r="A248" s="2">
        <v>15</v>
      </c>
      <c r="B248" s="2" t="s">
        <v>1723</v>
      </c>
      <c r="C248" s="60" t="s">
        <v>12161</v>
      </c>
      <c r="D248" s="1" t="s">
        <v>18155</v>
      </c>
      <c r="E248" s="68"/>
      <c r="F248" s="70"/>
      <c r="G248" s="1" t="s">
        <v>7928</v>
      </c>
      <c r="H248" s="68"/>
      <c r="I248" s="70"/>
      <c r="J248" s="1" t="s">
        <v>7928</v>
      </c>
      <c r="K248" s="68"/>
      <c r="L248" s="70"/>
      <c r="M248" s="81"/>
      <c r="N248" s="57"/>
      <c r="O248" s="58"/>
      <c r="P248" s="83" t="s">
        <v>5895</v>
      </c>
      <c r="Q248" s="64" t="s">
        <v>1</v>
      </c>
      <c r="R248" s="65">
        <v>1</v>
      </c>
      <c r="S248" s="99"/>
      <c r="T248" s="70"/>
      <c r="U248" s="99"/>
      <c r="V248" s="70"/>
      <c r="W248" s="1"/>
      <c r="X248" s="68"/>
      <c r="Y248" s="76"/>
      <c r="Z248" s="70"/>
      <c r="AA248" s="1"/>
      <c r="AB248" s="68"/>
      <c r="AC248" s="76"/>
      <c r="AD248" s="70"/>
      <c r="AE248" s="228">
        <f>ROUND((_15_同援日１．０*_15・２人),0)+ROUND((ROUND((_15_同援日１．０＿０．５*_15・２人),0)*(1+_15・B夜間)),0)+ROUND((ROUND((_15_同援日１．０＿０．５＿０．５*_15・２人),0)*(1+_15・C深夜)),0)</f>
        <v>549</v>
      </c>
      <c r="AF248" s="69"/>
    </row>
    <row r="249" spans="1:32" ht="16.5" customHeight="1" x14ac:dyDescent="0.3">
      <c r="A249" s="2">
        <v>15</v>
      </c>
      <c r="B249" s="2" t="s">
        <v>1724</v>
      </c>
      <c r="C249" s="60" t="s">
        <v>12160</v>
      </c>
      <c r="D249" s="1" t="s">
        <v>8572</v>
      </c>
      <c r="E249" s="68"/>
      <c r="F249" s="70"/>
      <c r="G249" s="1"/>
      <c r="H249" s="68"/>
      <c r="I249" s="70"/>
      <c r="J249" s="1"/>
      <c r="K249" s="68"/>
      <c r="L249" s="70"/>
      <c r="M249" s="74" t="s">
        <v>17972</v>
      </c>
      <c r="N249" s="62"/>
      <c r="O249" s="63"/>
      <c r="P249" s="83"/>
      <c r="Q249" s="64"/>
      <c r="R249" s="65"/>
      <c r="S249" s="99"/>
      <c r="T249" s="70"/>
      <c r="U249" s="99"/>
      <c r="V249" s="70"/>
      <c r="W249" s="1"/>
      <c r="X249" s="68"/>
      <c r="Y249" s="76"/>
      <c r="Z249" s="70"/>
      <c r="AA249" s="1"/>
      <c r="AB249" s="68"/>
      <c r="AC249" s="76"/>
      <c r="AD249" s="70"/>
      <c r="AE249" s="228">
        <f>ROUND((_15_同援日１．０*_15・基礎２),0)+ROUND((ROUND((_15_同援日１．０＿０．５*_15・基礎２),0)*(1+_15・B夜間)),0)+ROUND((ROUND((_15_同援日１．０＿０．５＿０．５*_15・基礎２),0)*(1+_15・C深夜)),0)</f>
        <v>495</v>
      </c>
      <c r="AF249" s="69"/>
    </row>
    <row r="250" spans="1:32" ht="16.5" customHeight="1" x14ac:dyDescent="0.3">
      <c r="A250" s="2">
        <v>15</v>
      </c>
      <c r="B250" s="2" t="s">
        <v>1725</v>
      </c>
      <c r="C250" s="60" t="s">
        <v>12159</v>
      </c>
      <c r="D250" s="1"/>
      <c r="E250" s="227">
        <v>292</v>
      </c>
      <c r="F250" s="70" t="s">
        <v>0</v>
      </c>
      <c r="G250" s="1"/>
      <c r="H250" s="119">
        <v>129</v>
      </c>
      <c r="I250" s="70" t="s">
        <v>0</v>
      </c>
      <c r="J250" s="1"/>
      <c r="K250" s="119">
        <v>64</v>
      </c>
      <c r="L250" s="70" t="s">
        <v>0</v>
      </c>
      <c r="M250" s="81" t="s">
        <v>17864</v>
      </c>
      <c r="N250" s="57" t="s">
        <v>1</v>
      </c>
      <c r="O250" s="58">
        <v>0.9</v>
      </c>
      <c r="P250" s="83" t="s">
        <v>5895</v>
      </c>
      <c r="Q250" s="64" t="s">
        <v>1</v>
      </c>
      <c r="R250" s="65">
        <v>1</v>
      </c>
      <c r="S250" s="99"/>
      <c r="T250" s="70"/>
      <c r="U250" s="99"/>
      <c r="V250" s="70"/>
      <c r="W250" s="81"/>
      <c r="X250" s="57"/>
      <c r="Y250" s="58"/>
      <c r="Z250" s="77"/>
      <c r="AA250" s="1"/>
      <c r="AB250" s="68"/>
      <c r="AC250" s="76"/>
      <c r="AD250" s="70"/>
      <c r="AE250" s="228">
        <f>ROUND((ROUND((_15_同援日１．０*_15・基礎２),0)*_15・２人),0)+ROUND((ROUND((ROUND((_15_同援日１．０＿０．５*_15・基礎２),0)*_15・２人),0)*(1+_15・B夜間)),0)+ROUND((ROUND((ROUND((_15_同援日１．０＿０．５＿０．５*_15・基礎２),0)*_15・２人),0)*(1+_15・C深夜)),0)</f>
        <v>495</v>
      </c>
      <c r="AF250" s="69"/>
    </row>
    <row r="251" spans="1:32" ht="16.5" customHeight="1" x14ac:dyDescent="0.3">
      <c r="A251" s="2">
        <v>15</v>
      </c>
      <c r="B251" s="2" t="s">
        <v>1726</v>
      </c>
      <c r="C251" s="60" t="s">
        <v>12158</v>
      </c>
      <c r="D251" s="1"/>
      <c r="E251" s="68"/>
      <c r="F251" s="70"/>
      <c r="G251" s="1"/>
      <c r="H251" s="68"/>
      <c r="I251" s="70"/>
      <c r="J251" s="1"/>
      <c r="K251" s="68"/>
      <c r="L251" s="70"/>
      <c r="M251" s="74"/>
      <c r="N251" s="62"/>
      <c r="O251" s="63"/>
      <c r="P251" s="83"/>
      <c r="Q251" s="64"/>
      <c r="R251" s="65"/>
      <c r="S251" s="99"/>
      <c r="T251" s="70"/>
      <c r="U251" s="99"/>
      <c r="V251" s="70"/>
      <c r="W251" s="74" t="s">
        <v>17987</v>
      </c>
      <c r="X251" s="62"/>
      <c r="Y251" s="63"/>
      <c r="Z251" s="75"/>
      <c r="AA251" s="1"/>
      <c r="AB251" s="68"/>
      <c r="AC251" s="76"/>
      <c r="AD251" s="70"/>
      <c r="AE251" s="228">
        <f>ROUND((_15_同援日１．０*(1+_15・盲ろう)),0)+ROUND((ROUND((_15_同援日１．０＿０．５*(1+_15・B夜間)),0)*(1+_15・盲ろう)),0)+ROUND((ROUND((_15_同援日１．０＿０．５＿０．５*(1+_15・C深夜)),0)*(1+_15・盲ろう)),0)</f>
        <v>686</v>
      </c>
      <c r="AF251" s="69"/>
    </row>
    <row r="252" spans="1:32" ht="16.5" customHeight="1" x14ac:dyDescent="0.3">
      <c r="A252" s="2">
        <v>15</v>
      </c>
      <c r="B252" s="2" t="s">
        <v>1727</v>
      </c>
      <c r="C252" s="60" t="s">
        <v>12157</v>
      </c>
      <c r="D252" s="1"/>
      <c r="E252" s="68"/>
      <c r="F252" s="70"/>
      <c r="G252" s="1"/>
      <c r="H252" s="68"/>
      <c r="I252" s="70"/>
      <c r="J252" s="1"/>
      <c r="K252" s="68"/>
      <c r="L252" s="70"/>
      <c r="M252" s="81"/>
      <c r="N252" s="57"/>
      <c r="O252" s="58"/>
      <c r="P252" s="83" t="s">
        <v>5895</v>
      </c>
      <c r="Q252" s="64" t="s">
        <v>1</v>
      </c>
      <c r="R252" s="65">
        <v>1</v>
      </c>
      <c r="S252" s="99"/>
      <c r="T252" s="70"/>
      <c r="U252" s="99"/>
      <c r="V252" s="70"/>
      <c r="W252" s="1" t="s">
        <v>17973</v>
      </c>
      <c r="X252" s="68"/>
      <c r="Y252" s="76"/>
      <c r="Z252" s="70"/>
      <c r="AA252" s="1"/>
      <c r="AB252" s="68"/>
      <c r="AC252" s="76"/>
      <c r="AD252" s="70"/>
      <c r="AE252" s="228">
        <f>ROUND((ROUND((_15_同援日１．０*_15・２人),0)*(1+_15・盲ろう)),0)+ROUND((ROUND((ROUND((_15_同援日１．０＿０．５*_15・２人),0)*(1+_15・B夜間)),0)*(1+_15・盲ろう)),0)+ROUND((ROUND((ROUND((_15_同援日１．０＿０．５＿０．５*_15・２人),0)*(1+_15・C深夜)),0)*(1+_15・盲ろう)),0)</f>
        <v>686</v>
      </c>
      <c r="AF252" s="69"/>
    </row>
    <row r="253" spans="1:32" ht="16.5" customHeight="1" x14ac:dyDescent="0.3">
      <c r="A253" s="2">
        <v>15</v>
      </c>
      <c r="B253" s="2" t="s">
        <v>1728</v>
      </c>
      <c r="C253" s="60" t="s">
        <v>12156</v>
      </c>
      <c r="D253" s="1"/>
      <c r="E253" s="68"/>
      <c r="F253" s="70"/>
      <c r="G253" s="1"/>
      <c r="H253" s="68"/>
      <c r="I253" s="70"/>
      <c r="J253" s="1"/>
      <c r="K253" s="68"/>
      <c r="L253" s="70"/>
      <c r="M253" s="74" t="s">
        <v>17972</v>
      </c>
      <c r="N253" s="62"/>
      <c r="O253" s="63"/>
      <c r="P253" s="83"/>
      <c r="Q253" s="64"/>
      <c r="R253" s="65"/>
      <c r="S253" s="99"/>
      <c r="T253" s="70"/>
      <c r="U253" s="99"/>
      <c r="V253" s="70"/>
      <c r="W253" s="1"/>
      <c r="X253" s="68" t="s">
        <v>1</v>
      </c>
      <c r="Y253" s="76">
        <v>0.25</v>
      </c>
      <c r="Z253" s="70" t="s">
        <v>422</v>
      </c>
      <c r="AA253" s="1"/>
      <c r="AB253" s="68"/>
      <c r="AC253" s="76"/>
      <c r="AD253" s="70"/>
      <c r="AE253" s="228">
        <f>ROUND((ROUND((_15_同援日１．０*_15・基礎２),0)*(1+_15・盲ろう)),0)+ROUND((ROUND((ROUND((_15_同援日１．０＿０．５*_15・基礎２),0)*(1+_15・B夜間)),0)*(1+_15・盲ろう)),0)+ROUND((ROUND((ROUND((_15_同援日１．０＿０．５＿０．５*_15・基礎２),0)*(1+_15・C深夜)),0)*(1+_15・盲ろう)),0)</f>
        <v>619</v>
      </c>
      <c r="AF253" s="69"/>
    </row>
    <row r="254" spans="1:32" ht="16.5" customHeight="1" x14ac:dyDescent="0.3">
      <c r="A254" s="2">
        <v>15</v>
      </c>
      <c r="B254" s="2" t="s">
        <v>1729</v>
      </c>
      <c r="C254" s="60" t="s">
        <v>12155</v>
      </c>
      <c r="D254" s="1"/>
      <c r="E254" s="68"/>
      <c r="F254" s="70"/>
      <c r="G254" s="1"/>
      <c r="H254" s="68"/>
      <c r="I254" s="70"/>
      <c r="J254" s="1"/>
      <c r="K254" s="68"/>
      <c r="L254" s="70"/>
      <c r="M254" s="81" t="s">
        <v>17864</v>
      </c>
      <c r="N254" s="57" t="s">
        <v>1</v>
      </c>
      <c r="O254" s="58">
        <v>0.9</v>
      </c>
      <c r="P254" s="83" t="s">
        <v>5895</v>
      </c>
      <c r="Q254" s="64" t="s">
        <v>1</v>
      </c>
      <c r="R254" s="65">
        <v>1</v>
      </c>
      <c r="S254" s="99"/>
      <c r="T254" s="70"/>
      <c r="U254" s="99"/>
      <c r="V254" s="70"/>
      <c r="W254" s="81"/>
      <c r="X254" s="57"/>
      <c r="Y254" s="58"/>
      <c r="Z254" s="77"/>
      <c r="AA254" s="81"/>
      <c r="AB254" s="57"/>
      <c r="AC254" s="58"/>
      <c r="AD254" s="77"/>
      <c r="AE254" s="228">
        <f>ROUND((ROUND((ROUND((_15_同援日１．０*_15・基礎２),0)*_15・２人),0)*(1+_15・盲ろう)),0)+ROUND((ROUND((ROUND((ROUND((_15_同援日１．０＿０．５*_15・基礎２),0)*_15・２人),0)*(1+_15・B夜間)),0)*(1+_15・盲ろう)),0)+ROUND((ROUND((ROUND((ROUND((_15_同援日１．０＿０．５＿０．５*_15・基礎２),0)*_15・２人),0)*(1+_15・C深夜)),0)*(1+_15・盲ろう)),0)</f>
        <v>619</v>
      </c>
      <c r="AF254" s="69"/>
    </row>
    <row r="255" spans="1:32" ht="16.5" customHeight="1" x14ac:dyDescent="0.3">
      <c r="A255" s="2">
        <v>15</v>
      </c>
      <c r="B255" s="2" t="s">
        <v>1730</v>
      </c>
      <c r="C255" s="60" t="s">
        <v>12154</v>
      </c>
      <c r="D255" s="1"/>
      <c r="E255" s="68"/>
      <c r="F255" s="70"/>
      <c r="G255" s="1"/>
      <c r="H255" s="68"/>
      <c r="I255" s="70"/>
      <c r="J255" s="1"/>
      <c r="K255" s="68"/>
      <c r="L255" s="70"/>
      <c r="M255" s="74"/>
      <c r="N255" s="62"/>
      <c r="O255" s="63"/>
      <c r="P255" s="83"/>
      <c r="Q255" s="64"/>
      <c r="R255" s="65"/>
      <c r="S255" s="99"/>
      <c r="T255" s="70"/>
      <c r="U255" s="99"/>
      <c r="V255" s="70"/>
      <c r="W255" s="74"/>
      <c r="X255" s="62"/>
      <c r="Y255" s="63"/>
      <c r="Z255" s="75"/>
      <c r="AA255" s="74"/>
      <c r="AB255" s="62"/>
      <c r="AC255" s="63"/>
      <c r="AD255" s="75"/>
      <c r="AE255" s="228">
        <f>ROUND((_15_同援日１．０*(1+_15・区３)),0)+ROUND((ROUND((_15_同援日１．０＿０．５*(1+_15・B夜間)),0)*(1+_15・区３)),0)+ROUND((ROUND((_15_同援日１．０＿０．５＿０．５*(1+_15・C深夜)),0)*(1+_15・区３)),0)</f>
        <v>658</v>
      </c>
      <c r="AF255" s="69"/>
    </row>
    <row r="256" spans="1:32" ht="16.5" customHeight="1" x14ac:dyDescent="0.3">
      <c r="A256" s="2">
        <v>15</v>
      </c>
      <c r="B256" s="2" t="s">
        <v>1731</v>
      </c>
      <c r="C256" s="60" t="s">
        <v>12153</v>
      </c>
      <c r="D256" s="1"/>
      <c r="E256" s="68"/>
      <c r="F256" s="70"/>
      <c r="G256" s="1"/>
      <c r="H256" s="68"/>
      <c r="I256" s="70"/>
      <c r="J256" s="1"/>
      <c r="K256" s="68"/>
      <c r="L256" s="70"/>
      <c r="M256" s="81"/>
      <c r="N256" s="57"/>
      <c r="O256" s="58"/>
      <c r="P256" s="83" t="s">
        <v>5895</v>
      </c>
      <c r="Q256" s="64" t="s">
        <v>1</v>
      </c>
      <c r="R256" s="65">
        <v>1</v>
      </c>
      <c r="S256" s="99"/>
      <c r="T256" s="70"/>
      <c r="U256" s="99"/>
      <c r="V256" s="70"/>
      <c r="W256" s="1"/>
      <c r="X256" s="68"/>
      <c r="Y256" s="76"/>
      <c r="Z256" s="70"/>
      <c r="AA256" s="1"/>
      <c r="AB256" s="68"/>
      <c r="AC256" s="76"/>
      <c r="AD256" s="70"/>
      <c r="AE256" s="228">
        <f>ROUND((ROUND((_15_同援日１．０*_15・２人),0)*(1+_15・区３)),0)+ROUND((ROUND((ROUND((_15_同援日１．０＿０．５*_15・２人),0)*(1+_15・B夜間)),0)*(1+_15・区３)),0)+ROUND((ROUND((ROUND((_15_同援日１．０＿０．５＿０．５*_15・２人),0)*(1+_15・C深夜)),0)*(1+_15・区３)),0)</f>
        <v>658</v>
      </c>
      <c r="AF256" s="69"/>
    </row>
    <row r="257" spans="1:32" ht="16.5" customHeight="1" x14ac:dyDescent="0.3">
      <c r="A257" s="2">
        <v>15</v>
      </c>
      <c r="B257" s="2" t="s">
        <v>1732</v>
      </c>
      <c r="C257" s="60" t="s">
        <v>12152</v>
      </c>
      <c r="D257" s="1"/>
      <c r="E257" s="68"/>
      <c r="F257" s="70"/>
      <c r="G257" s="1"/>
      <c r="H257" s="68"/>
      <c r="I257" s="70"/>
      <c r="J257" s="1"/>
      <c r="K257" s="68"/>
      <c r="L257" s="70"/>
      <c r="M257" s="74" t="s">
        <v>17972</v>
      </c>
      <c r="N257" s="62"/>
      <c r="O257" s="63"/>
      <c r="P257" s="83"/>
      <c r="Q257" s="64"/>
      <c r="R257" s="65"/>
      <c r="S257" s="99"/>
      <c r="T257" s="70"/>
      <c r="U257" s="99"/>
      <c r="V257" s="70"/>
      <c r="W257" s="1"/>
      <c r="X257" s="68"/>
      <c r="Y257" s="76"/>
      <c r="Z257" s="70"/>
      <c r="AA257" s="1" t="s">
        <v>17997</v>
      </c>
      <c r="AB257" s="68"/>
      <c r="AC257" s="76"/>
      <c r="AD257" s="70"/>
      <c r="AE257" s="228">
        <f>ROUND((ROUND((_15_同援日１．０*_15・基礎２),0)*(1+_15・区３)),0)+ROUND((ROUND((ROUND((_15_同援日１．０＿０．５*_15・基礎２),0)*(1+_15・B夜間)),0)*(1+_15・区３)),0)+ROUND((ROUND((ROUND((_15_同援日１．０＿０．５＿０．５*_15・基礎２),0)*(1+_15・C深夜)),0)*(1+_15・区３)),0)</f>
        <v>594</v>
      </c>
      <c r="AF257" s="69"/>
    </row>
    <row r="258" spans="1:32" ht="16.5" customHeight="1" x14ac:dyDescent="0.3">
      <c r="A258" s="2">
        <v>15</v>
      </c>
      <c r="B258" s="2" t="s">
        <v>1733</v>
      </c>
      <c r="C258" s="60" t="s">
        <v>12151</v>
      </c>
      <c r="D258" s="1"/>
      <c r="E258" s="68"/>
      <c r="F258" s="70"/>
      <c r="G258" s="1"/>
      <c r="H258" s="68"/>
      <c r="I258" s="70"/>
      <c r="J258" s="1"/>
      <c r="K258" s="68"/>
      <c r="L258" s="70"/>
      <c r="M258" s="81" t="s">
        <v>17864</v>
      </c>
      <c r="N258" s="57" t="s">
        <v>1</v>
      </c>
      <c r="O258" s="58">
        <v>0.9</v>
      </c>
      <c r="P258" s="83" t="s">
        <v>5895</v>
      </c>
      <c r="Q258" s="64" t="s">
        <v>1</v>
      </c>
      <c r="R258" s="65">
        <v>1</v>
      </c>
      <c r="S258" s="99"/>
      <c r="T258" s="70"/>
      <c r="U258" s="99"/>
      <c r="V258" s="70"/>
      <c r="W258" s="81"/>
      <c r="X258" s="57"/>
      <c r="Y258" s="58"/>
      <c r="Z258" s="77"/>
      <c r="AA258" s="1" t="s">
        <v>17980</v>
      </c>
      <c r="AB258" s="68"/>
      <c r="AC258" s="76"/>
      <c r="AD258" s="70"/>
      <c r="AE258" s="228">
        <f>ROUND((ROUND((ROUND((_15_同援日１．０*_15・基礎２),0)*_15・２人),0)*(1+_15・区３)),0)+ROUND((ROUND((ROUND((ROUND((_15_同援日１．０＿０．５*_15・基礎２),0)*_15・２人),0)*(1+_15・B夜間)),0)*(1+_15・区３)),0)+ROUND((ROUND((ROUND((ROUND((_15_同援日１．０＿０．５＿０．５*_15・基礎２),0)*_15・２人),0)*(1+_15・C深夜)),0)*(1+_15・区３)),0)</f>
        <v>594</v>
      </c>
      <c r="AF258" s="69"/>
    </row>
    <row r="259" spans="1:32" ht="16.5" customHeight="1" x14ac:dyDescent="0.3">
      <c r="A259" s="2">
        <v>15</v>
      </c>
      <c r="B259" s="2" t="s">
        <v>1734</v>
      </c>
      <c r="C259" s="60" t="s">
        <v>12150</v>
      </c>
      <c r="D259" s="1"/>
      <c r="E259" s="68"/>
      <c r="F259" s="70"/>
      <c r="G259" s="1"/>
      <c r="H259" s="68"/>
      <c r="I259" s="70"/>
      <c r="J259" s="1"/>
      <c r="K259" s="68"/>
      <c r="L259" s="70"/>
      <c r="M259" s="74"/>
      <c r="N259" s="62"/>
      <c r="O259" s="63"/>
      <c r="P259" s="83"/>
      <c r="Q259" s="64"/>
      <c r="R259" s="65"/>
      <c r="S259" s="99"/>
      <c r="T259" s="70"/>
      <c r="U259" s="99"/>
      <c r="V259" s="70"/>
      <c r="W259" s="74" t="s">
        <v>17987</v>
      </c>
      <c r="X259" s="62"/>
      <c r="Y259" s="63"/>
      <c r="Z259" s="75"/>
      <c r="AA259" s="1"/>
      <c r="AB259" s="68" t="s">
        <v>1</v>
      </c>
      <c r="AC259" s="76">
        <v>0.2</v>
      </c>
      <c r="AD259" s="70" t="s">
        <v>422</v>
      </c>
      <c r="AE259" s="228">
        <f>ROUND((ROUND((_15_同援日１．０*(1+_15・盲ろう)),0)*(1+_15・区３)),0)+ROUND((ROUND((ROUND((_15_同援日１．０＿０．５*(1+_15・B夜間)),0)*(1+_15・盲ろう)),0)*(1+_15・区３)),0)+ROUND((ROUND((ROUND((_15_同援日１．０＿０．５＿０．５*(1+_15・C深夜)),0)*(1+_15・盲ろう)),0)*(1+_15・区３)),0)</f>
        <v>823</v>
      </c>
      <c r="AF259" s="69"/>
    </row>
    <row r="260" spans="1:32" ht="16.5" customHeight="1" x14ac:dyDescent="0.3">
      <c r="A260" s="2">
        <v>15</v>
      </c>
      <c r="B260" s="2" t="s">
        <v>1735</v>
      </c>
      <c r="C260" s="60" t="s">
        <v>12149</v>
      </c>
      <c r="D260" s="1"/>
      <c r="E260" s="68"/>
      <c r="F260" s="70"/>
      <c r="G260" s="1"/>
      <c r="H260" s="68"/>
      <c r="I260" s="70"/>
      <c r="J260" s="1"/>
      <c r="K260" s="68"/>
      <c r="L260" s="70"/>
      <c r="M260" s="81"/>
      <c r="N260" s="57"/>
      <c r="O260" s="58"/>
      <c r="P260" s="83" t="s">
        <v>5895</v>
      </c>
      <c r="Q260" s="64" t="s">
        <v>1</v>
      </c>
      <c r="R260" s="65">
        <v>1</v>
      </c>
      <c r="S260" s="99"/>
      <c r="T260" s="70"/>
      <c r="U260" s="99"/>
      <c r="V260" s="70"/>
      <c r="W260" s="1" t="s">
        <v>17973</v>
      </c>
      <c r="X260" s="68"/>
      <c r="Y260" s="76"/>
      <c r="Z260" s="70"/>
      <c r="AA260" s="1"/>
      <c r="AB260" s="68"/>
      <c r="AC260" s="76"/>
      <c r="AD260" s="70"/>
      <c r="AE260" s="228">
        <f>ROUND((ROUND((ROUND((_15_同援日１．０*_15・２人),0)*(1+_15・盲ろう)),0)*(1+_15・区３)),0)+ROUND((ROUND((ROUND((ROUND((_15_同援日１．０＿０．５*_15・２人),0)*(1+_15・B夜間)),0)*(1+_15・盲ろう)),0)*(1+_15・区３)),0)+ROUND((ROUND((ROUND((ROUND((_15_同援日１．０＿０．５＿０．５*_15・２人),0)*(1+_15・C深夜)),0)*(1+_15・盲ろう)),0)*(1+_15・区３)),0)</f>
        <v>823</v>
      </c>
      <c r="AF260" s="69"/>
    </row>
    <row r="261" spans="1:32" ht="16.5" customHeight="1" x14ac:dyDescent="0.3">
      <c r="A261" s="2">
        <v>15</v>
      </c>
      <c r="B261" s="2" t="s">
        <v>1736</v>
      </c>
      <c r="C261" s="60" t="s">
        <v>12148</v>
      </c>
      <c r="D261" s="1"/>
      <c r="E261" s="68"/>
      <c r="F261" s="70"/>
      <c r="G261" s="1"/>
      <c r="H261" s="68"/>
      <c r="I261" s="70"/>
      <c r="J261" s="1"/>
      <c r="K261" s="68"/>
      <c r="L261" s="70"/>
      <c r="M261" s="74" t="s">
        <v>17972</v>
      </c>
      <c r="N261" s="62"/>
      <c r="O261" s="63"/>
      <c r="P261" s="83"/>
      <c r="Q261" s="64"/>
      <c r="R261" s="65"/>
      <c r="S261" s="99"/>
      <c r="T261" s="70"/>
      <c r="U261" s="99"/>
      <c r="V261" s="70"/>
      <c r="W261" s="1"/>
      <c r="X261" s="68" t="s">
        <v>1</v>
      </c>
      <c r="Y261" s="76">
        <v>0.25</v>
      </c>
      <c r="Z261" s="70" t="s">
        <v>422</v>
      </c>
      <c r="AA261" s="1"/>
      <c r="AB261" s="68"/>
      <c r="AC261" s="76"/>
      <c r="AD261" s="70"/>
      <c r="AE261" s="228">
        <f>ROUND((ROUND((ROUND((_15_同援日１．０*_15・基礎２),0)*(1+_15・盲ろう)),0)*(1+_15・区３)),0)+ROUND((ROUND((ROUND((ROUND((_15_同援日１．０＿０．５*_15・基礎２),0)*(1+_15・B夜間)),0)*(1+_15・盲ろう)),0)*(1+_15・区３)),0)+ROUND((ROUND((ROUND((ROUND((_15_同援日１．０＿０．５＿０．５*_15・基礎２),0)*(1+_15・C深夜)),0)*(1+_15・盲ろう)),0)*(1+_15・区３)),0)</f>
        <v>743</v>
      </c>
      <c r="AF261" s="69"/>
    </row>
    <row r="262" spans="1:32" ht="16.5" customHeight="1" x14ac:dyDescent="0.3">
      <c r="A262" s="2">
        <v>15</v>
      </c>
      <c r="B262" s="2" t="s">
        <v>1737</v>
      </c>
      <c r="C262" s="60" t="s">
        <v>12147</v>
      </c>
      <c r="D262" s="1"/>
      <c r="E262" s="68"/>
      <c r="F262" s="70"/>
      <c r="G262" s="1"/>
      <c r="H262" s="68"/>
      <c r="I262" s="70"/>
      <c r="J262" s="1"/>
      <c r="K262" s="68"/>
      <c r="L262" s="70"/>
      <c r="M262" s="81" t="s">
        <v>17864</v>
      </c>
      <c r="N262" s="57" t="s">
        <v>1</v>
      </c>
      <c r="O262" s="58">
        <v>0.9</v>
      </c>
      <c r="P262" s="83" t="s">
        <v>5895</v>
      </c>
      <c r="Q262" s="64" t="s">
        <v>1</v>
      </c>
      <c r="R262" s="65">
        <v>1</v>
      </c>
      <c r="S262" s="99"/>
      <c r="T262" s="70"/>
      <c r="U262" s="99"/>
      <c r="V262" s="70"/>
      <c r="W262" s="81"/>
      <c r="X262" s="57"/>
      <c r="Y262" s="58"/>
      <c r="Z262" s="77"/>
      <c r="AA262" s="81"/>
      <c r="AB262" s="57"/>
      <c r="AC262" s="58"/>
      <c r="AD262" s="77"/>
      <c r="AE262" s="228">
        <f>ROUND((ROUND((ROUND((ROUND((_15_同援日１．０*_15・基礎２),0)*_15・２人),0)*(1+_15・盲ろう)),0)*(1+_15・区３)),0)+ROUND((ROUND((ROUND((ROUND((ROUND((_15_同援日１．０＿０．５*_15・基礎２),0)*_15・２人),0)*(1+_15・B夜間)),0)*(1+_15・盲ろう)),0)*(1+_15・区３)),0)+ROUND((ROUND((ROUND((ROUND((ROUND((_15_同援日１．０＿０．５＿０．５*_15・基礎２),0)*_15・２人),0)*(1+_15・C深夜)),0)*(1+_15・盲ろう)),0)*(1+_15・区３)),0)</f>
        <v>743</v>
      </c>
      <c r="AF262" s="69"/>
    </row>
    <row r="263" spans="1:32" ht="16.5" customHeight="1" x14ac:dyDescent="0.3">
      <c r="A263" s="2">
        <v>15</v>
      </c>
      <c r="B263" s="2" t="s">
        <v>1738</v>
      </c>
      <c r="C263" s="60" t="s">
        <v>12146</v>
      </c>
      <c r="D263" s="1"/>
      <c r="E263" s="68"/>
      <c r="F263" s="70"/>
      <c r="G263" s="1"/>
      <c r="H263" s="68"/>
      <c r="I263" s="70"/>
      <c r="J263" s="1"/>
      <c r="K263" s="68"/>
      <c r="L263" s="70"/>
      <c r="M263" s="74"/>
      <c r="N263" s="62"/>
      <c r="O263" s="63"/>
      <c r="P263" s="83"/>
      <c r="Q263" s="64"/>
      <c r="R263" s="65"/>
      <c r="S263" s="99"/>
      <c r="T263" s="70"/>
      <c r="U263" s="99"/>
      <c r="V263" s="70"/>
      <c r="W263" s="74"/>
      <c r="X263" s="62"/>
      <c r="Y263" s="63"/>
      <c r="Z263" s="75"/>
      <c r="AA263" s="74"/>
      <c r="AB263" s="62"/>
      <c r="AC263" s="63"/>
      <c r="AD263" s="75"/>
      <c r="AE263" s="228">
        <f>ROUND((_15_同援日１．０*(1+_15・区４)),0)+ROUND((ROUND((_15_同援日１．０＿０．５*(1+_15・B夜間)),0)*(1+_15・区４)),0)+ROUND((ROUND((_15_同援日１．０＿０．５＿０．５*(1+_15・C深夜)),0)*(1+_15・区４)),0)</f>
        <v>768</v>
      </c>
      <c r="AF263" s="69"/>
    </row>
    <row r="264" spans="1:32" ht="16.5" customHeight="1" x14ac:dyDescent="0.3">
      <c r="A264" s="2">
        <v>15</v>
      </c>
      <c r="B264" s="2" t="s">
        <v>1739</v>
      </c>
      <c r="C264" s="60" t="s">
        <v>12145</v>
      </c>
      <c r="D264" s="1"/>
      <c r="E264" s="68"/>
      <c r="F264" s="70"/>
      <c r="G264" s="1"/>
      <c r="H264" s="68"/>
      <c r="I264" s="70"/>
      <c r="J264" s="1"/>
      <c r="K264" s="68"/>
      <c r="L264" s="70"/>
      <c r="M264" s="81"/>
      <c r="N264" s="57"/>
      <c r="O264" s="58"/>
      <c r="P264" s="83" t="s">
        <v>5895</v>
      </c>
      <c r="Q264" s="64" t="s">
        <v>1</v>
      </c>
      <c r="R264" s="65">
        <v>1</v>
      </c>
      <c r="S264" s="99"/>
      <c r="T264" s="70"/>
      <c r="U264" s="99"/>
      <c r="V264" s="70"/>
      <c r="W264" s="1"/>
      <c r="X264" s="68"/>
      <c r="Y264" s="76"/>
      <c r="Z264" s="70"/>
      <c r="AA264" s="1"/>
      <c r="AB264" s="68"/>
      <c r="AC264" s="76"/>
      <c r="AD264" s="70"/>
      <c r="AE264" s="228">
        <f>ROUND((ROUND((_15_同援日１．０*_15・２人),0)*(1+_15・区４)),0)+ROUND((ROUND((ROUND((_15_同援日１．０＿０．５*_15・２人),0)*(1+_15・B夜間)),0)*(1+_15・区４)),0)+ROUND((ROUND((ROUND((_15_同援日１．０＿０．５＿０．５*_15・２人),0)*(1+_15・C深夜)),0)*(1+_15・区４)),0)</f>
        <v>768</v>
      </c>
      <c r="AF264" s="69"/>
    </row>
    <row r="265" spans="1:32" ht="16.5" customHeight="1" x14ac:dyDescent="0.3">
      <c r="A265" s="2">
        <v>15</v>
      </c>
      <c r="B265" s="2" t="s">
        <v>1740</v>
      </c>
      <c r="C265" s="60" t="s">
        <v>12144</v>
      </c>
      <c r="D265" s="1"/>
      <c r="E265" s="68"/>
      <c r="F265" s="70"/>
      <c r="G265" s="1"/>
      <c r="H265" s="68"/>
      <c r="I265" s="70"/>
      <c r="J265" s="1"/>
      <c r="K265" s="68"/>
      <c r="L265" s="70"/>
      <c r="M265" s="74" t="s">
        <v>17972</v>
      </c>
      <c r="N265" s="62"/>
      <c r="O265" s="63"/>
      <c r="P265" s="83"/>
      <c r="Q265" s="64"/>
      <c r="R265" s="65"/>
      <c r="S265" s="99"/>
      <c r="T265" s="70"/>
      <c r="U265" s="99"/>
      <c r="V265" s="70"/>
      <c r="W265" s="1"/>
      <c r="X265" s="68"/>
      <c r="Y265" s="76"/>
      <c r="Z265" s="70"/>
      <c r="AA265" s="1" t="s">
        <v>17988</v>
      </c>
      <c r="AB265" s="68"/>
      <c r="AC265" s="76"/>
      <c r="AD265" s="70"/>
      <c r="AE265" s="228">
        <f>ROUND((ROUND((_15_同援日１．０*_15・基礎２),0)*(1+_15・区４)),0)+ROUND((ROUND((ROUND((_15_同援日１．０＿０．５*_15・基礎２),0)*(1+_15・B夜間)),0)*(1+_15・区４)),0)+ROUND((ROUND((ROUND((_15_同援日１．０＿０．５＿０．５*_15・基礎２),0)*(1+_15・C深夜)),0)*(1+_15・区４)),0)</f>
        <v>693</v>
      </c>
      <c r="AF265" s="69"/>
    </row>
    <row r="266" spans="1:32" ht="16.5" customHeight="1" x14ac:dyDescent="0.3">
      <c r="A266" s="2">
        <v>15</v>
      </c>
      <c r="B266" s="2" t="s">
        <v>1741</v>
      </c>
      <c r="C266" s="60" t="s">
        <v>12143</v>
      </c>
      <c r="D266" s="1"/>
      <c r="E266" s="68"/>
      <c r="F266" s="70"/>
      <c r="G266" s="1"/>
      <c r="H266" s="68"/>
      <c r="I266" s="70"/>
      <c r="J266" s="1"/>
      <c r="K266" s="68"/>
      <c r="L266" s="70"/>
      <c r="M266" s="81" t="s">
        <v>17864</v>
      </c>
      <c r="N266" s="57" t="s">
        <v>1</v>
      </c>
      <c r="O266" s="58">
        <v>0.9</v>
      </c>
      <c r="P266" s="83" t="s">
        <v>5895</v>
      </c>
      <c r="Q266" s="64" t="s">
        <v>1</v>
      </c>
      <c r="R266" s="65">
        <v>1</v>
      </c>
      <c r="S266" s="99"/>
      <c r="T266" s="70"/>
      <c r="U266" s="99"/>
      <c r="V266" s="70"/>
      <c r="W266" s="81"/>
      <c r="X266" s="57"/>
      <c r="Y266" s="58"/>
      <c r="Z266" s="77"/>
      <c r="AA266" s="1" t="s">
        <v>17980</v>
      </c>
      <c r="AB266" s="68"/>
      <c r="AC266" s="76"/>
      <c r="AD266" s="70"/>
      <c r="AE266" s="228">
        <f>ROUND((ROUND((ROUND((_15_同援日１．０*_15・基礎２),0)*_15・２人),0)*(1+_15・区４)),0)+ROUND((ROUND((ROUND((ROUND((_15_同援日１．０＿０．５*_15・基礎２),0)*_15・２人),0)*(1+_15・B夜間)),0)*(1+_15・区４)),0)+ROUND((ROUND((ROUND((ROUND((_15_同援日１．０＿０．５＿０．５*_15・基礎２),0)*_15・２人),0)*(1+_15・C深夜)),0)*(1+_15・区４)),0)</f>
        <v>693</v>
      </c>
      <c r="AF266" s="69"/>
    </row>
    <row r="267" spans="1:32" ht="16.5" customHeight="1" x14ac:dyDescent="0.3">
      <c r="A267" s="2">
        <v>15</v>
      </c>
      <c r="B267" s="2" t="s">
        <v>1742</v>
      </c>
      <c r="C267" s="60" t="s">
        <v>12142</v>
      </c>
      <c r="D267" s="1"/>
      <c r="E267" s="68"/>
      <c r="F267" s="70"/>
      <c r="G267" s="1"/>
      <c r="H267" s="68"/>
      <c r="I267" s="70"/>
      <c r="J267" s="1"/>
      <c r="K267" s="68"/>
      <c r="L267" s="70"/>
      <c r="M267" s="74"/>
      <c r="N267" s="62"/>
      <c r="O267" s="63"/>
      <c r="P267" s="83"/>
      <c r="Q267" s="64"/>
      <c r="R267" s="65"/>
      <c r="S267" s="99"/>
      <c r="T267" s="70"/>
      <c r="U267" s="99"/>
      <c r="V267" s="70"/>
      <c r="W267" s="74" t="s">
        <v>17987</v>
      </c>
      <c r="X267" s="62"/>
      <c r="Y267" s="63"/>
      <c r="Z267" s="75"/>
      <c r="AA267" s="1"/>
      <c r="AB267" s="68" t="s">
        <v>1</v>
      </c>
      <c r="AC267" s="76">
        <v>0.4</v>
      </c>
      <c r="AD267" s="70" t="s">
        <v>422</v>
      </c>
      <c r="AE267" s="228">
        <f>ROUND((ROUND((_15_同援日１．０*(1+_15・盲ろう)),0)*(1+_15・区４)),0)+ROUND((ROUND((ROUND((_15_同援日１．０＿０．５*(1+_15・B夜間)),0)*(1+_15・盲ろう)),0)*(1+_15・区４)),0)+ROUND((ROUND((ROUND((_15_同援日１．０＿０．５＿０．５*(1+_15・C深夜)),0)*(1+_15・盲ろう)),0)*(1+_15・区４)),0)</f>
        <v>960</v>
      </c>
      <c r="AF267" s="69"/>
    </row>
    <row r="268" spans="1:32" ht="16.5" customHeight="1" x14ac:dyDescent="0.3">
      <c r="A268" s="2">
        <v>15</v>
      </c>
      <c r="B268" s="2" t="s">
        <v>1743</v>
      </c>
      <c r="C268" s="60" t="s">
        <v>12141</v>
      </c>
      <c r="D268" s="1"/>
      <c r="E268" s="68"/>
      <c r="F268" s="70"/>
      <c r="G268" s="1"/>
      <c r="H268" s="68"/>
      <c r="I268" s="70"/>
      <c r="J268" s="1"/>
      <c r="K268" s="68"/>
      <c r="L268" s="70"/>
      <c r="M268" s="81"/>
      <c r="N268" s="57"/>
      <c r="O268" s="58"/>
      <c r="P268" s="83" t="s">
        <v>5895</v>
      </c>
      <c r="Q268" s="64" t="s">
        <v>1</v>
      </c>
      <c r="R268" s="65">
        <v>1</v>
      </c>
      <c r="S268" s="99"/>
      <c r="T268" s="70"/>
      <c r="U268" s="99"/>
      <c r="V268" s="70"/>
      <c r="W268" s="1" t="s">
        <v>17973</v>
      </c>
      <c r="X268" s="68"/>
      <c r="Y268" s="76"/>
      <c r="Z268" s="70"/>
      <c r="AA268" s="1"/>
      <c r="AB268" s="68"/>
      <c r="AC268" s="76"/>
      <c r="AD268" s="70"/>
      <c r="AE268" s="228">
        <f>ROUND((ROUND((ROUND((_15_同援日１．０*_15・２人),0)*(1+_15・盲ろう)),0)*(1+_15・区４)),0)+ROUND((ROUND((ROUND((ROUND((_15_同援日１．０＿０．５*_15・２人),0)*(1+_15・B夜間)),0)*(1+_15・盲ろう)),0)*(1+_15・区４)),0)+ROUND((ROUND((ROUND((ROUND((_15_同援日１．０＿０．５＿０．５*_15・２人),0)*(1+_15・C深夜)),0)*(1+_15・盲ろう)),0)*(1+_15・区４)),0)</f>
        <v>960</v>
      </c>
      <c r="AF268" s="69"/>
    </row>
    <row r="269" spans="1:32" ht="16.5" customHeight="1" x14ac:dyDescent="0.3">
      <c r="A269" s="2">
        <v>15</v>
      </c>
      <c r="B269" s="2" t="s">
        <v>1744</v>
      </c>
      <c r="C269" s="60" t="s">
        <v>12140</v>
      </c>
      <c r="D269" s="1"/>
      <c r="E269" s="68"/>
      <c r="F269" s="70"/>
      <c r="G269" s="1"/>
      <c r="H269" s="68"/>
      <c r="I269" s="70"/>
      <c r="J269" s="1"/>
      <c r="K269" s="68"/>
      <c r="L269" s="70"/>
      <c r="M269" s="74" t="s">
        <v>17972</v>
      </c>
      <c r="N269" s="62"/>
      <c r="O269" s="63"/>
      <c r="P269" s="83"/>
      <c r="Q269" s="64"/>
      <c r="R269" s="65"/>
      <c r="S269" s="99"/>
      <c r="T269" s="70"/>
      <c r="U269" s="99"/>
      <c r="V269" s="70"/>
      <c r="W269" s="1"/>
      <c r="X269" s="68" t="s">
        <v>1</v>
      </c>
      <c r="Y269" s="76">
        <v>0.25</v>
      </c>
      <c r="Z269" s="70" t="s">
        <v>422</v>
      </c>
      <c r="AA269" s="1"/>
      <c r="AB269" s="68"/>
      <c r="AC269" s="76"/>
      <c r="AD269" s="70"/>
      <c r="AE269" s="228">
        <f>ROUND((ROUND((ROUND((_15_同援日１．０*_15・基礎２),0)*(1+_15・盲ろう)),0)*(1+_15・区４)),0)+ROUND((ROUND((ROUND((ROUND((_15_同援日１．０＿０．５*_15・基礎２),0)*(1+_15・B夜間)),0)*(1+_15・盲ろう)),0)*(1+_15・区４)),0)+ROUND((ROUND((ROUND((ROUND((_15_同援日１．０＿０．５＿０．５*_15・基礎２),0)*(1+_15・C深夜)),0)*(1+_15・盲ろう)),0)*(1+_15・区４)),0)</f>
        <v>867</v>
      </c>
      <c r="AF269" s="69"/>
    </row>
    <row r="270" spans="1:32" ht="16.5" customHeight="1" x14ac:dyDescent="0.3">
      <c r="A270" s="2">
        <v>15</v>
      </c>
      <c r="B270" s="2" t="s">
        <v>1745</v>
      </c>
      <c r="C270" s="60" t="s">
        <v>12139</v>
      </c>
      <c r="D270" s="1"/>
      <c r="E270" s="68"/>
      <c r="F270" s="70"/>
      <c r="G270" s="1"/>
      <c r="H270" s="68"/>
      <c r="I270" s="70"/>
      <c r="J270" s="81"/>
      <c r="K270" s="57"/>
      <c r="L270" s="77"/>
      <c r="M270" s="81" t="s">
        <v>17864</v>
      </c>
      <c r="N270" s="57" t="s">
        <v>1</v>
      </c>
      <c r="O270" s="58">
        <v>0.9</v>
      </c>
      <c r="P270" s="83" t="s">
        <v>5895</v>
      </c>
      <c r="Q270" s="64" t="s">
        <v>1</v>
      </c>
      <c r="R270" s="65">
        <v>1</v>
      </c>
      <c r="S270" s="99"/>
      <c r="T270" s="70"/>
      <c r="U270" s="99"/>
      <c r="V270" s="70"/>
      <c r="W270" s="81"/>
      <c r="X270" s="57"/>
      <c r="Y270" s="58"/>
      <c r="Z270" s="77"/>
      <c r="AA270" s="81"/>
      <c r="AB270" s="57"/>
      <c r="AC270" s="58"/>
      <c r="AD270" s="77"/>
      <c r="AE270" s="228">
        <f>ROUND((ROUND((ROUND((ROUND((_15_同援日１．０*_15・基礎２),0)*_15・２人),0)*(1+_15・盲ろう)),0)*(1+_15・区４)),0)+ROUND((ROUND((ROUND((ROUND((ROUND((_15_同援日１．０＿０．５*_15・基礎２),0)*_15・２人),0)*(1+_15・B夜間)),0)*(1+_15・盲ろう)),0)*(1+_15・区４)),0)+ROUND((ROUND((ROUND((ROUND((ROUND((_15_同援日１．０＿０．５＿０．５*_15・基礎２),0)*_15・２人),0)*(1+_15・C深夜)),0)*(1+_15・盲ろう)),0)*(1+_15・区４)),0)</f>
        <v>867</v>
      </c>
      <c r="AF270" s="69"/>
    </row>
    <row r="271" spans="1:32" ht="16.5" customHeight="1" x14ac:dyDescent="0.3">
      <c r="A271" s="2">
        <v>15</v>
      </c>
      <c r="B271" s="2" t="s">
        <v>1746</v>
      </c>
      <c r="C271" s="60" t="s">
        <v>12138</v>
      </c>
      <c r="D271" s="1"/>
      <c r="E271" s="68"/>
      <c r="F271" s="70"/>
      <c r="G271" s="1"/>
      <c r="H271" s="68"/>
      <c r="I271" s="70"/>
      <c r="J271" s="74" t="s">
        <v>17866</v>
      </c>
      <c r="K271" s="62"/>
      <c r="L271" s="75"/>
      <c r="M271" s="74"/>
      <c r="N271" s="62"/>
      <c r="O271" s="63"/>
      <c r="P271" s="83"/>
      <c r="Q271" s="64"/>
      <c r="R271" s="65"/>
      <c r="S271" s="99"/>
      <c r="T271" s="70"/>
      <c r="U271" s="99"/>
      <c r="V271" s="70"/>
      <c r="W271" s="74"/>
      <c r="X271" s="62"/>
      <c r="Y271" s="63"/>
      <c r="Z271" s="75"/>
      <c r="AA271" s="74"/>
      <c r="AB271" s="62"/>
      <c r="AC271" s="63"/>
      <c r="AD271" s="75"/>
      <c r="AE271" s="228">
        <f>_15_同援日１．０+ROUND((_15_同援日１．０＿０．５*(1+_15・B夜間)),0)+ROUND((_15_同援日１．０＿０．５＿１．０*(1+_15・C深夜)),0)</f>
        <v>644</v>
      </c>
      <c r="AF271" s="69"/>
    </row>
    <row r="272" spans="1:32" ht="16.5" customHeight="1" x14ac:dyDescent="0.3">
      <c r="A272" s="2">
        <v>15</v>
      </c>
      <c r="B272" s="2" t="s">
        <v>1747</v>
      </c>
      <c r="C272" s="60" t="s">
        <v>12137</v>
      </c>
      <c r="D272" s="1"/>
      <c r="E272" s="68"/>
      <c r="F272" s="70"/>
      <c r="G272" s="1"/>
      <c r="H272" s="68"/>
      <c r="I272" s="70"/>
      <c r="J272" s="1" t="s">
        <v>18155</v>
      </c>
      <c r="K272" s="68"/>
      <c r="L272" s="70"/>
      <c r="M272" s="81"/>
      <c r="N272" s="57"/>
      <c r="O272" s="58"/>
      <c r="P272" s="83" t="s">
        <v>5895</v>
      </c>
      <c r="Q272" s="64" t="s">
        <v>1</v>
      </c>
      <c r="R272" s="65">
        <v>1</v>
      </c>
      <c r="S272" s="99"/>
      <c r="T272" s="70"/>
      <c r="U272" s="99"/>
      <c r="V272" s="70"/>
      <c r="W272" s="1"/>
      <c r="X272" s="68"/>
      <c r="Y272" s="76"/>
      <c r="Z272" s="70"/>
      <c r="AA272" s="1"/>
      <c r="AB272" s="68"/>
      <c r="AC272" s="76"/>
      <c r="AD272" s="70"/>
      <c r="AE272" s="228">
        <f>ROUND((_15_同援日１．０*_15・２人),0)+ROUND((ROUND((_15_同援日１．０＿０．５*_15・２人),0)*(1+_15・B夜間)),0)+ROUND((ROUND((_15_同援日１．０＿０．５＿１．０*_15・２人),0)*(1+_15・C深夜)),0)</f>
        <v>644</v>
      </c>
      <c r="AF272" s="69"/>
    </row>
    <row r="273" spans="1:32" ht="16.5" customHeight="1" x14ac:dyDescent="0.3">
      <c r="A273" s="2">
        <v>15</v>
      </c>
      <c r="B273" s="2" t="s">
        <v>1748</v>
      </c>
      <c r="C273" s="60" t="s">
        <v>12136</v>
      </c>
      <c r="D273" s="1"/>
      <c r="E273" s="68"/>
      <c r="F273" s="70"/>
      <c r="G273" s="1"/>
      <c r="H273" s="68"/>
      <c r="I273" s="70"/>
      <c r="J273" s="1" t="s">
        <v>8572</v>
      </c>
      <c r="K273" s="68"/>
      <c r="L273" s="70"/>
      <c r="M273" s="74" t="s">
        <v>17972</v>
      </c>
      <c r="N273" s="62"/>
      <c r="O273" s="63"/>
      <c r="P273" s="83"/>
      <c r="Q273" s="64"/>
      <c r="R273" s="65"/>
      <c r="S273" s="99"/>
      <c r="T273" s="70"/>
      <c r="U273" s="99"/>
      <c r="V273" s="70"/>
      <c r="W273" s="1"/>
      <c r="X273" s="68"/>
      <c r="Y273" s="76"/>
      <c r="Z273" s="70"/>
      <c r="AA273" s="1"/>
      <c r="AB273" s="68"/>
      <c r="AC273" s="76"/>
      <c r="AD273" s="70"/>
      <c r="AE273" s="228">
        <f>ROUND((_15_同援日１．０*_15・基礎２),0)+ROUND((ROUND((_15_同援日１．０＿０．５*_15・基礎２),0)*(1+_15・B夜間)),0)+ROUND((ROUND((_15_同援日１．０＿０．５＿１．０*_15・基礎２),0)*(1+_15・C深夜)),0)</f>
        <v>579</v>
      </c>
      <c r="AF273" s="69"/>
    </row>
    <row r="274" spans="1:32" ht="16.5" customHeight="1" x14ac:dyDescent="0.3">
      <c r="A274" s="2">
        <v>15</v>
      </c>
      <c r="B274" s="2" t="s">
        <v>1749</v>
      </c>
      <c r="C274" s="60" t="s">
        <v>12135</v>
      </c>
      <c r="D274" s="1"/>
      <c r="E274" s="68"/>
      <c r="F274" s="70"/>
      <c r="G274" s="1"/>
      <c r="H274" s="68"/>
      <c r="I274" s="70"/>
      <c r="J274" s="1"/>
      <c r="K274" s="119">
        <v>127</v>
      </c>
      <c r="L274" s="70" t="s">
        <v>0</v>
      </c>
      <c r="M274" s="81" t="s">
        <v>17864</v>
      </c>
      <c r="N274" s="57" t="s">
        <v>1</v>
      </c>
      <c r="O274" s="58">
        <v>0.9</v>
      </c>
      <c r="P274" s="83" t="s">
        <v>5895</v>
      </c>
      <c r="Q274" s="64" t="s">
        <v>1</v>
      </c>
      <c r="R274" s="65">
        <v>1</v>
      </c>
      <c r="S274" s="99"/>
      <c r="T274" s="70"/>
      <c r="U274" s="99"/>
      <c r="V274" s="70"/>
      <c r="W274" s="81"/>
      <c r="X274" s="57"/>
      <c r="Y274" s="58"/>
      <c r="Z274" s="77"/>
      <c r="AA274" s="1"/>
      <c r="AB274" s="68"/>
      <c r="AC274" s="76"/>
      <c r="AD274" s="70"/>
      <c r="AE274" s="228">
        <f>ROUND((ROUND((_15_同援日１．０*_15・基礎２),0)*_15・２人),0)+ROUND((ROUND((ROUND((_15_同援日１．０＿０．５*_15・基礎２),0)*_15・２人),0)*(1+_15・B夜間)),0)+ROUND((ROUND((ROUND((_15_同援日１．０＿０．５＿１．０*_15・基礎２),0)*_15・２人),0)*(1+_15・C深夜)),0)</f>
        <v>579</v>
      </c>
      <c r="AF274" s="69"/>
    </row>
    <row r="275" spans="1:32" ht="16.5" customHeight="1" x14ac:dyDescent="0.3">
      <c r="A275" s="2">
        <v>15</v>
      </c>
      <c r="B275" s="2" t="s">
        <v>1750</v>
      </c>
      <c r="C275" s="60" t="s">
        <v>12134</v>
      </c>
      <c r="D275" s="1"/>
      <c r="E275" s="68"/>
      <c r="F275" s="70"/>
      <c r="G275" s="1"/>
      <c r="H275" s="68"/>
      <c r="I275" s="70"/>
      <c r="J275" s="1"/>
      <c r="K275" s="68"/>
      <c r="L275" s="70"/>
      <c r="M275" s="74"/>
      <c r="N275" s="62"/>
      <c r="O275" s="63"/>
      <c r="P275" s="83"/>
      <c r="Q275" s="64"/>
      <c r="R275" s="65"/>
      <c r="S275" s="99"/>
      <c r="T275" s="70"/>
      <c r="U275" s="99"/>
      <c r="V275" s="70"/>
      <c r="W275" s="74" t="s">
        <v>17987</v>
      </c>
      <c r="X275" s="62"/>
      <c r="Y275" s="63"/>
      <c r="Z275" s="75"/>
      <c r="AA275" s="1"/>
      <c r="AB275" s="68"/>
      <c r="AC275" s="76"/>
      <c r="AD275" s="70"/>
      <c r="AE275" s="228">
        <f>ROUND((_15_同援日１．０*(1+_15・盲ろう)),0)+ROUND((ROUND((_15_同援日１．０＿０．５*(1+_15・B夜間)),0)*(1+_15・盲ろう)),0)+ROUND((ROUND((_15_同援日１．０＿０．５＿１．０*(1+_15・C深夜)),0)*(1+_15・盲ろう)),0)</f>
        <v>805</v>
      </c>
      <c r="AF275" s="69"/>
    </row>
    <row r="276" spans="1:32" ht="16.5" customHeight="1" x14ac:dyDescent="0.3">
      <c r="A276" s="2">
        <v>15</v>
      </c>
      <c r="B276" s="2" t="s">
        <v>1751</v>
      </c>
      <c r="C276" s="60" t="s">
        <v>12133</v>
      </c>
      <c r="D276" s="1"/>
      <c r="E276" s="68"/>
      <c r="F276" s="70"/>
      <c r="G276" s="1"/>
      <c r="H276" s="68"/>
      <c r="I276" s="70"/>
      <c r="J276" s="1"/>
      <c r="K276" s="68"/>
      <c r="L276" s="70"/>
      <c r="M276" s="81"/>
      <c r="N276" s="57"/>
      <c r="O276" s="58"/>
      <c r="P276" s="83" t="s">
        <v>5895</v>
      </c>
      <c r="Q276" s="64" t="s">
        <v>1</v>
      </c>
      <c r="R276" s="65">
        <v>1</v>
      </c>
      <c r="S276" s="99"/>
      <c r="T276" s="70"/>
      <c r="U276" s="99"/>
      <c r="V276" s="70"/>
      <c r="W276" s="1" t="s">
        <v>17973</v>
      </c>
      <c r="X276" s="68"/>
      <c r="Y276" s="76"/>
      <c r="Z276" s="70"/>
      <c r="AA276" s="1"/>
      <c r="AB276" s="68"/>
      <c r="AC276" s="76"/>
      <c r="AD276" s="70"/>
      <c r="AE276" s="228">
        <f>ROUND((ROUND((_15_同援日１．０*_15・２人),0)*(1+_15・盲ろう)),0)+ROUND((ROUND((ROUND((_15_同援日１．０＿０．５*_15・２人),0)*(1+_15・B夜間)),0)*(1+_15・盲ろう)),0)+ROUND((ROUND((ROUND((_15_同援日１．０＿０．５＿１．０*_15・２人),0)*(1+_15・C深夜)),0)*(1+_15・盲ろう)),0)</f>
        <v>805</v>
      </c>
      <c r="AF276" s="69"/>
    </row>
    <row r="277" spans="1:32" ht="16.5" customHeight="1" x14ac:dyDescent="0.3">
      <c r="A277" s="2">
        <v>15</v>
      </c>
      <c r="B277" s="2" t="s">
        <v>1752</v>
      </c>
      <c r="C277" s="60" t="s">
        <v>12132</v>
      </c>
      <c r="D277" s="1"/>
      <c r="E277" s="68"/>
      <c r="F277" s="70"/>
      <c r="G277" s="1"/>
      <c r="H277" s="68"/>
      <c r="I277" s="70"/>
      <c r="J277" s="1"/>
      <c r="K277" s="68"/>
      <c r="L277" s="70"/>
      <c r="M277" s="74" t="s">
        <v>17972</v>
      </c>
      <c r="N277" s="62"/>
      <c r="O277" s="63"/>
      <c r="P277" s="83"/>
      <c r="Q277" s="64"/>
      <c r="R277" s="65"/>
      <c r="S277" s="99"/>
      <c r="T277" s="70"/>
      <c r="U277" s="99"/>
      <c r="V277" s="70"/>
      <c r="W277" s="1"/>
      <c r="X277" s="68" t="s">
        <v>1</v>
      </c>
      <c r="Y277" s="76">
        <v>0.25</v>
      </c>
      <c r="Z277" s="70" t="s">
        <v>422</v>
      </c>
      <c r="AA277" s="1"/>
      <c r="AB277" s="68"/>
      <c r="AC277" s="76"/>
      <c r="AD277" s="70"/>
      <c r="AE277" s="228">
        <f>ROUND((ROUND((_15_同援日１．０*_15・基礎２),0)*(1+_15・盲ろう)),0)+ROUND((ROUND((ROUND((_15_同援日１．０＿０．５*_15・基礎２),0)*(1+_15・B夜間)),0)*(1+_15・盲ろう)),0)+ROUND((ROUND((ROUND((_15_同援日１．０＿０．５＿１．０*_15・基礎２),0)*(1+_15・C深夜)),0)*(1+_15・盲ろう)),0)</f>
        <v>724</v>
      </c>
      <c r="AF277" s="69"/>
    </row>
    <row r="278" spans="1:32" ht="16.5" customHeight="1" x14ac:dyDescent="0.3">
      <c r="A278" s="2">
        <v>15</v>
      </c>
      <c r="B278" s="2" t="s">
        <v>1753</v>
      </c>
      <c r="C278" s="60" t="s">
        <v>12131</v>
      </c>
      <c r="D278" s="1"/>
      <c r="E278" s="68"/>
      <c r="F278" s="70"/>
      <c r="G278" s="1"/>
      <c r="H278" s="68"/>
      <c r="I278" s="70"/>
      <c r="J278" s="1"/>
      <c r="K278" s="68"/>
      <c r="L278" s="70"/>
      <c r="M278" s="81" t="s">
        <v>17864</v>
      </c>
      <c r="N278" s="57" t="s">
        <v>1</v>
      </c>
      <c r="O278" s="58">
        <v>0.9</v>
      </c>
      <c r="P278" s="83" t="s">
        <v>5895</v>
      </c>
      <c r="Q278" s="64" t="s">
        <v>1</v>
      </c>
      <c r="R278" s="65">
        <v>1</v>
      </c>
      <c r="S278" s="99"/>
      <c r="T278" s="70"/>
      <c r="U278" s="99"/>
      <c r="V278" s="70"/>
      <c r="W278" s="81"/>
      <c r="X278" s="57"/>
      <c r="Y278" s="58"/>
      <c r="Z278" s="77"/>
      <c r="AA278" s="81"/>
      <c r="AB278" s="57"/>
      <c r="AC278" s="58"/>
      <c r="AD278" s="77"/>
      <c r="AE278" s="228">
        <f>ROUND((ROUND((ROUND((_15_同援日１．０*_15・基礎２),0)*_15・２人),0)*(1+_15・盲ろう)),0)+ROUND((ROUND((ROUND((ROUND((_15_同援日１．０＿０．５*_15・基礎２),0)*_15・２人),0)*(1+_15・B夜間)),0)*(1+_15・盲ろう)),0)+ROUND((ROUND((ROUND((ROUND((_15_同援日１．０＿０．５＿１．０*_15・基礎２),0)*_15・２人),0)*(1+_15・C深夜)),0)*(1+_15・盲ろう)),0)</f>
        <v>724</v>
      </c>
      <c r="AF278" s="69"/>
    </row>
    <row r="279" spans="1:32" ht="16.5" customHeight="1" x14ac:dyDescent="0.3">
      <c r="A279" s="2">
        <v>15</v>
      </c>
      <c r="B279" s="2" t="s">
        <v>1754</v>
      </c>
      <c r="C279" s="60" t="s">
        <v>12130</v>
      </c>
      <c r="D279" s="1"/>
      <c r="E279" s="68"/>
      <c r="F279" s="70"/>
      <c r="G279" s="1"/>
      <c r="H279" s="68"/>
      <c r="I279" s="70"/>
      <c r="J279" s="1"/>
      <c r="K279" s="68"/>
      <c r="L279" s="70"/>
      <c r="M279" s="74"/>
      <c r="N279" s="62"/>
      <c r="O279" s="63"/>
      <c r="P279" s="83"/>
      <c r="Q279" s="64"/>
      <c r="R279" s="65"/>
      <c r="S279" s="99"/>
      <c r="T279" s="70"/>
      <c r="U279" s="99"/>
      <c r="V279" s="70"/>
      <c r="W279" s="74"/>
      <c r="X279" s="62"/>
      <c r="Y279" s="63"/>
      <c r="Z279" s="75"/>
      <c r="AA279" s="74"/>
      <c r="AB279" s="62"/>
      <c r="AC279" s="63"/>
      <c r="AD279" s="75"/>
      <c r="AE279" s="228">
        <f>ROUND((_15_同援日１．０*(1+_15・区３)),0)+ROUND((ROUND((_15_同援日１．０＿０．５*(1+_15・B夜間)),0)*(1+_15・区３)),0)+ROUND((ROUND((_15_同援日１．０＿０．５＿１．０*(1+_15・C深夜)),0)*(1+_15・区３)),0)</f>
        <v>772</v>
      </c>
      <c r="AF279" s="69"/>
    </row>
    <row r="280" spans="1:32" ht="16.5" customHeight="1" x14ac:dyDescent="0.3">
      <c r="A280" s="2">
        <v>15</v>
      </c>
      <c r="B280" s="2" t="s">
        <v>1755</v>
      </c>
      <c r="C280" s="60" t="s">
        <v>12129</v>
      </c>
      <c r="D280" s="1"/>
      <c r="E280" s="68"/>
      <c r="F280" s="70"/>
      <c r="G280" s="1"/>
      <c r="H280" s="68"/>
      <c r="I280" s="70"/>
      <c r="J280" s="1"/>
      <c r="K280" s="68"/>
      <c r="L280" s="70"/>
      <c r="M280" s="81"/>
      <c r="N280" s="57"/>
      <c r="O280" s="58"/>
      <c r="P280" s="83" t="s">
        <v>5895</v>
      </c>
      <c r="Q280" s="64" t="s">
        <v>1</v>
      </c>
      <c r="R280" s="65">
        <v>1</v>
      </c>
      <c r="S280" s="99"/>
      <c r="T280" s="70"/>
      <c r="U280" s="99"/>
      <c r="V280" s="70"/>
      <c r="W280" s="1"/>
      <c r="X280" s="68"/>
      <c r="Y280" s="76"/>
      <c r="Z280" s="70"/>
      <c r="AA280" s="1"/>
      <c r="AB280" s="68"/>
      <c r="AC280" s="76"/>
      <c r="AD280" s="70"/>
      <c r="AE280" s="228">
        <f>ROUND((ROUND((_15_同援日１．０*_15・２人),0)*(1+_15・区３)),0)+ROUND((ROUND((ROUND((_15_同援日１．０＿０．５*_15・２人),0)*(1+_15・B夜間)),0)*(1+_15・区３)),0)+ROUND((ROUND((ROUND((_15_同援日１．０＿０．５＿１．０*_15・２人),0)*(1+_15・C深夜)),0)*(1+_15・区３)),0)</f>
        <v>772</v>
      </c>
      <c r="AF280" s="69"/>
    </row>
    <row r="281" spans="1:32" ht="16.5" customHeight="1" x14ac:dyDescent="0.3">
      <c r="A281" s="2">
        <v>15</v>
      </c>
      <c r="B281" s="2" t="s">
        <v>1756</v>
      </c>
      <c r="C281" s="60" t="s">
        <v>12128</v>
      </c>
      <c r="D281" s="1"/>
      <c r="E281" s="68"/>
      <c r="F281" s="70"/>
      <c r="G281" s="1"/>
      <c r="H281" s="68"/>
      <c r="I281" s="70"/>
      <c r="J281" s="1"/>
      <c r="K281" s="68"/>
      <c r="L281" s="70"/>
      <c r="M281" s="74" t="s">
        <v>17972</v>
      </c>
      <c r="N281" s="62"/>
      <c r="O281" s="63"/>
      <c r="P281" s="83"/>
      <c r="Q281" s="64"/>
      <c r="R281" s="65"/>
      <c r="S281" s="99"/>
      <c r="T281" s="70"/>
      <c r="U281" s="99"/>
      <c r="V281" s="70"/>
      <c r="W281" s="1"/>
      <c r="X281" s="68"/>
      <c r="Y281" s="76"/>
      <c r="Z281" s="70"/>
      <c r="AA281" s="1" t="s">
        <v>17997</v>
      </c>
      <c r="AB281" s="68"/>
      <c r="AC281" s="76"/>
      <c r="AD281" s="70"/>
      <c r="AE281" s="228">
        <f>ROUND((ROUND((_15_同援日１．０*_15・基礎２),0)*(1+_15・区３)),0)+ROUND((ROUND((ROUND((_15_同援日１．０＿０．５*_15・基礎２),0)*(1+_15・B夜間)),0)*(1+_15・区３)),0)+ROUND((ROUND((ROUND((_15_同援日１．０＿０．５＿１．０*_15・基礎２),0)*(1+_15・C深夜)),0)*(1+_15・区３)),0)</f>
        <v>695</v>
      </c>
      <c r="AF281" s="69"/>
    </row>
    <row r="282" spans="1:32" ht="16.5" customHeight="1" x14ac:dyDescent="0.3">
      <c r="A282" s="2">
        <v>15</v>
      </c>
      <c r="B282" s="2" t="s">
        <v>1757</v>
      </c>
      <c r="C282" s="60" t="s">
        <v>12127</v>
      </c>
      <c r="D282" s="1"/>
      <c r="E282" s="68"/>
      <c r="F282" s="70"/>
      <c r="G282" s="1"/>
      <c r="H282" s="68"/>
      <c r="I282" s="70"/>
      <c r="J282" s="1"/>
      <c r="K282" s="68"/>
      <c r="L282" s="70"/>
      <c r="M282" s="81" t="s">
        <v>17864</v>
      </c>
      <c r="N282" s="57" t="s">
        <v>1</v>
      </c>
      <c r="O282" s="58">
        <v>0.9</v>
      </c>
      <c r="P282" s="83" t="s">
        <v>5895</v>
      </c>
      <c r="Q282" s="64" t="s">
        <v>1</v>
      </c>
      <c r="R282" s="65">
        <v>1</v>
      </c>
      <c r="S282" s="99"/>
      <c r="T282" s="70"/>
      <c r="U282" s="99"/>
      <c r="V282" s="70"/>
      <c r="W282" s="81"/>
      <c r="X282" s="57"/>
      <c r="Y282" s="58"/>
      <c r="Z282" s="77"/>
      <c r="AA282" s="1" t="s">
        <v>17980</v>
      </c>
      <c r="AB282" s="68"/>
      <c r="AC282" s="76"/>
      <c r="AD282" s="70"/>
      <c r="AE282" s="228">
        <f>ROUND((ROUND((ROUND((_15_同援日１．０*_15・基礎２),0)*_15・２人),0)*(1+_15・区３)),0)+ROUND((ROUND((ROUND((ROUND((_15_同援日１．０＿０．５*_15・基礎２),0)*_15・２人),0)*(1+_15・B夜間)),0)*(1+_15・区３)),0)+ROUND((ROUND((ROUND((ROUND((_15_同援日１．０＿０．５＿１．０*_15・基礎２),0)*_15・２人),0)*(1+_15・C深夜)),0)*(1+_15・区３)),0)</f>
        <v>695</v>
      </c>
      <c r="AF282" s="69"/>
    </row>
    <row r="283" spans="1:32" ht="16.5" customHeight="1" x14ac:dyDescent="0.3">
      <c r="A283" s="2">
        <v>15</v>
      </c>
      <c r="B283" s="2" t="s">
        <v>1758</v>
      </c>
      <c r="C283" s="60" t="s">
        <v>12126</v>
      </c>
      <c r="D283" s="1"/>
      <c r="E283" s="68"/>
      <c r="F283" s="70"/>
      <c r="G283" s="1"/>
      <c r="H283" s="68"/>
      <c r="I283" s="70"/>
      <c r="J283" s="1"/>
      <c r="K283" s="68"/>
      <c r="L283" s="70"/>
      <c r="M283" s="74"/>
      <c r="N283" s="62"/>
      <c r="O283" s="63"/>
      <c r="P283" s="83"/>
      <c r="Q283" s="64"/>
      <c r="R283" s="65"/>
      <c r="S283" s="99"/>
      <c r="T283" s="70"/>
      <c r="U283" s="99"/>
      <c r="V283" s="70"/>
      <c r="W283" s="74" t="s">
        <v>17987</v>
      </c>
      <c r="X283" s="62"/>
      <c r="Y283" s="63"/>
      <c r="Z283" s="75"/>
      <c r="AA283" s="1"/>
      <c r="AB283" s="68" t="s">
        <v>1</v>
      </c>
      <c r="AC283" s="76">
        <v>0.2</v>
      </c>
      <c r="AD283" s="70" t="s">
        <v>422</v>
      </c>
      <c r="AE283" s="228">
        <f>ROUND((ROUND((_15_同援日１．０*(1+_15・盲ろう)),0)*(1+_15・区３)),0)+ROUND((ROUND((ROUND((_15_同援日１．０＿０．５*(1+_15・B夜間)),0)*(1+_15・盲ろう)),0)*(1+_15・区３)),0)+ROUND((ROUND((ROUND((_15_同援日１．０＿０．５＿１．０*(1+_15・C深夜)),0)*(1+_15・盲ろう)),0)*(1+_15・区３)),0)</f>
        <v>966</v>
      </c>
      <c r="AF283" s="69"/>
    </row>
    <row r="284" spans="1:32" ht="16.5" customHeight="1" x14ac:dyDescent="0.3">
      <c r="A284" s="2">
        <v>15</v>
      </c>
      <c r="B284" s="2" t="s">
        <v>1759</v>
      </c>
      <c r="C284" s="60" t="s">
        <v>12125</v>
      </c>
      <c r="D284" s="1"/>
      <c r="E284" s="68"/>
      <c r="F284" s="70"/>
      <c r="G284" s="1"/>
      <c r="H284" s="68"/>
      <c r="I284" s="70"/>
      <c r="J284" s="1"/>
      <c r="K284" s="68"/>
      <c r="L284" s="70"/>
      <c r="M284" s="81"/>
      <c r="N284" s="57"/>
      <c r="O284" s="58"/>
      <c r="P284" s="83" t="s">
        <v>5895</v>
      </c>
      <c r="Q284" s="64" t="s">
        <v>1</v>
      </c>
      <c r="R284" s="65">
        <v>1</v>
      </c>
      <c r="S284" s="99"/>
      <c r="T284" s="70"/>
      <c r="U284" s="99"/>
      <c r="V284" s="70"/>
      <c r="W284" s="1" t="s">
        <v>17973</v>
      </c>
      <c r="X284" s="68"/>
      <c r="Y284" s="76"/>
      <c r="Z284" s="70"/>
      <c r="AA284" s="1"/>
      <c r="AB284" s="68"/>
      <c r="AC284" s="76"/>
      <c r="AD284" s="70"/>
      <c r="AE284" s="228">
        <f>ROUND((ROUND((ROUND((_15_同援日１．０*_15・２人),0)*(1+_15・盲ろう)),0)*(1+_15・区３)),0)+ROUND((ROUND((ROUND((ROUND((_15_同援日１．０＿０．５*_15・２人),0)*(1+_15・B夜間)),0)*(1+_15・盲ろう)),0)*(1+_15・区３)),0)+ROUND((ROUND((ROUND((ROUND((_15_同援日１．０＿０．５＿１．０*_15・２人),0)*(1+_15・C深夜)),0)*(1+_15・盲ろう)),0)*(1+_15・区３)),0)</f>
        <v>966</v>
      </c>
      <c r="AF284" s="69"/>
    </row>
    <row r="285" spans="1:32" ht="16.5" customHeight="1" x14ac:dyDescent="0.3">
      <c r="A285" s="2">
        <v>15</v>
      </c>
      <c r="B285" s="2" t="s">
        <v>1760</v>
      </c>
      <c r="C285" s="60" t="s">
        <v>12124</v>
      </c>
      <c r="D285" s="1"/>
      <c r="E285" s="68"/>
      <c r="F285" s="70"/>
      <c r="G285" s="1"/>
      <c r="H285" s="68"/>
      <c r="I285" s="70"/>
      <c r="J285" s="1"/>
      <c r="K285" s="68"/>
      <c r="L285" s="70"/>
      <c r="M285" s="74" t="s">
        <v>17972</v>
      </c>
      <c r="N285" s="62"/>
      <c r="O285" s="63"/>
      <c r="P285" s="83"/>
      <c r="Q285" s="64"/>
      <c r="R285" s="65"/>
      <c r="S285" s="99"/>
      <c r="T285" s="70"/>
      <c r="U285" s="99"/>
      <c r="V285" s="70"/>
      <c r="W285" s="1"/>
      <c r="X285" s="68" t="s">
        <v>1</v>
      </c>
      <c r="Y285" s="76">
        <v>0.25</v>
      </c>
      <c r="Z285" s="70" t="s">
        <v>422</v>
      </c>
      <c r="AA285" s="1"/>
      <c r="AB285" s="68"/>
      <c r="AC285" s="76"/>
      <c r="AD285" s="70"/>
      <c r="AE285" s="228">
        <f>ROUND((ROUND((ROUND((_15_同援日１．０*_15・基礎２),0)*(1+_15・盲ろう)),0)*(1+_15・区３)),0)+ROUND((ROUND((ROUND((ROUND((_15_同援日１．０＿０．５*_15・基礎２),0)*(1+_15・B夜間)),0)*(1+_15・盲ろう)),0)*(1+_15・区３)),0)+ROUND((ROUND((ROUND((ROUND((_15_同援日１．０＿０．５＿１．０*_15・基礎２),0)*(1+_15・C深夜)),0)*(1+_15・盲ろう)),0)*(1+_15・区３)),0)</f>
        <v>869</v>
      </c>
      <c r="AF285" s="69"/>
    </row>
    <row r="286" spans="1:32" ht="16.5" customHeight="1" x14ac:dyDescent="0.3">
      <c r="A286" s="2">
        <v>15</v>
      </c>
      <c r="B286" s="2" t="s">
        <v>1761</v>
      </c>
      <c r="C286" s="60" t="s">
        <v>12123</v>
      </c>
      <c r="D286" s="1"/>
      <c r="E286" s="68"/>
      <c r="F286" s="70"/>
      <c r="G286" s="1"/>
      <c r="H286" s="68"/>
      <c r="I286" s="70"/>
      <c r="J286" s="1"/>
      <c r="K286" s="68"/>
      <c r="L286" s="70"/>
      <c r="M286" s="81" t="s">
        <v>17864</v>
      </c>
      <c r="N286" s="57" t="s">
        <v>1</v>
      </c>
      <c r="O286" s="58">
        <v>0.9</v>
      </c>
      <c r="P286" s="83" t="s">
        <v>5895</v>
      </c>
      <c r="Q286" s="64" t="s">
        <v>1</v>
      </c>
      <c r="R286" s="65">
        <v>1</v>
      </c>
      <c r="S286" s="99"/>
      <c r="T286" s="70"/>
      <c r="U286" s="99"/>
      <c r="V286" s="70"/>
      <c r="W286" s="81"/>
      <c r="X286" s="57"/>
      <c r="Y286" s="58"/>
      <c r="Z286" s="77"/>
      <c r="AA286" s="81"/>
      <c r="AB286" s="57"/>
      <c r="AC286" s="58"/>
      <c r="AD286" s="77"/>
      <c r="AE286" s="228">
        <f>ROUND((ROUND((ROUND((ROUND((_15_同援日１．０*_15・基礎２),0)*_15・２人),0)*(1+_15・盲ろう)),0)*(1+_15・区３)),0)+ROUND((ROUND((ROUND((ROUND((ROUND((_15_同援日１．０＿０．５*_15・基礎２),0)*_15・２人),0)*(1+_15・B夜間)),0)*(1+_15・盲ろう)),0)*(1+_15・区３)),0)+ROUND((ROUND((ROUND((ROUND((ROUND((_15_同援日１．０＿０．５＿１．０*_15・基礎２),0)*_15・２人),0)*(1+_15・C深夜)),0)*(1+_15・盲ろう)),0)*(1+_15・区３)),0)</f>
        <v>869</v>
      </c>
      <c r="AF286" s="69"/>
    </row>
    <row r="287" spans="1:32" ht="16.5" customHeight="1" x14ac:dyDescent="0.3">
      <c r="A287" s="2">
        <v>15</v>
      </c>
      <c r="B287" s="2" t="s">
        <v>1762</v>
      </c>
      <c r="C287" s="60" t="s">
        <v>12122</v>
      </c>
      <c r="D287" s="1"/>
      <c r="E287" s="68"/>
      <c r="F287" s="70"/>
      <c r="G287" s="1"/>
      <c r="H287" s="68"/>
      <c r="I287" s="70"/>
      <c r="J287" s="1"/>
      <c r="K287" s="68"/>
      <c r="L287" s="70"/>
      <c r="M287" s="74"/>
      <c r="N287" s="62"/>
      <c r="O287" s="63"/>
      <c r="P287" s="83"/>
      <c r="Q287" s="64"/>
      <c r="R287" s="65"/>
      <c r="S287" s="99"/>
      <c r="T287" s="70"/>
      <c r="U287" s="99"/>
      <c r="V287" s="70"/>
      <c r="W287" s="74"/>
      <c r="X287" s="62"/>
      <c r="Y287" s="63"/>
      <c r="Z287" s="75"/>
      <c r="AA287" s="74"/>
      <c r="AB287" s="62"/>
      <c r="AC287" s="63"/>
      <c r="AD287" s="75"/>
      <c r="AE287" s="228">
        <f>ROUND((_15_同援日１．０*(1+_15・区４)),0)+ROUND((ROUND((_15_同援日１．０＿０．５*(1+_15・B夜間)),0)*(1+_15・区４)),0)+ROUND((ROUND((_15_同援日１．０＿０．５＿１．０*(1+_15・C深夜)),0)*(1+_15・区４)),0)</f>
        <v>901</v>
      </c>
      <c r="AF287" s="69"/>
    </row>
    <row r="288" spans="1:32" ht="16.5" customHeight="1" x14ac:dyDescent="0.3">
      <c r="A288" s="2">
        <v>15</v>
      </c>
      <c r="B288" s="2" t="s">
        <v>1763</v>
      </c>
      <c r="C288" s="60" t="s">
        <v>12121</v>
      </c>
      <c r="D288" s="1"/>
      <c r="E288" s="68"/>
      <c r="F288" s="70"/>
      <c r="G288" s="1"/>
      <c r="H288" s="68"/>
      <c r="I288" s="70"/>
      <c r="J288" s="1"/>
      <c r="K288" s="68"/>
      <c r="L288" s="70"/>
      <c r="M288" s="81"/>
      <c r="N288" s="57"/>
      <c r="O288" s="58"/>
      <c r="P288" s="83" t="s">
        <v>5895</v>
      </c>
      <c r="Q288" s="64" t="s">
        <v>1</v>
      </c>
      <c r="R288" s="65">
        <v>1</v>
      </c>
      <c r="S288" s="99"/>
      <c r="T288" s="70"/>
      <c r="U288" s="99"/>
      <c r="V288" s="70"/>
      <c r="W288" s="1"/>
      <c r="X288" s="68"/>
      <c r="Y288" s="76"/>
      <c r="Z288" s="70"/>
      <c r="AA288" s="1"/>
      <c r="AB288" s="68"/>
      <c r="AC288" s="76"/>
      <c r="AD288" s="70"/>
      <c r="AE288" s="228">
        <f>ROUND((ROUND((_15_同援日１．０*_15・２人),0)*(1+_15・区４)),0)+ROUND((ROUND((ROUND((_15_同援日１．０＿０．５*_15・２人),0)*(1+_15・B夜間)),0)*(1+_15・区４)),0)+ROUND((ROUND((ROUND((_15_同援日１．０＿０．５＿１．０*_15・２人),0)*(1+_15・C深夜)),0)*(1+_15・区４)),0)</f>
        <v>901</v>
      </c>
      <c r="AF288" s="69"/>
    </row>
    <row r="289" spans="1:32" ht="16.5" customHeight="1" x14ac:dyDescent="0.3">
      <c r="A289" s="2">
        <v>15</v>
      </c>
      <c r="B289" s="2" t="s">
        <v>1764</v>
      </c>
      <c r="C289" s="60" t="s">
        <v>12120</v>
      </c>
      <c r="D289" s="1"/>
      <c r="E289" s="68"/>
      <c r="F289" s="70"/>
      <c r="G289" s="1"/>
      <c r="H289" s="68"/>
      <c r="I289" s="70"/>
      <c r="J289" s="1"/>
      <c r="K289" s="68"/>
      <c r="L289" s="70"/>
      <c r="M289" s="74" t="s">
        <v>17972</v>
      </c>
      <c r="N289" s="62"/>
      <c r="O289" s="63"/>
      <c r="P289" s="83"/>
      <c r="Q289" s="64"/>
      <c r="R289" s="65"/>
      <c r="S289" s="99"/>
      <c r="T289" s="70"/>
      <c r="U289" s="99"/>
      <c r="V289" s="70"/>
      <c r="W289" s="1"/>
      <c r="X289" s="68"/>
      <c r="Y289" s="76"/>
      <c r="Z289" s="70"/>
      <c r="AA289" s="1" t="s">
        <v>17988</v>
      </c>
      <c r="AB289" s="68"/>
      <c r="AC289" s="76"/>
      <c r="AD289" s="70"/>
      <c r="AE289" s="228">
        <f>ROUND((ROUND((_15_同援日１．０*_15・基礎２),0)*(1+_15・区４)),0)+ROUND((ROUND((ROUND((_15_同援日１．０＿０．５*_15・基礎２),0)*(1+_15・B夜間)),0)*(1+_15・区４)),0)+ROUND((ROUND((ROUND((_15_同援日１．０＿０．５＿１．０*_15・基礎２),0)*(1+_15・C深夜)),0)*(1+_15・区４)),0)</f>
        <v>810</v>
      </c>
      <c r="AF289" s="69"/>
    </row>
    <row r="290" spans="1:32" ht="16.5" customHeight="1" x14ac:dyDescent="0.3">
      <c r="A290" s="2">
        <v>15</v>
      </c>
      <c r="B290" s="2" t="s">
        <v>1765</v>
      </c>
      <c r="C290" s="60" t="s">
        <v>12119</v>
      </c>
      <c r="D290" s="1"/>
      <c r="E290" s="68"/>
      <c r="F290" s="70"/>
      <c r="G290" s="1"/>
      <c r="H290" s="68"/>
      <c r="I290" s="70"/>
      <c r="J290" s="1"/>
      <c r="K290" s="68"/>
      <c r="L290" s="70"/>
      <c r="M290" s="81" t="s">
        <v>17864</v>
      </c>
      <c r="N290" s="57" t="s">
        <v>1</v>
      </c>
      <c r="O290" s="58">
        <v>0.9</v>
      </c>
      <c r="P290" s="83" t="s">
        <v>5895</v>
      </c>
      <c r="Q290" s="64" t="s">
        <v>1</v>
      </c>
      <c r="R290" s="65">
        <v>1</v>
      </c>
      <c r="S290" s="99"/>
      <c r="T290" s="70"/>
      <c r="U290" s="99"/>
      <c r="V290" s="70"/>
      <c r="W290" s="81"/>
      <c r="X290" s="57"/>
      <c r="Y290" s="58"/>
      <c r="Z290" s="77"/>
      <c r="AA290" s="1" t="s">
        <v>17980</v>
      </c>
      <c r="AB290" s="68"/>
      <c r="AC290" s="76"/>
      <c r="AD290" s="70"/>
      <c r="AE290" s="228">
        <f>ROUND((ROUND((ROUND((_15_同援日１．０*_15・基礎２),0)*_15・２人),0)*(1+_15・区４)),0)+ROUND((ROUND((ROUND((ROUND((_15_同援日１．０＿０．５*_15・基礎２),0)*_15・２人),0)*(1+_15・B夜間)),0)*(1+_15・区４)),0)+ROUND((ROUND((ROUND((ROUND((_15_同援日１．０＿０．５＿１．０*_15・基礎２),0)*_15・２人),0)*(1+_15・C深夜)),0)*(1+_15・区４)),0)</f>
        <v>810</v>
      </c>
      <c r="AF290" s="69"/>
    </row>
    <row r="291" spans="1:32" ht="16.5" customHeight="1" x14ac:dyDescent="0.3">
      <c r="A291" s="2">
        <v>15</v>
      </c>
      <c r="B291" s="2" t="s">
        <v>1766</v>
      </c>
      <c r="C291" s="60" t="s">
        <v>12118</v>
      </c>
      <c r="D291" s="1"/>
      <c r="E291" s="68"/>
      <c r="F291" s="70"/>
      <c r="G291" s="1"/>
      <c r="H291" s="68"/>
      <c r="I291" s="70"/>
      <c r="J291" s="1"/>
      <c r="K291" s="68"/>
      <c r="L291" s="70"/>
      <c r="M291" s="74"/>
      <c r="N291" s="62"/>
      <c r="O291" s="63"/>
      <c r="P291" s="83"/>
      <c r="Q291" s="64"/>
      <c r="R291" s="65"/>
      <c r="S291" s="99"/>
      <c r="T291" s="70"/>
      <c r="U291" s="99"/>
      <c r="V291" s="70"/>
      <c r="W291" s="74" t="s">
        <v>17987</v>
      </c>
      <c r="X291" s="62"/>
      <c r="Y291" s="63"/>
      <c r="Z291" s="75"/>
      <c r="AA291" s="1"/>
      <c r="AB291" s="68" t="s">
        <v>1</v>
      </c>
      <c r="AC291" s="76">
        <v>0.4</v>
      </c>
      <c r="AD291" s="70" t="s">
        <v>422</v>
      </c>
      <c r="AE291" s="228">
        <f>ROUND((ROUND((_15_同援日１．０*(1+_15・盲ろう)),0)*(1+_15・区４)),0)+ROUND((ROUND((ROUND((_15_同援日１．０＿０．５*(1+_15・B夜間)),0)*(1+_15・盲ろう)),0)*(1+_15・区４)),0)+ROUND((ROUND((ROUND((_15_同援日１．０＿０．５＿１．０*(1+_15・C深夜)),0)*(1+_15・盲ろう)),0)*(1+_15・区４)),0)</f>
        <v>1127</v>
      </c>
      <c r="AF291" s="69"/>
    </row>
    <row r="292" spans="1:32" ht="16.5" customHeight="1" x14ac:dyDescent="0.3">
      <c r="A292" s="2">
        <v>15</v>
      </c>
      <c r="B292" s="2" t="s">
        <v>1767</v>
      </c>
      <c r="C292" s="60" t="s">
        <v>12117</v>
      </c>
      <c r="D292" s="1"/>
      <c r="E292" s="68"/>
      <c r="F292" s="70"/>
      <c r="G292" s="1"/>
      <c r="H292" s="68"/>
      <c r="I292" s="70"/>
      <c r="J292" s="1"/>
      <c r="K292" s="68"/>
      <c r="L292" s="70"/>
      <c r="M292" s="81"/>
      <c r="N292" s="57"/>
      <c r="O292" s="58"/>
      <c r="P292" s="83" t="s">
        <v>5895</v>
      </c>
      <c r="Q292" s="64" t="s">
        <v>1</v>
      </c>
      <c r="R292" s="65">
        <v>1</v>
      </c>
      <c r="S292" s="99"/>
      <c r="T292" s="70"/>
      <c r="U292" s="99"/>
      <c r="V292" s="70"/>
      <c r="W292" s="1" t="s">
        <v>17973</v>
      </c>
      <c r="X292" s="68"/>
      <c r="Y292" s="76"/>
      <c r="Z292" s="70"/>
      <c r="AA292" s="1"/>
      <c r="AB292" s="68"/>
      <c r="AC292" s="76"/>
      <c r="AD292" s="70"/>
      <c r="AE292" s="228">
        <f>ROUND((ROUND((ROUND((_15_同援日１．０*_15・２人),0)*(1+_15・盲ろう)),0)*(1+_15・区４)),0)+ROUND((ROUND((ROUND((ROUND((_15_同援日１．０＿０．５*_15・２人),0)*(1+_15・B夜間)),0)*(1+_15・盲ろう)),0)*(1+_15・区４)),0)+ROUND((ROUND((ROUND((ROUND((_15_同援日１．０＿０．５＿１．０*_15・２人),0)*(1+_15・C深夜)),0)*(1+_15・盲ろう)),0)*(1+_15・区４)),0)</f>
        <v>1127</v>
      </c>
      <c r="AF292" s="69"/>
    </row>
    <row r="293" spans="1:32" ht="16.5" customHeight="1" x14ac:dyDescent="0.3">
      <c r="A293" s="2">
        <v>15</v>
      </c>
      <c r="B293" s="2" t="s">
        <v>1768</v>
      </c>
      <c r="C293" s="60" t="s">
        <v>12116</v>
      </c>
      <c r="D293" s="1"/>
      <c r="E293" s="68"/>
      <c r="F293" s="70"/>
      <c r="G293" s="1"/>
      <c r="H293" s="68"/>
      <c r="I293" s="70"/>
      <c r="J293" s="1"/>
      <c r="K293" s="68"/>
      <c r="L293" s="70"/>
      <c r="M293" s="74" t="s">
        <v>17972</v>
      </c>
      <c r="N293" s="62"/>
      <c r="O293" s="63"/>
      <c r="P293" s="83"/>
      <c r="Q293" s="64"/>
      <c r="R293" s="65"/>
      <c r="S293" s="99"/>
      <c r="T293" s="70"/>
      <c r="U293" s="99"/>
      <c r="V293" s="70"/>
      <c r="W293" s="1"/>
      <c r="X293" s="68" t="s">
        <v>1</v>
      </c>
      <c r="Y293" s="76">
        <v>0.25</v>
      </c>
      <c r="Z293" s="70" t="s">
        <v>422</v>
      </c>
      <c r="AA293" s="1"/>
      <c r="AB293" s="68"/>
      <c r="AC293" s="76"/>
      <c r="AD293" s="70"/>
      <c r="AE293" s="228">
        <f>ROUND((ROUND((ROUND((_15_同援日１．０*_15・基礎２),0)*(1+_15・盲ろう)),0)*(1+_15・区４)),0)+ROUND((ROUND((ROUND((ROUND((_15_同援日１．０＿０．５*_15・基礎２),0)*(1+_15・B夜間)),0)*(1+_15・盲ろう)),0)*(1+_15・区４)),0)+ROUND((ROUND((ROUND((ROUND((_15_同援日１．０＿０．５＿１．０*_15・基礎２),0)*(1+_15・C深夜)),0)*(1+_15・盲ろう)),0)*(1+_15・区４)),0)</f>
        <v>1014</v>
      </c>
      <c r="AF293" s="69"/>
    </row>
    <row r="294" spans="1:32" ht="16.5" customHeight="1" x14ac:dyDescent="0.3">
      <c r="A294" s="2">
        <v>15</v>
      </c>
      <c r="B294" s="2" t="s">
        <v>1769</v>
      </c>
      <c r="C294" s="60" t="s">
        <v>12115</v>
      </c>
      <c r="D294" s="1"/>
      <c r="E294" s="68"/>
      <c r="F294" s="70"/>
      <c r="G294" s="1"/>
      <c r="H294" s="68"/>
      <c r="I294" s="70"/>
      <c r="J294" s="81"/>
      <c r="K294" s="57"/>
      <c r="L294" s="77"/>
      <c r="M294" s="81" t="s">
        <v>17864</v>
      </c>
      <c r="N294" s="57" t="s">
        <v>1</v>
      </c>
      <c r="O294" s="58">
        <v>0.9</v>
      </c>
      <c r="P294" s="83" t="s">
        <v>5895</v>
      </c>
      <c r="Q294" s="64" t="s">
        <v>1</v>
      </c>
      <c r="R294" s="65">
        <v>1</v>
      </c>
      <c r="S294" s="99"/>
      <c r="T294" s="70"/>
      <c r="U294" s="99"/>
      <c r="V294" s="70"/>
      <c r="W294" s="81"/>
      <c r="X294" s="57"/>
      <c r="Y294" s="58"/>
      <c r="Z294" s="77"/>
      <c r="AA294" s="81"/>
      <c r="AB294" s="57"/>
      <c r="AC294" s="58"/>
      <c r="AD294" s="77"/>
      <c r="AE294" s="228">
        <f>ROUND((ROUND((ROUND((ROUND((_15_同援日１．０*_15・基礎２),0)*_15・２人),0)*(1+_15・盲ろう)),0)*(1+_15・区４)),0)+ROUND((ROUND((ROUND((ROUND((ROUND((_15_同援日１．０＿０．５*_15・基礎２),0)*_15・２人),0)*(1+_15・B夜間)),0)*(1+_15・盲ろう)),0)*(1+_15・区４)),0)+ROUND((ROUND((ROUND((ROUND((ROUND((_15_同援日１．０＿０．５＿１．０*_15・基礎２),0)*_15・２人),0)*(1+_15・C深夜)),0)*(1+_15・盲ろう)),0)*(1+_15・区４)),0)</f>
        <v>1014</v>
      </c>
      <c r="AF294" s="69"/>
    </row>
    <row r="295" spans="1:32" ht="16.5" customHeight="1" x14ac:dyDescent="0.3">
      <c r="A295" s="2">
        <v>15</v>
      </c>
      <c r="B295" s="2" t="s">
        <v>1770</v>
      </c>
      <c r="C295" s="60" t="s">
        <v>12114</v>
      </c>
      <c r="D295" s="1"/>
      <c r="E295" s="68"/>
      <c r="F295" s="70"/>
      <c r="G295" s="1"/>
      <c r="H295" s="68"/>
      <c r="I295" s="70"/>
      <c r="J295" s="74" t="s">
        <v>18159</v>
      </c>
      <c r="K295" s="62"/>
      <c r="L295" s="75"/>
      <c r="M295" s="74"/>
      <c r="N295" s="62"/>
      <c r="O295" s="63"/>
      <c r="P295" s="83"/>
      <c r="Q295" s="64"/>
      <c r="R295" s="65"/>
      <c r="S295" s="99"/>
      <c r="T295" s="70"/>
      <c r="U295" s="99"/>
      <c r="V295" s="70"/>
      <c r="W295" s="74"/>
      <c r="X295" s="62"/>
      <c r="Y295" s="63"/>
      <c r="Z295" s="75"/>
      <c r="AA295" s="74"/>
      <c r="AB295" s="62"/>
      <c r="AC295" s="63"/>
      <c r="AD295" s="75"/>
      <c r="AE295" s="228">
        <f>_15_同援日１．０+ROUND((_15_同援日１．０＿０．５*(1+_15・B夜間)),0)+ROUND((_15_同援日１．０＿０．５＿１．５*(1+_15・C深夜)),0)</f>
        <v>738</v>
      </c>
      <c r="AF295" s="69"/>
    </row>
    <row r="296" spans="1:32" ht="16.5" customHeight="1" x14ac:dyDescent="0.3">
      <c r="A296" s="2">
        <v>15</v>
      </c>
      <c r="B296" s="2" t="s">
        <v>1771</v>
      </c>
      <c r="C296" s="60" t="s">
        <v>12113</v>
      </c>
      <c r="D296" s="1"/>
      <c r="E296" s="68"/>
      <c r="F296" s="70"/>
      <c r="G296" s="1"/>
      <c r="H296" s="68"/>
      <c r="I296" s="70"/>
      <c r="J296" s="1" t="s">
        <v>18156</v>
      </c>
      <c r="K296" s="68"/>
      <c r="L296" s="70"/>
      <c r="M296" s="81"/>
      <c r="N296" s="57"/>
      <c r="O296" s="58"/>
      <c r="P296" s="83" t="s">
        <v>5895</v>
      </c>
      <c r="Q296" s="64" t="s">
        <v>1</v>
      </c>
      <c r="R296" s="65">
        <v>1</v>
      </c>
      <c r="S296" s="99"/>
      <c r="T296" s="70"/>
      <c r="U296" s="99"/>
      <c r="V296" s="70"/>
      <c r="W296" s="1"/>
      <c r="X296" s="68"/>
      <c r="Y296" s="76"/>
      <c r="Z296" s="70"/>
      <c r="AA296" s="1"/>
      <c r="AB296" s="68"/>
      <c r="AC296" s="76"/>
      <c r="AD296" s="70"/>
      <c r="AE296" s="228">
        <f>ROUND((_15_同援日１．０*_15・２人),0)+ROUND((ROUND((_15_同援日１．０＿０．５*_15・２人),0)*(1+_15・B夜間)),0)+ROUND((ROUND((_15_同援日１．０＿０．５＿１．５*_15・２人),0)*(1+_15・C深夜)),0)</f>
        <v>738</v>
      </c>
      <c r="AF296" s="69"/>
    </row>
    <row r="297" spans="1:32" ht="16.5" customHeight="1" x14ac:dyDescent="0.3">
      <c r="A297" s="2">
        <v>15</v>
      </c>
      <c r="B297" s="2" t="s">
        <v>1772</v>
      </c>
      <c r="C297" s="60" t="s">
        <v>12112</v>
      </c>
      <c r="D297" s="1"/>
      <c r="E297" s="68"/>
      <c r="F297" s="70"/>
      <c r="G297" s="1"/>
      <c r="H297" s="68"/>
      <c r="I297" s="70"/>
      <c r="J297" s="1" t="s">
        <v>8767</v>
      </c>
      <c r="K297" s="68"/>
      <c r="L297" s="70"/>
      <c r="M297" s="74" t="s">
        <v>17972</v>
      </c>
      <c r="N297" s="62"/>
      <c r="O297" s="63"/>
      <c r="P297" s="83"/>
      <c r="Q297" s="64"/>
      <c r="R297" s="65"/>
      <c r="S297" s="99"/>
      <c r="T297" s="70"/>
      <c r="U297" s="99"/>
      <c r="V297" s="70"/>
      <c r="W297" s="1"/>
      <c r="X297" s="68"/>
      <c r="Y297" s="76"/>
      <c r="Z297" s="70"/>
      <c r="AA297" s="1"/>
      <c r="AB297" s="68"/>
      <c r="AC297" s="76"/>
      <c r="AD297" s="70"/>
      <c r="AE297" s="228">
        <f>ROUND((_15_同援日１．０*_15・基礎２),0)+ROUND((ROUND((_15_同援日１．０＿０．５*_15・基礎２),0)*(1+_15・B夜間)),0)+ROUND((ROUND((_15_同援日１．０＿０．５＿１．５*_15・基礎２),0)*(1+_15・C深夜)),0)</f>
        <v>665</v>
      </c>
      <c r="AF297" s="69"/>
    </row>
    <row r="298" spans="1:32" ht="16.5" customHeight="1" x14ac:dyDescent="0.3">
      <c r="A298" s="2">
        <v>15</v>
      </c>
      <c r="B298" s="2" t="s">
        <v>1773</v>
      </c>
      <c r="C298" s="60" t="s">
        <v>12111</v>
      </c>
      <c r="D298" s="1"/>
      <c r="E298" s="68"/>
      <c r="F298" s="70"/>
      <c r="G298" s="1"/>
      <c r="H298" s="68"/>
      <c r="I298" s="70"/>
      <c r="J298" s="1"/>
      <c r="K298" s="119">
        <v>190</v>
      </c>
      <c r="L298" s="70" t="s">
        <v>0</v>
      </c>
      <c r="M298" s="81" t="s">
        <v>17864</v>
      </c>
      <c r="N298" s="57" t="s">
        <v>1</v>
      </c>
      <c r="O298" s="58">
        <v>0.9</v>
      </c>
      <c r="P298" s="83" t="s">
        <v>5895</v>
      </c>
      <c r="Q298" s="64" t="s">
        <v>1</v>
      </c>
      <c r="R298" s="65">
        <v>1</v>
      </c>
      <c r="S298" s="99"/>
      <c r="T298" s="70"/>
      <c r="U298" s="99"/>
      <c r="V298" s="70"/>
      <c r="W298" s="81"/>
      <c r="X298" s="57"/>
      <c r="Y298" s="58"/>
      <c r="Z298" s="77"/>
      <c r="AA298" s="1"/>
      <c r="AB298" s="68"/>
      <c r="AC298" s="76"/>
      <c r="AD298" s="70"/>
      <c r="AE298" s="228">
        <f>ROUND((ROUND((_15_同援日１．０*_15・基礎２),0)*_15・２人),0)+ROUND((ROUND((ROUND((_15_同援日１．０＿０．５*_15・基礎２),0)*_15・２人),0)*(1+_15・B夜間)),0)+ROUND((ROUND((ROUND((_15_同援日１．０＿０．５＿１．５*_15・基礎２),0)*_15・２人),0)*(1+_15・C深夜)),0)</f>
        <v>665</v>
      </c>
      <c r="AF298" s="69"/>
    </row>
    <row r="299" spans="1:32" ht="16.5" customHeight="1" x14ac:dyDescent="0.3">
      <c r="A299" s="2">
        <v>15</v>
      </c>
      <c r="B299" s="2" t="s">
        <v>1774</v>
      </c>
      <c r="C299" s="60" t="s">
        <v>12110</v>
      </c>
      <c r="D299" s="1"/>
      <c r="E299" s="68"/>
      <c r="F299" s="70"/>
      <c r="G299" s="1"/>
      <c r="H299" s="68"/>
      <c r="I299" s="70"/>
      <c r="J299" s="1"/>
      <c r="K299" s="68"/>
      <c r="L299" s="70"/>
      <c r="M299" s="74"/>
      <c r="N299" s="62"/>
      <c r="O299" s="63"/>
      <c r="P299" s="83"/>
      <c r="Q299" s="64"/>
      <c r="R299" s="65"/>
      <c r="S299" s="99"/>
      <c r="T299" s="70"/>
      <c r="U299" s="99"/>
      <c r="V299" s="70"/>
      <c r="W299" s="74" t="s">
        <v>17987</v>
      </c>
      <c r="X299" s="62"/>
      <c r="Y299" s="63"/>
      <c r="Z299" s="75"/>
      <c r="AA299" s="1"/>
      <c r="AB299" s="68"/>
      <c r="AC299" s="76"/>
      <c r="AD299" s="70"/>
      <c r="AE299" s="228">
        <f>ROUND((_15_同援日１．０*(1+_15・盲ろう)),0)+ROUND((ROUND((_15_同援日１．０＿０．５*(1+_15・B夜間)),0)*(1+_15・盲ろう)),0)+ROUND((ROUND((_15_同援日１．０＿０．５＿１．５*(1+_15・C深夜)),0)*(1+_15・盲ろう)),0)</f>
        <v>922</v>
      </c>
      <c r="AF299" s="69"/>
    </row>
    <row r="300" spans="1:32" ht="16.5" customHeight="1" x14ac:dyDescent="0.3">
      <c r="A300" s="2">
        <v>15</v>
      </c>
      <c r="B300" s="2" t="s">
        <v>1775</v>
      </c>
      <c r="C300" s="60" t="s">
        <v>12109</v>
      </c>
      <c r="D300" s="1"/>
      <c r="E300" s="68"/>
      <c r="F300" s="70"/>
      <c r="G300" s="1"/>
      <c r="H300" s="68"/>
      <c r="I300" s="70"/>
      <c r="J300" s="1"/>
      <c r="K300" s="68"/>
      <c r="L300" s="70"/>
      <c r="M300" s="81"/>
      <c r="N300" s="57"/>
      <c r="O300" s="58"/>
      <c r="P300" s="83" t="s">
        <v>5895</v>
      </c>
      <c r="Q300" s="64" t="s">
        <v>1</v>
      </c>
      <c r="R300" s="65">
        <v>1</v>
      </c>
      <c r="S300" s="99"/>
      <c r="T300" s="70"/>
      <c r="U300" s="99"/>
      <c r="V300" s="70"/>
      <c r="W300" s="1" t="s">
        <v>17973</v>
      </c>
      <c r="X300" s="68"/>
      <c r="Y300" s="76"/>
      <c r="Z300" s="70"/>
      <c r="AA300" s="1"/>
      <c r="AB300" s="68"/>
      <c r="AC300" s="76"/>
      <c r="AD300" s="70"/>
      <c r="AE300" s="228">
        <f>ROUND((ROUND((_15_同援日１．０*_15・２人),0)*(1+_15・盲ろう)),0)+ROUND((ROUND((ROUND((_15_同援日１．０＿０．５*_15・２人),0)*(1+_15・B夜間)),0)*(1+_15・盲ろう)),0)+ROUND((ROUND((ROUND((_15_同援日１．０＿０．５＿１．５*_15・２人),0)*(1+_15・C深夜)),0)*(1+_15・盲ろう)),0)</f>
        <v>922</v>
      </c>
      <c r="AF300" s="69"/>
    </row>
    <row r="301" spans="1:32" ht="16.5" customHeight="1" x14ac:dyDescent="0.3">
      <c r="A301" s="2">
        <v>15</v>
      </c>
      <c r="B301" s="2" t="s">
        <v>1776</v>
      </c>
      <c r="C301" s="60" t="s">
        <v>12108</v>
      </c>
      <c r="D301" s="1"/>
      <c r="E301" s="68"/>
      <c r="F301" s="70"/>
      <c r="G301" s="1"/>
      <c r="H301" s="68"/>
      <c r="I301" s="70"/>
      <c r="J301" s="1"/>
      <c r="K301" s="68"/>
      <c r="L301" s="70"/>
      <c r="M301" s="74" t="s">
        <v>17972</v>
      </c>
      <c r="N301" s="62"/>
      <c r="O301" s="63"/>
      <c r="P301" s="83"/>
      <c r="Q301" s="64"/>
      <c r="R301" s="65"/>
      <c r="S301" s="99"/>
      <c r="T301" s="70"/>
      <c r="U301" s="99"/>
      <c r="V301" s="70"/>
      <c r="W301" s="1"/>
      <c r="X301" s="68" t="s">
        <v>1</v>
      </c>
      <c r="Y301" s="76">
        <v>0.25</v>
      </c>
      <c r="Z301" s="70" t="s">
        <v>422</v>
      </c>
      <c r="AA301" s="1"/>
      <c r="AB301" s="68"/>
      <c r="AC301" s="76"/>
      <c r="AD301" s="70"/>
      <c r="AE301" s="228">
        <f>ROUND((ROUND((_15_同援日１．０*_15・基礎２),0)*(1+_15・盲ろう)),0)+ROUND((ROUND((ROUND((_15_同援日１．０＿０．５*_15・基礎２),0)*(1+_15・B夜間)),0)*(1+_15・盲ろう)),0)+ROUND((ROUND((ROUND((_15_同援日１．０＿０．５＿１．５*_15・基礎２),0)*(1+_15・C深夜)),0)*(1+_15・盲ろう)),0)</f>
        <v>831</v>
      </c>
      <c r="AF301" s="69"/>
    </row>
    <row r="302" spans="1:32" ht="16.5" customHeight="1" x14ac:dyDescent="0.3">
      <c r="A302" s="2">
        <v>15</v>
      </c>
      <c r="B302" s="2" t="s">
        <v>1777</v>
      </c>
      <c r="C302" s="60" t="s">
        <v>12107</v>
      </c>
      <c r="D302" s="1"/>
      <c r="E302" s="68"/>
      <c r="F302" s="70"/>
      <c r="G302" s="1"/>
      <c r="H302" s="68"/>
      <c r="I302" s="70"/>
      <c r="J302" s="1"/>
      <c r="K302" s="68"/>
      <c r="L302" s="70"/>
      <c r="M302" s="81" t="s">
        <v>17864</v>
      </c>
      <c r="N302" s="57" t="s">
        <v>1</v>
      </c>
      <c r="O302" s="58">
        <v>0.9</v>
      </c>
      <c r="P302" s="83" t="s">
        <v>5895</v>
      </c>
      <c r="Q302" s="64" t="s">
        <v>1</v>
      </c>
      <c r="R302" s="65">
        <v>1</v>
      </c>
      <c r="S302" s="99"/>
      <c r="T302" s="70"/>
      <c r="U302" s="99"/>
      <c r="V302" s="70"/>
      <c r="W302" s="81"/>
      <c r="X302" s="57"/>
      <c r="Y302" s="58"/>
      <c r="Z302" s="77"/>
      <c r="AA302" s="81"/>
      <c r="AB302" s="57"/>
      <c r="AC302" s="58"/>
      <c r="AD302" s="77"/>
      <c r="AE302" s="228">
        <f>ROUND((ROUND((ROUND((_15_同援日１．０*_15・基礎２),0)*_15・２人),0)*(1+_15・盲ろう)),0)+ROUND((ROUND((ROUND((ROUND((_15_同援日１．０＿０．５*_15・基礎２),0)*_15・２人),0)*(1+_15・B夜間)),0)*(1+_15・盲ろう)),0)+ROUND((ROUND((ROUND((ROUND((_15_同援日１．０＿０．５＿１．５*_15・基礎２),0)*_15・２人),0)*(1+_15・C深夜)),0)*(1+_15・盲ろう)),0)</f>
        <v>831</v>
      </c>
      <c r="AF302" s="69"/>
    </row>
    <row r="303" spans="1:32" ht="16.5" customHeight="1" x14ac:dyDescent="0.3">
      <c r="A303" s="2">
        <v>15</v>
      </c>
      <c r="B303" s="2" t="s">
        <v>1778</v>
      </c>
      <c r="C303" s="60" t="s">
        <v>12106</v>
      </c>
      <c r="D303" s="1"/>
      <c r="E303" s="68"/>
      <c r="F303" s="70"/>
      <c r="G303" s="1"/>
      <c r="H303" s="68"/>
      <c r="I303" s="70"/>
      <c r="J303" s="1"/>
      <c r="K303" s="68"/>
      <c r="L303" s="70"/>
      <c r="M303" s="74"/>
      <c r="N303" s="62"/>
      <c r="O303" s="63"/>
      <c r="P303" s="83"/>
      <c r="Q303" s="64"/>
      <c r="R303" s="65"/>
      <c r="S303" s="99"/>
      <c r="T303" s="70"/>
      <c r="U303" s="99"/>
      <c r="V303" s="70"/>
      <c r="W303" s="74"/>
      <c r="X303" s="62"/>
      <c r="Y303" s="63"/>
      <c r="Z303" s="75"/>
      <c r="AA303" s="74"/>
      <c r="AB303" s="62"/>
      <c r="AC303" s="63"/>
      <c r="AD303" s="75"/>
      <c r="AE303" s="228">
        <f>ROUND((_15_同援日１．０*(1+_15・区３)),0)+ROUND((ROUND((_15_同援日１．０＿０．５*(1+_15・B夜間)),0)*(1+_15・区３)),0)+ROUND((ROUND((_15_同援日１．０＿０．５＿１．５*(1+_15・C深夜)),0)*(1+_15・区３)),0)</f>
        <v>885</v>
      </c>
      <c r="AF303" s="69"/>
    </row>
    <row r="304" spans="1:32" ht="16.5" customHeight="1" x14ac:dyDescent="0.3">
      <c r="A304" s="2">
        <v>15</v>
      </c>
      <c r="B304" s="2" t="s">
        <v>1779</v>
      </c>
      <c r="C304" s="60" t="s">
        <v>12105</v>
      </c>
      <c r="D304" s="1"/>
      <c r="E304" s="68"/>
      <c r="F304" s="70"/>
      <c r="G304" s="1"/>
      <c r="H304" s="68"/>
      <c r="I304" s="70"/>
      <c r="J304" s="1"/>
      <c r="K304" s="68"/>
      <c r="L304" s="70"/>
      <c r="M304" s="81"/>
      <c r="N304" s="57"/>
      <c r="O304" s="58"/>
      <c r="P304" s="83" t="s">
        <v>5895</v>
      </c>
      <c r="Q304" s="64" t="s">
        <v>1</v>
      </c>
      <c r="R304" s="65">
        <v>1</v>
      </c>
      <c r="S304" s="99"/>
      <c r="T304" s="70"/>
      <c r="U304" s="99"/>
      <c r="V304" s="70"/>
      <c r="W304" s="1"/>
      <c r="X304" s="68"/>
      <c r="Y304" s="76"/>
      <c r="Z304" s="70"/>
      <c r="AA304" s="1"/>
      <c r="AB304" s="68"/>
      <c r="AC304" s="76"/>
      <c r="AD304" s="70"/>
      <c r="AE304" s="228">
        <f>ROUND((ROUND((_15_同援日１．０*_15・２人),0)*(1+_15・区３)),0)+ROUND((ROUND((ROUND((_15_同援日１．０＿０．５*_15・２人),0)*(1+_15・B夜間)),0)*(1+_15・区３)),0)+ROUND((ROUND((ROUND((_15_同援日１．０＿０．５＿１．５*_15・２人),0)*(1+_15・C深夜)),0)*(1+_15・区３)),0)</f>
        <v>885</v>
      </c>
      <c r="AF304" s="69"/>
    </row>
    <row r="305" spans="1:32" ht="16.5" customHeight="1" x14ac:dyDescent="0.3">
      <c r="A305" s="2">
        <v>15</v>
      </c>
      <c r="B305" s="2" t="s">
        <v>1780</v>
      </c>
      <c r="C305" s="60" t="s">
        <v>12104</v>
      </c>
      <c r="D305" s="1"/>
      <c r="E305" s="68"/>
      <c r="F305" s="70"/>
      <c r="G305" s="1"/>
      <c r="H305" s="68"/>
      <c r="I305" s="70"/>
      <c r="J305" s="1"/>
      <c r="K305" s="68"/>
      <c r="L305" s="70"/>
      <c r="M305" s="74" t="s">
        <v>17972</v>
      </c>
      <c r="N305" s="62"/>
      <c r="O305" s="63"/>
      <c r="P305" s="83"/>
      <c r="Q305" s="64"/>
      <c r="R305" s="65"/>
      <c r="S305" s="99"/>
      <c r="T305" s="70"/>
      <c r="U305" s="99"/>
      <c r="V305" s="70"/>
      <c r="W305" s="1"/>
      <c r="X305" s="68"/>
      <c r="Y305" s="76"/>
      <c r="Z305" s="70"/>
      <c r="AA305" s="1" t="s">
        <v>17997</v>
      </c>
      <c r="AB305" s="68"/>
      <c r="AC305" s="76"/>
      <c r="AD305" s="70"/>
      <c r="AE305" s="228">
        <f>ROUND((ROUND((_15_同援日１．０*_15・基礎２),0)*(1+_15・区３)),0)+ROUND((ROUND((ROUND((_15_同援日１．０＿０．５*_15・基礎２),0)*(1+_15・B夜間)),0)*(1+_15・区３)),0)+ROUND((ROUND((ROUND((_15_同援日１．０＿０．５＿１．５*_15・基礎２),0)*(1+_15・C深夜)),0)*(1+_15・区３)),0)</f>
        <v>798</v>
      </c>
      <c r="AF305" s="69"/>
    </row>
    <row r="306" spans="1:32" ht="16.5" customHeight="1" x14ac:dyDescent="0.3">
      <c r="A306" s="2">
        <v>15</v>
      </c>
      <c r="B306" s="2" t="s">
        <v>1781</v>
      </c>
      <c r="C306" s="60" t="s">
        <v>12103</v>
      </c>
      <c r="D306" s="1"/>
      <c r="E306" s="68"/>
      <c r="F306" s="70"/>
      <c r="G306" s="1"/>
      <c r="H306" s="68"/>
      <c r="I306" s="70"/>
      <c r="J306" s="1"/>
      <c r="K306" s="68"/>
      <c r="L306" s="70"/>
      <c r="M306" s="81" t="s">
        <v>17864</v>
      </c>
      <c r="N306" s="57" t="s">
        <v>1</v>
      </c>
      <c r="O306" s="58">
        <v>0.9</v>
      </c>
      <c r="P306" s="83" t="s">
        <v>5895</v>
      </c>
      <c r="Q306" s="64" t="s">
        <v>1</v>
      </c>
      <c r="R306" s="65">
        <v>1</v>
      </c>
      <c r="S306" s="99"/>
      <c r="T306" s="70"/>
      <c r="U306" s="99"/>
      <c r="V306" s="70"/>
      <c r="W306" s="81"/>
      <c r="X306" s="57"/>
      <c r="Y306" s="58"/>
      <c r="Z306" s="77"/>
      <c r="AA306" s="1" t="s">
        <v>17980</v>
      </c>
      <c r="AB306" s="68"/>
      <c r="AC306" s="76"/>
      <c r="AD306" s="70"/>
      <c r="AE306" s="228">
        <f>ROUND((ROUND((ROUND((_15_同援日１．０*_15・基礎２),0)*_15・２人),0)*(1+_15・区３)),0)+ROUND((ROUND((ROUND((ROUND((_15_同援日１．０＿０．５*_15・基礎２),0)*_15・２人),0)*(1+_15・B夜間)),0)*(1+_15・区３)),0)+ROUND((ROUND((ROUND((ROUND((_15_同援日１．０＿０．５＿１．５*_15・基礎２),0)*_15・２人),0)*(1+_15・C深夜)),0)*(1+_15・区３)),0)</f>
        <v>798</v>
      </c>
      <c r="AF306" s="69"/>
    </row>
    <row r="307" spans="1:32" ht="16.5" customHeight="1" x14ac:dyDescent="0.3">
      <c r="A307" s="2">
        <v>15</v>
      </c>
      <c r="B307" s="2" t="s">
        <v>1782</v>
      </c>
      <c r="C307" s="60" t="s">
        <v>12102</v>
      </c>
      <c r="D307" s="1"/>
      <c r="E307" s="68"/>
      <c r="F307" s="70"/>
      <c r="G307" s="1"/>
      <c r="H307" s="68"/>
      <c r="I307" s="70"/>
      <c r="J307" s="1"/>
      <c r="K307" s="68"/>
      <c r="L307" s="70"/>
      <c r="M307" s="74"/>
      <c r="N307" s="62"/>
      <c r="O307" s="63"/>
      <c r="P307" s="83"/>
      <c r="Q307" s="64"/>
      <c r="R307" s="65"/>
      <c r="S307" s="99"/>
      <c r="T307" s="70"/>
      <c r="U307" s="99"/>
      <c r="V307" s="70"/>
      <c r="W307" s="74" t="s">
        <v>17987</v>
      </c>
      <c r="X307" s="62"/>
      <c r="Y307" s="63"/>
      <c r="Z307" s="75"/>
      <c r="AA307" s="1"/>
      <c r="AB307" s="68" t="s">
        <v>1</v>
      </c>
      <c r="AC307" s="76">
        <v>0.2</v>
      </c>
      <c r="AD307" s="70" t="s">
        <v>422</v>
      </c>
      <c r="AE307" s="228">
        <f>ROUND((ROUND((_15_同援日１．０*(1+_15・盲ろう)),0)*(1+_15・区３)),0)+ROUND((ROUND((ROUND((_15_同援日１．０＿０．５*(1+_15・B夜間)),0)*(1+_15・盲ろう)),0)*(1+_15・区３)),0)+ROUND((ROUND((ROUND((_15_同援日１．０＿０．５＿１．５*(1+_15・C深夜)),0)*(1+_15・盲ろう)),0)*(1+_15・区３)),0)</f>
        <v>1106</v>
      </c>
      <c r="AF307" s="69"/>
    </row>
    <row r="308" spans="1:32" ht="16.5" customHeight="1" x14ac:dyDescent="0.3">
      <c r="A308" s="2">
        <v>15</v>
      </c>
      <c r="B308" s="2" t="s">
        <v>1783</v>
      </c>
      <c r="C308" s="60" t="s">
        <v>12101</v>
      </c>
      <c r="D308" s="1"/>
      <c r="E308" s="68"/>
      <c r="F308" s="70"/>
      <c r="G308" s="1"/>
      <c r="H308" s="68"/>
      <c r="I308" s="70"/>
      <c r="J308" s="1"/>
      <c r="K308" s="68"/>
      <c r="L308" s="70"/>
      <c r="M308" s="81"/>
      <c r="N308" s="57"/>
      <c r="O308" s="58"/>
      <c r="P308" s="83" t="s">
        <v>5895</v>
      </c>
      <c r="Q308" s="64" t="s">
        <v>1</v>
      </c>
      <c r="R308" s="65">
        <v>1</v>
      </c>
      <c r="S308" s="99"/>
      <c r="T308" s="70"/>
      <c r="U308" s="99"/>
      <c r="V308" s="70"/>
      <c r="W308" s="1" t="s">
        <v>17973</v>
      </c>
      <c r="X308" s="68"/>
      <c r="Y308" s="76"/>
      <c r="Z308" s="70"/>
      <c r="AA308" s="1"/>
      <c r="AB308" s="68"/>
      <c r="AC308" s="76"/>
      <c r="AD308" s="70"/>
      <c r="AE308" s="228">
        <f>ROUND((ROUND((ROUND((_15_同援日１．０*_15・２人),0)*(1+_15・盲ろう)),0)*(1+_15・区３)),0)+ROUND((ROUND((ROUND((ROUND((_15_同援日１．０＿０．５*_15・２人),0)*(1+_15・B夜間)),0)*(1+_15・盲ろう)),0)*(1+_15・区３)),0)+ROUND((ROUND((ROUND((ROUND((_15_同援日１．０＿０．５＿１．５*_15・２人),0)*(1+_15・C深夜)),0)*(1+_15・盲ろう)),0)*(1+_15・区３)),0)</f>
        <v>1106</v>
      </c>
      <c r="AF308" s="69"/>
    </row>
    <row r="309" spans="1:32" ht="16.5" customHeight="1" x14ac:dyDescent="0.3">
      <c r="A309" s="2">
        <v>15</v>
      </c>
      <c r="B309" s="2" t="s">
        <v>1785</v>
      </c>
      <c r="C309" s="60" t="s">
        <v>12100</v>
      </c>
      <c r="D309" s="1"/>
      <c r="E309" s="68"/>
      <c r="F309" s="70"/>
      <c r="G309" s="1"/>
      <c r="H309" s="68"/>
      <c r="I309" s="70"/>
      <c r="J309" s="1"/>
      <c r="K309" s="68"/>
      <c r="L309" s="70"/>
      <c r="M309" s="74" t="s">
        <v>17972</v>
      </c>
      <c r="N309" s="62"/>
      <c r="O309" s="63"/>
      <c r="P309" s="83"/>
      <c r="Q309" s="64"/>
      <c r="R309" s="65"/>
      <c r="S309" s="99"/>
      <c r="T309" s="70"/>
      <c r="U309" s="99"/>
      <c r="V309" s="70"/>
      <c r="W309" s="1"/>
      <c r="X309" s="68" t="s">
        <v>1</v>
      </c>
      <c r="Y309" s="76">
        <v>0.25</v>
      </c>
      <c r="Z309" s="70" t="s">
        <v>422</v>
      </c>
      <c r="AA309" s="1"/>
      <c r="AB309" s="68"/>
      <c r="AC309" s="76"/>
      <c r="AD309" s="70"/>
      <c r="AE309" s="228">
        <f>ROUND((ROUND((ROUND((_15_同援日１．０*_15・基礎２),0)*(1+_15・盲ろう)),0)*(1+_15・区３)),0)+ROUND((ROUND((ROUND((ROUND((_15_同援日１．０＿０．５*_15・基礎２),0)*(1+_15・B夜間)),0)*(1+_15・盲ろう)),0)*(1+_15・区３)),0)+ROUND((ROUND((ROUND((ROUND((_15_同援日１．０＿０．５＿１．５*_15・基礎２),0)*(1+_15・C深夜)),0)*(1+_15・盲ろう)),0)*(1+_15・区３)),0)</f>
        <v>997</v>
      </c>
      <c r="AF309" s="69"/>
    </row>
    <row r="310" spans="1:32" ht="16.5" customHeight="1" x14ac:dyDescent="0.3">
      <c r="A310" s="2">
        <v>15</v>
      </c>
      <c r="B310" s="2" t="s">
        <v>1786</v>
      </c>
      <c r="C310" s="60" t="s">
        <v>12099</v>
      </c>
      <c r="D310" s="1"/>
      <c r="E310" s="68"/>
      <c r="F310" s="70"/>
      <c r="G310" s="1"/>
      <c r="H310" s="68"/>
      <c r="I310" s="70"/>
      <c r="J310" s="1"/>
      <c r="K310" s="68"/>
      <c r="L310" s="70"/>
      <c r="M310" s="81" t="s">
        <v>17864</v>
      </c>
      <c r="N310" s="57" t="s">
        <v>1</v>
      </c>
      <c r="O310" s="58">
        <v>0.9</v>
      </c>
      <c r="P310" s="83" t="s">
        <v>5895</v>
      </c>
      <c r="Q310" s="64" t="s">
        <v>1</v>
      </c>
      <c r="R310" s="65">
        <v>1</v>
      </c>
      <c r="S310" s="99"/>
      <c r="T310" s="70"/>
      <c r="U310" s="99"/>
      <c r="V310" s="70"/>
      <c r="W310" s="81"/>
      <c r="X310" s="57"/>
      <c r="Y310" s="58"/>
      <c r="Z310" s="77"/>
      <c r="AA310" s="81"/>
      <c r="AB310" s="57"/>
      <c r="AC310" s="58"/>
      <c r="AD310" s="77"/>
      <c r="AE310" s="228">
        <f>ROUND((ROUND((ROUND((ROUND((_15_同援日１．０*_15・基礎２),0)*_15・２人),0)*(1+_15・盲ろう)),0)*(1+_15・区３)),0)+ROUND((ROUND((ROUND((ROUND((ROUND((_15_同援日１．０＿０．５*_15・基礎２),0)*_15・２人),0)*(1+_15・B夜間)),0)*(1+_15・盲ろう)),0)*(1+_15・区３)),0)+ROUND((ROUND((ROUND((ROUND((ROUND((_15_同援日１．０＿０．５＿１．５*_15・基礎２),0)*_15・２人),0)*(1+_15・C深夜)),0)*(1+_15・盲ろう)),0)*(1+_15・区３)),0)</f>
        <v>997</v>
      </c>
      <c r="AF310" s="69"/>
    </row>
    <row r="311" spans="1:32" ht="16.5" customHeight="1" x14ac:dyDescent="0.3">
      <c r="A311" s="2">
        <v>15</v>
      </c>
      <c r="B311" s="2" t="s">
        <v>1787</v>
      </c>
      <c r="C311" s="60" t="s">
        <v>12098</v>
      </c>
      <c r="D311" s="1"/>
      <c r="E311" s="68"/>
      <c r="F311" s="70"/>
      <c r="G311" s="1"/>
      <c r="H311" s="68"/>
      <c r="I311" s="70"/>
      <c r="J311" s="1"/>
      <c r="K311" s="68"/>
      <c r="L311" s="70"/>
      <c r="M311" s="74"/>
      <c r="N311" s="62"/>
      <c r="O311" s="63"/>
      <c r="P311" s="83"/>
      <c r="Q311" s="64"/>
      <c r="R311" s="65"/>
      <c r="S311" s="99"/>
      <c r="T311" s="70"/>
      <c r="U311" s="99"/>
      <c r="V311" s="70"/>
      <c r="W311" s="74"/>
      <c r="X311" s="62"/>
      <c r="Y311" s="63"/>
      <c r="Z311" s="75"/>
      <c r="AA311" s="74"/>
      <c r="AB311" s="62"/>
      <c r="AC311" s="63"/>
      <c r="AD311" s="75"/>
      <c r="AE311" s="228">
        <f>ROUND((_15_同援日１．０*(1+_15・区４)),0)+ROUND((ROUND((_15_同援日１．０＿０．５*(1+_15・B夜間)),0)*(1+_15・区４)),0)+ROUND((ROUND((_15_同援日１．０＿０．５＿１．５*(1+_15・C深夜)),0)*(1+_15・区４)),0)</f>
        <v>1033</v>
      </c>
      <c r="AF311" s="69"/>
    </row>
    <row r="312" spans="1:32" ht="16.5" customHeight="1" x14ac:dyDescent="0.3">
      <c r="A312" s="2">
        <v>15</v>
      </c>
      <c r="B312" s="2" t="s">
        <v>1788</v>
      </c>
      <c r="C312" s="60" t="s">
        <v>12097</v>
      </c>
      <c r="D312" s="1"/>
      <c r="E312" s="68"/>
      <c r="F312" s="70"/>
      <c r="G312" s="1"/>
      <c r="H312" s="68"/>
      <c r="I312" s="70"/>
      <c r="J312" s="1"/>
      <c r="K312" s="68"/>
      <c r="L312" s="70"/>
      <c r="M312" s="81"/>
      <c r="N312" s="57"/>
      <c r="O312" s="58"/>
      <c r="P312" s="83" t="s">
        <v>5895</v>
      </c>
      <c r="Q312" s="64" t="s">
        <v>1</v>
      </c>
      <c r="R312" s="65">
        <v>1</v>
      </c>
      <c r="S312" s="99"/>
      <c r="T312" s="70"/>
      <c r="U312" s="99"/>
      <c r="V312" s="70"/>
      <c r="W312" s="1"/>
      <c r="X312" s="68"/>
      <c r="Y312" s="76"/>
      <c r="Z312" s="70"/>
      <c r="AA312" s="1"/>
      <c r="AB312" s="68"/>
      <c r="AC312" s="76"/>
      <c r="AD312" s="70"/>
      <c r="AE312" s="228">
        <f>ROUND((ROUND((_15_同援日１．０*_15・２人),0)*(1+_15・区４)),0)+ROUND((ROUND((ROUND((_15_同援日１．０＿０．５*_15・２人),0)*(1+_15・B夜間)),0)*(1+_15・区４)),0)+ROUND((ROUND((ROUND((_15_同援日１．０＿０．５＿１．５*_15・２人),0)*(1+_15・C深夜)),0)*(1+_15・区４)),0)</f>
        <v>1033</v>
      </c>
      <c r="AF312" s="69"/>
    </row>
    <row r="313" spans="1:32" ht="16.5" customHeight="1" x14ac:dyDescent="0.3">
      <c r="A313" s="2">
        <v>15</v>
      </c>
      <c r="B313" s="2" t="s">
        <v>1789</v>
      </c>
      <c r="C313" s="60" t="s">
        <v>12096</v>
      </c>
      <c r="D313" s="1"/>
      <c r="E313" s="68"/>
      <c r="F313" s="70"/>
      <c r="G313" s="1"/>
      <c r="H313" s="68"/>
      <c r="I313" s="70"/>
      <c r="J313" s="1"/>
      <c r="K313" s="68"/>
      <c r="L313" s="70"/>
      <c r="M313" s="74" t="s">
        <v>17972</v>
      </c>
      <c r="N313" s="62"/>
      <c r="O313" s="63"/>
      <c r="P313" s="83"/>
      <c r="Q313" s="64"/>
      <c r="R313" s="65"/>
      <c r="S313" s="99"/>
      <c r="T313" s="70"/>
      <c r="U313" s="99"/>
      <c r="V313" s="70"/>
      <c r="W313" s="1"/>
      <c r="X313" s="68"/>
      <c r="Y313" s="76"/>
      <c r="Z313" s="70"/>
      <c r="AA313" s="1" t="s">
        <v>17988</v>
      </c>
      <c r="AB313" s="68"/>
      <c r="AC313" s="76"/>
      <c r="AD313" s="70"/>
      <c r="AE313" s="228">
        <f>ROUND((ROUND((_15_同援日１．０*_15・基礎２),0)*(1+_15・区４)),0)+ROUND((ROUND((ROUND((_15_同援日１．０＿０．５*_15・基礎２),0)*(1+_15・B夜間)),0)*(1+_15・区４)),0)+ROUND((ROUND((ROUND((_15_同援日１．０＿０．５＿１．５*_15・基礎２),0)*(1+_15・C深夜)),0)*(1+_15・区４)),0)</f>
        <v>931</v>
      </c>
      <c r="AF313" s="69"/>
    </row>
    <row r="314" spans="1:32" ht="16.5" customHeight="1" x14ac:dyDescent="0.3">
      <c r="A314" s="2">
        <v>15</v>
      </c>
      <c r="B314" s="2" t="s">
        <v>1790</v>
      </c>
      <c r="C314" s="60" t="s">
        <v>12095</v>
      </c>
      <c r="D314" s="1"/>
      <c r="E314" s="68"/>
      <c r="F314" s="70"/>
      <c r="G314" s="1"/>
      <c r="H314" s="68"/>
      <c r="I314" s="70"/>
      <c r="J314" s="1"/>
      <c r="K314" s="68"/>
      <c r="L314" s="70"/>
      <c r="M314" s="81" t="s">
        <v>17864</v>
      </c>
      <c r="N314" s="57" t="s">
        <v>1</v>
      </c>
      <c r="O314" s="58">
        <v>0.9</v>
      </c>
      <c r="P314" s="83" t="s">
        <v>5895</v>
      </c>
      <c r="Q314" s="64" t="s">
        <v>1</v>
      </c>
      <c r="R314" s="65">
        <v>1</v>
      </c>
      <c r="S314" s="99"/>
      <c r="T314" s="70"/>
      <c r="U314" s="99"/>
      <c r="V314" s="70"/>
      <c r="W314" s="81"/>
      <c r="X314" s="57"/>
      <c r="Y314" s="58"/>
      <c r="Z314" s="77"/>
      <c r="AA314" s="1" t="s">
        <v>17980</v>
      </c>
      <c r="AB314" s="68"/>
      <c r="AC314" s="76"/>
      <c r="AD314" s="70"/>
      <c r="AE314" s="228">
        <f>ROUND((ROUND((ROUND((_15_同援日１．０*_15・基礎２),0)*_15・２人),0)*(1+_15・区４)),0)+ROUND((ROUND((ROUND((ROUND((_15_同援日１．０＿０．５*_15・基礎２),0)*_15・２人),0)*(1+_15・B夜間)),0)*(1+_15・区４)),0)+ROUND((ROUND((ROUND((ROUND((_15_同援日１．０＿０．５＿１．５*_15・基礎２),0)*_15・２人),0)*(1+_15・C深夜)),0)*(1+_15・区４)),0)</f>
        <v>931</v>
      </c>
      <c r="AF314" s="69"/>
    </row>
    <row r="315" spans="1:32" ht="16.5" customHeight="1" x14ac:dyDescent="0.3">
      <c r="A315" s="2">
        <v>15</v>
      </c>
      <c r="B315" s="2" t="s">
        <v>1791</v>
      </c>
      <c r="C315" s="60" t="s">
        <v>12094</v>
      </c>
      <c r="D315" s="1"/>
      <c r="E315" s="68"/>
      <c r="F315" s="70"/>
      <c r="G315" s="1"/>
      <c r="H315" s="68"/>
      <c r="I315" s="70"/>
      <c r="J315" s="1"/>
      <c r="K315" s="68"/>
      <c r="L315" s="70"/>
      <c r="M315" s="74"/>
      <c r="N315" s="62"/>
      <c r="O315" s="63"/>
      <c r="P315" s="83"/>
      <c r="Q315" s="64"/>
      <c r="R315" s="65"/>
      <c r="S315" s="99"/>
      <c r="T315" s="70"/>
      <c r="U315" s="99"/>
      <c r="V315" s="70"/>
      <c r="W315" s="74" t="s">
        <v>17987</v>
      </c>
      <c r="X315" s="62"/>
      <c r="Y315" s="63"/>
      <c r="Z315" s="75"/>
      <c r="AA315" s="1"/>
      <c r="AB315" s="68" t="s">
        <v>1</v>
      </c>
      <c r="AC315" s="76">
        <v>0.4</v>
      </c>
      <c r="AD315" s="70" t="s">
        <v>422</v>
      </c>
      <c r="AE315" s="228">
        <f>ROUND((ROUND((_15_同援日１．０*(1+_15・盲ろう)),0)*(1+_15・区４)),0)+ROUND((ROUND((ROUND((_15_同援日１．０＿０．５*(1+_15・B夜間)),0)*(1+_15・盲ろう)),0)*(1+_15・区４)),0)+ROUND((ROUND((ROUND((_15_同援日１．０＿０．５＿１．５*(1+_15・C深夜)),0)*(1+_15・盲ろう)),0)*(1+_15・区４)),0)</f>
        <v>1290</v>
      </c>
      <c r="AF315" s="69"/>
    </row>
    <row r="316" spans="1:32" ht="16.5" customHeight="1" x14ac:dyDescent="0.3">
      <c r="A316" s="2">
        <v>15</v>
      </c>
      <c r="B316" s="2" t="s">
        <v>1792</v>
      </c>
      <c r="C316" s="60" t="s">
        <v>12093</v>
      </c>
      <c r="D316" s="1"/>
      <c r="E316" s="68"/>
      <c r="F316" s="70"/>
      <c r="G316" s="1"/>
      <c r="H316" s="68"/>
      <c r="I316" s="70"/>
      <c r="J316" s="1"/>
      <c r="K316" s="68"/>
      <c r="L316" s="70"/>
      <c r="M316" s="81"/>
      <c r="N316" s="57"/>
      <c r="O316" s="58"/>
      <c r="P316" s="83" t="s">
        <v>5895</v>
      </c>
      <c r="Q316" s="64" t="s">
        <v>1</v>
      </c>
      <c r="R316" s="65">
        <v>1</v>
      </c>
      <c r="S316" s="99"/>
      <c r="T316" s="70"/>
      <c r="U316" s="99"/>
      <c r="V316" s="70"/>
      <c r="W316" s="1" t="s">
        <v>17973</v>
      </c>
      <c r="X316" s="68"/>
      <c r="Y316" s="76"/>
      <c r="Z316" s="70"/>
      <c r="AA316" s="1"/>
      <c r="AB316" s="68"/>
      <c r="AC316" s="76"/>
      <c r="AD316" s="70"/>
      <c r="AE316" s="228">
        <f>ROUND((ROUND((ROUND((_15_同援日１．０*_15・２人),0)*(1+_15・盲ろう)),0)*(1+_15・区４)),0)+ROUND((ROUND((ROUND((ROUND((_15_同援日１．０＿０．５*_15・２人),0)*(1+_15・B夜間)),0)*(1+_15・盲ろう)),0)*(1+_15・区４)),0)+ROUND((ROUND((ROUND((ROUND((_15_同援日１．０＿０．５＿１．５*_15・２人),0)*(1+_15・C深夜)),0)*(1+_15・盲ろう)),0)*(1+_15・区４)),0)</f>
        <v>1290</v>
      </c>
      <c r="AF316" s="69"/>
    </row>
    <row r="317" spans="1:32" ht="16.5" customHeight="1" x14ac:dyDescent="0.3">
      <c r="A317" s="2">
        <v>15</v>
      </c>
      <c r="B317" s="2" t="s">
        <v>1793</v>
      </c>
      <c r="C317" s="60" t="s">
        <v>12092</v>
      </c>
      <c r="D317" s="1"/>
      <c r="E317" s="68"/>
      <c r="F317" s="70"/>
      <c r="G317" s="1"/>
      <c r="H317" s="68"/>
      <c r="I317" s="70"/>
      <c r="J317" s="1"/>
      <c r="K317" s="68"/>
      <c r="L317" s="70"/>
      <c r="M317" s="74" t="s">
        <v>17972</v>
      </c>
      <c r="N317" s="62"/>
      <c r="O317" s="63"/>
      <c r="P317" s="83"/>
      <c r="Q317" s="64"/>
      <c r="R317" s="65"/>
      <c r="S317" s="99"/>
      <c r="T317" s="70"/>
      <c r="U317" s="99"/>
      <c r="V317" s="70"/>
      <c r="W317" s="1"/>
      <c r="X317" s="68" t="s">
        <v>1</v>
      </c>
      <c r="Y317" s="76">
        <v>0.25</v>
      </c>
      <c r="Z317" s="70" t="s">
        <v>422</v>
      </c>
      <c r="AA317" s="1"/>
      <c r="AB317" s="68"/>
      <c r="AC317" s="76"/>
      <c r="AD317" s="70"/>
      <c r="AE317" s="228">
        <f>ROUND((ROUND((ROUND((_15_同援日１．０*_15・基礎２),0)*(1+_15・盲ろう)),0)*(1+_15・区４)),0)+ROUND((ROUND((ROUND((ROUND((_15_同援日１．０＿０．５*_15・基礎２),0)*(1+_15・B夜間)),0)*(1+_15・盲ろう)),0)*(1+_15・区４)),0)+ROUND((ROUND((ROUND((ROUND((_15_同援日１．０＿０．５＿１．５*_15・基礎２),0)*(1+_15・C深夜)),0)*(1+_15・盲ろう)),0)*(1+_15・区４)),0)</f>
        <v>1163</v>
      </c>
      <c r="AF317" s="69"/>
    </row>
    <row r="318" spans="1:32" ht="16.5" customHeight="1" x14ac:dyDescent="0.3">
      <c r="A318" s="2">
        <v>15</v>
      </c>
      <c r="B318" s="2" t="s">
        <v>1794</v>
      </c>
      <c r="C318" s="60" t="s">
        <v>12091</v>
      </c>
      <c r="D318" s="1"/>
      <c r="E318" s="68"/>
      <c r="F318" s="70"/>
      <c r="G318" s="81"/>
      <c r="H318" s="57"/>
      <c r="I318" s="77"/>
      <c r="J318" s="81"/>
      <c r="K318" s="57"/>
      <c r="L318" s="77"/>
      <c r="M318" s="81" t="s">
        <v>17864</v>
      </c>
      <c r="N318" s="57" t="s">
        <v>1</v>
      </c>
      <c r="O318" s="58">
        <v>0.9</v>
      </c>
      <c r="P318" s="83" t="s">
        <v>5895</v>
      </c>
      <c r="Q318" s="64" t="s">
        <v>1</v>
      </c>
      <c r="R318" s="65">
        <v>1</v>
      </c>
      <c r="S318" s="99"/>
      <c r="T318" s="70"/>
      <c r="U318" s="99"/>
      <c r="V318" s="70"/>
      <c r="W318" s="81"/>
      <c r="X318" s="57"/>
      <c r="Y318" s="58"/>
      <c r="Z318" s="77"/>
      <c r="AA318" s="81"/>
      <c r="AB318" s="57"/>
      <c r="AC318" s="58"/>
      <c r="AD318" s="77"/>
      <c r="AE318" s="228">
        <f>ROUND((ROUND((ROUND((ROUND((_15_同援日１．０*_15・基礎２),0)*_15・２人),0)*(1+_15・盲ろう)),0)*(1+_15・区４)),0)+ROUND((ROUND((ROUND((ROUND((ROUND((_15_同援日１．０＿０．５*_15・基礎２),0)*_15・２人),0)*(1+_15・B夜間)),0)*(1+_15・盲ろう)),0)*(1+_15・区４)),0)+ROUND((ROUND((ROUND((ROUND((ROUND((_15_同援日１．０＿０．５＿１．５*_15・基礎２),0)*_15・２人),0)*(1+_15・C深夜)),0)*(1+_15・盲ろう)),0)*(1+_15・区４)),0)</f>
        <v>1163</v>
      </c>
      <c r="AF318" s="69"/>
    </row>
    <row r="319" spans="1:32" ht="16.5" customHeight="1" x14ac:dyDescent="0.3">
      <c r="A319" s="2">
        <v>15</v>
      </c>
      <c r="B319" s="2" t="s">
        <v>1795</v>
      </c>
      <c r="C319" s="60" t="s">
        <v>12090</v>
      </c>
      <c r="D319" s="1"/>
      <c r="E319" s="68"/>
      <c r="F319" s="70"/>
      <c r="G319" s="233" t="s">
        <v>17868</v>
      </c>
      <c r="H319" s="62"/>
      <c r="I319" s="75"/>
      <c r="J319" s="74" t="s">
        <v>6333</v>
      </c>
      <c r="K319" s="62"/>
      <c r="L319" s="75"/>
      <c r="M319" s="74"/>
      <c r="N319" s="62"/>
      <c r="O319" s="63"/>
      <c r="P319" s="83"/>
      <c r="Q319" s="64"/>
      <c r="R319" s="65"/>
      <c r="S319" s="99"/>
      <c r="T319" s="70"/>
      <c r="U319" s="99"/>
      <c r="V319" s="70"/>
      <c r="W319" s="74"/>
      <c r="X319" s="62"/>
      <c r="Y319" s="63"/>
      <c r="Z319" s="75"/>
      <c r="AA319" s="74"/>
      <c r="AB319" s="62"/>
      <c r="AC319" s="63"/>
      <c r="AD319" s="75"/>
      <c r="AE319" s="228">
        <f>_15_同援日１．０+ROUND((_15_同援日１．０＿１．０*(1+_15・B夜間)),0)+ROUND((_15_同援日１．０＿１．０＿０．５*(1+_15・C深夜)),0)</f>
        <v>628</v>
      </c>
      <c r="AF319" s="69"/>
    </row>
    <row r="320" spans="1:32" ht="16.5" customHeight="1" x14ac:dyDescent="0.3">
      <c r="A320" s="2">
        <v>15</v>
      </c>
      <c r="B320" s="2" t="s">
        <v>1796</v>
      </c>
      <c r="C320" s="60" t="s">
        <v>12089</v>
      </c>
      <c r="D320" s="1"/>
      <c r="E320" s="68"/>
      <c r="F320" s="70"/>
      <c r="G320" s="1" t="s">
        <v>18155</v>
      </c>
      <c r="H320" s="68"/>
      <c r="I320" s="70"/>
      <c r="J320" s="1" t="s">
        <v>7928</v>
      </c>
      <c r="K320" s="68"/>
      <c r="L320" s="70"/>
      <c r="M320" s="81"/>
      <c r="N320" s="57"/>
      <c r="O320" s="58"/>
      <c r="P320" s="83" t="s">
        <v>5895</v>
      </c>
      <c r="Q320" s="64" t="s">
        <v>1</v>
      </c>
      <c r="R320" s="65">
        <v>1</v>
      </c>
      <c r="S320" s="99"/>
      <c r="T320" s="70"/>
      <c r="U320" s="99"/>
      <c r="V320" s="70"/>
      <c r="W320" s="1"/>
      <c r="X320" s="68"/>
      <c r="Y320" s="76"/>
      <c r="Z320" s="70"/>
      <c r="AA320" s="1"/>
      <c r="AB320" s="68"/>
      <c r="AC320" s="76"/>
      <c r="AD320" s="70"/>
      <c r="AE320" s="228">
        <f>ROUND((_15_同援日１．０*_15・２人),0)+ROUND((ROUND((_15_同援日１．０＿１．０*_15・２人),0)*(1+_15・B夜間)),0)+ROUND((ROUND((_15_同援日１．０＿１．０＿０．５*_15・２人),0)*(1+_15・C深夜)),0)</f>
        <v>628</v>
      </c>
      <c r="AF320" s="69"/>
    </row>
    <row r="321" spans="1:32" ht="16.5" customHeight="1" x14ac:dyDescent="0.3">
      <c r="A321" s="2">
        <v>15</v>
      </c>
      <c r="B321" s="2" t="s">
        <v>1797</v>
      </c>
      <c r="C321" s="60" t="s">
        <v>12088</v>
      </c>
      <c r="D321" s="1"/>
      <c r="E321" s="68"/>
      <c r="F321" s="70"/>
      <c r="G321" s="1" t="s">
        <v>8572</v>
      </c>
      <c r="H321" s="68"/>
      <c r="I321" s="70"/>
      <c r="J321" s="1"/>
      <c r="K321" s="68"/>
      <c r="L321" s="70"/>
      <c r="M321" s="74" t="s">
        <v>17972</v>
      </c>
      <c r="N321" s="62"/>
      <c r="O321" s="63"/>
      <c r="P321" s="83"/>
      <c r="Q321" s="64"/>
      <c r="R321" s="65"/>
      <c r="S321" s="99"/>
      <c r="T321" s="70"/>
      <c r="U321" s="99"/>
      <c r="V321" s="70"/>
      <c r="W321" s="1"/>
      <c r="X321" s="68"/>
      <c r="Y321" s="76"/>
      <c r="Z321" s="70"/>
      <c r="AA321" s="1"/>
      <c r="AB321" s="68"/>
      <c r="AC321" s="76"/>
      <c r="AD321" s="70"/>
      <c r="AE321" s="228">
        <f>ROUND((_15_同援日１．０*_15・基礎２),0)+ROUND((ROUND((_15_同援日１．０＿１．０*_15・基礎２),0)*(1+_15・B夜間)),0)+ROUND((ROUND((_15_同援日１．０＿１．０＿０．５*_15・基礎２),0)*(1+_15・C深夜)),0)</f>
        <v>567</v>
      </c>
      <c r="AF321" s="69"/>
    </row>
    <row r="322" spans="1:32" ht="16.5" customHeight="1" x14ac:dyDescent="0.3">
      <c r="A322" s="2">
        <v>15</v>
      </c>
      <c r="B322" s="2" t="s">
        <v>1798</v>
      </c>
      <c r="C322" s="60" t="s">
        <v>12087</v>
      </c>
      <c r="D322" s="1"/>
      <c r="E322" s="68"/>
      <c r="F322" s="70"/>
      <c r="G322" s="1"/>
      <c r="H322" s="119">
        <v>193</v>
      </c>
      <c r="I322" s="70" t="s">
        <v>0</v>
      </c>
      <c r="J322" s="1"/>
      <c r="K322" s="119">
        <v>63</v>
      </c>
      <c r="L322" s="70" t="s">
        <v>0</v>
      </c>
      <c r="M322" s="81" t="s">
        <v>17864</v>
      </c>
      <c r="N322" s="57" t="s">
        <v>1</v>
      </c>
      <c r="O322" s="58">
        <v>0.9</v>
      </c>
      <c r="P322" s="83" t="s">
        <v>5895</v>
      </c>
      <c r="Q322" s="64" t="s">
        <v>1</v>
      </c>
      <c r="R322" s="65">
        <v>1</v>
      </c>
      <c r="S322" s="99"/>
      <c r="T322" s="70"/>
      <c r="U322" s="99"/>
      <c r="V322" s="70"/>
      <c r="W322" s="81"/>
      <c r="X322" s="57"/>
      <c r="Y322" s="58"/>
      <c r="Z322" s="77"/>
      <c r="AA322" s="1"/>
      <c r="AB322" s="68"/>
      <c r="AC322" s="76"/>
      <c r="AD322" s="70"/>
      <c r="AE322" s="228">
        <f>ROUND((ROUND((_15_同援日１．０*_15・基礎２),0)*_15・２人),0)+ROUND((ROUND((ROUND((_15_同援日１．０＿１．０*_15・基礎２),0)*_15・２人),0)*(1+_15・B夜間)),0)+ROUND((ROUND((ROUND((_15_同援日１．０＿１．０＿０．５*_15・基礎２),0)*_15・２人),0)*(1+_15・C深夜)),0)</f>
        <v>567</v>
      </c>
      <c r="AF322" s="69"/>
    </row>
    <row r="323" spans="1:32" ht="16.5" customHeight="1" x14ac:dyDescent="0.3">
      <c r="A323" s="2">
        <v>15</v>
      </c>
      <c r="B323" s="2" t="s">
        <v>1799</v>
      </c>
      <c r="C323" s="60" t="s">
        <v>12086</v>
      </c>
      <c r="D323" s="1"/>
      <c r="E323" s="68"/>
      <c r="F323" s="70"/>
      <c r="G323" s="1"/>
      <c r="H323" s="68"/>
      <c r="I323" s="70"/>
      <c r="J323" s="1"/>
      <c r="K323" s="68"/>
      <c r="L323" s="70"/>
      <c r="M323" s="74"/>
      <c r="N323" s="62"/>
      <c r="O323" s="63"/>
      <c r="P323" s="83"/>
      <c r="Q323" s="64"/>
      <c r="R323" s="65"/>
      <c r="S323" s="99"/>
      <c r="T323" s="70"/>
      <c r="U323" s="99"/>
      <c r="V323" s="70"/>
      <c r="W323" s="74" t="s">
        <v>17987</v>
      </c>
      <c r="X323" s="62"/>
      <c r="Y323" s="63"/>
      <c r="Z323" s="75"/>
      <c r="AA323" s="1"/>
      <c r="AB323" s="68"/>
      <c r="AC323" s="76"/>
      <c r="AD323" s="70"/>
      <c r="AE323" s="228">
        <f>ROUND((_15_同援日１．０*(1+_15・盲ろう)),0)+ROUND((ROUND((_15_同援日１．０＿１．０*(1+_15・B夜間)),0)*(1+_15・盲ろう)),0)+ROUND((ROUND((_15_同援日１．０＿１．０＿０．５*(1+_15・C深夜)),0)*(1+_15・盲ろう)),0)</f>
        <v>785</v>
      </c>
      <c r="AF323" s="69"/>
    </row>
    <row r="324" spans="1:32" ht="16.5" customHeight="1" x14ac:dyDescent="0.3">
      <c r="A324" s="2">
        <v>15</v>
      </c>
      <c r="B324" s="2" t="s">
        <v>1800</v>
      </c>
      <c r="C324" s="60" t="s">
        <v>12085</v>
      </c>
      <c r="D324" s="1"/>
      <c r="E324" s="68"/>
      <c r="F324" s="70"/>
      <c r="G324" s="1"/>
      <c r="H324" s="68"/>
      <c r="I324" s="70"/>
      <c r="J324" s="1"/>
      <c r="K324" s="68"/>
      <c r="L324" s="70"/>
      <c r="M324" s="81"/>
      <c r="N324" s="57"/>
      <c r="O324" s="58"/>
      <c r="P324" s="83" t="s">
        <v>5895</v>
      </c>
      <c r="Q324" s="64" t="s">
        <v>1</v>
      </c>
      <c r="R324" s="65">
        <v>1</v>
      </c>
      <c r="S324" s="99"/>
      <c r="T324" s="70"/>
      <c r="U324" s="99"/>
      <c r="V324" s="70"/>
      <c r="W324" s="1" t="s">
        <v>8083</v>
      </c>
      <c r="X324" s="68"/>
      <c r="Y324" s="76"/>
      <c r="Z324" s="70"/>
      <c r="AA324" s="1"/>
      <c r="AB324" s="68"/>
      <c r="AC324" s="76"/>
      <c r="AD324" s="70"/>
      <c r="AE324" s="228">
        <f>ROUND((ROUND((_15_同援日１．０*_15・２人),0)*(1+_15・盲ろう)),0)+ROUND((ROUND((ROUND((_15_同援日１．０＿１．０*_15・２人),0)*(1+_15・B夜間)),0)*(1+_15・盲ろう)),0)+ROUND((ROUND((ROUND((_15_同援日１．０＿１．０＿０．５*_15・２人),0)*(1+_15・C深夜)),0)*(1+_15・盲ろう)),0)</f>
        <v>785</v>
      </c>
      <c r="AF324" s="69"/>
    </row>
    <row r="325" spans="1:32" ht="16.5" customHeight="1" x14ac:dyDescent="0.3">
      <c r="A325" s="2">
        <v>15</v>
      </c>
      <c r="B325" s="2" t="s">
        <v>1801</v>
      </c>
      <c r="C325" s="60" t="s">
        <v>12084</v>
      </c>
      <c r="D325" s="1"/>
      <c r="E325" s="68"/>
      <c r="F325" s="70"/>
      <c r="G325" s="1"/>
      <c r="H325" s="68"/>
      <c r="I325" s="70"/>
      <c r="J325" s="1"/>
      <c r="K325" s="68"/>
      <c r="L325" s="70"/>
      <c r="M325" s="74" t="s">
        <v>5898</v>
      </c>
      <c r="N325" s="62"/>
      <c r="O325" s="63"/>
      <c r="P325" s="83"/>
      <c r="Q325" s="64"/>
      <c r="R325" s="65"/>
      <c r="S325" s="99"/>
      <c r="T325" s="70"/>
      <c r="U325" s="99"/>
      <c r="V325" s="70"/>
      <c r="W325" s="1"/>
      <c r="X325" s="68" t="s">
        <v>1</v>
      </c>
      <c r="Y325" s="76">
        <v>0.25</v>
      </c>
      <c r="Z325" s="70" t="s">
        <v>422</v>
      </c>
      <c r="AA325" s="1"/>
      <c r="AB325" s="68"/>
      <c r="AC325" s="76"/>
      <c r="AD325" s="70"/>
      <c r="AE325" s="228">
        <f>ROUND((ROUND((_15_同援日１．０*_15・基礎２),0)*(1+_15・盲ろう)),0)+ROUND((ROUND((ROUND((_15_同援日１．０＿１．０*_15・基礎２),0)*(1+_15・B夜間)),0)*(1+_15・盲ろう)),0)+ROUND((ROUND((ROUND((_15_同援日１．０＿１．０＿０．５*_15・基礎２),0)*(1+_15・C深夜)),0)*(1+_15・盲ろう)),0)</f>
        <v>710</v>
      </c>
      <c r="AF325" s="69"/>
    </row>
    <row r="326" spans="1:32" ht="16.5" customHeight="1" x14ac:dyDescent="0.3">
      <c r="A326" s="2">
        <v>15</v>
      </c>
      <c r="B326" s="2" t="s">
        <v>1802</v>
      </c>
      <c r="C326" s="60" t="s">
        <v>12083</v>
      </c>
      <c r="D326" s="1"/>
      <c r="E326" s="68"/>
      <c r="F326" s="70"/>
      <c r="G326" s="1"/>
      <c r="H326" s="68"/>
      <c r="I326" s="70"/>
      <c r="J326" s="1"/>
      <c r="K326" s="68"/>
      <c r="L326" s="70"/>
      <c r="M326" s="81" t="s">
        <v>17864</v>
      </c>
      <c r="N326" s="57" t="s">
        <v>1</v>
      </c>
      <c r="O326" s="58">
        <v>0.9</v>
      </c>
      <c r="P326" s="83" t="s">
        <v>5895</v>
      </c>
      <c r="Q326" s="64" t="s">
        <v>1</v>
      </c>
      <c r="R326" s="65">
        <v>1</v>
      </c>
      <c r="S326" s="99"/>
      <c r="T326" s="70"/>
      <c r="U326" s="99"/>
      <c r="V326" s="70"/>
      <c r="W326" s="81"/>
      <c r="X326" s="57"/>
      <c r="Y326" s="58"/>
      <c r="Z326" s="77"/>
      <c r="AA326" s="81"/>
      <c r="AB326" s="57"/>
      <c r="AC326" s="58"/>
      <c r="AD326" s="77"/>
      <c r="AE326" s="228">
        <f>ROUND((ROUND((ROUND((_15_同援日１．０*_15・基礎２),0)*_15・２人),0)*(1+_15・盲ろう)),0)+ROUND((ROUND((ROUND((ROUND((_15_同援日１．０＿１．０*_15・基礎２),0)*_15・２人),0)*(1+_15・B夜間)),0)*(1+_15・盲ろう)),0)+ROUND((ROUND((ROUND((ROUND((_15_同援日１．０＿１．０＿０．５*_15・基礎２),0)*_15・２人),0)*(1+_15・C深夜)),0)*(1+_15・盲ろう)),0)</f>
        <v>710</v>
      </c>
      <c r="AF326" s="69"/>
    </row>
    <row r="327" spans="1:32" ht="16.5" customHeight="1" x14ac:dyDescent="0.3">
      <c r="A327" s="2">
        <v>15</v>
      </c>
      <c r="B327" s="2" t="s">
        <v>1803</v>
      </c>
      <c r="C327" s="60" t="s">
        <v>12082</v>
      </c>
      <c r="D327" s="1"/>
      <c r="E327" s="68"/>
      <c r="F327" s="70"/>
      <c r="G327" s="1"/>
      <c r="H327" s="68"/>
      <c r="I327" s="70"/>
      <c r="J327" s="1"/>
      <c r="K327" s="68"/>
      <c r="L327" s="70"/>
      <c r="M327" s="74"/>
      <c r="N327" s="62"/>
      <c r="O327" s="63"/>
      <c r="P327" s="83"/>
      <c r="Q327" s="64"/>
      <c r="R327" s="65"/>
      <c r="S327" s="99"/>
      <c r="T327" s="70"/>
      <c r="U327" s="99"/>
      <c r="V327" s="70"/>
      <c r="W327" s="74"/>
      <c r="X327" s="62"/>
      <c r="Y327" s="63"/>
      <c r="Z327" s="75"/>
      <c r="AA327" s="74"/>
      <c r="AB327" s="62"/>
      <c r="AC327" s="63"/>
      <c r="AD327" s="75"/>
      <c r="AE327" s="228">
        <f>ROUND((_15_同援日１．０*(1+_15・区３)),0)+ROUND((ROUND((_15_同援日１．０＿１．０*(1+_15・B夜間)),0)*(1+_15・区３)),0)+ROUND((ROUND((_15_同援日１．０＿１．０＿０．５*(1+_15・C深夜)),0)*(1+_15・区３)),0)</f>
        <v>753</v>
      </c>
      <c r="AF327" s="69"/>
    </row>
    <row r="328" spans="1:32" ht="16.5" customHeight="1" x14ac:dyDescent="0.3">
      <c r="A328" s="2">
        <v>15</v>
      </c>
      <c r="B328" s="2" t="s">
        <v>1804</v>
      </c>
      <c r="C328" s="60" t="s">
        <v>12081</v>
      </c>
      <c r="D328" s="1"/>
      <c r="E328" s="68"/>
      <c r="F328" s="70"/>
      <c r="G328" s="1"/>
      <c r="H328" s="68"/>
      <c r="I328" s="70"/>
      <c r="J328" s="1"/>
      <c r="K328" s="68"/>
      <c r="L328" s="70"/>
      <c r="M328" s="81"/>
      <c r="N328" s="57"/>
      <c r="O328" s="58"/>
      <c r="P328" s="83" t="s">
        <v>5895</v>
      </c>
      <c r="Q328" s="64" t="s">
        <v>1</v>
      </c>
      <c r="R328" s="65">
        <v>1</v>
      </c>
      <c r="S328" s="99"/>
      <c r="T328" s="70"/>
      <c r="U328" s="99"/>
      <c r="V328" s="70"/>
      <c r="W328" s="1"/>
      <c r="X328" s="68"/>
      <c r="Y328" s="76"/>
      <c r="Z328" s="70"/>
      <c r="AA328" s="1"/>
      <c r="AB328" s="68"/>
      <c r="AC328" s="76"/>
      <c r="AD328" s="70"/>
      <c r="AE328" s="228">
        <f>ROUND((ROUND((_15_同援日１．０*_15・２人),0)*(1+_15・区３)),0)+ROUND((ROUND((ROUND((_15_同援日１．０＿１．０*_15・２人),0)*(1+_15・B夜間)),0)*(1+_15・区３)),0)+ROUND((ROUND((ROUND((_15_同援日１．０＿１．０＿０．５*_15・２人),0)*(1+_15・C深夜)),0)*(1+_15・区３)),0)</f>
        <v>753</v>
      </c>
      <c r="AF328" s="69"/>
    </row>
    <row r="329" spans="1:32" ht="16.5" customHeight="1" x14ac:dyDescent="0.3">
      <c r="A329" s="2">
        <v>15</v>
      </c>
      <c r="B329" s="2" t="s">
        <v>1805</v>
      </c>
      <c r="C329" s="60" t="s">
        <v>12080</v>
      </c>
      <c r="D329" s="1"/>
      <c r="E329" s="68"/>
      <c r="F329" s="70"/>
      <c r="G329" s="1"/>
      <c r="H329" s="68"/>
      <c r="I329" s="70"/>
      <c r="J329" s="1"/>
      <c r="K329" s="68"/>
      <c r="L329" s="70"/>
      <c r="M329" s="74" t="s">
        <v>17972</v>
      </c>
      <c r="N329" s="62"/>
      <c r="O329" s="63"/>
      <c r="P329" s="83"/>
      <c r="Q329" s="64"/>
      <c r="R329" s="65"/>
      <c r="S329" s="99"/>
      <c r="T329" s="70"/>
      <c r="U329" s="99"/>
      <c r="V329" s="70"/>
      <c r="W329" s="1"/>
      <c r="X329" s="68"/>
      <c r="Y329" s="76"/>
      <c r="Z329" s="70"/>
      <c r="AA329" s="1" t="s">
        <v>8098</v>
      </c>
      <c r="AB329" s="68"/>
      <c r="AC329" s="76"/>
      <c r="AD329" s="70"/>
      <c r="AE329" s="228">
        <f>ROUND((ROUND((_15_同援日１．０*_15・基礎２),0)*(1+_15・区３)),0)+ROUND((ROUND((ROUND((_15_同援日１．０＿１．０*_15・基礎２),0)*(1+_15・B夜間)),0)*(1+_15・区３)),0)+ROUND((ROUND((ROUND((_15_同援日１．０＿１．０＿０．５*_15・基礎２),0)*(1+_15・C深夜)),0)*(1+_15・区３)),0)</f>
        <v>681</v>
      </c>
      <c r="AF329" s="69"/>
    </row>
    <row r="330" spans="1:32" ht="16.5" customHeight="1" x14ac:dyDescent="0.3">
      <c r="A330" s="2">
        <v>15</v>
      </c>
      <c r="B330" s="2" t="s">
        <v>1806</v>
      </c>
      <c r="C330" s="60" t="s">
        <v>12079</v>
      </c>
      <c r="D330" s="1"/>
      <c r="E330" s="68"/>
      <c r="F330" s="70"/>
      <c r="G330" s="1"/>
      <c r="H330" s="68"/>
      <c r="I330" s="70"/>
      <c r="J330" s="1"/>
      <c r="K330" s="68"/>
      <c r="L330" s="70"/>
      <c r="M330" s="81" t="s">
        <v>17864</v>
      </c>
      <c r="N330" s="57" t="s">
        <v>1</v>
      </c>
      <c r="O330" s="58">
        <v>0.9</v>
      </c>
      <c r="P330" s="83" t="s">
        <v>5895</v>
      </c>
      <c r="Q330" s="64" t="s">
        <v>1</v>
      </c>
      <c r="R330" s="65">
        <v>1</v>
      </c>
      <c r="S330" s="99"/>
      <c r="T330" s="70"/>
      <c r="U330" s="99"/>
      <c r="V330" s="70"/>
      <c r="W330" s="81"/>
      <c r="X330" s="57"/>
      <c r="Y330" s="58"/>
      <c r="Z330" s="77"/>
      <c r="AA330" s="1" t="s">
        <v>8087</v>
      </c>
      <c r="AB330" s="68"/>
      <c r="AC330" s="76"/>
      <c r="AD330" s="70"/>
      <c r="AE330" s="228">
        <f>ROUND((ROUND((ROUND((_15_同援日１．０*_15・基礎２),0)*_15・２人),0)*(1+_15・区３)),0)+ROUND((ROUND((ROUND((ROUND((_15_同援日１．０＿１．０*_15・基礎２),0)*_15・２人),0)*(1+_15・B夜間)),0)*(1+_15・区３)),0)+ROUND((ROUND((ROUND((ROUND((_15_同援日１．０＿１．０＿０．５*_15・基礎２),0)*_15・２人),0)*(1+_15・C深夜)),0)*(1+_15・区３)),0)</f>
        <v>681</v>
      </c>
      <c r="AF330" s="69"/>
    </row>
    <row r="331" spans="1:32" ht="16.5" customHeight="1" x14ac:dyDescent="0.3">
      <c r="A331" s="2">
        <v>15</v>
      </c>
      <c r="B331" s="2" t="s">
        <v>1807</v>
      </c>
      <c r="C331" s="60" t="s">
        <v>12078</v>
      </c>
      <c r="D331" s="1"/>
      <c r="E331" s="68"/>
      <c r="F331" s="70"/>
      <c r="G331" s="1"/>
      <c r="H331" s="68"/>
      <c r="I331" s="70"/>
      <c r="J331" s="1"/>
      <c r="K331" s="68"/>
      <c r="L331" s="70"/>
      <c r="M331" s="74"/>
      <c r="N331" s="62"/>
      <c r="O331" s="63"/>
      <c r="P331" s="83"/>
      <c r="Q331" s="64"/>
      <c r="R331" s="65"/>
      <c r="S331" s="99"/>
      <c r="T331" s="70"/>
      <c r="U331" s="99"/>
      <c r="V331" s="70"/>
      <c r="W331" s="74" t="s">
        <v>17987</v>
      </c>
      <c r="X331" s="62"/>
      <c r="Y331" s="63"/>
      <c r="Z331" s="75"/>
      <c r="AA331" s="1"/>
      <c r="AB331" s="68" t="s">
        <v>1</v>
      </c>
      <c r="AC331" s="76">
        <v>0.2</v>
      </c>
      <c r="AD331" s="70" t="s">
        <v>422</v>
      </c>
      <c r="AE331" s="228">
        <f>ROUND((ROUND((_15_同援日１．０*(1+_15・盲ろう)),0)*(1+_15・区３)),0)+ROUND((ROUND((ROUND((_15_同援日１．０＿１．０*(1+_15・B夜間)),0)*(1+_15・盲ろう)),0)*(1+_15・区３)),0)+ROUND((ROUND((ROUND((_15_同援日１．０＿１．０＿０．５*(1+_15・C深夜)),0)*(1+_15・盲ろう)),0)*(1+_15・区３)),0)</f>
        <v>942</v>
      </c>
      <c r="AF331" s="69"/>
    </row>
    <row r="332" spans="1:32" ht="16.5" customHeight="1" x14ac:dyDescent="0.3">
      <c r="A332" s="2">
        <v>15</v>
      </c>
      <c r="B332" s="2" t="s">
        <v>1808</v>
      </c>
      <c r="C332" s="60" t="s">
        <v>12077</v>
      </c>
      <c r="D332" s="1"/>
      <c r="E332" s="68"/>
      <c r="F332" s="70"/>
      <c r="G332" s="1"/>
      <c r="H332" s="68"/>
      <c r="I332" s="70"/>
      <c r="J332" s="1"/>
      <c r="K332" s="68"/>
      <c r="L332" s="70"/>
      <c r="M332" s="81"/>
      <c r="N332" s="57"/>
      <c r="O332" s="58"/>
      <c r="P332" s="83" t="s">
        <v>5895</v>
      </c>
      <c r="Q332" s="64" t="s">
        <v>1</v>
      </c>
      <c r="R332" s="65">
        <v>1</v>
      </c>
      <c r="S332" s="99"/>
      <c r="T332" s="70"/>
      <c r="U332" s="99"/>
      <c r="V332" s="70"/>
      <c r="W332" s="1" t="s">
        <v>8083</v>
      </c>
      <c r="X332" s="68"/>
      <c r="Y332" s="76"/>
      <c r="Z332" s="70"/>
      <c r="AA332" s="1"/>
      <c r="AB332" s="68"/>
      <c r="AC332" s="76"/>
      <c r="AD332" s="70"/>
      <c r="AE332" s="228">
        <f>ROUND((ROUND((ROUND((_15_同援日１．０*_15・２人),0)*(1+_15・盲ろう)),0)*(1+_15・区３)),0)+ROUND((ROUND((ROUND((ROUND((_15_同援日１．０＿１．０*_15・２人),0)*(1+_15・B夜間)),0)*(1+_15・盲ろう)),0)*(1+_15・区３)),0)+ROUND((ROUND((ROUND((ROUND((_15_同援日１．０＿１．０＿０．５*_15・２人),0)*(1+_15・C深夜)),0)*(1+_15・盲ろう)),0)*(1+_15・区３)),0)</f>
        <v>942</v>
      </c>
      <c r="AF332" s="69"/>
    </row>
    <row r="333" spans="1:32" ht="16.5" customHeight="1" x14ac:dyDescent="0.3">
      <c r="A333" s="2">
        <v>15</v>
      </c>
      <c r="B333" s="2" t="s">
        <v>1809</v>
      </c>
      <c r="C333" s="60" t="s">
        <v>12076</v>
      </c>
      <c r="D333" s="1"/>
      <c r="E333" s="68"/>
      <c r="F333" s="70"/>
      <c r="G333" s="1"/>
      <c r="H333" s="68"/>
      <c r="I333" s="70"/>
      <c r="J333" s="1"/>
      <c r="K333" s="68"/>
      <c r="L333" s="70"/>
      <c r="M333" s="74" t="s">
        <v>5898</v>
      </c>
      <c r="N333" s="62"/>
      <c r="O333" s="63"/>
      <c r="P333" s="83"/>
      <c r="Q333" s="64"/>
      <c r="R333" s="65"/>
      <c r="S333" s="99"/>
      <c r="T333" s="70"/>
      <c r="U333" s="99"/>
      <c r="V333" s="70"/>
      <c r="W333" s="1"/>
      <c r="X333" s="68" t="s">
        <v>1</v>
      </c>
      <c r="Y333" s="76">
        <v>0.25</v>
      </c>
      <c r="Z333" s="70" t="s">
        <v>422</v>
      </c>
      <c r="AA333" s="1"/>
      <c r="AB333" s="68"/>
      <c r="AC333" s="76"/>
      <c r="AD333" s="70"/>
      <c r="AE333" s="228">
        <f>ROUND((ROUND((ROUND((_15_同援日１．０*_15・基礎２),0)*(1+_15・盲ろう)),0)*(1+_15・区３)),0)+ROUND((ROUND((ROUND((ROUND((_15_同援日１．０＿１．０*_15・基礎２),0)*(1+_15・B夜間)),0)*(1+_15・盲ろう)),0)*(1+_15・区３)),0)+ROUND((ROUND((ROUND((ROUND((_15_同援日１．０＿１．０＿０．５*_15・基礎２),0)*(1+_15・C深夜)),0)*(1+_15・盲ろう)),0)*(1+_15・区３)),0)</f>
        <v>853</v>
      </c>
      <c r="AF333" s="69"/>
    </row>
    <row r="334" spans="1:32" ht="16.5" customHeight="1" x14ac:dyDescent="0.3">
      <c r="A334" s="2">
        <v>15</v>
      </c>
      <c r="B334" s="2" t="s">
        <v>1810</v>
      </c>
      <c r="C334" s="60" t="s">
        <v>12075</v>
      </c>
      <c r="D334" s="1"/>
      <c r="E334" s="68"/>
      <c r="F334" s="70"/>
      <c r="G334" s="1"/>
      <c r="H334" s="68"/>
      <c r="I334" s="70"/>
      <c r="J334" s="1"/>
      <c r="K334" s="68"/>
      <c r="L334" s="70"/>
      <c r="M334" s="81" t="s">
        <v>17864</v>
      </c>
      <c r="N334" s="57" t="s">
        <v>1</v>
      </c>
      <c r="O334" s="58">
        <v>0.9</v>
      </c>
      <c r="P334" s="83" t="s">
        <v>5895</v>
      </c>
      <c r="Q334" s="64" t="s">
        <v>1</v>
      </c>
      <c r="R334" s="65">
        <v>1</v>
      </c>
      <c r="S334" s="99"/>
      <c r="T334" s="70"/>
      <c r="U334" s="99"/>
      <c r="V334" s="70"/>
      <c r="W334" s="81"/>
      <c r="X334" s="57"/>
      <c r="Y334" s="58"/>
      <c r="Z334" s="77"/>
      <c r="AA334" s="81"/>
      <c r="AB334" s="57"/>
      <c r="AC334" s="58"/>
      <c r="AD334" s="77"/>
      <c r="AE334" s="228">
        <f>ROUND((ROUND((ROUND((ROUND((_15_同援日１．０*_15・基礎２),0)*_15・２人),0)*(1+_15・盲ろう)),0)*(1+_15・区３)),0)+ROUND((ROUND((ROUND((ROUND((ROUND((_15_同援日１．０＿１．０*_15・基礎２),0)*_15・２人),0)*(1+_15・B夜間)),0)*(1+_15・盲ろう)),0)*(1+_15・区３)),0)+ROUND((ROUND((ROUND((ROUND((ROUND((_15_同援日１．０＿１．０＿０．５*_15・基礎２),0)*_15・２人),0)*(1+_15・C深夜)),0)*(1+_15・盲ろう)),0)*(1+_15・区３)),0)</f>
        <v>853</v>
      </c>
      <c r="AF334" s="69"/>
    </row>
    <row r="335" spans="1:32" ht="16.5" customHeight="1" x14ac:dyDescent="0.3">
      <c r="A335" s="2">
        <v>15</v>
      </c>
      <c r="B335" s="2" t="s">
        <v>1811</v>
      </c>
      <c r="C335" s="60" t="s">
        <v>12074</v>
      </c>
      <c r="D335" s="1"/>
      <c r="E335" s="68"/>
      <c r="F335" s="70"/>
      <c r="G335" s="1"/>
      <c r="H335" s="68"/>
      <c r="I335" s="70"/>
      <c r="J335" s="1"/>
      <c r="K335" s="68"/>
      <c r="L335" s="70"/>
      <c r="M335" s="74"/>
      <c r="N335" s="62"/>
      <c r="O335" s="63"/>
      <c r="P335" s="83"/>
      <c r="Q335" s="64"/>
      <c r="R335" s="65"/>
      <c r="S335" s="99"/>
      <c r="T335" s="70"/>
      <c r="U335" s="99"/>
      <c r="V335" s="70"/>
      <c r="W335" s="74"/>
      <c r="X335" s="62"/>
      <c r="Y335" s="63"/>
      <c r="Z335" s="75"/>
      <c r="AA335" s="74"/>
      <c r="AB335" s="62"/>
      <c r="AC335" s="63"/>
      <c r="AD335" s="75"/>
      <c r="AE335" s="228">
        <f>ROUND((_15_同援日１．０*(1+_15・区４)),0)+ROUND((ROUND((_15_同援日１．０＿１．０*(1+_15・B夜間)),0)*(1+_15・区４)),0)+ROUND((ROUND((_15_同援日１．０＿１．０＿０．５*(1+_15・C深夜)),0)*(1+_15・区４)),0)</f>
        <v>879</v>
      </c>
      <c r="AF335" s="69"/>
    </row>
    <row r="336" spans="1:32" ht="16.5" customHeight="1" x14ac:dyDescent="0.3">
      <c r="A336" s="2">
        <v>15</v>
      </c>
      <c r="B336" s="2" t="s">
        <v>1812</v>
      </c>
      <c r="C336" s="60" t="s">
        <v>12073</v>
      </c>
      <c r="D336" s="1"/>
      <c r="E336" s="68"/>
      <c r="F336" s="70"/>
      <c r="G336" s="1"/>
      <c r="H336" s="68"/>
      <c r="I336" s="70"/>
      <c r="J336" s="1"/>
      <c r="K336" s="68"/>
      <c r="L336" s="70"/>
      <c r="M336" s="81"/>
      <c r="N336" s="57"/>
      <c r="O336" s="58"/>
      <c r="P336" s="83" t="s">
        <v>5895</v>
      </c>
      <c r="Q336" s="64" t="s">
        <v>1</v>
      </c>
      <c r="R336" s="65">
        <v>1</v>
      </c>
      <c r="S336" s="99"/>
      <c r="T336" s="70"/>
      <c r="U336" s="99"/>
      <c r="V336" s="70"/>
      <c r="W336" s="1"/>
      <c r="X336" s="68"/>
      <c r="Y336" s="76"/>
      <c r="Z336" s="70"/>
      <c r="AA336" s="1"/>
      <c r="AB336" s="68"/>
      <c r="AC336" s="76"/>
      <c r="AD336" s="70"/>
      <c r="AE336" s="228">
        <f>ROUND((ROUND((_15_同援日１．０*_15・２人),0)*(1+_15・区４)),0)+ROUND((ROUND((ROUND((_15_同援日１．０＿１．０*_15・２人),0)*(1+_15・B夜間)),0)*(1+_15・区４)),0)+ROUND((ROUND((ROUND((_15_同援日１．０＿１．０＿０．５*_15・２人),0)*(1+_15・C深夜)),0)*(1+_15・区４)),0)</f>
        <v>879</v>
      </c>
      <c r="AF336" s="69"/>
    </row>
    <row r="337" spans="1:32" ht="16.5" customHeight="1" x14ac:dyDescent="0.3">
      <c r="A337" s="2">
        <v>15</v>
      </c>
      <c r="B337" s="2" t="s">
        <v>1813</v>
      </c>
      <c r="C337" s="60" t="s">
        <v>12072</v>
      </c>
      <c r="D337" s="1"/>
      <c r="E337" s="68"/>
      <c r="F337" s="70"/>
      <c r="G337" s="1"/>
      <c r="H337" s="68"/>
      <c r="I337" s="70"/>
      <c r="J337" s="1"/>
      <c r="K337" s="68"/>
      <c r="L337" s="70"/>
      <c r="M337" s="74" t="s">
        <v>5898</v>
      </c>
      <c r="N337" s="62"/>
      <c r="O337" s="63"/>
      <c r="P337" s="83"/>
      <c r="Q337" s="64"/>
      <c r="R337" s="65"/>
      <c r="S337" s="99"/>
      <c r="T337" s="70"/>
      <c r="U337" s="99"/>
      <c r="V337" s="70"/>
      <c r="W337" s="1"/>
      <c r="X337" s="68"/>
      <c r="Y337" s="76"/>
      <c r="Z337" s="70"/>
      <c r="AA337" s="1" t="s">
        <v>17988</v>
      </c>
      <c r="AB337" s="68"/>
      <c r="AC337" s="76"/>
      <c r="AD337" s="70"/>
      <c r="AE337" s="228">
        <f>ROUND((ROUND((_15_同援日１．０*_15・基礎２),0)*(1+_15・区４)),0)+ROUND((ROUND((ROUND((_15_同援日１．０＿１．０*_15・基礎２),0)*(1+_15・B夜間)),0)*(1+_15・区４)),0)+ROUND((ROUND((ROUND((_15_同援日１．０＿１．０＿０．５*_15・基礎２),0)*(1+_15・C深夜)),0)*(1+_15・区４)),0)</f>
        <v>793</v>
      </c>
      <c r="AF337" s="69"/>
    </row>
    <row r="338" spans="1:32" ht="16.5" customHeight="1" x14ac:dyDescent="0.3">
      <c r="A338" s="2">
        <v>15</v>
      </c>
      <c r="B338" s="2" t="s">
        <v>1814</v>
      </c>
      <c r="C338" s="60" t="s">
        <v>12071</v>
      </c>
      <c r="D338" s="1"/>
      <c r="E338" s="68"/>
      <c r="F338" s="70"/>
      <c r="G338" s="1"/>
      <c r="H338" s="68"/>
      <c r="I338" s="70"/>
      <c r="J338" s="1"/>
      <c r="K338" s="68"/>
      <c r="L338" s="70"/>
      <c r="M338" s="81" t="s">
        <v>17864</v>
      </c>
      <c r="N338" s="57" t="s">
        <v>1</v>
      </c>
      <c r="O338" s="58">
        <v>0.9</v>
      </c>
      <c r="P338" s="83" t="s">
        <v>5895</v>
      </c>
      <c r="Q338" s="64" t="s">
        <v>1</v>
      </c>
      <c r="R338" s="65">
        <v>1</v>
      </c>
      <c r="S338" s="99"/>
      <c r="T338" s="70"/>
      <c r="U338" s="99"/>
      <c r="V338" s="70"/>
      <c r="W338" s="81"/>
      <c r="X338" s="57"/>
      <c r="Y338" s="58"/>
      <c r="Z338" s="77"/>
      <c r="AA338" s="1" t="s">
        <v>17980</v>
      </c>
      <c r="AB338" s="68"/>
      <c r="AC338" s="76"/>
      <c r="AD338" s="70"/>
      <c r="AE338" s="228">
        <f>ROUND((ROUND((ROUND((_15_同援日１．０*_15・基礎２),0)*_15・２人),0)*(1+_15・区４)),0)+ROUND((ROUND((ROUND((ROUND((_15_同援日１．０＿１．０*_15・基礎２),0)*_15・２人),0)*(1+_15・B夜間)),0)*(1+_15・区４)),0)+ROUND((ROUND((ROUND((ROUND((_15_同援日１．０＿１．０＿０．５*_15・基礎２),0)*_15・２人),0)*(1+_15・C深夜)),0)*(1+_15・区４)),0)</f>
        <v>793</v>
      </c>
      <c r="AF338" s="69"/>
    </row>
    <row r="339" spans="1:32" ht="16.5" customHeight="1" x14ac:dyDescent="0.3">
      <c r="A339" s="2">
        <v>15</v>
      </c>
      <c r="B339" s="2" t="s">
        <v>1815</v>
      </c>
      <c r="C339" s="60" t="s">
        <v>12070</v>
      </c>
      <c r="D339" s="1"/>
      <c r="E339" s="68"/>
      <c r="F339" s="70"/>
      <c r="G339" s="1"/>
      <c r="H339" s="68"/>
      <c r="I339" s="70"/>
      <c r="J339" s="1"/>
      <c r="K339" s="68"/>
      <c r="L339" s="70"/>
      <c r="M339" s="74"/>
      <c r="N339" s="62"/>
      <c r="O339" s="63"/>
      <c r="P339" s="83"/>
      <c r="Q339" s="64"/>
      <c r="R339" s="65"/>
      <c r="S339" s="99"/>
      <c r="T339" s="70"/>
      <c r="U339" s="99"/>
      <c r="V339" s="70"/>
      <c r="W339" s="74" t="s">
        <v>17987</v>
      </c>
      <c r="X339" s="62"/>
      <c r="Y339" s="63"/>
      <c r="Z339" s="75"/>
      <c r="AA339" s="1"/>
      <c r="AB339" s="68" t="s">
        <v>1</v>
      </c>
      <c r="AC339" s="76">
        <v>0.4</v>
      </c>
      <c r="AD339" s="70" t="s">
        <v>422</v>
      </c>
      <c r="AE339" s="228">
        <f>ROUND((ROUND((_15_同援日１．０*(1+_15・盲ろう)),0)*(1+_15・区４)),0)+ROUND((ROUND((ROUND((_15_同援日１．０＿１．０*(1+_15・B夜間)),0)*(1+_15・盲ろう)),0)*(1+_15・区４)),0)+ROUND((ROUND((ROUND((_15_同援日１．０＿１．０＿０．５*(1+_15・C深夜)),0)*(1+_15・盲ろう)),0)*(1+_15・区４)),0)</f>
        <v>1099</v>
      </c>
      <c r="AF339" s="69"/>
    </row>
    <row r="340" spans="1:32" ht="16.5" customHeight="1" x14ac:dyDescent="0.3">
      <c r="A340" s="2">
        <v>15</v>
      </c>
      <c r="B340" s="2" t="s">
        <v>1816</v>
      </c>
      <c r="C340" s="60" t="s">
        <v>12069</v>
      </c>
      <c r="D340" s="1"/>
      <c r="E340" s="68"/>
      <c r="F340" s="70"/>
      <c r="G340" s="1"/>
      <c r="H340" s="68"/>
      <c r="I340" s="70"/>
      <c r="J340" s="1"/>
      <c r="K340" s="68"/>
      <c r="L340" s="70"/>
      <c r="M340" s="81"/>
      <c r="N340" s="57"/>
      <c r="O340" s="58"/>
      <c r="P340" s="83" t="s">
        <v>5895</v>
      </c>
      <c r="Q340" s="64" t="s">
        <v>1</v>
      </c>
      <c r="R340" s="65">
        <v>1</v>
      </c>
      <c r="S340" s="99"/>
      <c r="T340" s="70"/>
      <c r="U340" s="99"/>
      <c r="V340" s="70"/>
      <c r="W340" s="1" t="s">
        <v>17973</v>
      </c>
      <c r="X340" s="68"/>
      <c r="Y340" s="76"/>
      <c r="Z340" s="70"/>
      <c r="AA340" s="1"/>
      <c r="AB340" s="68"/>
      <c r="AC340" s="76"/>
      <c r="AD340" s="70"/>
      <c r="AE340" s="228">
        <f>ROUND((ROUND((ROUND((_15_同援日１．０*_15・２人),0)*(1+_15・盲ろう)),0)*(1+_15・区４)),0)+ROUND((ROUND((ROUND((ROUND((_15_同援日１．０＿１．０*_15・２人),0)*(1+_15・B夜間)),0)*(1+_15・盲ろう)),0)*(1+_15・区４)),0)+ROUND((ROUND((ROUND((ROUND((_15_同援日１．０＿１．０＿０．５*_15・２人),0)*(1+_15・C深夜)),0)*(1+_15・盲ろう)),0)*(1+_15・区４)),0)</f>
        <v>1099</v>
      </c>
      <c r="AF340" s="69"/>
    </row>
    <row r="341" spans="1:32" ht="16.5" customHeight="1" x14ac:dyDescent="0.3">
      <c r="A341" s="2">
        <v>15</v>
      </c>
      <c r="B341" s="2" t="s">
        <v>1817</v>
      </c>
      <c r="C341" s="60" t="s">
        <v>12068</v>
      </c>
      <c r="D341" s="1"/>
      <c r="E341" s="68"/>
      <c r="F341" s="70"/>
      <c r="G341" s="1"/>
      <c r="H341" s="68"/>
      <c r="I341" s="70"/>
      <c r="J341" s="1"/>
      <c r="K341" s="68"/>
      <c r="L341" s="70"/>
      <c r="M341" s="74" t="s">
        <v>17972</v>
      </c>
      <c r="N341" s="62"/>
      <c r="O341" s="63"/>
      <c r="P341" s="83"/>
      <c r="Q341" s="64"/>
      <c r="R341" s="65"/>
      <c r="S341" s="99"/>
      <c r="T341" s="70"/>
      <c r="U341" s="99"/>
      <c r="V341" s="70"/>
      <c r="W341" s="1"/>
      <c r="X341" s="68" t="s">
        <v>1</v>
      </c>
      <c r="Y341" s="76">
        <v>0.25</v>
      </c>
      <c r="Z341" s="70" t="s">
        <v>422</v>
      </c>
      <c r="AA341" s="1"/>
      <c r="AB341" s="68"/>
      <c r="AC341" s="76"/>
      <c r="AD341" s="70"/>
      <c r="AE341" s="228">
        <f>ROUND((ROUND((ROUND((_15_同援日１．０*_15・基礎２),0)*(1+_15・盲ろう)),0)*(1+_15・区４)),0)+ROUND((ROUND((ROUND((ROUND((_15_同援日１．０＿１．０*_15・基礎２),0)*(1+_15・B夜間)),0)*(1+_15・盲ろう)),0)*(1+_15・区４)),0)+ROUND((ROUND((ROUND((ROUND((_15_同援日１．０＿１．０＿０．５*_15・基礎２),0)*(1+_15・C深夜)),0)*(1+_15・盲ろう)),0)*(1+_15・区４)),0)</f>
        <v>994</v>
      </c>
      <c r="AF341" s="69"/>
    </row>
    <row r="342" spans="1:32" ht="16.5" customHeight="1" x14ac:dyDescent="0.3">
      <c r="A342" s="2">
        <v>15</v>
      </c>
      <c r="B342" s="2" t="s">
        <v>1818</v>
      </c>
      <c r="C342" s="60" t="s">
        <v>12067</v>
      </c>
      <c r="D342" s="1"/>
      <c r="E342" s="68"/>
      <c r="F342" s="70"/>
      <c r="G342" s="1"/>
      <c r="H342" s="68"/>
      <c r="I342" s="70"/>
      <c r="J342" s="81"/>
      <c r="K342" s="57"/>
      <c r="L342" s="77"/>
      <c r="M342" s="81" t="s">
        <v>17864</v>
      </c>
      <c r="N342" s="57" t="s">
        <v>1</v>
      </c>
      <c r="O342" s="58">
        <v>0.9</v>
      </c>
      <c r="P342" s="83" t="s">
        <v>5895</v>
      </c>
      <c r="Q342" s="64" t="s">
        <v>1</v>
      </c>
      <c r="R342" s="65">
        <v>1</v>
      </c>
      <c r="S342" s="99"/>
      <c r="T342" s="70"/>
      <c r="U342" s="99"/>
      <c r="V342" s="70"/>
      <c r="W342" s="81"/>
      <c r="X342" s="57"/>
      <c r="Y342" s="58"/>
      <c r="Z342" s="77"/>
      <c r="AA342" s="81"/>
      <c r="AB342" s="57"/>
      <c r="AC342" s="58"/>
      <c r="AD342" s="77"/>
      <c r="AE342" s="228">
        <f>ROUND((ROUND((ROUND((ROUND((_15_同援日１．０*_15・基礎２),0)*_15・２人),0)*(1+_15・盲ろう)),0)*(1+_15・区４)),0)+ROUND((ROUND((ROUND((ROUND((ROUND((_15_同援日１．０＿１．０*_15・基礎２),0)*_15・２人),0)*(1+_15・B夜間)),0)*(1+_15・盲ろう)),0)*(1+_15・区４)),0)+ROUND((ROUND((ROUND((ROUND((ROUND((_15_同援日１．０＿１．０＿０．５*_15・基礎２),0)*_15・２人),0)*(1+_15・C深夜)),0)*(1+_15・盲ろう)),0)*(1+_15・区４)),0)</f>
        <v>994</v>
      </c>
      <c r="AF342" s="69"/>
    </row>
    <row r="343" spans="1:32" ht="16.5" customHeight="1" x14ac:dyDescent="0.3">
      <c r="A343" s="2">
        <v>15</v>
      </c>
      <c r="B343" s="2" t="s">
        <v>1819</v>
      </c>
      <c r="C343" s="60" t="s">
        <v>12066</v>
      </c>
      <c r="D343" s="1"/>
      <c r="E343" s="68"/>
      <c r="F343" s="70"/>
      <c r="G343" s="1"/>
      <c r="H343" s="68"/>
      <c r="I343" s="70"/>
      <c r="J343" s="74" t="s">
        <v>6328</v>
      </c>
      <c r="K343" s="62"/>
      <c r="L343" s="75"/>
      <c r="M343" s="74"/>
      <c r="N343" s="62"/>
      <c r="O343" s="63"/>
      <c r="P343" s="83"/>
      <c r="Q343" s="64"/>
      <c r="R343" s="65"/>
      <c r="S343" s="99"/>
      <c r="T343" s="70"/>
      <c r="U343" s="99"/>
      <c r="V343" s="70"/>
      <c r="W343" s="74"/>
      <c r="X343" s="62"/>
      <c r="Y343" s="63"/>
      <c r="Z343" s="75"/>
      <c r="AA343" s="74"/>
      <c r="AB343" s="62"/>
      <c r="AC343" s="63"/>
      <c r="AD343" s="75"/>
      <c r="AE343" s="228">
        <f>_15_同援日１．０+ROUND((_15_同援日１．０＿１．０*(1+_15・B夜間)),0)+ROUND((_15_同援日１．０＿１．０＿１．０*(1+_15・C深夜)),0)</f>
        <v>722</v>
      </c>
      <c r="AF343" s="69"/>
    </row>
    <row r="344" spans="1:32" ht="16.5" customHeight="1" x14ac:dyDescent="0.3">
      <c r="A344" s="2">
        <v>15</v>
      </c>
      <c r="B344" s="2" t="s">
        <v>1820</v>
      </c>
      <c r="C344" s="60" t="s">
        <v>12065</v>
      </c>
      <c r="D344" s="1"/>
      <c r="E344" s="68"/>
      <c r="F344" s="70"/>
      <c r="G344" s="1"/>
      <c r="H344" s="68"/>
      <c r="I344" s="70"/>
      <c r="J344" s="1" t="s">
        <v>18155</v>
      </c>
      <c r="K344" s="68"/>
      <c r="L344" s="70"/>
      <c r="M344" s="81"/>
      <c r="N344" s="57"/>
      <c r="O344" s="58"/>
      <c r="P344" s="83" t="s">
        <v>5895</v>
      </c>
      <c r="Q344" s="64" t="s">
        <v>1</v>
      </c>
      <c r="R344" s="65">
        <v>1</v>
      </c>
      <c r="S344" s="99"/>
      <c r="T344" s="70"/>
      <c r="U344" s="99"/>
      <c r="V344" s="70"/>
      <c r="W344" s="1"/>
      <c r="X344" s="68"/>
      <c r="Y344" s="76"/>
      <c r="Z344" s="70"/>
      <c r="AA344" s="1"/>
      <c r="AB344" s="68"/>
      <c r="AC344" s="76"/>
      <c r="AD344" s="70"/>
      <c r="AE344" s="228">
        <f>ROUND((_15_同援日１．０*_15・２人),0)+ROUND((ROUND((_15_同援日１．０＿１．０*_15・２人),0)*(1+_15・B夜間)),0)+ROUND((ROUND((_15_同援日１．０＿１．０＿１．０*_15・２人),0)*(1+_15・C深夜)),0)</f>
        <v>722</v>
      </c>
      <c r="AF344" s="69"/>
    </row>
    <row r="345" spans="1:32" ht="16.5" customHeight="1" x14ac:dyDescent="0.3">
      <c r="A345" s="2">
        <v>15</v>
      </c>
      <c r="B345" s="2" t="s">
        <v>1821</v>
      </c>
      <c r="C345" s="60" t="s">
        <v>12064</v>
      </c>
      <c r="D345" s="1"/>
      <c r="E345" s="68"/>
      <c r="F345" s="70"/>
      <c r="G345" s="1"/>
      <c r="H345" s="68"/>
      <c r="I345" s="70"/>
      <c r="J345" s="1" t="s">
        <v>8572</v>
      </c>
      <c r="K345" s="68"/>
      <c r="L345" s="70"/>
      <c r="M345" s="74" t="s">
        <v>5898</v>
      </c>
      <c r="N345" s="62"/>
      <c r="O345" s="63"/>
      <c r="P345" s="83"/>
      <c r="Q345" s="64"/>
      <c r="R345" s="65"/>
      <c r="S345" s="99"/>
      <c r="T345" s="70"/>
      <c r="U345" s="99"/>
      <c r="V345" s="70"/>
      <c r="W345" s="1"/>
      <c r="X345" s="68"/>
      <c r="Y345" s="76"/>
      <c r="Z345" s="70"/>
      <c r="AA345" s="1"/>
      <c r="AB345" s="68"/>
      <c r="AC345" s="76"/>
      <c r="AD345" s="70"/>
      <c r="AE345" s="228">
        <f>ROUND((_15_同援日１．０*_15・基礎２),0)+ROUND((ROUND((_15_同援日１．０＿１．０*_15・基礎２),0)*(1+_15・B夜間)),0)+ROUND((ROUND((_15_同援日１．０＿１．０＿１．０*_15・基礎２),0)*(1+_15・C深夜)),0)</f>
        <v>651</v>
      </c>
      <c r="AF345" s="69"/>
    </row>
    <row r="346" spans="1:32" ht="16.5" customHeight="1" x14ac:dyDescent="0.3">
      <c r="A346" s="2">
        <v>15</v>
      </c>
      <c r="B346" s="2" t="s">
        <v>1822</v>
      </c>
      <c r="C346" s="60" t="s">
        <v>12063</v>
      </c>
      <c r="D346" s="1"/>
      <c r="E346" s="68"/>
      <c r="F346" s="70"/>
      <c r="G346" s="1"/>
      <c r="H346" s="68"/>
      <c r="I346" s="70"/>
      <c r="J346" s="1"/>
      <c r="K346" s="119">
        <v>126</v>
      </c>
      <c r="L346" s="70" t="s">
        <v>0</v>
      </c>
      <c r="M346" s="81" t="s">
        <v>17864</v>
      </c>
      <c r="N346" s="57" t="s">
        <v>1</v>
      </c>
      <c r="O346" s="58">
        <v>0.9</v>
      </c>
      <c r="P346" s="83" t="s">
        <v>5895</v>
      </c>
      <c r="Q346" s="64" t="s">
        <v>1</v>
      </c>
      <c r="R346" s="65">
        <v>1</v>
      </c>
      <c r="S346" s="99"/>
      <c r="T346" s="70"/>
      <c r="U346" s="99"/>
      <c r="V346" s="70"/>
      <c r="W346" s="81"/>
      <c r="X346" s="57"/>
      <c r="Y346" s="58"/>
      <c r="Z346" s="77"/>
      <c r="AA346" s="1"/>
      <c r="AB346" s="68"/>
      <c r="AC346" s="76"/>
      <c r="AD346" s="70"/>
      <c r="AE346" s="228">
        <f>ROUND((ROUND((_15_同援日１．０*_15・基礎２),0)*_15・２人),0)+ROUND((ROUND((ROUND((_15_同援日１．０＿１．０*_15・基礎２),0)*_15・２人),0)*(1+_15・B夜間)),0)+ROUND((ROUND((ROUND((_15_同援日１．０＿１．０＿１．０*_15・基礎２),0)*_15・２人),0)*(1+_15・C深夜)),0)</f>
        <v>651</v>
      </c>
      <c r="AF346" s="69"/>
    </row>
    <row r="347" spans="1:32" ht="16.5" customHeight="1" x14ac:dyDescent="0.3">
      <c r="A347" s="2">
        <v>15</v>
      </c>
      <c r="B347" s="2" t="s">
        <v>1823</v>
      </c>
      <c r="C347" s="60" t="s">
        <v>12062</v>
      </c>
      <c r="D347" s="1"/>
      <c r="E347" s="68"/>
      <c r="F347" s="70"/>
      <c r="G347" s="1"/>
      <c r="H347" s="68"/>
      <c r="I347" s="70"/>
      <c r="J347" s="1"/>
      <c r="K347" s="68"/>
      <c r="L347" s="70"/>
      <c r="M347" s="74"/>
      <c r="N347" s="62"/>
      <c r="O347" s="63"/>
      <c r="P347" s="83"/>
      <c r="Q347" s="64"/>
      <c r="R347" s="65"/>
      <c r="S347" s="99"/>
      <c r="T347" s="70"/>
      <c r="U347" s="99"/>
      <c r="V347" s="70"/>
      <c r="W347" s="74" t="s">
        <v>8085</v>
      </c>
      <c r="X347" s="62"/>
      <c r="Y347" s="63"/>
      <c r="Z347" s="75"/>
      <c r="AA347" s="1"/>
      <c r="AB347" s="68"/>
      <c r="AC347" s="76"/>
      <c r="AD347" s="70"/>
      <c r="AE347" s="228">
        <f>ROUND((_15_同援日１．０*(1+_15・盲ろう)),0)+ROUND((ROUND((_15_同援日１．０＿１．０*(1+_15・B夜間)),0)*(1+_15・盲ろう)),0)+ROUND((ROUND((_15_同援日１．０＿１．０＿１．０*(1+_15・C深夜)),0)*(1+_15・盲ろう)),0)</f>
        <v>902</v>
      </c>
      <c r="AF347" s="69"/>
    </row>
    <row r="348" spans="1:32" ht="16.5" customHeight="1" x14ac:dyDescent="0.3">
      <c r="A348" s="2">
        <v>15</v>
      </c>
      <c r="B348" s="2" t="s">
        <v>1824</v>
      </c>
      <c r="C348" s="60" t="s">
        <v>12061</v>
      </c>
      <c r="D348" s="1"/>
      <c r="E348" s="68"/>
      <c r="F348" s="70"/>
      <c r="G348" s="1"/>
      <c r="H348" s="68"/>
      <c r="I348" s="70"/>
      <c r="J348" s="1"/>
      <c r="K348" s="68"/>
      <c r="L348" s="70"/>
      <c r="M348" s="81"/>
      <c r="N348" s="57"/>
      <c r="O348" s="58"/>
      <c r="P348" s="83" t="s">
        <v>5895</v>
      </c>
      <c r="Q348" s="64" t="s">
        <v>1</v>
      </c>
      <c r="R348" s="65">
        <v>1</v>
      </c>
      <c r="S348" s="99"/>
      <c r="T348" s="70"/>
      <c r="U348" s="99"/>
      <c r="V348" s="70"/>
      <c r="W348" s="1" t="s">
        <v>8083</v>
      </c>
      <c r="X348" s="68"/>
      <c r="Y348" s="76"/>
      <c r="Z348" s="70"/>
      <c r="AA348" s="1"/>
      <c r="AB348" s="68"/>
      <c r="AC348" s="76"/>
      <c r="AD348" s="70"/>
      <c r="AE348" s="228">
        <f>ROUND((ROUND((_15_同援日１．０*_15・２人),0)*(1+_15・盲ろう)),0)+ROUND((ROUND((ROUND((_15_同援日１．０＿１．０*_15・２人),0)*(1+_15・B夜間)),0)*(1+_15・盲ろう)),0)+ROUND((ROUND((ROUND((_15_同援日１．０＿１．０＿１．０*_15・２人),0)*(1+_15・C深夜)),0)*(1+_15・盲ろう)),0)</f>
        <v>902</v>
      </c>
      <c r="AF348" s="69"/>
    </row>
    <row r="349" spans="1:32" ht="16.5" customHeight="1" x14ac:dyDescent="0.3">
      <c r="A349" s="2">
        <v>15</v>
      </c>
      <c r="B349" s="2" t="s">
        <v>1825</v>
      </c>
      <c r="C349" s="60" t="s">
        <v>12060</v>
      </c>
      <c r="D349" s="1"/>
      <c r="E349" s="68"/>
      <c r="F349" s="70"/>
      <c r="G349" s="1"/>
      <c r="H349" s="68"/>
      <c r="I349" s="70"/>
      <c r="J349" s="1"/>
      <c r="K349" s="68"/>
      <c r="L349" s="70"/>
      <c r="M349" s="74" t="s">
        <v>5898</v>
      </c>
      <c r="N349" s="62"/>
      <c r="O349" s="63"/>
      <c r="P349" s="83"/>
      <c r="Q349" s="64"/>
      <c r="R349" s="65"/>
      <c r="S349" s="99"/>
      <c r="T349" s="70"/>
      <c r="U349" s="99"/>
      <c r="V349" s="70"/>
      <c r="W349" s="1"/>
      <c r="X349" s="68" t="s">
        <v>1</v>
      </c>
      <c r="Y349" s="76">
        <v>0.25</v>
      </c>
      <c r="Z349" s="70" t="s">
        <v>422</v>
      </c>
      <c r="AA349" s="1"/>
      <c r="AB349" s="68"/>
      <c r="AC349" s="76"/>
      <c r="AD349" s="70"/>
      <c r="AE349" s="228">
        <f>ROUND((ROUND((_15_同援日１．０*_15・基礎２),0)*(1+_15・盲ろう)),0)+ROUND((ROUND((ROUND((_15_同援日１．０＿１．０*_15・基礎２),0)*(1+_15・B夜間)),0)*(1+_15・盲ろう)),0)+ROUND((ROUND((ROUND((_15_同援日１．０＿１．０＿１．０*_15・基礎２),0)*(1+_15・C深夜)),0)*(1+_15・盲ろう)),0)</f>
        <v>815</v>
      </c>
      <c r="AF349" s="69"/>
    </row>
    <row r="350" spans="1:32" ht="16.5" customHeight="1" x14ac:dyDescent="0.3">
      <c r="A350" s="2">
        <v>15</v>
      </c>
      <c r="B350" s="2" t="s">
        <v>1826</v>
      </c>
      <c r="C350" s="60" t="s">
        <v>12059</v>
      </c>
      <c r="D350" s="1"/>
      <c r="E350" s="68"/>
      <c r="F350" s="70"/>
      <c r="G350" s="1"/>
      <c r="H350" s="68"/>
      <c r="I350" s="70"/>
      <c r="J350" s="1"/>
      <c r="K350" s="68"/>
      <c r="L350" s="70"/>
      <c r="M350" s="81" t="s">
        <v>17864</v>
      </c>
      <c r="N350" s="57" t="s">
        <v>1</v>
      </c>
      <c r="O350" s="58">
        <v>0.9</v>
      </c>
      <c r="P350" s="83" t="s">
        <v>5895</v>
      </c>
      <c r="Q350" s="64" t="s">
        <v>1</v>
      </c>
      <c r="R350" s="65">
        <v>1</v>
      </c>
      <c r="S350" s="99"/>
      <c r="T350" s="70"/>
      <c r="U350" s="99"/>
      <c r="V350" s="70"/>
      <c r="W350" s="81"/>
      <c r="X350" s="57"/>
      <c r="Y350" s="58"/>
      <c r="Z350" s="77"/>
      <c r="AA350" s="81"/>
      <c r="AB350" s="57"/>
      <c r="AC350" s="58"/>
      <c r="AD350" s="77"/>
      <c r="AE350" s="228">
        <f>ROUND((ROUND((ROUND((_15_同援日１．０*_15・基礎２),0)*_15・２人),0)*(1+_15・盲ろう)),0)+ROUND((ROUND((ROUND((ROUND((_15_同援日１．０＿１．０*_15・基礎２),0)*_15・２人),0)*(1+_15・B夜間)),0)*(1+_15・盲ろう)),0)+ROUND((ROUND((ROUND((ROUND((_15_同援日１．０＿１．０＿１．０*_15・基礎２),0)*_15・２人),0)*(1+_15・C深夜)),0)*(1+_15・盲ろう)),0)</f>
        <v>815</v>
      </c>
      <c r="AF350" s="69"/>
    </row>
    <row r="351" spans="1:32" ht="16.5" customHeight="1" x14ac:dyDescent="0.3">
      <c r="A351" s="2">
        <v>15</v>
      </c>
      <c r="B351" s="2" t="s">
        <v>1827</v>
      </c>
      <c r="C351" s="60" t="s">
        <v>12058</v>
      </c>
      <c r="D351" s="1"/>
      <c r="E351" s="68"/>
      <c r="F351" s="70"/>
      <c r="G351" s="1"/>
      <c r="H351" s="68"/>
      <c r="I351" s="70"/>
      <c r="J351" s="1"/>
      <c r="K351" s="68"/>
      <c r="L351" s="70"/>
      <c r="M351" s="74"/>
      <c r="N351" s="62"/>
      <c r="O351" s="63"/>
      <c r="P351" s="83"/>
      <c r="Q351" s="64"/>
      <c r="R351" s="65"/>
      <c r="S351" s="99"/>
      <c r="T351" s="70"/>
      <c r="U351" s="99"/>
      <c r="V351" s="70"/>
      <c r="W351" s="74"/>
      <c r="X351" s="62"/>
      <c r="Y351" s="63"/>
      <c r="Z351" s="75"/>
      <c r="AA351" s="74"/>
      <c r="AB351" s="62"/>
      <c r="AC351" s="63"/>
      <c r="AD351" s="75"/>
      <c r="AE351" s="228">
        <f>ROUND((_15_同援日１．０*(1+_15・区３)),0)+ROUND((ROUND((_15_同援日１．０＿１．０*(1+_15・B夜間)),0)*(1+_15・区３)),0)+ROUND((ROUND((_15_同援日１．０＿１．０＿１．０*(1+_15・C深夜)),0)*(1+_15・区３)),0)</f>
        <v>866</v>
      </c>
      <c r="AF351" s="69"/>
    </row>
    <row r="352" spans="1:32" ht="16.5" customHeight="1" x14ac:dyDescent="0.3">
      <c r="A352" s="2">
        <v>15</v>
      </c>
      <c r="B352" s="2" t="s">
        <v>1828</v>
      </c>
      <c r="C352" s="60" t="s">
        <v>12057</v>
      </c>
      <c r="D352" s="1"/>
      <c r="E352" s="68"/>
      <c r="F352" s="70"/>
      <c r="G352" s="1"/>
      <c r="H352" s="68"/>
      <c r="I352" s="70"/>
      <c r="J352" s="1"/>
      <c r="K352" s="68"/>
      <c r="L352" s="70"/>
      <c r="M352" s="81"/>
      <c r="N352" s="57"/>
      <c r="O352" s="58"/>
      <c r="P352" s="83" t="s">
        <v>5895</v>
      </c>
      <c r="Q352" s="64" t="s">
        <v>1</v>
      </c>
      <c r="R352" s="65">
        <v>1</v>
      </c>
      <c r="S352" s="99"/>
      <c r="T352" s="70"/>
      <c r="U352" s="99"/>
      <c r="V352" s="70"/>
      <c r="W352" s="1"/>
      <c r="X352" s="68"/>
      <c r="Y352" s="76"/>
      <c r="Z352" s="70"/>
      <c r="AA352" s="1"/>
      <c r="AB352" s="68"/>
      <c r="AC352" s="76"/>
      <c r="AD352" s="70"/>
      <c r="AE352" s="228">
        <f>ROUND((ROUND((_15_同援日１．０*_15・２人),0)*(1+_15・区３)),0)+ROUND((ROUND((ROUND((_15_同援日１．０＿１．０*_15・２人),0)*(1+_15・B夜間)),0)*(1+_15・区３)),0)+ROUND((ROUND((ROUND((_15_同援日１．０＿１．０＿１．０*_15・２人),0)*(1+_15・C深夜)),0)*(1+_15・区３)),0)</f>
        <v>866</v>
      </c>
      <c r="AF352" s="69"/>
    </row>
    <row r="353" spans="1:32" ht="16.5" customHeight="1" x14ac:dyDescent="0.3">
      <c r="A353" s="2">
        <v>15</v>
      </c>
      <c r="B353" s="2" t="s">
        <v>1829</v>
      </c>
      <c r="C353" s="60" t="s">
        <v>12056</v>
      </c>
      <c r="D353" s="1"/>
      <c r="E353" s="68"/>
      <c r="F353" s="70"/>
      <c r="G353" s="1"/>
      <c r="H353" s="68"/>
      <c r="I353" s="70"/>
      <c r="J353" s="1"/>
      <c r="K353" s="68"/>
      <c r="L353" s="70"/>
      <c r="M353" s="74" t="s">
        <v>5898</v>
      </c>
      <c r="N353" s="62"/>
      <c r="O353" s="63"/>
      <c r="P353" s="83"/>
      <c r="Q353" s="64"/>
      <c r="R353" s="65"/>
      <c r="S353" s="99"/>
      <c r="T353" s="70"/>
      <c r="U353" s="99"/>
      <c r="V353" s="70"/>
      <c r="W353" s="1"/>
      <c r="X353" s="68"/>
      <c r="Y353" s="76"/>
      <c r="Z353" s="70"/>
      <c r="AA353" s="1" t="s">
        <v>8098</v>
      </c>
      <c r="AB353" s="68"/>
      <c r="AC353" s="76"/>
      <c r="AD353" s="70"/>
      <c r="AE353" s="228">
        <f>ROUND((ROUND((_15_同援日１．０*_15・基礎２),0)*(1+_15・区３)),0)+ROUND((ROUND((ROUND((_15_同援日１．０＿１．０*_15・基礎２),0)*(1+_15・B夜間)),0)*(1+_15・区３)),0)+ROUND((ROUND((ROUND((_15_同援日１．０＿１．０＿１．０*_15・基礎２),0)*(1+_15・C深夜)),0)*(1+_15・区３)),0)</f>
        <v>782</v>
      </c>
      <c r="AF353" s="69"/>
    </row>
    <row r="354" spans="1:32" ht="16.5" customHeight="1" x14ac:dyDescent="0.3">
      <c r="A354" s="2">
        <v>15</v>
      </c>
      <c r="B354" s="2" t="s">
        <v>1830</v>
      </c>
      <c r="C354" s="60" t="s">
        <v>12055</v>
      </c>
      <c r="D354" s="1"/>
      <c r="E354" s="68"/>
      <c r="F354" s="70"/>
      <c r="G354" s="1"/>
      <c r="H354" s="68"/>
      <c r="I354" s="70"/>
      <c r="J354" s="1"/>
      <c r="K354" s="68"/>
      <c r="L354" s="70"/>
      <c r="M354" s="81" t="s">
        <v>17864</v>
      </c>
      <c r="N354" s="57" t="s">
        <v>1</v>
      </c>
      <c r="O354" s="58">
        <v>0.9</v>
      </c>
      <c r="P354" s="83" t="s">
        <v>5895</v>
      </c>
      <c r="Q354" s="64" t="s">
        <v>1</v>
      </c>
      <c r="R354" s="65">
        <v>1</v>
      </c>
      <c r="S354" s="99"/>
      <c r="T354" s="70"/>
      <c r="U354" s="99"/>
      <c r="V354" s="70"/>
      <c r="W354" s="81"/>
      <c r="X354" s="57"/>
      <c r="Y354" s="58"/>
      <c r="Z354" s="77"/>
      <c r="AA354" s="1" t="s">
        <v>17980</v>
      </c>
      <c r="AB354" s="68"/>
      <c r="AC354" s="76"/>
      <c r="AD354" s="70"/>
      <c r="AE354" s="228">
        <f>ROUND((ROUND((ROUND((_15_同援日１．０*_15・基礎２),0)*_15・２人),0)*(1+_15・区３)),0)+ROUND((ROUND((ROUND((ROUND((_15_同援日１．０＿１．０*_15・基礎２),0)*_15・２人),0)*(1+_15・B夜間)),0)*(1+_15・区３)),0)+ROUND((ROUND((ROUND((ROUND((_15_同援日１．０＿１．０＿１．０*_15・基礎２),0)*_15・２人),0)*(1+_15・C深夜)),0)*(1+_15・区３)),0)</f>
        <v>782</v>
      </c>
      <c r="AF354" s="69"/>
    </row>
    <row r="355" spans="1:32" ht="16.5" customHeight="1" x14ac:dyDescent="0.3">
      <c r="A355" s="2">
        <v>15</v>
      </c>
      <c r="B355" s="2" t="s">
        <v>1831</v>
      </c>
      <c r="C355" s="60" t="s">
        <v>12054</v>
      </c>
      <c r="D355" s="1"/>
      <c r="E355" s="68"/>
      <c r="F355" s="70"/>
      <c r="G355" s="1"/>
      <c r="H355" s="68"/>
      <c r="I355" s="70"/>
      <c r="J355" s="1"/>
      <c r="K355" s="68"/>
      <c r="L355" s="70"/>
      <c r="M355" s="74"/>
      <c r="N355" s="62"/>
      <c r="O355" s="63"/>
      <c r="P355" s="83"/>
      <c r="Q355" s="64"/>
      <c r="R355" s="65"/>
      <c r="S355" s="99"/>
      <c r="T355" s="70"/>
      <c r="U355" s="99"/>
      <c r="V355" s="70"/>
      <c r="W355" s="74" t="s">
        <v>8085</v>
      </c>
      <c r="X355" s="62"/>
      <c r="Y355" s="63"/>
      <c r="Z355" s="75"/>
      <c r="AA355" s="1"/>
      <c r="AB355" s="68" t="s">
        <v>1</v>
      </c>
      <c r="AC355" s="76">
        <v>0.2</v>
      </c>
      <c r="AD355" s="70" t="s">
        <v>422</v>
      </c>
      <c r="AE355" s="228">
        <f>ROUND((ROUND((_15_同援日１．０*(1+_15・盲ろう)),0)*(1+_15・区３)),0)+ROUND((ROUND((ROUND((_15_同援日１．０＿１．０*(1+_15・B夜間)),0)*(1+_15・盲ろう)),0)*(1+_15・区３)),0)+ROUND((ROUND((ROUND((_15_同援日１．０＿１．０＿１．０*(1+_15・C深夜)),0)*(1+_15・盲ろう)),0)*(1+_15・区３)),0)</f>
        <v>1082</v>
      </c>
      <c r="AF355" s="69"/>
    </row>
    <row r="356" spans="1:32" ht="16.5" customHeight="1" x14ac:dyDescent="0.3">
      <c r="A356" s="2">
        <v>15</v>
      </c>
      <c r="B356" s="2" t="s">
        <v>1832</v>
      </c>
      <c r="C356" s="60" t="s">
        <v>12053</v>
      </c>
      <c r="D356" s="1"/>
      <c r="E356" s="68"/>
      <c r="F356" s="70"/>
      <c r="G356" s="1"/>
      <c r="H356" s="68"/>
      <c r="I356" s="70"/>
      <c r="J356" s="1"/>
      <c r="K356" s="68"/>
      <c r="L356" s="70"/>
      <c r="M356" s="81"/>
      <c r="N356" s="57"/>
      <c r="O356" s="58"/>
      <c r="P356" s="83" t="s">
        <v>5895</v>
      </c>
      <c r="Q356" s="64" t="s">
        <v>1</v>
      </c>
      <c r="R356" s="65">
        <v>1</v>
      </c>
      <c r="S356" s="99"/>
      <c r="T356" s="70"/>
      <c r="U356" s="99"/>
      <c r="V356" s="70"/>
      <c r="W356" s="1" t="s">
        <v>8083</v>
      </c>
      <c r="X356" s="68"/>
      <c r="Y356" s="76"/>
      <c r="Z356" s="70"/>
      <c r="AA356" s="1"/>
      <c r="AB356" s="68"/>
      <c r="AC356" s="76"/>
      <c r="AD356" s="70"/>
      <c r="AE356" s="228">
        <f>ROUND((ROUND((ROUND((_15_同援日１．０*_15・２人),0)*(1+_15・盲ろう)),0)*(1+_15・区３)),0)+ROUND((ROUND((ROUND((ROUND((_15_同援日１．０＿１．０*_15・２人),0)*(1+_15・B夜間)),0)*(1+_15・盲ろう)),0)*(1+_15・区３)),0)+ROUND((ROUND((ROUND((ROUND((_15_同援日１．０＿１．０＿１．０*_15・２人),0)*(1+_15・C深夜)),0)*(1+_15・盲ろう)),0)*(1+_15・区３)),0)</f>
        <v>1082</v>
      </c>
      <c r="AF356" s="69"/>
    </row>
    <row r="357" spans="1:32" ht="16.5" customHeight="1" x14ac:dyDescent="0.3">
      <c r="A357" s="2">
        <v>15</v>
      </c>
      <c r="B357" s="2" t="s">
        <v>1833</v>
      </c>
      <c r="C357" s="60" t="s">
        <v>12052</v>
      </c>
      <c r="D357" s="1"/>
      <c r="E357" s="68"/>
      <c r="F357" s="70"/>
      <c r="G357" s="1"/>
      <c r="H357" s="68"/>
      <c r="I357" s="70"/>
      <c r="J357" s="1"/>
      <c r="K357" s="68"/>
      <c r="L357" s="70"/>
      <c r="M357" s="74" t="s">
        <v>5898</v>
      </c>
      <c r="N357" s="62"/>
      <c r="O357" s="63"/>
      <c r="P357" s="83"/>
      <c r="Q357" s="64"/>
      <c r="R357" s="65"/>
      <c r="S357" s="99"/>
      <c r="T357" s="70"/>
      <c r="U357" s="99"/>
      <c r="V357" s="70"/>
      <c r="W357" s="1"/>
      <c r="X357" s="68" t="s">
        <v>1</v>
      </c>
      <c r="Y357" s="76">
        <v>0.25</v>
      </c>
      <c r="Z357" s="70" t="s">
        <v>422</v>
      </c>
      <c r="AA357" s="1"/>
      <c r="AB357" s="68"/>
      <c r="AC357" s="76"/>
      <c r="AD357" s="70"/>
      <c r="AE357" s="228">
        <f>ROUND((ROUND((ROUND((_15_同援日１．０*_15・基礎２),0)*(1+_15・盲ろう)),0)*(1+_15・区３)),0)+ROUND((ROUND((ROUND((ROUND((_15_同援日１．０＿１．０*_15・基礎２),0)*(1+_15・B夜間)),0)*(1+_15・盲ろう)),0)*(1+_15・区３)),0)+ROUND((ROUND((ROUND((ROUND((_15_同援日１．０＿１．０＿１．０*_15・基礎２),0)*(1+_15・C深夜)),0)*(1+_15・盲ろう)),0)*(1+_15・区３)),0)</f>
        <v>979</v>
      </c>
      <c r="AF357" s="69"/>
    </row>
    <row r="358" spans="1:32" ht="16.5" customHeight="1" x14ac:dyDescent="0.3">
      <c r="A358" s="2">
        <v>15</v>
      </c>
      <c r="B358" s="2" t="s">
        <v>1834</v>
      </c>
      <c r="C358" s="60" t="s">
        <v>12051</v>
      </c>
      <c r="D358" s="1"/>
      <c r="E358" s="68"/>
      <c r="F358" s="70"/>
      <c r="G358" s="1"/>
      <c r="H358" s="68"/>
      <c r="I358" s="70"/>
      <c r="J358" s="1"/>
      <c r="K358" s="68"/>
      <c r="L358" s="70"/>
      <c r="M358" s="81" t="s">
        <v>5896</v>
      </c>
      <c r="N358" s="57" t="s">
        <v>1</v>
      </c>
      <c r="O358" s="58">
        <v>0.9</v>
      </c>
      <c r="P358" s="83" t="s">
        <v>5895</v>
      </c>
      <c r="Q358" s="64" t="s">
        <v>1</v>
      </c>
      <c r="R358" s="65">
        <v>1</v>
      </c>
      <c r="S358" s="99"/>
      <c r="T358" s="70"/>
      <c r="U358" s="99"/>
      <c r="V358" s="70"/>
      <c r="W358" s="81"/>
      <c r="X358" s="57"/>
      <c r="Y358" s="58"/>
      <c r="Z358" s="77"/>
      <c r="AA358" s="81"/>
      <c r="AB358" s="57"/>
      <c r="AC358" s="58"/>
      <c r="AD358" s="77"/>
      <c r="AE358" s="228">
        <f>ROUND((ROUND((ROUND((ROUND((_15_同援日１．０*_15・基礎２),0)*_15・２人),0)*(1+_15・盲ろう)),0)*(1+_15・区３)),0)+ROUND((ROUND((ROUND((ROUND((ROUND((_15_同援日１．０＿１．０*_15・基礎２),0)*_15・２人),0)*(1+_15・B夜間)),0)*(1+_15・盲ろう)),0)*(1+_15・区３)),0)+ROUND((ROUND((ROUND((ROUND((ROUND((_15_同援日１．０＿１．０＿１．０*_15・基礎２),0)*_15・２人),0)*(1+_15・C深夜)),0)*(1+_15・盲ろう)),0)*(1+_15・区３)),0)</f>
        <v>979</v>
      </c>
      <c r="AF358" s="69"/>
    </row>
    <row r="359" spans="1:32" ht="16.5" customHeight="1" x14ac:dyDescent="0.3">
      <c r="A359" s="2">
        <v>15</v>
      </c>
      <c r="B359" s="2" t="s">
        <v>1835</v>
      </c>
      <c r="C359" s="60" t="s">
        <v>12050</v>
      </c>
      <c r="D359" s="1"/>
      <c r="E359" s="68"/>
      <c r="F359" s="70"/>
      <c r="G359" s="1"/>
      <c r="H359" s="68"/>
      <c r="I359" s="70"/>
      <c r="J359" s="1"/>
      <c r="K359" s="68"/>
      <c r="L359" s="70"/>
      <c r="M359" s="74"/>
      <c r="N359" s="62"/>
      <c r="O359" s="63"/>
      <c r="P359" s="83"/>
      <c r="Q359" s="64"/>
      <c r="R359" s="65"/>
      <c r="S359" s="99"/>
      <c r="T359" s="70"/>
      <c r="U359" s="99"/>
      <c r="V359" s="70"/>
      <c r="W359" s="74"/>
      <c r="X359" s="62"/>
      <c r="Y359" s="63"/>
      <c r="Z359" s="75"/>
      <c r="AA359" s="74"/>
      <c r="AB359" s="62"/>
      <c r="AC359" s="63"/>
      <c r="AD359" s="75"/>
      <c r="AE359" s="228">
        <f>ROUND((_15_同援日１．０*(1+_15・区４)),0)+ROUND((ROUND((_15_同援日１．０＿１．０*(1+_15・B夜間)),0)*(1+_15・区４)),0)+ROUND((ROUND((_15_同援日１．０＿１．０＿１．０*(1+_15・C深夜)),0)*(1+_15・区４)),0)</f>
        <v>1011</v>
      </c>
      <c r="AF359" s="69"/>
    </row>
    <row r="360" spans="1:32" ht="16.5" customHeight="1" x14ac:dyDescent="0.3">
      <c r="A360" s="2">
        <v>15</v>
      </c>
      <c r="B360" s="2" t="s">
        <v>1836</v>
      </c>
      <c r="C360" s="60" t="s">
        <v>12049</v>
      </c>
      <c r="D360" s="1"/>
      <c r="E360" s="68"/>
      <c r="F360" s="70"/>
      <c r="G360" s="1"/>
      <c r="H360" s="68"/>
      <c r="I360" s="70"/>
      <c r="J360" s="1"/>
      <c r="K360" s="68"/>
      <c r="L360" s="70"/>
      <c r="M360" s="81"/>
      <c r="N360" s="57"/>
      <c r="O360" s="58"/>
      <c r="P360" s="83" t="s">
        <v>5895</v>
      </c>
      <c r="Q360" s="64" t="s">
        <v>1</v>
      </c>
      <c r="R360" s="65">
        <v>1</v>
      </c>
      <c r="S360" s="99"/>
      <c r="T360" s="70"/>
      <c r="U360" s="99"/>
      <c r="V360" s="70"/>
      <c r="W360" s="1"/>
      <c r="X360" s="68"/>
      <c r="Y360" s="76"/>
      <c r="Z360" s="70"/>
      <c r="AA360" s="1"/>
      <c r="AB360" s="68"/>
      <c r="AC360" s="76"/>
      <c r="AD360" s="70"/>
      <c r="AE360" s="228">
        <f>ROUND((ROUND((_15_同援日１．０*_15・２人),0)*(1+_15・区４)),0)+ROUND((ROUND((ROUND((_15_同援日１．０＿１．０*_15・２人),0)*(1+_15・B夜間)),0)*(1+_15・区４)),0)+ROUND((ROUND((ROUND((_15_同援日１．０＿１．０＿１．０*_15・２人),0)*(1+_15・C深夜)),0)*(1+_15・区４)),0)</f>
        <v>1011</v>
      </c>
      <c r="AF360" s="69"/>
    </row>
    <row r="361" spans="1:32" ht="16.5" customHeight="1" x14ac:dyDescent="0.3">
      <c r="A361" s="2">
        <v>15</v>
      </c>
      <c r="B361" s="2" t="s">
        <v>1837</v>
      </c>
      <c r="C361" s="60" t="s">
        <v>12048</v>
      </c>
      <c r="D361" s="1"/>
      <c r="E361" s="68"/>
      <c r="F361" s="70"/>
      <c r="G361" s="1"/>
      <c r="H361" s="68"/>
      <c r="I361" s="70"/>
      <c r="J361" s="1"/>
      <c r="K361" s="68"/>
      <c r="L361" s="70"/>
      <c r="M361" s="74" t="s">
        <v>17972</v>
      </c>
      <c r="N361" s="62"/>
      <c r="O361" s="63"/>
      <c r="P361" s="83"/>
      <c r="Q361" s="64"/>
      <c r="R361" s="65"/>
      <c r="S361" s="99"/>
      <c r="T361" s="70"/>
      <c r="U361" s="99"/>
      <c r="V361" s="70"/>
      <c r="W361" s="1"/>
      <c r="X361" s="68"/>
      <c r="Y361" s="76"/>
      <c r="Z361" s="70"/>
      <c r="AA361" s="1" t="s">
        <v>17988</v>
      </c>
      <c r="AB361" s="68"/>
      <c r="AC361" s="76"/>
      <c r="AD361" s="70"/>
      <c r="AE361" s="228">
        <f>ROUND((ROUND((_15_同援日１．０*_15・基礎２),0)*(1+_15・区４)),0)+ROUND((ROUND((ROUND((_15_同援日１．０＿１．０*_15・基礎２),0)*(1+_15・B夜間)),0)*(1+_15・区４)),0)+ROUND((ROUND((ROUND((_15_同援日１．０＿１．０＿１．０*_15・基礎２),0)*(1+_15・C深夜)),0)*(1+_15・区４)),0)</f>
        <v>911</v>
      </c>
      <c r="AF361" s="69"/>
    </row>
    <row r="362" spans="1:32" ht="16.5" customHeight="1" x14ac:dyDescent="0.3">
      <c r="A362" s="2">
        <v>15</v>
      </c>
      <c r="B362" s="2" t="s">
        <v>1838</v>
      </c>
      <c r="C362" s="60" t="s">
        <v>12047</v>
      </c>
      <c r="D362" s="1"/>
      <c r="E362" s="68"/>
      <c r="F362" s="70"/>
      <c r="G362" s="1"/>
      <c r="H362" s="68"/>
      <c r="I362" s="70"/>
      <c r="J362" s="1"/>
      <c r="K362" s="68"/>
      <c r="L362" s="70"/>
      <c r="M362" s="81" t="s">
        <v>5896</v>
      </c>
      <c r="N362" s="57" t="s">
        <v>1</v>
      </c>
      <c r="O362" s="58">
        <v>0.9</v>
      </c>
      <c r="P362" s="83" t="s">
        <v>5895</v>
      </c>
      <c r="Q362" s="64" t="s">
        <v>1</v>
      </c>
      <c r="R362" s="65">
        <v>1</v>
      </c>
      <c r="S362" s="99"/>
      <c r="T362" s="70"/>
      <c r="U362" s="99"/>
      <c r="V362" s="70"/>
      <c r="W362" s="81"/>
      <c r="X362" s="57"/>
      <c r="Y362" s="58"/>
      <c r="Z362" s="77"/>
      <c r="AA362" s="1" t="s">
        <v>17980</v>
      </c>
      <c r="AB362" s="68"/>
      <c r="AC362" s="76"/>
      <c r="AD362" s="70"/>
      <c r="AE362" s="228">
        <f>ROUND((ROUND((ROUND((_15_同援日１．０*_15・基礎２),0)*_15・２人),0)*(1+_15・区４)),0)+ROUND((ROUND((ROUND((ROUND((_15_同援日１．０＿１．０*_15・基礎２),0)*_15・２人),0)*(1+_15・B夜間)),0)*(1+_15・区４)),0)+ROUND((ROUND((ROUND((ROUND((_15_同援日１．０＿１．０＿１．０*_15・基礎２),0)*_15・２人),0)*(1+_15・C深夜)),0)*(1+_15・区４)),0)</f>
        <v>911</v>
      </c>
      <c r="AF362" s="69"/>
    </row>
    <row r="363" spans="1:32" ht="16.5" customHeight="1" x14ac:dyDescent="0.3">
      <c r="A363" s="2">
        <v>15</v>
      </c>
      <c r="B363" s="2" t="s">
        <v>1839</v>
      </c>
      <c r="C363" s="60" t="s">
        <v>12046</v>
      </c>
      <c r="D363" s="1"/>
      <c r="E363" s="68"/>
      <c r="F363" s="70"/>
      <c r="G363" s="1"/>
      <c r="H363" s="68"/>
      <c r="I363" s="70"/>
      <c r="J363" s="1"/>
      <c r="K363" s="68"/>
      <c r="L363" s="70"/>
      <c r="M363" s="74"/>
      <c r="N363" s="62"/>
      <c r="O363" s="63"/>
      <c r="P363" s="83"/>
      <c r="Q363" s="64"/>
      <c r="R363" s="65"/>
      <c r="S363" s="99"/>
      <c r="T363" s="70"/>
      <c r="U363" s="99"/>
      <c r="V363" s="70"/>
      <c r="W363" s="74" t="s">
        <v>17987</v>
      </c>
      <c r="X363" s="62"/>
      <c r="Y363" s="63"/>
      <c r="Z363" s="75"/>
      <c r="AA363" s="1"/>
      <c r="AB363" s="68" t="s">
        <v>1</v>
      </c>
      <c r="AC363" s="76">
        <v>0.4</v>
      </c>
      <c r="AD363" s="70" t="s">
        <v>422</v>
      </c>
      <c r="AE363" s="228">
        <f>ROUND((ROUND((_15_同援日１．０*(1+_15・盲ろう)),0)*(1+_15・区４)),0)+ROUND((ROUND((ROUND((_15_同援日１．０＿１．０*(1+_15・B夜間)),0)*(1+_15・盲ろう)),0)*(1+_15・区４)),0)+ROUND((ROUND((ROUND((_15_同援日１．０＿１．０＿１．０*(1+_15・C深夜)),0)*(1+_15・盲ろう)),0)*(1+_15・区４)),0)</f>
        <v>1262</v>
      </c>
      <c r="AF363" s="69"/>
    </row>
    <row r="364" spans="1:32" ht="16.5" customHeight="1" x14ac:dyDescent="0.3">
      <c r="A364" s="2">
        <v>15</v>
      </c>
      <c r="B364" s="2" t="s">
        <v>1840</v>
      </c>
      <c r="C364" s="60" t="s">
        <v>12045</v>
      </c>
      <c r="D364" s="1"/>
      <c r="E364" s="68"/>
      <c r="F364" s="70"/>
      <c r="G364" s="1"/>
      <c r="H364" s="68"/>
      <c r="I364" s="70"/>
      <c r="J364" s="1"/>
      <c r="K364" s="68"/>
      <c r="L364" s="70"/>
      <c r="M364" s="81"/>
      <c r="N364" s="57"/>
      <c r="O364" s="58"/>
      <c r="P364" s="83" t="s">
        <v>5895</v>
      </c>
      <c r="Q364" s="64" t="s">
        <v>1</v>
      </c>
      <c r="R364" s="65">
        <v>1</v>
      </c>
      <c r="S364" s="99"/>
      <c r="T364" s="70"/>
      <c r="U364" s="99"/>
      <c r="V364" s="70"/>
      <c r="W364" s="1" t="s">
        <v>8083</v>
      </c>
      <c r="X364" s="68"/>
      <c r="Y364" s="76"/>
      <c r="Z364" s="70"/>
      <c r="AA364" s="1"/>
      <c r="AB364" s="68"/>
      <c r="AC364" s="76"/>
      <c r="AD364" s="70"/>
      <c r="AE364" s="228">
        <f>ROUND((ROUND((ROUND((_15_同援日１．０*_15・２人),0)*(1+_15・盲ろう)),0)*(1+_15・区４)),0)+ROUND((ROUND((ROUND((ROUND((_15_同援日１．０＿１．０*_15・２人),0)*(1+_15・B夜間)),0)*(1+_15・盲ろう)),0)*(1+_15・区４)),0)+ROUND((ROUND((ROUND((ROUND((_15_同援日１．０＿１．０＿１．０*_15・２人),0)*(1+_15・C深夜)),0)*(1+_15・盲ろう)),0)*(1+_15・区４)),0)</f>
        <v>1262</v>
      </c>
      <c r="AF364" s="69"/>
    </row>
    <row r="365" spans="1:32" ht="16.5" customHeight="1" x14ac:dyDescent="0.3">
      <c r="A365" s="2">
        <v>15</v>
      </c>
      <c r="B365" s="2" t="s">
        <v>1841</v>
      </c>
      <c r="C365" s="60" t="s">
        <v>12044</v>
      </c>
      <c r="D365" s="1"/>
      <c r="E365" s="68"/>
      <c r="F365" s="70"/>
      <c r="G365" s="1"/>
      <c r="H365" s="68"/>
      <c r="I365" s="70"/>
      <c r="J365" s="1"/>
      <c r="K365" s="68"/>
      <c r="L365" s="70"/>
      <c r="M365" s="74" t="s">
        <v>17972</v>
      </c>
      <c r="N365" s="62"/>
      <c r="O365" s="63"/>
      <c r="P365" s="83"/>
      <c r="Q365" s="64"/>
      <c r="R365" s="65"/>
      <c r="S365" s="99"/>
      <c r="T365" s="70"/>
      <c r="U365" s="99"/>
      <c r="V365" s="70"/>
      <c r="W365" s="1"/>
      <c r="X365" s="68" t="s">
        <v>1</v>
      </c>
      <c r="Y365" s="76">
        <v>0.25</v>
      </c>
      <c r="Z365" s="70" t="s">
        <v>422</v>
      </c>
      <c r="AA365" s="1"/>
      <c r="AB365" s="68"/>
      <c r="AC365" s="76"/>
      <c r="AD365" s="70"/>
      <c r="AE365" s="228">
        <f>ROUND((ROUND((ROUND((_15_同援日１．０*_15・基礎２),0)*(1+_15・盲ろう)),0)*(1+_15・区４)),0)+ROUND((ROUND((ROUND((ROUND((_15_同援日１．０＿１．０*_15・基礎２),0)*(1+_15・B夜間)),0)*(1+_15・盲ろう)),0)*(1+_15・区４)),0)+ROUND((ROUND((ROUND((ROUND((_15_同援日１．０＿１．０＿１．０*_15・基礎２),0)*(1+_15・C深夜)),0)*(1+_15・盲ろう)),0)*(1+_15・区４)),0)</f>
        <v>1141</v>
      </c>
      <c r="AF365" s="69"/>
    </row>
    <row r="366" spans="1:32" ht="16.5" customHeight="1" x14ac:dyDescent="0.3">
      <c r="A366" s="2">
        <v>15</v>
      </c>
      <c r="B366" s="2" t="s">
        <v>1842</v>
      </c>
      <c r="C366" s="60" t="s">
        <v>12043</v>
      </c>
      <c r="D366" s="1"/>
      <c r="E366" s="68"/>
      <c r="F366" s="70"/>
      <c r="G366" s="81"/>
      <c r="H366" s="57"/>
      <c r="I366" s="77"/>
      <c r="J366" s="81"/>
      <c r="K366" s="57"/>
      <c r="L366" s="77"/>
      <c r="M366" s="81" t="s">
        <v>5896</v>
      </c>
      <c r="N366" s="57" t="s">
        <v>1</v>
      </c>
      <c r="O366" s="58">
        <v>0.9</v>
      </c>
      <c r="P366" s="83" t="s">
        <v>5895</v>
      </c>
      <c r="Q366" s="64" t="s">
        <v>1</v>
      </c>
      <c r="R366" s="65">
        <v>1</v>
      </c>
      <c r="S366" s="99"/>
      <c r="T366" s="70"/>
      <c r="U366" s="99"/>
      <c r="V366" s="70"/>
      <c r="W366" s="81"/>
      <c r="X366" s="57"/>
      <c r="Y366" s="58"/>
      <c r="Z366" s="77"/>
      <c r="AA366" s="81"/>
      <c r="AB366" s="57"/>
      <c r="AC366" s="58"/>
      <c r="AD366" s="77"/>
      <c r="AE366" s="228">
        <f>ROUND((ROUND((ROUND((ROUND((_15_同援日１．０*_15・基礎２),0)*_15・２人),0)*(1+_15・盲ろう)),0)*(1+_15・区４)),0)+ROUND((ROUND((ROUND((ROUND((ROUND((_15_同援日１．０＿１．０*_15・基礎２),0)*_15・２人),0)*(1+_15・B夜間)),0)*(1+_15・盲ろう)),0)*(1+_15・区４)),0)+ROUND((ROUND((ROUND((ROUND((ROUND((_15_同援日１．０＿１．０＿１．０*_15・基礎２),0)*_15・２人),0)*(1+_15・C深夜)),0)*(1+_15・盲ろう)),0)*(1+_15・区４)),0)</f>
        <v>1141</v>
      </c>
      <c r="AF366" s="69"/>
    </row>
    <row r="367" spans="1:32" ht="16.5" customHeight="1" x14ac:dyDescent="0.3">
      <c r="A367" s="2">
        <v>15</v>
      </c>
      <c r="B367" s="2" t="s">
        <v>1843</v>
      </c>
      <c r="C367" s="60" t="s">
        <v>12042</v>
      </c>
      <c r="D367" s="1"/>
      <c r="E367" s="68"/>
      <c r="F367" s="70"/>
      <c r="G367" s="233" t="s">
        <v>18158</v>
      </c>
      <c r="H367" s="62"/>
      <c r="I367" s="75"/>
      <c r="J367" s="74" t="s">
        <v>17867</v>
      </c>
      <c r="K367" s="62"/>
      <c r="L367" s="75"/>
      <c r="M367" s="74"/>
      <c r="N367" s="62"/>
      <c r="O367" s="63"/>
      <c r="P367" s="83"/>
      <c r="Q367" s="64"/>
      <c r="R367" s="65"/>
      <c r="S367" s="99"/>
      <c r="T367" s="70"/>
      <c r="U367" s="99"/>
      <c r="V367" s="70"/>
      <c r="W367" s="74"/>
      <c r="X367" s="62"/>
      <c r="Y367" s="63"/>
      <c r="Z367" s="75"/>
      <c r="AA367" s="74"/>
      <c r="AB367" s="62"/>
      <c r="AC367" s="63"/>
      <c r="AD367" s="75"/>
      <c r="AE367" s="120">
        <f>_15_同援日１．０+ROUND((_15_同援日１．０＿１．５*(1+_15・B夜間)),0)+ROUND((_15_同援日１．０＿１．５＿０．５*(1+_15・C深夜)),0)</f>
        <v>707</v>
      </c>
      <c r="AF367" s="69"/>
    </row>
    <row r="368" spans="1:32" ht="16.5" customHeight="1" x14ac:dyDescent="0.3">
      <c r="A368" s="2">
        <v>15</v>
      </c>
      <c r="B368" s="2" t="s">
        <v>1844</v>
      </c>
      <c r="C368" s="60" t="s">
        <v>12041</v>
      </c>
      <c r="D368" s="1"/>
      <c r="E368" s="68"/>
      <c r="F368" s="70"/>
      <c r="G368" s="1" t="s">
        <v>18156</v>
      </c>
      <c r="H368" s="68"/>
      <c r="I368" s="70"/>
      <c r="J368" s="1" t="s">
        <v>7928</v>
      </c>
      <c r="K368" s="68"/>
      <c r="L368" s="70"/>
      <c r="M368" s="81"/>
      <c r="N368" s="57"/>
      <c r="O368" s="58"/>
      <c r="P368" s="83" t="s">
        <v>5895</v>
      </c>
      <c r="Q368" s="64" t="s">
        <v>1</v>
      </c>
      <c r="R368" s="65">
        <v>1</v>
      </c>
      <c r="S368" s="99"/>
      <c r="T368" s="70"/>
      <c r="U368" s="99"/>
      <c r="V368" s="70"/>
      <c r="W368" s="1"/>
      <c r="X368" s="68"/>
      <c r="Y368" s="76"/>
      <c r="Z368" s="70"/>
      <c r="AA368" s="1"/>
      <c r="AB368" s="68"/>
      <c r="AC368" s="76"/>
      <c r="AD368" s="70"/>
      <c r="AE368" s="120">
        <f>ROUND((_15_同援日１．０*_15・２人),0)+ROUND((ROUND((_15_同援日１．０＿１．５*_15・２人),0)*(1+_15・B夜間)),0)+ROUND((ROUND((_15_同援日１．０＿１．５＿０．５*_15・２人),0)*(1+_15・C深夜)),0)</f>
        <v>707</v>
      </c>
      <c r="AF368" s="69"/>
    </row>
    <row r="369" spans="1:32" ht="16.5" customHeight="1" x14ac:dyDescent="0.3">
      <c r="A369" s="2">
        <v>15</v>
      </c>
      <c r="B369" s="2" t="s">
        <v>1845</v>
      </c>
      <c r="C369" s="60" t="s">
        <v>12040</v>
      </c>
      <c r="D369" s="1"/>
      <c r="E369" s="68"/>
      <c r="F369" s="70"/>
      <c r="G369" s="1" t="s">
        <v>8767</v>
      </c>
      <c r="H369" s="68"/>
      <c r="I369" s="70"/>
      <c r="J369" s="1"/>
      <c r="K369" s="68"/>
      <c r="L369" s="70"/>
      <c r="M369" s="74" t="s">
        <v>5898</v>
      </c>
      <c r="N369" s="62"/>
      <c r="O369" s="63"/>
      <c r="P369" s="83"/>
      <c r="Q369" s="64"/>
      <c r="R369" s="65"/>
      <c r="S369" s="99"/>
      <c r="T369" s="70"/>
      <c r="U369" s="99"/>
      <c r="V369" s="70"/>
      <c r="W369" s="1"/>
      <c r="X369" s="68"/>
      <c r="Y369" s="76"/>
      <c r="Z369" s="70"/>
      <c r="AA369" s="1"/>
      <c r="AB369" s="68"/>
      <c r="AC369" s="76"/>
      <c r="AD369" s="70"/>
      <c r="AE369" s="120">
        <f>ROUND((_15_同援日１．０*_15・基礎２),0)+ROUND((ROUND((_15_同援日１．０＿１．５*_15・基礎２),0)*(1+_15・B夜間)),0)+ROUND((ROUND((_15_同援日１．０＿１．５＿０．５*_15・基礎２),0)*(1+_15・C深夜)),0)</f>
        <v>637</v>
      </c>
      <c r="AF369" s="69"/>
    </row>
    <row r="370" spans="1:32" ht="16.5" customHeight="1" x14ac:dyDescent="0.3">
      <c r="A370" s="2">
        <v>15</v>
      </c>
      <c r="B370" s="2" t="s">
        <v>1846</v>
      </c>
      <c r="C370" s="60" t="s">
        <v>12039</v>
      </c>
      <c r="D370" s="1"/>
      <c r="E370" s="68"/>
      <c r="F370" s="70"/>
      <c r="G370" s="1"/>
      <c r="H370" s="119">
        <v>256</v>
      </c>
      <c r="I370" s="70" t="s">
        <v>0</v>
      </c>
      <c r="J370" s="1"/>
      <c r="K370" s="227">
        <v>63</v>
      </c>
      <c r="L370" s="70" t="s">
        <v>0</v>
      </c>
      <c r="M370" s="81" t="s">
        <v>17864</v>
      </c>
      <c r="N370" s="57" t="s">
        <v>1</v>
      </c>
      <c r="O370" s="58">
        <v>0.9</v>
      </c>
      <c r="P370" s="83" t="s">
        <v>5895</v>
      </c>
      <c r="Q370" s="64" t="s">
        <v>1</v>
      </c>
      <c r="R370" s="65">
        <v>1</v>
      </c>
      <c r="S370" s="99"/>
      <c r="T370" s="70"/>
      <c r="U370" s="99"/>
      <c r="V370" s="70"/>
      <c r="W370" s="81"/>
      <c r="X370" s="57"/>
      <c r="Y370" s="58"/>
      <c r="Z370" s="77"/>
      <c r="AA370" s="1"/>
      <c r="AB370" s="68"/>
      <c r="AC370" s="76"/>
      <c r="AD370" s="70"/>
      <c r="AE370" s="120">
        <f>ROUND((ROUND((_15_同援日１．０*_15・基礎２),0)*_15・２人),0)+ROUND((ROUND((ROUND((_15_同援日１．０＿１．５*_15・基礎２),0)*_15・２人),0)*(1+_15・B夜間)),0)+ROUND((ROUND((ROUND((_15_同援日１．０＿１．５＿０．５*_15・基礎２),0)*_15・２人),0)*(1+_15・C深夜)),0)</f>
        <v>637</v>
      </c>
      <c r="AF370" s="69"/>
    </row>
    <row r="371" spans="1:32" ht="16.5" customHeight="1" x14ac:dyDescent="0.3">
      <c r="A371" s="2">
        <v>15</v>
      </c>
      <c r="B371" s="2" t="s">
        <v>1847</v>
      </c>
      <c r="C371" s="60" t="s">
        <v>12038</v>
      </c>
      <c r="D371" s="1"/>
      <c r="E371" s="68"/>
      <c r="F371" s="70"/>
      <c r="G371" s="1"/>
      <c r="H371" s="68"/>
      <c r="I371" s="70"/>
      <c r="J371" s="1"/>
      <c r="K371" s="68"/>
      <c r="L371" s="70"/>
      <c r="M371" s="74"/>
      <c r="N371" s="62"/>
      <c r="O371" s="63"/>
      <c r="P371" s="83"/>
      <c r="Q371" s="64"/>
      <c r="R371" s="65"/>
      <c r="S371" s="99"/>
      <c r="T371" s="70"/>
      <c r="U371" s="99"/>
      <c r="V371" s="70"/>
      <c r="W371" s="74" t="s">
        <v>17987</v>
      </c>
      <c r="X371" s="62"/>
      <c r="Y371" s="63"/>
      <c r="Z371" s="75"/>
      <c r="AA371" s="1"/>
      <c r="AB371" s="68"/>
      <c r="AC371" s="76"/>
      <c r="AD371" s="70"/>
      <c r="AE371" s="120">
        <f>ROUND((_15_同援日１．０*(1+_15・盲ろう)),0)+ROUND((ROUND((_15_同援日１．０＿１．５*(1+_15・B夜間)),0)*(1+_15・盲ろう)),0)+ROUND((ROUND((_15_同援日１．０＿１．５＿０．５*(1+_15・C深夜)),0)*(1+_15・盲ろう)),0)</f>
        <v>884</v>
      </c>
      <c r="AF371" s="69"/>
    </row>
    <row r="372" spans="1:32" ht="16.5" customHeight="1" x14ac:dyDescent="0.3">
      <c r="A372" s="2">
        <v>15</v>
      </c>
      <c r="B372" s="2" t="s">
        <v>1848</v>
      </c>
      <c r="C372" s="60" t="s">
        <v>12037</v>
      </c>
      <c r="D372" s="1"/>
      <c r="E372" s="68"/>
      <c r="F372" s="70"/>
      <c r="G372" s="1"/>
      <c r="H372" s="68"/>
      <c r="I372" s="70"/>
      <c r="J372" s="1"/>
      <c r="K372" s="68"/>
      <c r="L372" s="70"/>
      <c r="M372" s="81"/>
      <c r="N372" s="57"/>
      <c r="O372" s="58"/>
      <c r="P372" s="83" t="s">
        <v>5895</v>
      </c>
      <c r="Q372" s="64" t="s">
        <v>1</v>
      </c>
      <c r="R372" s="65">
        <v>1</v>
      </c>
      <c r="S372" s="99"/>
      <c r="T372" s="70"/>
      <c r="U372" s="99"/>
      <c r="V372" s="70"/>
      <c r="W372" s="1" t="s">
        <v>8083</v>
      </c>
      <c r="X372" s="68"/>
      <c r="Y372" s="76"/>
      <c r="Z372" s="70"/>
      <c r="AA372" s="1"/>
      <c r="AB372" s="68"/>
      <c r="AC372" s="76"/>
      <c r="AD372" s="70"/>
      <c r="AE372" s="120">
        <f>ROUND((ROUND((_15_同援日１．０*_15・２人),0)*(1+_15・盲ろう)),0)+ROUND((ROUND((ROUND((_15_同援日１．０＿１．５*_15・２人),0)*(1+_15・B夜間)),0)*(1+_15・盲ろう)),0)+ROUND((ROUND((ROUND((_15_同援日１．０＿１．５＿０．５*_15・２人),0)*(1+_15・C深夜)),0)*(1+_15・盲ろう)),0)</f>
        <v>884</v>
      </c>
      <c r="AF372" s="69"/>
    </row>
    <row r="373" spans="1:32" ht="16.5" customHeight="1" x14ac:dyDescent="0.3">
      <c r="A373" s="2">
        <v>15</v>
      </c>
      <c r="B373" s="2" t="s">
        <v>1849</v>
      </c>
      <c r="C373" s="60" t="s">
        <v>12036</v>
      </c>
      <c r="D373" s="1"/>
      <c r="E373" s="68"/>
      <c r="F373" s="70"/>
      <c r="G373" s="1"/>
      <c r="H373" s="68"/>
      <c r="I373" s="70"/>
      <c r="J373" s="1"/>
      <c r="K373" s="68"/>
      <c r="L373" s="70"/>
      <c r="M373" s="74" t="s">
        <v>17972</v>
      </c>
      <c r="N373" s="62"/>
      <c r="O373" s="63"/>
      <c r="P373" s="83"/>
      <c r="Q373" s="64"/>
      <c r="R373" s="65"/>
      <c r="S373" s="99"/>
      <c r="T373" s="70"/>
      <c r="U373" s="99"/>
      <c r="V373" s="70"/>
      <c r="W373" s="1"/>
      <c r="X373" s="68" t="s">
        <v>1</v>
      </c>
      <c r="Y373" s="76">
        <v>0.25</v>
      </c>
      <c r="Z373" s="70" t="s">
        <v>422</v>
      </c>
      <c r="AA373" s="1"/>
      <c r="AB373" s="68"/>
      <c r="AC373" s="76"/>
      <c r="AD373" s="70"/>
      <c r="AE373" s="120">
        <f>ROUND((ROUND((_15_同援日１．０*_15・基礎２),0)*(1+_15・盲ろう)),0)+ROUND((ROUND((ROUND((_15_同援日１．０＿１．５*_15・基礎２),0)*(1+_15・B夜間)),0)*(1+_15・盲ろう)),0)+ROUND((ROUND((ROUND((_15_同援日１．０＿１．５＿０．５*_15・基礎２),0)*(1+_15・C深夜)),0)*(1+_15・盲ろう)),0)</f>
        <v>797</v>
      </c>
      <c r="AF373" s="69"/>
    </row>
    <row r="374" spans="1:32" ht="16.5" customHeight="1" x14ac:dyDescent="0.3">
      <c r="A374" s="2">
        <v>15</v>
      </c>
      <c r="B374" s="2" t="s">
        <v>1850</v>
      </c>
      <c r="C374" s="60" t="s">
        <v>12035</v>
      </c>
      <c r="D374" s="1"/>
      <c r="E374" s="68"/>
      <c r="F374" s="70"/>
      <c r="G374" s="1"/>
      <c r="H374" s="68"/>
      <c r="I374" s="70"/>
      <c r="J374" s="1"/>
      <c r="K374" s="68"/>
      <c r="L374" s="70"/>
      <c r="M374" s="81" t="s">
        <v>17864</v>
      </c>
      <c r="N374" s="57" t="s">
        <v>1</v>
      </c>
      <c r="O374" s="58">
        <v>0.9</v>
      </c>
      <c r="P374" s="83" t="s">
        <v>5895</v>
      </c>
      <c r="Q374" s="64" t="s">
        <v>1</v>
      </c>
      <c r="R374" s="65">
        <v>1</v>
      </c>
      <c r="S374" s="99"/>
      <c r="T374" s="70"/>
      <c r="U374" s="99"/>
      <c r="V374" s="70"/>
      <c r="W374" s="81"/>
      <c r="X374" s="57"/>
      <c r="Y374" s="58"/>
      <c r="Z374" s="77"/>
      <c r="AA374" s="81"/>
      <c r="AB374" s="57"/>
      <c r="AC374" s="58"/>
      <c r="AD374" s="77"/>
      <c r="AE374" s="120">
        <f>ROUND((ROUND((ROUND((_15_同援日１．０*_15・基礎２),0)*_15・２人),0)*(1+_15・盲ろう)),0)+ROUND((ROUND((ROUND((ROUND((_15_同援日１．０＿１．５*_15・基礎２),0)*_15・２人),0)*(1+_15・B夜間)),0)*(1+_15・盲ろう)),0)+ROUND((ROUND((ROUND((ROUND((_15_同援日１．０＿１．５＿０．５*_15・基礎２),0)*_15・２人),0)*(1+_15・C深夜)),0)*(1+_15・盲ろう)),0)</f>
        <v>797</v>
      </c>
      <c r="AF374" s="69"/>
    </row>
    <row r="375" spans="1:32" ht="16.5" customHeight="1" x14ac:dyDescent="0.3">
      <c r="A375" s="2">
        <v>15</v>
      </c>
      <c r="B375" s="2" t="s">
        <v>1851</v>
      </c>
      <c r="C375" s="60" t="s">
        <v>12034</v>
      </c>
      <c r="D375" s="1"/>
      <c r="E375" s="68"/>
      <c r="F375" s="70"/>
      <c r="G375" s="1"/>
      <c r="H375" s="68"/>
      <c r="I375" s="70"/>
      <c r="J375" s="1"/>
      <c r="K375" s="68"/>
      <c r="L375" s="70"/>
      <c r="M375" s="74"/>
      <c r="N375" s="62"/>
      <c r="O375" s="63"/>
      <c r="P375" s="83"/>
      <c r="Q375" s="64"/>
      <c r="R375" s="65"/>
      <c r="S375" s="99"/>
      <c r="T375" s="70"/>
      <c r="U375" s="99"/>
      <c r="V375" s="70"/>
      <c r="W375" s="74"/>
      <c r="X375" s="62"/>
      <c r="Y375" s="63"/>
      <c r="Z375" s="75"/>
      <c r="AA375" s="74"/>
      <c r="AB375" s="62"/>
      <c r="AC375" s="63"/>
      <c r="AD375" s="75"/>
      <c r="AE375" s="120">
        <f>ROUND((_15_同援日１．０*(1+_15・区３)),0)+ROUND((ROUND((_15_同援日１．０＿１．５*(1+_15・B夜間)),0)*(1+_15・区３)),0)+ROUND((ROUND((_15_同援日１．０＿１．５＿０．５*(1+_15・C深夜)),0)*(1+_15・区３)),0)</f>
        <v>848</v>
      </c>
      <c r="AF375" s="69"/>
    </row>
    <row r="376" spans="1:32" ht="16.5" customHeight="1" x14ac:dyDescent="0.3">
      <c r="A376" s="2">
        <v>15</v>
      </c>
      <c r="B376" s="2" t="s">
        <v>1852</v>
      </c>
      <c r="C376" s="60" t="s">
        <v>12033</v>
      </c>
      <c r="D376" s="1"/>
      <c r="E376" s="68"/>
      <c r="F376" s="70"/>
      <c r="G376" s="1"/>
      <c r="H376" s="68"/>
      <c r="I376" s="70"/>
      <c r="J376" s="1"/>
      <c r="K376" s="68"/>
      <c r="L376" s="70"/>
      <c r="M376" s="81"/>
      <c r="N376" s="57"/>
      <c r="O376" s="58"/>
      <c r="P376" s="83" t="s">
        <v>5895</v>
      </c>
      <c r="Q376" s="64" t="s">
        <v>1</v>
      </c>
      <c r="R376" s="65">
        <v>1</v>
      </c>
      <c r="S376" s="99"/>
      <c r="T376" s="70"/>
      <c r="U376" s="99"/>
      <c r="V376" s="70"/>
      <c r="W376" s="1"/>
      <c r="X376" s="68"/>
      <c r="Y376" s="76"/>
      <c r="Z376" s="70"/>
      <c r="AA376" s="1"/>
      <c r="AB376" s="68"/>
      <c r="AC376" s="76"/>
      <c r="AD376" s="70"/>
      <c r="AE376" s="120">
        <f>ROUND((ROUND((_15_同援日１．０*_15・２人),0)*(1+_15・区３)),0)+ROUND((ROUND((ROUND((_15_同援日１．０＿１．５*_15・２人),0)*(1+_15・B夜間)),0)*(1+_15・区３)),0)+ROUND((ROUND((ROUND((_15_同援日１．０＿１．５＿０．５*_15・２人),0)*(1+_15・C深夜)),0)*(1+_15・区３)),0)</f>
        <v>848</v>
      </c>
      <c r="AF376" s="69"/>
    </row>
    <row r="377" spans="1:32" ht="16.5" customHeight="1" x14ac:dyDescent="0.3">
      <c r="A377" s="2">
        <v>15</v>
      </c>
      <c r="B377" s="2" t="s">
        <v>1853</v>
      </c>
      <c r="C377" s="60" t="s">
        <v>12032</v>
      </c>
      <c r="D377" s="1"/>
      <c r="E377" s="68"/>
      <c r="F377" s="70"/>
      <c r="G377" s="1"/>
      <c r="H377" s="68"/>
      <c r="I377" s="70"/>
      <c r="J377" s="1"/>
      <c r="K377" s="68"/>
      <c r="L377" s="70"/>
      <c r="M377" s="74" t="s">
        <v>17972</v>
      </c>
      <c r="N377" s="62"/>
      <c r="O377" s="63"/>
      <c r="P377" s="83"/>
      <c r="Q377" s="64"/>
      <c r="R377" s="65"/>
      <c r="S377" s="99"/>
      <c r="T377" s="70"/>
      <c r="U377" s="99"/>
      <c r="V377" s="70"/>
      <c r="W377" s="1"/>
      <c r="X377" s="68"/>
      <c r="Y377" s="76"/>
      <c r="Z377" s="70"/>
      <c r="AA377" s="1" t="s">
        <v>17997</v>
      </c>
      <c r="AB377" s="68"/>
      <c r="AC377" s="76"/>
      <c r="AD377" s="70"/>
      <c r="AE377" s="228">
        <f>ROUND((ROUND((_15_同援日１．０*_15・基礎２),0)*(1+_15・区３)),0)+ROUND((ROUND((ROUND((_15_同援日１．０＿１．５*_15・基礎２),0)*(1+_15・B夜間)),0)*(1+_15・区３)),0)+ROUND((ROUND((ROUND((_15_同援日１．０＿１．５＿０．５*_15・基礎２),0)*(1+_15・C深夜)),0)*(1+_15・区３)),0)</f>
        <v>765</v>
      </c>
      <c r="AF377" s="69"/>
    </row>
    <row r="378" spans="1:32" ht="16.5" customHeight="1" x14ac:dyDescent="0.3">
      <c r="A378" s="2">
        <v>15</v>
      </c>
      <c r="B378" s="2" t="s">
        <v>1854</v>
      </c>
      <c r="C378" s="60" t="s">
        <v>12031</v>
      </c>
      <c r="D378" s="1"/>
      <c r="E378" s="68"/>
      <c r="F378" s="70"/>
      <c r="G378" s="1"/>
      <c r="H378" s="68"/>
      <c r="I378" s="70"/>
      <c r="J378" s="1"/>
      <c r="K378" s="68"/>
      <c r="L378" s="70"/>
      <c r="M378" s="81" t="s">
        <v>17864</v>
      </c>
      <c r="N378" s="57" t="s">
        <v>1</v>
      </c>
      <c r="O378" s="58">
        <v>0.9</v>
      </c>
      <c r="P378" s="83" t="s">
        <v>5895</v>
      </c>
      <c r="Q378" s="64" t="s">
        <v>1</v>
      </c>
      <c r="R378" s="65">
        <v>1</v>
      </c>
      <c r="S378" s="99"/>
      <c r="T378" s="70"/>
      <c r="U378" s="99"/>
      <c r="V378" s="70"/>
      <c r="W378" s="81"/>
      <c r="X378" s="57"/>
      <c r="Y378" s="58"/>
      <c r="Z378" s="77"/>
      <c r="AA378" s="1" t="s">
        <v>17980</v>
      </c>
      <c r="AB378" s="68"/>
      <c r="AC378" s="76"/>
      <c r="AD378" s="70"/>
      <c r="AE378" s="228">
        <f>ROUND((ROUND((ROUND((_15_同援日１．０*_15・基礎２),0)*_15・２人),0)*(1+_15・区３)),0)+ROUND((ROUND((ROUND((ROUND((_15_同援日１．０＿１．５*_15・基礎２),0)*_15・２人),0)*(1+_15・B夜間)),0)*(1+_15・区３)),0)+ROUND((ROUND((ROUND((ROUND((_15_同援日１．０＿１．５＿０．５*_15・基礎２),0)*_15・２人),0)*(1+_15・C深夜)),0)*(1+_15・区３)),0)</f>
        <v>765</v>
      </c>
      <c r="AF378" s="69"/>
    </row>
    <row r="379" spans="1:32" ht="16.5" customHeight="1" x14ac:dyDescent="0.3">
      <c r="A379" s="2">
        <v>15</v>
      </c>
      <c r="B379" s="2" t="s">
        <v>1855</v>
      </c>
      <c r="C379" s="60" t="s">
        <v>12030</v>
      </c>
      <c r="D379" s="1"/>
      <c r="E379" s="68"/>
      <c r="F379" s="70"/>
      <c r="G379" s="1"/>
      <c r="H379" s="68"/>
      <c r="I379" s="70"/>
      <c r="J379" s="1"/>
      <c r="K379" s="68"/>
      <c r="L379" s="70"/>
      <c r="M379" s="74"/>
      <c r="N379" s="62"/>
      <c r="O379" s="63"/>
      <c r="P379" s="83"/>
      <c r="Q379" s="64"/>
      <c r="R379" s="65"/>
      <c r="S379" s="99"/>
      <c r="T379" s="70"/>
      <c r="U379" s="99"/>
      <c r="V379" s="70"/>
      <c r="W379" s="74" t="s">
        <v>8085</v>
      </c>
      <c r="X379" s="62"/>
      <c r="Y379" s="63"/>
      <c r="Z379" s="75"/>
      <c r="AA379" s="1"/>
      <c r="AB379" s="68" t="s">
        <v>1</v>
      </c>
      <c r="AC379" s="76">
        <v>0.2</v>
      </c>
      <c r="AD379" s="70" t="s">
        <v>422</v>
      </c>
      <c r="AE379" s="120">
        <f>ROUND((ROUND((_15_同援日１．０*(1+_15・盲ろう)),0)*(1+_15・区３)),0)+ROUND((ROUND((ROUND((_15_同援日１．０＿１．５*(1+_15・B夜間)),0)*(1+_15・盲ろう)),0)*(1+_15・区３)),0)+ROUND((ROUND((ROUND((_15_同援日１．０＿１．５＿０．５*(1+_15・C深夜)),0)*(1+_15・盲ろう)),0)*(1+_15・区３)),0)</f>
        <v>1061</v>
      </c>
      <c r="AF379" s="69"/>
    </row>
    <row r="380" spans="1:32" ht="16.5" customHeight="1" x14ac:dyDescent="0.3">
      <c r="A380" s="2">
        <v>15</v>
      </c>
      <c r="B380" s="2" t="s">
        <v>1856</v>
      </c>
      <c r="C380" s="60" t="s">
        <v>12029</v>
      </c>
      <c r="D380" s="1"/>
      <c r="E380" s="68"/>
      <c r="F380" s="70"/>
      <c r="G380" s="1"/>
      <c r="H380" s="68"/>
      <c r="I380" s="70"/>
      <c r="J380" s="1"/>
      <c r="K380" s="68"/>
      <c r="L380" s="70"/>
      <c r="M380" s="81"/>
      <c r="N380" s="57"/>
      <c r="O380" s="58"/>
      <c r="P380" s="83" t="s">
        <v>5895</v>
      </c>
      <c r="Q380" s="64" t="s">
        <v>1</v>
      </c>
      <c r="R380" s="65">
        <v>1</v>
      </c>
      <c r="S380" s="99"/>
      <c r="T380" s="70"/>
      <c r="U380" s="99"/>
      <c r="V380" s="70"/>
      <c r="W380" s="1" t="s">
        <v>17973</v>
      </c>
      <c r="X380" s="68"/>
      <c r="Y380" s="76"/>
      <c r="Z380" s="70"/>
      <c r="AA380" s="1"/>
      <c r="AB380" s="68"/>
      <c r="AC380" s="76"/>
      <c r="AD380" s="70"/>
      <c r="AE380" s="120">
        <f>ROUND((ROUND((ROUND((_15_同援日１．０*_15・２人),0)*(1+_15・盲ろう)),0)*(1+_15・区３)),0)+ROUND((ROUND((ROUND((ROUND((_15_同援日１．０＿１．５*_15・２人),0)*(1+_15・B夜間)),0)*(1+_15・盲ろう)),0)*(1+_15・区３)),0)+ROUND((ROUND((ROUND((ROUND((_15_同援日１．０＿１．５＿０．５*_15・２人),0)*(1+_15・C深夜)),0)*(1+_15・盲ろう)),0)*(1+_15・区３)),0)</f>
        <v>1061</v>
      </c>
      <c r="AF380" s="69"/>
    </row>
    <row r="381" spans="1:32" ht="16.5" customHeight="1" x14ac:dyDescent="0.3">
      <c r="A381" s="2">
        <v>15</v>
      </c>
      <c r="B381" s="2" t="s">
        <v>1857</v>
      </c>
      <c r="C381" s="60" t="s">
        <v>12028</v>
      </c>
      <c r="D381" s="1"/>
      <c r="E381" s="68"/>
      <c r="F381" s="70"/>
      <c r="G381" s="1"/>
      <c r="H381" s="68"/>
      <c r="I381" s="70"/>
      <c r="J381" s="1"/>
      <c r="K381" s="68"/>
      <c r="L381" s="70"/>
      <c r="M381" s="74" t="s">
        <v>17972</v>
      </c>
      <c r="N381" s="62"/>
      <c r="O381" s="63"/>
      <c r="P381" s="83"/>
      <c r="Q381" s="64"/>
      <c r="R381" s="65"/>
      <c r="S381" s="99"/>
      <c r="T381" s="70"/>
      <c r="U381" s="99"/>
      <c r="V381" s="70"/>
      <c r="W381" s="1"/>
      <c r="X381" s="68" t="s">
        <v>1</v>
      </c>
      <c r="Y381" s="76">
        <v>0.25</v>
      </c>
      <c r="Z381" s="70" t="s">
        <v>422</v>
      </c>
      <c r="AA381" s="1"/>
      <c r="AB381" s="68"/>
      <c r="AC381" s="76"/>
      <c r="AD381" s="70"/>
      <c r="AE381" s="120">
        <f>ROUND((ROUND((ROUND((_15_同援日１．０*_15・基礎２),0)*(1+_15・盲ろう)),0)*(1+_15・区３)),0)+ROUND((ROUND((ROUND((ROUND((_15_同援日１．０＿１．５*_15・基礎２),0)*(1+_15・B夜間)),0)*(1+_15・盲ろう)),0)*(1+_15・区３)),0)+ROUND((ROUND((ROUND((ROUND((_15_同援日１．０＿１．５＿０．５*_15・基礎２),0)*(1+_15・C深夜)),0)*(1+_15・盲ろう)),0)*(1+_15・区３)),0)</f>
        <v>957</v>
      </c>
      <c r="AF381" s="69"/>
    </row>
    <row r="382" spans="1:32" ht="16.5" customHeight="1" x14ac:dyDescent="0.3">
      <c r="A382" s="2">
        <v>15</v>
      </c>
      <c r="B382" s="2" t="s">
        <v>1858</v>
      </c>
      <c r="C382" s="60" t="s">
        <v>12027</v>
      </c>
      <c r="D382" s="1"/>
      <c r="E382" s="68"/>
      <c r="F382" s="70"/>
      <c r="G382" s="1"/>
      <c r="H382" s="68"/>
      <c r="I382" s="70"/>
      <c r="J382" s="1"/>
      <c r="K382" s="68"/>
      <c r="L382" s="70"/>
      <c r="M382" s="81" t="s">
        <v>17864</v>
      </c>
      <c r="N382" s="57" t="s">
        <v>1</v>
      </c>
      <c r="O382" s="58">
        <v>0.9</v>
      </c>
      <c r="P382" s="83" t="s">
        <v>5895</v>
      </c>
      <c r="Q382" s="64" t="s">
        <v>1</v>
      </c>
      <c r="R382" s="65">
        <v>1</v>
      </c>
      <c r="S382" s="99"/>
      <c r="T382" s="70"/>
      <c r="U382" s="99"/>
      <c r="V382" s="70"/>
      <c r="W382" s="81"/>
      <c r="X382" s="57"/>
      <c r="Y382" s="58"/>
      <c r="Z382" s="77"/>
      <c r="AA382" s="81"/>
      <c r="AB382" s="57"/>
      <c r="AC382" s="58"/>
      <c r="AD382" s="77"/>
      <c r="AE382" s="120">
        <f>ROUND((ROUND((ROUND((ROUND((_15_同援日１．０*_15・基礎２),0)*_15・２人),0)*(1+_15・盲ろう)),0)*(1+_15・区３)),0)+ROUND((ROUND((ROUND((ROUND((ROUND((_15_同援日１．０＿１．５*_15・基礎２),0)*_15・２人),0)*(1+_15・B夜間)),0)*(1+_15・盲ろう)),0)*(1+_15・区３)),0)+ROUND((ROUND((ROUND((ROUND((ROUND((_15_同援日１．０＿１．５＿０．５*_15・基礎２),0)*_15・２人),0)*(1+_15・C深夜)),0)*(1+_15・盲ろう)),0)*(1+_15・区３)),0)</f>
        <v>957</v>
      </c>
      <c r="AF382" s="69"/>
    </row>
    <row r="383" spans="1:32" ht="16.5" customHeight="1" x14ac:dyDescent="0.3">
      <c r="A383" s="2">
        <v>15</v>
      </c>
      <c r="B383" s="2" t="s">
        <v>1859</v>
      </c>
      <c r="C383" s="60" t="s">
        <v>12026</v>
      </c>
      <c r="D383" s="1"/>
      <c r="E383" s="68"/>
      <c r="F383" s="70"/>
      <c r="G383" s="1"/>
      <c r="H383" s="68"/>
      <c r="I383" s="70"/>
      <c r="J383" s="1"/>
      <c r="K383" s="68"/>
      <c r="L383" s="70"/>
      <c r="M383" s="74"/>
      <c r="N383" s="62"/>
      <c r="O383" s="63"/>
      <c r="P383" s="83"/>
      <c r="Q383" s="64"/>
      <c r="R383" s="65"/>
      <c r="S383" s="99"/>
      <c r="T383" s="70"/>
      <c r="U383" s="99"/>
      <c r="V383" s="70"/>
      <c r="W383" s="74"/>
      <c r="X383" s="62"/>
      <c r="Y383" s="63"/>
      <c r="Z383" s="75"/>
      <c r="AA383" s="74"/>
      <c r="AB383" s="62"/>
      <c r="AC383" s="63"/>
      <c r="AD383" s="75"/>
      <c r="AE383" s="228">
        <f>ROUND((_15_同援日１．０*(1+_15・区４)),0)+ROUND((ROUND((_15_同援日１．０＿１．５*(1+_15・B夜間)),0)*(1+_15・区４)),0)+ROUND((ROUND((_15_同援日１．０＿１．５＿０．５*(1+_15・C深夜)),0)*(1+_15・区４)),0)</f>
        <v>990</v>
      </c>
      <c r="AF383" s="69"/>
    </row>
    <row r="384" spans="1:32" ht="16.5" customHeight="1" x14ac:dyDescent="0.3">
      <c r="A384" s="2">
        <v>15</v>
      </c>
      <c r="B384" s="2" t="s">
        <v>1860</v>
      </c>
      <c r="C384" s="60" t="s">
        <v>12025</v>
      </c>
      <c r="D384" s="1"/>
      <c r="E384" s="68"/>
      <c r="F384" s="70"/>
      <c r="G384" s="1"/>
      <c r="H384" s="68"/>
      <c r="I384" s="70"/>
      <c r="J384" s="1"/>
      <c r="K384" s="68"/>
      <c r="L384" s="70"/>
      <c r="M384" s="81"/>
      <c r="N384" s="57"/>
      <c r="O384" s="58"/>
      <c r="P384" s="83" t="s">
        <v>5895</v>
      </c>
      <c r="Q384" s="64" t="s">
        <v>1</v>
      </c>
      <c r="R384" s="65">
        <v>1</v>
      </c>
      <c r="S384" s="99"/>
      <c r="T384" s="70"/>
      <c r="U384" s="99"/>
      <c r="V384" s="70"/>
      <c r="W384" s="1"/>
      <c r="X384" s="68"/>
      <c r="Y384" s="76"/>
      <c r="Z384" s="70"/>
      <c r="AA384" s="1"/>
      <c r="AB384" s="68"/>
      <c r="AC384" s="76"/>
      <c r="AD384" s="70"/>
      <c r="AE384" s="228">
        <f>ROUND((ROUND((_15_同援日１．０*_15・２人),0)*(1+_15・区４)),0)+ROUND((ROUND((ROUND((_15_同援日１．０＿１．５*_15・２人),0)*(1+_15・B夜間)),0)*(1+_15・区４)),0)+ROUND((ROUND((ROUND((_15_同援日１．０＿１．５＿０．５*_15・２人),0)*(1+_15・C深夜)),0)*(1+_15・区４)),0)</f>
        <v>990</v>
      </c>
      <c r="AF384" s="69"/>
    </row>
    <row r="385" spans="1:32" ht="16.5" customHeight="1" x14ac:dyDescent="0.3">
      <c r="A385" s="2">
        <v>15</v>
      </c>
      <c r="B385" s="2" t="s">
        <v>1861</v>
      </c>
      <c r="C385" s="60" t="s">
        <v>12024</v>
      </c>
      <c r="D385" s="1"/>
      <c r="E385" s="68"/>
      <c r="F385" s="70"/>
      <c r="G385" s="1"/>
      <c r="H385" s="68"/>
      <c r="I385" s="70"/>
      <c r="J385" s="1"/>
      <c r="K385" s="68"/>
      <c r="L385" s="70"/>
      <c r="M385" s="74" t="s">
        <v>17972</v>
      </c>
      <c r="N385" s="62"/>
      <c r="O385" s="63"/>
      <c r="P385" s="83"/>
      <c r="Q385" s="64"/>
      <c r="R385" s="65"/>
      <c r="S385" s="99"/>
      <c r="T385" s="70"/>
      <c r="U385" s="99"/>
      <c r="V385" s="70"/>
      <c r="W385" s="1"/>
      <c r="X385" s="68"/>
      <c r="Y385" s="76"/>
      <c r="Z385" s="70"/>
      <c r="AA385" s="1" t="s">
        <v>8089</v>
      </c>
      <c r="AB385" s="68"/>
      <c r="AC385" s="76"/>
      <c r="AD385" s="70"/>
      <c r="AE385" s="228">
        <f>ROUND((ROUND((_15_同援日１．０*_15・基礎２),0)*(1+_15・区４)),0)+ROUND((ROUND((ROUND((_15_同援日１．０＿１．５*_15・基礎２),0)*(1+_15・B夜間)),0)*(1+_15・区４)),0)+ROUND((ROUND((ROUND((_15_同援日１．０＿１．５＿０．５*_15・基礎２),0)*(1+_15・C深夜)),0)*(1+_15・区４)),0)</f>
        <v>891</v>
      </c>
      <c r="AF385" s="69"/>
    </row>
    <row r="386" spans="1:32" ht="16.5" customHeight="1" x14ac:dyDescent="0.3">
      <c r="A386" s="2">
        <v>15</v>
      </c>
      <c r="B386" s="2" t="s">
        <v>1862</v>
      </c>
      <c r="C386" s="60" t="s">
        <v>12023</v>
      </c>
      <c r="D386" s="1"/>
      <c r="E386" s="68"/>
      <c r="F386" s="70"/>
      <c r="G386" s="1"/>
      <c r="H386" s="68"/>
      <c r="I386" s="70"/>
      <c r="J386" s="1"/>
      <c r="K386" s="68"/>
      <c r="L386" s="70"/>
      <c r="M386" s="81" t="s">
        <v>17864</v>
      </c>
      <c r="N386" s="57" t="s">
        <v>1</v>
      </c>
      <c r="O386" s="58">
        <v>0.9</v>
      </c>
      <c r="P386" s="83" t="s">
        <v>5895</v>
      </c>
      <c r="Q386" s="64" t="s">
        <v>1</v>
      </c>
      <c r="R386" s="65">
        <v>1</v>
      </c>
      <c r="S386" s="99"/>
      <c r="T386" s="70"/>
      <c r="U386" s="99"/>
      <c r="V386" s="70"/>
      <c r="W386" s="81"/>
      <c r="X386" s="57"/>
      <c r="Y386" s="58"/>
      <c r="Z386" s="77"/>
      <c r="AA386" s="1" t="s">
        <v>17980</v>
      </c>
      <c r="AB386" s="68"/>
      <c r="AC386" s="76"/>
      <c r="AD386" s="70"/>
      <c r="AE386" s="228">
        <f>ROUND((ROUND((ROUND((_15_同援日１．０*_15・基礎２),0)*_15・２人),0)*(1+_15・区４)),0)+ROUND((ROUND((ROUND((ROUND((_15_同援日１．０＿１．５*_15・基礎２),0)*_15・２人),0)*(1+_15・B夜間)),0)*(1+_15・区４)),0)+ROUND((ROUND((ROUND((ROUND((_15_同援日１．０＿１．５＿０．５*_15・基礎２),0)*_15・２人),0)*(1+_15・C深夜)),0)*(1+_15・区４)),0)</f>
        <v>891</v>
      </c>
      <c r="AF386" s="69"/>
    </row>
    <row r="387" spans="1:32" ht="16.5" customHeight="1" x14ac:dyDescent="0.3">
      <c r="A387" s="2">
        <v>15</v>
      </c>
      <c r="B387" s="2" t="s">
        <v>1863</v>
      </c>
      <c r="C387" s="60" t="s">
        <v>12022</v>
      </c>
      <c r="D387" s="1"/>
      <c r="E387" s="68"/>
      <c r="F387" s="70"/>
      <c r="G387" s="1"/>
      <c r="H387" s="68"/>
      <c r="I387" s="70"/>
      <c r="J387" s="1"/>
      <c r="K387" s="68"/>
      <c r="L387" s="70"/>
      <c r="M387" s="74"/>
      <c r="N387" s="62"/>
      <c r="O387" s="63"/>
      <c r="P387" s="83"/>
      <c r="Q387" s="64"/>
      <c r="R387" s="65"/>
      <c r="S387" s="99"/>
      <c r="T387" s="70"/>
      <c r="U387" s="99"/>
      <c r="V387" s="70"/>
      <c r="W387" s="74" t="s">
        <v>17987</v>
      </c>
      <c r="X387" s="62"/>
      <c r="Y387" s="63"/>
      <c r="Z387" s="75"/>
      <c r="AA387" s="1"/>
      <c r="AB387" s="68" t="s">
        <v>1</v>
      </c>
      <c r="AC387" s="76">
        <v>0.4</v>
      </c>
      <c r="AD387" s="70" t="s">
        <v>422</v>
      </c>
      <c r="AE387" s="120">
        <f>ROUND((ROUND((_15_同援日１．０*(1+_15・盲ろう)),0)*(1+_15・区４)),0)+ROUND((ROUND((ROUND((_15_同援日１．０＿１．５*(1+_15・B夜間)),0)*(1+_15・盲ろう)),0)*(1+_15・区４)),0)+ROUND((ROUND((ROUND((_15_同援日１．０＿１．５＿０．５*(1+_15・C深夜)),0)*(1+_15・盲ろう)),0)*(1+_15・区４)),0)</f>
        <v>1238</v>
      </c>
      <c r="AF387" s="69"/>
    </row>
    <row r="388" spans="1:32" ht="16.5" customHeight="1" x14ac:dyDescent="0.3">
      <c r="A388" s="2">
        <v>15</v>
      </c>
      <c r="B388" s="2" t="s">
        <v>1864</v>
      </c>
      <c r="C388" s="60" t="s">
        <v>12021</v>
      </c>
      <c r="D388" s="1"/>
      <c r="E388" s="68"/>
      <c r="F388" s="70"/>
      <c r="G388" s="1"/>
      <c r="H388" s="68"/>
      <c r="I388" s="70"/>
      <c r="J388" s="1"/>
      <c r="K388" s="68"/>
      <c r="L388" s="70"/>
      <c r="M388" s="81"/>
      <c r="N388" s="57"/>
      <c r="O388" s="58"/>
      <c r="P388" s="83" t="s">
        <v>5895</v>
      </c>
      <c r="Q388" s="64" t="s">
        <v>1</v>
      </c>
      <c r="R388" s="65">
        <v>1</v>
      </c>
      <c r="S388" s="99"/>
      <c r="T388" s="70"/>
      <c r="U388" s="99"/>
      <c r="V388" s="70"/>
      <c r="W388" s="1" t="s">
        <v>17973</v>
      </c>
      <c r="X388" s="68"/>
      <c r="Y388" s="76"/>
      <c r="Z388" s="70"/>
      <c r="AA388" s="1"/>
      <c r="AB388" s="68"/>
      <c r="AC388" s="76"/>
      <c r="AD388" s="70"/>
      <c r="AE388" s="120">
        <f>ROUND((ROUND((ROUND((_15_同援日１．０*_15・２人),0)*(1+_15・盲ろう)),0)*(1+_15・区４)),0)+ROUND((ROUND((ROUND((ROUND((_15_同援日１．０＿１．５*_15・２人),0)*(1+_15・B夜間)),0)*(1+_15・盲ろう)),0)*(1+_15・区４)),0)+ROUND((ROUND((ROUND((ROUND((_15_同援日１．０＿１．５＿０．５*_15・２人),0)*(1+_15・C深夜)),0)*(1+_15・盲ろう)),0)*(1+_15・区４)),0)</f>
        <v>1238</v>
      </c>
      <c r="AF388" s="69"/>
    </row>
    <row r="389" spans="1:32" ht="16.5" customHeight="1" x14ac:dyDescent="0.3">
      <c r="A389" s="2">
        <v>15</v>
      </c>
      <c r="B389" s="2" t="s">
        <v>1865</v>
      </c>
      <c r="C389" s="60" t="s">
        <v>12020</v>
      </c>
      <c r="D389" s="1"/>
      <c r="E389" s="68"/>
      <c r="F389" s="70"/>
      <c r="G389" s="1"/>
      <c r="H389" s="68"/>
      <c r="I389" s="70"/>
      <c r="J389" s="1"/>
      <c r="K389" s="68"/>
      <c r="L389" s="70"/>
      <c r="M389" s="74" t="s">
        <v>17972</v>
      </c>
      <c r="N389" s="62"/>
      <c r="O389" s="63"/>
      <c r="P389" s="83"/>
      <c r="Q389" s="64"/>
      <c r="R389" s="65"/>
      <c r="S389" s="99"/>
      <c r="T389" s="70"/>
      <c r="U389" s="99"/>
      <c r="V389" s="70"/>
      <c r="W389" s="1"/>
      <c r="X389" s="68" t="s">
        <v>1</v>
      </c>
      <c r="Y389" s="76">
        <v>0.25</v>
      </c>
      <c r="Z389" s="70" t="s">
        <v>422</v>
      </c>
      <c r="AA389" s="1"/>
      <c r="AB389" s="68"/>
      <c r="AC389" s="76"/>
      <c r="AD389" s="70"/>
      <c r="AE389" s="120">
        <f>ROUND((ROUND((ROUND((_15_同援日１．０*_15・基礎２),0)*(1+_15・盲ろう)),0)*(1+_15・区４)),0)+ROUND((ROUND((ROUND((ROUND((_15_同援日１．０＿１．５*_15・基礎２),0)*(1+_15・B夜間)),0)*(1+_15・盲ろう)),0)*(1+_15・区４)),0)+ROUND((ROUND((ROUND((ROUND((_15_同援日１．０＿１．５＿０．５*_15・基礎２),0)*(1+_15・C深夜)),0)*(1+_15・盲ろう)),0)*(1+_15・区４)),0)</f>
        <v>1116</v>
      </c>
      <c r="AF389" s="69"/>
    </row>
    <row r="390" spans="1:32" ht="16.5" customHeight="1" x14ac:dyDescent="0.3">
      <c r="A390" s="2">
        <v>15</v>
      </c>
      <c r="B390" s="2" t="s">
        <v>1866</v>
      </c>
      <c r="C390" s="60" t="s">
        <v>12019</v>
      </c>
      <c r="D390" s="81"/>
      <c r="E390" s="57"/>
      <c r="F390" s="77"/>
      <c r="G390" s="81"/>
      <c r="H390" s="57"/>
      <c r="I390" s="77"/>
      <c r="J390" s="81"/>
      <c r="K390" s="57"/>
      <c r="L390" s="77"/>
      <c r="M390" s="81" t="s">
        <v>17864</v>
      </c>
      <c r="N390" s="57" t="s">
        <v>1</v>
      </c>
      <c r="O390" s="58">
        <v>0.9</v>
      </c>
      <c r="P390" s="83" t="s">
        <v>5895</v>
      </c>
      <c r="Q390" s="64" t="s">
        <v>1</v>
      </c>
      <c r="R390" s="65">
        <v>1</v>
      </c>
      <c r="S390" s="99"/>
      <c r="T390" s="70"/>
      <c r="U390" s="99"/>
      <c r="V390" s="70"/>
      <c r="W390" s="81"/>
      <c r="X390" s="57"/>
      <c r="Y390" s="58"/>
      <c r="Z390" s="77"/>
      <c r="AA390" s="81"/>
      <c r="AB390" s="57"/>
      <c r="AC390" s="58"/>
      <c r="AD390" s="77"/>
      <c r="AE390" s="120">
        <f>ROUND((ROUND((ROUND((ROUND((_15_同援日１．０*_15・基礎２),0)*_15・２人),0)*(1+_15・盲ろう)),0)*(1+_15・区４)),0)+ROUND((ROUND((ROUND((ROUND((ROUND((_15_同援日１．０＿１．５*_15・基礎２),0)*_15・２人),0)*(1+_15・B夜間)),0)*(1+_15・盲ろう)),0)*(1+_15・区４)),0)+ROUND((ROUND((ROUND((ROUND((ROUND((_15_同援日１．０＿１．５＿０．５*_15・基礎２),0)*_15・２人),0)*(1+_15・C深夜)),0)*(1+_15・盲ろう)),0)*(1+_15・区４)),0)</f>
        <v>1116</v>
      </c>
      <c r="AF390" s="69"/>
    </row>
    <row r="391" spans="1:32" ht="16.5" customHeight="1" x14ac:dyDescent="0.3">
      <c r="A391" s="2">
        <v>15</v>
      </c>
      <c r="B391" s="2" t="s">
        <v>1867</v>
      </c>
      <c r="C391" s="60" t="s">
        <v>12018</v>
      </c>
      <c r="D391" s="233" t="s">
        <v>18157</v>
      </c>
      <c r="E391" s="235"/>
      <c r="F391" s="75"/>
      <c r="G391" s="233" t="s">
        <v>6043</v>
      </c>
      <c r="H391" s="62"/>
      <c r="I391" s="75"/>
      <c r="J391" s="74" t="s">
        <v>17867</v>
      </c>
      <c r="K391" s="62"/>
      <c r="L391" s="75"/>
      <c r="M391" s="74"/>
      <c r="N391" s="62"/>
      <c r="O391" s="63"/>
      <c r="P391" s="83"/>
      <c r="Q391" s="64"/>
      <c r="R391" s="65"/>
      <c r="S391" s="99"/>
      <c r="T391" s="70"/>
      <c r="U391" s="99"/>
      <c r="V391" s="70"/>
      <c r="W391" s="74"/>
      <c r="X391" s="62"/>
      <c r="Y391" s="63"/>
      <c r="Z391" s="75"/>
      <c r="AA391" s="74"/>
      <c r="AB391" s="62"/>
      <c r="AC391" s="63"/>
      <c r="AD391" s="75"/>
      <c r="AE391" s="228">
        <f>_15_同援日１．５+ROUND((_15_同援日１．５＿０．５*(1+_15・B夜間)),0)+ROUND((_15_同援日１．５＿０．５＿０．５*(1+_15・C深夜)),0)</f>
        <v>596</v>
      </c>
      <c r="AF391" s="69"/>
    </row>
    <row r="392" spans="1:32" ht="16.5" customHeight="1" x14ac:dyDescent="0.3">
      <c r="A392" s="2">
        <v>15</v>
      </c>
      <c r="B392" s="2" t="s">
        <v>1868</v>
      </c>
      <c r="C392" s="60" t="s">
        <v>12017</v>
      </c>
      <c r="D392" s="1" t="s">
        <v>18156</v>
      </c>
      <c r="E392" s="68"/>
      <c r="F392" s="70"/>
      <c r="G392" s="1" t="s">
        <v>7928</v>
      </c>
      <c r="H392" s="68"/>
      <c r="I392" s="70"/>
      <c r="J392" s="1" t="s">
        <v>7928</v>
      </c>
      <c r="K392" s="68"/>
      <c r="L392" s="70"/>
      <c r="M392" s="81"/>
      <c r="N392" s="57"/>
      <c r="O392" s="58"/>
      <c r="P392" s="83" t="s">
        <v>5895</v>
      </c>
      <c r="Q392" s="64" t="s">
        <v>1</v>
      </c>
      <c r="R392" s="65">
        <v>1</v>
      </c>
      <c r="S392" s="99"/>
      <c r="T392" s="70"/>
      <c r="U392" s="99"/>
      <c r="V392" s="70"/>
      <c r="W392" s="1"/>
      <c r="X392" s="68"/>
      <c r="Y392" s="76"/>
      <c r="Z392" s="70"/>
      <c r="AA392" s="1"/>
      <c r="AB392" s="68"/>
      <c r="AC392" s="76"/>
      <c r="AD392" s="70"/>
      <c r="AE392" s="228">
        <f>ROUND((_15_同援日１．５*_15・２人),0)+ROUND((ROUND((_15_同援日１．５＿０．５*_15・２人),0)*(1+_15・B夜間)),0)+ROUND((ROUND((_15_同援日１．５＿０．５＿０．５*_15・２人),0)*(1+_15・C深夜)),0)</f>
        <v>596</v>
      </c>
      <c r="AF392" s="69"/>
    </row>
    <row r="393" spans="1:32" ht="16.5" customHeight="1" x14ac:dyDescent="0.3">
      <c r="A393" s="2">
        <v>15</v>
      </c>
      <c r="B393" s="2" t="s">
        <v>1869</v>
      </c>
      <c r="C393" s="60" t="s">
        <v>12016</v>
      </c>
      <c r="D393" s="1" t="s">
        <v>8767</v>
      </c>
      <c r="E393" s="68"/>
      <c r="F393" s="70"/>
      <c r="G393" s="1"/>
      <c r="H393" s="68"/>
      <c r="I393" s="70"/>
      <c r="J393" s="1"/>
      <c r="K393" s="68"/>
      <c r="L393" s="70"/>
      <c r="M393" s="74" t="s">
        <v>5898</v>
      </c>
      <c r="N393" s="62"/>
      <c r="O393" s="63"/>
      <c r="P393" s="83"/>
      <c r="Q393" s="64"/>
      <c r="R393" s="65"/>
      <c r="S393" s="99"/>
      <c r="T393" s="70"/>
      <c r="U393" s="99"/>
      <c r="V393" s="70"/>
      <c r="W393" s="1"/>
      <c r="X393" s="68"/>
      <c r="Y393" s="76"/>
      <c r="Z393" s="70"/>
      <c r="AA393" s="1"/>
      <c r="AB393" s="68"/>
      <c r="AC393" s="76"/>
      <c r="AD393" s="70"/>
      <c r="AE393" s="228">
        <f>ROUND((_15_同援日１．５*_15・基礎２),0)+ROUND((ROUND((_15_同援日１．５＿０．５*_15・基礎２),0)*(1+_15・B夜間)),0)+ROUND((ROUND((_15_同援日１．５＿０．５＿０．５*_15・基礎２),0)*(1+_15・C深夜)),0)</f>
        <v>538</v>
      </c>
      <c r="AF393" s="69"/>
    </row>
    <row r="394" spans="1:32" ht="16.5" customHeight="1" x14ac:dyDescent="0.3">
      <c r="A394" s="2">
        <v>15</v>
      </c>
      <c r="B394" s="2" t="s">
        <v>1870</v>
      </c>
      <c r="C394" s="60" t="s">
        <v>12015</v>
      </c>
      <c r="D394" s="1"/>
      <c r="E394" s="227">
        <v>421</v>
      </c>
      <c r="F394" s="70" t="s">
        <v>0</v>
      </c>
      <c r="G394" s="1"/>
      <c r="H394" s="119">
        <v>64</v>
      </c>
      <c r="I394" s="70" t="s">
        <v>0</v>
      </c>
      <c r="J394" s="1"/>
      <c r="K394" s="119">
        <v>63</v>
      </c>
      <c r="L394" s="70" t="s">
        <v>0</v>
      </c>
      <c r="M394" s="81" t="s">
        <v>5896</v>
      </c>
      <c r="N394" s="57" t="s">
        <v>1</v>
      </c>
      <c r="O394" s="58">
        <v>0.9</v>
      </c>
      <c r="P394" s="83" t="s">
        <v>5895</v>
      </c>
      <c r="Q394" s="64" t="s">
        <v>1</v>
      </c>
      <c r="R394" s="65">
        <v>1</v>
      </c>
      <c r="S394" s="99"/>
      <c r="T394" s="70"/>
      <c r="U394" s="99"/>
      <c r="V394" s="70"/>
      <c r="W394" s="81"/>
      <c r="X394" s="57"/>
      <c r="Y394" s="58"/>
      <c r="Z394" s="77"/>
      <c r="AA394" s="1"/>
      <c r="AB394" s="68"/>
      <c r="AC394" s="76"/>
      <c r="AD394" s="70"/>
      <c r="AE394" s="228">
        <f>ROUND((ROUND((_15_同援日１．５*_15・基礎２),0)*_15・２人),0)+ROUND((ROUND((ROUND((_15_同援日１．５＿０．５*_15・基礎２),0)*_15・２人),0)*(1+_15・B夜間)),0)+ROUND((ROUND((ROUND((_15_同援日１．５＿０．５＿０．５*_15・基礎２),0)*_15・２人),0)*(1+_15・C深夜)),0)</f>
        <v>538</v>
      </c>
      <c r="AF394" s="69"/>
    </row>
    <row r="395" spans="1:32" ht="16.5" customHeight="1" x14ac:dyDescent="0.3">
      <c r="A395" s="2">
        <v>15</v>
      </c>
      <c r="B395" s="2" t="s">
        <v>1871</v>
      </c>
      <c r="C395" s="60" t="s">
        <v>12014</v>
      </c>
      <c r="D395" s="1"/>
      <c r="E395" s="68"/>
      <c r="F395" s="70"/>
      <c r="G395" s="1"/>
      <c r="H395" s="68"/>
      <c r="I395" s="70"/>
      <c r="J395" s="1"/>
      <c r="K395" s="68"/>
      <c r="L395" s="70"/>
      <c r="M395" s="74"/>
      <c r="N395" s="62"/>
      <c r="O395" s="63"/>
      <c r="P395" s="83"/>
      <c r="Q395" s="64"/>
      <c r="R395" s="65"/>
      <c r="S395" s="99"/>
      <c r="T395" s="70"/>
      <c r="U395" s="99"/>
      <c r="V395" s="70"/>
      <c r="W395" s="74" t="s">
        <v>8085</v>
      </c>
      <c r="X395" s="62"/>
      <c r="Y395" s="63"/>
      <c r="Z395" s="75"/>
      <c r="AA395" s="1"/>
      <c r="AB395" s="68"/>
      <c r="AC395" s="76"/>
      <c r="AD395" s="70"/>
      <c r="AE395" s="228">
        <f>ROUND((_15_同援日１．５*(1+_15・盲ろう)),0)+ROUND((ROUND((_15_同援日１．５＿０．５*(1+_15・B夜間)),0)*(1+_15・盲ろう)),0)+ROUND((ROUND((_15_同援日１．５＿０．５＿０．５*(1+_15・C深夜)),0)*(1+_15・盲ろう)),0)</f>
        <v>745</v>
      </c>
      <c r="AF395" s="69"/>
    </row>
    <row r="396" spans="1:32" ht="16.5" customHeight="1" x14ac:dyDescent="0.3">
      <c r="A396" s="2">
        <v>15</v>
      </c>
      <c r="B396" s="2" t="s">
        <v>1872</v>
      </c>
      <c r="C396" s="60" t="s">
        <v>12013</v>
      </c>
      <c r="D396" s="1"/>
      <c r="E396" s="68"/>
      <c r="F396" s="70"/>
      <c r="G396" s="1"/>
      <c r="H396" s="68"/>
      <c r="I396" s="70"/>
      <c r="J396" s="1"/>
      <c r="K396" s="68"/>
      <c r="L396" s="70"/>
      <c r="M396" s="81"/>
      <c r="N396" s="57"/>
      <c r="O396" s="58"/>
      <c r="P396" s="83" t="s">
        <v>5895</v>
      </c>
      <c r="Q396" s="64" t="s">
        <v>1</v>
      </c>
      <c r="R396" s="65">
        <v>1</v>
      </c>
      <c r="S396" s="99"/>
      <c r="T396" s="70"/>
      <c r="U396" s="99"/>
      <c r="V396" s="70"/>
      <c r="W396" s="1" t="s">
        <v>17973</v>
      </c>
      <c r="X396" s="68"/>
      <c r="Y396" s="76"/>
      <c r="Z396" s="70"/>
      <c r="AA396" s="1"/>
      <c r="AB396" s="68"/>
      <c r="AC396" s="76"/>
      <c r="AD396" s="70"/>
      <c r="AE396" s="228">
        <f>ROUND((ROUND((_15_同援日１．５*_15・２人),0)*(1+_15・盲ろう)),0)+ROUND((ROUND((ROUND((_15_同援日１．５＿０．５*_15・２人),0)*(1+_15・B夜間)),0)*(1+_15・盲ろう)),0)+ROUND((ROUND((ROUND((_15_同援日１．５＿０．５＿０．５*_15・２人),0)*(1+_15・C深夜)),0)*(1+_15・盲ろう)),0)</f>
        <v>745</v>
      </c>
      <c r="AF396" s="69"/>
    </row>
    <row r="397" spans="1:32" ht="16.5" customHeight="1" x14ac:dyDescent="0.3">
      <c r="A397" s="2">
        <v>15</v>
      </c>
      <c r="B397" s="2" t="s">
        <v>1873</v>
      </c>
      <c r="C397" s="60" t="s">
        <v>12012</v>
      </c>
      <c r="D397" s="1"/>
      <c r="E397" s="68"/>
      <c r="F397" s="70"/>
      <c r="G397" s="1"/>
      <c r="H397" s="68"/>
      <c r="I397" s="70"/>
      <c r="J397" s="1"/>
      <c r="K397" s="68"/>
      <c r="L397" s="70"/>
      <c r="M397" s="74" t="s">
        <v>5898</v>
      </c>
      <c r="N397" s="62"/>
      <c r="O397" s="63"/>
      <c r="P397" s="83"/>
      <c r="Q397" s="64"/>
      <c r="R397" s="65"/>
      <c r="S397" s="99"/>
      <c r="T397" s="70"/>
      <c r="U397" s="99"/>
      <c r="V397" s="70"/>
      <c r="W397" s="1"/>
      <c r="X397" s="68" t="s">
        <v>1</v>
      </c>
      <c r="Y397" s="76">
        <v>0.25</v>
      </c>
      <c r="Z397" s="70" t="s">
        <v>422</v>
      </c>
      <c r="AA397" s="1"/>
      <c r="AB397" s="68"/>
      <c r="AC397" s="76"/>
      <c r="AD397" s="70"/>
      <c r="AE397" s="228">
        <f>ROUND((ROUND((_15_同援日１．５*_15・基礎２),0)*(1+_15・盲ろう)),0)+ROUND((ROUND((ROUND((_15_同援日１．５＿０．５*_15・基礎２),0)*(1+_15・B夜間)),0)*(1+_15・盲ろう)),0)+ROUND((ROUND((ROUND((_15_同援日１．５＿０．５＿０．５*_15・基礎２),0)*(1+_15・C深夜)),0)*(1+_15・盲ろう)),0)</f>
        <v>673</v>
      </c>
      <c r="AF397" s="69"/>
    </row>
    <row r="398" spans="1:32" ht="16.5" customHeight="1" x14ac:dyDescent="0.3">
      <c r="A398" s="2">
        <v>15</v>
      </c>
      <c r="B398" s="2" t="s">
        <v>1874</v>
      </c>
      <c r="C398" s="60" t="s">
        <v>12011</v>
      </c>
      <c r="D398" s="1"/>
      <c r="E398" s="68"/>
      <c r="F398" s="70"/>
      <c r="G398" s="1"/>
      <c r="H398" s="68"/>
      <c r="I398" s="70"/>
      <c r="J398" s="1"/>
      <c r="K398" s="68"/>
      <c r="L398" s="70"/>
      <c r="M398" s="81" t="s">
        <v>17864</v>
      </c>
      <c r="N398" s="57" t="s">
        <v>1</v>
      </c>
      <c r="O398" s="58">
        <v>0.9</v>
      </c>
      <c r="P398" s="83" t="s">
        <v>5895</v>
      </c>
      <c r="Q398" s="64" t="s">
        <v>1</v>
      </c>
      <c r="R398" s="65">
        <v>1</v>
      </c>
      <c r="S398" s="99"/>
      <c r="T398" s="70"/>
      <c r="U398" s="99"/>
      <c r="V398" s="70"/>
      <c r="W398" s="81"/>
      <c r="X398" s="57"/>
      <c r="Y398" s="58"/>
      <c r="Z398" s="77"/>
      <c r="AA398" s="81"/>
      <c r="AB398" s="57"/>
      <c r="AC398" s="58"/>
      <c r="AD398" s="77"/>
      <c r="AE398" s="228">
        <f>ROUND((ROUND((ROUND((_15_同援日１．５*_15・基礎２),0)*_15・２人),0)*(1+_15・盲ろう)),0)+ROUND((ROUND((ROUND((ROUND((_15_同援日１．５＿０．５*_15・基礎２),0)*_15・２人),0)*(1+_15・B夜間)),0)*(1+_15・盲ろう)),0)+ROUND((ROUND((ROUND((ROUND((_15_同援日１．５＿０．５＿０．５*_15・基礎２),0)*_15・２人),0)*(1+_15・C深夜)),0)*(1+_15・盲ろう)),0)</f>
        <v>673</v>
      </c>
      <c r="AF398" s="69"/>
    </row>
    <row r="399" spans="1:32" ht="16.5" customHeight="1" x14ac:dyDescent="0.3">
      <c r="A399" s="2">
        <v>15</v>
      </c>
      <c r="B399" s="2" t="s">
        <v>1875</v>
      </c>
      <c r="C399" s="60" t="s">
        <v>12010</v>
      </c>
      <c r="D399" s="1"/>
      <c r="E399" s="68"/>
      <c r="F399" s="70"/>
      <c r="G399" s="1"/>
      <c r="H399" s="68"/>
      <c r="I399" s="70"/>
      <c r="J399" s="1"/>
      <c r="K399" s="68"/>
      <c r="L399" s="70"/>
      <c r="M399" s="74"/>
      <c r="N399" s="62"/>
      <c r="O399" s="63"/>
      <c r="P399" s="83"/>
      <c r="Q399" s="64"/>
      <c r="R399" s="65"/>
      <c r="S399" s="99"/>
      <c r="T399" s="70"/>
      <c r="U399" s="99"/>
      <c r="V399" s="70"/>
      <c r="W399" s="74"/>
      <c r="X399" s="62"/>
      <c r="Y399" s="63"/>
      <c r="Z399" s="75"/>
      <c r="AA399" s="74"/>
      <c r="AB399" s="62"/>
      <c r="AC399" s="63"/>
      <c r="AD399" s="75"/>
      <c r="AE399" s="228">
        <f>ROUND((_15_同援日１．５*(1+_15・区３)),0)+ROUND((ROUND((_15_同援日１．５＿０．５*(1+_15・B夜間)),0)*(1+_15・区３)),0)+ROUND((ROUND((_15_同援日１．５＿０．５＿０．５*(1+_15・C深夜)),0)*(1+_15・区３)),0)</f>
        <v>715</v>
      </c>
      <c r="AF399" s="69"/>
    </row>
    <row r="400" spans="1:32" ht="16.5" customHeight="1" x14ac:dyDescent="0.3">
      <c r="A400" s="2">
        <v>15</v>
      </c>
      <c r="B400" s="2" t="s">
        <v>1876</v>
      </c>
      <c r="C400" s="60" t="s">
        <v>12009</v>
      </c>
      <c r="D400" s="1"/>
      <c r="E400" s="68"/>
      <c r="F400" s="70"/>
      <c r="G400" s="1"/>
      <c r="H400" s="68"/>
      <c r="I400" s="70"/>
      <c r="J400" s="1"/>
      <c r="K400" s="68"/>
      <c r="L400" s="70"/>
      <c r="M400" s="81"/>
      <c r="N400" s="57"/>
      <c r="O400" s="58"/>
      <c r="P400" s="83" t="s">
        <v>5895</v>
      </c>
      <c r="Q400" s="64" t="s">
        <v>1</v>
      </c>
      <c r="R400" s="65">
        <v>1</v>
      </c>
      <c r="S400" s="99"/>
      <c r="T400" s="70"/>
      <c r="U400" s="99"/>
      <c r="V400" s="70"/>
      <c r="W400" s="1"/>
      <c r="X400" s="68"/>
      <c r="Y400" s="76"/>
      <c r="Z400" s="70"/>
      <c r="AA400" s="1"/>
      <c r="AB400" s="68"/>
      <c r="AC400" s="76"/>
      <c r="AD400" s="70"/>
      <c r="AE400" s="228">
        <f>ROUND((ROUND((_15_同援日１．５*_15・２人),0)*(1+_15・区３)),0)+ROUND((ROUND((ROUND((_15_同援日１．５＿０．５*_15・２人),0)*(1+_15・B夜間)),0)*(1+_15・区３)),0)+ROUND((ROUND((ROUND((_15_同援日１．５＿０．５＿０．５*_15・２人),0)*(1+_15・C深夜)),0)*(1+_15・区３)),0)</f>
        <v>715</v>
      </c>
      <c r="AF400" s="69"/>
    </row>
    <row r="401" spans="1:32" ht="16.5" customHeight="1" x14ac:dyDescent="0.3">
      <c r="A401" s="2">
        <v>15</v>
      </c>
      <c r="B401" s="2" t="s">
        <v>1877</v>
      </c>
      <c r="C401" s="60" t="s">
        <v>12008</v>
      </c>
      <c r="D401" s="1"/>
      <c r="E401" s="68"/>
      <c r="F401" s="70"/>
      <c r="G401" s="1"/>
      <c r="H401" s="68"/>
      <c r="I401" s="70"/>
      <c r="J401" s="1"/>
      <c r="K401" s="68"/>
      <c r="L401" s="70"/>
      <c r="M401" s="74" t="s">
        <v>17972</v>
      </c>
      <c r="N401" s="62"/>
      <c r="O401" s="63"/>
      <c r="P401" s="83"/>
      <c r="Q401" s="64"/>
      <c r="R401" s="65"/>
      <c r="S401" s="99"/>
      <c r="T401" s="70"/>
      <c r="U401" s="99"/>
      <c r="V401" s="70"/>
      <c r="W401" s="1"/>
      <c r="X401" s="68"/>
      <c r="Y401" s="76"/>
      <c r="Z401" s="70"/>
      <c r="AA401" s="1" t="s">
        <v>8098</v>
      </c>
      <c r="AB401" s="68"/>
      <c r="AC401" s="76"/>
      <c r="AD401" s="70"/>
      <c r="AE401" s="228">
        <f>ROUND((ROUND((_15_同援日１．５*_15・基礎２),0)*(1+_15・区３)),0)+ROUND((ROUND((ROUND((_15_同援日１．５＿０．５*_15・基礎２),0)*(1+_15・B夜間)),0)*(1+_15・区３)),0)+ROUND((ROUND((ROUND((_15_同援日１．５＿０．５＿０．５*_15・基礎２),0)*(1+_15・C深夜)),0)*(1+_15・区３)),0)</f>
        <v>646</v>
      </c>
      <c r="AF401" s="69"/>
    </row>
    <row r="402" spans="1:32" ht="16.5" customHeight="1" x14ac:dyDescent="0.3">
      <c r="A402" s="2">
        <v>15</v>
      </c>
      <c r="B402" s="2" t="s">
        <v>1878</v>
      </c>
      <c r="C402" s="60" t="s">
        <v>12007</v>
      </c>
      <c r="D402" s="1"/>
      <c r="E402" s="68"/>
      <c r="F402" s="70"/>
      <c r="G402" s="1"/>
      <c r="H402" s="68"/>
      <c r="I402" s="70"/>
      <c r="J402" s="1"/>
      <c r="K402" s="68"/>
      <c r="L402" s="70"/>
      <c r="M402" s="81" t="s">
        <v>17864</v>
      </c>
      <c r="N402" s="57" t="s">
        <v>1</v>
      </c>
      <c r="O402" s="58">
        <v>0.9</v>
      </c>
      <c r="P402" s="83" t="s">
        <v>5895</v>
      </c>
      <c r="Q402" s="64" t="s">
        <v>1</v>
      </c>
      <c r="R402" s="65">
        <v>1</v>
      </c>
      <c r="S402" s="99"/>
      <c r="T402" s="70"/>
      <c r="U402" s="99"/>
      <c r="V402" s="70"/>
      <c r="W402" s="81"/>
      <c r="X402" s="57"/>
      <c r="Y402" s="58"/>
      <c r="Z402" s="77"/>
      <c r="AA402" s="1" t="s">
        <v>8087</v>
      </c>
      <c r="AB402" s="68"/>
      <c r="AC402" s="76"/>
      <c r="AD402" s="70"/>
      <c r="AE402" s="228">
        <f>ROUND((ROUND((ROUND((_15_同援日１．５*_15・基礎２),0)*_15・２人),0)*(1+_15・区３)),0)+ROUND((ROUND((ROUND((ROUND((_15_同援日１．５＿０．５*_15・基礎２),0)*_15・２人),0)*(1+_15・B夜間)),0)*(1+_15・区３)),0)+ROUND((ROUND((ROUND((ROUND((_15_同援日１．５＿０．５＿０．５*_15・基礎２),0)*_15・２人),0)*(1+_15・C深夜)),0)*(1+_15・区３)),0)</f>
        <v>646</v>
      </c>
      <c r="AF402" s="69"/>
    </row>
    <row r="403" spans="1:32" ht="16.5" customHeight="1" x14ac:dyDescent="0.3">
      <c r="A403" s="2">
        <v>15</v>
      </c>
      <c r="B403" s="2" t="s">
        <v>1879</v>
      </c>
      <c r="C403" s="60" t="s">
        <v>12006</v>
      </c>
      <c r="D403" s="1"/>
      <c r="E403" s="68"/>
      <c r="F403" s="70"/>
      <c r="G403" s="1"/>
      <c r="H403" s="68"/>
      <c r="I403" s="70"/>
      <c r="J403" s="1"/>
      <c r="K403" s="68"/>
      <c r="L403" s="70"/>
      <c r="M403" s="74"/>
      <c r="N403" s="62"/>
      <c r="O403" s="63"/>
      <c r="P403" s="83"/>
      <c r="Q403" s="64"/>
      <c r="R403" s="65"/>
      <c r="S403" s="99"/>
      <c r="T403" s="70"/>
      <c r="U403" s="99"/>
      <c r="V403" s="70"/>
      <c r="W403" s="74" t="s">
        <v>17987</v>
      </c>
      <c r="X403" s="62"/>
      <c r="Y403" s="63"/>
      <c r="Z403" s="75"/>
      <c r="AA403" s="1"/>
      <c r="AB403" s="68" t="s">
        <v>1</v>
      </c>
      <c r="AC403" s="76">
        <v>0.2</v>
      </c>
      <c r="AD403" s="70" t="s">
        <v>422</v>
      </c>
      <c r="AE403" s="228">
        <f>ROUND((ROUND((_15_同援日１．５*(1+_15・盲ろう)),0)*(1+_15・区３)),0)+ROUND((ROUND((ROUND((_15_同援日１．５＿０．５*(1+_15・B夜間)),0)*(1+_15・盲ろう)),0)*(1+_15・区３)),0)+ROUND((ROUND((ROUND((_15_同援日１．５＿０．５＿０．５*(1+_15・C深夜)),0)*(1+_15・盲ろう)),0)*(1+_15・区３)),0)</f>
        <v>894</v>
      </c>
      <c r="AF403" s="69"/>
    </row>
    <row r="404" spans="1:32" ht="16.5" customHeight="1" x14ac:dyDescent="0.3">
      <c r="A404" s="2">
        <v>15</v>
      </c>
      <c r="B404" s="2" t="s">
        <v>1880</v>
      </c>
      <c r="C404" s="60" t="s">
        <v>12005</v>
      </c>
      <c r="D404" s="1"/>
      <c r="E404" s="68"/>
      <c r="F404" s="70"/>
      <c r="G404" s="1"/>
      <c r="H404" s="68"/>
      <c r="I404" s="70"/>
      <c r="J404" s="1"/>
      <c r="K404" s="68"/>
      <c r="L404" s="70"/>
      <c r="M404" s="81"/>
      <c r="N404" s="57"/>
      <c r="O404" s="58"/>
      <c r="P404" s="83" t="s">
        <v>5895</v>
      </c>
      <c r="Q404" s="64" t="s">
        <v>1</v>
      </c>
      <c r="R404" s="65">
        <v>1</v>
      </c>
      <c r="S404" s="99"/>
      <c r="T404" s="70"/>
      <c r="U404" s="99"/>
      <c r="V404" s="70"/>
      <c r="W404" s="1" t="s">
        <v>8083</v>
      </c>
      <c r="X404" s="68"/>
      <c r="Y404" s="76"/>
      <c r="Z404" s="70"/>
      <c r="AA404" s="1"/>
      <c r="AB404" s="68"/>
      <c r="AC404" s="76"/>
      <c r="AD404" s="70"/>
      <c r="AE404" s="228">
        <f>ROUND((ROUND((ROUND((_15_同援日１．５*_15・２人),0)*(1+_15・盲ろう)),0)*(1+_15・区３)),0)+ROUND((ROUND((ROUND((ROUND((_15_同援日１．５＿０．５*_15・２人),0)*(1+_15・B夜間)),0)*(1+_15・盲ろう)),0)*(1+_15・区３)),0)+ROUND((ROUND((ROUND((ROUND((_15_同援日１．５＿０．５＿０．５*_15・２人),0)*(1+_15・C深夜)),0)*(1+_15・盲ろう)),0)*(1+_15・区３)),0)</f>
        <v>894</v>
      </c>
      <c r="AF404" s="69"/>
    </row>
    <row r="405" spans="1:32" ht="16.5" customHeight="1" x14ac:dyDescent="0.3">
      <c r="A405" s="2">
        <v>15</v>
      </c>
      <c r="B405" s="2" t="s">
        <v>1881</v>
      </c>
      <c r="C405" s="60" t="s">
        <v>12004</v>
      </c>
      <c r="D405" s="1"/>
      <c r="E405" s="68"/>
      <c r="F405" s="70"/>
      <c r="G405" s="1"/>
      <c r="H405" s="68"/>
      <c r="I405" s="70"/>
      <c r="J405" s="1"/>
      <c r="K405" s="68"/>
      <c r="L405" s="70"/>
      <c r="M405" s="74" t="s">
        <v>17972</v>
      </c>
      <c r="N405" s="62"/>
      <c r="O405" s="63"/>
      <c r="P405" s="83"/>
      <c r="Q405" s="64"/>
      <c r="R405" s="65"/>
      <c r="S405" s="99"/>
      <c r="T405" s="70"/>
      <c r="U405" s="99"/>
      <c r="V405" s="70"/>
      <c r="W405" s="1"/>
      <c r="X405" s="68" t="s">
        <v>1</v>
      </c>
      <c r="Y405" s="76">
        <v>0.25</v>
      </c>
      <c r="Z405" s="70" t="s">
        <v>422</v>
      </c>
      <c r="AA405" s="1"/>
      <c r="AB405" s="68"/>
      <c r="AC405" s="76"/>
      <c r="AD405" s="70"/>
      <c r="AE405" s="228">
        <f>ROUND((ROUND((ROUND((_15_同援日１．５*_15・基礎２),0)*(1+_15・盲ろう)),0)*(1+_15・区３)),0)+ROUND((ROUND((ROUND((ROUND((_15_同援日１．５＿０．５*_15・基礎２),0)*(1+_15・B夜間)),0)*(1+_15・盲ろう)),0)*(1+_15・区３)),0)+ROUND((ROUND((ROUND((ROUND((_15_同援日１．５＿０．５＿０．５*_15・基礎２),0)*(1+_15・C深夜)),0)*(1+_15・盲ろう)),0)*(1+_15・区３)),0)</f>
        <v>808</v>
      </c>
      <c r="AF405" s="69"/>
    </row>
    <row r="406" spans="1:32" ht="16.5" customHeight="1" x14ac:dyDescent="0.3">
      <c r="A406" s="2">
        <v>15</v>
      </c>
      <c r="B406" s="2" t="s">
        <v>1882</v>
      </c>
      <c r="C406" s="60" t="s">
        <v>12003</v>
      </c>
      <c r="D406" s="1"/>
      <c r="E406" s="68"/>
      <c r="F406" s="70"/>
      <c r="G406" s="1"/>
      <c r="H406" s="68"/>
      <c r="I406" s="70"/>
      <c r="J406" s="1"/>
      <c r="K406" s="68"/>
      <c r="L406" s="70"/>
      <c r="M406" s="81" t="s">
        <v>5896</v>
      </c>
      <c r="N406" s="57" t="s">
        <v>1</v>
      </c>
      <c r="O406" s="58">
        <v>0.9</v>
      </c>
      <c r="P406" s="83" t="s">
        <v>5895</v>
      </c>
      <c r="Q406" s="64" t="s">
        <v>1</v>
      </c>
      <c r="R406" s="65">
        <v>1</v>
      </c>
      <c r="S406" s="99"/>
      <c r="T406" s="70"/>
      <c r="U406" s="99"/>
      <c r="V406" s="70"/>
      <c r="W406" s="81"/>
      <c r="X406" s="57"/>
      <c r="Y406" s="58"/>
      <c r="Z406" s="77"/>
      <c r="AA406" s="81"/>
      <c r="AB406" s="57"/>
      <c r="AC406" s="58"/>
      <c r="AD406" s="77"/>
      <c r="AE406" s="228">
        <f>ROUND((ROUND((ROUND((ROUND((_15_同援日１．５*_15・基礎２),0)*_15・２人),0)*(1+_15・盲ろう)),0)*(1+_15・区３)),0)+ROUND((ROUND((ROUND((ROUND((ROUND((_15_同援日１．５＿０．５*_15・基礎２),0)*_15・２人),0)*(1+_15・B夜間)),0)*(1+_15・盲ろう)),0)*(1+_15・区３)),0)+ROUND((ROUND((ROUND((ROUND((ROUND((_15_同援日１．５＿０．５＿０．５*_15・基礎２),0)*_15・２人),0)*(1+_15・C深夜)),0)*(1+_15・盲ろう)),0)*(1+_15・区３)),0)</f>
        <v>808</v>
      </c>
      <c r="AF406" s="69"/>
    </row>
    <row r="407" spans="1:32" ht="16.5" customHeight="1" x14ac:dyDescent="0.3">
      <c r="A407" s="2">
        <v>15</v>
      </c>
      <c r="B407" s="2" t="s">
        <v>1883</v>
      </c>
      <c r="C407" s="60" t="s">
        <v>12002</v>
      </c>
      <c r="D407" s="1"/>
      <c r="E407" s="68"/>
      <c r="F407" s="70"/>
      <c r="G407" s="1"/>
      <c r="H407" s="68"/>
      <c r="I407" s="70"/>
      <c r="J407" s="1"/>
      <c r="K407" s="68"/>
      <c r="L407" s="70"/>
      <c r="M407" s="74"/>
      <c r="N407" s="62"/>
      <c r="O407" s="63"/>
      <c r="P407" s="83"/>
      <c r="Q407" s="64"/>
      <c r="R407" s="65"/>
      <c r="S407" s="99"/>
      <c r="T407" s="70"/>
      <c r="U407" s="99"/>
      <c r="V407" s="70"/>
      <c r="W407" s="74"/>
      <c r="X407" s="62"/>
      <c r="Y407" s="63"/>
      <c r="Z407" s="75"/>
      <c r="AA407" s="74"/>
      <c r="AB407" s="62"/>
      <c r="AC407" s="63"/>
      <c r="AD407" s="75"/>
      <c r="AE407" s="228">
        <f>ROUND((_15_同援日１．５*(1+_15・区４)),0)+ROUND((ROUND((_15_同援日１．５＿０．５*(1+_15・B夜間)),0)*(1+_15・区４)),0)+ROUND((ROUND((_15_同援日１．５＿０．５＿０．５*(1+_15・C深夜)),0)*(1+_15・区４)),0)</f>
        <v>834</v>
      </c>
      <c r="AF407" s="69"/>
    </row>
    <row r="408" spans="1:32" ht="16.5" customHeight="1" x14ac:dyDescent="0.3">
      <c r="A408" s="2">
        <v>15</v>
      </c>
      <c r="B408" s="2" t="s">
        <v>1884</v>
      </c>
      <c r="C408" s="60" t="s">
        <v>12001</v>
      </c>
      <c r="D408" s="1"/>
      <c r="E408" s="68"/>
      <c r="F408" s="70"/>
      <c r="G408" s="1"/>
      <c r="H408" s="68"/>
      <c r="I408" s="70"/>
      <c r="J408" s="1"/>
      <c r="K408" s="68"/>
      <c r="L408" s="70"/>
      <c r="M408" s="81"/>
      <c r="N408" s="57"/>
      <c r="O408" s="58"/>
      <c r="P408" s="83" t="s">
        <v>5895</v>
      </c>
      <c r="Q408" s="64" t="s">
        <v>1</v>
      </c>
      <c r="R408" s="65">
        <v>1</v>
      </c>
      <c r="S408" s="99"/>
      <c r="T408" s="70"/>
      <c r="U408" s="99"/>
      <c r="V408" s="70"/>
      <c r="W408" s="1"/>
      <c r="X408" s="68"/>
      <c r="Y408" s="76"/>
      <c r="Z408" s="70"/>
      <c r="AA408" s="1"/>
      <c r="AB408" s="68"/>
      <c r="AC408" s="76"/>
      <c r="AD408" s="70"/>
      <c r="AE408" s="228">
        <f>ROUND((ROUND((_15_同援日１．５*_15・２人),0)*(1+_15・区４)),0)+ROUND((ROUND((ROUND((_15_同援日１．５＿０．５*_15・２人),0)*(1+_15・B夜間)),0)*(1+_15・区４)),0)+ROUND((ROUND((ROUND((_15_同援日１．５＿０．５＿０．５*_15・２人),0)*(1+_15・C深夜)),0)*(1+_15・区４)),0)</f>
        <v>834</v>
      </c>
      <c r="AF408" s="69"/>
    </row>
    <row r="409" spans="1:32" ht="16.5" customHeight="1" x14ac:dyDescent="0.3">
      <c r="A409" s="2">
        <v>15</v>
      </c>
      <c r="B409" s="2" t="s">
        <v>1885</v>
      </c>
      <c r="C409" s="60" t="s">
        <v>12000</v>
      </c>
      <c r="D409" s="1"/>
      <c r="E409" s="68"/>
      <c r="F409" s="70"/>
      <c r="G409" s="1"/>
      <c r="H409" s="68"/>
      <c r="I409" s="70"/>
      <c r="J409" s="1"/>
      <c r="K409" s="68"/>
      <c r="L409" s="70"/>
      <c r="M409" s="74" t="s">
        <v>5898</v>
      </c>
      <c r="N409" s="62"/>
      <c r="O409" s="63"/>
      <c r="P409" s="83"/>
      <c r="Q409" s="64"/>
      <c r="R409" s="65"/>
      <c r="S409" s="99"/>
      <c r="T409" s="70"/>
      <c r="U409" s="99"/>
      <c r="V409" s="70"/>
      <c r="W409" s="1"/>
      <c r="X409" s="68"/>
      <c r="Y409" s="76"/>
      <c r="Z409" s="70"/>
      <c r="AA409" s="1" t="s">
        <v>17988</v>
      </c>
      <c r="AB409" s="68"/>
      <c r="AC409" s="76"/>
      <c r="AD409" s="70"/>
      <c r="AE409" s="228">
        <f>ROUND((ROUND((_15_同援日１．５*_15・基礎２),0)*(1+_15・区４)),0)+ROUND((ROUND((ROUND((_15_同援日１．５＿０．５*_15・基礎２),0)*(1+_15・B夜間)),0)*(1+_15・区４)),0)+ROUND((ROUND((ROUND((_15_同援日１．５＿０．５＿０．５*_15・基礎２),0)*(1+_15・C深夜)),0)*(1+_15・区４)),0)</f>
        <v>753</v>
      </c>
      <c r="AF409" s="69"/>
    </row>
    <row r="410" spans="1:32" ht="16.5" customHeight="1" x14ac:dyDescent="0.3">
      <c r="A410" s="2">
        <v>15</v>
      </c>
      <c r="B410" s="2" t="s">
        <v>1886</v>
      </c>
      <c r="C410" s="60" t="s">
        <v>11999</v>
      </c>
      <c r="D410" s="1"/>
      <c r="E410" s="68"/>
      <c r="F410" s="70"/>
      <c r="G410" s="1"/>
      <c r="H410" s="68"/>
      <c r="I410" s="70"/>
      <c r="J410" s="1"/>
      <c r="K410" s="68"/>
      <c r="L410" s="70"/>
      <c r="M410" s="81" t="s">
        <v>17864</v>
      </c>
      <c r="N410" s="57" t="s">
        <v>1</v>
      </c>
      <c r="O410" s="58">
        <v>0.9</v>
      </c>
      <c r="P410" s="83" t="s">
        <v>5895</v>
      </c>
      <c r="Q410" s="64" t="s">
        <v>1</v>
      </c>
      <c r="R410" s="65">
        <v>1</v>
      </c>
      <c r="S410" s="99"/>
      <c r="T410" s="70"/>
      <c r="U410" s="99"/>
      <c r="V410" s="70"/>
      <c r="W410" s="81"/>
      <c r="X410" s="57"/>
      <c r="Y410" s="58"/>
      <c r="Z410" s="77"/>
      <c r="AA410" s="1" t="s">
        <v>8087</v>
      </c>
      <c r="AB410" s="68"/>
      <c r="AC410" s="76"/>
      <c r="AD410" s="70"/>
      <c r="AE410" s="228">
        <f>ROUND((ROUND((ROUND((_15_同援日１．５*_15・基礎２),0)*_15・２人),0)*(1+_15・区４)),0)+ROUND((ROUND((ROUND((ROUND((_15_同援日１．５＿０．５*_15・基礎２),0)*_15・２人),0)*(1+_15・B夜間)),0)*(1+_15・区４)),0)+ROUND((ROUND((ROUND((ROUND((_15_同援日１．５＿０．５＿０．５*_15・基礎２),0)*_15・２人),0)*(1+_15・C深夜)),0)*(1+_15・区４)),0)</f>
        <v>753</v>
      </c>
      <c r="AF410" s="69"/>
    </row>
    <row r="411" spans="1:32" ht="16.5" customHeight="1" x14ac:dyDescent="0.3">
      <c r="A411" s="2">
        <v>15</v>
      </c>
      <c r="B411" s="2" t="s">
        <v>1887</v>
      </c>
      <c r="C411" s="60" t="s">
        <v>11998</v>
      </c>
      <c r="D411" s="1"/>
      <c r="E411" s="68"/>
      <c r="F411" s="70"/>
      <c r="G411" s="1"/>
      <c r="H411" s="68"/>
      <c r="I411" s="70"/>
      <c r="J411" s="1"/>
      <c r="K411" s="68"/>
      <c r="L411" s="70"/>
      <c r="M411" s="74"/>
      <c r="N411" s="62"/>
      <c r="O411" s="63"/>
      <c r="P411" s="83"/>
      <c r="Q411" s="64"/>
      <c r="R411" s="65"/>
      <c r="S411" s="99"/>
      <c r="T411" s="70"/>
      <c r="U411" s="99"/>
      <c r="V411" s="70"/>
      <c r="W411" s="74" t="s">
        <v>8085</v>
      </c>
      <c r="X411" s="62"/>
      <c r="Y411" s="63"/>
      <c r="Z411" s="75"/>
      <c r="AA411" s="1"/>
      <c r="AB411" s="68" t="s">
        <v>1</v>
      </c>
      <c r="AC411" s="76">
        <v>0.4</v>
      </c>
      <c r="AD411" s="70" t="s">
        <v>422</v>
      </c>
      <c r="AE411" s="228">
        <f>ROUND((ROUND((_15_同援日１．５*(1+_15・盲ろう)),0)*(1+_15・区４)),0)+ROUND((ROUND((ROUND((_15_同援日１．５＿０．５*(1+_15・B夜間)),0)*(1+_15・盲ろう)),0)*(1+_15・区４)),0)+ROUND((ROUND((ROUND((_15_同援日１．５＿０．５＿０．５*(1+_15・C深夜)),0)*(1+_15・盲ろう)),0)*(1+_15・区４)),0)</f>
        <v>1043</v>
      </c>
      <c r="AF411" s="69"/>
    </row>
    <row r="412" spans="1:32" ht="16.5" customHeight="1" x14ac:dyDescent="0.3">
      <c r="A412" s="2">
        <v>15</v>
      </c>
      <c r="B412" s="2" t="s">
        <v>1888</v>
      </c>
      <c r="C412" s="60" t="s">
        <v>11997</v>
      </c>
      <c r="D412" s="1"/>
      <c r="E412" s="68"/>
      <c r="F412" s="70"/>
      <c r="G412" s="1"/>
      <c r="H412" s="68"/>
      <c r="I412" s="70"/>
      <c r="J412" s="1"/>
      <c r="K412" s="68"/>
      <c r="L412" s="70"/>
      <c r="M412" s="81"/>
      <c r="N412" s="57"/>
      <c r="O412" s="58"/>
      <c r="P412" s="83" t="s">
        <v>5895</v>
      </c>
      <c r="Q412" s="64" t="s">
        <v>1</v>
      </c>
      <c r="R412" s="65">
        <v>1</v>
      </c>
      <c r="S412" s="99"/>
      <c r="T412" s="70"/>
      <c r="U412" s="99"/>
      <c r="V412" s="70"/>
      <c r="W412" s="1" t="s">
        <v>8083</v>
      </c>
      <c r="X412" s="68"/>
      <c r="Y412" s="76"/>
      <c r="Z412" s="70"/>
      <c r="AA412" s="1"/>
      <c r="AB412" s="68"/>
      <c r="AC412" s="76"/>
      <c r="AD412" s="70"/>
      <c r="AE412" s="228">
        <f>ROUND((ROUND((ROUND((_15_同援日１．５*_15・２人),0)*(1+_15・盲ろう)),0)*(1+_15・区４)),0)+ROUND((ROUND((ROUND((ROUND((_15_同援日１．５＿０．５*_15・２人),0)*(1+_15・B夜間)),0)*(1+_15・盲ろう)),0)*(1+_15・区４)),0)+ROUND((ROUND((ROUND((ROUND((_15_同援日１．５＿０．５＿０．５*_15・２人),0)*(1+_15・C深夜)),0)*(1+_15・盲ろう)),0)*(1+_15・区４)),0)</f>
        <v>1043</v>
      </c>
      <c r="AF412" s="69"/>
    </row>
    <row r="413" spans="1:32" ht="16.5" customHeight="1" x14ac:dyDescent="0.3">
      <c r="A413" s="2">
        <v>15</v>
      </c>
      <c r="B413" s="2" t="s">
        <v>1889</v>
      </c>
      <c r="C413" s="60" t="s">
        <v>11996</v>
      </c>
      <c r="D413" s="1"/>
      <c r="E413" s="68"/>
      <c r="F413" s="70"/>
      <c r="G413" s="1"/>
      <c r="H413" s="68"/>
      <c r="I413" s="70"/>
      <c r="J413" s="1"/>
      <c r="K413" s="68"/>
      <c r="L413" s="70"/>
      <c r="M413" s="74" t="s">
        <v>17972</v>
      </c>
      <c r="N413" s="62"/>
      <c r="O413" s="63"/>
      <c r="P413" s="83"/>
      <c r="Q413" s="64"/>
      <c r="R413" s="65"/>
      <c r="S413" s="99"/>
      <c r="T413" s="70"/>
      <c r="U413" s="99"/>
      <c r="V413" s="70"/>
      <c r="W413" s="1"/>
      <c r="X413" s="68" t="s">
        <v>1</v>
      </c>
      <c r="Y413" s="76">
        <v>0.25</v>
      </c>
      <c r="Z413" s="70" t="s">
        <v>422</v>
      </c>
      <c r="AA413" s="1"/>
      <c r="AB413" s="68"/>
      <c r="AC413" s="76"/>
      <c r="AD413" s="70"/>
      <c r="AE413" s="228">
        <f>ROUND((ROUND((ROUND((_15_同援日１．５*_15・基礎２),0)*(1+_15・盲ろう)),0)*(1+_15・区４)),0)+ROUND((ROUND((ROUND((ROUND((_15_同援日１．５＿０．５*_15・基礎２),0)*(1+_15・B夜間)),0)*(1+_15・盲ろう)),0)*(1+_15・区４)),0)+ROUND((ROUND((ROUND((ROUND((_15_同援日１．５＿０．５＿０．５*_15・基礎２),0)*(1+_15・C深夜)),0)*(1+_15・盲ろう)),0)*(1+_15・区４)),0)</f>
        <v>942</v>
      </c>
      <c r="AF413" s="69"/>
    </row>
    <row r="414" spans="1:32" ht="16.5" customHeight="1" x14ac:dyDescent="0.3">
      <c r="A414" s="2">
        <v>15</v>
      </c>
      <c r="B414" s="2" t="s">
        <v>1890</v>
      </c>
      <c r="C414" s="60" t="s">
        <v>11995</v>
      </c>
      <c r="D414" s="1"/>
      <c r="E414" s="68"/>
      <c r="F414" s="70"/>
      <c r="G414" s="1"/>
      <c r="H414" s="68"/>
      <c r="I414" s="70"/>
      <c r="J414" s="81"/>
      <c r="K414" s="57"/>
      <c r="L414" s="77"/>
      <c r="M414" s="81" t="s">
        <v>17864</v>
      </c>
      <c r="N414" s="57" t="s">
        <v>1</v>
      </c>
      <c r="O414" s="58">
        <v>0.9</v>
      </c>
      <c r="P414" s="83" t="s">
        <v>5895</v>
      </c>
      <c r="Q414" s="64" t="s">
        <v>1</v>
      </c>
      <c r="R414" s="65">
        <v>1</v>
      </c>
      <c r="S414" s="99"/>
      <c r="T414" s="70"/>
      <c r="U414" s="99"/>
      <c r="V414" s="70"/>
      <c r="W414" s="81"/>
      <c r="X414" s="57"/>
      <c r="Y414" s="58"/>
      <c r="Z414" s="77"/>
      <c r="AA414" s="81"/>
      <c r="AB414" s="57"/>
      <c r="AC414" s="58"/>
      <c r="AD414" s="77"/>
      <c r="AE414" s="228">
        <f>ROUND((ROUND((ROUND((ROUND((_15_同援日１．５*_15・基礎２),0)*_15・２人),0)*(1+_15・盲ろう)),0)*(1+_15・区４)),0)+ROUND((ROUND((ROUND((ROUND((ROUND((_15_同援日１．５＿０．５*_15・基礎２),0)*_15・２人),0)*(1+_15・B夜間)),0)*(1+_15・盲ろう)),0)*(1+_15・区４)),0)+ROUND((ROUND((ROUND((ROUND((ROUND((_15_同援日１．５＿０．５＿０．５*_15・基礎２),0)*_15・２人),0)*(1+_15・C深夜)),0)*(1+_15・盲ろう)),0)*(1+_15・区４)),0)</f>
        <v>942</v>
      </c>
      <c r="AF414" s="69"/>
    </row>
    <row r="415" spans="1:32" ht="16.5" customHeight="1" x14ac:dyDescent="0.3">
      <c r="A415" s="2">
        <v>15</v>
      </c>
      <c r="B415" s="2" t="s">
        <v>1891</v>
      </c>
      <c r="C415" s="60" t="s">
        <v>11994</v>
      </c>
      <c r="D415" s="1"/>
      <c r="E415" s="68"/>
      <c r="F415" s="70"/>
      <c r="G415" s="1"/>
      <c r="H415" s="68"/>
      <c r="I415" s="70"/>
      <c r="J415" s="74" t="s">
        <v>6328</v>
      </c>
      <c r="K415" s="62"/>
      <c r="L415" s="75"/>
      <c r="M415" s="74"/>
      <c r="N415" s="62"/>
      <c r="O415" s="63"/>
      <c r="P415" s="83"/>
      <c r="Q415" s="64"/>
      <c r="R415" s="65"/>
      <c r="S415" s="99"/>
      <c r="T415" s="70"/>
      <c r="U415" s="99"/>
      <c r="V415" s="70"/>
      <c r="W415" s="74"/>
      <c r="X415" s="62"/>
      <c r="Y415" s="63"/>
      <c r="Z415" s="75"/>
      <c r="AA415" s="74"/>
      <c r="AB415" s="62"/>
      <c r="AC415" s="63"/>
      <c r="AD415" s="75"/>
      <c r="AE415" s="228">
        <f>_15_同援日１．５+ROUND((_15_同援日１．５＿０．５*(1+_15・B夜間)),0)+ROUND((_15_同援日１．５＿０．５＿１．０*(1+_15・C深夜)),0)</f>
        <v>690</v>
      </c>
      <c r="AF415" s="69"/>
    </row>
    <row r="416" spans="1:32" ht="16.5" customHeight="1" x14ac:dyDescent="0.3">
      <c r="A416" s="2">
        <v>15</v>
      </c>
      <c r="B416" s="2" t="s">
        <v>1892</v>
      </c>
      <c r="C416" s="60" t="s">
        <v>11993</v>
      </c>
      <c r="D416" s="1"/>
      <c r="E416" s="68"/>
      <c r="F416" s="70"/>
      <c r="G416" s="1"/>
      <c r="H416" s="68"/>
      <c r="I416" s="70"/>
      <c r="J416" s="1" t="s">
        <v>5993</v>
      </c>
      <c r="K416" s="68"/>
      <c r="L416" s="70"/>
      <c r="M416" s="81"/>
      <c r="N416" s="57"/>
      <c r="O416" s="58"/>
      <c r="P416" s="83" t="s">
        <v>5895</v>
      </c>
      <c r="Q416" s="64" t="s">
        <v>1</v>
      </c>
      <c r="R416" s="65">
        <v>1</v>
      </c>
      <c r="S416" s="99"/>
      <c r="T416" s="70"/>
      <c r="U416" s="99"/>
      <c r="V416" s="70"/>
      <c r="W416" s="1"/>
      <c r="X416" s="68"/>
      <c r="Y416" s="76"/>
      <c r="Z416" s="70"/>
      <c r="AA416" s="1"/>
      <c r="AB416" s="68"/>
      <c r="AC416" s="76"/>
      <c r="AD416" s="70"/>
      <c r="AE416" s="228">
        <f>ROUND((_15_同援日１．５*_15・２人),0)+ROUND((ROUND((_15_同援日１．５＿０．５*_15・２人),0)*(1+_15・B夜間)),0)+ROUND((ROUND((_15_同援日１．５＿０．５＿１．０*_15・２人),0)*(1+_15・C深夜)),0)</f>
        <v>690</v>
      </c>
      <c r="AF416" s="69"/>
    </row>
    <row r="417" spans="1:32" ht="16.5" customHeight="1" x14ac:dyDescent="0.3">
      <c r="A417" s="2">
        <v>15</v>
      </c>
      <c r="B417" s="2" t="s">
        <v>1893</v>
      </c>
      <c r="C417" s="60" t="s">
        <v>11992</v>
      </c>
      <c r="D417" s="1"/>
      <c r="E417" s="68"/>
      <c r="F417" s="70"/>
      <c r="G417" s="1"/>
      <c r="H417" s="68"/>
      <c r="I417" s="70"/>
      <c r="J417" s="1" t="s">
        <v>8572</v>
      </c>
      <c r="K417" s="68"/>
      <c r="L417" s="70"/>
      <c r="M417" s="74" t="s">
        <v>17972</v>
      </c>
      <c r="N417" s="62"/>
      <c r="O417" s="63"/>
      <c r="P417" s="83"/>
      <c r="Q417" s="64"/>
      <c r="R417" s="65"/>
      <c r="S417" s="99"/>
      <c r="T417" s="70"/>
      <c r="U417" s="99"/>
      <c r="V417" s="70"/>
      <c r="W417" s="1"/>
      <c r="X417" s="68"/>
      <c r="Y417" s="76"/>
      <c r="Z417" s="70"/>
      <c r="AA417" s="1"/>
      <c r="AB417" s="68"/>
      <c r="AC417" s="76"/>
      <c r="AD417" s="70"/>
      <c r="AE417" s="120">
        <f>ROUND((_15_同援日１．５*_15・基礎２),0)+ROUND((ROUND((_15_同援日１．５＿０．５*_15・基礎２),0)*(1+_15・B夜間)),0)+ROUND((ROUND((_15_同援日１．５＿０．５＿１．０*_15・基礎２),0)*(1+_15・C深夜)),0)</f>
        <v>622</v>
      </c>
      <c r="AF417" s="69"/>
    </row>
    <row r="418" spans="1:32" ht="16.5" customHeight="1" x14ac:dyDescent="0.3">
      <c r="A418" s="2">
        <v>15</v>
      </c>
      <c r="B418" s="2" t="s">
        <v>1894</v>
      </c>
      <c r="C418" s="60" t="s">
        <v>11991</v>
      </c>
      <c r="D418" s="1"/>
      <c r="E418" s="68"/>
      <c r="F418" s="70"/>
      <c r="G418" s="1"/>
      <c r="H418" s="68"/>
      <c r="I418" s="70"/>
      <c r="J418" s="1"/>
      <c r="K418" s="227">
        <v>126</v>
      </c>
      <c r="L418" s="70" t="s">
        <v>0</v>
      </c>
      <c r="M418" s="81" t="s">
        <v>17864</v>
      </c>
      <c r="N418" s="57" t="s">
        <v>1</v>
      </c>
      <c r="O418" s="58">
        <v>0.9</v>
      </c>
      <c r="P418" s="83" t="s">
        <v>5895</v>
      </c>
      <c r="Q418" s="64" t="s">
        <v>1</v>
      </c>
      <c r="R418" s="65">
        <v>1</v>
      </c>
      <c r="S418" s="99"/>
      <c r="T418" s="70"/>
      <c r="U418" s="99"/>
      <c r="V418" s="70"/>
      <c r="W418" s="81"/>
      <c r="X418" s="57"/>
      <c r="Y418" s="58"/>
      <c r="Z418" s="77"/>
      <c r="AA418" s="1"/>
      <c r="AB418" s="68"/>
      <c r="AC418" s="76"/>
      <c r="AD418" s="70"/>
      <c r="AE418" s="120">
        <f>ROUND((ROUND((_15_同援日１．５*_15・基礎２),0)*_15・２人),0)+ROUND((ROUND((ROUND((_15_同援日１．５＿０．５*_15・基礎２),0)*_15・２人),0)*(1+_15・B夜間)),0)+ROUND((ROUND((ROUND((_15_同援日１．５＿０．５＿１．０*_15・基礎２),0)*_15・２人),0)*(1+_15・C深夜)),0)</f>
        <v>622</v>
      </c>
      <c r="AF418" s="69"/>
    </row>
    <row r="419" spans="1:32" ht="16.5" customHeight="1" x14ac:dyDescent="0.3">
      <c r="A419" s="2">
        <v>15</v>
      </c>
      <c r="B419" s="2" t="s">
        <v>1895</v>
      </c>
      <c r="C419" s="60" t="s">
        <v>11990</v>
      </c>
      <c r="D419" s="1"/>
      <c r="E419" s="68"/>
      <c r="F419" s="70"/>
      <c r="G419" s="1"/>
      <c r="H419" s="68"/>
      <c r="I419" s="70"/>
      <c r="J419" s="1"/>
      <c r="K419" s="68"/>
      <c r="L419" s="70"/>
      <c r="M419" s="74"/>
      <c r="N419" s="62"/>
      <c r="O419" s="63"/>
      <c r="P419" s="83"/>
      <c r="Q419" s="64"/>
      <c r="R419" s="65"/>
      <c r="S419" s="99"/>
      <c r="T419" s="70"/>
      <c r="U419" s="99"/>
      <c r="V419" s="70"/>
      <c r="W419" s="74" t="s">
        <v>8085</v>
      </c>
      <c r="X419" s="62"/>
      <c r="Y419" s="63"/>
      <c r="Z419" s="75"/>
      <c r="AA419" s="1"/>
      <c r="AB419" s="68"/>
      <c r="AC419" s="76"/>
      <c r="AD419" s="70"/>
      <c r="AE419" s="228">
        <f>ROUND((_15_同援日１．５*(1+_15・盲ろう)),0)+ROUND((ROUND((_15_同援日１．５＿０．５*(1+_15・B夜間)),0)*(1+_15・盲ろう)),0)+ROUND((ROUND((_15_同援日１．５＿０．５＿１．０*(1+_15・C深夜)),0)*(1+_15・盲ろう)),0)</f>
        <v>862</v>
      </c>
      <c r="AF419" s="69"/>
    </row>
    <row r="420" spans="1:32" ht="16.5" customHeight="1" x14ac:dyDescent="0.3">
      <c r="A420" s="2">
        <v>15</v>
      </c>
      <c r="B420" s="2" t="s">
        <v>1896</v>
      </c>
      <c r="C420" s="60" t="s">
        <v>11989</v>
      </c>
      <c r="D420" s="1"/>
      <c r="E420" s="68"/>
      <c r="F420" s="70"/>
      <c r="G420" s="1"/>
      <c r="H420" s="68"/>
      <c r="I420" s="70"/>
      <c r="J420" s="1"/>
      <c r="K420" s="68"/>
      <c r="L420" s="70"/>
      <c r="M420" s="81"/>
      <c r="N420" s="57"/>
      <c r="O420" s="58"/>
      <c r="P420" s="83" t="s">
        <v>5895</v>
      </c>
      <c r="Q420" s="64" t="s">
        <v>1</v>
      </c>
      <c r="R420" s="65">
        <v>1</v>
      </c>
      <c r="S420" s="99"/>
      <c r="T420" s="70"/>
      <c r="U420" s="99"/>
      <c r="V420" s="70"/>
      <c r="W420" s="1" t="s">
        <v>17973</v>
      </c>
      <c r="X420" s="68"/>
      <c r="Y420" s="76"/>
      <c r="Z420" s="70"/>
      <c r="AA420" s="1"/>
      <c r="AB420" s="68"/>
      <c r="AC420" s="76"/>
      <c r="AD420" s="70"/>
      <c r="AE420" s="228">
        <f>ROUND((ROUND((_15_同援日１．５*_15・２人),0)*(1+_15・盲ろう)),0)+ROUND((ROUND((ROUND((_15_同援日１．５＿０．５*_15・２人),0)*(1+_15・B夜間)),0)*(1+_15・盲ろう)),0)+ROUND((ROUND((ROUND((_15_同援日１．５＿０．５＿１．０*_15・２人),0)*(1+_15・C深夜)),0)*(1+_15・盲ろう)),0)</f>
        <v>862</v>
      </c>
      <c r="AF420" s="69"/>
    </row>
    <row r="421" spans="1:32" ht="16.5" customHeight="1" x14ac:dyDescent="0.3">
      <c r="A421" s="2">
        <v>15</v>
      </c>
      <c r="B421" s="2" t="s">
        <v>1897</v>
      </c>
      <c r="C421" s="60" t="s">
        <v>11988</v>
      </c>
      <c r="D421" s="1"/>
      <c r="E421" s="68"/>
      <c r="F421" s="70"/>
      <c r="G421" s="1"/>
      <c r="H421" s="68"/>
      <c r="I421" s="70"/>
      <c r="J421" s="1"/>
      <c r="K421" s="68"/>
      <c r="L421" s="70"/>
      <c r="M421" s="74" t="s">
        <v>17972</v>
      </c>
      <c r="N421" s="62"/>
      <c r="O421" s="63"/>
      <c r="P421" s="83"/>
      <c r="Q421" s="64"/>
      <c r="R421" s="65"/>
      <c r="S421" s="99"/>
      <c r="T421" s="70"/>
      <c r="U421" s="99"/>
      <c r="V421" s="70"/>
      <c r="W421" s="1"/>
      <c r="X421" s="68" t="s">
        <v>1</v>
      </c>
      <c r="Y421" s="76">
        <v>0.25</v>
      </c>
      <c r="Z421" s="70" t="s">
        <v>422</v>
      </c>
      <c r="AA421" s="1"/>
      <c r="AB421" s="68"/>
      <c r="AC421" s="76"/>
      <c r="AD421" s="70"/>
      <c r="AE421" s="120">
        <f>ROUND((ROUND((_15_同援日１．５*_15・基礎２),0)*(1+_15・盲ろう)),0)+ROUND((ROUND((ROUND((_15_同援日１．５＿０．５*_15・基礎２),0)*(1+_15・B夜間)),0)*(1+_15・盲ろう)),0)+ROUND((ROUND((ROUND((_15_同援日１．５＿０．５＿１．０*_15・基礎２),0)*(1+_15・C深夜)),0)*(1+_15・盲ろう)),0)</f>
        <v>778</v>
      </c>
      <c r="AF421" s="69"/>
    </row>
    <row r="422" spans="1:32" ht="16.5" customHeight="1" x14ac:dyDescent="0.3">
      <c r="A422" s="2">
        <v>15</v>
      </c>
      <c r="B422" s="2" t="s">
        <v>1898</v>
      </c>
      <c r="C422" s="60" t="s">
        <v>11987</v>
      </c>
      <c r="D422" s="1"/>
      <c r="E422" s="68"/>
      <c r="F422" s="70"/>
      <c r="G422" s="1"/>
      <c r="H422" s="68"/>
      <c r="I422" s="70"/>
      <c r="J422" s="1"/>
      <c r="K422" s="68"/>
      <c r="L422" s="70"/>
      <c r="M422" s="81" t="s">
        <v>5896</v>
      </c>
      <c r="N422" s="57" t="s">
        <v>1</v>
      </c>
      <c r="O422" s="58">
        <v>0.9</v>
      </c>
      <c r="P422" s="83" t="s">
        <v>5895</v>
      </c>
      <c r="Q422" s="64" t="s">
        <v>1</v>
      </c>
      <c r="R422" s="65">
        <v>1</v>
      </c>
      <c r="S422" s="99"/>
      <c r="T422" s="70"/>
      <c r="U422" s="99"/>
      <c r="V422" s="70"/>
      <c r="W422" s="81"/>
      <c r="X422" s="57"/>
      <c r="Y422" s="58"/>
      <c r="Z422" s="77"/>
      <c r="AA422" s="81"/>
      <c r="AB422" s="57"/>
      <c r="AC422" s="58"/>
      <c r="AD422" s="77"/>
      <c r="AE422" s="120">
        <f>ROUND((ROUND((ROUND((_15_同援日１．５*_15・基礎２),0)*_15・２人),0)*(1+_15・盲ろう)),0)+ROUND((ROUND((ROUND((ROUND((_15_同援日１．５＿０．５*_15・基礎２),0)*_15・２人),0)*(1+_15・B夜間)),0)*(1+_15・盲ろう)),0)+ROUND((ROUND((ROUND((ROUND((_15_同援日１．５＿０．５＿１．０*_15・基礎２),0)*_15・２人),0)*(1+_15・C深夜)),0)*(1+_15・盲ろう)),0)</f>
        <v>778</v>
      </c>
      <c r="AF422" s="69"/>
    </row>
    <row r="423" spans="1:32" ht="16.5" customHeight="1" x14ac:dyDescent="0.3">
      <c r="A423" s="2">
        <v>15</v>
      </c>
      <c r="B423" s="2" t="s">
        <v>1899</v>
      </c>
      <c r="C423" s="60" t="s">
        <v>11986</v>
      </c>
      <c r="D423" s="1"/>
      <c r="E423" s="68"/>
      <c r="F423" s="70"/>
      <c r="G423" s="1"/>
      <c r="H423" s="68"/>
      <c r="I423" s="70"/>
      <c r="J423" s="1"/>
      <c r="K423" s="68"/>
      <c r="L423" s="70"/>
      <c r="M423" s="74"/>
      <c r="N423" s="62"/>
      <c r="O423" s="63"/>
      <c r="P423" s="83"/>
      <c r="Q423" s="64"/>
      <c r="R423" s="65"/>
      <c r="S423" s="99"/>
      <c r="T423" s="70"/>
      <c r="U423" s="99"/>
      <c r="V423" s="70"/>
      <c r="W423" s="74"/>
      <c r="X423" s="62"/>
      <c r="Y423" s="63"/>
      <c r="Z423" s="75"/>
      <c r="AA423" s="74"/>
      <c r="AB423" s="62"/>
      <c r="AC423" s="63"/>
      <c r="AD423" s="75"/>
      <c r="AE423" s="228">
        <f>ROUND((_15_同援日１．５*(1+_15・区３)),0)+ROUND((ROUND((_15_同援日１．５＿０．５*(1+_15・B夜間)),0)*(1+_15・区３)),0)+ROUND((ROUND((_15_同援日１．５＿０．５＿１．０*(1+_15・C深夜)),0)*(1+_15・区３)),0)</f>
        <v>828</v>
      </c>
      <c r="AF423" s="69"/>
    </row>
    <row r="424" spans="1:32" ht="16.5" customHeight="1" x14ac:dyDescent="0.3">
      <c r="A424" s="2">
        <v>15</v>
      </c>
      <c r="B424" s="2" t="s">
        <v>1900</v>
      </c>
      <c r="C424" s="60" t="s">
        <v>11985</v>
      </c>
      <c r="D424" s="1"/>
      <c r="E424" s="68"/>
      <c r="F424" s="70"/>
      <c r="G424" s="1"/>
      <c r="H424" s="68"/>
      <c r="I424" s="70"/>
      <c r="J424" s="1"/>
      <c r="K424" s="68"/>
      <c r="L424" s="70"/>
      <c r="M424" s="81"/>
      <c r="N424" s="57"/>
      <c r="O424" s="58"/>
      <c r="P424" s="83" t="s">
        <v>5895</v>
      </c>
      <c r="Q424" s="64" t="s">
        <v>1</v>
      </c>
      <c r="R424" s="65">
        <v>1</v>
      </c>
      <c r="S424" s="99"/>
      <c r="T424" s="70"/>
      <c r="U424" s="99"/>
      <c r="V424" s="70"/>
      <c r="W424" s="1"/>
      <c r="X424" s="68"/>
      <c r="Y424" s="76"/>
      <c r="Z424" s="70"/>
      <c r="AA424" s="1"/>
      <c r="AB424" s="68"/>
      <c r="AC424" s="76"/>
      <c r="AD424" s="70"/>
      <c r="AE424" s="228">
        <f>ROUND((ROUND((_15_同援日１．５*_15・２人),0)*(1+_15・区３)),0)+ROUND((ROUND((ROUND((_15_同援日１．５＿０．５*_15・２人),0)*(1+_15・B夜間)),0)*(1+_15・区３)),0)+ROUND((ROUND((ROUND((_15_同援日１．５＿０．５＿１．０*_15・２人),0)*(1+_15・C深夜)),0)*(1+_15・区３)),0)</f>
        <v>828</v>
      </c>
      <c r="AF424" s="69"/>
    </row>
    <row r="425" spans="1:32" ht="16.5" customHeight="1" x14ac:dyDescent="0.3">
      <c r="A425" s="2">
        <v>15</v>
      </c>
      <c r="B425" s="2" t="s">
        <v>1901</v>
      </c>
      <c r="C425" s="60" t="s">
        <v>11984</v>
      </c>
      <c r="D425" s="1"/>
      <c r="E425" s="68"/>
      <c r="F425" s="70"/>
      <c r="G425" s="1"/>
      <c r="H425" s="68"/>
      <c r="I425" s="70"/>
      <c r="J425" s="1"/>
      <c r="K425" s="68"/>
      <c r="L425" s="70"/>
      <c r="M425" s="74" t="s">
        <v>17972</v>
      </c>
      <c r="N425" s="62"/>
      <c r="O425" s="63"/>
      <c r="P425" s="83"/>
      <c r="Q425" s="64"/>
      <c r="R425" s="65"/>
      <c r="S425" s="99"/>
      <c r="T425" s="70"/>
      <c r="U425" s="99"/>
      <c r="V425" s="70"/>
      <c r="W425" s="1"/>
      <c r="X425" s="68"/>
      <c r="Y425" s="76"/>
      <c r="Z425" s="70"/>
      <c r="AA425" s="1" t="s">
        <v>17997</v>
      </c>
      <c r="AB425" s="68"/>
      <c r="AC425" s="76"/>
      <c r="AD425" s="70"/>
      <c r="AE425" s="120">
        <f>ROUND((ROUND((_15_同援日１．５*_15・基礎２),0)*(1+_15・区３)),0)+ROUND((ROUND((ROUND((_15_同援日１．５＿０．５*_15・基礎２),0)*(1+_15・B夜間)),0)*(1+_15・区３)),0)+ROUND((ROUND((ROUND((_15_同援日１．５＿０．５＿１．０*_15・基礎２),0)*(1+_15・C深夜)),0)*(1+_15・区３)),0)</f>
        <v>747</v>
      </c>
      <c r="AF425" s="69"/>
    </row>
    <row r="426" spans="1:32" ht="16.5" customHeight="1" x14ac:dyDescent="0.3">
      <c r="A426" s="2">
        <v>15</v>
      </c>
      <c r="B426" s="2" t="s">
        <v>1902</v>
      </c>
      <c r="C426" s="60" t="s">
        <v>11983</v>
      </c>
      <c r="D426" s="1"/>
      <c r="E426" s="68"/>
      <c r="F426" s="70"/>
      <c r="G426" s="1"/>
      <c r="H426" s="68"/>
      <c r="I426" s="70"/>
      <c r="J426" s="1"/>
      <c r="K426" s="68"/>
      <c r="L426" s="70"/>
      <c r="M426" s="81" t="s">
        <v>17864</v>
      </c>
      <c r="N426" s="57" t="s">
        <v>1</v>
      </c>
      <c r="O426" s="58">
        <v>0.9</v>
      </c>
      <c r="P426" s="83" t="s">
        <v>5895</v>
      </c>
      <c r="Q426" s="64" t="s">
        <v>1</v>
      </c>
      <c r="R426" s="65">
        <v>1</v>
      </c>
      <c r="S426" s="99"/>
      <c r="T426" s="70"/>
      <c r="U426" s="99"/>
      <c r="V426" s="70"/>
      <c r="W426" s="81"/>
      <c r="X426" s="57"/>
      <c r="Y426" s="58"/>
      <c r="Z426" s="77"/>
      <c r="AA426" s="1" t="s">
        <v>17980</v>
      </c>
      <c r="AB426" s="68"/>
      <c r="AC426" s="76"/>
      <c r="AD426" s="70"/>
      <c r="AE426" s="120">
        <f>ROUND((ROUND((ROUND((_15_同援日１．５*_15・基礎２),0)*_15・２人),0)*(1+_15・区３)),0)+ROUND((ROUND((ROUND((ROUND((_15_同援日１．５＿０．５*_15・基礎２),0)*_15・２人),0)*(1+_15・B夜間)),0)*(1+_15・区３)),0)+ROUND((ROUND((ROUND((ROUND((_15_同援日１．５＿０．５＿１．０*_15・基礎２),0)*_15・２人),0)*(1+_15・C深夜)),0)*(1+_15・区３)),0)</f>
        <v>747</v>
      </c>
      <c r="AF426" s="69"/>
    </row>
    <row r="427" spans="1:32" ht="16.5" customHeight="1" x14ac:dyDescent="0.3">
      <c r="A427" s="2">
        <v>15</v>
      </c>
      <c r="B427" s="2" t="s">
        <v>1903</v>
      </c>
      <c r="C427" s="60" t="s">
        <v>11982</v>
      </c>
      <c r="D427" s="1"/>
      <c r="E427" s="68"/>
      <c r="F427" s="70"/>
      <c r="G427" s="1"/>
      <c r="H427" s="68"/>
      <c r="I427" s="70"/>
      <c r="J427" s="1"/>
      <c r="K427" s="68"/>
      <c r="L427" s="70"/>
      <c r="M427" s="74"/>
      <c r="N427" s="62"/>
      <c r="O427" s="63"/>
      <c r="P427" s="83"/>
      <c r="Q427" s="64"/>
      <c r="R427" s="65"/>
      <c r="S427" s="99"/>
      <c r="T427" s="70"/>
      <c r="U427" s="99"/>
      <c r="V427" s="70"/>
      <c r="W427" s="74" t="s">
        <v>8085</v>
      </c>
      <c r="X427" s="62"/>
      <c r="Y427" s="63"/>
      <c r="Z427" s="75"/>
      <c r="AA427" s="1"/>
      <c r="AB427" s="68" t="s">
        <v>1</v>
      </c>
      <c r="AC427" s="76">
        <v>0.2</v>
      </c>
      <c r="AD427" s="70" t="s">
        <v>422</v>
      </c>
      <c r="AE427" s="228">
        <f>ROUND((ROUND((_15_同援日１．５*(1+_15・盲ろう)),0)*(1+_15・区３)),0)+ROUND((ROUND((ROUND((_15_同援日１．５＿０．５*(1+_15・B夜間)),0)*(1+_15・盲ろう)),0)*(1+_15・区３)),0)+ROUND((ROUND((ROUND((_15_同援日１．５＿０．５＿１．０*(1+_15・C深夜)),0)*(1+_15・盲ろう)),0)*(1+_15・区３)),0)</f>
        <v>1034</v>
      </c>
      <c r="AF427" s="69"/>
    </row>
    <row r="428" spans="1:32" ht="16.5" customHeight="1" x14ac:dyDescent="0.3">
      <c r="A428" s="2">
        <v>15</v>
      </c>
      <c r="B428" s="2" t="s">
        <v>1904</v>
      </c>
      <c r="C428" s="60" t="s">
        <v>11981</v>
      </c>
      <c r="D428" s="1"/>
      <c r="E428" s="68"/>
      <c r="F428" s="70"/>
      <c r="G428" s="1"/>
      <c r="H428" s="68"/>
      <c r="I428" s="70"/>
      <c r="J428" s="1"/>
      <c r="K428" s="68"/>
      <c r="L428" s="70"/>
      <c r="M428" s="81"/>
      <c r="N428" s="57"/>
      <c r="O428" s="58"/>
      <c r="P428" s="83" t="s">
        <v>5895</v>
      </c>
      <c r="Q428" s="64" t="s">
        <v>1</v>
      </c>
      <c r="R428" s="65">
        <v>1</v>
      </c>
      <c r="S428" s="99"/>
      <c r="T428" s="70"/>
      <c r="U428" s="99"/>
      <c r="V428" s="70"/>
      <c r="W428" s="1" t="s">
        <v>17973</v>
      </c>
      <c r="X428" s="68"/>
      <c r="Y428" s="76"/>
      <c r="Z428" s="70"/>
      <c r="AA428" s="1"/>
      <c r="AB428" s="68"/>
      <c r="AC428" s="76"/>
      <c r="AD428" s="70"/>
      <c r="AE428" s="228">
        <f>ROUND((ROUND((ROUND((_15_同援日１．５*_15・２人),0)*(1+_15・盲ろう)),0)*(1+_15・区３)),0)+ROUND((ROUND((ROUND((ROUND((_15_同援日１．５＿０．５*_15・２人),0)*(1+_15・B夜間)),0)*(1+_15・盲ろう)),0)*(1+_15・区３)),0)+ROUND((ROUND((ROUND((ROUND((_15_同援日１．５＿０．５＿１．０*_15・２人),0)*(1+_15・C深夜)),0)*(1+_15・盲ろう)),0)*(1+_15・区３)),0)</f>
        <v>1034</v>
      </c>
      <c r="AF428" s="69"/>
    </row>
    <row r="429" spans="1:32" ht="16.5" customHeight="1" x14ac:dyDescent="0.3">
      <c r="A429" s="2">
        <v>15</v>
      </c>
      <c r="B429" s="2" t="s">
        <v>1905</v>
      </c>
      <c r="C429" s="60" t="s">
        <v>11980</v>
      </c>
      <c r="D429" s="1"/>
      <c r="E429" s="68"/>
      <c r="F429" s="70"/>
      <c r="G429" s="1"/>
      <c r="H429" s="68"/>
      <c r="I429" s="70"/>
      <c r="J429" s="1"/>
      <c r="K429" s="68"/>
      <c r="L429" s="70"/>
      <c r="M429" s="74" t="s">
        <v>17972</v>
      </c>
      <c r="N429" s="62"/>
      <c r="O429" s="63"/>
      <c r="P429" s="83"/>
      <c r="Q429" s="64"/>
      <c r="R429" s="65"/>
      <c r="S429" s="99"/>
      <c r="T429" s="70"/>
      <c r="U429" s="99"/>
      <c r="V429" s="70"/>
      <c r="W429" s="1"/>
      <c r="X429" s="68" t="s">
        <v>1</v>
      </c>
      <c r="Y429" s="76">
        <v>0.25</v>
      </c>
      <c r="Z429" s="70" t="s">
        <v>422</v>
      </c>
      <c r="AA429" s="1"/>
      <c r="AB429" s="68"/>
      <c r="AC429" s="76"/>
      <c r="AD429" s="70"/>
      <c r="AE429" s="120">
        <f>ROUND((ROUND((ROUND((_15_同援日１．５*_15・基礎２),0)*(1+_15・盲ろう)),0)*(1+_15・区３)),0)+ROUND((ROUND((ROUND((ROUND((_15_同援日１．５＿０．５*_15・基礎２),0)*(1+_15・B夜間)),0)*(1+_15・盲ろう)),0)*(1+_15・区３)),0)+ROUND((ROUND((ROUND((ROUND((_15_同援日１．５＿０．５＿１．０*_15・基礎２),0)*(1+_15・C深夜)),0)*(1+_15・盲ろう)),0)*(1+_15・区３)),0)</f>
        <v>934</v>
      </c>
      <c r="AF429" s="69"/>
    </row>
    <row r="430" spans="1:32" ht="16.5" customHeight="1" x14ac:dyDescent="0.3">
      <c r="A430" s="2">
        <v>15</v>
      </c>
      <c r="B430" s="2" t="s">
        <v>1906</v>
      </c>
      <c r="C430" s="60" t="s">
        <v>11979</v>
      </c>
      <c r="D430" s="1"/>
      <c r="E430" s="68"/>
      <c r="F430" s="70"/>
      <c r="G430" s="1"/>
      <c r="H430" s="68"/>
      <c r="I430" s="70"/>
      <c r="J430" s="1"/>
      <c r="K430" s="68"/>
      <c r="L430" s="70"/>
      <c r="M430" s="81" t="s">
        <v>17864</v>
      </c>
      <c r="N430" s="57" t="s">
        <v>1</v>
      </c>
      <c r="O430" s="58">
        <v>0.9</v>
      </c>
      <c r="P430" s="83" t="s">
        <v>5895</v>
      </c>
      <c r="Q430" s="64" t="s">
        <v>1</v>
      </c>
      <c r="R430" s="65">
        <v>1</v>
      </c>
      <c r="S430" s="99"/>
      <c r="T430" s="70"/>
      <c r="U430" s="99"/>
      <c r="V430" s="70"/>
      <c r="W430" s="81"/>
      <c r="X430" s="57"/>
      <c r="Y430" s="58"/>
      <c r="Z430" s="77"/>
      <c r="AA430" s="81"/>
      <c r="AB430" s="57"/>
      <c r="AC430" s="58"/>
      <c r="AD430" s="77"/>
      <c r="AE430" s="120">
        <f>ROUND((ROUND((ROUND((ROUND((_15_同援日１．５*_15・基礎２),0)*_15・２人),0)*(1+_15・盲ろう)),0)*(1+_15・区３)),0)+ROUND((ROUND((ROUND((ROUND((ROUND((_15_同援日１．５＿０．５*_15・基礎２),0)*_15・２人),0)*(1+_15・B夜間)),0)*(1+_15・盲ろう)),0)*(1+_15・区３)),0)+ROUND((ROUND((ROUND((ROUND((ROUND((_15_同援日１．５＿０．５＿１．０*_15・基礎２),0)*_15・２人),0)*(1+_15・C深夜)),0)*(1+_15・盲ろう)),0)*(1+_15・区３)),0)</f>
        <v>934</v>
      </c>
      <c r="AF430" s="69"/>
    </row>
    <row r="431" spans="1:32" ht="16.5" customHeight="1" x14ac:dyDescent="0.3">
      <c r="A431" s="2">
        <v>15</v>
      </c>
      <c r="B431" s="2" t="s">
        <v>1907</v>
      </c>
      <c r="C431" s="60" t="s">
        <v>11978</v>
      </c>
      <c r="D431" s="1"/>
      <c r="E431" s="68"/>
      <c r="F431" s="70"/>
      <c r="G431" s="1"/>
      <c r="H431" s="68"/>
      <c r="I431" s="70"/>
      <c r="J431" s="1"/>
      <c r="K431" s="68"/>
      <c r="L431" s="70"/>
      <c r="M431" s="74"/>
      <c r="N431" s="62"/>
      <c r="O431" s="63"/>
      <c r="P431" s="83"/>
      <c r="Q431" s="64"/>
      <c r="R431" s="65"/>
      <c r="S431" s="99"/>
      <c r="T431" s="70"/>
      <c r="U431" s="99"/>
      <c r="V431" s="70"/>
      <c r="W431" s="74"/>
      <c r="X431" s="62"/>
      <c r="Y431" s="63"/>
      <c r="Z431" s="75"/>
      <c r="AA431" s="74"/>
      <c r="AB431" s="62"/>
      <c r="AC431" s="63"/>
      <c r="AD431" s="75"/>
      <c r="AE431" s="228">
        <f>ROUND((_15_同援日１．５*(1+_15・区４)),0)+ROUND((ROUND((_15_同援日１．５＿０．５*(1+_15・B夜間)),0)*(1+_15・区４)),0)+ROUND((ROUND((_15_同援日１．５＿０．５＿１．０*(1+_15・C深夜)),0)*(1+_15・区４)),0)</f>
        <v>966</v>
      </c>
      <c r="AF431" s="69"/>
    </row>
    <row r="432" spans="1:32" ht="16.5" customHeight="1" x14ac:dyDescent="0.3">
      <c r="A432" s="2">
        <v>15</v>
      </c>
      <c r="B432" s="2" t="s">
        <v>1908</v>
      </c>
      <c r="C432" s="60" t="s">
        <v>11977</v>
      </c>
      <c r="D432" s="1"/>
      <c r="E432" s="68"/>
      <c r="F432" s="70"/>
      <c r="G432" s="1"/>
      <c r="H432" s="68"/>
      <c r="I432" s="70"/>
      <c r="J432" s="1"/>
      <c r="K432" s="68"/>
      <c r="L432" s="70"/>
      <c r="M432" s="81"/>
      <c r="N432" s="57"/>
      <c r="O432" s="58"/>
      <c r="P432" s="83" t="s">
        <v>5895</v>
      </c>
      <c r="Q432" s="64" t="s">
        <v>1</v>
      </c>
      <c r="R432" s="65">
        <v>1</v>
      </c>
      <c r="S432" s="99"/>
      <c r="T432" s="70"/>
      <c r="U432" s="99"/>
      <c r="V432" s="70"/>
      <c r="W432" s="1"/>
      <c r="X432" s="68"/>
      <c r="Y432" s="76"/>
      <c r="Z432" s="70"/>
      <c r="AA432" s="1"/>
      <c r="AB432" s="68"/>
      <c r="AC432" s="76"/>
      <c r="AD432" s="70"/>
      <c r="AE432" s="228">
        <f>ROUND((ROUND((_15_同援日１．５*_15・２人),0)*(1+_15・区４)),0)+ROUND((ROUND((ROUND((_15_同援日１．５＿０．５*_15・２人),0)*(1+_15・B夜間)),0)*(1+_15・区４)),0)+ROUND((ROUND((ROUND((_15_同援日１．５＿０．５＿１．０*_15・２人),0)*(1+_15・C深夜)),0)*(1+_15・区４)),0)</f>
        <v>966</v>
      </c>
      <c r="AF432" s="69"/>
    </row>
    <row r="433" spans="1:32" ht="16.5" customHeight="1" x14ac:dyDescent="0.3">
      <c r="A433" s="2">
        <v>15</v>
      </c>
      <c r="B433" s="2" t="s">
        <v>1909</v>
      </c>
      <c r="C433" s="60" t="s">
        <v>11976</v>
      </c>
      <c r="D433" s="1"/>
      <c r="E433" s="68"/>
      <c r="F433" s="70"/>
      <c r="G433" s="1"/>
      <c r="H433" s="68"/>
      <c r="I433" s="70"/>
      <c r="J433" s="1"/>
      <c r="K433" s="68"/>
      <c r="L433" s="70"/>
      <c r="M433" s="74" t="s">
        <v>5898</v>
      </c>
      <c r="N433" s="62"/>
      <c r="O433" s="63"/>
      <c r="P433" s="83"/>
      <c r="Q433" s="64"/>
      <c r="R433" s="65"/>
      <c r="S433" s="99"/>
      <c r="T433" s="70"/>
      <c r="U433" s="99"/>
      <c r="V433" s="70"/>
      <c r="W433" s="1"/>
      <c r="X433" s="68"/>
      <c r="Y433" s="76"/>
      <c r="Z433" s="70"/>
      <c r="AA433" s="1" t="s">
        <v>17988</v>
      </c>
      <c r="AB433" s="68"/>
      <c r="AC433" s="76"/>
      <c r="AD433" s="70"/>
      <c r="AE433" s="228">
        <f>ROUND((ROUND((_15_同援日１．５*_15・基礎２),0)*(1+_15・区４)),0)+ROUND((ROUND((ROUND((_15_同援日１．５＿０．５*_15・基礎２),0)*(1+_15・B夜間)),0)*(1+_15・区４)),0)+ROUND((ROUND((ROUND((_15_同援日１．５＿０．５＿１．０*_15・基礎２),0)*(1+_15・C深夜)),0)*(1+_15・区４)),0)</f>
        <v>871</v>
      </c>
      <c r="AF433" s="69"/>
    </row>
    <row r="434" spans="1:32" ht="16.5" customHeight="1" x14ac:dyDescent="0.3">
      <c r="A434" s="2">
        <v>15</v>
      </c>
      <c r="B434" s="2" t="s">
        <v>1910</v>
      </c>
      <c r="C434" s="60" t="s">
        <v>11975</v>
      </c>
      <c r="D434" s="1"/>
      <c r="E434" s="68"/>
      <c r="F434" s="70"/>
      <c r="G434" s="1"/>
      <c r="H434" s="68"/>
      <c r="I434" s="70"/>
      <c r="J434" s="1"/>
      <c r="K434" s="68"/>
      <c r="L434" s="70"/>
      <c r="M434" s="81" t="s">
        <v>17864</v>
      </c>
      <c r="N434" s="57" t="s">
        <v>1</v>
      </c>
      <c r="O434" s="58">
        <v>0.9</v>
      </c>
      <c r="P434" s="83" t="s">
        <v>5895</v>
      </c>
      <c r="Q434" s="64" t="s">
        <v>1</v>
      </c>
      <c r="R434" s="65">
        <v>1</v>
      </c>
      <c r="S434" s="99"/>
      <c r="T434" s="70"/>
      <c r="U434" s="99"/>
      <c r="V434" s="70"/>
      <c r="W434" s="81"/>
      <c r="X434" s="57"/>
      <c r="Y434" s="58"/>
      <c r="Z434" s="77"/>
      <c r="AA434" s="1" t="s">
        <v>17980</v>
      </c>
      <c r="AB434" s="68"/>
      <c r="AC434" s="76"/>
      <c r="AD434" s="70"/>
      <c r="AE434" s="228">
        <f>ROUND((ROUND((ROUND((_15_同援日１．５*_15・基礎２),0)*_15・２人),0)*(1+_15・区４)),0)+ROUND((ROUND((ROUND((ROUND((_15_同援日１．５＿０．５*_15・基礎２),0)*_15・２人),0)*(1+_15・B夜間)),0)*(1+_15・区４)),0)+ROUND((ROUND((ROUND((ROUND((_15_同援日１．５＿０．５＿１．０*_15・基礎２),0)*_15・２人),0)*(1+_15・C深夜)),0)*(1+_15・区４)),0)</f>
        <v>871</v>
      </c>
      <c r="AF434" s="69"/>
    </row>
    <row r="435" spans="1:32" ht="16.5" customHeight="1" x14ac:dyDescent="0.3">
      <c r="A435" s="2">
        <v>15</v>
      </c>
      <c r="B435" s="2" t="s">
        <v>1911</v>
      </c>
      <c r="C435" s="60" t="s">
        <v>11974</v>
      </c>
      <c r="D435" s="1"/>
      <c r="E435" s="68"/>
      <c r="F435" s="70"/>
      <c r="G435" s="1"/>
      <c r="H435" s="68"/>
      <c r="I435" s="70"/>
      <c r="J435" s="1"/>
      <c r="K435" s="68"/>
      <c r="L435" s="70"/>
      <c r="M435" s="74"/>
      <c r="N435" s="62"/>
      <c r="O435" s="63"/>
      <c r="P435" s="83"/>
      <c r="Q435" s="64"/>
      <c r="R435" s="65"/>
      <c r="S435" s="99"/>
      <c r="T435" s="70"/>
      <c r="U435" s="99"/>
      <c r="V435" s="70"/>
      <c r="W435" s="74" t="s">
        <v>17987</v>
      </c>
      <c r="X435" s="62"/>
      <c r="Y435" s="63"/>
      <c r="Z435" s="75"/>
      <c r="AA435" s="1"/>
      <c r="AB435" s="68" t="s">
        <v>1</v>
      </c>
      <c r="AC435" s="76">
        <v>0.4</v>
      </c>
      <c r="AD435" s="70" t="s">
        <v>422</v>
      </c>
      <c r="AE435" s="228">
        <f>ROUND((ROUND((_15_同援日１．５*(1+_15・盲ろう)),0)*(1+_15・区４)),0)+ROUND((ROUND((ROUND((_15_同援日１．５＿０．５*(1+_15・B夜間)),0)*(1+_15・盲ろう)),0)*(1+_15・区４)),0)+ROUND((ROUND((ROUND((_15_同援日１．５＿０．５＿１．０*(1+_15・C深夜)),0)*(1+_15・盲ろう)),0)*(1+_15・区４)),0)</f>
        <v>1206</v>
      </c>
      <c r="AF435" s="69"/>
    </row>
    <row r="436" spans="1:32" ht="16.5" customHeight="1" x14ac:dyDescent="0.3">
      <c r="A436" s="2">
        <v>15</v>
      </c>
      <c r="B436" s="2" t="s">
        <v>1912</v>
      </c>
      <c r="C436" s="60" t="s">
        <v>11973</v>
      </c>
      <c r="D436" s="1"/>
      <c r="E436" s="68"/>
      <c r="F436" s="70"/>
      <c r="G436" s="1"/>
      <c r="H436" s="68"/>
      <c r="I436" s="70"/>
      <c r="J436" s="1"/>
      <c r="K436" s="68"/>
      <c r="L436" s="70"/>
      <c r="M436" s="81"/>
      <c r="N436" s="57"/>
      <c r="O436" s="58"/>
      <c r="P436" s="83" t="s">
        <v>5895</v>
      </c>
      <c r="Q436" s="64" t="s">
        <v>1</v>
      </c>
      <c r="R436" s="65">
        <v>1</v>
      </c>
      <c r="S436" s="99"/>
      <c r="T436" s="70"/>
      <c r="U436" s="99"/>
      <c r="V436" s="70"/>
      <c r="W436" s="1" t="s">
        <v>8083</v>
      </c>
      <c r="X436" s="68"/>
      <c r="Y436" s="76"/>
      <c r="Z436" s="70"/>
      <c r="AA436" s="1"/>
      <c r="AB436" s="68"/>
      <c r="AC436" s="76"/>
      <c r="AD436" s="70"/>
      <c r="AE436" s="228">
        <f>ROUND((ROUND((ROUND((_15_同援日１．５*_15・２人),0)*(1+_15・盲ろう)),0)*(1+_15・区４)),0)+ROUND((ROUND((ROUND((ROUND((_15_同援日１．５＿０．５*_15・２人),0)*(1+_15・B夜間)),0)*(1+_15・盲ろう)),0)*(1+_15・区４)),0)+ROUND((ROUND((ROUND((ROUND((_15_同援日１．５＿０．５＿１．０*_15・２人),0)*(1+_15・C深夜)),0)*(1+_15・盲ろう)),0)*(1+_15・区４)),0)</f>
        <v>1206</v>
      </c>
      <c r="AF436" s="69"/>
    </row>
    <row r="437" spans="1:32" ht="16.5" customHeight="1" x14ac:dyDescent="0.3">
      <c r="A437" s="2">
        <v>15</v>
      </c>
      <c r="B437" s="2" t="s">
        <v>1913</v>
      </c>
      <c r="C437" s="60" t="s">
        <v>11972</v>
      </c>
      <c r="D437" s="1"/>
      <c r="E437" s="68"/>
      <c r="F437" s="70"/>
      <c r="G437" s="1"/>
      <c r="H437" s="68"/>
      <c r="I437" s="70"/>
      <c r="J437" s="1"/>
      <c r="K437" s="68"/>
      <c r="L437" s="70"/>
      <c r="M437" s="74" t="s">
        <v>17972</v>
      </c>
      <c r="N437" s="62"/>
      <c r="O437" s="63"/>
      <c r="P437" s="83"/>
      <c r="Q437" s="64"/>
      <c r="R437" s="65"/>
      <c r="S437" s="99"/>
      <c r="T437" s="70"/>
      <c r="U437" s="99"/>
      <c r="V437" s="70"/>
      <c r="W437" s="1"/>
      <c r="X437" s="68" t="s">
        <v>1</v>
      </c>
      <c r="Y437" s="76">
        <v>0.25</v>
      </c>
      <c r="Z437" s="70" t="s">
        <v>422</v>
      </c>
      <c r="AA437" s="1"/>
      <c r="AB437" s="68"/>
      <c r="AC437" s="76"/>
      <c r="AD437" s="70"/>
      <c r="AE437" s="120">
        <f>ROUND((ROUND((ROUND((_15_同援日１．５*_15・基礎２),0)*(1+_15・盲ろう)),0)*(1+_15・区４)),0)+ROUND((ROUND((ROUND((ROUND((_15_同援日１．５＿０．５*_15・基礎２),0)*(1+_15・B夜間)),0)*(1+_15・盲ろう)),0)*(1+_15・区４)),0)+ROUND((ROUND((ROUND((ROUND((_15_同援日１．５＿０．５＿１．０*_15・基礎２),0)*(1+_15・C深夜)),0)*(1+_15・盲ろう)),0)*(1+_15・区４)),0)</f>
        <v>1089</v>
      </c>
      <c r="AF437" s="69"/>
    </row>
    <row r="438" spans="1:32" ht="16.5" customHeight="1" x14ac:dyDescent="0.3">
      <c r="A438" s="2">
        <v>15</v>
      </c>
      <c r="B438" s="2" t="s">
        <v>1914</v>
      </c>
      <c r="C438" s="60" t="s">
        <v>11971</v>
      </c>
      <c r="D438" s="1"/>
      <c r="E438" s="68"/>
      <c r="F438" s="70"/>
      <c r="G438" s="81"/>
      <c r="H438" s="57"/>
      <c r="I438" s="77"/>
      <c r="J438" s="81"/>
      <c r="K438" s="57"/>
      <c r="L438" s="77"/>
      <c r="M438" s="81" t="s">
        <v>5896</v>
      </c>
      <c r="N438" s="57" t="s">
        <v>1</v>
      </c>
      <c r="O438" s="58">
        <v>0.9</v>
      </c>
      <c r="P438" s="83" t="s">
        <v>5895</v>
      </c>
      <c r="Q438" s="64" t="s">
        <v>1</v>
      </c>
      <c r="R438" s="65">
        <v>1</v>
      </c>
      <c r="S438" s="99"/>
      <c r="T438" s="70"/>
      <c r="U438" s="99"/>
      <c r="V438" s="70"/>
      <c r="W438" s="81"/>
      <c r="X438" s="57"/>
      <c r="Y438" s="58"/>
      <c r="Z438" s="77"/>
      <c r="AA438" s="81"/>
      <c r="AB438" s="57"/>
      <c r="AC438" s="58"/>
      <c r="AD438" s="77"/>
      <c r="AE438" s="120">
        <f>ROUND((ROUND((ROUND((ROUND((_15_同援日１．５*_15・基礎２),0)*_15・２人),0)*(1+_15・盲ろう)),0)*(1+_15・区４)),0)+ROUND((ROUND((ROUND((ROUND((ROUND((_15_同援日１．５＿０．５*_15・基礎２),0)*_15・２人),0)*(1+_15・B夜間)),0)*(1+_15・盲ろう)),0)*(1+_15・区４)),0)+ROUND((ROUND((ROUND((ROUND((ROUND((_15_同援日１．５＿０．５＿１．０*_15・基礎２),0)*_15・２人),0)*(1+_15・C深夜)),0)*(1+_15・盲ろう)),0)*(1+_15・区４)),0)</f>
        <v>1089</v>
      </c>
      <c r="AF438" s="69"/>
    </row>
    <row r="439" spans="1:32" ht="16.5" customHeight="1" x14ac:dyDescent="0.3">
      <c r="A439" s="2">
        <v>15</v>
      </c>
      <c r="B439" s="2" t="s">
        <v>1915</v>
      </c>
      <c r="C439" s="60" t="s">
        <v>11970</v>
      </c>
      <c r="D439" s="1"/>
      <c r="E439" s="68"/>
      <c r="F439" s="70"/>
      <c r="G439" s="233" t="s">
        <v>17868</v>
      </c>
      <c r="H439" s="62"/>
      <c r="I439" s="75"/>
      <c r="J439" s="74" t="s">
        <v>17867</v>
      </c>
      <c r="K439" s="62"/>
      <c r="L439" s="75"/>
      <c r="M439" s="74"/>
      <c r="N439" s="62"/>
      <c r="O439" s="63"/>
      <c r="P439" s="83"/>
      <c r="Q439" s="64"/>
      <c r="R439" s="65"/>
      <c r="S439" s="99"/>
      <c r="T439" s="70"/>
      <c r="U439" s="99"/>
      <c r="V439" s="70"/>
      <c r="W439" s="74"/>
      <c r="X439" s="62"/>
      <c r="Y439" s="63"/>
      <c r="Z439" s="75"/>
      <c r="AA439" s="74"/>
      <c r="AB439" s="62"/>
      <c r="AC439" s="63"/>
      <c r="AD439" s="75"/>
      <c r="AE439" s="120">
        <f>_15_同援日１．５+ROUND((_15_同援日１．５＿１．０*(1+_15・B夜間)),0)+ROUND((_15_同援日１．５＿１．０＿０．５*(1+_15・C深夜)),0)</f>
        <v>675</v>
      </c>
      <c r="AF439" s="69"/>
    </row>
    <row r="440" spans="1:32" ht="16.5" customHeight="1" x14ac:dyDescent="0.3">
      <c r="A440" s="2">
        <v>15</v>
      </c>
      <c r="B440" s="2" t="s">
        <v>1916</v>
      </c>
      <c r="C440" s="60" t="s">
        <v>11969</v>
      </c>
      <c r="D440" s="1"/>
      <c r="E440" s="68"/>
      <c r="F440" s="70"/>
      <c r="G440" s="1" t="s">
        <v>18155</v>
      </c>
      <c r="H440" s="68"/>
      <c r="I440" s="70"/>
      <c r="J440" s="1" t="s">
        <v>7928</v>
      </c>
      <c r="K440" s="68"/>
      <c r="L440" s="70"/>
      <c r="M440" s="81"/>
      <c r="N440" s="57"/>
      <c r="O440" s="58"/>
      <c r="P440" s="83" t="s">
        <v>5895</v>
      </c>
      <c r="Q440" s="64" t="s">
        <v>1</v>
      </c>
      <c r="R440" s="65">
        <v>1</v>
      </c>
      <c r="S440" s="99"/>
      <c r="T440" s="70"/>
      <c r="U440" s="99"/>
      <c r="V440" s="70"/>
      <c r="W440" s="1"/>
      <c r="X440" s="68"/>
      <c r="Y440" s="76"/>
      <c r="Z440" s="70"/>
      <c r="AA440" s="1"/>
      <c r="AB440" s="68"/>
      <c r="AC440" s="76"/>
      <c r="AD440" s="70"/>
      <c r="AE440" s="120">
        <f>ROUND((_15_同援日１．５*_15・２人),0)+ROUND((ROUND((_15_同援日１．５＿１．０*_15・２人),0)*(1+_15・B夜間)),0)+ROUND((ROUND((_15_同援日１．５＿１．０＿０．５*_15・２人),0)*(1+_15・C深夜)),0)</f>
        <v>675</v>
      </c>
      <c r="AF440" s="69"/>
    </row>
    <row r="441" spans="1:32" ht="16.5" customHeight="1" x14ac:dyDescent="0.3">
      <c r="A441" s="2">
        <v>15</v>
      </c>
      <c r="B441" s="2" t="s">
        <v>1917</v>
      </c>
      <c r="C441" s="60" t="s">
        <v>11968</v>
      </c>
      <c r="D441" s="1"/>
      <c r="E441" s="68"/>
      <c r="F441" s="70"/>
      <c r="G441" s="1" t="s">
        <v>8572</v>
      </c>
      <c r="H441" s="68"/>
      <c r="I441" s="70"/>
      <c r="J441" s="1"/>
      <c r="K441" s="68"/>
      <c r="L441" s="70"/>
      <c r="M441" s="74" t="s">
        <v>17972</v>
      </c>
      <c r="N441" s="62"/>
      <c r="O441" s="63"/>
      <c r="P441" s="83"/>
      <c r="Q441" s="64"/>
      <c r="R441" s="65"/>
      <c r="S441" s="99"/>
      <c r="T441" s="70"/>
      <c r="U441" s="99"/>
      <c r="V441" s="70"/>
      <c r="W441" s="1"/>
      <c r="X441" s="68"/>
      <c r="Y441" s="76"/>
      <c r="Z441" s="70"/>
      <c r="AA441" s="1"/>
      <c r="AB441" s="68"/>
      <c r="AC441" s="76"/>
      <c r="AD441" s="70"/>
      <c r="AE441" s="120">
        <f>ROUND((_15_同援日１．５*_15・基礎２),0)+ROUND((ROUND((_15_同援日１．５＿１．０*_15・基礎２),0)*(1+_15・B夜間)),0)+ROUND((ROUND((_15_同援日１．５＿１．０＿０．５*_15・基礎２),0)*(1+_15・C深夜)),0)</f>
        <v>608</v>
      </c>
      <c r="AF441" s="69"/>
    </row>
    <row r="442" spans="1:32" ht="16.5" customHeight="1" x14ac:dyDescent="0.3">
      <c r="A442" s="2">
        <v>15</v>
      </c>
      <c r="B442" s="2" t="s">
        <v>1918</v>
      </c>
      <c r="C442" s="60" t="s">
        <v>11967</v>
      </c>
      <c r="D442" s="1"/>
      <c r="E442" s="68"/>
      <c r="F442" s="70"/>
      <c r="G442" s="1"/>
      <c r="H442" s="119">
        <v>127</v>
      </c>
      <c r="I442" s="70" t="s">
        <v>0</v>
      </c>
      <c r="J442" s="1"/>
      <c r="K442" s="227">
        <v>63</v>
      </c>
      <c r="L442" s="70" t="s">
        <v>0</v>
      </c>
      <c r="M442" s="81" t="s">
        <v>17864</v>
      </c>
      <c r="N442" s="57" t="s">
        <v>1</v>
      </c>
      <c r="O442" s="58">
        <v>0.9</v>
      </c>
      <c r="P442" s="83" t="s">
        <v>5895</v>
      </c>
      <c r="Q442" s="64" t="s">
        <v>1</v>
      </c>
      <c r="R442" s="65">
        <v>1</v>
      </c>
      <c r="S442" s="99"/>
      <c r="T442" s="70"/>
      <c r="U442" s="99"/>
      <c r="V442" s="70"/>
      <c r="W442" s="81"/>
      <c r="X442" s="57"/>
      <c r="Y442" s="58"/>
      <c r="Z442" s="77"/>
      <c r="AA442" s="1"/>
      <c r="AB442" s="68"/>
      <c r="AC442" s="76"/>
      <c r="AD442" s="70"/>
      <c r="AE442" s="120">
        <f>ROUND((ROUND((_15_同援日１．５*_15・基礎２),0)*_15・２人),0)+ROUND((ROUND((ROUND((_15_同援日１．５＿１．０*_15・基礎２),0)*_15・２人),0)*(1+_15・B夜間)),0)+ROUND((ROUND((ROUND((_15_同援日１．５＿１．０＿０．５*_15・基礎２),0)*_15・２人),0)*(1+_15・C深夜)),0)</f>
        <v>608</v>
      </c>
      <c r="AF442" s="69"/>
    </row>
    <row r="443" spans="1:32" ht="16.5" customHeight="1" x14ac:dyDescent="0.3">
      <c r="A443" s="2">
        <v>15</v>
      </c>
      <c r="B443" s="2" t="s">
        <v>1919</v>
      </c>
      <c r="C443" s="60" t="s">
        <v>11966</v>
      </c>
      <c r="D443" s="1"/>
      <c r="E443" s="68"/>
      <c r="F443" s="70"/>
      <c r="G443" s="1"/>
      <c r="H443" s="68"/>
      <c r="I443" s="70"/>
      <c r="J443" s="1"/>
      <c r="K443" s="68"/>
      <c r="L443" s="70"/>
      <c r="M443" s="74"/>
      <c r="N443" s="62"/>
      <c r="O443" s="63"/>
      <c r="P443" s="83"/>
      <c r="Q443" s="64"/>
      <c r="R443" s="65"/>
      <c r="S443" s="99"/>
      <c r="T443" s="70"/>
      <c r="U443" s="99"/>
      <c r="V443" s="70"/>
      <c r="W443" s="74" t="s">
        <v>17987</v>
      </c>
      <c r="X443" s="62"/>
      <c r="Y443" s="63"/>
      <c r="Z443" s="75"/>
      <c r="AA443" s="1"/>
      <c r="AB443" s="68"/>
      <c r="AC443" s="76"/>
      <c r="AD443" s="70"/>
      <c r="AE443" s="120">
        <f>ROUND((_15_同援日１．５*(1+_15・盲ろう)),0)+ROUND((ROUND((_15_同援日１．５＿１．０*(1+_15・B夜間)),0)*(1+_15・盲ろう)),0)+ROUND((ROUND((_15_同援日１．５＿１．０＿０．５*(1+_15・C深夜)),0)*(1+_15・盲ろう)),0)</f>
        <v>844</v>
      </c>
      <c r="AF443" s="69"/>
    </row>
    <row r="444" spans="1:32" ht="16.5" customHeight="1" x14ac:dyDescent="0.3">
      <c r="A444" s="2">
        <v>15</v>
      </c>
      <c r="B444" s="2" t="s">
        <v>1920</v>
      </c>
      <c r="C444" s="60" t="s">
        <v>11965</v>
      </c>
      <c r="D444" s="1"/>
      <c r="E444" s="68"/>
      <c r="F444" s="70"/>
      <c r="G444" s="1"/>
      <c r="H444" s="68"/>
      <c r="I444" s="70"/>
      <c r="J444" s="1"/>
      <c r="K444" s="68"/>
      <c r="L444" s="70"/>
      <c r="M444" s="81"/>
      <c r="N444" s="57"/>
      <c r="O444" s="58"/>
      <c r="P444" s="83" t="s">
        <v>5895</v>
      </c>
      <c r="Q444" s="64" t="s">
        <v>1</v>
      </c>
      <c r="R444" s="65">
        <v>1</v>
      </c>
      <c r="S444" s="99"/>
      <c r="T444" s="70"/>
      <c r="U444" s="99"/>
      <c r="V444" s="70"/>
      <c r="W444" s="1" t="s">
        <v>17973</v>
      </c>
      <c r="X444" s="68"/>
      <c r="Y444" s="76"/>
      <c r="Z444" s="70"/>
      <c r="AA444" s="1"/>
      <c r="AB444" s="68"/>
      <c r="AC444" s="76"/>
      <c r="AD444" s="70"/>
      <c r="AE444" s="120">
        <f>ROUND((ROUND((_15_同援日１．５*_15・２人),0)*(1+_15・盲ろう)),0)+ROUND((ROUND((ROUND((_15_同援日１．５＿１．０*_15・２人),0)*(1+_15・B夜間)),0)*(1+_15・盲ろう)),0)+ROUND((ROUND((ROUND((_15_同援日１．５＿１．０＿０．５*_15・２人),0)*(1+_15・C深夜)),0)*(1+_15・盲ろう)),0)</f>
        <v>844</v>
      </c>
      <c r="AF444" s="69"/>
    </row>
    <row r="445" spans="1:32" ht="16.5" customHeight="1" x14ac:dyDescent="0.3">
      <c r="A445" s="2">
        <v>15</v>
      </c>
      <c r="B445" s="2" t="s">
        <v>1921</v>
      </c>
      <c r="C445" s="60" t="s">
        <v>11964</v>
      </c>
      <c r="D445" s="1"/>
      <c r="E445" s="68"/>
      <c r="F445" s="70"/>
      <c r="G445" s="1"/>
      <c r="H445" s="68"/>
      <c r="I445" s="70"/>
      <c r="J445" s="1"/>
      <c r="K445" s="68"/>
      <c r="L445" s="70"/>
      <c r="M445" s="74" t="s">
        <v>17972</v>
      </c>
      <c r="N445" s="62"/>
      <c r="O445" s="63"/>
      <c r="P445" s="83"/>
      <c r="Q445" s="64"/>
      <c r="R445" s="65"/>
      <c r="S445" s="99"/>
      <c r="T445" s="70"/>
      <c r="U445" s="99"/>
      <c r="V445" s="70"/>
      <c r="W445" s="1"/>
      <c r="X445" s="68" t="s">
        <v>1</v>
      </c>
      <c r="Y445" s="76">
        <v>0.25</v>
      </c>
      <c r="Z445" s="70" t="s">
        <v>422</v>
      </c>
      <c r="AA445" s="1"/>
      <c r="AB445" s="68"/>
      <c r="AC445" s="76"/>
      <c r="AD445" s="70"/>
      <c r="AE445" s="120">
        <f>ROUND((ROUND((_15_同援日１．５*_15・基礎２),0)*(1+_15・盲ろう)),0)+ROUND((ROUND((ROUND((_15_同援日１．５＿１．０*_15・基礎２),0)*(1+_15・B夜間)),0)*(1+_15・盲ろう)),0)+ROUND((ROUND((ROUND((_15_同援日１．５＿１．０＿０．５*_15・基礎２),0)*(1+_15・C深夜)),0)*(1+_15・盲ろう)),0)</f>
        <v>761</v>
      </c>
      <c r="AF445" s="69"/>
    </row>
    <row r="446" spans="1:32" ht="16.5" customHeight="1" x14ac:dyDescent="0.3">
      <c r="A446" s="2">
        <v>15</v>
      </c>
      <c r="B446" s="2" t="s">
        <v>1922</v>
      </c>
      <c r="C446" s="60" t="s">
        <v>11963</v>
      </c>
      <c r="D446" s="1"/>
      <c r="E446" s="68"/>
      <c r="F446" s="70"/>
      <c r="G446" s="1"/>
      <c r="H446" s="68"/>
      <c r="I446" s="70"/>
      <c r="J446" s="1"/>
      <c r="K446" s="68"/>
      <c r="L446" s="70"/>
      <c r="M446" s="81" t="s">
        <v>17864</v>
      </c>
      <c r="N446" s="57" t="s">
        <v>1</v>
      </c>
      <c r="O446" s="58">
        <v>0.9</v>
      </c>
      <c r="P446" s="83" t="s">
        <v>5895</v>
      </c>
      <c r="Q446" s="64" t="s">
        <v>1</v>
      </c>
      <c r="R446" s="65">
        <v>1</v>
      </c>
      <c r="S446" s="99"/>
      <c r="T446" s="70"/>
      <c r="U446" s="99"/>
      <c r="V446" s="70"/>
      <c r="W446" s="81"/>
      <c r="X446" s="57"/>
      <c r="Y446" s="58"/>
      <c r="Z446" s="77"/>
      <c r="AA446" s="81"/>
      <c r="AB446" s="57"/>
      <c r="AC446" s="58"/>
      <c r="AD446" s="77"/>
      <c r="AE446" s="120">
        <f>ROUND((ROUND((ROUND((_15_同援日１．５*_15・基礎２),0)*_15・２人),0)*(1+_15・盲ろう)),0)+ROUND((ROUND((ROUND((ROUND((_15_同援日１．５＿１．０*_15・基礎２),0)*_15・２人),0)*(1+_15・B夜間)),0)*(1+_15・盲ろう)),0)+ROUND((ROUND((ROUND((ROUND((_15_同援日１．５＿１．０＿０．５*_15・基礎２),0)*_15・２人),0)*(1+_15・C深夜)),0)*(1+_15・盲ろう)),0)</f>
        <v>761</v>
      </c>
      <c r="AF446" s="69"/>
    </row>
    <row r="447" spans="1:32" ht="16.5" customHeight="1" x14ac:dyDescent="0.3">
      <c r="A447" s="2">
        <v>15</v>
      </c>
      <c r="B447" s="2" t="s">
        <v>1923</v>
      </c>
      <c r="C447" s="60" t="s">
        <v>11962</v>
      </c>
      <c r="D447" s="1"/>
      <c r="E447" s="68"/>
      <c r="F447" s="70"/>
      <c r="G447" s="1"/>
      <c r="H447" s="68"/>
      <c r="I447" s="70"/>
      <c r="J447" s="1"/>
      <c r="K447" s="68"/>
      <c r="L447" s="70"/>
      <c r="M447" s="74"/>
      <c r="N447" s="62"/>
      <c r="O447" s="63"/>
      <c r="P447" s="83"/>
      <c r="Q447" s="64"/>
      <c r="R447" s="65"/>
      <c r="S447" s="99"/>
      <c r="T447" s="70"/>
      <c r="U447" s="99"/>
      <c r="V447" s="70"/>
      <c r="W447" s="74"/>
      <c r="X447" s="62"/>
      <c r="Y447" s="63"/>
      <c r="Z447" s="75"/>
      <c r="AA447" s="74"/>
      <c r="AB447" s="62"/>
      <c r="AC447" s="63"/>
      <c r="AD447" s="75"/>
      <c r="AE447" s="120">
        <f>ROUND((_15_同援日１．５*(1+_15・区３)),0)+ROUND((ROUND((_15_同援日１．５＿１．０*(1+_15・B夜間)),0)*(1+_15・区３)),0)+ROUND((ROUND((_15_同援日１．５＿１．０＿０．５*(1+_15・C深夜)),0)*(1+_15・区３)),0)</f>
        <v>810</v>
      </c>
      <c r="AF447" s="69"/>
    </row>
    <row r="448" spans="1:32" ht="16.5" customHeight="1" x14ac:dyDescent="0.3">
      <c r="A448" s="2">
        <v>15</v>
      </c>
      <c r="B448" s="2" t="s">
        <v>1924</v>
      </c>
      <c r="C448" s="60" t="s">
        <v>11961</v>
      </c>
      <c r="D448" s="1"/>
      <c r="E448" s="68"/>
      <c r="F448" s="70"/>
      <c r="G448" s="1"/>
      <c r="H448" s="68"/>
      <c r="I448" s="70"/>
      <c r="J448" s="1"/>
      <c r="K448" s="68"/>
      <c r="L448" s="70"/>
      <c r="M448" s="81"/>
      <c r="N448" s="57"/>
      <c r="O448" s="58"/>
      <c r="P448" s="83" t="s">
        <v>5895</v>
      </c>
      <c r="Q448" s="64" t="s">
        <v>1</v>
      </c>
      <c r="R448" s="65">
        <v>1</v>
      </c>
      <c r="S448" s="99"/>
      <c r="T448" s="70"/>
      <c r="U448" s="99"/>
      <c r="V448" s="70"/>
      <c r="W448" s="1"/>
      <c r="X448" s="68"/>
      <c r="Y448" s="76"/>
      <c r="Z448" s="70"/>
      <c r="AA448" s="1"/>
      <c r="AB448" s="68"/>
      <c r="AC448" s="76"/>
      <c r="AD448" s="70"/>
      <c r="AE448" s="120">
        <f>ROUND((ROUND((_15_同援日１．５*_15・２人),0)*(1+_15・区３)),0)+ROUND((ROUND((ROUND((_15_同援日１．５＿１．０*_15・２人),0)*(1+_15・B夜間)),0)*(1+_15・区３)),0)+ROUND((ROUND((ROUND((_15_同援日１．５＿１．０＿０．５*_15・２人),0)*(1+_15・C深夜)),0)*(1+_15・区３)),0)</f>
        <v>810</v>
      </c>
      <c r="AF448" s="69"/>
    </row>
    <row r="449" spans="1:32" ht="16.5" customHeight="1" x14ac:dyDescent="0.3">
      <c r="A449" s="2">
        <v>15</v>
      </c>
      <c r="B449" s="2" t="s">
        <v>1925</v>
      </c>
      <c r="C449" s="60" t="s">
        <v>11960</v>
      </c>
      <c r="D449" s="1"/>
      <c r="E449" s="68"/>
      <c r="F449" s="70"/>
      <c r="G449" s="1"/>
      <c r="H449" s="68"/>
      <c r="I449" s="70"/>
      <c r="J449" s="1"/>
      <c r="K449" s="68"/>
      <c r="L449" s="70"/>
      <c r="M449" s="74" t="s">
        <v>17972</v>
      </c>
      <c r="N449" s="62"/>
      <c r="O449" s="63"/>
      <c r="P449" s="83"/>
      <c r="Q449" s="64"/>
      <c r="R449" s="65"/>
      <c r="S449" s="99"/>
      <c r="T449" s="70"/>
      <c r="U449" s="99"/>
      <c r="V449" s="70"/>
      <c r="W449" s="1"/>
      <c r="X449" s="68"/>
      <c r="Y449" s="76"/>
      <c r="Z449" s="70"/>
      <c r="AA449" s="1" t="s">
        <v>17997</v>
      </c>
      <c r="AB449" s="68"/>
      <c r="AC449" s="76"/>
      <c r="AD449" s="70"/>
      <c r="AE449" s="120">
        <f>ROUND((ROUND((_15_同援日１．５*_15・基礎２),0)*(1+_15・区３)),0)+ROUND((ROUND((ROUND((_15_同援日１．５＿１．０*_15・基礎２),0)*(1+_15・B夜間)),0)*(1+_15・区３)),0)+ROUND((ROUND((ROUND((_15_同援日１．５＿１．０＿０．５*_15・基礎２),0)*(1+_15・C深夜)),0)*(1+_15・区３)),0)</f>
        <v>730</v>
      </c>
      <c r="AF449" s="69"/>
    </row>
    <row r="450" spans="1:32" ht="16.5" customHeight="1" x14ac:dyDescent="0.3">
      <c r="A450" s="2">
        <v>15</v>
      </c>
      <c r="B450" s="2" t="s">
        <v>1926</v>
      </c>
      <c r="C450" s="60" t="s">
        <v>11959</v>
      </c>
      <c r="D450" s="1"/>
      <c r="E450" s="68"/>
      <c r="F450" s="70"/>
      <c r="G450" s="1"/>
      <c r="H450" s="68"/>
      <c r="I450" s="70"/>
      <c r="J450" s="1"/>
      <c r="K450" s="68"/>
      <c r="L450" s="70"/>
      <c r="M450" s="81" t="s">
        <v>17864</v>
      </c>
      <c r="N450" s="57" t="s">
        <v>1</v>
      </c>
      <c r="O450" s="58">
        <v>0.9</v>
      </c>
      <c r="P450" s="83" t="s">
        <v>5895</v>
      </c>
      <c r="Q450" s="64" t="s">
        <v>1</v>
      </c>
      <c r="R450" s="65">
        <v>1</v>
      </c>
      <c r="S450" s="99"/>
      <c r="T450" s="70"/>
      <c r="U450" s="99"/>
      <c r="V450" s="70"/>
      <c r="W450" s="81"/>
      <c r="X450" s="57"/>
      <c r="Y450" s="58"/>
      <c r="Z450" s="77"/>
      <c r="AA450" s="1" t="s">
        <v>17980</v>
      </c>
      <c r="AB450" s="68"/>
      <c r="AC450" s="76"/>
      <c r="AD450" s="70"/>
      <c r="AE450" s="120">
        <f>ROUND((ROUND((ROUND((_15_同援日１．５*_15・基礎２),0)*_15・２人),0)*(1+_15・区３)),0)+ROUND((ROUND((ROUND((ROUND((_15_同援日１．５＿１．０*_15・基礎２),0)*_15・２人),0)*(1+_15・B夜間)),0)*(1+_15・区３)),0)+ROUND((ROUND((ROUND((ROUND((_15_同援日１．５＿１．０＿０．５*_15・基礎２),0)*_15・２人),0)*(1+_15・C深夜)),0)*(1+_15・区３)),0)</f>
        <v>730</v>
      </c>
      <c r="AF450" s="69"/>
    </row>
    <row r="451" spans="1:32" ht="16.5" customHeight="1" x14ac:dyDescent="0.3">
      <c r="A451" s="2">
        <v>15</v>
      </c>
      <c r="B451" s="2" t="s">
        <v>1927</v>
      </c>
      <c r="C451" s="60" t="s">
        <v>11958</v>
      </c>
      <c r="D451" s="1"/>
      <c r="E451" s="68"/>
      <c r="F451" s="70"/>
      <c r="G451" s="1"/>
      <c r="H451" s="68"/>
      <c r="I451" s="70"/>
      <c r="J451" s="1"/>
      <c r="K451" s="68"/>
      <c r="L451" s="70"/>
      <c r="M451" s="74"/>
      <c r="N451" s="62"/>
      <c r="O451" s="63"/>
      <c r="P451" s="83"/>
      <c r="Q451" s="64"/>
      <c r="R451" s="65"/>
      <c r="S451" s="99"/>
      <c r="T451" s="70"/>
      <c r="U451" s="99"/>
      <c r="V451" s="70"/>
      <c r="W451" s="74" t="s">
        <v>17987</v>
      </c>
      <c r="X451" s="62"/>
      <c r="Y451" s="63"/>
      <c r="Z451" s="75"/>
      <c r="AA451" s="1"/>
      <c r="AB451" s="68" t="s">
        <v>1</v>
      </c>
      <c r="AC451" s="76">
        <v>0.2</v>
      </c>
      <c r="AD451" s="70" t="s">
        <v>422</v>
      </c>
      <c r="AE451" s="120">
        <f>ROUND((ROUND((_15_同援日１．５*(1+_15・盲ろう)),0)*(1+_15・区３)),0)+ROUND((ROUND((ROUND((_15_同援日１．５＿１．０*(1+_15・B夜間)),0)*(1+_15・盲ろう)),0)*(1+_15・区３)),0)+ROUND((ROUND((ROUND((_15_同援日１．５＿１．０＿０．５*(1+_15・C深夜)),0)*(1+_15・盲ろう)),0)*(1+_15・区３)),0)</f>
        <v>1013</v>
      </c>
      <c r="AF451" s="69"/>
    </row>
    <row r="452" spans="1:32" ht="16.5" customHeight="1" x14ac:dyDescent="0.3">
      <c r="A452" s="2">
        <v>15</v>
      </c>
      <c r="B452" s="2" t="s">
        <v>1928</v>
      </c>
      <c r="C452" s="60" t="s">
        <v>11957</v>
      </c>
      <c r="D452" s="1"/>
      <c r="E452" s="68"/>
      <c r="F452" s="70"/>
      <c r="G452" s="1"/>
      <c r="H452" s="68"/>
      <c r="I452" s="70"/>
      <c r="J452" s="1"/>
      <c r="K452" s="68"/>
      <c r="L452" s="70"/>
      <c r="M452" s="81"/>
      <c r="N452" s="57"/>
      <c r="O452" s="58"/>
      <c r="P452" s="83" t="s">
        <v>5895</v>
      </c>
      <c r="Q452" s="64" t="s">
        <v>1</v>
      </c>
      <c r="R452" s="65">
        <v>1</v>
      </c>
      <c r="S452" s="99"/>
      <c r="T452" s="70"/>
      <c r="U452" s="99"/>
      <c r="V452" s="70"/>
      <c r="W452" s="1" t="s">
        <v>8083</v>
      </c>
      <c r="X452" s="68"/>
      <c r="Y452" s="76"/>
      <c r="Z452" s="70"/>
      <c r="AA452" s="1"/>
      <c r="AB452" s="68"/>
      <c r="AC452" s="76"/>
      <c r="AD452" s="70"/>
      <c r="AE452" s="120">
        <f>ROUND((ROUND((ROUND((_15_同援日１．５*_15・２人),0)*(1+_15・盲ろう)),0)*(1+_15・区３)),0)+ROUND((ROUND((ROUND((ROUND((_15_同援日１．５＿１．０*_15・２人),0)*(1+_15・B夜間)),0)*(1+_15・盲ろう)),0)*(1+_15・区３)),0)+ROUND((ROUND((ROUND((ROUND((_15_同援日１．５＿１．０＿０．５*_15・２人),0)*(1+_15・C深夜)),0)*(1+_15・盲ろう)),0)*(1+_15・区３)),0)</f>
        <v>1013</v>
      </c>
      <c r="AF452" s="69"/>
    </row>
    <row r="453" spans="1:32" ht="16.5" customHeight="1" x14ac:dyDescent="0.3">
      <c r="A453" s="2">
        <v>15</v>
      </c>
      <c r="B453" s="2" t="s">
        <v>1929</v>
      </c>
      <c r="C453" s="60" t="s">
        <v>11956</v>
      </c>
      <c r="D453" s="1"/>
      <c r="E453" s="68"/>
      <c r="F453" s="70"/>
      <c r="G453" s="1"/>
      <c r="H453" s="68"/>
      <c r="I453" s="70"/>
      <c r="J453" s="1"/>
      <c r="K453" s="68"/>
      <c r="L453" s="70"/>
      <c r="M453" s="74" t="s">
        <v>17972</v>
      </c>
      <c r="N453" s="62"/>
      <c r="O453" s="63"/>
      <c r="P453" s="83"/>
      <c r="Q453" s="64"/>
      <c r="R453" s="65"/>
      <c r="S453" s="99"/>
      <c r="T453" s="70"/>
      <c r="U453" s="99"/>
      <c r="V453" s="70"/>
      <c r="W453" s="1"/>
      <c r="X453" s="68" t="s">
        <v>1</v>
      </c>
      <c r="Y453" s="76">
        <v>0.25</v>
      </c>
      <c r="Z453" s="70" t="s">
        <v>422</v>
      </c>
      <c r="AA453" s="1"/>
      <c r="AB453" s="68"/>
      <c r="AC453" s="76"/>
      <c r="AD453" s="70"/>
      <c r="AE453" s="120">
        <f>ROUND((ROUND((ROUND((_15_同援日１．５*_15・基礎２),0)*(1+_15・盲ろう)),0)*(1+_15・区３)),0)+ROUND((ROUND((ROUND((ROUND((_15_同援日１．５＿１．０*_15・基礎２),0)*(1+_15・B夜間)),0)*(1+_15・盲ろう)),0)*(1+_15・区３)),0)+ROUND((ROUND((ROUND((ROUND((_15_同援日１．５＿１．０＿０．５*_15・基礎２),0)*(1+_15・C深夜)),0)*(1+_15・盲ろう)),0)*(1+_15・区３)),0)</f>
        <v>914</v>
      </c>
      <c r="AF453" s="69"/>
    </row>
    <row r="454" spans="1:32" ht="16.5" customHeight="1" x14ac:dyDescent="0.3">
      <c r="A454" s="2">
        <v>15</v>
      </c>
      <c r="B454" s="2" t="s">
        <v>1930</v>
      </c>
      <c r="C454" s="60" t="s">
        <v>11955</v>
      </c>
      <c r="D454" s="1"/>
      <c r="E454" s="68"/>
      <c r="F454" s="70"/>
      <c r="G454" s="1"/>
      <c r="H454" s="68"/>
      <c r="I454" s="70"/>
      <c r="J454" s="1"/>
      <c r="K454" s="68"/>
      <c r="L454" s="70"/>
      <c r="M454" s="81" t="s">
        <v>17864</v>
      </c>
      <c r="N454" s="57" t="s">
        <v>1</v>
      </c>
      <c r="O454" s="58">
        <v>0.9</v>
      </c>
      <c r="P454" s="83" t="s">
        <v>5895</v>
      </c>
      <c r="Q454" s="64" t="s">
        <v>1</v>
      </c>
      <c r="R454" s="65">
        <v>1</v>
      </c>
      <c r="S454" s="99"/>
      <c r="T454" s="70"/>
      <c r="U454" s="99"/>
      <c r="V454" s="70"/>
      <c r="W454" s="81"/>
      <c r="X454" s="57"/>
      <c r="Y454" s="58"/>
      <c r="Z454" s="77"/>
      <c r="AA454" s="81"/>
      <c r="AB454" s="57"/>
      <c r="AC454" s="58"/>
      <c r="AD454" s="77"/>
      <c r="AE454" s="120">
        <f>ROUND((ROUND((ROUND((ROUND((_15_同援日１．５*_15・基礎２),0)*_15・２人),0)*(1+_15・盲ろう)),0)*(1+_15・区３)),0)+ROUND((ROUND((ROUND((ROUND((ROUND((_15_同援日１．５＿１．０*_15・基礎２),0)*_15・２人),0)*(1+_15・B夜間)),0)*(1+_15・盲ろう)),0)*(1+_15・区３)),0)+ROUND((ROUND((ROUND((ROUND((ROUND((_15_同援日１．５＿１．０＿０．５*_15・基礎２),0)*_15・２人),0)*(1+_15・C深夜)),0)*(1+_15・盲ろう)),0)*(1+_15・区３)),0)</f>
        <v>914</v>
      </c>
      <c r="AF454" s="69"/>
    </row>
    <row r="455" spans="1:32" ht="16.5" customHeight="1" x14ac:dyDescent="0.3">
      <c r="A455" s="2">
        <v>15</v>
      </c>
      <c r="B455" s="2" t="s">
        <v>1931</v>
      </c>
      <c r="C455" s="60" t="s">
        <v>11954</v>
      </c>
      <c r="D455" s="1"/>
      <c r="E455" s="68"/>
      <c r="F455" s="70"/>
      <c r="G455" s="1"/>
      <c r="H455" s="68"/>
      <c r="I455" s="70"/>
      <c r="J455" s="1"/>
      <c r="K455" s="68"/>
      <c r="L455" s="70"/>
      <c r="M455" s="74"/>
      <c r="N455" s="62"/>
      <c r="O455" s="63"/>
      <c r="P455" s="83"/>
      <c r="Q455" s="64"/>
      <c r="R455" s="65"/>
      <c r="S455" s="99"/>
      <c r="T455" s="70"/>
      <c r="U455" s="99"/>
      <c r="V455" s="70"/>
      <c r="W455" s="74"/>
      <c r="X455" s="62"/>
      <c r="Y455" s="63"/>
      <c r="Z455" s="75"/>
      <c r="AA455" s="74"/>
      <c r="AB455" s="62"/>
      <c r="AC455" s="63"/>
      <c r="AD455" s="75"/>
      <c r="AE455" s="120">
        <f>ROUND((_15_同援日１．５*(1+_15・区４)),0)+ROUND((ROUND((_15_同援日１．５＿１．０*(1+_15・B夜間)),0)*(1+_15・区４)),0)+ROUND((ROUND((_15_同援日１．５＿１．０＿０．５*(1+_15・C深夜)),0)*(1+_15・区４)),0)</f>
        <v>945</v>
      </c>
      <c r="AF455" s="69"/>
    </row>
    <row r="456" spans="1:32" ht="16.5" customHeight="1" x14ac:dyDescent="0.3">
      <c r="A456" s="2">
        <v>15</v>
      </c>
      <c r="B456" s="2" t="s">
        <v>1932</v>
      </c>
      <c r="C456" s="60" t="s">
        <v>11953</v>
      </c>
      <c r="D456" s="1"/>
      <c r="E456" s="68"/>
      <c r="F456" s="70"/>
      <c r="G456" s="1"/>
      <c r="H456" s="68"/>
      <c r="I456" s="70"/>
      <c r="J456" s="1"/>
      <c r="K456" s="68"/>
      <c r="L456" s="70"/>
      <c r="M456" s="81"/>
      <c r="N456" s="57"/>
      <c r="O456" s="58"/>
      <c r="P456" s="83" t="s">
        <v>5895</v>
      </c>
      <c r="Q456" s="64" t="s">
        <v>1</v>
      </c>
      <c r="R456" s="65">
        <v>1</v>
      </c>
      <c r="S456" s="99"/>
      <c r="T456" s="70"/>
      <c r="U456" s="99"/>
      <c r="V456" s="70"/>
      <c r="W456" s="1"/>
      <c r="X456" s="68"/>
      <c r="Y456" s="76"/>
      <c r="Z456" s="70"/>
      <c r="AA456" s="1"/>
      <c r="AB456" s="68"/>
      <c r="AC456" s="76"/>
      <c r="AD456" s="70"/>
      <c r="AE456" s="120">
        <f>ROUND((ROUND((_15_同援日１．５*_15・２人),0)*(1+_15・区４)),0)+ROUND((ROUND((ROUND((_15_同援日１．５＿１．０*_15・２人),0)*(1+_15・B夜間)),0)*(1+_15・区４)),0)+ROUND((ROUND((ROUND((_15_同援日１．５＿１．０＿０．５*_15・２人),0)*(1+_15・C深夜)),0)*(1+_15・区４)),0)</f>
        <v>945</v>
      </c>
      <c r="AF456" s="69"/>
    </row>
    <row r="457" spans="1:32" ht="16.5" customHeight="1" x14ac:dyDescent="0.3">
      <c r="A457" s="2">
        <v>15</v>
      </c>
      <c r="B457" s="2" t="s">
        <v>1933</v>
      </c>
      <c r="C457" s="60" t="s">
        <v>11952</v>
      </c>
      <c r="D457" s="1"/>
      <c r="E457" s="68"/>
      <c r="F457" s="70"/>
      <c r="G457" s="1"/>
      <c r="H457" s="68"/>
      <c r="I457" s="70"/>
      <c r="J457" s="1"/>
      <c r="K457" s="68"/>
      <c r="L457" s="70"/>
      <c r="M457" s="74" t="s">
        <v>5898</v>
      </c>
      <c r="N457" s="62"/>
      <c r="O457" s="63"/>
      <c r="P457" s="83"/>
      <c r="Q457" s="64"/>
      <c r="R457" s="65"/>
      <c r="S457" s="99"/>
      <c r="T457" s="70"/>
      <c r="U457" s="99"/>
      <c r="V457" s="70"/>
      <c r="W457" s="1"/>
      <c r="X457" s="68"/>
      <c r="Y457" s="76"/>
      <c r="Z457" s="70"/>
      <c r="AA457" s="1" t="s">
        <v>17988</v>
      </c>
      <c r="AB457" s="68"/>
      <c r="AC457" s="76"/>
      <c r="AD457" s="70"/>
      <c r="AE457" s="120">
        <f>ROUND((ROUND((_15_同援日１．５*_15・基礎２),0)*(1+_15・区４)),0)+ROUND((ROUND((ROUND((_15_同援日１．５＿１．０*_15・基礎２),0)*(1+_15・B夜間)),0)*(1+_15・区４)),0)+ROUND((ROUND((ROUND((_15_同援日１．５＿１．０＿０．５*_15・基礎２),0)*(1+_15・C深夜)),0)*(1+_15・区４)),0)</f>
        <v>851</v>
      </c>
      <c r="AF457" s="69"/>
    </row>
    <row r="458" spans="1:32" ht="16.5" customHeight="1" x14ac:dyDescent="0.3">
      <c r="A458" s="2">
        <v>15</v>
      </c>
      <c r="B458" s="2" t="s">
        <v>1934</v>
      </c>
      <c r="C458" s="60" t="s">
        <v>11951</v>
      </c>
      <c r="D458" s="1"/>
      <c r="E458" s="68"/>
      <c r="F458" s="70"/>
      <c r="G458" s="1"/>
      <c r="H458" s="68"/>
      <c r="I458" s="70"/>
      <c r="J458" s="1"/>
      <c r="K458" s="68"/>
      <c r="L458" s="70"/>
      <c r="M458" s="81" t="s">
        <v>17864</v>
      </c>
      <c r="N458" s="57" t="s">
        <v>1</v>
      </c>
      <c r="O458" s="58">
        <v>0.9</v>
      </c>
      <c r="P458" s="83" t="s">
        <v>5895</v>
      </c>
      <c r="Q458" s="64" t="s">
        <v>1</v>
      </c>
      <c r="R458" s="65">
        <v>1</v>
      </c>
      <c r="S458" s="99"/>
      <c r="T458" s="70"/>
      <c r="U458" s="99"/>
      <c r="V458" s="70"/>
      <c r="W458" s="81"/>
      <c r="X458" s="57"/>
      <c r="Y458" s="58"/>
      <c r="Z458" s="77"/>
      <c r="AA458" s="1" t="s">
        <v>17980</v>
      </c>
      <c r="AB458" s="68"/>
      <c r="AC458" s="76"/>
      <c r="AD458" s="70"/>
      <c r="AE458" s="120">
        <f>ROUND((ROUND((ROUND((_15_同援日１．５*_15・基礎２),0)*_15・２人),0)*(1+_15・区４)),0)+ROUND((ROUND((ROUND((ROUND((_15_同援日１．５＿１．０*_15・基礎２),0)*_15・２人),0)*(1+_15・B夜間)),0)*(1+_15・区４)),0)+ROUND((ROUND((ROUND((ROUND((_15_同援日１．５＿１．０＿０．５*_15・基礎２),0)*_15・２人),0)*(1+_15・C深夜)),0)*(1+_15・区４)),0)</f>
        <v>851</v>
      </c>
      <c r="AF458" s="69"/>
    </row>
    <row r="459" spans="1:32" ht="16.5" customHeight="1" x14ac:dyDescent="0.3">
      <c r="A459" s="2">
        <v>15</v>
      </c>
      <c r="B459" s="2" t="s">
        <v>1935</v>
      </c>
      <c r="C459" s="60" t="s">
        <v>11950</v>
      </c>
      <c r="D459" s="1"/>
      <c r="E459" s="68"/>
      <c r="F459" s="70"/>
      <c r="G459" s="1"/>
      <c r="H459" s="68"/>
      <c r="I459" s="70"/>
      <c r="J459" s="1"/>
      <c r="K459" s="68"/>
      <c r="L459" s="70"/>
      <c r="M459" s="74"/>
      <c r="N459" s="62"/>
      <c r="O459" s="63"/>
      <c r="P459" s="83"/>
      <c r="Q459" s="64"/>
      <c r="R459" s="65"/>
      <c r="S459" s="99"/>
      <c r="T459" s="70"/>
      <c r="U459" s="99"/>
      <c r="V459" s="70"/>
      <c r="W459" s="74" t="s">
        <v>8085</v>
      </c>
      <c r="X459" s="62"/>
      <c r="Y459" s="63"/>
      <c r="Z459" s="75"/>
      <c r="AA459" s="1"/>
      <c r="AB459" s="68" t="s">
        <v>1</v>
      </c>
      <c r="AC459" s="76">
        <v>0.4</v>
      </c>
      <c r="AD459" s="70" t="s">
        <v>422</v>
      </c>
      <c r="AE459" s="120">
        <f>ROUND((ROUND((_15_同援日１．５*(1+_15・盲ろう)),0)*(1+_15・区４)),0)+ROUND((ROUND((ROUND((_15_同援日１．５＿１．０*(1+_15・B夜間)),0)*(1+_15・盲ろう)),0)*(1+_15・区４)),0)+ROUND((ROUND((ROUND((_15_同援日１．５＿１．０＿０．５*(1+_15・C深夜)),0)*(1+_15・盲ろう)),0)*(1+_15・区４)),0)</f>
        <v>1182</v>
      </c>
      <c r="AF459" s="69"/>
    </row>
    <row r="460" spans="1:32" ht="16.5" customHeight="1" x14ac:dyDescent="0.3">
      <c r="A460" s="2">
        <v>15</v>
      </c>
      <c r="B460" s="2" t="s">
        <v>1936</v>
      </c>
      <c r="C460" s="60" t="s">
        <v>11949</v>
      </c>
      <c r="D460" s="1"/>
      <c r="E460" s="68"/>
      <c r="F460" s="70"/>
      <c r="G460" s="1"/>
      <c r="H460" s="68"/>
      <c r="I460" s="70"/>
      <c r="J460" s="1"/>
      <c r="K460" s="68"/>
      <c r="L460" s="70"/>
      <c r="M460" s="81"/>
      <c r="N460" s="57"/>
      <c r="O460" s="58"/>
      <c r="P460" s="83" t="s">
        <v>5895</v>
      </c>
      <c r="Q460" s="64" t="s">
        <v>1</v>
      </c>
      <c r="R460" s="65">
        <v>1</v>
      </c>
      <c r="S460" s="99"/>
      <c r="T460" s="70"/>
      <c r="U460" s="99"/>
      <c r="V460" s="70"/>
      <c r="W460" s="1" t="s">
        <v>17973</v>
      </c>
      <c r="X460" s="68"/>
      <c r="Y460" s="76"/>
      <c r="Z460" s="70"/>
      <c r="AA460" s="1"/>
      <c r="AB460" s="68"/>
      <c r="AC460" s="76"/>
      <c r="AD460" s="70"/>
      <c r="AE460" s="120">
        <f>ROUND((ROUND((ROUND((_15_同援日１．５*_15・２人),0)*(1+_15・盲ろう)),0)*(1+_15・区４)),0)+ROUND((ROUND((ROUND((ROUND((_15_同援日１．５＿１．０*_15・２人),0)*(1+_15・B夜間)),0)*(1+_15・盲ろう)),0)*(1+_15・区４)),0)+ROUND((ROUND((ROUND((ROUND((_15_同援日１．５＿１．０＿０．５*_15・２人),0)*(1+_15・C深夜)),0)*(1+_15・盲ろう)),0)*(1+_15・区４)),0)</f>
        <v>1182</v>
      </c>
      <c r="AF460" s="69"/>
    </row>
    <row r="461" spans="1:32" ht="16.5" customHeight="1" x14ac:dyDescent="0.3">
      <c r="A461" s="2">
        <v>15</v>
      </c>
      <c r="B461" s="2" t="s">
        <v>1937</v>
      </c>
      <c r="C461" s="60" t="s">
        <v>11948</v>
      </c>
      <c r="D461" s="1"/>
      <c r="E461" s="68"/>
      <c r="F461" s="70"/>
      <c r="G461" s="1"/>
      <c r="H461" s="68"/>
      <c r="I461" s="70"/>
      <c r="J461" s="1"/>
      <c r="K461" s="68"/>
      <c r="L461" s="70"/>
      <c r="M461" s="74" t="s">
        <v>17972</v>
      </c>
      <c r="N461" s="62"/>
      <c r="O461" s="63"/>
      <c r="P461" s="83"/>
      <c r="Q461" s="64"/>
      <c r="R461" s="65"/>
      <c r="S461" s="99"/>
      <c r="T461" s="70"/>
      <c r="U461" s="99"/>
      <c r="V461" s="70"/>
      <c r="W461" s="1"/>
      <c r="X461" s="68" t="s">
        <v>1</v>
      </c>
      <c r="Y461" s="76">
        <v>0.25</v>
      </c>
      <c r="Z461" s="70" t="s">
        <v>422</v>
      </c>
      <c r="AA461" s="1"/>
      <c r="AB461" s="68"/>
      <c r="AC461" s="76"/>
      <c r="AD461" s="70"/>
      <c r="AE461" s="120">
        <f>ROUND((ROUND((ROUND((_15_同援日１．５*_15・基礎２),0)*(1+_15・盲ろう)),0)*(1+_15・区４)),0)+ROUND((ROUND((ROUND((ROUND((_15_同援日１．５＿１．０*_15・基礎２),0)*(1+_15・B夜間)),0)*(1+_15・盲ろう)),0)*(1+_15・区４)),0)+ROUND((ROUND((ROUND((ROUND((_15_同援日１．５＿１．０＿０．５*_15・基礎２),0)*(1+_15・C深夜)),0)*(1+_15・盲ろう)),0)*(1+_15・区４)),0)</f>
        <v>1066</v>
      </c>
      <c r="AF461" s="69"/>
    </row>
    <row r="462" spans="1:32" ht="16.5" customHeight="1" x14ac:dyDescent="0.3">
      <c r="A462" s="2">
        <v>15</v>
      </c>
      <c r="B462" s="2" t="s">
        <v>1938</v>
      </c>
      <c r="C462" s="60" t="s">
        <v>11947</v>
      </c>
      <c r="D462" s="81"/>
      <c r="E462" s="57"/>
      <c r="F462" s="77"/>
      <c r="G462" s="81"/>
      <c r="H462" s="57"/>
      <c r="I462" s="77"/>
      <c r="J462" s="1"/>
      <c r="K462" s="68"/>
      <c r="L462" s="70"/>
      <c r="M462" s="81" t="s">
        <v>17864</v>
      </c>
      <c r="N462" s="57" t="s">
        <v>1</v>
      </c>
      <c r="O462" s="58">
        <v>0.9</v>
      </c>
      <c r="P462" s="83" t="s">
        <v>5895</v>
      </c>
      <c r="Q462" s="64" t="s">
        <v>1</v>
      </c>
      <c r="R462" s="65">
        <v>1</v>
      </c>
      <c r="S462" s="99"/>
      <c r="T462" s="70"/>
      <c r="U462" s="99"/>
      <c r="V462" s="70"/>
      <c r="W462" s="81"/>
      <c r="X462" s="57"/>
      <c r="Y462" s="58"/>
      <c r="Z462" s="77"/>
      <c r="AA462" s="81"/>
      <c r="AB462" s="57"/>
      <c r="AC462" s="58"/>
      <c r="AD462" s="77"/>
      <c r="AE462" s="120">
        <f>ROUND((ROUND((ROUND((ROUND((_15_同援日１．５*_15・基礎２),0)*_15・２人),0)*(1+_15・盲ろう)),0)*(1+_15・区４)),0)+ROUND((ROUND((ROUND((ROUND((ROUND((_15_同援日１．５＿１．０*_15・基礎２),0)*_15・２人),0)*(1+_15・B夜間)),0)*(1+_15・盲ろう)),0)*(1+_15・区４)),0)+ROUND((ROUND((ROUND((ROUND((ROUND((_15_同援日１．５＿１．０＿０．５*_15・基礎２),0)*_15・２人),0)*(1+_15・C深夜)),0)*(1+_15・盲ろう)),0)*(1+_15・区４)),0)</f>
        <v>1066</v>
      </c>
      <c r="AF462" s="69"/>
    </row>
    <row r="463" spans="1:32" ht="16.5" customHeight="1" x14ac:dyDescent="0.3">
      <c r="A463" s="2">
        <v>15</v>
      </c>
      <c r="B463" s="2" t="s">
        <v>1939</v>
      </c>
      <c r="C463" s="60" t="s">
        <v>11946</v>
      </c>
      <c r="D463" s="233" t="s">
        <v>18154</v>
      </c>
      <c r="E463" s="235"/>
      <c r="F463" s="75"/>
      <c r="G463" s="233" t="s">
        <v>17869</v>
      </c>
      <c r="H463" s="62"/>
      <c r="I463" s="75"/>
      <c r="J463" s="74" t="s">
        <v>17867</v>
      </c>
      <c r="K463" s="62"/>
      <c r="L463" s="75"/>
      <c r="M463" s="74"/>
      <c r="N463" s="62"/>
      <c r="O463" s="63"/>
      <c r="P463" s="83"/>
      <c r="Q463" s="64"/>
      <c r="R463" s="65"/>
      <c r="S463" s="99"/>
      <c r="T463" s="70"/>
      <c r="U463" s="99"/>
      <c r="V463" s="70"/>
      <c r="W463" s="74"/>
      <c r="X463" s="62"/>
      <c r="Y463" s="63"/>
      <c r="Z463" s="75"/>
      <c r="AA463" s="74"/>
      <c r="AB463" s="62"/>
      <c r="AC463" s="63"/>
      <c r="AD463" s="75"/>
      <c r="AE463" s="120">
        <f>_15_同援日２．０+ROUND((_15_同援日２．０＿０．５*(1+_15・B夜間)),0)+ROUND((_15_同援日２．０＿０．５＿０．５*(1+_15・C深夜)),0)</f>
        <v>659</v>
      </c>
      <c r="AF463" s="69"/>
    </row>
    <row r="464" spans="1:32" ht="16.5" customHeight="1" x14ac:dyDescent="0.3">
      <c r="A464" s="2">
        <v>15</v>
      </c>
      <c r="B464" s="2" t="s">
        <v>1940</v>
      </c>
      <c r="C464" s="60" t="s">
        <v>11945</v>
      </c>
      <c r="D464" s="1" t="s">
        <v>17985</v>
      </c>
      <c r="E464" s="68"/>
      <c r="F464" s="70"/>
      <c r="G464" s="1" t="s">
        <v>7928</v>
      </c>
      <c r="H464" s="68"/>
      <c r="I464" s="70"/>
      <c r="J464" s="1" t="s">
        <v>7928</v>
      </c>
      <c r="K464" s="68"/>
      <c r="L464" s="70"/>
      <c r="M464" s="81"/>
      <c r="N464" s="57"/>
      <c r="O464" s="58"/>
      <c r="P464" s="83" t="s">
        <v>5895</v>
      </c>
      <c r="Q464" s="64" t="s">
        <v>1</v>
      </c>
      <c r="R464" s="65">
        <v>1</v>
      </c>
      <c r="S464" s="99"/>
      <c r="T464" s="70"/>
      <c r="U464" s="99"/>
      <c r="V464" s="70"/>
      <c r="W464" s="1"/>
      <c r="X464" s="68"/>
      <c r="Y464" s="76"/>
      <c r="Z464" s="70"/>
      <c r="AA464" s="1"/>
      <c r="AB464" s="68"/>
      <c r="AC464" s="76"/>
      <c r="AD464" s="70"/>
      <c r="AE464" s="120">
        <f>ROUND((_15_同援日２．０*_15・２人),0)+ROUND((ROUND((_15_同援日２．０＿０．５*_15・２人),0)*(1+_15・B夜間)),0)+ROUND((ROUND((_15_同援日２．０＿０．５＿０．５*_15・２人),0)*(1+_15・C深夜)),0)</f>
        <v>659</v>
      </c>
      <c r="AF464" s="69"/>
    </row>
    <row r="465" spans="1:32" ht="16.5" customHeight="1" x14ac:dyDescent="0.3">
      <c r="A465" s="2">
        <v>15</v>
      </c>
      <c r="B465" s="2" t="s">
        <v>1941</v>
      </c>
      <c r="C465" s="60" t="s">
        <v>11944</v>
      </c>
      <c r="D465" s="1" t="s">
        <v>6448</v>
      </c>
      <c r="E465" s="68"/>
      <c r="F465" s="70"/>
      <c r="G465" s="1"/>
      <c r="H465" s="68"/>
      <c r="I465" s="70"/>
      <c r="J465" s="1"/>
      <c r="K465" s="68"/>
      <c r="L465" s="70"/>
      <c r="M465" s="74" t="s">
        <v>17972</v>
      </c>
      <c r="N465" s="62"/>
      <c r="O465" s="63"/>
      <c r="P465" s="83"/>
      <c r="Q465" s="64"/>
      <c r="R465" s="65"/>
      <c r="S465" s="99"/>
      <c r="T465" s="70"/>
      <c r="U465" s="99"/>
      <c r="V465" s="70"/>
      <c r="W465" s="1"/>
      <c r="X465" s="68"/>
      <c r="Y465" s="76"/>
      <c r="Z465" s="70"/>
      <c r="AA465" s="1"/>
      <c r="AB465" s="68"/>
      <c r="AC465" s="76"/>
      <c r="AD465" s="70"/>
      <c r="AE465" s="120">
        <f>ROUND((_15_同援日２．０*_15・基礎２),0)+ROUND((ROUND((_15_同援日２．０＿０．５*_15・基礎２),0)*(1+_15・B夜間)),0)+ROUND((ROUND((_15_同援日２．０＿０．５＿０．５*_15・基礎２),0)*(1+_15・C深夜)),0)</f>
        <v>594</v>
      </c>
      <c r="AF465" s="69"/>
    </row>
    <row r="466" spans="1:32" ht="16.5" customHeight="1" x14ac:dyDescent="0.3">
      <c r="A466" s="2">
        <v>15</v>
      </c>
      <c r="B466" s="2" t="s">
        <v>1942</v>
      </c>
      <c r="C466" s="60" t="s">
        <v>11943</v>
      </c>
      <c r="D466" s="1"/>
      <c r="E466" s="227">
        <v>485</v>
      </c>
      <c r="F466" s="70" t="s">
        <v>0</v>
      </c>
      <c r="G466" s="1"/>
      <c r="H466" s="119">
        <v>63</v>
      </c>
      <c r="I466" s="70" t="s">
        <v>0</v>
      </c>
      <c r="J466" s="1"/>
      <c r="K466" s="227">
        <v>63</v>
      </c>
      <c r="L466" s="70" t="s">
        <v>0</v>
      </c>
      <c r="M466" s="81" t="s">
        <v>17864</v>
      </c>
      <c r="N466" s="57" t="s">
        <v>1</v>
      </c>
      <c r="O466" s="58">
        <v>0.9</v>
      </c>
      <c r="P466" s="83" t="s">
        <v>5895</v>
      </c>
      <c r="Q466" s="64" t="s">
        <v>1</v>
      </c>
      <c r="R466" s="65">
        <v>1</v>
      </c>
      <c r="S466" s="99"/>
      <c r="T466" s="70"/>
      <c r="U466" s="99"/>
      <c r="V466" s="70"/>
      <c r="W466" s="81"/>
      <c r="X466" s="57"/>
      <c r="Y466" s="58"/>
      <c r="Z466" s="77"/>
      <c r="AA466" s="1"/>
      <c r="AB466" s="68"/>
      <c r="AC466" s="76"/>
      <c r="AD466" s="70"/>
      <c r="AE466" s="120">
        <f>ROUND((ROUND((_15_同援日２．０*_15・基礎２),0)*_15・２人),0)+ROUND((ROUND((ROUND((_15_同援日２．０＿０．５*_15・基礎２),0)*_15・２人),0)*(1+_15・B夜間)),0)+ROUND((ROUND((ROUND((_15_同援日２．０＿０．５＿０．５*_15・基礎２),0)*_15・２人),0)*(1+_15・C深夜)),0)</f>
        <v>594</v>
      </c>
      <c r="AF466" s="69"/>
    </row>
    <row r="467" spans="1:32" ht="16.5" customHeight="1" x14ac:dyDescent="0.3">
      <c r="A467" s="2">
        <v>15</v>
      </c>
      <c r="B467" s="2" t="s">
        <v>1943</v>
      </c>
      <c r="C467" s="60" t="s">
        <v>11942</v>
      </c>
      <c r="D467" s="1"/>
      <c r="E467" s="68"/>
      <c r="F467" s="70"/>
      <c r="G467" s="1"/>
      <c r="H467" s="68"/>
      <c r="I467" s="70"/>
      <c r="J467" s="1"/>
      <c r="K467" s="68"/>
      <c r="L467" s="70"/>
      <c r="M467" s="74"/>
      <c r="N467" s="62"/>
      <c r="O467" s="63"/>
      <c r="P467" s="83"/>
      <c r="Q467" s="64"/>
      <c r="R467" s="65"/>
      <c r="S467" s="99"/>
      <c r="T467" s="70"/>
      <c r="U467" s="99"/>
      <c r="V467" s="70"/>
      <c r="W467" s="74" t="s">
        <v>17987</v>
      </c>
      <c r="X467" s="62"/>
      <c r="Y467" s="63"/>
      <c r="Z467" s="75"/>
      <c r="AA467" s="1"/>
      <c r="AB467" s="68"/>
      <c r="AC467" s="76"/>
      <c r="AD467" s="70"/>
      <c r="AE467" s="120">
        <f>ROUND((_15_同援日２．０*(1+_15・盲ろう)),0)+ROUND((ROUND((_15_同援日２．０＿０．５*(1+_15・B夜間)),0)*(1+_15・盲ろう)),0)+ROUND((ROUND((_15_同援日２．０＿０．５＿０．５*(1+_15・C深夜)),0)*(1+_15・盲ろう)),0)</f>
        <v>824</v>
      </c>
      <c r="AF467" s="69"/>
    </row>
    <row r="468" spans="1:32" ht="16.5" customHeight="1" x14ac:dyDescent="0.3">
      <c r="A468" s="2">
        <v>15</v>
      </c>
      <c r="B468" s="2" t="s">
        <v>1944</v>
      </c>
      <c r="C468" s="60" t="s">
        <v>11941</v>
      </c>
      <c r="D468" s="1"/>
      <c r="E468" s="68"/>
      <c r="F468" s="70"/>
      <c r="G468" s="1"/>
      <c r="H468" s="68"/>
      <c r="I468" s="70"/>
      <c r="J468" s="1"/>
      <c r="K468" s="68"/>
      <c r="L468" s="70"/>
      <c r="M468" s="81"/>
      <c r="N468" s="57"/>
      <c r="O468" s="58"/>
      <c r="P468" s="83" t="s">
        <v>5895</v>
      </c>
      <c r="Q468" s="64" t="s">
        <v>1</v>
      </c>
      <c r="R468" s="65">
        <v>1</v>
      </c>
      <c r="S468" s="99"/>
      <c r="T468" s="70"/>
      <c r="U468" s="99"/>
      <c r="V468" s="70"/>
      <c r="W468" s="1" t="s">
        <v>17973</v>
      </c>
      <c r="X468" s="68"/>
      <c r="Y468" s="76"/>
      <c r="Z468" s="70"/>
      <c r="AA468" s="1"/>
      <c r="AB468" s="68"/>
      <c r="AC468" s="76"/>
      <c r="AD468" s="70"/>
      <c r="AE468" s="120">
        <f>ROUND((ROUND((_15_同援日２．０*_15・２人),0)*(1+_15・盲ろう)),0)+ROUND((ROUND((ROUND((_15_同援日２．０＿０．５*_15・２人),0)*(1+_15・B夜間)),0)*(1+_15・盲ろう)),0)+ROUND((ROUND((ROUND((_15_同援日２．０＿０．５＿０．５*_15・２人),0)*(1+_15・C深夜)),0)*(1+_15・盲ろう)),0)</f>
        <v>824</v>
      </c>
      <c r="AF468" s="69"/>
    </row>
    <row r="469" spans="1:32" ht="16.5" customHeight="1" x14ac:dyDescent="0.3">
      <c r="A469" s="2">
        <v>15</v>
      </c>
      <c r="B469" s="2" t="s">
        <v>1945</v>
      </c>
      <c r="C469" s="60" t="s">
        <v>11940</v>
      </c>
      <c r="D469" s="1"/>
      <c r="E469" s="68"/>
      <c r="F469" s="70"/>
      <c r="G469" s="1"/>
      <c r="H469" s="68"/>
      <c r="I469" s="70"/>
      <c r="J469" s="1"/>
      <c r="K469" s="68"/>
      <c r="L469" s="70"/>
      <c r="M469" s="74" t="s">
        <v>17972</v>
      </c>
      <c r="N469" s="62"/>
      <c r="O469" s="63"/>
      <c r="P469" s="83"/>
      <c r="Q469" s="64"/>
      <c r="R469" s="65"/>
      <c r="S469" s="99"/>
      <c r="T469" s="70"/>
      <c r="U469" s="99"/>
      <c r="V469" s="70"/>
      <c r="W469" s="1"/>
      <c r="X469" s="68" t="s">
        <v>1</v>
      </c>
      <c r="Y469" s="76">
        <v>0.25</v>
      </c>
      <c r="Z469" s="70" t="s">
        <v>422</v>
      </c>
      <c r="AA469" s="1"/>
      <c r="AB469" s="68"/>
      <c r="AC469" s="76"/>
      <c r="AD469" s="70"/>
      <c r="AE469" s="120">
        <f>ROUND((ROUND((_15_同援日２．０*_15・基礎２),0)*(1+_15・盲ろう)),0)+ROUND((ROUND((ROUND((_15_同援日２．０＿０．５*_15・基礎２),0)*(1+_15・B夜間)),0)*(1+_15・盲ろう)),0)+ROUND((ROUND((ROUND((_15_同援日２．０＿０．５＿０．５*_15・基礎２),0)*(1+_15・C深夜)),0)*(1+_15・盲ろう)),0)</f>
        <v>743</v>
      </c>
      <c r="AF469" s="69"/>
    </row>
    <row r="470" spans="1:32" ht="16.5" customHeight="1" x14ac:dyDescent="0.3">
      <c r="A470" s="2">
        <v>15</v>
      </c>
      <c r="B470" s="2" t="s">
        <v>1946</v>
      </c>
      <c r="C470" s="60" t="s">
        <v>11939</v>
      </c>
      <c r="D470" s="1"/>
      <c r="E470" s="68"/>
      <c r="F470" s="70"/>
      <c r="G470" s="1"/>
      <c r="H470" s="68"/>
      <c r="I470" s="70"/>
      <c r="J470" s="1"/>
      <c r="K470" s="68"/>
      <c r="L470" s="70"/>
      <c r="M470" s="81" t="s">
        <v>17864</v>
      </c>
      <c r="N470" s="57" t="s">
        <v>1</v>
      </c>
      <c r="O470" s="58">
        <v>0.9</v>
      </c>
      <c r="P470" s="83" t="s">
        <v>5895</v>
      </c>
      <c r="Q470" s="64" t="s">
        <v>1</v>
      </c>
      <c r="R470" s="65">
        <v>1</v>
      </c>
      <c r="S470" s="99"/>
      <c r="T470" s="70"/>
      <c r="U470" s="99"/>
      <c r="V470" s="70"/>
      <c r="W470" s="81"/>
      <c r="X470" s="57"/>
      <c r="Y470" s="58"/>
      <c r="Z470" s="77"/>
      <c r="AA470" s="81"/>
      <c r="AB470" s="57"/>
      <c r="AC470" s="58"/>
      <c r="AD470" s="77"/>
      <c r="AE470" s="120">
        <f>ROUND((ROUND((ROUND((_15_同援日２．０*_15・基礎２),0)*_15・２人),0)*(1+_15・盲ろう)),0)+ROUND((ROUND((ROUND((ROUND((_15_同援日２．０＿０．５*_15・基礎２),0)*_15・２人),0)*(1+_15・B夜間)),0)*(1+_15・盲ろう)),0)+ROUND((ROUND((ROUND((ROUND((_15_同援日２．０＿０．５＿０．５*_15・基礎２),0)*_15・２人),0)*(1+_15・C深夜)),0)*(1+_15・盲ろう)),0)</f>
        <v>743</v>
      </c>
      <c r="AF470" s="69"/>
    </row>
    <row r="471" spans="1:32" ht="16.5" customHeight="1" x14ac:dyDescent="0.3">
      <c r="A471" s="2">
        <v>15</v>
      </c>
      <c r="B471" s="2" t="s">
        <v>1947</v>
      </c>
      <c r="C471" s="60" t="s">
        <v>11938</v>
      </c>
      <c r="D471" s="1"/>
      <c r="E471" s="68"/>
      <c r="F471" s="70"/>
      <c r="G471" s="1"/>
      <c r="H471" s="68"/>
      <c r="I471" s="70"/>
      <c r="J471" s="1"/>
      <c r="K471" s="68"/>
      <c r="L471" s="70"/>
      <c r="M471" s="74"/>
      <c r="N471" s="62"/>
      <c r="O471" s="63"/>
      <c r="P471" s="83"/>
      <c r="Q471" s="64"/>
      <c r="R471" s="65"/>
      <c r="S471" s="99"/>
      <c r="T471" s="70"/>
      <c r="U471" s="99"/>
      <c r="V471" s="70"/>
      <c r="W471" s="74"/>
      <c r="X471" s="62"/>
      <c r="Y471" s="63"/>
      <c r="Z471" s="75"/>
      <c r="AA471" s="74"/>
      <c r="AB471" s="62"/>
      <c r="AC471" s="63"/>
      <c r="AD471" s="75"/>
      <c r="AE471" s="120">
        <f>ROUND((_15_同援日２．０*(1+_15・区３)),0)+ROUND((ROUND((_15_同援日２．０＿０．５*(1+_15・B夜間)),0)*(1+_15・区３)),0)+ROUND((ROUND((_15_同援日２．０＿０．５＿０．５*(1+_15・C深夜)),0)*(1+_15・区３)),0)</f>
        <v>791</v>
      </c>
      <c r="AF471" s="69"/>
    </row>
    <row r="472" spans="1:32" ht="16.5" customHeight="1" x14ac:dyDescent="0.3">
      <c r="A472" s="2">
        <v>15</v>
      </c>
      <c r="B472" s="2" t="s">
        <v>1948</v>
      </c>
      <c r="C472" s="60" t="s">
        <v>11937</v>
      </c>
      <c r="D472" s="1"/>
      <c r="E472" s="68"/>
      <c r="F472" s="70"/>
      <c r="G472" s="1"/>
      <c r="H472" s="68"/>
      <c r="I472" s="70"/>
      <c r="J472" s="1"/>
      <c r="K472" s="68"/>
      <c r="L472" s="70"/>
      <c r="M472" s="81"/>
      <c r="N472" s="57"/>
      <c r="O472" s="58"/>
      <c r="P472" s="83" t="s">
        <v>5895</v>
      </c>
      <c r="Q472" s="64" t="s">
        <v>1</v>
      </c>
      <c r="R472" s="65">
        <v>1</v>
      </c>
      <c r="S472" s="99"/>
      <c r="T472" s="70"/>
      <c r="U472" s="99"/>
      <c r="V472" s="70"/>
      <c r="W472" s="1"/>
      <c r="X472" s="68"/>
      <c r="Y472" s="76"/>
      <c r="Z472" s="70"/>
      <c r="AA472" s="1"/>
      <c r="AB472" s="68"/>
      <c r="AC472" s="76"/>
      <c r="AD472" s="70"/>
      <c r="AE472" s="120">
        <f>ROUND((ROUND((_15_同援日２．０*_15・２人),0)*(1+_15・区３)),0)+ROUND((ROUND((ROUND((_15_同援日２．０＿０．５*_15・２人),0)*(1+_15・B夜間)),0)*(1+_15・区３)),0)+ROUND((ROUND((ROUND((_15_同援日２．０＿０．５＿０．５*_15・２人),0)*(1+_15・C深夜)),0)*(1+_15・区３)),0)</f>
        <v>791</v>
      </c>
      <c r="AF472" s="69"/>
    </row>
    <row r="473" spans="1:32" ht="16.5" customHeight="1" x14ac:dyDescent="0.3">
      <c r="A473" s="2">
        <v>15</v>
      </c>
      <c r="B473" s="2" t="s">
        <v>1949</v>
      </c>
      <c r="C473" s="60" t="s">
        <v>11936</v>
      </c>
      <c r="D473" s="1"/>
      <c r="E473" s="68"/>
      <c r="F473" s="70"/>
      <c r="G473" s="1"/>
      <c r="H473" s="68"/>
      <c r="I473" s="70"/>
      <c r="J473" s="1"/>
      <c r="K473" s="68"/>
      <c r="L473" s="70"/>
      <c r="M473" s="74" t="s">
        <v>17972</v>
      </c>
      <c r="N473" s="62"/>
      <c r="O473" s="63"/>
      <c r="P473" s="83"/>
      <c r="Q473" s="64"/>
      <c r="R473" s="65"/>
      <c r="S473" s="99"/>
      <c r="T473" s="70"/>
      <c r="U473" s="99"/>
      <c r="V473" s="70"/>
      <c r="W473" s="1"/>
      <c r="X473" s="68"/>
      <c r="Y473" s="76"/>
      <c r="Z473" s="70"/>
      <c r="AA473" s="1" t="s">
        <v>18153</v>
      </c>
      <c r="AB473" s="68"/>
      <c r="AC473" s="76"/>
      <c r="AD473" s="70"/>
      <c r="AE473" s="120">
        <f>ROUND((ROUND((_15_同援日２．０*_15・基礎２),0)*(1+_15・区３)),0)+ROUND((ROUND((ROUND((_15_同援日２．０＿０．５*_15・基礎２),0)*(1+_15・B夜間)),0)*(1+_15・区３)),0)+ROUND((ROUND((ROUND((_15_同援日２．０＿０．５＿０．５*_15・基礎２),0)*(1+_15・C深夜)),0)*(1+_15・区３)),0)</f>
        <v>712</v>
      </c>
      <c r="AF473" s="69"/>
    </row>
    <row r="474" spans="1:32" ht="16.5" customHeight="1" x14ac:dyDescent="0.3">
      <c r="A474" s="2">
        <v>15</v>
      </c>
      <c r="B474" s="2" t="s">
        <v>1950</v>
      </c>
      <c r="C474" s="60" t="s">
        <v>11935</v>
      </c>
      <c r="D474" s="1"/>
      <c r="E474" s="68"/>
      <c r="F474" s="70"/>
      <c r="G474" s="1"/>
      <c r="H474" s="68"/>
      <c r="I474" s="70"/>
      <c r="J474" s="1"/>
      <c r="K474" s="68"/>
      <c r="L474" s="70"/>
      <c r="M474" s="81" t="s">
        <v>17864</v>
      </c>
      <c r="N474" s="57" t="s">
        <v>1</v>
      </c>
      <c r="O474" s="58">
        <v>0.9</v>
      </c>
      <c r="P474" s="83" t="s">
        <v>5895</v>
      </c>
      <c r="Q474" s="64" t="s">
        <v>1</v>
      </c>
      <c r="R474" s="65">
        <v>1</v>
      </c>
      <c r="S474" s="99"/>
      <c r="T474" s="70"/>
      <c r="U474" s="99"/>
      <c r="V474" s="70"/>
      <c r="W474" s="81"/>
      <c r="X474" s="57"/>
      <c r="Y474" s="58"/>
      <c r="Z474" s="77"/>
      <c r="AA474" s="1" t="s">
        <v>17980</v>
      </c>
      <c r="AB474" s="68"/>
      <c r="AC474" s="76"/>
      <c r="AD474" s="70"/>
      <c r="AE474" s="120">
        <f>ROUND((ROUND((ROUND((_15_同援日２．０*_15・基礎２),0)*_15・２人),0)*(1+_15・区３)),0)+ROUND((ROUND((ROUND((ROUND((_15_同援日２．０＿０．５*_15・基礎２),0)*_15・２人),0)*(1+_15・B夜間)),0)*(1+_15・区３)),0)+ROUND((ROUND((ROUND((ROUND((_15_同援日２．０＿０．５＿０．５*_15・基礎２),0)*_15・２人),0)*(1+_15・C深夜)),0)*(1+_15・区３)),0)</f>
        <v>712</v>
      </c>
      <c r="AF474" s="69"/>
    </row>
    <row r="475" spans="1:32" ht="16.5" customHeight="1" x14ac:dyDescent="0.3">
      <c r="A475" s="2">
        <v>15</v>
      </c>
      <c r="B475" s="2" t="s">
        <v>1951</v>
      </c>
      <c r="C475" s="60" t="s">
        <v>11934</v>
      </c>
      <c r="D475" s="1"/>
      <c r="E475" s="68"/>
      <c r="F475" s="70"/>
      <c r="G475" s="1"/>
      <c r="H475" s="68"/>
      <c r="I475" s="70"/>
      <c r="J475" s="1"/>
      <c r="K475" s="68"/>
      <c r="L475" s="70"/>
      <c r="M475" s="74"/>
      <c r="N475" s="62"/>
      <c r="O475" s="63"/>
      <c r="P475" s="83"/>
      <c r="Q475" s="64"/>
      <c r="R475" s="65"/>
      <c r="S475" s="99"/>
      <c r="T475" s="70"/>
      <c r="U475" s="99"/>
      <c r="V475" s="70"/>
      <c r="W475" s="74" t="s">
        <v>17987</v>
      </c>
      <c r="X475" s="62"/>
      <c r="Y475" s="63"/>
      <c r="Z475" s="75"/>
      <c r="AA475" s="1"/>
      <c r="AB475" s="68" t="s">
        <v>1</v>
      </c>
      <c r="AC475" s="76">
        <v>0.2</v>
      </c>
      <c r="AD475" s="70" t="s">
        <v>422</v>
      </c>
      <c r="AE475" s="120">
        <f>ROUND((ROUND((_15_同援日２．０*(1+_15・盲ろう)),0)*(1+_15・区３)),0)+ROUND((ROUND((ROUND((_15_同援日２．０＿０．５*(1+_15・B夜間)),0)*(1+_15・盲ろう)),0)*(1+_15・区３)),0)+ROUND((ROUND((ROUND((_15_同援日２．０＿０．５＿０．５*(1+_15・C深夜)),0)*(1+_15・盲ろう)),0)*(1+_15・区３)),0)</f>
        <v>989</v>
      </c>
      <c r="AF475" s="69"/>
    </row>
    <row r="476" spans="1:32" ht="16.5" customHeight="1" x14ac:dyDescent="0.3">
      <c r="A476" s="2">
        <v>15</v>
      </c>
      <c r="B476" s="2" t="s">
        <v>1952</v>
      </c>
      <c r="C476" s="60" t="s">
        <v>11933</v>
      </c>
      <c r="D476" s="1"/>
      <c r="E476" s="68"/>
      <c r="F476" s="70"/>
      <c r="G476" s="1"/>
      <c r="H476" s="68"/>
      <c r="I476" s="70"/>
      <c r="J476" s="1"/>
      <c r="K476" s="68"/>
      <c r="L476" s="70"/>
      <c r="M476" s="81"/>
      <c r="N476" s="57"/>
      <c r="O476" s="58"/>
      <c r="P476" s="83" t="s">
        <v>5895</v>
      </c>
      <c r="Q476" s="64" t="s">
        <v>1</v>
      </c>
      <c r="R476" s="65">
        <v>1</v>
      </c>
      <c r="S476" s="99"/>
      <c r="T476" s="70"/>
      <c r="U476" s="99"/>
      <c r="V476" s="70"/>
      <c r="W476" s="1" t="s">
        <v>18152</v>
      </c>
      <c r="X476" s="68"/>
      <c r="Y476" s="76"/>
      <c r="Z476" s="70"/>
      <c r="AA476" s="1"/>
      <c r="AB476" s="68"/>
      <c r="AC476" s="76"/>
      <c r="AD476" s="70"/>
      <c r="AE476" s="120">
        <f>ROUND((ROUND((ROUND((_15_同援日２．０*_15・２人),0)*(1+_15・盲ろう)),0)*(1+_15・区３)),0)+ROUND((ROUND((ROUND((ROUND((_15_同援日２．０＿０．５*_15・２人),0)*(1+_15・B夜間)),0)*(1+_15・盲ろう)),0)*(1+_15・区３)),0)+ROUND((ROUND((ROUND((ROUND((_15_同援日２．０＿０．５＿０．５*_15・２人),0)*(1+_15・C深夜)),0)*(1+_15・盲ろう)),0)*(1+_15・区３)),0)</f>
        <v>989</v>
      </c>
      <c r="AF476" s="69"/>
    </row>
    <row r="477" spans="1:32" ht="16.5" customHeight="1" x14ac:dyDescent="0.3">
      <c r="A477" s="2">
        <v>15</v>
      </c>
      <c r="B477" s="2" t="s">
        <v>1953</v>
      </c>
      <c r="C477" s="60" t="s">
        <v>11932</v>
      </c>
      <c r="D477" s="1"/>
      <c r="E477" s="68"/>
      <c r="F477" s="70"/>
      <c r="G477" s="1"/>
      <c r="H477" s="68"/>
      <c r="I477" s="70"/>
      <c r="J477" s="1"/>
      <c r="K477" s="68"/>
      <c r="L477" s="70"/>
      <c r="M477" s="74" t="s">
        <v>17972</v>
      </c>
      <c r="N477" s="62"/>
      <c r="O477" s="63"/>
      <c r="P477" s="83"/>
      <c r="Q477" s="64"/>
      <c r="R477" s="65"/>
      <c r="S477" s="99"/>
      <c r="T477" s="70"/>
      <c r="U477" s="99"/>
      <c r="V477" s="70"/>
      <c r="W477" s="1"/>
      <c r="X477" s="68" t="s">
        <v>1</v>
      </c>
      <c r="Y477" s="76">
        <v>0.25</v>
      </c>
      <c r="Z477" s="70" t="s">
        <v>422</v>
      </c>
      <c r="AA477" s="1"/>
      <c r="AB477" s="68"/>
      <c r="AC477" s="76"/>
      <c r="AD477" s="70"/>
      <c r="AE477" s="120">
        <f>ROUND((ROUND((ROUND((_15_同援日２．０*_15・基礎２),0)*(1+_15・盲ろう)),0)*(1+_15・区３)),0)+ROUND((ROUND((ROUND((ROUND((_15_同援日２．０＿０．５*_15・基礎２),0)*(1+_15・B夜間)),0)*(1+_15・盲ろう)),0)*(1+_15・区３)),0)+ROUND((ROUND((ROUND((ROUND((_15_同援日２．０＿０．５＿０．５*_15・基礎２),0)*(1+_15・C深夜)),0)*(1+_15・盲ろう)),0)*(1+_15・区３)),0)</f>
        <v>892</v>
      </c>
      <c r="AF477" s="69"/>
    </row>
    <row r="478" spans="1:32" ht="16.5" customHeight="1" x14ac:dyDescent="0.3">
      <c r="A478" s="2">
        <v>15</v>
      </c>
      <c r="B478" s="2" t="s">
        <v>1954</v>
      </c>
      <c r="C478" s="60" t="s">
        <v>11931</v>
      </c>
      <c r="D478" s="1"/>
      <c r="E478" s="68"/>
      <c r="F478" s="70"/>
      <c r="G478" s="1"/>
      <c r="H478" s="68"/>
      <c r="I478" s="70"/>
      <c r="J478" s="1"/>
      <c r="K478" s="68"/>
      <c r="L478" s="70"/>
      <c r="M478" s="81" t="s">
        <v>5896</v>
      </c>
      <c r="N478" s="57" t="s">
        <v>1</v>
      </c>
      <c r="O478" s="58">
        <v>0.9</v>
      </c>
      <c r="P478" s="83" t="s">
        <v>5895</v>
      </c>
      <c r="Q478" s="64" t="s">
        <v>1</v>
      </c>
      <c r="R478" s="65">
        <v>1</v>
      </c>
      <c r="S478" s="99"/>
      <c r="T478" s="70"/>
      <c r="U478" s="99"/>
      <c r="V478" s="70"/>
      <c r="W478" s="81"/>
      <c r="X478" s="57"/>
      <c r="Y478" s="58"/>
      <c r="Z478" s="77"/>
      <c r="AA478" s="81"/>
      <c r="AB478" s="57"/>
      <c r="AC478" s="58"/>
      <c r="AD478" s="77"/>
      <c r="AE478" s="120">
        <f>ROUND((ROUND((ROUND((ROUND((_15_同援日２．０*_15・基礎２),0)*_15・２人),0)*(1+_15・盲ろう)),0)*(1+_15・区３)),0)+ROUND((ROUND((ROUND((ROUND((ROUND((_15_同援日２．０＿０．５*_15・基礎２),0)*_15・２人),0)*(1+_15・B夜間)),0)*(1+_15・盲ろう)),0)*(1+_15・区３)),0)+ROUND((ROUND((ROUND((ROUND((ROUND((_15_同援日２．０＿０．５＿０．５*_15・基礎２),0)*_15・２人),0)*(1+_15・C深夜)),0)*(1+_15・盲ろう)),0)*(1+_15・区３)),0)</f>
        <v>892</v>
      </c>
      <c r="AF478" s="69"/>
    </row>
    <row r="479" spans="1:32" ht="16.5" customHeight="1" x14ac:dyDescent="0.3">
      <c r="A479" s="2">
        <v>15</v>
      </c>
      <c r="B479" s="2" t="s">
        <v>1955</v>
      </c>
      <c r="C479" s="60" t="s">
        <v>11930</v>
      </c>
      <c r="E479" s="68"/>
      <c r="F479" s="70"/>
      <c r="G479" s="1"/>
      <c r="H479" s="68"/>
      <c r="I479" s="70"/>
      <c r="J479" s="1"/>
      <c r="K479" s="68"/>
      <c r="L479" s="70"/>
      <c r="M479" s="74"/>
      <c r="N479" s="62"/>
      <c r="O479" s="63"/>
      <c r="P479" s="83"/>
      <c r="Q479" s="64"/>
      <c r="R479" s="65"/>
      <c r="S479" s="99"/>
      <c r="T479" s="70"/>
      <c r="U479" s="99"/>
      <c r="V479" s="70"/>
      <c r="W479" s="74"/>
      <c r="X479" s="62"/>
      <c r="Y479" s="63"/>
      <c r="Z479" s="75"/>
      <c r="AA479" s="74"/>
      <c r="AB479" s="62"/>
      <c r="AC479" s="63"/>
      <c r="AD479" s="75"/>
      <c r="AE479" s="120">
        <f>ROUND((_15_同援日２．０*(1+_15・区４)),0)+ROUND((ROUND((_15_同援日２．０＿０．５*(1+_15・B夜間)),0)*(1+_15・区４)),0)+ROUND((ROUND((_15_同援日２．０＿０．５＿０．５*(1+_15・C深夜)),0)*(1+_15・区４)),0)</f>
        <v>923</v>
      </c>
      <c r="AF479" s="69"/>
    </row>
    <row r="480" spans="1:32" ht="16.5" customHeight="1" x14ac:dyDescent="0.3">
      <c r="A480" s="2">
        <v>15</v>
      </c>
      <c r="B480" s="2" t="s">
        <v>1956</v>
      </c>
      <c r="C480" s="60" t="s">
        <v>11929</v>
      </c>
      <c r="E480" s="68"/>
      <c r="F480" s="70"/>
      <c r="G480" s="1"/>
      <c r="H480" s="68"/>
      <c r="I480" s="70"/>
      <c r="J480" s="1"/>
      <c r="K480" s="68"/>
      <c r="L480" s="70"/>
      <c r="M480" s="81"/>
      <c r="N480" s="57"/>
      <c r="O480" s="58"/>
      <c r="P480" s="83" t="s">
        <v>5895</v>
      </c>
      <c r="Q480" s="64" t="s">
        <v>1</v>
      </c>
      <c r="R480" s="65">
        <v>1</v>
      </c>
      <c r="S480" s="99"/>
      <c r="T480" s="70"/>
      <c r="U480" s="99"/>
      <c r="V480" s="70"/>
      <c r="W480" s="1"/>
      <c r="X480" s="68"/>
      <c r="Y480" s="76"/>
      <c r="Z480" s="70"/>
      <c r="AA480" s="1"/>
      <c r="AB480" s="68"/>
      <c r="AC480" s="76"/>
      <c r="AD480" s="70"/>
      <c r="AE480" s="120">
        <f>ROUND((ROUND((_15_同援日２．０*_15・２人),0)*(1+_15・区４)),0)+ROUND((ROUND((ROUND((_15_同援日２．０＿０．５*_15・２人),0)*(1+_15・B夜間)),0)*(1+_15・区４)),0)+ROUND((ROUND((ROUND((_15_同援日２．０＿０．５＿０．５*_15・２人),0)*(1+_15・C深夜)),0)*(1+_15・区４)),0)</f>
        <v>923</v>
      </c>
      <c r="AF480" s="69"/>
    </row>
    <row r="481" spans="1:32" ht="16.5" customHeight="1" x14ac:dyDescent="0.3">
      <c r="A481" s="2">
        <v>15</v>
      </c>
      <c r="B481" s="2" t="s">
        <v>1957</v>
      </c>
      <c r="C481" s="60" t="s">
        <v>11928</v>
      </c>
      <c r="D481" s="1"/>
      <c r="E481" s="68"/>
      <c r="F481" s="70"/>
      <c r="G481" s="1"/>
      <c r="H481" s="68"/>
      <c r="I481" s="70"/>
      <c r="J481" s="1"/>
      <c r="K481" s="68"/>
      <c r="L481" s="70"/>
      <c r="M481" s="74" t="s">
        <v>17137</v>
      </c>
      <c r="N481" s="62"/>
      <c r="O481" s="63"/>
      <c r="P481" s="83"/>
      <c r="Q481" s="64"/>
      <c r="R481" s="65"/>
      <c r="S481" s="99"/>
      <c r="T481" s="70"/>
      <c r="U481" s="99"/>
      <c r="V481" s="70"/>
      <c r="W481" s="1"/>
      <c r="X481" s="68"/>
      <c r="Y481" s="76"/>
      <c r="Z481" s="70"/>
      <c r="AA481" s="1" t="s">
        <v>18151</v>
      </c>
      <c r="AB481" s="68"/>
      <c r="AC481" s="76"/>
      <c r="AD481" s="70"/>
      <c r="AE481" s="120">
        <f>ROUND((ROUND((_15_同援日２．０*_15・基礎２),0)*(1+_15・区４)),0)+ROUND((ROUND((ROUND((_15_同援日２．０＿０．５*_15・基礎２),0)*(1+_15・B夜間)),0)*(1+_15・区４)),0)+ROUND((ROUND((ROUND((_15_同援日２．０＿０．５＿０．５*_15・基礎２),0)*(1+_15・C深夜)),0)*(1+_15・区４)),0)</f>
        <v>831</v>
      </c>
      <c r="AF481" s="69"/>
    </row>
    <row r="482" spans="1:32" ht="16.5" customHeight="1" x14ac:dyDescent="0.3">
      <c r="A482" s="2">
        <v>15</v>
      </c>
      <c r="B482" s="2" t="s">
        <v>1958</v>
      </c>
      <c r="C482" s="60" t="s">
        <v>11927</v>
      </c>
      <c r="D482" s="1"/>
      <c r="E482" s="68"/>
      <c r="F482" s="70"/>
      <c r="G482" s="1"/>
      <c r="H482" s="68"/>
      <c r="I482" s="70"/>
      <c r="J482" s="1"/>
      <c r="K482" s="68"/>
      <c r="L482" s="70"/>
      <c r="M482" s="81" t="s">
        <v>17864</v>
      </c>
      <c r="N482" s="57" t="s">
        <v>1</v>
      </c>
      <c r="O482" s="58">
        <v>0.9</v>
      </c>
      <c r="P482" s="83" t="s">
        <v>5895</v>
      </c>
      <c r="Q482" s="64" t="s">
        <v>1</v>
      </c>
      <c r="R482" s="65">
        <v>1</v>
      </c>
      <c r="S482" s="99"/>
      <c r="T482" s="70"/>
      <c r="U482" s="99"/>
      <c r="V482" s="70"/>
      <c r="W482" s="81"/>
      <c r="X482" s="57"/>
      <c r="Y482" s="58"/>
      <c r="Z482" s="77"/>
      <c r="AA482" s="1" t="s">
        <v>17980</v>
      </c>
      <c r="AB482" s="68"/>
      <c r="AC482" s="76"/>
      <c r="AD482" s="70"/>
      <c r="AE482" s="120">
        <f>ROUND((ROUND((ROUND((_15_同援日２．０*_15・基礎２),0)*_15・２人),0)*(1+_15・区４)),0)+ROUND((ROUND((ROUND((ROUND((_15_同援日２．０＿０．５*_15・基礎２),0)*_15・２人),0)*(1+_15・B夜間)),0)*(1+_15・区４)),0)+ROUND((ROUND((ROUND((ROUND((_15_同援日２．０＿０．５＿０．５*_15・基礎２),0)*_15・２人),0)*(1+_15・C深夜)),0)*(1+_15・区４)),0)</f>
        <v>831</v>
      </c>
      <c r="AF482" s="69"/>
    </row>
    <row r="483" spans="1:32" ht="16.5" customHeight="1" x14ac:dyDescent="0.3">
      <c r="A483" s="2">
        <v>15</v>
      </c>
      <c r="B483" s="2" t="s">
        <v>1959</v>
      </c>
      <c r="C483" s="60" t="s">
        <v>11926</v>
      </c>
      <c r="D483" s="1"/>
      <c r="E483" s="68"/>
      <c r="F483" s="70"/>
      <c r="G483" s="1"/>
      <c r="H483" s="68"/>
      <c r="I483" s="70"/>
      <c r="J483" s="1"/>
      <c r="K483" s="68"/>
      <c r="L483" s="70"/>
      <c r="M483" s="74"/>
      <c r="N483" s="62"/>
      <c r="O483" s="63"/>
      <c r="P483" s="83"/>
      <c r="Q483" s="64"/>
      <c r="R483" s="65"/>
      <c r="S483" s="99"/>
      <c r="T483" s="70"/>
      <c r="U483" s="99"/>
      <c r="V483" s="70"/>
      <c r="W483" s="74" t="s">
        <v>17987</v>
      </c>
      <c r="X483" s="62"/>
      <c r="Y483" s="63"/>
      <c r="Z483" s="75"/>
      <c r="AA483" s="1"/>
      <c r="AB483" s="68" t="s">
        <v>1</v>
      </c>
      <c r="AC483" s="76">
        <v>0.4</v>
      </c>
      <c r="AD483" s="70" t="s">
        <v>422</v>
      </c>
      <c r="AE483" s="120">
        <f>ROUND((ROUND((_15_同援日２．０*(1+_15・盲ろう)),0)*(1+_15・区４)),0)+ROUND((ROUND((ROUND((_15_同援日２．０＿０．５*(1+_15・B夜間)),0)*(1+_15・盲ろう)),0)*(1+_15・区４)),0)+ROUND((ROUND((ROUND((_15_同援日２．０＿０．５＿０．５*(1+_15・C深夜)),0)*(1+_15・盲ろう)),0)*(1+_15・区４)),0)</f>
        <v>1154</v>
      </c>
      <c r="AF483" s="69"/>
    </row>
    <row r="484" spans="1:32" ht="16.5" customHeight="1" x14ac:dyDescent="0.3">
      <c r="A484" s="2">
        <v>15</v>
      </c>
      <c r="B484" s="2" t="s">
        <v>1960</v>
      </c>
      <c r="C484" s="60" t="s">
        <v>11925</v>
      </c>
      <c r="D484" s="1"/>
      <c r="E484" s="68"/>
      <c r="F484" s="70"/>
      <c r="G484" s="1"/>
      <c r="H484" s="68"/>
      <c r="I484" s="70"/>
      <c r="J484" s="1"/>
      <c r="K484" s="68"/>
      <c r="L484" s="70"/>
      <c r="M484" s="81"/>
      <c r="N484" s="57"/>
      <c r="O484" s="58"/>
      <c r="P484" s="83" t="s">
        <v>5895</v>
      </c>
      <c r="Q484" s="64" t="s">
        <v>1</v>
      </c>
      <c r="R484" s="65">
        <v>1</v>
      </c>
      <c r="S484" s="99"/>
      <c r="T484" s="70"/>
      <c r="U484" s="99"/>
      <c r="V484" s="70"/>
      <c r="W484" s="1" t="s">
        <v>17973</v>
      </c>
      <c r="X484" s="68"/>
      <c r="Y484" s="76"/>
      <c r="Z484" s="70"/>
      <c r="AA484" s="1"/>
      <c r="AB484" s="68"/>
      <c r="AC484" s="76"/>
      <c r="AD484" s="70"/>
      <c r="AE484" s="120">
        <f>ROUND((ROUND((ROUND((_15_同援日２．０*_15・２人),0)*(1+_15・盲ろう)),0)*(1+_15・区４)),0)+ROUND((ROUND((ROUND((ROUND((_15_同援日２．０＿０．５*_15・２人),0)*(1+_15・B夜間)),0)*(1+_15・盲ろう)),0)*(1+_15・区４)),0)+ROUND((ROUND((ROUND((ROUND((_15_同援日２．０＿０．５＿０．５*_15・２人),0)*(1+_15・C深夜)),0)*(1+_15・盲ろう)),0)*(1+_15・区４)),0)</f>
        <v>1154</v>
      </c>
      <c r="AF484" s="69"/>
    </row>
    <row r="485" spans="1:32" ht="16.5" customHeight="1" x14ac:dyDescent="0.3">
      <c r="A485" s="2">
        <v>15</v>
      </c>
      <c r="B485" s="2" t="s">
        <v>1961</v>
      </c>
      <c r="C485" s="60" t="s">
        <v>11924</v>
      </c>
      <c r="D485" s="1"/>
      <c r="E485" s="68"/>
      <c r="F485" s="70"/>
      <c r="G485" s="1"/>
      <c r="H485" s="68"/>
      <c r="I485" s="70"/>
      <c r="J485" s="1"/>
      <c r="K485" s="68"/>
      <c r="L485" s="70"/>
      <c r="M485" s="74" t="s">
        <v>17972</v>
      </c>
      <c r="N485" s="62"/>
      <c r="O485" s="63"/>
      <c r="P485" s="83"/>
      <c r="Q485" s="64"/>
      <c r="R485" s="65"/>
      <c r="S485" s="99"/>
      <c r="T485" s="70"/>
      <c r="U485" s="99"/>
      <c r="V485" s="70"/>
      <c r="W485" s="1"/>
      <c r="X485" s="68" t="s">
        <v>1</v>
      </c>
      <c r="Y485" s="76">
        <v>0.25</v>
      </c>
      <c r="Z485" s="70" t="s">
        <v>422</v>
      </c>
      <c r="AA485" s="1"/>
      <c r="AB485" s="68"/>
      <c r="AC485" s="76"/>
      <c r="AD485" s="70"/>
      <c r="AE485" s="228">
        <f>ROUND((ROUND((ROUND((_15_同援日２．０*_15・基礎２),0)*(1+_15・盲ろう)),0)*(1+_15・区４)),0)+ROUND((ROUND((ROUND((ROUND((_15_同援日２．０＿０．５*_15・基礎２),0)*(1+_15・B夜間)),0)*(1+_15・盲ろう)),0)*(1+_15・区４)),0)+ROUND((ROUND((ROUND((ROUND((_15_同援日２．０＿０．５＿０．５*_15・基礎２),0)*(1+_15・C深夜)),0)*(1+_15・盲ろう)),0)*(1+_15・区４)),0)</f>
        <v>1040</v>
      </c>
      <c r="AF485" s="69"/>
    </row>
    <row r="486" spans="1:32" ht="16.5" customHeight="1" x14ac:dyDescent="0.3">
      <c r="A486" s="2">
        <v>15</v>
      </c>
      <c r="B486" s="2" t="s">
        <v>1962</v>
      </c>
      <c r="C486" s="60" t="s">
        <v>11923</v>
      </c>
      <c r="D486" s="81"/>
      <c r="E486" s="57"/>
      <c r="F486" s="77"/>
      <c r="G486" s="81"/>
      <c r="H486" s="57"/>
      <c r="I486" s="77"/>
      <c r="J486" s="81"/>
      <c r="K486" s="57"/>
      <c r="L486" s="77"/>
      <c r="M486" s="81" t="s">
        <v>17864</v>
      </c>
      <c r="N486" s="57" t="s">
        <v>1</v>
      </c>
      <c r="O486" s="58">
        <v>0.9</v>
      </c>
      <c r="P486" s="83" t="s">
        <v>5895</v>
      </c>
      <c r="Q486" s="64" t="s">
        <v>1</v>
      </c>
      <c r="R486" s="65">
        <v>1</v>
      </c>
      <c r="S486" s="101"/>
      <c r="T486" s="77"/>
      <c r="U486" s="101"/>
      <c r="V486" s="77"/>
      <c r="W486" s="81"/>
      <c r="X486" s="57"/>
      <c r="Y486" s="58"/>
      <c r="Z486" s="77"/>
      <c r="AA486" s="81"/>
      <c r="AB486" s="57"/>
      <c r="AC486" s="58"/>
      <c r="AD486" s="77"/>
      <c r="AE486" s="228">
        <f>ROUND((ROUND((ROUND((ROUND((_15_同援日２．０*_15・基礎２),0)*_15・２人),0)*(1+_15・盲ろう)),0)*(1+_15・区４)),0)+ROUND((ROUND((ROUND((ROUND((ROUND((_15_同援日２．０＿０．５*_15・基礎２),0)*_15・２人),0)*(1+_15・B夜間)),0)*(1+_15・盲ろう)),0)*(1+_15・区４)),0)+ROUND((ROUND((ROUND((ROUND((ROUND((_15_同援日２．０＿０．５＿０．５*_15・基礎２),0)*_15・２人),0)*(1+_15・C深夜)),0)*(1+_15・盲ろう)),0)*(1+_15・区４)),0)</f>
        <v>1040</v>
      </c>
      <c r="AF486" s="71"/>
    </row>
    <row r="487" spans="1:32" ht="16.5" customHeight="1" x14ac:dyDescent="0.3">
      <c r="M487" s="114"/>
      <c r="P487" s="114"/>
      <c r="W487" s="114"/>
      <c r="AA487" s="114"/>
    </row>
    <row r="488" spans="1:32" ht="16.5" customHeight="1" x14ac:dyDescent="0.3">
      <c r="M488" s="114"/>
      <c r="P488" s="114"/>
      <c r="W488" s="114"/>
      <c r="AA488" s="114"/>
    </row>
    <row r="489" spans="1:32" ht="16.5" customHeight="1" x14ac:dyDescent="0.3">
      <c r="B489" s="229" t="s">
        <v>18150</v>
      </c>
      <c r="C489" s="131"/>
      <c r="D489" s="230"/>
      <c r="E489" s="231"/>
      <c r="F489" s="231"/>
      <c r="G489" s="131"/>
      <c r="H489" s="231"/>
      <c r="M489" s="114"/>
      <c r="P489" s="114"/>
      <c r="W489" s="114"/>
      <c r="AA489" s="114"/>
    </row>
    <row r="490" spans="1:32" ht="16.5" customHeight="1" x14ac:dyDescent="0.3">
      <c r="A490" s="50" t="s">
        <v>5864</v>
      </c>
      <c r="B490" s="51"/>
      <c r="C490" s="52" t="s">
        <v>5867</v>
      </c>
      <c r="D490" s="79" t="s">
        <v>5868</v>
      </c>
      <c r="E490" s="53"/>
      <c r="F490" s="53"/>
      <c r="G490" s="79"/>
      <c r="H490" s="53"/>
      <c r="I490" s="53"/>
      <c r="J490" s="79"/>
      <c r="K490" s="53"/>
      <c r="L490" s="53"/>
      <c r="M490" s="91"/>
      <c r="N490" s="53"/>
      <c r="O490" s="54"/>
      <c r="P490" s="91"/>
      <c r="Q490" s="53"/>
      <c r="R490" s="54"/>
      <c r="S490" s="54"/>
      <c r="T490" s="53"/>
      <c r="U490" s="54"/>
      <c r="V490" s="53"/>
      <c r="W490" s="91"/>
      <c r="X490" s="53"/>
      <c r="Y490" s="54"/>
      <c r="Z490" s="53"/>
      <c r="AA490" s="91"/>
      <c r="AB490" s="53"/>
      <c r="AC490" s="54"/>
      <c r="AD490" s="53"/>
      <c r="AE490" s="55" t="s">
        <v>5869</v>
      </c>
      <c r="AF490" s="55" t="s">
        <v>5871</v>
      </c>
    </row>
    <row r="491" spans="1:32" ht="16.5" customHeight="1" x14ac:dyDescent="0.3">
      <c r="A491" s="2" t="s">
        <v>5865</v>
      </c>
      <c r="B491" s="2" t="s">
        <v>5866</v>
      </c>
      <c r="C491" s="56"/>
      <c r="D491" s="80" t="s">
        <v>5872</v>
      </c>
      <c r="E491" s="86"/>
      <c r="F491" s="87"/>
      <c r="G491" s="73"/>
      <c r="H491" s="57"/>
      <c r="I491" s="57"/>
      <c r="J491" s="115" t="s">
        <v>17870</v>
      </c>
      <c r="K491" s="86"/>
      <c r="L491" s="87"/>
      <c r="M491" s="90"/>
      <c r="N491" s="57"/>
      <c r="O491" s="58"/>
      <c r="P491" s="90"/>
      <c r="Q491" s="57"/>
      <c r="R491" s="58"/>
      <c r="S491" s="58"/>
      <c r="T491" s="57"/>
      <c r="U491" s="58"/>
      <c r="V491" s="57"/>
      <c r="W491" s="90"/>
      <c r="X491" s="57"/>
      <c r="Y491" s="58"/>
      <c r="Z491" s="57"/>
      <c r="AA491" s="90"/>
      <c r="AB491" s="57"/>
      <c r="AC491" s="58"/>
      <c r="AD491" s="57"/>
      <c r="AE491" s="59" t="s">
        <v>5870</v>
      </c>
      <c r="AF491" s="59" t="s">
        <v>0</v>
      </c>
    </row>
    <row r="492" spans="1:32" ht="16.5" customHeight="1" x14ac:dyDescent="0.3">
      <c r="A492" s="2">
        <v>15</v>
      </c>
      <c r="B492" s="2" t="s">
        <v>1963</v>
      </c>
      <c r="C492" s="60" t="s">
        <v>11922</v>
      </c>
      <c r="D492" s="233" t="s">
        <v>18002</v>
      </c>
      <c r="E492" s="235"/>
      <c r="F492" s="75"/>
      <c r="G492" s="233" t="s">
        <v>18149</v>
      </c>
      <c r="H492" s="62"/>
      <c r="I492" s="75"/>
      <c r="J492" s="74" t="s">
        <v>17841</v>
      </c>
      <c r="K492" s="62"/>
      <c r="L492" s="75"/>
      <c r="M492" s="74"/>
      <c r="N492" s="62"/>
      <c r="O492" s="63"/>
      <c r="P492" s="83"/>
      <c r="Q492" s="64"/>
      <c r="R492" s="65"/>
      <c r="S492" s="98"/>
      <c r="T492" s="75"/>
      <c r="U492" s="98"/>
      <c r="V492" s="75"/>
      <c r="W492" s="74"/>
      <c r="X492" s="62"/>
      <c r="Y492" s="63"/>
      <c r="Z492" s="75"/>
      <c r="AA492" s="74"/>
      <c r="AB492" s="62"/>
      <c r="AC492" s="63"/>
      <c r="AD492" s="75"/>
      <c r="AE492" s="228">
        <f>ROUND((_15_同援日０．５*(1+_15・A早朝)),0)+_15_同援日０．５＿２．０+ROUND((_15_同援日０．５＿２．０＿０．５*(1+_15・C夜間)),0)</f>
        <v>673</v>
      </c>
      <c r="AF492" s="52" t="s">
        <v>5863</v>
      </c>
    </row>
    <row r="493" spans="1:32" ht="16.5" customHeight="1" x14ac:dyDescent="0.3">
      <c r="A493" s="2">
        <v>15</v>
      </c>
      <c r="B493" s="2" t="s">
        <v>1964</v>
      </c>
      <c r="C493" s="60" t="s">
        <v>11921</v>
      </c>
      <c r="D493" s="1" t="s">
        <v>7928</v>
      </c>
      <c r="E493" s="68"/>
      <c r="F493" s="70"/>
      <c r="G493" s="1" t="s">
        <v>17985</v>
      </c>
      <c r="H493" s="68"/>
      <c r="I493" s="70"/>
      <c r="J493" s="1" t="s">
        <v>7928</v>
      </c>
      <c r="K493" s="68"/>
      <c r="L493" s="70"/>
      <c r="M493" s="81"/>
      <c r="N493" s="57"/>
      <c r="O493" s="58"/>
      <c r="P493" s="83" t="s">
        <v>5895</v>
      </c>
      <c r="Q493" s="64" t="s">
        <v>1</v>
      </c>
      <c r="R493" s="65">
        <v>1</v>
      </c>
      <c r="S493" s="99"/>
      <c r="T493" s="70"/>
      <c r="U493" s="99"/>
      <c r="V493" s="70"/>
      <c r="W493" s="1"/>
      <c r="X493" s="68"/>
      <c r="Y493" s="76"/>
      <c r="Z493" s="70"/>
      <c r="AA493" s="1"/>
      <c r="AB493" s="68"/>
      <c r="AC493" s="76"/>
      <c r="AD493" s="70"/>
      <c r="AE493" s="228">
        <f>ROUND((ROUND((_15_同援日０．５*_15・２人),0)*(1+_15・A早朝)),0)+ROUND((_15_同援日０．５＿２．０*_15・２人),0)+ROUND((ROUND((_15_同援日０．５＿２．０＿０．５*_15・２人),0)*(1+_15・C夜間)),0)</f>
        <v>673</v>
      </c>
      <c r="AF493" s="69"/>
    </row>
    <row r="494" spans="1:32" ht="16.5" customHeight="1" x14ac:dyDescent="0.3">
      <c r="A494" s="2">
        <v>15</v>
      </c>
      <c r="B494" s="2" t="s">
        <v>1965</v>
      </c>
      <c r="C494" s="60" t="s">
        <v>11920</v>
      </c>
      <c r="D494" s="1"/>
      <c r="E494" s="68"/>
      <c r="F494" s="70"/>
      <c r="G494" s="1" t="s">
        <v>6448</v>
      </c>
      <c r="H494" s="68"/>
      <c r="I494" s="70"/>
      <c r="J494" s="1"/>
      <c r="K494" s="68"/>
      <c r="L494" s="70"/>
      <c r="M494" s="74" t="s">
        <v>17972</v>
      </c>
      <c r="N494" s="62"/>
      <c r="O494" s="63"/>
      <c r="P494" s="83"/>
      <c r="Q494" s="64"/>
      <c r="R494" s="65"/>
      <c r="S494" s="99"/>
      <c r="T494" s="70"/>
      <c r="U494" s="99"/>
      <c r="V494" s="70"/>
      <c r="W494" s="1"/>
      <c r="X494" s="68"/>
      <c r="Y494" s="76"/>
      <c r="Z494" s="70"/>
      <c r="AA494" s="1"/>
      <c r="AB494" s="68"/>
      <c r="AC494" s="76"/>
      <c r="AD494" s="70"/>
      <c r="AE494" s="228">
        <f>ROUND((ROUND((_15_同援日０．５*_15・基礎２),0)*(1+_15・A早朝)),0)+ROUND((_15_同援日０．５＿２．０*_15・基礎２),0)+ROUND((ROUND((_15_同援日０．５＿２．０＿０．５*_15・基礎２),0)*(1+_15・C夜間)),0)</f>
        <v>607</v>
      </c>
      <c r="AF494" s="69"/>
    </row>
    <row r="495" spans="1:32" ht="16.5" customHeight="1" x14ac:dyDescent="0.3">
      <c r="A495" s="2">
        <v>15</v>
      </c>
      <c r="B495" s="2" t="s">
        <v>1966</v>
      </c>
      <c r="C495" s="60" t="s">
        <v>11919</v>
      </c>
      <c r="D495" s="1"/>
      <c r="E495" s="119">
        <v>184</v>
      </c>
      <c r="F495" s="70" t="s">
        <v>0</v>
      </c>
      <c r="G495" s="1"/>
      <c r="H495" s="227">
        <v>364</v>
      </c>
      <c r="I495" s="70" t="s">
        <v>0</v>
      </c>
      <c r="J495" s="1"/>
      <c r="K495" s="119">
        <v>63</v>
      </c>
      <c r="L495" s="70" t="s">
        <v>0</v>
      </c>
      <c r="M495" s="81" t="s">
        <v>5896</v>
      </c>
      <c r="N495" s="57" t="s">
        <v>1</v>
      </c>
      <c r="O495" s="58">
        <v>0.9</v>
      </c>
      <c r="P495" s="83" t="s">
        <v>5895</v>
      </c>
      <c r="Q495" s="64" t="s">
        <v>1</v>
      </c>
      <c r="R495" s="65">
        <v>1</v>
      </c>
      <c r="S495" s="99"/>
      <c r="T495" s="70"/>
      <c r="U495" s="99"/>
      <c r="V495" s="70"/>
      <c r="W495" s="81"/>
      <c r="X495" s="57"/>
      <c r="Y495" s="58"/>
      <c r="Z495" s="77"/>
      <c r="AA495" s="1"/>
      <c r="AB495" s="68"/>
      <c r="AC495" s="76"/>
      <c r="AD495" s="70"/>
      <c r="AE495" s="228">
        <f>ROUND((ROUND((ROUND((_15_同援日０．５*_15・基礎２),0)*_15・２人),0)*(1+_15・A早朝)),0)+ROUND((ROUND((_15_同援日０．５＿２．０*_15・基礎２),0)*_15・２人),0)+ROUND((ROUND((ROUND((_15_同援日０．５＿２．０＿０．５*_15・基礎２),0)*_15・２人),0)*(1+_15・C夜間)),0)</f>
        <v>607</v>
      </c>
      <c r="AF495" s="69"/>
    </row>
    <row r="496" spans="1:32" ht="16.5" customHeight="1" x14ac:dyDescent="0.3">
      <c r="A496" s="2">
        <v>15</v>
      </c>
      <c r="B496" s="2" t="s">
        <v>1967</v>
      </c>
      <c r="C496" s="60" t="s">
        <v>11918</v>
      </c>
      <c r="D496" s="1"/>
      <c r="E496" s="68"/>
      <c r="F496" s="70"/>
      <c r="G496" s="1"/>
      <c r="H496" s="68"/>
      <c r="I496" s="70"/>
      <c r="J496" s="1"/>
      <c r="K496" s="68"/>
      <c r="L496" s="70"/>
      <c r="M496" s="74"/>
      <c r="N496" s="62"/>
      <c r="O496" s="63"/>
      <c r="P496" s="83"/>
      <c r="Q496" s="64"/>
      <c r="R496" s="65"/>
      <c r="S496" s="99"/>
      <c r="T496" s="70"/>
      <c r="U496" s="99"/>
      <c r="V496" s="70"/>
      <c r="W496" s="74" t="s">
        <v>17987</v>
      </c>
      <c r="X496" s="62"/>
      <c r="Y496" s="63"/>
      <c r="Z496" s="75"/>
      <c r="AA496" s="1"/>
      <c r="AB496" s="68"/>
      <c r="AC496" s="76"/>
      <c r="AD496" s="70"/>
      <c r="AE496" s="228">
        <f>ROUND((ROUND((_15_同援日０．５*(1+_15・A早朝)),0)*(1+_15・盲ろう)),0)+ROUND((_15_同援日０．５＿２．０*(1+_15・盲ろう)),0)+ROUND((ROUND((_15_同援日０．５＿２．０＿０．５*(1+_15・C夜間)),0)*(1+_15・盲ろう)),0)</f>
        <v>842</v>
      </c>
      <c r="AF496" s="69"/>
    </row>
    <row r="497" spans="1:32" ht="16.5" customHeight="1" x14ac:dyDescent="0.3">
      <c r="A497" s="2">
        <v>15</v>
      </c>
      <c r="B497" s="2" t="s">
        <v>1968</v>
      </c>
      <c r="C497" s="60" t="s">
        <v>11917</v>
      </c>
      <c r="D497" s="1"/>
      <c r="E497" s="68"/>
      <c r="F497" s="70"/>
      <c r="G497" s="1"/>
      <c r="H497" s="68"/>
      <c r="I497" s="70"/>
      <c r="J497" s="1"/>
      <c r="K497" s="68"/>
      <c r="L497" s="70"/>
      <c r="M497" s="81"/>
      <c r="N497" s="57"/>
      <c r="O497" s="58"/>
      <c r="P497" s="83" t="s">
        <v>5895</v>
      </c>
      <c r="Q497" s="64" t="s">
        <v>1</v>
      </c>
      <c r="R497" s="65">
        <v>1</v>
      </c>
      <c r="S497" s="113" t="s">
        <v>7895</v>
      </c>
      <c r="T497" s="70"/>
      <c r="U497" s="108" t="s">
        <v>7743</v>
      </c>
      <c r="V497" s="70"/>
      <c r="W497" s="1" t="s">
        <v>17973</v>
      </c>
      <c r="X497" s="68"/>
      <c r="Y497" s="76"/>
      <c r="Z497" s="70"/>
      <c r="AA497" s="1"/>
      <c r="AB497" s="68"/>
      <c r="AC497" s="76"/>
      <c r="AD497" s="70"/>
      <c r="AE497" s="228">
        <f>ROUND((ROUND((ROUND((_15_同援日０．５*_15・２人),0)*(1+_15・A早朝)),0)*(1+_15・盲ろう)),0)+ROUND((ROUND((_15_同援日０．５＿２．０*_15・２人),0)*(1+_15・盲ろう)),0)+ROUND((ROUND((ROUND((_15_同援日０．５＿２．０＿０．５*_15・２人),0)*(1+_15・C夜間)),0)*(1+_15・盲ろう)),0)</f>
        <v>842</v>
      </c>
      <c r="AF497" s="69"/>
    </row>
    <row r="498" spans="1:32" ht="16.5" customHeight="1" x14ac:dyDescent="0.3">
      <c r="A498" s="2">
        <v>15</v>
      </c>
      <c r="B498" s="2" t="s">
        <v>1969</v>
      </c>
      <c r="C498" s="60" t="s">
        <v>11916</v>
      </c>
      <c r="D498" s="1"/>
      <c r="E498" s="68"/>
      <c r="F498" s="70"/>
      <c r="G498" s="1"/>
      <c r="H498" s="68"/>
      <c r="I498" s="70"/>
      <c r="J498" s="1"/>
      <c r="K498" s="68"/>
      <c r="L498" s="70"/>
      <c r="M498" s="74" t="s">
        <v>17972</v>
      </c>
      <c r="N498" s="62"/>
      <c r="O498" s="63"/>
      <c r="P498" s="83"/>
      <c r="Q498" s="64"/>
      <c r="R498" s="65"/>
      <c r="S498" s="99"/>
      <c r="T498" s="110" t="s">
        <v>7948</v>
      </c>
      <c r="U498" s="99"/>
      <c r="V498" s="110" t="s">
        <v>7947</v>
      </c>
      <c r="W498" s="1"/>
      <c r="X498" s="68" t="s">
        <v>1</v>
      </c>
      <c r="Y498" s="76">
        <v>0.25</v>
      </c>
      <c r="Z498" s="70" t="s">
        <v>422</v>
      </c>
      <c r="AA498" s="1"/>
      <c r="AB498" s="68"/>
      <c r="AC498" s="76"/>
      <c r="AD498" s="70"/>
      <c r="AE498" s="228">
        <f>ROUND((ROUND((ROUND((_15_同援日０．５*_15・基礎２),0)*(1+_15・A早朝)),0)*(1+_15・盲ろう)),0)+ROUND((ROUND((_15_同援日０．５＿２．０*_15・基礎２),0)*(1+_15・盲ろう)),0)+ROUND((ROUND((ROUND((_15_同援日０．５＿２．０＿０．５*_15・基礎２),0)*(1+_15・C夜間)),0)*(1+_15・盲ろう)),0)</f>
        <v>759</v>
      </c>
      <c r="AF498" s="69"/>
    </row>
    <row r="499" spans="1:32" ht="16.5" customHeight="1" x14ac:dyDescent="0.3">
      <c r="A499" s="2">
        <v>15</v>
      </c>
      <c r="B499" s="2" t="s">
        <v>1970</v>
      </c>
      <c r="C499" s="60" t="s">
        <v>11915</v>
      </c>
      <c r="D499" s="1"/>
      <c r="E499" s="68"/>
      <c r="F499" s="70"/>
      <c r="G499" s="1"/>
      <c r="H499" s="68"/>
      <c r="I499" s="70"/>
      <c r="J499" s="1"/>
      <c r="K499" s="68"/>
      <c r="L499" s="70"/>
      <c r="M499" s="81" t="s">
        <v>17864</v>
      </c>
      <c r="N499" s="57" t="s">
        <v>1</v>
      </c>
      <c r="O499" s="58">
        <v>0.9</v>
      </c>
      <c r="P499" s="83" t="s">
        <v>5895</v>
      </c>
      <c r="Q499" s="64" t="s">
        <v>1</v>
      </c>
      <c r="R499" s="65">
        <v>1</v>
      </c>
      <c r="S499" s="99"/>
      <c r="T499" s="70"/>
      <c r="U499" s="99"/>
      <c r="V499" s="70"/>
      <c r="W499" s="81"/>
      <c r="X499" s="57"/>
      <c r="Y499" s="58"/>
      <c r="Z499" s="77"/>
      <c r="AA499" s="81"/>
      <c r="AB499" s="57"/>
      <c r="AC499" s="58"/>
      <c r="AD499" s="77"/>
      <c r="AE499" s="228">
        <f>ROUND((ROUND((ROUND((ROUND((_15_同援日０．５*_15・基礎２),0)*_15・２人),0)*(1+_15・A早朝)),0)*(1+_15・盲ろう)),0)+ROUND((ROUND((ROUND((_15_同援日０．５＿２．０*_15・基礎２),0)*_15・２人),0)*(1+_15・盲ろう)),0)+ROUND((ROUND((ROUND((ROUND((_15_同援日０．５＿２．０＿０．５*_15・基礎２),0)*_15・２人),0)*(1+_15・C夜間)),0)*(1+_15・盲ろう)),0)</f>
        <v>759</v>
      </c>
      <c r="AF499" s="69"/>
    </row>
    <row r="500" spans="1:32" ht="16.5" customHeight="1" x14ac:dyDescent="0.3">
      <c r="A500" s="2">
        <v>15</v>
      </c>
      <c r="B500" s="2" t="s">
        <v>1971</v>
      </c>
      <c r="C500" s="60" t="s">
        <v>11914</v>
      </c>
      <c r="D500" s="1"/>
      <c r="E500" s="68"/>
      <c r="F500" s="70"/>
      <c r="G500" s="1"/>
      <c r="H500" s="68"/>
      <c r="I500" s="70"/>
      <c r="J500" s="1"/>
      <c r="K500" s="68"/>
      <c r="L500" s="70"/>
      <c r="M500" s="74"/>
      <c r="N500" s="62"/>
      <c r="O500" s="63"/>
      <c r="P500" s="83"/>
      <c r="Q500" s="64"/>
      <c r="R500" s="65"/>
      <c r="S500" s="67" t="s">
        <v>1</v>
      </c>
      <c r="T500" s="93">
        <v>0.25</v>
      </c>
      <c r="U500" s="67" t="s">
        <v>1</v>
      </c>
      <c r="V500" s="93">
        <v>0.25</v>
      </c>
      <c r="W500" s="74"/>
      <c r="X500" s="62"/>
      <c r="Y500" s="63"/>
      <c r="Z500" s="75"/>
      <c r="AA500" s="74"/>
      <c r="AB500" s="62"/>
      <c r="AC500" s="63"/>
      <c r="AD500" s="75"/>
      <c r="AE500" s="228">
        <f>ROUND((ROUND((_15_同援日０．５*(1+_15・A早朝)),0)*(1+_15・区３)),0)+ROUND((_15_同援日０．５＿２．０*(1+_15・区３)),0)+ROUND((ROUND((_15_同援日０．５＿２．０＿０．５*(1+_15・C夜間)),0)*(1+_15・区３)),0)</f>
        <v>808</v>
      </c>
      <c r="AF500" s="69"/>
    </row>
    <row r="501" spans="1:32" ht="16.5" customHeight="1" x14ac:dyDescent="0.3">
      <c r="A501" s="2">
        <v>15</v>
      </c>
      <c r="B501" s="2" t="s">
        <v>1972</v>
      </c>
      <c r="C501" s="60" t="s">
        <v>11913</v>
      </c>
      <c r="D501" s="1"/>
      <c r="E501" s="68"/>
      <c r="F501" s="70"/>
      <c r="G501" s="1"/>
      <c r="H501" s="68"/>
      <c r="I501" s="70"/>
      <c r="J501" s="1"/>
      <c r="K501" s="68"/>
      <c r="L501" s="70"/>
      <c r="M501" s="81"/>
      <c r="N501" s="57"/>
      <c r="O501" s="58"/>
      <c r="P501" s="83" t="s">
        <v>5895</v>
      </c>
      <c r="Q501" s="64" t="s">
        <v>1</v>
      </c>
      <c r="R501" s="65">
        <v>1</v>
      </c>
      <c r="S501" s="99"/>
      <c r="T501" s="100" t="s">
        <v>422</v>
      </c>
      <c r="U501" s="99"/>
      <c r="V501" s="100" t="s">
        <v>422</v>
      </c>
      <c r="W501" s="1"/>
      <c r="X501" s="68"/>
      <c r="Y501" s="76"/>
      <c r="Z501" s="70"/>
      <c r="AA501" s="1"/>
      <c r="AB501" s="68"/>
      <c r="AC501" s="76"/>
      <c r="AD501" s="70"/>
      <c r="AE501" s="228">
        <f>ROUND((ROUND((ROUND((_15_同援日０．５*_15・２人),0)*(1+_15・A早朝)),0)*(1+_15・区３)),0)+ROUND((ROUND((_15_同援日０．５＿２．０*_15・２人),0)*(1+_15・区３)),0)+ROUND((ROUND((ROUND((_15_同援日０．５＿２．０＿０．５*_15・２人),0)*(1+_15・C夜間)),0)*(1+_15・区３)),0)</f>
        <v>808</v>
      </c>
      <c r="AF501" s="69"/>
    </row>
    <row r="502" spans="1:32" ht="16.5" customHeight="1" x14ac:dyDescent="0.3">
      <c r="A502" s="2">
        <v>15</v>
      </c>
      <c r="B502" s="2" t="s">
        <v>1973</v>
      </c>
      <c r="C502" s="60" t="s">
        <v>11912</v>
      </c>
      <c r="D502" s="1"/>
      <c r="E502" s="68"/>
      <c r="F502" s="70"/>
      <c r="G502" s="1"/>
      <c r="H502" s="68"/>
      <c r="I502" s="70"/>
      <c r="J502" s="1"/>
      <c r="K502" s="68"/>
      <c r="L502" s="70"/>
      <c r="M502" s="74" t="s">
        <v>17972</v>
      </c>
      <c r="N502" s="62"/>
      <c r="O502" s="63"/>
      <c r="P502" s="83"/>
      <c r="Q502" s="64"/>
      <c r="R502" s="65"/>
      <c r="S502" s="99"/>
      <c r="T502" s="70"/>
      <c r="U502" s="99"/>
      <c r="V502" s="70"/>
      <c r="W502" s="1"/>
      <c r="X502" s="68"/>
      <c r="Y502" s="76"/>
      <c r="Z502" s="70"/>
      <c r="AA502" s="1" t="s">
        <v>17997</v>
      </c>
      <c r="AB502" s="68"/>
      <c r="AC502" s="76"/>
      <c r="AD502" s="70"/>
      <c r="AE502" s="228">
        <f>ROUND((ROUND((ROUND((_15_同援日０．５*_15・基礎２),0)*(1+_15・A早朝)),0)*(1+_15・区３)),0)+ROUND((ROUND((_15_同援日０．５＿２．０*_15・基礎２),0)*(1+_15・区３)),0)+ROUND((ROUND((ROUND((_15_同援日０．５＿２．０＿０．５*_15・基礎２),0)*(1+_15・C夜間)),0)*(1+_15・区３)),0)</f>
        <v>729</v>
      </c>
      <c r="AF502" s="69"/>
    </row>
    <row r="503" spans="1:32" ht="16.5" customHeight="1" x14ac:dyDescent="0.3">
      <c r="A503" s="2">
        <v>15</v>
      </c>
      <c r="B503" s="2" t="s">
        <v>1974</v>
      </c>
      <c r="C503" s="60" t="s">
        <v>11911</v>
      </c>
      <c r="D503" s="1"/>
      <c r="E503" s="68"/>
      <c r="F503" s="70"/>
      <c r="G503" s="1"/>
      <c r="H503" s="68"/>
      <c r="I503" s="70"/>
      <c r="J503" s="1"/>
      <c r="K503" s="68"/>
      <c r="L503" s="70"/>
      <c r="M503" s="81" t="s">
        <v>17864</v>
      </c>
      <c r="N503" s="57" t="s">
        <v>1</v>
      </c>
      <c r="O503" s="58">
        <v>0.9</v>
      </c>
      <c r="P503" s="83" t="s">
        <v>5895</v>
      </c>
      <c r="Q503" s="64" t="s">
        <v>1</v>
      </c>
      <c r="R503" s="65">
        <v>1</v>
      </c>
      <c r="S503" s="99"/>
      <c r="T503" s="70"/>
      <c r="U503" s="99"/>
      <c r="V503" s="70"/>
      <c r="W503" s="81"/>
      <c r="X503" s="57"/>
      <c r="Y503" s="58"/>
      <c r="Z503" s="77"/>
      <c r="AA503" s="1" t="s">
        <v>17980</v>
      </c>
      <c r="AB503" s="68"/>
      <c r="AC503" s="76"/>
      <c r="AD503" s="70"/>
      <c r="AE503" s="228">
        <f>ROUND((ROUND((ROUND((ROUND((_15_同援日０．５*_15・基礎２),0)*_15・２人),0)*(1+_15・A早朝)),0)*(1+_15・区３)),0)+ROUND((ROUND((ROUND((_15_同援日０．５＿２．０*_15・基礎２),0)*_15・２人),0)*(1+_15・区３)),0)+ROUND((ROUND((ROUND((ROUND((_15_同援日０．５＿２．０＿０．５*_15・基礎２),0)*_15・２人),0)*(1+_15・C夜間)),0)*(1+_15・区３)),0)</f>
        <v>729</v>
      </c>
      <c r="AF503" s="69"/>
    </row>
    <row r="504" spans="1:32" ht="16.5" customHeight="1" x14ac:dyDescent="0.3">
      <c r="A504" s="2">
        <v>15</v>
      </c>
      <c r="B504" s="2" t="s">
        <v>1975</v>
      </c>
      <c r="C504" s="60" t="s">
        <v>11910</v>
      </c>
      <c r="D504" s="1"/>
      <c r="E504" s="68"/>
      <c r="F504" s="70"/>
      <c r="G504" s="1"/>
      <c r="H504" s="68"/>
      <c r="I504" s="70"/>
      <c r="J504" s="1"/>
      <c r="K504" s="68"/>
      <c r="L504" s="70"/>
      <c r="M504" s="74"/>
      <c r="N504" s="62"/>
      <c r="O504" s="63"/>
      <c r="P504" s="83"/>
      <c r="Q504" s="64"/>
      <c r="R504" s="65"/>
      <c r="S504" s="99"/>
      <c r="T504" s="70"/>
      <c r="U504" s="99"/>
      <c r="V504" s="70"/>
      <c r="W504" s="74" t="s">
        <v>17987</v>
      </c>
      <c r="X504" s="62"/>
      <c r="Y504" s="63"/>
      <c r="Z504" s="75"/>
      <c r="AA504" s="1"/>
      <c r="AB504" s="68" t="s">
        <v>1</v>
      </c>
      <c r="AC504" s="76">
        <v>0.2</v>
      </c>
      <c r="AD504" s="70" t="s">
        <v>422</v>
      </c>
      <c r="AE504" s="228">
        <f>ROUND((ROUND((ROUND((_15_同援日０．５*(1+_15・A早朝)),0)*(1+_15・盲ろう)),0)*(1+_15・区３)),0)+ROUND((ROUND((_15_同援日０．５＿２．０*(1+_15・盲ろう)),0)*(1+_15・区３)),0)+ROUND((ROUND((ROUND((_15_同援日０．５＿２．０＿０．５*(1+_15・C夜間)),0)*(1+_15・盲ろう)),0)*(1+_15・区３)),0)</f>
        <v>1011</v>
      </c>
      <c r="AF504" s="69"/>
    </row>
    <row r="505" spans="1:32" ht="16.5" customHeight="1" x14ac:dyDescent="0.3">
      <c r="A505" s="2">
        <v>15</v>
      </c>
      <c r="B505" s="2" t="s">
        <v>1976</v>
      </c>
      <c r="C505" s="60" t="s">
        <v>11909</v>
      </c>
      <c r="D505" s="1"/>
      <c r="E505" s="68"/>
      <c r="F505" s="70"/>
      <c r="G505" s="1"/>
      <c r="H505" s="68"/>
      <c r="I505" s="70"/>
      <c r="J505" s="1"/>
      <c r="K505" s="68"/>
      <c r="L505" s="70"/>
      <c r="M505" s="81"/>
      <c r="N505" s="57"/>
      <c r="O505" s="58"/>
      <c r="P505" s="83" t="s">
        <v>5895</v>
      </c>
      <c r="Q505" s="64" t="s">
        <v>1</v>
      </c>
      <c r="R505" s="65">
        <v>1</v>
      </c>
      <c r="S505" s="99"/>
      <c r="T505" s="70"/>
      <c r="U505" s="99"/>
      <c r="V505" s="70"/>
      <c r="W505" s="1" t="s">
        <v>17973</v>
      </c>
      <c r="X505" s="68"/>
      <c r="Y505" s="76"/>
      <c r="Z505" s="70"/>
      <c r="AA505" s="1"/>
      <c r="AB505" s="68"/>
      <c r="AC505" s="76"/>
      <c r="AD505" s="70"/>
      <c r="AE505" s="228">
        <f>ROUND((ROUND((ROUND((ROUND((_15_同援日０．５*_15・２人),0)*(1+_15・A早朝)),0)*(1+_15・盲ろう)),0)*(1+_15・区３)),0)+ROUND((ROUND((ROUND((_15_同援日０．５＿２．０*_15・２人),0)*(1+_15・盲ろう)),0)*(1+_15・区３)),0)+ROUND((ROUND((ROUND((ROUND((_15_同援日０．５＿２．０＿０．５*_15・２人),0)*(1+_15・C夜間)),0)*(1+_15・盲ろう)),0)*(1+_15・区３)),0)</f>
        <v>1011</v>
      </c>
      <c r="AF505" s="69"/>
    </row>
    <row r="506" spans="1:32" ht="16.5" customHeight="1" x14ac:dyDescent="0.3">
      <c r="A506" s="2">
        <v>15</v>
      </c>
      <c r="B506" s="2" t="s">
        <v>1977</v>
      </c>
      <c r="C506" s="60" t="s">
        <v>11908</v>
      </c>
      <c r="D506" s="1"/>
      <c r="E506" s="68"/>
      <c r="F506" s="70"/>
      <c r="G506" s="1"/>
      <c r="H506" s="68"/>
      <c r="I506" s="70"/>
      <c r="J506" s="1"/>
      <c r="K506" s="68"/>
      <c r="L506" s="70"/>
      <c r="M506" s="74" t="s">
        <v>17972</v>
      </c>
      <c r="N506" s="62"/>
      <c r="O506" s="63"/>
      <c r="P506" s="83"/>
      <c r="Q506" s="64"/>
      <c r="R506" s="65"/>
      <c r="S506" s="99"/>
      <c r="T506" s="70"/>
      <c r="U506" s="99"/>
      <c r="V506" s="70"/>
      <c r="W506" s="1"/>
      <c r="X506" s="68" t="s">
        <v>1</v>
      </c>
      <c r="Y506" s="76">
        <v>0.25</v>
      </c>
      <c r="Z506" s="70" t="s">
        <v>422</v>
      </c>
      <c r="AA506" s="1"/>
      <c r="AB506" s="68"/>
      <c r="AC506" s="76"/>
      <c r="AD506" s="70"/>
      <c r="AE506" s="228">
        <f>ROUND((ROUND((ROUND((ROUND((_15_同援日０．５*_15・基礎２),0)*(1+_15・A早朝)),0)*(1+_15・盲ろう)),0)*(1+_15・区３)),0)+ROUND((ROUND((ROUND((_15_同援日０．５＿２．０*_15・基礎２),0)*(1+_15・盲ろう)),0)*(1+_15・区３)),0)+ROUND((ROUND((ROUND((ROUND((_15_同援日０．５＿２．０＿０．５*_15・基礎２),0)*(1+_15・C夜間)),0)*(1+_15・盲ろう)),0)*(1+_15・区３)),0)</f>
        <v>911</v>
      </c>
      <c r="AF506" s="69"/>
    </row>
    <row r="507" spans="1:32" ht="16.5" customHeight="1" x14ac:dyDescent="0.3">
      <c r="A507" s="2">
        <v>15</v>
      </c>
      <c r="B507" s="2" t="s">
        <v>1978</v>
      </c>
      <c r="C507" s="60" t="s">
        <v>11907</v>
      </c>
      <c r="D507" s="1"/>
      <c r="E507" s="68"/>
      <c r="F507" s="70"/>
      <c r="G507" s="1"/>
      <c r="H507" s="68"/>
      <c r="I507" s="70"/>
      <c r="J507" s="1"/>
      <c r="K507" s="68"/>
      <c r="L507" s="70"/>
      <c r="M507" s="81" t="s">
        <v>17864</v>
      </c>
      <c r="N507" s="57" t="s">
        <v>1</v>
      </c>
      <c r="O507" s="58">
        <v>0.9</v>
      </c>
      <c r="P507" s="83" t="s">
        <v>5895</v>
      </c>
      <c r="Q507" s="64" t="s">
        <v>1</v>
      </c>
      <c r="R507" s="65">
        <v>1</v>
      </c>
      <c r="S507" s="99"/>
      <c r="T507" s="70"/>
      <c r="U507" s="99"/>
      <c r="V507" s="70"/>
      <c r="W507" s="81"/>
      <c r="X507" s="57"/>
      <c r="Y507" s="58"/>
      <c r="Z507" s="77"/>
      <c r="AA507" s="81"/>
      <c r="AB507" s="57"/>
      <c r="AC507" s="58"/>
      <c r="AD507" s="77"/>
      <c r="AE507" s="228">
        <f>ROUND((ROUND((ROUND((ROUND((ROUND((_15_同援日０．５*_15・基礎２),0)*_15・２人),0)*(1+_15・A早朝)),0)*(1+_15・盲ろう)),0)*(1+_15・区３)),0)+ROUND((ROUND((ROUND((ROUND((_15_同援日０．５＿２．０*_15・基礎２),0)*_15・２人),0)*(1+_15・盲ろう)),0)*(1+_15・区３)),0)+ROUND((ROUND((ROUND((ROUND((ROUND((_15_同援日０．５＿２．０＿０．５*_15・基礎２),0)*_15・２人),0)*(1+_15・C夜間)),0)*(1+_15・盲ろう)),0)*(1+_15・区３)),0)</f>
        <v>911</v>
      </c>
      <c r="AF507" s="69"/>
    </row>
    <row r="508" spans="1:32" ht="16.5" customHeight="1" x14ac:dyDescent="0.3">
      <c r="A508" s="2">
        <v>15</v>
      </c>
      <c r="B508" s="2" t="s">
        <v>1979</v>
      </c>
      <c r="C508" s="60" t="s">
        <v>11906</v>
      </c>
      <c r="D508" s="1"/>
      <c r="E508" s="68"/>
      <c r="F508" s="70"/>
      <c r="G508" s="1"/>
      <c r="H508" s="68"/>
      <c r="I508" s="70"/>
      <c r="J508" s="1"/>
      <c r="K508" s="68"/>
      <c r="L508" s="70"/>
      <c r="M508" s="74"/>
      <c r="N508" s="62"/>
      <c r="O508" s="63"/>
      <c r="P508" s="83"/>
      <c r="Q508" s="64"/>
      <c r="R508" s="65"/>
      <c r="S508" s="99"/>
      <c r="T508" s="70"/>
      <c r="U508" s="99"/>
      <c r="V508" s="70"/>
      <c r="W508" s="74"/>
      <c r="X508" s="62"/>
      <c r="Y508" s="63"/>
      <c r="Z508" s="75"/>
      <c r="AA508" s="74"/>
      <c r="AB508" s="62"/>
      <c r="AC508" s="63"/>
      <c r="AD508" s="75"/>
      <c r="AE508" s="228">
        <f>ROUND((ROUND((_15_同援日０．５*(1+_15・A早朝)),0)*(1+_15・区４)),0)+ROUND((_15_同援日０．５＿２．０*(1+_15・区４)),0)+ROUND((ROUND((_15_同援日０．５＿２．０＿０．５*(1+_15・C夜間)),0)*(1+_15・区４)),0)</f>
        <v>943</v>
      </c>
      <c r="AF508" s="69"/>
    </row>
    <row r="509" spans="1:32" ht="16.5" customHeight="1" x14ac:dyDescent="0.3">
      <c r="A509" s="2">
        <v>15</v>
      </c>
      <c r="B509" s="2" t="s">
        <v>1980</v>
      </c>
      <c r="C509" s="60" t="s">
        <v>11905</v>
      </c>
      <c r="D509" s="1"/>
      <c r="E509" s="68"/>
      <c r="F509" s="70"/>
      <c r="G509" s="1"/>
      <c r="H509" s="68"/>
      <c r="I509" s="70"/>
      <c r="J509" s="1"/>
      <c r="K509" s="68"/>
      <c r="L509" s="70"/>
      <c r="M509" s="81"/>
      <c r="N509" s="57"/>
      <c r="O509" s="58"/>
      <c r="P509" s="83" t="s">
        <v>5895</v>
      </c>
      <c r="Q509" s="64" t="s">
        <v>1</v>
      </c>
      <c r="R509" s="65">
        <v>1</v>
      </c>
      <c r="S509" s="99"/>
      <c r="T509" s="70"/>
      <c r="U509" s="99"/>
      <c r="V509" s="70"/>
      <c r="W509" s="1"/>
      <c r="X509" s="68"/>
      <c r="Y509" s="76"/>
      <c r="Z509" s="70"/>
      <c r="AA509" s="1"/>
      <c r="AB509" s="68"/>
      <c r="AC509" s="76"/>
      <c r="AD509" s="70"/>
      <c r="AE509" s="228">
        <f>ROUND((ROUND((ROUND((_15_同援日０．５*_15・２人),0)*(1+_15・A早朝)),0)*(1+_15・区４)),0)+ROUND((ROUND((_15_同援日０．５＿２．０*_15・２人),0)*(1+_15・区４)),0)+ROUND((ROUND((ROUND((_15_同援日０．５＿２．０＿０．５*_15・２人),0)*(1+_15・C夜間)),0)*(1+_15・区４)),0)</f>
        <v>943</v>
      </c>
      <c r="AF509" s="69"/>
    </row>
    <row r="510" spans="1:32" ht="16.5" customHeight="1" x14ac:dyDescent="0.3">
      <c r="A510" s="2">
        <v>15</v>
      </c>
      <c r="B510" s="2" t="s">
        <v>1981</v>
      </c>
      <c r="C510" s="60" t="s">
        <v>11904</v>
      </c>
      <c r="D510" s="1"/>
      <c r="E510" s="68"/>
      <c r="F510" s="70"/>
      <c r="G510" s="1"/>
      <c r="H510" s="68"/>
      <c r="I510" s="70"/>
      <c r="J510" s="1"/>
      <c r="K510" s="68"/>
      <c r="L510" s="70"/>
      <c r="M510" s="74" t="s">
        <v>17972</v>
      </c>
      <c r="N510" s="62"/>
      <c r="O510" s="63"/>
      <c r="P510" s="83"/>
      <c r="Q510" s="64"/>
      <c r="R510" s="65"/>
      <c r="S510" s="99"/>
      <c r="T510" s="70"/>
      <c r="U510" s="99"/>
      <c r="V510" s="70"/>
      <c r="W510" s="1"/>
      <c r="X510" s="68"/>
      <c r="Y510" s="76"/>
      <c r="Z510" s="70"/>
      <c r="AA510" s="1" t="s">
        <v>17988</v>
      </c>
      <c r="AB510" s="68"/>
      <c r="AC510" s="76"/>
      <c r="AD510" s="70"/>
      <c r="AE510" s="228">
        <f>ROUND((ROUND((ROUND((_15_同援日０．５*_15・基礎２),0)*(1+_15・A早朝)),0)*(1+_15・区４)),0)+ROUND((ROUND((_15_同援日０．５＿２．０*_15・基礎２),0)*(1+_15・区４)),0)+ROUND((ROUND((ROUND((_15_同援日０．５＿２．０＿０．５*_15・基礎２),0)*(1+_15・C夜間)),0)*(1+_15・区４)),0)</f>
        <v>849</v>
      </c>
      <c r="AF510" s="69"/>
    </row>
    <row r="511" spans="1:32" ht="16.5" customHeight="1" x14ac:dyDescent="0.3">
      <c r="A511" s="2">
        <v>15</v>
      </c>
      <c r="B511" s="2" t="s">
        <v>1982</v>
      </c>
      <c r="C511" s="60" t="s">
        <v>11903</v>
      </c>
      <c r="D511" s="1"/>
      <c r="E511" s="68"/>
      <c r="F511" s="70"/>
      <c r="G511" s="1"/>
      <c r="H511" s="68"/>
      <c r="I511" s="70"/>
      <c r="J511" s="1"/>
      <c r="K511" s="68"/>
      <c r="L511" s="70"/>
      <c r="M511" s="81" t="s">
        <v>17864</v>
      </c>
      <c r="N511" s="57" t="s">
        <v>1</v>
      </c>
      <c r="O511" s="58">
        <v>0.9</v>
      </c>
      <c r="P511" s="83" t="s">
        <v>5895</v>
      </c>
      <c r="Q511" s="64" t="s">
        <v>1</v>
      </c>
      <c r="R511" s="65">
        <v>1</v>
      </c>
      <c r="S511" s="99"/>
      <c r="T511" s="70"/>
      <c r="U511" s="99"/>
      <c r="V511" s="70"/>
      <c r="W511" s="81"/>
      <c r="X511" s="57"/>
      <c r="Y511" s="58"/>
      <c r="Z511" s="77"/>
      <c r="AA511" s="1" t="s">
        <v>17980</v>
      </c>
      <c r="AB511" s="68"/>
      <c r="AC511" s="76"/>
      <c r="AD511" s="70"/>
      <c r="AE511" s="228">
        <f>ROUND((ROUND((ROUND((ROUND((_15_同援日０．５*_15・基礎２),0)*_15・２人),0)*(1+_15・A早朝)),0)*(1+_15・区４)),0)+ROUND((ROUND((ROUND((_15_同援日０．５＿２．０*_15・基礎２),0)*_15・２人),0)*(1+_15・区４)),0)+ROUND((ROUND((ROUND((ROUND((_15_同援日０．５＿２．０＿０．５*_15・基礎２),0)*_15・２人),0)*(1+_15・C夜間)),0)*(1+_15・区４)),0)</f>
        <v>849</v>
      </c>
      <c r="AF511" s="69"/>
    </row>
    <row r="512" spans="1:32" ht="16.5" customHeight="1" x14ac:dyDescent="0.3">
      <c r="A512" s="2">
        <v>15</v>
      </c>
      <c r="B512" s="2" t="s">
        <v>1983</v>
      </c>
      <c r="C512" s="60" t="s">
        <v>11902</v>
      </c>
      <c r="D512" s="1"/>
      <c r="E512" s="68"/>
      <c r="F512" s="70"/>
      <c r="G512" s="1"/>
      <c r="H512" s="68"/>
      <c r="I512" s="70"/>
      <c r="J512" s="1"/>
      <c r="K512" s="68"/>
      <c r="L512" s="70"/>
      <c r="M512" s="74"/>
      <c r="N512" s="62"/>
      <c r="O512" s="63"/>
      <c r="P512" s="83"/>
      <c r="Q512" s="64"/>
      <c r="R512" s="65"/>
      <c r="S512" s="99"/>
      <c r="T512" s="70"/>
      <c r="U512" s="99"/>
      <c r="V512" s="70"/>
      <c r="W512" s="74" t="s">
        <v>17987</v>
      </c>
      <c r="X512" s="62"/>
      <c r="Y512" s="63"/>
      <c r="Z512" s="75"/>
      <c r="AA512" s="1"/>
      <c r="AB512" s="68" t="s">
        <v>1</v>
      </c>
      <c r="AC512" s="76">
        <v>0.4</v>
      </c>
      <c r="AD512" s="70" t="s">
        <v>422</v>
      </c>
      <c r="AE512" s="228">
        <f>ROUND((ROUND((ROUND((_15_同援日０．５*(1+_15・A早朝)),0)*(1+_15・盲ろう)),0)*(1+_15・区４)),0)+ROUND((ROUND((_15_同援日０．５＿２．０*(1+_15・盲ろう)),0)*(1+_15・区４)),0)+ROUND((ROUND((ROUND((_15_同援日０．５＿２．０＿０．５*(1+_15・C夜間)),0)*(1+_15・盲ろう)),0)*(1+_15・区４)),0)</f>
        <v>1179</v>
      </c>
      <c r="AF512" s="69"/>
    </row>
    <row r="513" spans="1:32" ht="16.5" customHeight="1" x14ac:dyDescent="0.3">
      <c r="A513" s="2">
        <v>15</v>
      </c>
      <c r="B513" s="2" t="s">
        <v>1984</v>
      </c>
      <c r="C513" s="60" t="s">
        <v>11901</v>
      </c>
      <c r="D513" s="1"/>
      <c r="E513" s="68"/>
      <c r="F513" s="70"/>
      <c r="G513" s="1"/>
      <c r="H513" s="68"/>
      <c r="I513" s="70"/>
      <c r="J513" s="1"/>
      <c r="K513" s="68"/>
      <c r="L513" s="70"/>
      <c r="M513" s="81"/>
      <c r="N513" s="57"/>
      <c r="O513" s="58"/>
      <c r="P513" s="83" t="s">
        <v>5895</v>
      </c>
      <c r="Q513" s="64" t="s">
        <v>1</v>
      </c>
      <c r="R513" s="65">
        <v>1</v>
      </c>
      <c r="S513" s="99"/>
      <c r="T513" s="70"/>
      <c r="U513" s="99"/>
      <c r="V513" s="70"/>
      <c r="W513" s="1" t="s">
        <v>17973</v>
      </c>
      <c r="X513" s="68"/>
      <c r="Y513" s="76"/>
      <c r="Z513" s="70"/>
      <c r="AA513" s="1"/>
      <c r="AB513" s="68"/>
      <c r="AC513" s="76"/>
      <c r="AD513" s="70"/>
      <c r="AE513" s="228">
        <f>ROUND((ROUND((ROUND((ROUND((_15_同援日０．５*_15・２人),0)*(1+_15・A早朝)),0)*(1+_15・盲ろう)),0)*(1+_15・区４)),0)+ROUND((ROUND((ROUND((_15_同援日０．５＿２．０*_15・２人),0)*(1+_15・盲ろう)),0)*(1+_15・区４)),0)+ROUND((ROUND((ROUND((ROUND((_15_同援日０．５＿２．０＿０．５*_15・２人),0)*(1+_15・C夜間)),0)*(1+_15・盲ろう)),0)*(1+_15・区４)),0)</f>
        <v>1179</v>
      </c>
      <c r="AF513" s="69"/>
    </row>
    <row r="514" spans="1:32" ht="16.5" customHeight="1" x14ac:dyDescent="0.3">
      <c r="A514" s="2">
        <v>15</v>
      </c>
      <c r="B514" s="2" t="s">
        <v>1985</v>
      </c>
      <c r="C514" s="60" t="s">
        <v>11900</v>
      </c>
      <c r="D514" s="1"/>
      <c r="E514" s="68"/>
      <c r="F514" s="70"/>
      <c r="G514" s="1"/>
      <c r="H514" s="68"/>
      <c r="I514" s="70"/>
      <c r="J514" s="1"/>
      <c r="K514" s="68"/>
      <c r="L514" s="70"/>
      <c r="M514" s="74" t="s">
        <v>17972</v>
      </c>
      <c r="N514" s="62"/>
      <c r="O514" s="63"/>
      <c r="P514" s="83"/>
      <c r="Q514" s="64"/>
      <c r="R514" s="65"/>
      <c r="S514" s="99"/>
      <c r="T514" s="70"/>
      <c r="U514" s="99"/>
      <c r="V514" s="70"/>
      <c r="W514" s="1"/>
      <c r="X514" s="68" t="s">
        <v>1</v>
      </c>
      <c r="Y514" s="76">
        <v>0.25</v>
      </c>
      <c r="Z514" s="70" t="s">
        <v>422</v>
      </c>
      <c r="AA514" s="1"/>
      <c r="AB514" s="68"/>
      <c r="AC514" s="76"/>
      <c r="AD514" s="70"/>
      <c r="AE514" s="228">
        <f>ROUND((ROUND((ROUND((ROUND((_15_同援日０．５*_15・基礎２),0)*(1+_15・A早朝)),0)*(1+_15・盲ろう)),0)*(1+_15・区４)),0)+ROUND((ROUND((ROUND((_15_同援日０．５＿２．０*_15・基礎２),0)*(1+_15・盲ろう)),0)*(1+_15・区４)),0)+ROUND((ROUND((ROUND((ROUND((_15_同援日０．５＿２．０＿０．５*_15・基礎２),0)*(1+_15・C夜間)),0)*(1+_15・盲ろう)),0)*(1+_15・区４)),0)</f>
        <v>1063</v>
      </c>
      <c r="AF514" s="69"/>
    </row>
    <row r="515" spans="1:32" ht="16.5" customHeight="1" x14ac:dyDescent="0.3">
      <c r="A515" s="2">
        <v>15</v>
      </c>
      <c r="B515" s="2" t="s">
        <v>1986</v>
      </c>
      <c r="C515" s="60" t="s">
        <v>11899</v>
      </c>
      <c r="D515" s="81"/>
      <c r="E515" s="57"/>
      <c r="F515" s="77"/>
      <c r="G515" s="81"/>
      <c r="H515" s="57"/>
      <c r="I515" s="77"/>
      <c r="J515" s="81"/>
      <c r="K515" s="57"/>
      <c r="L515" s="77"/>
      <c r="M515" s="81" t="s">
        <v>17864</v>
      </c>
      <c r="N515" s="57" t="s">
        <v>1</v>
      </c>
      <c r="O515" s="58">
        <v>0.9</v>
      </c>
      <c r="P515" s="83" t="s">
        <v>5895</v>
      </c>
      <c r="Q515" s="64" t="s">
        <v>1</v>
      </c>
      <c r="R515" s="65">
        <v>1</v>
      </c>
      <c r="S515" s="101"/>
      <c r="T515" s="77"/>
      <c r="U515" s="101"/>
      <c r="V515" s="77"/>
      <c r="W515" s="81"/>
      <c r="X515" s="57"/>
      <c r="Y515" s="58"/>
      <c r="Z515" s="77"/>
      <c r="AA515" s="81"/>
      <c r="AB515" s="57"/>
      <c r="AC515" s="58"/>
      <c r="AD515" s="77"/>
      <c r="AE515" s="228">
        <f>ROUND((ROUND((ROUND((ROUND((ROUND((_15_同援日０．５*_15・基礎２),0)*_15・２人),0)*(1+_15・A早朝)),0)*(1+_15・盲ろう)),0)*(1+_15・区４)),0)+ROUND((ROUND((ROUND((ROUND((_15_同援日０．５＿２．０*_15・基礎２),0)*_15・２人),0)*(1+_15・盲ろう)),0)*(1+_15・区４)),0)+ROUND((ROUND((ROUND((ROUND((ROUND((_15_同援日０．５＿２．０＿０．５*_15・基礎２),0)*_15・２人),0)*(1+_15・C夜間)),0)*(1+_15・盲ろう)),0)*(1+_15・区４)),0)</f>
        <v>1063</v>
      </c>
      <c r="AF515" s="71"/>
    </row>
    <row r="516" spans="1:32" ht="16.5" customHeight="1" x14ac:dyDescent="0.3"/>
    <row r="517" spans="1:3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0" fitToHeight="0" orientation="portrait" r:id="rId1"/>
  <headerFooter>
    <oddHeader>&amp;R&amp;"ＭＳ Ｐゴシック"&amp;9同行援護</oddHeader>
    <oddFooter>&amp;C&amp;"ＭＳ Ｐゴシック"&amp;14&amp;P</oddFooter>
  </headerFooter>
  <rowBreaks count="4" manualBreakCount="4">
    <brk id="118" max="16383" man="1"/>
    <brk id="238" max="16383" man="1"/>
    <brk id="358" max="16383" man="1"/>
    <brk id="47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1" tint="0.249977111117893"/>
    <pageSetUpPr fitToPage="1"/>
  </sheetPr>
  <dimension ref="A1:U6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2.62890625" style="47" customWidth="1"/>
    <col min="19" max="19" width="4.734375" style="46" bestFit="1" customWidth="1"/>
    <col min="20" max="20" width="6.3671875" style="84" bestFit="1" customWidth="1"/>
    <col min="21" max="21" width="7.734375" style="48" bestFit="1" customWidth="1"/>
    <col min="22" max="16384" width="9" style="49"/>
  </cols>
  <sheetData>
    <row r="1" spans="1:21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5"/>
      <c r="S1" s="134"/>
      <c r="T1" s="136"/>
      <c r="U1" s="137"/>
    </row>
    <row r="2" spans="1:21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5"/>
      <c r="S2" s="134"/>
      <c r="T2" s="136"/>
      <c r="U2" s="137"/>
    </row>
    <row r="3" spans="1:21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5"/>
      <c r="S3" s="134"/>
      <c r="T3" s="136"/>
      <c r="U3" s="137"/>
    </row>
    <row r="4" spans="1:21" ht="16.5" customHeight="1" x14ac:dyDescent="0.3">
      <c r="A4" s="132"/>
      <c r="B4" s="138" t="s">
        <v>6189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5"/>
      <c r="S4" s="134"/>
      <c r="T4" s="136"/>
      <c r="U4" s="137"/>
    </row>
    <row r="5" spans="1:21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5"/>
      <c r="S5" s="144"/>
      <c r="T5" s="146" t="s">
        <v>5869</v>
      </c>
      <c r="U5" s="146" t="s">
        <v>5871</v>
      </c>
    </row>
    <row r="6" spans="1:21" ht="16.5" customHeight="1" x14ac:dyDescent="0.3">
      <c r="A6" s="147" t="s">
        <v>5865</v>
      </c>
      <c r="B6" s="147" t="s">
        <v>5866</v>
      </c>
      <c r="C6" s="148"/>
      <c r="D6" s="179" t="s">
        <v>16969</v>
      </c>
      <c r="E6" s="180"/>
      <c r="F6" s="181"/>
      <c r="G6" s="208" t="s">
        <v>16968</v>
      </c>
      <c r="H6" s="144"/>
      <c r="I6" s="206"/>
      <c r="J6" s="150"/>
      <c r="K6" s="150"/>
      <c r="L6" s="151"/>
      <c r="M6" s="150"/>
      <c r="N6" s="150"/>
      <c r="O6" s="151"/>
      <c r="P6" s="151"/>
      <c r="Q6" s="150"/>
      <c r="R6" s="151"/>
      <c r="S6" s="150"/>
      <c r="T6" s="154" t="s">
        <v>5870</v>
      </c>
      <c r="U6" s="154" t="s">
        <v>0</v>
      </c>
    </row>
    <row r="7" spans="1:21" ht="16.5" customHeight="1" x14ac:dyDescent="0.3">
      <c r="A7" s="147">
        <v>15</v>
      </c>
      <c r="B7" s="147">
        <v>1303</v>
      </c>
      <c r="C7" s="155" t="s">
        <v>6188</v>
      </c>
      <c r="D7" s="156" t="s">
        <v>16967</v>
      </c>
      <c r="E7" s="144"/>
      <c r="F7" s="144"/>
      <c r="G7" s="156" t="s">
        <v>16953</v>
      </c>
      <c r="H7" s="144"/>
      <c r="I7" s="206"/>
      <c r="J7" s="159"/>
      <c r="K7" s="160"/>
      <c r="L7" s="161"/>
      <c r="M7" s="162"/>
      <c r="N7" s="163"/>
      <c r="O7" s="164"/>
      <c r="P7" s="165"/>
      <c r="Q7" s="158"/>
      <c r="R7" s="165"/>
      <c r="S7" s="158"/>
      <c r="T7" s="178">
        <v>572</v>
      </c>
      <c r="U7" s="142" t="s">
        <v>5863</v>
      </c>
    </row>
    <row r="8" spans="1:21" ht="16.5" customHeight="1" x14ac:dyDescent="0.3">
      <c r="A8" s="147">
        <v>15</v>
      </c>
      <c r="B8" s="147">
        <v>1304</v>
      </c>
      <c r="C8" s="155" t="s">
        <v>6186</v>
      </c>
      <c r="D8" s="188" t="s">
        <v>16952</v>
      </c>
      <c r="E8" s="210"/>
      <c r="F8" s="210"/>
      <c r="G8" s="188" t="s">
        <v>16952</v>
      </c>
      <c r="H8" s="210"/>
      <c r="I8" s="211"/>
      <c r="J8" s="175"/>
      <c r="K8" s="150"/>
      <c r="L8" s="151"/>
      <c r="M8" s="162" t="s">
        <v>5895</v>
      </c>
      <c r="N8" s="163" t="s">
        <v>1</v>
      </c>
      <c r="O8" s="164">
        <v>1</v>
      </c>
      <c r="P8" s="170"/>
      <c r="Q8" s="171"/>
      <c r="R8" s="170"/>
      <c r="S8" s="171"/>
      <c r="T8" s="178">
        <v>572</v>
      </c>
      <c r="U8" s="172"/>
    </row>
    <row r="9" spans="1:21" ht="16.5" customHeight="1" x14ac:dyDescent="0.3">
      <c r="A9" s="147">
        <v>15</v>
      </c>
      <c r="B9" s="147">
        <v>1305</v>
      </c>
      <c r="C9" s="155" t="s">
        <v>6185</v>
      </c>
      <c r="D9" s="188"/>
      <c r="E9" s="205">
        <v>257</v>
      </c>
      <c r="F9" s="153" t="s">
        <v>0</v>
      </c>
      <c r="G9" s="188"/>
      <c r="H9" s="205">
        <v>149</v>
      </c>
      <c r="I9" s="171" t="s">
        <v>0</v>
      </c>
      <c r="J9" s="160" t="s">
        <v>16912</v>
      </c>
      <c r="K9" s="160"/>
      <c r="L9" s="161"/>
      <c r="M9" s="162"/>
      <c r="N9" s="163"/>
      <c r="O9" s="164"/>
      <c r="P9" s="170"/>
      <c r="Q9" s="171"/>
      <c r="R9" s="170"/>
      <c r="S9" s="171"/>
      <c r="T9" s="178">
        <v>400</v>
      </c>
      <c r="U9" s="172"/>
    </row>
    <row r="10" spans="1:21" ht="16.5" customHeight="1" x14ac:dyDescent="0.3">
      <c r="A10" s="147">
        <v>15</v>
      </c>
      <c r="B10" s="147">
        <v>1306</v>
      </c>
      <c r="C10" s="155" t="s">
        <v>6184</v>
      </c>
      <c r="D10" s="188"/>
      <c r="E10" s="153"/>
      <c r="F10" s="153"/>
      <c r="G10" s="188"/>
      <c r="H10" s="153"/>
      <c r="I10" s="171"/>
      <c r="J10" s="150" t="s">
        <v>16916</v>
      </c>
      <c r="K10" s="150" t="s">
        <v>1</v>
      </c>
      <c r="L10" s="151">
        <v>0.7</v>
      </c>
      <c r="M10" s="162" t="s">
        <v>5895</v>
      </c>
      <c r="N10" s="163" t="s">
        <v>1</v>
      </c>
      <c r="O10" s="164">
        <v>1</v>
      </c>
      <c r="P10" s="170"/>
      <c r="Q10" s="171"/>
      <c r="R10" s="170"/>
      <c r="S10" s="171"/>
      <c r="T10" s="178">
        <v>400</v>
      </c>
      <c r="U10" s="172"/>
    </row>
    <row r="11" spans="1:21" ht="16.5" customHeight="1" x14ac:dyDescent="0.3">
      <c r="A11" s="147">
        <v>15</v>
      </c>
      <c r="B11" s="147">
        <v>1307</v>
      </c>
      <c r="C11" s="155" t="s">
        <v>6183</v>
      </c>
      <c r="D11" s="188"/>
      <c r="E11" s="153"/>
      <c r="F11" s="153"/>
      <c r="G11" s="156" t="s">
        <v>16955</v>
      </c>
      <c r="H11" s="160"/>
      <c r="I11" s="158"/>
      <c r="J11" s="159"/>
      <c r="K11" s="160"/>
      <c r="L11" s="161"/>
      <c r="M11" s="162"/>
      <c r="N11" s="163"/>
      <c r="O11" s="164"/>
      <c r="P11" s="170"/>
      <c r="Q11" s="171"/>
      <c r="R11" s="170"/>
      <c r="S11" s="171"/>
      <c r="T11" s="178">
        <v>804</v>
      </c>
      <c r="U11" s="172"/>
    </row>
    <row r="12" spans="1:21" ht="16.5" customHeight="1" x14ac:dyDescent="0.3">
      <c r="A12" s="147">
        <v>15</v>
      </c>
      <c r="B12" s="147">
        <v>1308</v>
      </c>
      <c r="C12" s="155" t="s">
        <v>6182</v>
      </c>
      <c r="D12" s="188"/>
      <c r="E12" s="153"/>
      <c r="F12" s="153"/>
      <c r="G12" s="188" t="s">
        <v>16949</v>
      </c>
      <c r="H12" s="153"/>
      <c r="I12" s="171"/>
      <c r="J12" s="175"/>
      <c r="K12" s="150"/>
      <c r="L12" s="151"/>
      <c r="M12" s="162" t="s">
        <v>5895</v>
      </c>
      <c r="N12" s="163" t="s">
        <v>1</v>
      </c>
      <c r="O12" s="164">
        <v>1</v>
      </c>
      <c r="P12" s="170" t="s">
        <v>16966</v>
      </c>
      <c r="Q12" s="171"/>
      <c r="R12" s="170" t="s">
        <v>16965</v>
      </c>
      <c r="S12" s="171"/>
      <c r="T12" s="178">
        <v>804</v>
      </c>
      <c r="U12" s="172"/>
    </row>
    <row r="13" spans="1:21" ht="16.5" customHeight="1" x14ac:dyDescent="0.3">
      <c r="A13" s="147">
        <v>15</v>
      </c>
      <c r="B13" s="147">
        <v>1309</v>
      </c>
      <c r="C13" s="155" t="s">
        <v>6181</v>
      </c>
      <c r="D13" s="188"/>
      <c r="E13" s="153"/>
      <c r="F13" s="153"/>
      <c r="G13" s="188" t="s">
        <v>16873</v>
      </c>
      <c r="H13" s="205">
        <v>334</v>
      </c>
      <c r="I13" s="171" t="s">
        <v>0</v>
      </c>
      <c r="J13" s="160" t="s">
        <v>16912</v>
      </c>
      <c r="K13" s="160"/>
      <c r="L13" s="161"/>
      <c r="M13" s="162"/>
      <c r="N13" s="163"/>
      <c r="O13" s="164"/>
      <c r="P13" s="170"/>
      <c r="Q13" s="174" t="s">
        <v>16964</v>
      </c>
      <c r="R13" s="170"/>
      <c r="S13" s="174" t="s">
        <v>16963</v>
      </c>
      <c r="T13" s="178">
        <v>563</v>
      </c>
      <c r="U13" s="172"/>
    </row>
    <row r="14" spans="1:21" ht="16.5" customHeight="1" x14ac:dyDescent="0.3">
      <c r="A14" s="147">
        <v>15</v>
      </c>
      <c r="B14" s="147">
        <v>1310</v>
      </c>
      <c r="C14" s="155" t="s">
        <v>6180</v>
      </c>
      <c r="D14" s="188"/>
      <c r="E14" s="153"/>
      <c r="F14" s="153"/>
      <c r="G14" s="167"/>
      <c r="H14" s="150"/>
      <c r="I14" s="168"/>
      <c r="J14" s="150" t="s">
        <v>16916</v>
      </c>
      <c r="K14" s="150" t="s">
        <v>1</v>
      </c>
      <c r="L14" s="151">
        <v>0.7</v>
      </c>
      <c r="M14" s="162" t="s">
        <v>5895</v>
      </c>
      <c r="N14" s="163" t="s">
        <v>1</v>
      </c>
      <c r="O14" s="164">
        <v>1</v>
      </c>
      <c r="P14" s="170"/>
      <c r="Q14" s="171"/>
      <c r="R14" s="170"/>
      <c r="S14" s="171"/>
      <c r="T14" s="178">
        <v>563</v>
      </c>
      <c r="U14" s="172"/>
    </row>
    <row r="15" spans="1:21" ht="16.5" customHeight="1" x14ac:dyDescent="0.3">
      <c r="A15" s="147">
        <v>15</v>
      </c>
      <c r="B15" s="147">
        <v>1311</v>
      </c>
      <c r="C15" s="155" t="s">
        <v>6179</v>
      </c>
      <c r="D15" s="188"/>
      <c r="E15" s="153"/>
      <c r="F15" s="153"/>
      <c r="G15" s="156" t="s">
        <v>16957</v>
      </c>
      <c r="H15" s="160"/>
      <c r="I15" s="158"/>
      <c r="J15" s="159"/>
      <c r="K15" s="160"/>
      <c r="L15" s="161"/>
      <c r="M15" s="162"/>
      <c r="N15" s="163"/>
      <c r="O15" s="164"/>
      <c r="P15" s="169" t="s">
        <v>1</v>
      </c>
      <c r="Q15" s="173">
        <v>0.5</v>
      </c>
      <c r="R15" s="170" t="s">
        <v>1</v>
      </c>
      <c r="S15" s="192">
        <v>0.25</v>
      </c>
      <c r="T15" s="178">
        <v>907</v>
      </c>
      <c r="U15" s="172"/>
    </row>
    <row r="16" spans="1:21" ht="16.5" customHeight="1" x14ac:dyDescent="0.3">
      <c r="A16" s="147">
        <v>15</v>
      </c>
      <c r="B16" s="147">
        <v>1312</v>
      </c>
      <c r="C16" s="155" t="s">
        <v>6178</v>
      </c>
      <c r="D16" s="188"/>
      <c r="E16" s="153"/>
      <c r="F16" s="153"/>
      <c r="G16" s="188" t="s">
        <v>16871</v>
      </c>
      <c r="H16" s="153"/>
      <c r="I16" s="171"/>
      <c r="J16" s="175"/>
      <c r="K16" s="150"/>
      <c r="L16" s="151"/>
      <c r="M16" s="162" t="s">
        <v>5895</v>
      </c>
      <c r="N16" s="163" t="s">
        <v>1</v>
      </c>
      <c r="O16" s="164">
        <v>1</v>
      </c>
      <c r="P16" s="170"/>
      <c r="Q16" s="174" t="s">
        <v>422</v>
      </c>
      <c r="R16" s="170"/>
      <c r="S16" s="174" t="s">
        <v>422</v>
      </c>
      <c r="T16" s="178">
        <v>907</v>
      </c>
      <c r="U16" s="172"/>
    </row>
    <row r="17" spans="1:21" ht="16.5" customHeight="1" x14ac:dyDescent="0.3">
      <c r="A17" s="147">
        <v>15</v>
      </c>
      <c r="B17" s="147">
        <v>1313</v>
      </c>
      <c r="C17" s="155" t="s">
        <v>6177</v>
      </c>
      <c r="D17" s="188"/>
      <c r="E17" s="153"/>
      <c r="F17" s="153"/>
      <c r="G17" s="188" t="s">
        <v>16870</v>
      </c>
      <c r="H17" s="205">
        <v>417</v>
      </c>
      <c r="I17" s="171" t="s">
        <v>0</v>
      </c>
      <c r="J17" s="160" t="s">
        <v>16823</v>
      </c>
      <c r="K17" s="160"/>
      <c r="L17" s="161"/>
      <c r="M17" s="162"/>
      <c r="N17" s="163"/>
      <c r="O17" s="164"/>
      <c r="P17" s="170"/>
      <c r="Q17" s="171"/>
      <c r="R17" s="170"/>
      <c r="S17" s="171"/>
      <c r="T17" s="178">
        <v>635</v>
      </c>
      <c r="U17" s="172"/>
    </row>
    <row r="18" spans="1:21" ht="16.5" customHeight="1" x14ac:dyDescent="0.3">
      <c r="A18" s="147">
        <v>15</v>
      </c>
      <c r="B18" s="147">
        <v>1314</v>
      </c>
      <c r="C18" s="155" t="s">
        <v>6176</v>
      </c>
      <c r="D18" s="188"/>
      <c r="E18" s="153"/>
      <c r="F18" s="153"/>
      <c r="G18" s="167"/>
      <c r="H18" s="150"/>
      <c r="I18" s="168"/>
      <c r="J18" s="150" t="s">
        <v>16812</v>
      </c>
      <c r="K18" s="150" t="s">
        <v>1</v>
      </c>
      <c r="L18" s="151">
        <v>0.7</v>
      </c>
      <c r="M18" s="162" t="s">
        <v>5895</v>
      </c>
      <c r="N18" s="163" t="s">
        <v>1</v>
      </c>
      <c r="O18" s="164">
        <v>1</v>
      </c>
      <c r="P18" s="170"/>
      <c r="Q18" s="171"/>
      <c r="R18" s="170"/>
      <c r="S18" s="171"/>
      <c r="T18" s="178">
        <v>635</v>
      </c>
      <c r="U18" s="172"/>
    </row>
    <row r="19" spans="1:21" ht="16.5" customHeight="1" x14ac:dyDescent="0.3">
      <c r="A19" s="147">
        <v>15</v>
      </c>
      <c r="B19" s="147">
        <v>1315</v>
      </c>
      <c r="C19" s="155" t="s">
        <v>6175</v>
      </c>
      <c r="D19" s="188"/>
      <c r="E19" s="153"/>
      <c r="F19" s="153"/>
      <c r="G19" s="156" t="s">
        <v>16959</v>
      </c>
      <c r="H19" s="160"/>
      <c r="I19" s="158"/>
      <c r="J19" s="159"/>
      <c r="K19" s="160"/>
      <c r="L19" s="161"/>
      <c r="M19" s="162"/>
      <c r="N19" s="163"/>
      <c r="O19" s="164"/>
      <c r="P19" s="170"/>
      <c r="Q19" s="171"/>
      <c r="R19" s="170"/>
      <c r="S19" s="171"/>
      <c r="T19" s="178">
        <v>1012</v>
      </c>
      <c r="U19" s="172"/>
    </row>
    <row r="20" spans="1:21" ht="16.5" customHeight="1" x14ac:dyDescent="0.3">
      <c r="A20" s="147">
        <v>15</v>
      </c>
      <c r="B20" s="147">
        <v>1316</v>
      </c>
      <c r="C20" s="155" t="s">
        <v>6174</v>
      </c>
      <c r="D20" s="188"/>
      <c r="E20" s="153"/>
      <c r="F20" s="153"/>
      <c r="G20" s="188" t="s">
        <v>16868</v>
      </c>
      <c r="H20" s="153"/>
      <c r="I20" s="171"/>
      <c r="J20" s="175"/>
      <c r="K20" s="150"/>
      <c r="L20" s="151"/>
      <c r="M20" s="162" t="s">
        <v>5895</v>
      </c>
      <c r="N20" s="163" t="s">
        <v>1</v>
      </c>
      <c r="O20" s="164">
        <v>1</v>
      </c>
      <c r="P20" s="170"/>
      <c r="Q20" s="171"/>
      <c r="R20" s="170"/>
      <c r="S20" s="171"/>
      <c r="T20" s="178">
        <v>1012</v>
      </c>
      <c r="U20" s="172"/>
    </row>
    <row r="21" spans="1:21" ht="16.5" customHeight="1" x14ac:dyDescent="0.3">
      <c r="A21" s="147">
        <v>15</v>
      </c>
      <c r="B21" s="147">
        <v>1317</v>
      </c>
      <c r="C21" s="155" t="s">
        <v>6173</v>
      </c>
      <c r="D21" s="188"/>
      <c r="E21" s="153"/>
      <c r="F21" s="153"/>
      <c r="G21" s="188" t="s">
        <v>16867</v>
      </c>
      <c r="H21" s="205">
        <v>501</v>
      </c>
      <c r="I21" s="171" t="s">
        <v>0</v>
      </c>
      <c r="J21" s="160" t="s">
        <v>16823</v>
      </c>
      <c r="K21" s="160"/>
      <c r="L21" s="161"/>
      <c r="M21" s="162"/>
      <c r="N21" s="163"/>
      <c r="O21" s="164"/>
      <c r="P21" s="170"/>
      <c r="Q21" s="171"/>
      <c r="R21" s="170"/>
      <c r="S21" s="171"/>
      <c r="T21" s="178">
        <v>709</v>
      </c>
      <c r="U21" s="172"/>
    </row>
    <row r="22" spans="1:21" ht="16.5" customHeight="1" x14ac:dyDescent="0.3">
      <c r="A22" s="147">
        <v>15</v>
      </c>
      <c r="B22" s="147">
        <v>1318</v>
      </c>
      <c r="C22" s="155" t="s">
        <v>6172</v>
      </c>
      <c r="D22" s="188"/>
      <c r="E22" s="153"/>
      <c r="F22" s="153"/>
      <c r="G22" s="167"/>
      <c r="H22" s="150"/>
      <c r="I22" s="168"/>
      <c r="J22" s="150" t="s">
        <v>16916</v>
      </c>
      <c r="K22" s="150" t="s">
        <v>1</v>
      </c>
      <c r="L22" s="151">
        <v>0.7</v>
      </c>
      <c r="M22" s="162" t="s">
        <v>5895</v>
      </c>
      <c r="N22" s="163" t="s">
        <v>1</v>
      </c>
      <c r="O22" s="164">
        <v>1</v>
      </c>
      <c r="P22" s="170"/>
      <c r="Q22" s="171"/>
      <c r="R22" s="170"/>
      <c r="S22" s="171"/>
      <c r="T22" s="178">
        <v>709</v>
      </c>
      <c r="U22" s="172"/>
    </row>
    <row r="23" spans="1:21" ht="16.5" customHeight="1" x14ac:dyDescent="0.3">
      <c r="A23" s="147">
        <v>15</v>
      </c>
      <c r="B23" s="147">
        <v>1319</v>
      </c>
      <c r="C23" s="155" t="s">
        <v>6171</v>
      </c>
      <c r="D23" s="188"/>
      <c r="E23" s="153"/>
      <c r="F23" s="153"/>
      <c r="G23" s="156" t="s">
        <v>16962</v>
      </c>
      <c r="H23" s="160"/>
      <c r="I23" s="158"/>
      <c r="J23" s="159"/>
      <c r="K23" s="160"/>
      <c r="L23" s="161"/>
      <c r="M23" s="162"/>
      <c r="N23" s="163"/>
      <c r="O23" s="164"/>
      <c r="P23" s="170"/>
      <c r="Q23" s="171"/>
      <c r="R23" s="170"/>
      <c r="S23" s="171"/>
      <c r="T23" s="178">
        <v>1117</v>
      </c>
      <c r="U23" s="172"/>
    </row>
    <row r="24" spans="1:21" ht="16.5" customHeight="1" x14ac:dyDescent="0.3">
      <c r="A24" s="147">
        <v>15</v>
      </c>
      <c r="B24" s="147">
        <v>1320</v>
      </c>
      <c r="C24" s="155" t="s">
        <v>6170</v>
      </c>
      <c r="D24" s="188"/>
      <c r="E24" s="153"/>
      <c r="F24" s="153"/>
      <c r="G24" s="188" t="s">
        <v>16937</v>
      </c>
      <c r="H24" s="153"/>
      <c r="I24" s="171"/>
      <c r="J24" s="175"/>
      <c r="K24" s="150"/>
      <c r="L24" s="151"/>
      <c r="M24" s="162" t="s">
        <v>5895</v>
      </c>
      <c r="N24" s="163" t="s">
        <v>1</v>
      </c>
      <c r="O24" s="164">
        <v>1</v>
      </c>
      <c r="P24" s="170"/>
      <c r="Q24" s="171"/>
      <c r="R24" s="170"/>
      <c r="S24" s="171"/>
      <c r="T24" s="178">
        <v>1117</v>
      </c>
      <c r="U24" s="172"/>
    </row>
    <row r="25" spans="1:21" ht="16.5" customHeight="1" x14ac:dyDescent="0.3">
      <c r="A25" s="147">
        <v>15</v>
      </c>
      <c r="B25" s="147">
        <v>1321</v>
      </c>
      <c r="C25" s="155" t="s">
        <v>6169</v>
      </c>
      <c r="D25" s="188"/>
      <c r="E25" s="153"/>
      <c r="F25" s="153"/>
      <c r="G25" s="188" t="s">
        <v>16889</v>
      </c>
      <c r="H25" s="205">
        <v>585</v>
      </c>
      <c r="I25" s="171" t="s">
        <v>0</v>
      </c>
      <c r="J25" s="160" t="s">
        <v>16823</v>
      </c>
      <c r="K25" s="160"/>
      <c r="L25" s="161"/>
      <c r="M25" s="162"/>
      <c r="N25" s="163"/>
      <c r="O25" s="164"/>
      <c r="P25" s="170"/>
      <c r="Q25" s="171"/>
      <c r="R25" s="170"/>
      <c r="S25" s="171"/>
      <c r="T25" s="178">
        <v>783</v>
      </c>
      <c r="U25" s="172"/>
    </row>
    <row r="26" spans="1:21" ht="16.5" customHeight="1" x14ac:dyDescent="0.3">
      <c r="A26" s="147">
        <v>15</v>
      </c>
      <c r="B26" s="147">
        <v>1322</v>
      </c>
      <c r="C26" s="155" t="s">
        <v>6168</v>
      </c>
      <c r="D26" s="167"/>
      <c r="E26" s="153"/>
      <c r="F26" s="153"/>
      <c r="G26" s="167"/>
      <c r="H26" s="150"/>
      <c r="I26" s="168"/>
      <c r="J26" s="150" t="s">
        <v>16812</v>
      </c>
      <c r="K26" s="150" t="s">
        <v>1</v>
      </c>
      <c r="L26" s="151">
        <v>0.7</v>
      </c>
      <c r="M26" s="162" t="s">
        <v>5895</v>
      </c>
      <c r="N26" s="163" t="s">
        <v>1</v>
      </c>
      <c r="O26" s="164">
        <v>1</v>
      </c>
      <c r="P26" s="170"/>
      <c r="Q26" s="171"/>
      <c r="R26" s="170"/>
      <c r="S26" s="171"/>
      <c r="T26" s="178">
        <v>783</v>
      </c>
      <c r="U26" s="172"/>
    </row>
    <row r="27" spans="1:21" ht="16.5" customHeight="1" x14ac:dyDescent="0.3">
      <c r="A27" s="147">
        <v>15</v>
      </c>
      <c r="B27" s="147">
        <v>1323</v>
      </c>
      <c r="C27" s="155" t="s">
        <v>6167</v>
      </c>
      <c r="D27" s="156" t="s">
        <v>16961</v>
      </c>
      <c r="E27" s="144"/>
      <c r="F27" s="144"/>
      <c r="G27" s="156" t="s">
        <v>16956</v>
      </c>
      <c r="H27" s="160"/>
      <c r="I27" s="158"/>
      <c r="J27" s="159"/>
      <c r="K27" s="160"/>
      <c r="L27" s="161"/>
      <c r="M27" s="162"/>
      <c r="N27" s="163"/>
      <c r="O27" s="164"/>
      <c r="P27" s="170"/>
      <c r="Q27" s="171"/>
      <c r="R27" s="170"/>
      <c r="S27" s="171"/>
      <c r="T27" s="178">
        <v>840</v>
      </c>
      <c r="U27" s="172"/>
    </row>
    <row r="28" spans="1:21" ht="16.5" customHeight="1" x14ac:dyDescent="0.3">
      <c r="A28" s="147">
        <v>15</v>
      </c>
      <c r="B28" s="147">
        <v>1324</v>
      </c>
      <c r="C28" s="155" t="s">
        <v>6166</v>
      </c>
      <c r="D28" s="188" t="s">
        <v>16949</v>
      </c>
      <c r="E28" s="210"/>
      <c r="F28" s="210"/>
      <c r="G28" s="188" t="s">
        <v>16952</v>
      </c>
      <c r="H28" s="153"/>
      <c r="I28" s="171"/>
      <c r="J28" s="175"/>
      <c r="K28" s="150"/>
      <c r="L28" s="151"/>
      <c r="M28" s="162" t="s">
        <v>5895</v>
      </c>
      <c r="N28" s="163" t="s">
        <v>1</v>
      </c>
      <c r="O28" s="164">
        <v>1</v>
      </c>
      <c r="P28" s="170"/>
      <c r="Q28" s="171"/>
      <c r="R28" s="170"/>
      <c r="S28" s="171"/>
      <c r="T28" s="178">
        <v>840</v>
      </c>
      <c r="U28" s="172"/>
    </row>
    <row r="29" spans="1:21" ht="16.5" customHeight="1" x14ac:dyDescent="0.3">
      <c r="A29" s="147">
        <v>15</v>
      </c>
      <c r="B29" s="147">
        <v>1325</v>
      </c>
      <c r="C29" s="155" t="s">
        <v>6165</v>
      </c>
      <c r="D29" s="188" t="s">
        <v>16873</v>
      </c>
      <c r="E29" s="205">
        <v>406</v>
      </c>
      <c r="F29" s="153" t="s">
        <v>0</v>
      </c>
      <c r="G29" s="188"/>
      <c r="H29" s="205">
        <v>185</v>
      </c>
      <c r="I29" s="171" t="s">
        <v>0</v>
      </c>
      <c r="J29" s="160" t="s">
        <v>16823</v>
      </c>
      <c r="K29" s="160"/>
      <c r="L29" s="161"/>
      <c r="M29" s="162"/>
      <c r="N29" s="163"/>
      <c r="O29" s="164"/>
      <c r="P29" s="170"/>
      <c r="Q29" s="171"/>
      <c r="R29" s="170"/>
      <c r="S29" s="171"/>
      <c r="T29" s="178">
        <v>589</v>
      </c>
      <c r="U29" s="172"/>
    </row>
    <row r="30" spans="1:21" ht="16.5" customHeight="1" x14ac:dyDescent="0.3">
      <c r="A30" s="147">
        <v>15</v>
      </c>
      <c r="B30" s="147">
        <v>1326</v>
      </c>
      <c r="C30" s="155" t="s">
        <v>6164</v>
      </c>
      <c r="D30" s="188"/>
      <c r="E30" s="153"/>
      <c r="F30" s="153"/>
      <c r="G30" s="167"/>
      <c r="H30" s="150"/>
      <c r="I30" s="168"/>
      <c r="J30" s="150" t="s">
        <v>16812</v>
      </c>
      <c r="K30" s="150" t="s">
        <v>1</v>
      </c>
      <c r="L30" s="151">
        <v>0.7</v>
      </c>
      <c r="M30" s="162" t="s">
        <v>5895</v>
      </c>
      <c r="N30" s="163" t="s">
        <v>1</v>
      </c>
      <c r="O30" s="164">
        <v>1</v>
      </c>
      <c r="P30" s="170"/>
      <c r="Q30" s="171"/>
      <c r="R30" s="170"/>
      <c r="S30" s="171"/>
      <c r="T30" s="178">
        <v>589</v>
      </c>
      <c r="U30" s="172"/>
    </row>
    <row r="31" spans="1:21" ht="16.5" customHeight="1" x14ac:dyDescent="0.3">
      <c r="A31" s="147">
        <v>15</v>
      </c>
      <c r="B31" s="147">
        <v>1327</v>
      </c>
      <c r="C31" s="155" t="s">
        <v>6163</v>
      </c>
      <c r="D31" s="188"/>
      <c r="E31" s="153"/>
      <c r="F31" s="153"/>
      <c r="G31" s="156" t="s">
        <v>16955</v>
      </c>
      <c r="H31" s="160"/>
      <c r="I31" s="158"/>
      <c r="J31" s="159"/>
      <c r="K31" s="160"/>
      <c r="L31" s="161"/>
      <c r="M31" s="162"/>
      <c r="N31" s="163"/>
      <c r="O31" s="164"/>
      <c r="P31" s="170"/>
      <c r="Q31" s="171"/>
      <c r="R31" s="170"/>
      <c r="S31" s="171"/>
      <c r="T31" s="178">
        <v>944</v>
      </c>
      <c r="U31" s="172"/>
    </row>
    <row r="32" spans="1:21" ht="16.5" customHeight="1" x14ac:dyDescent="0.3">
      <c r="A32" s="147">
        <v>15</v>
      </c>
      <c r="B32" s="147">
        <v>1328</v>
      </c>
      <c r="C32" s="155" t="s">
        <v>6162</v>
      </c>
      <c r="D32" s="188"/>
      <c r="E32" s="153"/>
      <c r="F32" s="153"/>
      <c r="G32" s="188" t="s">
        <v>16874</v>
      </c>
      <c r="H32" s="153"/>
      <c r="I32" s="171"/>
      <c r="J32" s="175"/>
      <c r="K32" s="150"/>
      <c r="L32" s="151"/>
      <c r="M32" s="162" t="s">
        <v>5895</v>
      </c>
      <c r="N32" s="163" t="s">
        <v>1</v>
      </c>
      <c r="O32" s="164">
        <v>1</v>
      </c>
      <c r="P32" s="170"/>
      <c r="Q32" s="171"/>
      <c r="R32" s="170"/>
      <c r="S32" s="171"/>
      <c r="T32" s="178">
        <v>944</v>
      </c>
      <c r="U32" s="172"/>
    </row>
    <row r="33" spans="1:21" ht="16.5" customHeight="1" x14ac:dyDescent="0.3">
      <c r="A33" s="147">
        <v>15</v>
      </c>
      <c r="B33" s="147">
        <v>1329</v>
      </c>
      <c r="C33" s="155" t="s">
        <v>6161</v>
      </c>
      <c r="D33" s="188"/>
      <c r="E33" s="153"/>
      <c r="F33" s="153"/>
      <c r="G33" s="188" t="s">
        <v>16873</v>
      </c>
      <c r="H33" s="205">
        <v>268</v>
      </c>
      <c r="I33" s="171" t="s">
        <v>0</v>
      </c>
      <c r="J33" s="160" t="s">
        <v>16823</v>
      </c>
      <c r="K33" s="160"/>
      <c r="L33" s="161"/>
      <c r="M33" s="162"/>
      <c r="N33" s="163"/>
      <c r="O33" s="164"/>
      <c r="P33" s="170"/>
      <c r="Q33" s="171"/>
      <c r="R33" s="170"/>
      <c r="S33" s="171"/>
      <c r="T33" s="178">
        <v>661</v>
      </c>
      <c r="U33" s="172"/>
    </row>
    <row r="34" spans="1:21" ht="16.5" customHeight="1" x14ac:dyDescent="0.3">
      <c r="A34" s="147">
        <v>15</v>
      </c>
      <c r="B34" s="147">
        <v>1330</v>
      </c>
      <c r="C34" s="155" t="s">
        <v>6160</v>
      </c>
      <c r="D34" s="188"/>
      <c r="E34" s="153"/>
      <c r="F34" s="153"/>
      <c r="G34" s="167"/>
      <c r="H34" s="150"/>
      <c r="I34" s="168"/>
      <c r="J34" s="150" t="s">
        <v>16812</v>
      </c>
      <c r="K34" s="150" t="s">
        <v>1</v>
      </c>
      <c r="L34" s="151">
        <v>0.7</v>
      </c>
      <c r="M34" s="162" t="s">
        <v>5895</v>
      </c>
      <c r="N34" s="163" t="s">
        <v>1</v>
      </c>
      <c r="O34" s="164">
        <v>1</v>
      </c>
      <c r="P34" s="170"/>
      <c r="Q34" s="171"/>
      <c r="R34" s="170"/>
      <c r="S34" s="171"/>
      <c r="T34" s="178">
        <v>661</v>
      </c>
      <c r="U34" s="172"/>
    </row>
    <row r="35" spans="1:21" ht="16.5" customHeight="1" x14ac:dyDescent="0.3">
      <c r="A35" s="147">
        <v>15</v>
      </c>
      <c r="B35" s="147">
        <v>1331</v>
      </c>
      <c r="C35" s="155" t="s">
        <v>6159</v>
      </c>
      <c r="D35" s="188"/>
      <c r="E35" s="153"/>
      <c r="F35" s="153"/>
      <c r="G35" s="156" t="s">
        <v>16960</v>
      </c>
      <c r="H35" s="160"/>
      <c r="I35" s="158"/>
      <c r="J35" s="159"/>
      <c r="K35" s="160"/>
      <c r="L35" s="161"/>
      <c r="M35" s="162"/>
      <c r="N35" s="163"/>
      <c r="O35" s="164"/>
      <c r="P35" s="170"/>
      <c r="Q35" s="171"/>
      <c r="R35" s="170"/>
      <c r="S35" s="171"/>
      <c r="T35" s="178">
        <v>1049</v>
      </c>
      <c r="U35" s="172"/>
    </row>
    <row r="36" spans="1:21" ht="16.5" customHeight="1" x14ac:dyDescent="0.3">
      <c r="A36" s="147">
        <v>15</v>
      </c>
      <c r="B36" s="147">
        <v>1332</v>
      </c>
      <c r="C36" s="155" t="s">
        <v>6158</v>
      </c>
      <c r="D36" s="188"/>
      <c r="E36" s="153"/>
      <c r="F36" s="153"/>
      <c r="G36" s="188" t="s">
        <v>16871</v>
      </c>
      <c r="H36" s="153"/>
      <c r="I36" s="171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0"/>
      <c r="Q36" s="171"/>
      <c r="R36" s="170"/>
      <c r="S36" s="171"/>
      <c r="T36" s="178">
        <v>1049</v>
      </c>
      <c r="U36" s="172"/>
    </row>
    <row r="37" spans="1:21" ht="16.5" customHeight="1" x14ac:dyDescent="0.3">
      <c r="A37" s="147">
        <v>15</v>
      </c>
      <c r="B37" s="147">
        <v>1333</v>
      </c>
      <c r="C37" s="155" t="s">
        <v>6157</v>
      </c>
      <c r="D37" s="188"/>
      <c r="E37" s="153"/>
      <c r="F37" s="153"/>
      <c r="G37" s="188" t="s">
        <v>16942</v>
      </c>
      <c r="H37" s="205">
        <v>352</v>
      </c>
      <c r="I37" s="171" t="s">
        <v>0</v>
      </c>
      <c r="J37" s="160" t="s">
        <v>16823</v>
      </c>
      <c r="K37" s="160"/>
      <c r="L37" s="161"/>
      <c r="M37" s="162"/>
      <c r="N37" s="163"/>
      <c r="O37" s="164"/>
      <c r="P37" s="170"/>
      <c r="Q37" s="171"/>
      <c r="R37" s="170"/>
      <c r="S37" s="171"/>
      <c r="T37" s="178">
        <v>734</v>
      </c>
      <c r="U37" s="172"/>
    </row>
    <row r="38" spans="1:21" ht="16.5" customHeight="1" x14ac:dyDescent="0.3">
      <c r="A38" s="147">
        <v>15</v>
      </c>
      <c r="B38" s="147">
        <v>1334</v>
      </c>
      <c r="C38" s="155" t="s">
        <v>6156</v>
      </c>
      <c r="D38" s="188"/>
      <c r="E38" s="153"/>
      <c r="F38" s="153"/>
      <c r="G38" s="167"/>
      <c r="H38" s="150"/>
      <c r="I38" s="168"/>
      <c r="J38" s="150" t="s">
        <v>16812</v>
      </c>
      <c r="K38" s="150" t="s">
        <v>1</v>
      </c>
      <c r="L38" s="151">
        <v>0.7</v>
      </c>
      <c r="M38" s="162" t="s">
        <v>5895</v>
      </c>
      <c r="N38" s="163" t="s">
        <v>1</v>
      </c>
      <c r="O38" s="164">
        <v>1</v>
      </c>
      <c r="P38" s="170"/>
      <c r="Q38" s="171"/>
      <c r="R38" s="170"/>
      <c r="S38" s="171"/>
      <c r="T38" s="178">
        <v>734</v>
      </c>
      <c r="U38" s="172"/>
    </row>
    <row r="39" spans="1:21" ht="16.5" customHeight="1" x14ac:dyDescent="0.3">
      <c r="A39" s="147">
        <v>15</v>
      </c>
      <c r="B39" s="147">
        <v>1335</v>
      </c>
      <c r="C39" s="155" t="s">
        <v>6155</v>
      </c>
      <c r="D39" s="188"/>
      <c r="E39" s="153"/>
      <c r="F39" s="153"/>
      <c r="G39" s="156" t="s">
        <v>16959</v>
      </c>
      <c r="H39" s="160"/>
      <c r="I39" s="158"/>
      <c r="J39" s="159"/>
      <c r="K39" s="160"/>
      <c r="L39" s="161"/>
      <c r="M39" s="162"/>
      <c r="N39" s="163"/>
      <c r="O39" s="164"/>
      <c r="P39" s="170"/>
      <c r="Q39" s="171"/>
      <c r="R39" s="170"/>
      <c r="S39" s="171"/>
      <c r="T39" s="178">
        <v>1154</v>
      </c>
      <c r="U39" s="172"/>
    </row>
    <row r="40" spans="1:21" ht="16.5" customHeight="1" x14ac:dyDescent="0.3">
      <c r="A40" s="147">
        <v>15</v>
      </c>
      <c r="B40" s="147">
        <v>1336</v>
      </c>
      <c r="C40" s="155" t="s">
        <v>6154</v>
      </c>
      <c r="D40" s="188"/>
      <c r="E40" s="153"/>
      <c r="F40" s="153"/>
      <c r="G40" s="188" t="s">
        <v>16868</v>
      </c>
      <c r="H40" s="153"/>
      <c r="I40" s="171"/>
      <c r="J40" s="175"/>
      <c r="K40" s="150"/>
      <c r="L40" s="151"/>
      <c r="M40" s="162" t="s">
        <v>5895</v>
      </c>
      <c r="N40" s="163" t="s">
        <v>1</v>
      </c>
      <c r="O40" s="164">
        <v>1</v>
      </c>
      <c r="P40" s="170"/>
      <c r="Q40" s="171"/>
      <c r="R40" s="170"/>
      <c r="S40" s="171"/>
      <c r="T40" s="178">
        <v>1154</v>
      </c>
      <c r="U40" s="172"/>
    </row>
    <row r="41" spans="1:21" ht="16.5" customHeight="1" x14ac:dyDescent="0.3">
      <c r="A41" s="147">
        <v>15</v>
      </c>
      <c r="B41" s="147">
        <v>1337</v>
      </c>
      <c r="C41" s="155" t="s">
        <v>6153</v>
      </c>
      <c r="D41" s="188"/>
      <c r="E41" s="153"/>
      <c r="F41" s="153"/>
      <c r="G41" s="188" t="s">
        <v>16939</v>
      </c>
      <c r="H41" s="205">
        <v>436</v>
      </c>
      <c r="I41" s="171" t="s">
        <v>0</v>
      </c>
      <c r="J41" s="160" t="s">
        <v>16912</v>
      </c>
      <c r="K41" s="160"/>
      <c r="L41" s="161"/>
      <c r="M41" s="162"/>
      <c r="N41" s="163"/>
      <c r="O41" s="164"/>
      <c r="P41" s="170"/>
      <c r="Q41" s="171"/>
      <c r="R41" s="170"/>
      <c r="S41" s="171"/>
      <c r="T41" s="178">
        <v>807</v>
      </c>
      <c r="U41" s="172"/>
    </row>
    <row r="42" spans="1:21" ht="16.5" customHeight="1" x14ac:dyDescent="0.3">
      <c r="A42" s="147">
        <v>15</v>
      </c>
      <c r="B42" s="147">
        <v>1338</v>
      </c>
      <c r="C42" s="155" t="s">
        <v>6152</v>
      </c>
      <c r="D42" s="167"/>
      <c r="E42" s="153"/>
      <c r="F42" s="153"/>
      <c r="G42" s="167"/>
      <c r="H42" s="150"/>
      <c r="I42" s="168"/>
      <c r="J42" s="150" t="s">
        <v>16916</v>
      </c>
      <c r="K42" s="150" t="s">
        <v>1</v>
      </c>
      <c r="L42" s="151">
        <v>0.7</v>
      </c>
      <c r="M42" s="162" t="s">
        <v>5895</v>
      </c>
      <c r="N42" s="163" t="s">
        <v>1</v>
      </c>
      <c r="O42" s="164">
        <v>1</v>
      </c>
      <c r="P42" s="170"/>
      <c r="Q42" s="171"/>
      <c r="R42" s="170"/>
      <c r="S42" s="171"/>
      <c r="T42" s="178">
        <v>807</v>
      </c>
      <c r="U42" s="172"/>
    </row>
    <row r="43" spans="1:21" ht="16.5" customHeight="1" x14ac:dyDescent="0.3">
      <c r="A43" s="147">
        <v>15</v>
      </c>
      <c r="B43" s="147">
        <v>1339</v>
      </c>
      <c r="C43" s="155" t="s">
        <v>6151</v>
      </c>
      <c r="D43" s="156" t="s">
        <v>16958</v>
      </c>
      <c r="E43" s="144"/>
      <c r="F43" s="144"/>
      <c r="G43" s="156" t="s">
        <v>16953</v>
      </c>
      <c r="H43" s="160"/>
      <c r="I43" s="158"/>
      <c r="J43" s="159"/>
      <c r="K43" s="160"/>
      <c r="L43" s="161"/>
      <c r="M43" s="162"/>
      <c r="N43" s="163"/>
      <c r="O43" s="164"/>
      <c r="P43" s="170"/>
      <c r="Q43" s="171"/>
      <c r="R43" s="170"/>
      <c r="S43" s="171"/>
      <c r="T43" s="178">
        <v>991</v>
      </c>
      <c r="U43" s="172"/>
    </row>
    <row r="44" spans="1:21" ht="16.5" customHeight="1" x14ac:dyDescent="0.3">
      <c r="A44" s="147">
        <v>15</v>
      </c>
      <c r="B44" s="147">
        <v>1340</v>
      </c>
      <c r="C44" s="155" t="s">
        <v>6150</v>
      </c>
      <c r="D44" s="188" t="s">
        <v>16871</v>
      </c>
      <c r="E44" s="210"/>
      <c r="F44" s="210"/>
      <c r="G44" s="188" t="s">
        <v>16952</v>
      </c>
      <c r="H44" s="153"/>
      <c r="I44" s="171"/>
      <c r="J44" s="175"/>
      <c r="K44" s="150"/>
      <c r="L44" s="151"/>
      <c r="M44" s="162" t="s">
        <v>5895</v>
      </c>
      <c r="N44" s="163" t="s">
        <v>1</v>
      </c>
      <c r="O44" s="164">
        <v>1</v>
      </c>
      <c r="P44" s="170"/>
      <c r="Q44" s="171"/>
      <c r="R44" s="170"/>
      <c r="S44" s="171"/>
      <c r="T44" s="178">
        <v>991</v>
      </c>
      <c r="U44" s="172"/>
    </row>
    <row r="45" spans="1:21" ht="16.5" customHeight="1" x14ac:dyDescent="0.3">
      <c r="A45" s="147">
        <v>15</v>
      </c>
      <c r="B45" s="147">
        <v>1341</v>
      </c>
      <c r="C45" s="155" t="s">
        <v>6149</v>
      </c>
      <c r="D45" s="188" t="s">
        <v>16870</v>
      </c>
      <c r="E45" s="205">
        <v>591</v>
      </c>
      <c r="F45" s="153" t="s">
        <v>0</v>
      </c>
      <c r="G45" s="188"/>
      <c r="H45" s="205">
        <v>83</v>
      </c>
      <c r="I45" s="171" t="s">
        <v>0</v>
      </c>
      <c r="J45" s="160" t="s">
        <v>16823</v>
      </c>
      <c r="K45" s="160"/>
      <c r="L45" s="161"/>
      <c r="M45" s="162"/>
      <c r="N45" s="163"/>
      <c r="O45" s="164"/>
      <c r="P45" s="170"/>
      <c r="Q45" s="171"/>
      <c r="R45" s="170"/>
      <c r="S45" s="171"/>
      <c r="T45" s="178">
        <v>694</v>
      </c>
      <c r="U45" s="172"/>
    </row>
    <row r="46" spans="1:21" ht="16.5" customHeight="1" x14ac:dyDescent="0.3">
      <c r="A46" s="147">
        <v>15</v>
      </c>
      <c r="B46" s="147">
        <v>1342</v>
      </c>
      <c r="C46" s="155" t="s">
        <v>6148</v>
      </c>
      <c r="D46" s="188"/>
      <c r="E46" s="153"/>
      <c r="F46" s="153"/>
      <c r="G46" s="167"/>
      <c r="H46" s="150"/>
      <c r="I46" s="168"/>
      <c r="J46" s="150" t="s">
        <v>16812</v>
      </c>
      <c r="K46" s="150" t="s">
        <v>1</v>
      </c>
      <c r="L46" s="151">
        <v>0.7</v>
      </c>
      <c r="M46" s="162" t="s">
        <v>5895</v>
      </c>
      <c r="N46" s="163" t="s">
        <v>1</v>
      </c>
      <c r="O46" s="164">
        <v>1</v>
      </c>
      <c r="P46" s="170"/>
      <c r="Q46" s="171"/>
      <c r="R46" s="170"/>
      <c r="S46" s="171"/>
      <c r="T46" s="178">
        <v>694</v>
      </c>
      <c r="U46" s="172"/>
    </row>
    <row r="47" spans="1:21" ht="16.5" customHeight="1" x14ac:dyDescent="0.3">
      <c r="A47" s="147">
        <v>15</v>
      </c>
      <c r="B47" s="147">
        <v>1343</v>
      </c>
      <c r="C47" s="155" t="s">
        <v>6147</v>
      </c>
      <c r="D47" s="188"/>
      <c r="E47" s="153"/>
      <c r="F47" s="153"/>
      <c r="G47" s="156" t="s">
        <v>16955</v>
      </c>
      <c r="H47" s="160"/>
      <c r="I47" s="158"/>
      <c r="J47" s="159"/>
      <c r="K47" s="160"/>
      <c r="L47" s="161"/>
      <c r="M47" s="162"/>
      <c r="N47" s="163"/>
      <c r="O47" s="164"/>
      <c r="P47" s="170"/>
      <c r="Q47" s="171"/>
      <c r="R47" s="170"/>
      <c r="S47" s="171"/>
      <c r="T47" s="178">
        <v>1096</v>
      </c>
      <c r="U47" s="172"/>
    </row>
    <row r="48" spans="1:21" ht="16.5" customHeight="1" x14ac:dyDescent="0.3">
      <c r="A48" s="147">
        <v>15</v>
      </c>
      <c r="B48" s="147">
        <v>1344</v>
      </c>
      <c r="C48" s="155" t="s">
        <v>6146</v>
      </c>
      <c r="D48" s="188"/>
      <c r="E48" s="153"/>
      <c r="F48" s="153"/>
      <c r="G48" s="188" t="s">
        <v>16874</v>
      </c>
      <c r="H48" s="153"/>
      <c r="I48" s="171"/>
      <c r="J48" s="175"/>
      <c r="K48" s="150"/>
      <c r="L48" s="151"/>
      <c r="M48" s="162" t="s">
        <v>5895</v>
      </c>
      <c r="N48" s="163" t="s">
        <v>1</v>
      </c>
      <c r="O48" s="164">
        <v>1</v>
      </c>
      <c r="P48" s="170"/>
      <c r="Q48" s="171"/>
      <c r="R48" s="170"/>
      <c r="S48" s="171"/>
      <c r="T48" s="178">
        <v>1096</v>
      </c>
      <c r="U48" s="172"/>
    </row>
    <row r="49" spans="1:21" ht="16.5" customHeight="1" x14ac:dyDescent="0.3">
      <c r="A49" s="147">
        <v>15</v>
      </c>
      <c r="B49" s="147">
        <v>1345</v>
      </c>
      <c r="C49" s="155" t="s">
        <v>6145</v>
      </c>
      <c r="D49" s="188"/>
      <c r="E49" s="153"/>
      <c r="F49" s="153"/>
      <c r="G49" s="188" t="s">
        <v>16873</v>
      </c>
      <c r="H49" s="205">
        <v>167</v>
      </c>
      <c r="I49" s="171" t="s">
        <v>0</v>
      </c>
      <c r="J49" s="160" t="s">
        <v>16912</v>
      </c>
      <c r="K49" s="160"/>
      <c r="L49" s="161"/>
      <c r="M49" s="162"/>
      <c r="N49" s="163"/>
      <c r="O49" s="164"/>
      <c r="P49" s="170"/>
      <c r="Q49" s="171"/>
      <c r="R49" s="170"/>
      <c r="S49" s="171"/>
      <c r="T49" s="178">
        <v>767</v>
      </c>
      <c r="U49" s="172"/>
    </row>
    <row r="50" spans="1:21" ht="16.5" customHeight="1" x14ac:dyDescent="0.3">
      <c r="A50" s="147">
        <v>15</v>
      </c>
      <c r="B50" s="147">
        <v>1346</v>
      </c>
      <c r="C50" s="155" t="s">
        <v>6144</v>
      </c>
      <c r="D50" s="188"/>
      <c r="E50" s="153"/>
      <c r="F50" s="153"/>
      <c r="G50" s="167"/>
      <c r="H50" s="150"/>
      <c r="I50" s="168"/>
      <c r="J50" s="150" t="s">
        <v>16916</v>
      </c>
      <c r="K50" s="150" t="s">
        <v>1</v>
      </c>
      <c r="L50" s="151">
        <v>0.7</v>
      </c>
      <c r="M50" s="162" t="s">
        <v>5895</v>
      </c>
      <c r="N50" s="163" t="s">
        <v>1</v>
      </c>
      <c r="O50" s="164">
        <v>1</v>
      </c>
      <c r="P50" s="170"/>
      <c r="Q50" s="171"/>
      <c r="R50" s="170"/>
      <c r="S50" s="171"/>
      <c r="T50" s="178">
        <v>767</v>
      </c>
      <c r="U50" s="172"/>
    </row>
    <row r="51" spans="1:21" ht="16.5" customHeight="1" x14ac:dyDescent="0.3">
      <c r="A51" s="147">
        <v>15</v>
      </c>
      <c r="B51" s="147">
        <v>1347</v>
      </c>
      <c r="C51" s="155" t="s">
        <v>6143</v>
      </c>
      <c r="D51" s="188"/>
      <c r="E51" s="153"/>
      <c r="F51" s="153"/>
      <c r="G51" s="156" t="s">
        <v>16957</v>
      </c>
      <c r="H51" s="160"/>
      <c r="I51" s="158"/>
      <c r="J51" s="159"/>
      <c r="K51" s="160"/>
      <c r="L51" s="161"/>
      <c r="M51" s="162"/>
      <c r="N51" s="163"/>
      <c r="O51" s="164"/>
      <c r="P51" s="170"/>
      <c r="Q51" s="171"/>
      <c r="R51" s="170"/>
      <c r="S51" s="171"/>
      <c r="T51" s="178">
        <v>1201</v>
      </c>
      <c r="U51" s="172"/>
    </row>
    <row r="52" spans="1:21" ht="16.5" customHeight="1" x14ac:dyDescent="0.3">
      <c r="A52" s="147">
        <v>15</v>
      </c>
      <c r="B52" s="147">
        <v>1348</v>
      </c>
      <c r="C52" s="155" t="s">
        <v>6142</v>
      </c>
      <c r="D52" s="188"/>
      <c r="E52" s="153"/>
      <c r="F52" s="153"/>
      <c r="G52" s="188" t="s">
        <v>16871</v>
      </c>
      <c r="H52" s="153"/>
      <c r="I52" s="171"/>
      <c r="J52" s="175"/>
      <c r="K52" s="150"/>
      <c r="L52" s="151"/>
      <c r="M52" s="162" t="s">
        <v>5895</v>
      </c>
      <c r="N52" s="163" t="s">
        <v>1</v>
      </c>
      <c r="O52" s="164">
        <v>1</v>
      </c>
      <c r="P52" s="170"/>
      <c r="Q52" s="171"/>
      <c r="R52" s="170"/>
      <c r="S52" s="171"/>
      <c r="T52" s="178">
        <v>1201</v>
      </c>
      <c r="U52" s="172"/>
    </row>
    <row r="53" spans="1:21" ht="16.5" customHeight="1" x14ac:dyDescent="0.3">
      <c r="A53" s="147">
        <v>15</v>
      </c>
      <c r="B53" s="147">
        <v>1349</v>
      </c>
      <c r="C53" s="155" t="s">
        <v>6141</v>
      </c>
      <c r="D53" s="188"/>
      <c r="E53" s="153"/>
      <c r="F53" s="153"/>
      <c r="G53" s="188" t="s">
        <v>16870</v>
      </c>
      <c r="H53" s="205">
        <v>251</v>
      </c>
      <c r="I53" s="171" t="s">
        <v>0</v>
      </c>
      <c r="J53" s="160" t="s">
        <v>16823</v>
      </c>
      <c r="K53" s="160"/>
      <c r="L53" s="161"/>
      <c r="M53" s="162"/>
      <c r="N53" s="163"/>
      <c r="O53" s="164"/>
      <c r="P53" s="170"/>
      <c r="Q53" s="171"/>
      <c r="R53" s="170"/>
      <c r="S53" s="171"/>
      <c r="T53" s="178">
        <v>841</v>
      </c>
      <c r="U53" s="172"/>
    </row>
    <row r="54" spans="1:21" ht="16.5" customHeight="1" x14ac:dyDescent="0.3">
      <c r="A54" s="147">
        <v>15</v>
      </c>
      <c r="B54" s="147">
        <v>1350</v>
      </c>
      <c r="C54" s="155" t="s">
        <v>6140</v>
      </c>
      <c r="D54" s="167"/>
      <c r="E54" s="153"/>
      <c r="F54" s="153"/>
      <c r="G54" s="167"/>
      <c r="H54" s="150"/>
      <c r="I54" s="168"/>
      <c r="J54" s="150" t="s">
        <v>16812</v>
      </c>
      <c r="K54" s="150" t="s">
        <v>1</v>
      </c>
      <c r="L54" s="151">
        <v>0.7</v>
      </c>
      <c r="M54" s="162" t="s">
        <v>5895</v>
      </c>
      <c r="N54" s="163" t="s">
        <v>1</v>
      </c>
      <c r="O54" s="164">
        <v>1</v>
      </c>
      <c r="P54" s="170"/>
      <c r="Q54" s="171"/>
      <c r="R54" s="170"/>
      <c r="S54" s="171"/>
      <c r="T54" s="178">
        <v>841</v>
      </c>
      <c r="U54" s="172"/>
    </row>
    <row r="55" spans="1:21" ht="16.5" customHeight="1" x14ac:dyDescent="0.3">
      <c r="A55" s="147">
        <v>15</v>
      </c>
      <c r="B55" s="147">
        <v>1351</v>
      </c>
      <c r="C55" s="155" t="s">
        <v>6139</v>
      </c>
      <c r="D55" s="156" t="s">
        <v>16941</v>
      </c>
      <c r="E55" s="144"/>
      <c r="F55" s="144"/>
      <c r="G55" s="156" t="s">
        <v>16956</v>
      </c>
      <c r="H55" s="160"/>
      <c r="I55" s="158"/>
      <c r="J55" s="159"/>
      <c r="K55" s="160"/>
      <c r="L55" s="161"/>
      <c r="M55" s="162"/>
      <c r="N55" s="163"/>
      <c r="O55" s="164"/>
      <c r="P55" s="170"/>
      <c r="Q55" s="171"/>
      <c r="R55" s="170"/>
      <c r="S55" s="171"/>
      <c r="T55" s="178">
        <v>1116</v>
      </c>
      <c r="U55" s="172"/>
    </row>
    <row r="56" spans="1:21" ht="16.5" customHeight="1" x14ac:dyDescent="0.3">
      <c r="A56" s="147">
        <v>15</v>
      </c>
      <c r="B56" s="147">
        <v>1352</v>
      </c>
      <c r="C56" s="155" t="s">
        <v>6138</v>
      </c>
      <c r="D56" s="188" t="s">
        <v>16868</v>
      </c>
      <c r="E56" s="210"/>
      <c r="F56" s="210"/>
      <c r="G56" s="188" t="s">
        <v>16901</v>
      </c>
      <c r="H56" s="153"/>
      <c r="I56" s="171"/>
      <c r="J56" s="175"/>
      <c r="K56" s="150"/>
      <c r="L56" s="151"/>
      <c r="M56" s="162" t="s">
        <v>5895</v>
      </c>
      <c r="N56" s="163" t="s">
        <v>1</v>
      </c>
      <c r="O56" s="164">
        <v>1</v>
      </c>
      <c r="P56" s="170"/>
      <c r="Q56" s="171"/>
      <c r="R56" s="170"/>
      <c r="S56" s="171"/>
      <c r="T56" s="178">
        <v>1116</v>
      </c>
      <c r="U56" s="172"/>
    </row>
    <row r="57" spans="1:21" ht="16.5" customHeight="1" x14ac:dyDescent="0.3">
      <c r="A57" s="147">
        <v>15</v>
      </c>
      <c r="B57" s="147">
        <v>1353</v>
      </c>
      <c r="C57" s="155" t="s">
        <v>6137</v>
      </c>
      <c r="D57" s="188" t="s">
        <v>16939</v>
      </c>
      <c r="E57" s="205">
        <v>674</v>
      </c>
      <c r="F57" s="153" t="s">
        <v>0</v>
      </c>
      <c r="G57" s="188"/>
      <c r="H57" s="205">
        <v>84</v>
      </c>
      <c r="I57" s="171" t="s">
        <v>0</v>
      </c>
      <c r="J57" s="160" t="s">
        <v>16912</v>
      </c>
      <c r="K57" s="160"/>
      <c r="L57" s="161"/>
      <c r="M57" s="162"/>
      <c r="N57" s="163"/>
      <c r="O57" s="164"/>
      <c r="P57" s="170"/>
      <c r="Q57" s="171"/>
      <c r="R57" s="170"/>
      <c r="S57" s="171"/>
      <c r="T57" s="178">
        <v>782</v>
      </c>
      <c r="U57" s="172"/>
    </row>
    <row r="58" spans="1:21" ht="16.5" customHeight="1" x14ac:dyDescent="0.3">
      <c r="A58" s="147">
        <v>15</v>
      </c>
      <c r="B58" s="147">
        <v>1354</v>
      </c>
      <c r="C58" s="155" t="s">
        <v>6136</v>
      </c>
      <c r="D58" s="188"/>
      <c r="E58" s="153"/>
      <c r="F58" s="153"/>
      <c r="G58" s="167"/>
      <c r="H58" s="150"/>
      <c r="I58" s="168"/>
      <c r="J58" s="150" t="s">
        <v>16812</v>
      </c>
      <c r="K58" s="150" t="s">
        <v>1</v>
      </c>
      <c r="L58" s="151">
        <v>0.7</v>
      </c>
      <c r="M58" s="162" t="s">
        <v>5895</v>
      </c>
      <c r="N58" s="163" t="s">
        <v>1</v>
      </c>
      <c r="O58" s="164">
        <v>1</v>
      </c>
      <c r="P58" s="170"/>
      <c r="Q58" s="171"/>
      <c r="R58" s="170"/>
      <c r="S58" s="171"/>
      <c r="T58" s="178">
        <v>782</v>
      </c>
      <c r="U58" s="172"/>
    </row>
    <row r="59" spans="1:21" ht="16.5" customHeight="1" x14ac:dyDescent="0.3">
      <c r="A59" s="147">
        <v>15</v>
      </c>
      <c r="B59" s="147">
        <v>1355</v>
      </c>
      <c r="C59" s="155" t="s">
        <v>6135</v>
      </c>
      <c r="D59" s="188"/>
      <c r="E59" s="153"/>
      <c r="F59" s="153"/>
      <c r="G59" s="156" t="s">
        <v>16955</v>
      </c>
      <c r="H59" s="160"/>
      <c r="I59" s="158"/>
      <c r="J59" s="159"/>
      <c r="K59" s="160"/>
      <c r="L59" s="161"/>
      <c r="M59" s="162"/>
      <c r="N59" s="163"/>
      <c r="O59" s="164"/>
      <c r="P59" s="170"/>
      <c r="Q59" s="171"/>
      <c r="R59" s="170"/>
      <c r="S59" s="171"/>
      <c r="T59" s="178">
        <v>1221</v>
      </c>
      <c r="U59" s="172"/>
    </row>
    <row r="60" spans="1:21" ht="16.5" customHeight="1" x14ac:dyDescent="0.3">
      <c r="A60" s="147">
        <v>15</v>
      </c>
      <c r="B60" s="147">
        <v>1356</v>
      </c>
      <c r="C60" s="155" t="s">
        <v>6134</v>
      </c>
      <c r="D60" s="188"/>
      <c r="E60" s="153"/>
      <c r="F60" s="153"/>
      <c r="G60" s="188" t="s">
        <v>16874</v>
      </c>
      <c r="H60" s="153"/>
      <c r="I60" s="171"/>
      <c r="J60" s="175"/>
      <c r="K60" s="150"/>
      <c r="L60" s="151"/>
      <c r="M60" s="162" t="s">
        <v>5895</v>
      </c>
      <c r="N60" s="163" t="s">
        <v>1</v>
      </c>
      <c r="O60" s="164">
        <v>1</v>
      </c>
      <c r="P60" s="170"/>
      <c r="Q60" s="171"/>
      <c r="R60" s="170"/>
      <c r="S60" s="171"/>
      <c r="T60" s="178">
        <v>1221</v>
      </c>
      <c r="U60" s="172"/>
    </row>
    <row r="61" spans="1:21" ht="16.5" customHeight="1" x14ac:dyDescent="0.3">
      <c r="A61" s="147">
        <v>15</v>
      </c>
      <c r="B61" s="147">
        <v>1357</v>
      </c>
      <c r="C61" s="155" t="s">
        <v>6133</v>
      </c>
      <c r="D61" s="188"/>
      <c r="E61" s="153"/>
      <c r="F61" s="153"/>
      <c r="G61" s="188" t="s">
        <v>16873</v>
      </c>
      <c r="H61" s="205">
        <v>168</v>
      </c>
      <c r="I61" s="171" t="s">
        <v>0</v>
      </c>
      <c r="J61" s="160" t="s">
        <v>16823</v>
      </c>
      <c r="K61" s="160"/>
      <c r="L61" s="161"/>
      <c r="M61" s="162"/>
      <c r="N61" s="163"/>
      <c r="O61" s="164"/>
      <c r="P61" s="170"/>
      <c r="Q61" s="171"/>
      <c r="R61" s="170"/>
      <c r="S61" s="171"/>
      <c r="T61" s="178">
        <v>856</v>
      </c>
      <c r="U61" s="172"/>
    </row>
    <row r="62" spans="1:21" ht="16.5" customHeight="1" x14ac:dyDescent="0.3">
      <c r="A62" s="147">
        <v>15</v>
      </c>
      <c r="B62" s="147">
        <v>1358</v>
      </c>
      <c r="C62" s="155" t="s">
        <v>6132</v>
      </c>
      <c r="D62" s="167"/>
      <c r="E62" s="153"/>
      <c r="F62" s="153"/>
      <c r="G62" s="167"/>
      <c r="H62" s="150"/>
      <c r="I62" s="168"/>
      <c r="J62" s="150" t="s">
        <v>16812</v>
      </c>
      <c r="K62" s="150" t="s">
        <v>1</v>
      </c>
      <c r="L62" s="151">
        <v>0.7</v>
      </c>
      <c r="M62" s="162" t="s">
        <v>5895</v>
      </c>
      <c r="N62" s="163" t="s">
        <v>1</v>
      </c>
      <c r="O62" s="164">
        <v>1</v>
      </c>
      <c r="P62" s="170"/>
      <c r="Q62" s="171"/>
      <c r="R62" s="170"/>
      <c r="S62" s="171"/>
      <c r="T62" s="178">
        <v>856</v>
      </c>
      <c r="U62" s="172"/>
    </row>
    <row r="63" spans="1:21" ht="16.5" customHeight="1" x14ac:dyDescent="0.3">
      <c r="A63" s="147">
        <v>15</v>
      </c>
      <c r="B63" s="147">
        <v>1359</v>
      </c>
      <c r="C63" s="155" t="s">
        <v>6131</v>
      </c>
      <c r="D63" s="156" t="s">
        <v>16954</v>
      </c>
      <c r="E63" s="144"/>
      <c r="F63" s="144"/>
      <c r="G63" s="156" t="s">
        <v>16953</v>
      </c>
      <c r="H63" s="160"/>
      <c r="I63" s="158"/>
      <c r="J63" s="159"/>
      <c r="K63" s="160"/>
      <c r="L63" s="161"/>
      <c r="M63" s="162"/>
      <c r="N63" s="163"/>
      <c r="O63" s="164"/>
      <c r="P63" s="170"/>
      <c r="Q63" s="171"/>
      <c r="R63" s="170"/>
      <c r="S63" s="171"/>
      <c r="T63" s="178">
        <v>1242</v>
      </c>
      <c r="U63" s="172"/>
    </row>
    <row r="64" spans="1:21" ht="16.5" customHeight="1" x14ac:dyDescent="0.3">
      <c r="A64" s="147">
        <v>15</v>
      </c>
      <c r="B64" s="147">
        <v>1360</v>
      </c>
      <c r="C64" s="155" t="s">
        <v>6130</v>
      </c>
      <c r="D64" s="188" t="s">
        <v>16937</v>
      </c>
      <c r="E64" s="210"/>
      <c r="F64" s="210"/>
      <c r="G64" s="188" t="s">
        <v>16952</v>
      </c>
      <c r="H64" s="153"/>
      <c r="I64" s="171"/>
      <c r="J64" s="175"/>
      <c r="K64" s="150"/>
      <c r="L64" s="151"/>
      <c r="M64" s="162" t="s">
        <v>5895</v>
      </c>
      <c r="N64" s="163" t="s">
        <v>1</v>
      </c>
      <c r="O64" s="164">
        <v>1</v>
      </c>
      <c r="P64" s="170"/>
      <c r="Q64" s="171"/>
      <c r="R64" s="170"/>
      <c r="S64" s="171"/>
      <c r="T64" s="178">
        <v>1242</v>
      </c>
      <c r="U64" s="172"/>
    </row>
    <row r="65" spans="1:21" ht="16.5" customHeight="1" x14ac:dyDescent="0.3">
      <c r="A65" s="147">
        <v>15</v>
      </c>
      <c r="B65" s="147">
        <v>1361</v>
      </c>
      <c r="C65" s="155" t="s">
        <v>6129</v>
      </c>
      <c r="D65" s="188" t="s">
        <v>16936</v>
      </c>
      <c r="E65" s="205">
        <v>758</v>
      </c>
      <c r="F65" s="153" t="s">
        <v>0</v>
      </c>
      <c r="G65" s="188"/>
      <c r="H65" s="205">
        <v>84</v>
      </c>
      <c r="I65" s="171" t="s">
        <v>0</v>
      </c>
      <c r="J65" s="160" t="s">
        <v>16823</v>
      </c>
      <c r="K65" s="160"/>
      <c r="L65" s="161"/>
      <c r="M65" s="162"/>
      <c r="N65" s="163"/>
      <c r="O65" s="164"/>
      <c r="P65" s="170"/>
      <c r="Q65" s="171"/>
      <c r="R65" s="170"/>
      <c r="S65" s="171"/>
      <c r="T65" s="178">
        <v>871</v>
      </c>
      <c r="U65" s="172"/>
    </row>
    <row r="66" spans="1:21" ht="16.5" customHeight="1" x14ac:dyDescent="0.3">
      <c r="A66" s="147">
        <v>15</v>
      </c>
      <c r="B66" s="147">
        <v>1362</v>
      </c>
      <c r="C66" s="155" t="s">
        <v>6128</v>
      </c>
      <c r="D66" s="167"/>
      <c r="E66" s="150"/>
      <c r="F66" s="150"/>
      <c r="G66" s="167"/>
      <c r="H66" s="150"/>
      <c r="I66" s="168"/>
      <c r="J66" s="150" t="s">
        <v>16812</v>
      </c>
      <c r="K66" s="150" t="s">
        <v>1</v>
      </c>
      <c r="L66" s="151">
        <v>0.7</v>
      </c>
      <c r="M66" s="162" t="s">
        <v>5895</v>
      </c>
      <c r="N66" s="163" t="s">
        <v>1</v>
      </c>
      <c r="O66" s="164">
        <v>1</v>
      </c>
      <c r="P66" s="176"/>
      <c r="Q66" s="168"/>
      <c r="R66" s="176"/>
      <c r="S66" s="168"/>
      <c r="T66" s="178">
        <v>871</v>
      </c>
      <c r="U66" s="177"/>
    </row>
    <row r="67" spans="1:21" ht="16.5" customHeight="1" x14ac:dyDescent="0.3"/>
    <row r="68" spans="1:21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8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0000"/>
    <pageSetUpPr fitToPage="1"/>
  </sheetPr>
  <dimension ref="A1:V512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8.62890625" style="45" customWidth="1"/>
    <col min="5" max="5" width="5.89453125" style="46" bestFit="1" customWidth="1"/>
    <col min="6" max="6" width="4.734375" style="46" bestFit="1" customWidth="1"/>
    <col min="7" max="7" width="14.62890625" style="46" customWidth="1"/>
    <col min="8" max="8" width="3.1015625" style="46" bestFit="1" customWidth="1"/>
    <col min="9" max="9" width="4.1015625" style="47" bestFit="1" customWidth="1"/>
    <col min="10" max="10" width="26.47265625" style="46" customWidth="1"/>
    <col min="11" max="11" width="3.1015625" style="46" bestFit="1" customWidth="1"/>
    <col min="12" max="12" width="5" style="47" bestFit="1" customWidth="1"/>
    <col min="13" max="13" width="10.62890625" style="46" customWidth="1"/>
    <col min="14" max="14" width="3.1015625" style="46" bestFit="1" customWidth="1"/>
    <col min="15" max="15" width="4.1015625" style="47" bestFit="1" customWidth="1"/>
    <col min="16" max="16" width="4.734375" style="46" bestFit="1" customWidth="1"/>
    <col min="17" max="17" width="8.62890625" style="46" customWidth="1"/>
    <col min="18" max="18" width="3.1015625" style="46" bestFit="1" customWidth="1"/>
    <col min="19" max="19" width="4.1015625" style="47" bestFit="1" customWidth="1"/>
    <col min="20" max="20" width="4.734375" style="46" bestFit="1" customWidth="1"/>
    <col min="21" max="21" width="6.3671875" style="84" bestFit="1" customWidth="1"/>
    <col min="22" max="22" width="7.734375" style="48" bestFit="1" customWidth="1"/>
    <col min="23" max="16384" width="9" style="49"/>
  </cols>
  <sheetData>
    <row r="1" spans="1:22" ht="16.5" customHeight="1" x14ac:dyDescent="0.3"/>
    <row r="2" spans="1:22" ht="16.5" customHeight="1" x14ac:dyDescent="0.3"/>
    <row r="3" spans="1:22" ht="16.5" customHeight="1" x14ac:dyDescent="0.3"/>
    <row r="4" spans="1:22" ht="16.5" customHeight="1" x14ac:dyDescent="0.3">
      <c r="B4" s="229" t="s">
        <v>18185</v>
      </c>
      <c r="C4" s="131"/>
      <c r="D4" s="72"/>
    </row>
    <row r="5" spans="1:2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3"/>
      <c r="N5" s="53"/>
      <c r="O5" s="54"/>
      <c r="P5" s="53"/>
      <c r="Q5" s="53"/>
      <c r="R5" s="53"/>
      <c r="S5" s="54"/>
      <c r="T5" s="53"/>
      <c r="U5" s="55" t="s">
        <v>5869</v>
      </c>
      <c r="V5" s="55" t="s">
        <v>5871</v>
      </c>
    </row>
    <row r="6" spans="1:2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7"/>
      <c r="N6" s="57"/>
      <c r="O6" s="58"/>
      <c r="P6" s="57"/>
      <c r="Q6" s="57"/>
      <c r="R6" s="57"/>
      <c r="S6" s="58"/>
      <c r="T6" s="57"/>
      <c r="U6" s="59" t="s">
        <v>5870</v>
      </c>
      <c r="V6" s="59" t="s">
        <v>0</v>
      </c>
    </row>
    <row r="7" spans="1:22" ht="16.5" customHeight="1" x14ac:dyDescent="0.3">
      <c r="A7" s="2">
        <v>15</v>
      </c>
      <c r="B7" s="2" t="s">
        <v>1987</v>
      </c>
      <c r="C7" s="60" t="s">
        <v>12906</v>
      </c>
      <c r="D7" s="233" t="s">
        <v>16314</v>
      </c>
      <c r="E7" s="62"/>
      <c r="F7" s="75"/>
      <c r="G7" s="61"/>
      <c r="H7" s="62"/>
      <c r="I7" s="63"/>
      <c r="J7" s="85"/>
      <c r="K7" s="64"/>
      <c r="L7" s="65"/>
      <c r="M7" s="61"/>
      <c r="N7" s="62"/>
      <c r="O7" s="63"/>
      <c r="P7" s="75"/>
      <c r="Q7" s="61"/>
      <c r="R7" s="62"/>
      <c r="S7" s="63"/>
      <c r="T7" s="75"/>
      <c r="U7" s="120">
        <f>_15_同援日増０．５</f>
        <v>63</v>
      </c>
      <c r="V7" s="52" t="s">
        <v>5863</v>
      </c>
    </row>
    <row r="8" spans="1:22" ht="16.5" customHeight="1" x14ac:dyDescent="0.3">
      <c r="A8" s="2">
        <v>15</v>
      </c>
      <c r="B8" s="2" t="s">
        <v>1988</v>
      </c>
      <c r="C8" s="60" t="s">
        <v>12905</v>
      </c>
      <c r="D8" s="1" t="s">
        <v>7928</v>
      </c>
      <c r="E8" s="68"/>
      <c r="F8" s="70"/>
      <c r="G8" s="66"/>
      <c r="H8" s="57"/>
      <c r="I8" s="58"/>
      <c r="J8" s="83" t="s">
        <v>5895</v>
      </c>
      <c r="K8" s="64" t="s">
        <v>1</v>
      </c>
      <c r="L8" s="65">
        <v>1</v>
      </c>
      <c r="M8" s="67"/>
      <c r="N8" s="68"/>
      <c r="O8" s="76"/>
      <c r="P8" s="70"/>
      <c r="Q8" s="67"/>
      <c r="R8" s="68"/>
      <c r="S8" s="76"/>
      <c r="T8" s="70"/>
      <c r="U8" s="120">
        <f>ROUND((_15_同援日増０．５*_15・２人),0)</f>
        <v>63</v>
      </c>
      <c r="V8" s="69"/>
    </row>
    <row r="9" spans="1:22" ht="16.5" customHeight="1" x14ac:dyDescent="0.3">
      <c r="A9" s="2">
        <v>15</v>
      </c>
      <c r="B9" s="2" t="s">
        <v>1989</v>
      </c>
      <c r="C9" s="60" t="s">
        <v>12904</v>
      </c>
      <c r="D9" s="1"/>
      <c r="E9" s="68"/>
      <c r="F9" s="70"/>
      <c r="G9" s="74" t="s">
        <v>17747</v>
      </c>
      <c r="H9" s="62"/>
      <c r="I9" s="63"/>
      <c r="J9" s="85"/>
      <c r="K9" s="64"/>
      <c r="L9" s="65"/>
      <c r="M9" s="67"/>
      <c r="N9" s="68"/>
      <c r="O9" s="76"/>
      <c r="P9" s="70"/>
      <c r="Q9" s="67"/>
      <c r="R9" s="68"/>
      <c r="S9" s="76"/>
      <c r="T9" s="70"/>
      <c r="U9" s="120">
        <f>ROUND((_15_同援日増０．５*_15・基礎２),0)</f>
        <v>57</v>
      </c>
      <c r="V9" s="69"/>
    </row>
    <row r="10" spans="1:22" ht="16.5" customHeight="1" x14ac:dyDescent="0.3">
      <c r="A10" s="2">
        <v>15</v>
      </c>
      <c r="B10" s="2" t="s">
        <v>1990</v>
      </c>
      <c r="C10" s="60" t="s">
        <v>12903</v>
      </c>
      <c r="D10" s="1"/>
      <c r="E10" s="119">
        <v>63</v>
      </c>
      <c r="F10" s="70" t="s">
        <v>0</v>
      </c>
      <c r="G10" s="106" t="s">
        <v>5896</v>
      </c>
      <c r="H10" s="57" t="s">
        <v>1</v>
      </c>
      <c r="I10" s="58">
        <v>0.9</v>
      </c>
      <c r="J10" s="83" t="s">
        <v>5895</v>
      </c>
      <c r="K10" s="64" t="s">
        <v>1</v>
      </c>
      <c r="L10" s="65">
        <v>1</v>
      </c>
      <c r="M10" s="66"/>
      <c r="N10" s="57"/>
      <c r="O10" s="58"/>
      <c r="P10" s="77"/>
      <c r="Q10" s="67"/>
      <c r="R10" s="68"/>
      <c r="S10" s="76"/>
      <c r="T10" s="70"/>
      <c r="U10" s="120">
        <f>ROUND((ROUND((_15_同援日増０．５*_15・基礎２),0)*_15・２人),0)</f>
        <v>57</v>
      </c>
      <c r="V10" s="69"/>
    </row>
    <row r="11" spans="1:22" ht="16.5" customHeight="1" x14ac:dyDescent="0.3">
      <c r="A11" s="2">
        <v>15</v>
      </c>
      <c r="B11" s="2" t="s">
        <v>1991</v>
      </c>
      <c r="C11" s="60" t="s">
        <v>12902</v>
      </c>
      <c r="D11" s="1"/>
      <c r="E11" s="68"/>
      <c r="F11" s="70"/>
      <c r="G11" s="61"/>
      <c r="H11" s="62"/>
      <c r="I11" s="63"/>
      <c r="J11" s="85"/>
      <c r="K11" s="64"/>
      <c r="L11" s="65"/>
      <c r="M11" s="74" t="s">
        <v>17933</v>
      </c>
      <c r="N11" s="62"/>
      <c r="O11" s="63"/>
      <c r="P11" s="75"/>
      <c r="Q11" s="67"/>
      <c r="R11" s="68"/>
      <c r="S11" s="76"/>
      <c r="T11" s="70"/>
      <c r="U11" s="120">
        <f>ROUND((_15_同援日増０．５*(1+_15・盲ろう)),0)</f>
        <v>79</v>
      </c>
      <c r="V11" s="69"/>
    </row>
    <row r="12" spans="1:22" ht="16.5" customHeight="1" x14ac:dyDescent="0.3">
      <c r="A12" s="2">
        <v>15</v>
      </c>
      <c r="B12" s="2" t="s">
        <v>1992</v>
      </c>
      <c r="C12" s="60" t="s">
        <v>12901</v>
      </c>
      <c r="D12" s="1"/>
      <c r="E12" s="68"/>
      <c r="F12" s="70"/>
      <c r="G12" s="66"/>
      <c r="H12" s="57"/>
      <c r="I12" s="58"/>
      <c r="J12" s="83" t="s">
        <v>5895</v>
      </c>
      <c r="K12" s="64" t="s">
        <v>1</v>
      </c>
      <c r="L12" s="65">
        <v>1</v>
      </c>
      <c r="M12" s="94" t="s">
        <v>17932</v>
      </c>
      <c r="N12" s="68"/>
      <c r="O12" s="76"/>
      <c r="P12" s="70"/>
      <c r="Q12" s="67"/>
      <c r="R12" s="68"/>
      <c r="S12" s="76"/>
      <c r="T12" s="70"/>
      <c r="U12" s="120">
        <f>ROUND((ROUND((_15_同援日増０．５*_15・２人),0)*(1+_15・盲ろう)),0)</f>
        <v>79</v>
      </c>
      <c r="V12" s="69"/>
    </row>
    <row r="13" spans="1:22" ht="16.5" customHeight="1" x14ac:dyDescent="0.3">
      <c r="A13" s="2">
        <v>15</v>
      </c>
      <c r="B13" s="2" t="s">
        <v>1993</v>
      </c>
      <c r="C13" s="60" t="s">
        <v>12900</v>
      </c>
      <c r="D13" s="1"/>
      <c r="E13" s="68"/>
      <c r="F13" s="70"/>
      <c r="G13" s="74" t="s">
        <v>17747</v>
      </c>
      <c r="H13" s="62"/>
      <c r="I13" s="63"/>
      <c r="J13" s="85"/>
      <c r="K13" s="64"/>
      <c r="L13" s="65"/>
      <c r="M13" s="67"/>
      <c r="N13" s="68" t="s">
        <v>1</v>
      </c>
      <c r="O13" s="76">
        <v>0.25</v>
      </c>
      <c r="P13" s="70" t="s">
        <v>422</v>
      </c>
      <c r="Q13" s="67"/>
      <c r="R13" s="68"/>
      <c r="S13" s="76"/>
      <c r="T13" s="70"/>
      <c r="U13" s="120">
        <f>ROUND((ROUND((_15_同援日増０．５*_15・基礎２),0)*(1+_15・盲ろう)),0)</f>
        <v>71</v>
      </c>
      <c r="V13" s="69"/>
    </row>
    <row r="14" spans="1:22" ht="16.5" customHeight="1" x14ac:dyDescent="0.3">
      <c r="A14" s="2">
        <v>15</v>
      </c>
      <c r="B14" s="2" t="s">
        <v>1994</v>
      </c>
      <c r="C14" s="60" t="s">
        <v>12899</v>
      </c>
      <c r="D14" s="1"/>
      <c r="E14" s="68"/>
      <c r="F14" s="70"/>
      <c r="G14" s="106" t="s">
        <v>17420</v>
      </c>
      <c r="H14" s="57" t="s">
        <v>1</v>
      </c>
      <c r="I14" s="58">
        <v>0.9</v>
      </c>
      <c r="J14" s="83" t="s">
        <v>5895</v>
      </c>
      <c r="K14" s="64" t="s">
        <v>1</v>
      </c>
      <c r="L14" s="65">
        <v>1</v>
      </c>
      <c r="M14" s="66"/>
      <c r="N14" s="57"/>
      <c r="O14" s="58"/>
      <c r="P14" s="77"/>
      <c r="Q14" s="66"/>
      <c r="R14" s="57"/>
      <c r="S14" s="58"/>
      <c r="T14" s="77"/>
      <c r="U14" s="120">
        <f>ROUND((ROUND((ROUND((_15_同援日増０．５*_15・基礎２),0)*_15・２人),0)*(1+_15・盲ろう)),0)</f>
        <v>71</v>
      </c>
      <c r="V14" s="69"/>
    </row>
    <row r="15" spans="1:22" ht="16.5" customHeight="1" x14ac:dyDescent="0.3">
      <c r="A15" s="2">
        <v>15</v>
      </c>
      <c r="B15" s="2" t="s">
        <v>1995</v>
      </c>
      <c r="C15" s="60" t="s">
        <v>12898</v>
      </c>
      <c r="D15" s="1"/>
      <c r="E15" s="68"/>
      <c r="F15" s="70"/>
      <c r="G15" s="61"/>
      <c r="H15" s="62"/>
      <c r="I15" s="63"/>
      <c r="J15" s="85"/>
      <c r="K15" s="64"/>
      <c r="L15" s="65"/>
      <c r="M15" s="61"/>
      <c r="N15" s="62"/>
      <c r="O15" s="63"/>
      <c r="P15" s="75"/>
      <c r="Q15" s="61"/>
      <c r="R15" s="62"/>
      <c r="S15" s="63"/>
      <c r="T15" s="75"/>
      <c r="U15" s="120">
        <f>ROUND((_15_同援日増０．５*(1+_15・区３)),0)</f>
        <v>76</v>
      </c>
      <c r="V15" s="69"/>
    </row>
    <row r="16" spans="1:22" ht="16.5" customHeight="1" x14ac:dyDescent="0.3">
      <c r="A16" s="2">
        <v>15</v>
      </c>
      <c r="B16" s="2" t="s">
        <v>1996</v>
      </c>
      <c r="C16" s="60" t="s">
        <v>12897</v>
      </c>
      <c r="D16" s="1"/>
      <c r="E16" s="68"/>
      <c r="F16" s="70"/>
      <c r="G16" s="66"/>
      <c r="H16" s="57"/>
      <c r="I16" s="58"/>
      <c r="J16" s="83" t="s">
        <v>5895</v>
      </c>
      <c r="K16" s="64" t="s">
        <v>1</v>
      </c>
      <c r="L16" s="65">
        <v>1</v>
      </c>
      <c r="M16" s="67"/>
      <c r="N16" s="68"/>
      <c r="O16" s="76"/>
      <c r="P16" s="70"/>
      <c r="Q16" s="67"/>
      <c r="R16" s="68"/>
      <c r="S16" s="76"/>
      <c r="T16" s="70"/>
      <c r="U16" s="120">
        <f>ROUND((ROUND((_15_同援日増０．５*_15・２人),0)*(1+_15・区３)),0)</f>
        <v>76</v>
      </c>
      <c r="V16" s="69"/>
    </row>
    <row r="17" spans="1:22" ht="16.5" customHeight="1" x14ac:dyDescent="0.3">
      <c r="A17" s="2">
        <v>15</v>
      </c>
      <c r="B17" s="2" t="s">
        <v>1997</v>
      </c>
      <c r="C17" s="60" t="s">
        <v>12896</v>
      </c>
      <c r="D17" s="1"/>
      <c r="E17" s="68"/>
      <c r="F17" s="70"/>
      <c r="G17" s="74" t="s">
        <v>17747</v>
      </c>
      <c r="H17" s="62"/>
      <c r="I17" s="63"/>
      <c r="J17" s="85"/>
      <c r="K17" s="64"/>
      <c r="L17" s="65"/>
      <c r="M17" s="67"/>
      <c r="N17" s="68"/>
      <c r="O17" s="76"/>
      <c r="P17" s="70"/>
      <c r="Q17" s="1" t="s">
        <v>8098</v>
      </c>
      <c r="R17" s="68"/>
      <c r="S17" s="76"/>
      <c r="T17" s="70"/>
      <c r="U17" s="120">
        <f>ROUND((ROUND((_15_同援日増０．５*_15・基礎２),0)*(1+_15・区３)),0)</f>
        <v>68</v>
      </c>
      <c r="V17" s="69"/>
    </row>
    <row r="18" spans="1:22" ht="16.5" customHeight="1" x14ac:dyDescent="0.3">
      <c r="A18" s="2">
        <v>15</v>
      </c>
      <c r="B18" s="2" t="s">
        <v>1998</v>
      </c>
      <c r="C18" s="60" t="s">
        <v>12895</v>
      </c>
      <c r="D18" s="1"/>
      <c r="E18" s="68"/>
      <c r="F18" s="70"/>
      <c r="G18" s="106" t="s">
        <v>5896</v>
      </c>
      <c r="H18" s="57" t="s">
        <v>1</v>
      </c>
      <c r="I18" s="58">
        <v>0.9</v>
      </c>
      <c r="J18" s="83" t="s">
        <v>5895</v>
      </c>
      <c r="K18" s="64" t="s">
        <v>1</v>
      </c>
      <c r="L18" s="65">
        <v>1</v>
      </c>
      <c r="M18" s="66"/>
      <c r="N18" s="57"/>
      <c r="O18" s="58"/>
      <c r="P18" s="77"/>
      <c r="Q18" s="1" t="s">
        <v>17934</v>
      </c>
      <c r="R18" s="68"/>
      <c r="S18" s="76"/>
      <c r="T18" s="70"/>
      <c r="U18" s="120">
        <f>ROUND((ROUND((ROUND((_15_同援日増０．５*_15・基礎２),0)*_15・２人),0)*(1+_15・区３)),0)</f>
        <v>68</v>
      </c>
      <c r="V18" s="69"/>
    </row>
    <row r="19" spans="1:22" ht="16.5" customHeight="1" x14ac:dyDescent="0.3">
      <c r="A19" s="2">
        <v>15</v>
      </c>
      <c r="B19" s="2" t="s">
        <v>1999</v>
      </c>
      <c r="C19" s="60" t="s">
        <v>12894</v>
      </c>
      <c r="D19" s="1"/>
      <c r="E19" s="68"/>
      <c r="F19" s="70"/>
      <c r="G19" s="61"/>
      <c r="H19" s="62"/>
      <c r="I19" s="63"/>
      <c r="J19" s="85"/>
      <c r="K19" s="64"/>
      <c r="L19" s="65"/>
      <c r="M19" s="74" t="s">
        <v>17933</v>
      </c>
      <c r="N19" s="62"/>
      <c r="O19" s="63"/>
      <c r="P19" s="75"/>
      <c r="Q19" s="67"/>
      <c r="R19" s="68" t="s">
        <v>1</v>
      </c>
      <c r="S19" s="76">
        <v>0.2</v>
      </c>
      <c r="T19" s="70" t="s">
        <v>422</v>
      </c>
      <c r="U19" s="120">
        <f>ROUND((ROUND((_15_同援日増０．５*(1+_15・盲ろう)),0)*(1+_15・区３)),0)</f>
        <v>95</v>
      </c>
      <c r="V19" s="69"/>
    </row>
    <row r="20" spans="1:22" ht="16.5" customHeight="1" x14ac:dyDescent="0.3">
      <c r="A20" s="2">
        <v>15</v>
      </c>
      <c r="B20" s="2" t="s">
        <v>2000</v>
      </c>
      <c r="C20" s="60" t="s">
        <v>12893</v>
      </c>
      <c r="D20" s="1"/>
      <c r="E20" s="68"/>
      <c r="F20" s="70"/>
      <c r="G20" s="66"/>
      <c r="H20" s="57"/>
      <c r="I20" s="58"/>
      <c r="J20" s="83" t="s">
        <v>5895</v>
      </c>
      <c r="K20" s="64" t="s">
        <v>1</v>
      </c>
      <c r="L20" s="65">
        <v>1</v>
      </c>
      <c r="M20" s="94" t="s">
        <v>8083</v>
      </c>
      <c r="N20" s="68"/>
      <c r="O20" s="76"/>
      <c r="P20" s="70"/>
      <c r="Q20" s="67"/>
      <c r="R20" s="68"/>
      <c r="S20" s="76"/>
      <c r="T20" s="70"/>
      <c r="U20" s="120">
        <f>ROUND((ROUND((ROUND((_15_同援日増０．５*_15・２人),0)*(1+_15・盲ろう)),0)*(1+_15・区３)),0)</f>
        <v>95</v>
      </c>
      <c r="V20" s="69"/>
    </row>
    <row r="21" spans="1:22" ht="16.5" customHeight="1" x14ac:dyDescent="0.3">
      <c r="A21" s="2">
        <v>15</v>
      </c>
      <c r="B21" s="2" t="s">
        <v>2001</v>
      </c>
      <c r="C21" s="60" t="s">
        <v>12892</v>
      </c>
      <c r="D21" s="1"/>
      <c r="E21" s="68"/>
      <c r="F21" s="70"/>
      <c r="G21" s="74" t="s">
        <v>17747</v>
      </c>
      <c r="H21" s="62"/>
      <c r="I21" s="63"/>
      <c r="J21" s="85"/>
      <c r="K21" s="64"/>
      <c r="L21" s="65"/>
      <c r="M21" s="67"/>
      <c r="N21" s="68" t="s">
        <v>1</v>
      </c>
      <c r="O21" s="76">
        <v>0.25</v>
      </c>
      <c r="P21" s="70" t="s">
        <v>422</v>
      </c>
      <c r="Q21" s="67"/>
      <c r="R21" s="68"/>
      <c r="S21" s="76"/>
      <c r="T21" s="70"/>
      <c r="U21" s="120">
        <f>ROUND((ROUND((ROUND((_15_同援日増０．５*_15・基礎２),0)*(1+_15・盲ろう)),0)*(1+_15・区３)),0)</f>
        <v>85</v>
      </c>
      <c r="V21" s="69"/>
    </row>
    <row r="22" spans="1:22" ht="16.5" customHeight="1" x14ac:dyDescent="0.3">
      <c r="A22" s="2">
        <v>15</v>
      </c>
      <c r="B22" s="2" t="s">
        <v>2002</v>
      </c>
      <c r="C22" s="60" t="s">
        <v>12891</v>
      </c>
      <c r="D22" s="1"/>
      <c r="E22" s="68"/>
      <c r="F22" s="70"/>
      <c r="G22" s="106" t="s">
        <v>17420</v>
      </c>
      <c r="H22" s="57" t="s">
        <v>1</v>
      </c>
      <c r="I22" s="58">
        <v>0.9</v>
      </c>
      <c r="J22" s="83" t="s">
        <v>5895</v>
      </c>
      <c r="K22" s="64" t="s">
        <v>1</v>
      </c>
      <c r="L22" s="65">
        <v>1</v>
      </c>
      <c r="M22" s="66"/>
      <c r="N22" s="57"/>
      <c r="O22" s="58"/>
      <c r="P22" s="77"/>
      <c r="Q22" s="66"/>
      <c r="R22" s="57"/>
      <c r="S22" s="58"/>
      <c r="T22" s="77"/>
      <c r="U22" s="120">
        <f>ROUND((ROUND((ROUND((ROUND((_15_同援日増０．５*_15・基礎２),0)*_15・２人),0)*(1+_15・盲ろう)),0)*(1+_15・区３)),0)</f>
        <v>85</v>
      </c>
      <c r="V22" s="69"/>
    </row>
    <row r="23" spans="1:22" ht="16.5" customHeight="1" x14ac:dyDescent="0.3">
      <c r="A23" s="2">
        <v>15</v>
      </c>
      <c r="B23" s="2" t="s">
        <v>2003</v>
      </c>
      <c r="C23" s="60" t="s">
        <v>12890</v>
      </c>
      <c r="D23" s="1"/>
      <c r="E23" s="68"/>
      <c r="F23" s="70"/>
      <c r="G23" s="61"/>
      <c r="H23" s="62"/>
      <c r="I23" s="63"/>
      <c r="J23" s="85"/>
      <c r="K23" s="64"/>
      <c r="L23" s="65"/>
      <c r="M23" s="61"/>
      <c r="N23" s="62"/>
      <c r="O23" s="63"/>
      <c r="P23" s="75"/>
      <c r="Q23" s="61"/>
      <c r="R23" s="62"/>
      <c r="S23" s="63"/>
      <c r="T23" s="75"/>
      <c r="U23" s="120">
        <f>ROUND((_15_同援日増０．５*(1+_15・区４)),0)</f>
        <v>88</v>
      </c>
      <c r="V23" s="69"/>
    </row>
    <row r="24" spans="1:22" ht="16.5" customHeight="1" x14ac:dyDescent="0.3">
      <c r="A24" s="2">
        <v>15</v>
      </c>
      <c r="B24" s="2" t="s">
        <v>2004</v>
      </c>
      <c r="C24" s="60" t="s">
        <v>12889</v>
      </c>
      <c r="D24" s="1"/>
      <c r="E24" s="68"/>
      <c r="F24" s="70"/>
      <c r="G24" s="66"/>
      <c r="H24" s="57"/>
      <c r="I24" s="58"/>
      <c r="J24" s="83" t="s">
        <v>5895</v>
      </c>
      <c r="K24" s="64" t="s">
        <v>1</v>
      </c>
      <c r="L24" s="65">
        <v>1</v>
      </c>
      <c r="M24" s="67"/>
      <c r="N24" s="68"/>
      <c r="O24" s="76"/>
      <c r="P24" s="70"/>
      <c r="Q24" s="67"/>
      <c r="R24" s="68"/>
      <c r="S24" s="76"/>
      <c r="T24" s="70"/>
      <c r="U24" s="120">
        <f>ROUND((ROUND((_15_同援日増０．５*_15・２人),0)*(1+_15・区４)),0)</f>
        <v>88</v>
      </c>
      <c r="V24" s="69"/>
    </row>
    <row r="25" spans="1:22" ht="16.5" customHeight="1" x14ac:dyDescent="0.3">
      <c r="A25" s="2">
        <v>15</v>
      </c>
      <c r="B25" s="2" t="s">
        <v>2005</v>
      </c>
      <c r="C25" s="60" t="s">
        <v>12888</v>
      </c>
      <c r="D25" s="1"/>
      <c r="E25" s="68"/>
      <c r="F25" s="70"/>
      <c r="G25" s="74" t="s">
        <v>17747</v>
      </c>
      <c r="H25" s="62"/>
      <c r="I25" s="63"/>
      <c r="J25" s="85"/>
      <c r="K25" s="64"/>
      <c r="L25" s="65"/>
      <c r="M25" s="67"/>
      <c r="N25" s="68"/>
      <c r="O25" s="76"/>
      <c r="P25" s="70"/>
      <c r="Q25" s="1" t="s">
        <v>17935</v>
      </c>
      <c r="R25" s="68"/>
      <c r="S25" s="76"/>
      <c r="T25" s="70"/>
      <c r="U25" s="120">
        <f>ROUND((ROUND((_15_同援日増０．５*_15・基礎２),0)*(1+_15・区４)),0)</f>
        <v>80</v>
      </c>
      <c r="V25" s="69"/>
    </row>
    <row r="26" spans="1:22" ht="16.5" customHeight="1" x14ac:dyDescent="0.3">
      <c r="A26" s="2">
        <v>15</v>
      </c>
      <c r="B26" s="2" t="s">
        <v>2006</v>
      </c>
      <c r="C26" s="60" t="s">
        <v>12887</v>
      </c>
      <c r="D26" s="1"/>
      <c r="E26" s="68"/>
      <c r="F26" s="70"/>
      <c r="G26" s="106" t="s">
        <v>17420</v>
      </c>
      <c r="H26" s="57" t="s">
        <v>1</v>
      </c>
      <c r="I26" s="58">
        <v>0.9</v>
      </c>
      <c r="J26" s="83" t="s">
        <v>5895</v>
      </c>
      <c r="K26" s="64" t="s">
        <v>1</v>
      </c>
      <c r="L26" s="65">
        <v>1</v>
      </c>
      <c r="M26" s="66"/>
      <c r="N26" s="57"/>
      <c r="O26" s="58"/>
      <c r="P26" s="77"/>
      <c r="Q26" s="1" t="s">
        <v>17934</v>
      </c>
      <c r="R26" s="68"/>
      <c r="S26" s="76"/>
      <c r="T26" s="70"/>
      <c r="U26" s="120">
        <f>ROUND((ROUND((ROUND((_15_同援日増０．５*_15・基礎２),0)*_15・２人),0)*(1+_15・区４)),0)</f>
        <v>80</v>
      </c>
      <c r="V26" s="69"/>
    </row>
    <row r="27" spans="1:22" ht="16.5" customHeight="1" x14ac:dyDescent="0.3">
      <c r="A27" s="2">
        <v>15</v>
      </c>
      <c r="B27" s="2" t="s">
        <v>2007</v>
      </c>
      <c r="C27" s="60" t="s">
        <v>12886</v>
      </c>
      <c r="D27" s="1"/>
      <c r="E27" s="68"/>
      <c r="F27" s="70"/>
      <c r="G27" s="61"/>
      <c r="H27" s="62"/>
      <c r="I27" s="63"/>
      <c r="J27" s="85"/>
      <c r="K27" s="64"/>
      <c r="L27" s="65"/>
      <c r="M27" s="74" t="s">
        <v>17933</v>
      </c>
      <c r="N27" s="62"/>
      <c r="O27" s="63"/>
      <c r="P27" s="75"/>
      <c r="Q27" s="67"/>
      <c r="R27" s="68" t="s">
        <v>1</v>
      </c>
      <c r="S27" s="76">
        <v>0.4</v>
      </c>
      <c r="T27" s="70" t="s">
        <v>422</v>
      </c>
      <c r="U27" s="120">
        <f>ROUND((ROUND((_15_同援日増０．５*(1+_15・盲ろう)),0)*(1+_15・区４)),0)</f>
        <v>111</v>
      </c>
      <c r="V27" s="69"/>
    </row>
    <row r="28" spans="1:22" ht="16.5" customHeight="1" x14ac:dyDescent="0.3">
      <c r="A28" s="2">
        <v>15</v>
      </c>
      <c r="B28" s="2" t="s">
        <v>2008</v>
      </c>
      <c r="C28" s="60" t="s">
        <v>12885</v>
      </c>
      <c r="D28" s="1"/>
      <c r="E28" s="68"/>
      <c r="F28" s="70"/>
      <c r="G28" s="66"/>
      <c r="H28" s="57"/>
      <c r="I28" s="58"/>
      <c r="J28" s="83" t="s">
        <v>5895</v>
      </c>
      <c r="K28" s="64" t="s">
        <v>1</v>
      </c>
      <c r="L28" s="65">
        <v>1</v>
      </c>
      <c r="M28" s="94" t="s">
        <v>17932</v>
      </c>
      <c r="N28" s="68"/>
      <c r="O28" s="76"/>
      <c r="P28" s="70"/>
      <c r="Q28" s="67"/>
      <c r="R28" s="68"/>
      <c r="S28" s="76"/>
      <c r="T28" s="70"/>
      <c r="U28" s="120">
        <f>ROUND((ROUND((ROUND((_15_同援日増０．５*_15・２人),0)*(1+_15・盲ろう)),0)*(1+_15・区４)),0)</f>
        <v>111</v>
      </c>
      <c r="V28" s="69"/>
    </row>
    <row r="29" spans="1:22" ht="16.5" customHeight="1" x14ac:dyDescent="0.3">
      <c r="A29" s="2">
        <v>15</v>
      </c>
      <c r="B29" s="2" t="s">
        <v>2009</v>
      </c>
      <c r="C29" s="60" t="s">
        <v>12884</v>
      </c>
      <c r="D29" s="1"/>
      <c r="E29" s="68"/>
      <c r="F29" s="70"/>
      <c r="G29" s="74" t="s">
        <v>17747</v>
      </c>
      <c r="H29" s="62"/>
      <c r="I29" s="63"/>
      <c r="J29" s="85"/>
      <c r="K29" s="64"/>
      <c r="L29" s="65"/>
      <c r="M29" s="67"/>
      <c r="N29" s="68" t="s">
        <v>1</v>
      </c>
      <c r="O29" s="76">
        <v>0.25</v>
      </c>
      <c r="P29" s="70" t="s">
        <v>422</v>
      </c>
      <c r="Q29" s="67"/>
      <c r="R29" s="68"/>
      <c r="S29" s="76"/>
      <c r="T29" s="70"/>
      <c r="U29" s="120">
        <f>ROUND((ROUND((ROUND((_15_同援日増０．５*_15・基礎２),0)*(1+_15・盲ろう)),0)*(1+_15・区４)),0)</f>
        <v>99</v>
      </c>
      <c r="V29" s="69"/>
    </row>
    <row r="30" spans="1:22" ht="16.5" customHeight="1" x14ac:dyDescent="0.3">
      <c r="A30" s="2">
        <v>15</v>
      </c>
      <c r="B30" s="2" t="s">
        <v>2010</v>
      </c>
      <c r="C30" s="60" t="s">
        <v>12883</v>
      </c>
      <c r="D30" s="81"/>
      <c r="E30" s="57"/>
      <c r="F30" s="77"/>
      <c r="G30" s="106" t="s">
        <v>5896</v>
      </c>
      <c r="H30" s="57" t="s">
        <v>1</v>
      </c>
      <c r="I30" s="58">
        <v>0.9</v>
      </c>
      <c r="J30" s="83" t="s">
        <v>5895</v>
      </c>
      <c r="K30" s="64" t="s">
        <v>1</v>
      </c>
      <c r="L30" s="65">
        <v>1</v>
      </c>
      <c r="M30" s="66"/>
      <c r="N30" s="57"/>
      <c r="O30" s="58"/>
      <c r="P30" s="77"/>
      <c r="Q30" s="66"/>
      <c r="R30" s="57"/>
      <c r="S30" s="58"/>
      <c r="T30" s="77"/>
      <c r="U30" s="120">
        <f>ROUND((ROUND((ROUND((ROUND((_15_同援日増０．５*_15・基礎２),0)*_15・２人),0)*(1+_15・盲ろう)),0)*(1+_15・区４)),0)</f>
        <v>99</v>
      </c>
      <c r="V30" s="69"/>
    </row>
    <row r="31" spans="1:22" ht="16.5" customHeight="1" x14ac:dyDescent="0.3">
      <c r="A31" s="2">
        <v>15</v>
      </c>
      <c r="B31" s="2" t="s">
        <v>2011</v>
      </c>
      <c r="C31" s="60" t="s">
        <v>12882</v>
      </c>
      <c r="D31" s="233" t="s">
        <v>18184</v>
      </c>
      <c r="E31" s="62"/>
      <c r="F31" s="75"/>
      <c r="G31" s="61"/>
      <c r="H31" s="62"/>
      <c r="I31" s="63"/>
      <c r="J31" s="85"/>
      <c r="K31" s="64"/>
      <c r="L31" s="65"/>
      <c r="M31" s="61"/>
      <c r="N31" s="62"/>
      <c r="O31" s="63"/>
      <c r="P31" s="75"/>
      <c r="Q31" s="61"/>
      <c r="R31" s="62"/>
      <c r="S31" s="63"/>
      <c r="T31" s="75"/>
      <c r="U31" s="120">
        <f>_15_同援日増１．０</f>
        <v>126</v>
      </c>
      <c r="V31" s="69"/>
    </row>
    <row r="32" spans="1:22" ht="16.5" customHeight="1" x14ac:dyDescent="0.3">
      <c r="A32" s="2">
        <v>15</v>
      </c>
      <c r="B32" s="2" t="s">
        <v>2012</v>
      </c>
      <c r="C32" s="60" t="s">
        <v>12881</v>
      </c>
      <c r="D32" s="1" t="s">
        <v>5993</v>
      </c>
      <c r="E32" s="68"/>
      <c r="F32" s="70"/>
      <c r="G32" s="66"/>
      <c r="H32" s="57"/>
      <c r="I32" s="58"/>
      <c r="J32" s="83" t="s">
        <v>5895</v>
      </c>
      <c r="K32" s="64" t="s">
        <v>1</v>
      </c>
      <c r="L32" s="65">
        <v>1</v>
      </c>
      <c r="M32" s="67"/>
      <c r="N32" s="68"/>
      <c r="O32" s="76"/>
      <c r="P32" s="70"/>
      <c r="Q32" s="67"/>
      <c r="R32" s="68"/>
      <c r="S32" s="76"/>
      <c r="T32" s="70"/>
      <c r="U32" s="120">
        <f>ROUND((_15_同援日増１．０*_15・２人),0)</f>
        <v>126</v>
      </c>
      <c r="V32" s="69"/>
    </row>
    <row r="33" spans="1:22" ht="16.5" customHeight="1" x14ac:dyDescent="0.3">
      <c r="A33" s="2">
        <v>15</v>
      </c>
      <c r="B33" s="2" t="s">
        <v>2013</v>
      </c>
      <c r="C33" s="60" t="s">
        <v>12880</v>
      </c>
      <c r="D33" s="1" t="s">
        <v>8572</v>
      </c>
      <c r="E33" s="68"/>
      <c r="F33" s="70"/>
      <c r="G33" s="74" t="s">
        <v>5898</v>
      </c>
      <c r="H33" s="62"/>
      <c r="I33" s="63"/>
      <c r="J33" s="85"/>
      <c r="K33" s="64"/>
      <c r="L33" s="65"/>
      <c r="M33" s="67"/>
      <c r="N33" s="68"/>
      <c r="O33" s="76"/>
      <c r="P33" s="70"/>
      <c r="Q33" s="67"/>
      <c r="R33" s="68"/>
      <c r="S33" s="76"/>
      <c r="T33" s="70"/>
      <c r="U33" s="120">
        <f>ROUND((_15_同援日増１．０*_15・基礎２),0)</f>
        <v>113</v>
      </c>
      <c r="V33" s="69"/>
    </row>
    <row r="34" spans="1:22" ht="16.5" customHeight="1" x14ac:dyDescent="0.3">
      <c r="A34" s="2">
        <v>15</v>
      </c>
      <c r="B34" s="2" t="s">
        <v>2014</v>
      </c>
      <c r="C34" s="60" t="s">
        <v>12879</v>
      </c>
      <c r="D34" s="1"/>
      <c r="E34" s="119">
        <v>126</v>
      </c>
      <c r="F34" s="70" t="s">
        <v>0</v>
      </c>
      <c r="G34" s="106" t="s">
        <v>5896</v>
      </c>
      <c r="H34" s="57" t="s">
        <v>1</v>
      </c>
      <c r="I34" s="58">
        <v>0.9</v>
      </c>
      <c r="J34" s="83" t="s">
        <v>5895</v>
      </c>
      <c r="K34" s="64" t="s">
        <v>1</v>
      </c>
      <c r="L34" s="65">
        <v>1</v>
      </c>
      <c r="M34" s="66"/>
      <c r="N34" s="57"/>
      <c r="O34" s="58"/>
      <c r="P34" s="77"/>
      <c r="Q34" s="67"/>
      <c r="R34" s="68"/>
      <c r="S34" s="76"/>
      <c r="T34" s="70"/>
      <c r="U34" s="120">
        <f>ROUND((ROUND((_15_同援日増１．０*_15・基礎２),0)*_15・２人),0)</f>
        <v>113</v>
      </c>
      <c r="V34" s="69"/>
    </row>
    <row r="35" spans="1:22" ht="16.5" customHeight="1" x14ac:dyDescent="0.3">
      <c r="A35" s="2">
        <v>15</v>
      </c>
      <c r="B35" s="2" t="s">
        <v>2015</v>
      </c>
      <c r="C35" s="60" t="s">
        <v>12878</v>
      </c>
      <c r="D35" s="1"/>
      <c r="E35" s="68"/>
      <c r="F35" s="70"/>
      <c r="G35" s="61"/>
      <c r="H35" s="62"/>
      <c r="I35" s="63"/>
      <c r="J35" s="85"/>
      <c r="K35" s="64"/>
      <c r="L35" s="65"/>
      <c r="M35" s="74" t="s">
        <v>8085</v>
      </c>
      <c r="N35" s="62"/>
      <c r="O35" s="63"/>
      <c r="P35" s="75"/>
      <c r="Q35" s="67"/>
      <c r="R35" s="68"/>
      <c r="S35" s="76"/>
      <c r="T35" s="70"/>
      <c r="U35" s="120">
        <f>ROUND((_15_同援日増１．０*(1+_15・盲ろう)),0)</f>
        <v>158</v>
      </c>
      <c r="V35" s="69"/>
    </row>
    <row r="36" spans="1:22" ht="16.5" customHeight="1" x14ac:dyDescent="0.3">
      <c r="A36" s="2">
        <v>15</v>
      </c>
      <c r="B36" s="2" t="s">
        <v>2016</v>
      </c>
      <c r="C36" s="60" t="s">
        <v>12877</v>
      </c>
      <c r="D36" s="1"/>
      <c r="E36" s="68"/>
      <c r="F36" s="70"/>
      <c r="G36" s="66"/>
      <c r="H36" s="57"/>
      <c r="I36" s="58"/>
      <c r="J36" s="83" t="s">
        <v>5895</v>
      </c>
      <c r="K36" s="64" t="s">
        <v>1</v>
      </c>
      <c r="L36" s="65">
        <v>1</v>
      </c>
      <c r="M36" s="94" t="s">
        <v>17932</v>
      </c>
      <c r="N36" s="68"/>
      <c r="O36" s="76"/>
      <c r="P36" s="70"/>
      <c r="Q36" s="67"/>
      <c r="R36" s="68"/>
      <c r="S36" s="76"/>
      <c r="T36" s="70"/>
      <c r="U36" s="120">
        <f>ROUND((ROUND((_15_同援日増１．０*_15・２人),0)*(1+_15・盲ろう)),0)</f>
        <v>158</v>
      </c>
      <c r="V36" s="69"/>
    </row>
    <row r="37" spans="1:22" ht="16.5" customHeight="1" x14ac:dyDescent="0.3">
      <c r="A37" s="2">
        <v>15</v>
      </c>
      <c r="B37" s="2" t="s">
        <v>2017</v>
      </c>
      <c r="C37" s="60" t="s">
        <v>12876</v>
      </c>
      <c r="D37" s="1"/>
      <c r="E37" s="68"/>
      <c r="F37" s="70"/>
      <c r="G37" s="74" t="s">
        <v>17747</v>
      </c>
      <c r="H37" s="62"/>
      <c r="I37" s="63"/>
      <c r="J37" s="85"/>
      <c r="K37" s="64"/>
      <c r="L37" s="65"/>
      <c r="M37" s="67"/>
      <c r="N37" s="68" t="s">
        <v>1</v>
      </c>
      <c r="O37" s="76">
        <v>0.25</v>
      </c>
      <c r="P37" s="70" t="s">
        <v>422</v>
      </c>
      <c r="Q37" s="67"/>
      <c r="R37" s="68"/>
      <c r="S37" s="76"/>
      <c r="T37" s="70"/>
      <c r="U37" s="120">
        <f>ROUND((ROUND((_15_同援日増１．０*_15・基礎２),0)*(1+_15・盲ろう)),0)</f>
        <v>141</v>
      </c>
      <c r="V37" s="69"/>
    </row>
    <row r="38" spans="1:22" ht="16.5" customHeight="1" x14ac:dyDescent="0.3">
      <c r="A38" s="2">
        <v>15</v>
      </c>
      <c r="B38" s="2" t="s">
        <v>2018</v>
      </c>
      <c r="C38" s="60" t="s">
        <v>12875</v>
      </c>
      <c r="D38" s="1"/>
      <c r="E38" s="68"/>
      <c r="F38" s="70"/>
      <c r="G38" s="106" t="s">
        <v>5896</v>
      </c>
      <c r="H38" s="57" t="s">
        <v>1</v>
      </c>
      <c r="I38" s="58">
        <v>0.9</v>
      </c>
      <c r="J38" s="83" t="s">
        <v>5895</v>
      </c>
      <c r="K38" s="64" t="s">
        <v>1</v>
      </c>
      <c r="L38" s="65">
        <v>1</v>
      </c>
      <c r="M38" s="66"/>
      <c r="N38" s="57"/>
      <c r="O38" s="58"/>
      <c r="P38" s="77"/>
      <c r="Q38" s="66"/>
      <c r="R38" s="57"/>
      <c r="S38" s="58"/>
      <c r="T38" s="77"/>
      <c r="U38" s="120">
        <f>ROUND((ROUND((ROUND((_15_同援日増１．０*_15・基礎２),0)*_15・２人),0)*(1+_15・盲ろう)),0)</f>
        <v>141</v>
      </c>
      <c r="V38" s="69"/>
    </row>
    <row r="39" spans="1:22" ht="16.5" customHeight="1" x14ac:dyDescent="0.3">
      <c r="A39" s="2">
        <v>15</v>
      </c>
      <c r="B39" s="2" t="s">
        <v>2019</v>
      </c>
      <c r="C39" s="60" t="s">
        <v>12874</v>
      </c>
      <c r="D39" s="1"/>
      <c r="E39" s="68"/>
      <c r="F39" s="70"/>
      <c r="G39" s="61"/>
      <c r="H39" s="62"/>
      <c r="I39" s="63"/>
      <c r="J39" s="85"/>
      <c r="K39" s="64"/>
      <c r="L39" s="65"/>
      <c r="M39" s="61"/>
      <c r="N39" s="62"/>
      <c r="O39" s="63"/>
      <c r="P39" s="75"/>
      <c r="Q39" s="61"/>
      <c r="R39" s="62"/>
      <c r="S39" s="63"/>
      <c r="T39" s="75"/>
      <c r="U39" s="120">
        <f>ROUND((_15_同援日増１．０*(1+_15・区３)),0)</f>
        <v>151</v>
      </c>
      <c r="V39" s="69"/>
    </row>
    <row r="40" spans="1:22" ht="16.5" customHeight="1" x14ac:dyDescent="0.3">
      <c r="A40" s="2">
        <v>15</v>
      </c>
      <c r="B40" s="2" t="s">
        <v>2020</v>
      </c>
      <c r="C40" s="60" t="s">
        <v>12873</v>
      </c>
      <c r="D40" s="1"/>
      <c r="E40" s="68"/>
      <c r="F40" s="70"/>
      <c r="G40" s="66"/>
      <c r="H40" s="57"/>
      <c r="I40" s="58"/>
      <c r="J40" s="83" t="s">
        <v>5895</v>
      </c>
      <c r="K40" s="64" t="s">
        <v>1</v>
      </c>
      <c r="L40" s="65">
        <v>1</v>
      </c>
      <c r="M40" s="67"/>
      <c r="N40" s="68"/>
      <c r="O40" s="76"/>
      <c r="P40" s="70"/>
      <c r="Q40" s="67"/>
      <c r="R40" s="68"/>
      <c r="S40" s="76"/>
      <c r="T40" s="70"/>
      <c r="U40" s="120">
        <f>ROUND((ROUND((_15_同援日増１．０*_15・２人),0)*(1+_15・区３)),0)</f>
        <v>151</v>
      </c>
      <c r="V40" s="69"/>
    </row>
    <row r="41" spans="1:22" ht="16.5" customHeight="1" x14ac:dyDescent="0.3">
      <c r="A41" s="2">
        <v>15</v>
      </c>
      <c r="B41" s="2" t="s">
        <v>2021</v>
      </c>
      <c r="C41" s="60" t="s">
        <v>12872</v>
      </c>
      <c r="D41" s="1"/>
      <c r="E41" s="68"/>
      <c r="F41" s="70"/>
      <c r="G41" s="74" t="s">
        <v>5898</v>
      </c>
      <c r="H41" s="62"/>
      <c r="I41" s="63"/>
      <c r="J41" s="85"/>
      <c r="K41" s="64"/>
      <c r="L41" s="65"/>
      <c r="M41" s="67"/>
      <c r="N41" s="68"/>
      <c r="O41" s="76"/>
      <c r="P41" s="70"/>
      <c r="Q41" s="1" t="s">
        <v>17936</v>
      </c>
      <c r="R41" s="68"/>
      <c r="S41" s="76"/>
      <c r="T41" s="70"/>
      <c r="U41" s="120">
        <f>ROUND((ROUND((_15_同援日増１．０*_15・基礎２),0)*(1+_15・区３)),0)</f>
        <v>136</v>
      </c>
      <c r="V41" s="69"/>
    </row>
    <row r="42" spans="1:22" ht="16.5" customHeight="1" x14ac:dyDescent="0.3">
      <c r="A42" s="2">
        <v>15</v>
      </c>
      <c r="B42" s="2" t="s">
        <v>2022</v>
      </c>
      <c r="C42" s="60" t="s">
        <v>12871</v>
      </c>
      <c r="D42" s="1"/>
      <c r="E42" s="68"/>
      <c r="F42" s="70"/>
      <c r="G42" s="106" t="s">
        <v>17420</v>
      </c>
      <c r="H42" s="57" t="s">
        <v>1</v>
      </c>
      <c r="I42" s="58">
        <v>0.9</v>
      </c>
      <c r="J42" s="83" t="s">
        <v>5895</v>
      </c>
      <c r="K42" s="64" t="s">
        <v>1</v>
      </c>
      <c r="L42" s="65">
        <v>1</v>
      </c>
      <c r="M42" s="66"/>
      <c r="N42" s="57"/>
      <c r="O42" s="58"/>
      <c r="P42" s="77"/>
      <c r="Q42" s="1" t="s">
        <v>17934</v>
      </c>
      <c r="R42" s="68"/>
      <c r="S42" s="76"/>
      <c r="T42" s="70"/>
      <c r="U42" s="120">
        <f>ROUND((ROUND((ROUND((_15_同援日増１．０*_15・基礎２),0)*_15・２人),0)*(1+_15・区３)),0)</f>
        <v>136</v>
      </c>
      <c r="V42" s="69"/>
    </row>
    <row r="43" spans="1:22" ht="16.5" customHeight="1" x14ac:dyDescent="0.3">
      <c r="A43" s="2">
        <v>15</v>
      </c>
      <c r="B43" s="2" t="s">
        <v>2023</v>
      </c>
      <c r="C43" s="60" t="s">
        <v>12870</v>
      </c>
      <c r="D43" s="1"/>
      <c r="E43" s="68"/>
      <c r="F43" s="70"/>
      <c r="G43" s="61"/>
      <c r="H43" s="62"/>
      <c r="I43" s="63"/>
      <c r="J43" s="85"/>
      <c r="K43" s="64"/>
      <c r="L43" s="65"/>
      <c r="M43" s="74" t="s">
        <v>8085</v>
      </c>
      <c r="N43" s="62"/>
      <c r="O43" s="63"/>
      <c r="P43" s="75"/>
      <c r="Q43" s="67"/>
      <c r="R43" s="68" t="s">
        <v>1</v>
      </c>
      <c r="S43" s="76">
        <v>0.2</v>
      </c>
      <c r="T43" s="70" t="s">
        <v>422</v>
      </c>
      <c r="U43" s="120">
        <f>ROUND((ROUND((_15_同援日増１．０*(1+_15・盲ろう)),0)*(1+_15・区３)),0)</f>
        <v>190</v>
      </c>
      <c r="V43" s="69"/>
    </row>
    <row r="44" spans="1:22" ht="16.5" customHeight="1" x14ac:dyDescent="0.3">
      <c r="A44" s="2">
        <v>15</v>
      </c>
      <c r="B44" s="2" t="s">
        <v>2024</v>
      </c>
      <c r="C44" s="60" t="s">
        <v>12869</v>
      </c>
      <c r="D44" s="1"/>
      <c r="E44" s="68"/>
      <c r="F44" s="70"/>
      <c r="G44" s="66"/>
      <c r="H44" s="57"/>
      <c r="I44" s="58"/>
      <c r="J44" s="83" t="s">
        <v>5895</v>
      </c>
      <c r="K44" s="64" t="s">
        <v>1</v>
      </c>
      <c r="L44" s="65">
        <v>1</v>
      </c>
      <c r="M44" s="94" t="s">
        <v>8083</v>
      </c>
      <c r="N44" s="68"/>
      <c r="O44" s="76"/>
      <c r="P44" s="70"/>
      <c r="Q44" s="67"/>
      <c r="R44" s="68"/>
      <c r="S44" s="76"/>
      <c r="T44" s="70"/>
      <c r="U44" s="120">
        <f>ROUND((ROUND((ROUND((_15_同援日増１．０*_15・２人),0)*(1+_15・盲ろう)),0)*(1+_15・区３)),0)</f>
        <v>190</v>
      </c>
      <c r="V44" s="69"/>
    </row>
    <row r="45" spans="1:22" ht="16.5" customHeight="1" x14ac:dyDescent="0.3">
      <c r="A45" s="2">
        <v>15</v>
      </c>
      <c r="B45" s="2" t="s">
        <v>2025</v>
      </c>
      <c r="C45" s="60" t="s">
        <v>12868</v>
      </c>
      <c r="D45" s="1"/>
      <c r="E45" s="68"/>
      <c r="F45" s="70"/>
      <c r="G45" s="74" t="s">
        <v>5898</v>
      </c>
      <c r="H45" s="62"/>
      <c r="I45" s="63"/>
      <c r="J45" s="85"/>
      <c r="K45" s="64"/>
      <c r="L45" s="65"/>
      <c r="M45" s="67"/>
      <c r="N45" s="68" t="s">
        <v>1</v>
      </c>
      <c r="O45" s="76">
        <v>0.25</v>
      </c>
      <c r="P45" s="70" t="s">
        <v>422</v>
      </c>
      <c r="Q45" s="67"/>
      <c r="R45" s="68"/>
      <c r="S45" s="76"/>
      <c r="T45" s="70"/>
      <c r="U45" s="120">
        <f>ROUND((ROUND((ROUND((_15_同援日増１．０*_15・基礎２),0)*(1+_15・盲ろう)),0)*(1+_15・区３)),0)</f>
        <v>169</v>
      </c>
      <c r="V45" s="69"/>
    </row>
    <row r="46" spans="1:22" ht="16.5" customHeight="1" x14ac:dyDescent="0.3">
      <c r="A46" s="2">
        <v>15</v>
      </c>
      <c r="B46" s="2" t="s">
        <v>2026</v>
      </c>
      <c r="C46" s="60" t="s">
        <v>12867</v>
      </c>
      <c r="D46" s="1"/>
      <c r="E46" s="68"/>
      <c r="F46" s="70"/>
      <c r="G46" s="106" t="s">
        <v>5896</v>
      </c>
      <c r="H46" s="57" t="s">
        <v>1</v>
      </c>
      <c r="I46" s="58">
        <v>0.9</v>
      </c>
      <c r="J46" s="83" t="s">
        <v>5895</v>
      </c>
      <c r="K46" s="64" t="s">
        <v>1</v>
      </c>
      <c r="L46" s="65">
        <v>1</v>
      </c>
      <c r="M46" s="66"/>
      <c r="N46" s="57"/>
      <c r="O46" s="58"/>
      <c r="P46" s="77"/>
      <c r="Q46" s="66"/>
      <c r="R46" s="57"/>
      <c r="S46" s="58"/>
      <c r="T46" s="77"/>
      <c r="U46" s="120">
        <f>ROUND((ROUND((ROUND((ROUND((_15_同援日増１．０*_15・基礎２),0)*_15・２人),0)*(1+_15・盲ろう)),0)*(1+_15・区３)),0)</f>
        <v>169</v>
      </c>
      <c r="V46" s="69"/>
    </row>
    <row r="47" spans="1:22" ht="16.5" customHeight="1" x14ac:dyDescent="0.3">
      <c r="A47" s="2">
        <v>15</v>
      </c>
      <c r="B47" s="2" t="s">
        <v>2027</v>
      </c>
      <c r="C47" s="60" t="s">
        <v>12866</v>
      </c>
      <c r="D47" s="1"/>
      <c r="E47" s="68"/>
      <c r="F47" s="70"/>
      <c r="G47" s="61"/>
      <c r="H47" s="62"/>
      <c r="I47" s="63"/>
      <c r="J47" s="85"/>
      <c r="K47" s="64"/>
      <c r="L47" s="65"/>
      <c r="M47" s="61"/>
      <c r="N47" s="62"/>
      <c r="O47" s="63"/>
      <c r="P47" s="75"/>
      <c r="Q47" s="61"/>
      <c r="R47" s="62"/>
      <c r="S47" s="63"/>
      <c r="T47" s="75"/>
      <c r="U47" s="120">
        <f>ROUND((_15_同援日増１．０*(1+_15・区４)),0)</f>
        <v>176</v>
      </c>
      <c r="V47" s="69"/>
    </row>
    <row r="48" spans="1:22" ht="16.5" customHeight="1" x14ac:dyDescent="0.3">
      <c r="A48" s="2">
        <v>15</v>
      </c>
      <c r="B48" s="2" t="s">
        <v>2028</v>
      </c>
      <c r="C48" s="60" t="s">
        <v>12865</v>
      </c>
      <c r="D48" s="1"/>
      <c r="E48" s="68"/>
      <c r="F48" s="70"/>
      <c r="G48" s="66"/>
      <c r="H48" s="57"/>
      <c r="I48" s="58"/>
      <c r="J48" s="83" t="s">
        <v>5895</v>
      </c>
      <c r="K48" s="64" t="s">
        <v>1</v>
      </c>
      <c r="L48" s="65">
        <v>1</v>
      </c>
      <c r="M48" s="67"/>
      <c r="N48" s="68"/>
      <c r="O48" s="76"/>
      <c r="P48" s="70"/>
      <c r="Q48" s="67"/>
      <c r="R48" s="68"/>
      <c r="S48" s="76"/>
      <c r="T48" s="70"/>
      <c r="U48" s="120">
        <f>ROUND((ROUND((_15_同援日増１．０*_15・２人),0)*(1+_15・区４)),0)</f>
        <v>176</v>
      </c>
      <c r="V48" s="69"/>
    </row>
    <row r="49" spans="1:22" ht="16.5" customHeight="1" x14ac:dyDescent="0.3">
      <c r="A49" s="2">
        <v>15</v>
      </c>
      <c r="B49" s="2" t="s">
        <v>2029</v>
      </c>
      <c r="C49" s="60" t="s">
        <v>12864</v>
      </c>
      <c r="D49" s="1"/>
      <c r="E49" s="68"/>
      <c r="F49" s="70"/>
      <c r="G49" s="74" t="s">
        <v>5898</v>
      </c>
      <c r="H49" s="62"/>
      <c r="I49" s="63"/>
      <c r="J49" s="85"/>
      <c r="K49" s="64"/>
      <c r="L49" s="65"/>
      <c r="M49" s="67"/>
      <c r="N49" s="68"/>
      <c r="O49" s="76"/>
      <c r="P49" s="70"/>
      <c r="Q49" s="1" t="s">
        <v>17935</v>
      </c>
      <c r="R49" s="68"/>
      <c r="S49" s="76"/>
      <c r="T49" s="70"/>
      <c r="U49" s="120">
        <f>ROUND((ROUND((_15_同援日増１．０*_15・基礎２),0)*(1+_15・区４)),0)</f>
        <v>158</v>
      </c>
      <c r="V49" s="69"/>
    </row>
    <row r="50" spans="1:22" ht="16.5" customHeight="1" x14ac:dyDescent="0.3">
      <c r="A50" s="2">
        <v>15</v>
      </c>
      <c r="B50" s="2" t="s">
        <v>2030</v>
      </c>
      <c r="C50" s="60" t="s">
        <v>12863</v>
      </c>
      <c r="D50" s="1"/>
      <c r="E50" s="68"/>
      <c r="F50" s="70"/>
      <c r="G50" s="106" t="s">
        <v>5896</v>
      </c>
      <c r="H50" s="57" t="s">
        <v>1</v>
      </c>
      <c r="I50" s="58">
        <v>0.9</v>
      </c>
      <c r="J50" s="83" t="s">
        <v>5895</v>
      </c>
      <c r="K50" s="64" t="s">
        <v>1</v>
      </c>
      <c r="L50" s="65">
        <v>1</v>
      </c>
      <c r="M50" s="66"/>
      <c r="N50" s="57"/>
      <c r="O50" s="58"/>
      <c r="P50" s="77"/>
      <c r="Q50" s="1" t="s">
        <v>8087</v>
      </c>
      <c r="R50" s="68"/>
      <c r="S50" s="76"/>
      <c r="T50" s="70"/>
      <c r="U50" s="120">
        <f>ROUND((ROUND((ROUND((_15_同援日増１．０*_15・基礎２),0)*_15・２人),0)*(1+_15・区４)),0)</f>
        <v>158</v>
      </c>
      <c r="V50" s="69"/>
    </row>
    <row r="51" spans="1:22" ht="16.5" customHeight="1" x14ac:dyDescent="0.3">
      <c r="A51" s="2">
        <v>15</v>
      </c>
      <c r="B51" s="2" t="s">
        <v>2031</v>
      </c>
      <c r="C51" s="60" t="s">
        <v>12862</v>
      </c>
      <c r="D51" s="1"/>
      <c r="E51" s="68"/>
      <c r="F51" s="70"/>
      <c r="G51" s="61"/>
      <c r="H51" s="62"/>
      <c r="I51" s="63"/>
      <c r="J51" s="85"/>
      <c r="K51" s="64"/>
      <c r="L51" s="65"/>
      <c r="M51" s="74" t="s">
        <v>17933</v>
      </c>
      <c r="N51" s="62"/>
      <c r="O51" s="63"/>
      <c r="P51" s="75"/>
      <c r="Q51" s="67"/>
      <c r="R51" s="68" t="s">
        <v>1</v>
      </c>
      <c r="S51" s="76">
        <v>0.4</v>
      </c>
      <c r="T51" s="70" t="s">
        <v>422</v>
      </c>
      <c r="U51" s="120">
        <f>ROUND((ROUND((_15_同援日増１．０*(1+_15・盲ろう)),0)*(1+_15・区４)),0)</f>
        <v>221</v>
      </c>
      <c r="V51" s="69"/>
    </row>
    <row r="52" spans="1:22" ht="16.5" customHeight="1" x14ac:dyDescent="0.3">
      <c r="A52" s="2">
        <v>15</v>
      </c>
      <c r="B52" s="2" t="s">
        <v>2032</v>
      </c>
      <c r="C52" s="60" t="s">
        <v>12861</v>
      </c>
      <c r="D52" s="1"/>
      <c r="E52" s="68"/>
      <c r="F52" s="70"/>
      <c r="G52" s="66"/>
      <c r="H52" s="57"/>
      <c r="I52" s="58"/>
      <c r="J52" s="83" t="s">
        <v>5895</v>
      </c>
      <c r="K52" s="64" t="s">
        <v>1</v>
      </c>
      <c r="L52" s="65">
        <v>1</v>
      </c>
      <c r="M52" s="94" t="s">
        <v>17932</v>
      </c>
      <c r="N52" s="68"/>
      <c r="O52" s="76"/>
      <c r="P52" s="70"/>
      <c r="Q52" s="67"/>
      <c r="R52" s="68"/>
      <c r="S52" s="76"/>
      <c r="T52" s="70"/>
      <c r="U52" s="120">
        <f>ROUND((ROUND((ROUND((_15_同援日増１．０*_15・２人),0)*(1+_15・盲ろう)),0)*(1+_15・区４)),0)</f>
        <v>221</v>
      </c>
      <c r="V52" s="69"/>
    </row>
    <row r="53" spans="1:22" ht="16.5" customHeight="1" x14ac:dyDescent="0.3">
      <c r="A53" s="2">
        <v>15</v>
      </c>
      <c r="B53" s="2" t="s">
        <v>2033</v>
      </c>
      <c r="C53" s="60" t="s">
        <v>12860</v>
      </c>
      <c r="D53" s="1"/>
      <c r="E53" s="68"/>
      <c r="F53" s="70"/>
      <c r="G53" s="74" t="s">
        <v>5898</v>
      </c>
      <c r="H53" s="62"/>
      <c r="I53" s="63"/>
      <c r="J53" s="85"/>
      <c r="K53" s="64"/>
      <c r="L53" s="65"/>
      <c r="M53" s="67"/>
      <c r="N53" s="68" t="s">
        <v>1</v>
      </c>
      <c r="O53" s="76">
        <v>0.25</v>
      </c>
      <c r="P53" s="70" t="s">
        <v>422</v>
      </c>
      <c r="Q53" s="67"/>
      <c r="R53" s="68"/>
      <c r="S53" s="76"/>
      <c r="T53" s="70"/>
      <c r="U53" s="120">
        <f>ROUND((ROUND((ROUND((_15_同援日増１．０*_15・基礎２),0)*(1+_15・盲ろう)),0)*(1+_15・区４)),0)</f>
        <v>197</v>
      </c>
      <c r="V53" s="69"/>
    </row>
    <row r="54" spans="1:22" ht="16.5" customHeight="1" x14ac:dyDescent="0.3">
      <c r="A54" s="2">
        <v>15</v>
      </c>
      <c r="B54" s="2" t="s">
        <v>2034</v>
      </c>
      <c r="C54" s="60" t="s">
        <v>12859</v>
      </c>
      <c r="D54" s="81"/>
      <c r="E54" s="57"/>
      <c r="F54" s="77"/>
      <c r="G54" s="106" t="s">
        <v>17420</v>
      </c>
      <c r="H54" s="57" t="s">
        <v>1</v>
      </c>
      <c r="I54" s="58">
        <v>0.9</v>
      </c>
      <c r="J54" s="83" t="s">
        <v>5895</v>
      </c>
      <c r="K54" s="64" t="s">
        <v>1</v>
      </c>
      <c r="L54" s="65">
        <v>1</v>
      </c>
      <c r="M54" s="66"/>
      <c r="N54" s="57"/>
      <c r="O54" s="58"/>
      <c r="P54" s="77"/>
      <c r="Q54" s="66"/>
      <c r="R54" s="57"/>
      <c r="S54" s="58"/>
      <c r="T54" s="77"/>
      <c r="U54" s="120">
        <f>ROUND((ROUND((ROUND((ROUND((_15_同援日増１．０*_15・基礎２),0)*_15・２人),0)*(1+_15・盲ろう)),0)*(1+_15・区４)),0)</f>
        <v>197</v>
      </c>
      <c r="V54" s="69"/>
    </row>
    <row r="55" spans="1:22" ht="16.5" customHeight="1" x14ac:dyDescent="0.3">
      <c r="A55" s="2">
        <v>15</v>
      </c>
      <c r="B55" s="2" t="s">
        <v>2035</v>
      </c>
      <c r="C55" s="60" t="s">
        <v>12858</v>
      </c>
      <c r="D55" s="233" t="s">
        <v>18183</v>
      </c>
      <c r="E55" s="62"/>
      <c r="F55" s="75"/>
      <c r="G55" s="61"/>
      <c r="H55" s="62"/>
      <c r="I55" s="63"/>
      <c r="J55" s="85"/>
      <c r="K55" s="64"/>
      <c r="L55" s="65"/>
      <c r="M55" s="61"/>
      <c r="N55" s="62"/>
      <c r="O55" s="63"/>
      <c r="P55" s="75"/>
      <c r="Q55" s="61"/>
      <c r="R55" s="62"/>
      <c r="S55" s="63"/>
      <c r="T55" s="75"/>
      <c r="U55" s="120">
        <f>_15_同援日増１．５</f>
        <v>189</v>
      </c>
      <c r="V55" s="69"/>
    </row>
    <row r="56" spans="1:22" ht="16.5" customHeight="1" x14ac:dyDescent="0.3">
      <c r="A56" s="2">
        <v>15</v>
      </c>
      <c r="B56" s="2" t="s">
        <v>2036</v>
      </c>
      <c r="C56" s="60" t="s">
        <v>12857</v>
      </c>
      <c r="D56" s="1" t="s">
        <v>17409</v>
      </c>
      <c r="E56" s="68"/>
      <c r="F56" s="70"/>
      <c r="G56" s="66"/>
      <c r="H56" s="57"/>
      <c r="I56" s="58"/>
      <c r="J56" s="83" t="s">
        <v>5895</v>
      </c>
      <c r="K56" s="64" t="s">
        <v>1</v>
      </c>
      <c r="L56" s="65">
        <v>1</v>
      </c>
      <c r="M56" s="67"/>
      <c r="N56" s="68"/>
      <c r="O56" s="76"/>
      <c r="P56" s="70"/>
      <c r="Q56" s="67"/>
      <c r="R56" s="68"/>
      <c r="S56" s="76"/>
      <c r="T56" s="70"/>
      <c r="U56" s="120">
        <f>ROUND((_15_同援日増１．５*_15・２人),0)</f>
        <v>189</v>
      </c>
      <c r="V56" s="69"/>
    </row>
    <row r="57" spans="1:22" ht="16.5" customHeight="1" x14ac:dyDescent="0.3">
      <c r="A57" s="2">
        <v>15</v>
      </c>
      <c r="B57" s="2" t="s">
        <v>2037</v>
      </c>
      <c r="C57" s="60" t="s">
        <v>12856</v>
      </c>
      <c r="D57" s="1" t="s">
        <v>8767</v>
      </c>
      <c r="E57" s="68"/>
      <c r="F57" s="70"/>
      <c r="G57" s="74" t="s">
        <v>17747</v>
      </c>
      <c r="H57" s="62"/>
      <c r="I57" s="63"/>
      <c r="J57" s="85"/>
      <c r="K57" s="64"/>
      <c r="L57" s="65"/>
      <c r="M57" s="67"/>
      <c r="N57" s="68"/>
      <c r="O57" s="76"/>
      <c r="P57" s="70"/>
      <c r="Q57" s="67"/>
      <c r="R57" s="68"/>
      <c r="S57" s="76"/>
      <c r="T57" s="70"/>
      <c r="U57" s="120">
        <f>ROUND((_15_同援日増１．５*_15・基礎２),0)</f>
        <v>170</v>
      </c>
      <c r="V57" s="69"/>
    </row>
    <row r="58" spans="1:22" ht="16.5" customHeight="1" x14ac:dyDescent="0.3">
      <c r="A58" s="2">
        <v>15</v>
      </c>
      <c r="B58" s="2" t="s">
        <v>2038</v>
      </c>
      <c r="C58" s="60" t="s">
        <v>12855</v>
      </c>
      <c r="D58" s="1"/>
      <c r="E58" s="119">
        <v>189</v>
      </c>
      <c r="F58" s="70" t="s">
        <v>0</v>
      </c>
      <c r="G58" s="106" t="s">
        <v>17420</v>
      </c>
      <c r="H58" s="57" t="s">
        <v>1</v>
      </c>
      <c r="I58" s="58">
        <v>0.9</v>
      </c>
      <c r="J58" s="83" t="s">
        <v>5895</v>
      </c>
      <c r="K58" s="64" t="s">
        <v>1</v>
      </c>
      <c r="L58" s="65">
        <v>1</v>
      </c>
      <c r="M58" s="66"/>
      <c r="N58" s="57"/>
      <c r="O58" s="58"/>
      <c r="P58" s="77"/>
      <c r="Q58" s="67"/>
      <c r="R58" s="68"/>
      <c r="S58" s="76"/>
      <c r="T58" s="70"/>
      <c r="U58" s="120">
        <f>ROUND((ROUND((_15_同援日増１．５*_15・基礎２),0)*_15・２人),0)</f>
        <v>170</v>
      </c>
      <c r="V58" s="69"/>
    </row>
    <row r="59" spans="1:22" ht="16.5" customHeight="1" x14ac:dyDescent="0.3">
      <c r="A59" s="2">
        <v>15</v>
      </c>
      <c r="B59" s="2" t="s">
        <v>2039</v>
      </c>
      <c r="C59" s="60" t="s">
        <v>12854</v>
      </c>
      <c r="D59" s="1"/>
      <c r="E59" s="68"/>
      <c r="F59" s="70"/>
      <c r="G59" s="61"/>
      <c r="H59" s="62"/>
      <c r="I59" s="63"/>
      <c r="J59" s="85"/>
      <c r="K59" s="64"/>
      <c r="L59" s="65"/>
      <c r="M59" s="74" t="s">
        <v>8085</v>
      </c>
      <c r="N59" s="62"/>
      <c r="O59" s="63"/>
      <c r="P59" s="75"/>
      <c r="Q59" s="67"/>
      <c r="R59" s="68"/>
      <c r="S59" s="76"/>
      <c r="T59" s="70"/>
      <c r="U59" s="120">
        <f>ROUND((_15_同援日増１．５*(1+_15・盲ろう)),0)</f>
        <v>236</v>
      </c>
      <c r="V59" s="69"/>
    </row>
    <row r="60" spans="1:22" ht="16.5" customHeight="1" x14ac:dyDescent="0.3">
      <c r="A60" s="2">
        <v>15</v>
      </c>
      <c r="B60" s="2" t="s">
        <v>2040</v>
      </c>
      <c r="C60" s="60" t="s">
        <v>12853</v>
      </c>
      <c r="D60" s="1"/>
      <c r="E60" s="68"/>
      <c r="F60" s="70"/>
      <c r="G60" s="66"/>
      <c r="H60" s="57"/>
      <c r="I60" s="58"/>
      <c r="J60" s="83" t="s">
        <v>5895</v>
      </c>
      <c r="K60" s="64" t="s">
        <v>1</v>
      </c>
      <c r="L60" s="65">
        <v>1</v>
      </c>
      <c r="M60" s="94" t="s">
        <v>17932</v>
      </c>
      <c r="N60" s="68"/>
      <c r="O60" s="76"/>
      <c r="P60" s="70"/>
      <c r="Q60" s="67"/>
      <c r="R60" s="68"/>
      <c r="S60" s="76"/>
      <c r="T60" s="70"/>
      <c r="U60" s="120">
        <f>ROUND((ROUND((_15_同援日増１．５*_15・２人),0)*(1+_15・盲ろう)),0)</f>
        <v>236</v>
      </c>
      <c r="V60" s="69"/>
    </row>
    <row r="61" spans="1:22" ht="16.5" customHeight="1" x14ac:dyDescent="0.3">
      <c r="A61" s="2">
        <v>15</v>
      </c>
      <c r="B61" s="2" t="s">
        <v>2041</v>
      </c>
      <c r="C61" s="60" t="s">
        <v>12852</v>
      </c>
      <c r="D61" s="1"/>
      <c r="E61" s="68"/>
      <c r="F61" s="70"/>
      <c r="G61" s="74" t="s">
        <v>17747</v>
      </c>
      <c r="H61" s="62"/>
      <c r="I61" s="63"/>
      <c r="J61" s="85"/>
      <c r="K61" s="64"/>
      <c r="L61" s="65"/>
      <c r="M61" s="67"/>
      <c r="N61" s="68" t="s">
        <v>1</v>
      </c>
      <c r="O61" s="76">
        <v>0.25</v>
      </c>
      <c r="P61" s="70" t="s">
        <v>422</v>
      </c>
      <c r="Q61" s="67"/>
      <c r="R61" s="68"/>
      <c r="S61" s="76"/>
      <c r="T61" s="70"/>
      <c r="U61" s="120">
        <f>ROUND((ROUND((_15_同援日増１．５*_15・基礎２),0)*(1+_15・盲ろう)),0)</f>
        <v>213</v>
      </c>
      <c r="V61" s="69"/>
    </row>
    <row r="62" spans="1:22" ht="16.5" customHeight="1" x14ac:dyDescent="0.3">
      <c r="A62" s="2">
        <v>15</v>
      </c>
      <c r="B62" s="2" t="s">
        <v>2042</v>
      </c>
      <c r="C62" s="60" t="s">
        <v>12851</v>
      </c>
      <c r="D62" s="1"/>
      <c r="E62" s="68"/>
      <c r="F62" s="70"/>
      <c r="G62" s="106" t="s">
        <v>17420</v>
      </c>
      <c r="H62" s="57" t="s">
        <v>1</v>
      </c>
      <c r="I62" s="58">
        <v>0.9</v>
      </c>
      <c r="J62" s="83" t="s">
        <v>5895</v>
      </c>
      <c r="K62" s="64" t="s">
        <v>1</v>
      </c>
      <c r="L62" s="65">
        <v>1</v>
      </c>
      <c r="M62" s="66"/>
      <c r="N62" s="57"/>
      <c r="O62" s="58"/>
      <c r="P62" s="77"/>
      <c r="Q62" s="66"/>
      <c r="R62" s="57"/>
      <c r="S62" s="58"/>
      <c r="T62" s="77"/>
      <c r="U62" s="120">
        <f>ROUND((ROUND((ROUND((_15_同援日増１．５*_15・基礎２),0)*_15・２人),0)*(1+_15・盲ろう)),0)</f>
        <v>213</v>
      </c>
      <c r="V62" s="69"/>
    </row>
    <row r="63" spans="1:22" ht="16.5" customHeight="1" x14ac:dyDescent="0.3">
      <c r="A63" s="2">
        <v>15</v>
      </c>
      <c r="B63" s="2" t="s">
        <v>2043</v>
      </c>
      <c r="C63" s="60" t="s">
        <v>12850</v>
      </c>
      <c r="D63" s="1"/>
      <c r="E63" s="68"/>
      <c r="F63" s="70"/>
      <c r="G63" s="61"/>
      <c r="H63" s="62"/>
      <c r="I63" s="63"/>
      <c r="J63" s="85"/>
      <c r="K63" s="64"/>
      <c r="L63" s="65"/>
      <c r="M63" s="61"/>
      <c r="N63" s="62"/>
      <c r="O63" s="63"/>
      <c r="P63" s="75"/>
      <c r="Q63" s="61"/>
      <c r="R63" s="62"/>
      <c r="S63" s="63"/>
      <c r="T63" s="75"/>
      <c r="U63" s="120">
        <f>ROUND((_15_同援日増１．５*(1+_15・区３)),0)</f>
        <v>227</v>
      </c>
      <c r="V63" s="69"/>
    </row>
    <row r="64" spans="1:22" ht="16.5" customHeight="1" x14ac:dyDescent="0.3">
      <c r="A64" s="2">
        <v>15</v>
      </c>
      <c r="B64" s="2" t="s">
        <v>2044</v>
      </c>
      <c r="C64" s="60" t="s">
        <v>12849</v>
      </c>
      <c r="D64" s="1"/>
      <c r="E64" s="68"/>
      <c r="F64" s="70"/>
      <c r="G64" s="66"/>
      <c r="H64" s="57"/>
      <c r="I64" s="58"/>
      <c r="J64" s="83" t="s">
        <v>5895</v>
      </c>
      <c r="K64" s="64" t="s">
        <v>1</v>
      </c>
      <c r="L64" s="65">
        <v>1</v>
      </c>
      <c r="M64" s="67"/>
      <c r="N64" s="68"/>
      <c r="O64" s="76"/>
      <c r="P64" s="70"/>
      <c r="Q64" s="67"/>
      <c r="R64" s="68"/>
      <c r="S64" s="76"/>
      <c r="T64" s="70"/>
      <c r="U64" s="120">
        <f>ROUND((ROUND((_15_同援日増１．５*_15・２人),0)*(1+_15・区３)),0)</f>
        <v>227</v>
      </c>
      <c r="V64" s="69"/>
    </row>
    <row r="65" spans="1:22" ht="16.5" customHeight="1" x14ac:dyDescent="0.3">
      <c r="A65" s="2">
        <v>15</v>
      </c>
      <c r="B65" s="2" t="s">
        <v>2045</v>
      </c>
      <c r="C65" s="60" t="s">
        <v>12848</v>
      </c>
      <c r="D65" s="1"/>
      <c r="E65" s="68"/>
      <c r="F65" s="70"/>
      <c r="G65" s="74" t="s">
        <v>17747</v>
      </c>
      <c r="H65" s="62"/>
      <c r="I65" s="63"/>
      <c r="J65" s="85"/>
      <c r="K65" s="64"/>
      <c r="L65" s="65"/>
      <c r="M65" s="67"/>
      <c r="N65" s="68"/>
      <c r="O65" s="76"/>
      <c r="P65" s="70"/>
      <c r="Q65" s="1" t="s">
        <v>17936</v>
      </c>
      <c r="R65" s="68"/>
      <c r="S65" s="76"/>
      <c r="T65" s="70"/>
      <c r="U65" s="120">
        <f>ROUND((ROUND((_15_同援日増１．５*_15・基礎２),0)*(1+_15・区３)),0)</f>
        <v>204</v>
      </c>
      <c r="V65" s="69"/>
    </row>
    <row r="66" spans="1:22" ht="16.5" customHeight="1" x14ac:dyDescent="0.3">
      <c r="A66" s="2">
        <v>15</v>
      </c>
      <c r="B66" s="2" t="s">
        <v>2046</v>
      </c>
      <c r="C66" s="60" t="s">
        <v>12847</v>
      </c>
      <c r="D66" s="1"/>
      <c r="E66" s="68"/>
      <c r="F66" s="70"/>
      <c r="G66" s="106" t="s">
        <v>17420</v>
      </c>
      <c r="H66" s="57" t="s">
        <v>1</v>
      </c>
      <c r="I66" s="58">
        <v>0.9</v>
      </c>
      <c r="J66" s="83" t="s">
        <v>5895</v>
      </c>
      <c r="K66" s="64" t="s">
        <v>1</v>
      </c>
      <c r="L66" s="65">
        <v>1</v>
      </c>
      <c r="M66" s="66"/>
      <c r="N66" s="57"/>
      <c r="O66" s="58"/>
      <c r="P66" s="77"/>
      <c r="Q66" s="1" t="s">
        <v>17934</v>
      </c>
      <c r="R66" s="68"/>
      <c r="S66" s="76"/>
      <c r="T66" s="70"/>
      <c r="U66" s="120">
        <f>ROUND((ROUND((ROUND((_15_同援日増１．５*_15・基礎２),0)*_15・２人),0)*(1+_15・区３)),0)</f>
        <v>204</v>
      </c>
      <c r="V66" s="69"/>
    </row>
    <row r="67" spans="1:22" ht="16.5" customHeight="1" x14ac:dyDescent="0.3">
      <c r="A67" s="2">
        <v>15</v>
      </c>
      <c r="B67" s="2" t="s">
        <v>2047</v>
      </c>
      <c r="C67" s="60" t="s">
        <v>12846</v>
      </c>
      <c r="D67" s="1"/>
      <c r="E67" s="68"/>
      <c r="F67" s="70"/>
      <c r="G67" s="61"/>
      <c r="H67" s="62"/>
      <c r="I67" s="63"/>
      <c r="J67" s="85"/>
      <c r="K67" s="64"/>
      <c r="L67" s="65"/>
      <c r="M67" s="74" t="s">
        <v>8085</v>
      </c>
      <c r="N67" s="62"/>
      <c r="O67" s="63"/>
      <c r="P67" s="75"/>
      <c r="Q67" s="67"/>
      <c r="R67" s="68" t="s">
        <v>1</v>
      </c>
      <c r="S67" s="76">
        <v>0.2</v>
      </c>
      <c r="T67" s="70" t="s">
        <v>422</v>
      </c>
      <c r="U67" s="120">
        <f>ROUND((ROUND((_15_同援日増１．５*(1+_15・盲ろう)),0)*(1+_15・区３)),0)</f>
        <v>283</v>
      </c>
      <c r="V67" s="69"/>
    </row>
    <row r="68" spans="1:22" ht="16.5" customHeight="1" x14ac:dyDescent="0.3">
      <c r="A68" s="2">
        <v>15</v>
      </c>
      <c r="B68" s="2" t="s">
        <v>2048</v>
      </c>
      <c r="C68" s="60" t="s">
        <v>12845</v>
      </c>
      <c r="D68" s="1"/>
      <c r="E68" s="68"/>
      <c r="F68" s="70"/>
      <c r="G68" s="66"/>
      <c r="H68" s="57"/>
      <c r="I68" s="58"/>
      <c r="J68" s="83" t="s">
        <v>5895</v>
      </c>
      <c r="K68" s="64" t="s">
        <v>1</v>
      </c>
      <c r="L68" s="65">
        <v>1</v>
      </c>
      <c r="M68" s="94" t="s">
        <v>17932</v>
      </c>
      <c r="N68" s="68"/>
      <c r="O68" s="76"/>
      <c r="P68" s="70"/>
      <c r="Q68" s="67"/>
      <c r="R68" s="68"/>
      <c r="S68" s="76"/>
      <c r="T68" s="70"/>
      <c r="U68" s="120">
        <f>ROUND((ROUND((ROUND((_15_同援日増１．５*_15・２人),0)*(1+_15・盲ろう)),0)*(1+_15・区３)),0)</f>
        <v>283</v>
      </c>
      <c r="V68" s="69"/>
    </row>
    <row r="69" spans="1:22" ht="16.5" customHeight="1" x14ac:dyDescent="0.3">
      <c r="A69" s="2">
        <v>15</v>
      </c>
      <c r="B69" s="2" t="s">
        <v>2049</v>
      </c>
      <c r="C69" s="60" t="s">
        <v>12844</v>
      </c>
      <c r="D69" s="1"/>
      <c r="E69" s="68"/>
      <c r="F69" s="70"/>
      <c r="G69" s="74" t="s">
        <v>5898</v>
      </c>
      <c r="H69" s="62"/>
      <c r="I69" s="63"/>
      <c r="J69" s="85"/>
      <c r="K69" s="64"/>
      <c r="L69" s="65"/>
      <c r="M69" s="67"/>
      <c r="N69" s="68" t="s">
        <v>1</v>
      </c>
      <c r="O69" s="76">
        <v>0.25</v>
      </c>
      <c r="P69" s="70" t="s">
        <v>422</v>
      </c>
      <c r="Q69" s="67"/>
      <c r="R69" s="68"/>
      <c r="S69" s="76"/>
      <c r="T69" s="70"/>
      <c r="U69" s="120">
        <f>ROUND((ROUND((ROUND((_15_同援日増１．５*_15・基礎２),0)*(1+_15・盲ろう)),0)*(1+_15・区３)),0)</f>
        <v>256</v>
      </c>
      <c r="V69" s="69"/>
    </row>
    <row r="70" spans="1:22" ht="16.5" customHeight="1" x14ac:dyDescent="0.3">
      <c r="A70" s="2">
        <v>15</v>
      </c>
      <c r="B70" s="2" t="s">
        <v>2050</v>
      </c>
      <c r="C70" s="60" t="s">
        <v>12843</v>
      </c>
      <c r="D70" s="1"/>
      <c r="E70" s="68"/>
      <c r="F70" s="70"/>
      <c r="G70" s="106" t="s">
        <v>17420</v>
      </c>
      <c r="H70" s="57" t="s">
        <v>1</v>
      </c>
      <c r="I70" s="58">
        <v>0.9</v>
      </c>
      <c r="J70" s="83" t="s">
        <v>5895</v>
      </c>
      <c r="K70" s="64" t="s">
        <v>1</v>
      </c>
      <c r="L70" s="65">
        <v>1</v>
      </c>
      <c r="M70" s="66"/>
      <c r="N70" s="57"/>
      <c r="O70" s="58"/>
      <c r="P70" s="77"/>
      <c r="Q70" s="66"/>
      <c r="R70" s="57"/>
      <c r="S70" s="58"/>
      <c r="T70" s="77"/>
      <c r="U70" s="120">
        <f>ROUND((ROUND((ROUND((ROUND((_15_同援日増１．５*_15・基礎２),0)*_15・２人),0)*(1+_15・盲ろう)),0)*(1+_15・区３)),0)</f>
        <v>256</v>
      </c>
      <c r="V70" s="69"/>
    </row>
    <row r="71" spans="1:22" ht="16.5" customHeight="1" x14ac:dyDescent="0.3">
      <c r="A71" s="2">
        <v>15</v>
      </c>
      <c r="B71" s="2" t="s">
        <v>2051</v>
      </c>
      <c r="C71" s="60" t="s">
        <v>12842</v>
      </c>
      <c r="D71" s="1"/>
      <c r="E71" s="68"/>
      <c r="F71" s="70"/>
      <c r="G71" s="61"/>
      <c r="H71" s="62"/>
      <c r="I71" s="63"/>
      <c r="J71" s="85"/>
      <c r="K71" s="64"/>
      <c r="L71" s="65"/>
      <c r="M71" s="61"/>
      <c r="N71" s="62"/>
      <c r="O71" s="63"/>
      <c r="P71" s="75"/>
      <c r="Q71" s="61"/>
      <c r="R71" s="62"/>
      <c r="S71" s="63"/>
      <c r="T71" s="75"/>
      <c r="U71" s="120">
        <f>ROUND((_15_同援日増１．５*(1+_15・区４)),0)</f>
        <v>265</v>
      </c>
      <c r="V71" s="69"/>
    </row>
    <row r="72" spans="1:22" ht="16.5" customHeight="1" x14ac:dyDescent="0.3">
      <c r="A72" s="2">
        <v>15</v>
      </c>
      <c r="B72" s="2" t="s">
        <v>2052</v>
      </c>
      <c r="C72" s="60" t="s">
        <v>12841</v>
      </c>
      <c r="D72" s="1"/>
      <c r="E72" s="68"/>
      <c r="F72" s="70"/>
      <c r="G72" s="66"/>
      <c r="H72" s="57"/>
      <c r="I72" s="58"/>
      <c r="J72" s="83" t="s">
        <v>5895</v>
      </c>
      <c r="K72" s="64" t="s">
        <v>1</v>
      </c>
      <c r="L72" s="65">
        <v>1</v>
      </c>
      <c r="M72" s="67"/>
      <c r="N72" s="68"/>
      <c r="O72" s="76"/>
      <c r="P72" s="70"/>
      <c r="Q72" s="67"/>
      <c r="R72" s="68"/>
      <c r="S72" s="76"/>
      <c r="T72" s="70"/>
      <c r="U72" s="120">
        <f>ROUND((ROUND((_15_同援日増１．５*_15・２人),0)*(1+_15・区４)),0)</f>
        <v>265</v>
      </c>
      <c r="V72" s="69"/>
    </row>
    <row r="73" spans="1:22" ht="16.5" customHeight="1" x14ac:dyDescent="0.3">
      <c r="A73" s="2">
        <v>15</v>
      </c>
      <c r="B73" s="2" t="s">
        <v>2053</v>
      </c>
      <c r="C73" s="60" t="s">
        <v>12840</v>
      </c>
      <c r="D73" s="1"/>
      <c r="E73" s="68"/>
      <c r="F73" s="70"/>
      <c r="G73" s="74" t="s">
        <v>17747</v>
      </c>
      <c r="H73" s="62"/>
      <c r="I73" s="63"/>
      <c r="J73" s="85"/>
      <c r="K73" s="64"/>
      <c r="L73" s="65"/>
      <c r="M73" s="67"/>
      <c r="N73" s="68"/>
      <c r="O73" s="76"/>
      <c r="P73" s="70"/>
      <c r="Q73" s="1" t="s">
        <v>8089</v>
      </c>
      <c r="R73" s="68"/>
      <c r="S73" s="76"/>
      <c r="T73" s="70"/>
      <c r="U73" s="120">
        <f>ROUND((ROUND((_15_同援日増１．５*_15・基礎２),0)*(1+_15・区４)),0)</f>
        <v>238</v>
      </c>
      <c r="V73" s="69"/>
    </row>
    <row r="74" spans="1:22" ht="16.5" customHeight="1" x14ac:dyDescent="0.3">
      <c r="A74" s="2">
        <v>15</v>
      </c>
      <c r="B74" s="2" t="s">
        <v>2054</v>
      </c>
      <c r="C74" s="60" t="s">
        <v>12839</v>
      </c>
      <c r="D74" s="1"/>
      <c r="E74" s="68"/>
      <c r="F74" s="70"/>
      <c r="G74" s="106" t="s">
        <v>5896</v>
      </c>
      <c r="H74" s="57" t="s">
        <v>1</v>
      </c>
      <c r="I74" s="58">
        <v>0.9</v>
      </c>
      <c r="J74" s="83" t="s">
        <v>5895</v>
      </c>
      <c r="K74" s="64" t="s">
        <v>1</v>
      </c>
      <c r="L74" s="65">
        <v>1</v>
      </c>
      <c r="M74" s="66"/>
      <c r="N74" s="57"/>
      <c r="O74" s="58"/>
      <c r="P74" s="77"/>
      <c r="Q74" s="1" t="s">
        <v>17934</v>
      </c>
      <c r="R74" s="68"/>
      <c r="S74" s="76"/>
      <c r="T74" s="70"/>
      <c r="U74" s="120">
        <f>ROUND((ROUND((ROUND((_15_同援日増１．５*_15・基礎２),0)*_15・２人),0)*(1+_15・区４)),0)</f>
        <v>238</v>
      </c>
      <c r="V74" s="69"/>
    </row>
    <row r="75" spans="1:22" ht="16.5" customHeight="1" x14ac:dyDescent="0.3">
      <c r="A75" s="2">
        <v>15</v>
      </c>
      <c r="B75" s="2" t="s">
        <v>2055</v>
      </c>
      <c r="C75" s="60" t="s">
        <v>12838</v>
      </c>
      <c r="D75" s="1"/>
      <c r="E75" s="68"/>
      <c r="F75" s="70"/>
      <c r="G75" s="61"/>
      <c r="H75" s="62"/>
      <c r="I75" s="63"/>
      <c r="J75" s="85"/>
      <c r="K75" s="64"/>
      <c r="L75" s="65"/>
      <c r="M75" s="74" t="s">
        <v>17933</v>
      </c>
      <c r="N75" s="62"/>
      <c r="O75" s="63"/>
      <c r="P75" s="75"/>
      <c r="Q75" s="67"/>
      <c r="R75" s="68" t="s">
        <v>1</v>
      </c>
      <c r="S75" s="76">
        <v>0.4</v>
      </c>
      <c r="T75" s="70" t="s">
        <v>422</v>
      </c>
      <c r="U75" s="120">
        <f>ROUND((ROUND((_15_同援日増１．５*(1+_15・盲ろう)),0)*(1+_15・区４)),0)</f>
        <v>330</v>
      </c>
      <c r="V75" s="69"/>
    </row>
    <row r="76" spans="1:22" ht="16.5" customHeight="1" x14ac:dyDescent="0.3">
      <c r="A76" s="2">
        <v>15</v>
      </c>
      <c r="B76" s="2" t="s">
        <v>2056</v>
      </c>
      <c r="C76" s="60" t="s">
        <v>12837</v>
      </c>
      <c r="D76" s="1"/>
      <c r="E76" s="68"/>
      <c r="F76" s="70"/>
      <c r="G76" s="66"/>
      <c r="H76" s="57"/>
      <c r="I76" s="58"/>
      <c r="J76" s="83" t="s">
        <v>5895</v>
      </c>
      <c r="K76" s="64" t="s">
        <v>1</v>
      </c>
      <c r="L76" s="65">
        <v>1</v>
      </c>
      <c r="M76" s="94" t="s">
        <v>8083</v>
      </c>
      <c r="N76" s="68"/>
      <c r="O76" s="76"/>
      <c r="P76" s="70"/>
      <c r="Q76" s="67"/>
      <c r="R76" s="68"/>
      <c r="S76" s="76"/>
      <c r="T76" s="70"/>
      <c r="U76" s="120">
        <f>ROUND((ROUND((ROUND((_15_同援日増１．５*_15・２人),0)*(1+_15・盲ろう)),0)*(1+_15・区４)),0)</f>
        <v>330</v>
      </c>
      <c r="V76" s="69"/>
    </row>
    <row r="77" spans="1:22" ht="16.5" customHeight="1" x14ac:dyDescent="0.3">
      <c r="A77" s="2">
        <v>15</v>
      </c>
      <c r="B77" s="2" t="s">
        <v>2057</v>
      </c>
      <c r="C77" s="60" t="s">
        <v>12836</v>
      </c>
      <c r="D77" s="1"/>
      <c r="E77" s="68"/>
      <c r="F77" s="70"/>
      <c r="G77" s="74" t="s">
        <v>17747</v>
      </c>
      <c r="H77" s="62"/>
      <c r="I77" s="63"/>
      <c r="J77" s="85"/>
      <c r="K77" s="64"/>
      <c r="L77" s="65"/>
      <c r="M77" s="67"/>
      <c r="N77" s="68" t="s">
        <v>1</v>
      </c>
      <c r="O77" s="76">
        <v>0.25</v>
      </c>
      <c r="P77" s="70" t="s">
        <v>422</v>
      </c>
      <c r="Q77" s="67"/>
      <c r="R77" s="68"/>
      <c r="S77" s="76"/>
      <c r="T77" s="70"/>
      <c r="U77" s="120">
        <f>ROUND((ROUND((ROUND((_15_同援日増１．５*_15・基礎２),0)*(1+_15・盲ろう)),0)*(1+_15・区４)),0)</f>
        <v>298</v>
      </c>
      <c r="V77" s="69"/>
    </row>
    <row r="78" spans="1:22" ht="16.5" customHeight="1" x14ac:dyDescent="0.3">
      <c r="A78" s="2">
        <v>15</v>
      </c>
      <c r="B78" s="2" t="s">
        <v>2058</v>
      </c>
      <c r="C78" s="60" t="s">
        <v>12835</v>
      </c>
      <c r="D78" s="81"/>
      <c r="E78" s="57"/>
      <c r="F78" s="77"/>
      <c r="G78" s="106" t="s">
        <v>17420</v>
      </c>
      <c r="H78" s="57" t="s">
        <v>1</v>
      </c>
      <c r="I78" s="58">
        <v>0.9</v>
      </c>
      <c r="J78" s="83" t="s">
        <v>5895</v>
      </c>
      <c r="K78" s="64" t="s">
        <v>1</v>
      </c>
      <c r="L78" s="65">
        <v>1</v>
      </c>
      <c r="M78" s="66"/>
      <c r="N78" s="57"/>
      <c r="O78" s="58"/>
      <c r="P78" s="77"/>
      <c r="Q78" s="66"/>
      <c r="R78" s="57"/>
      <c r="S78" s="58"/>
      <c r="T78" s="77"/>
      <c r="U78" s="120">
        <f>ROUND((ROUND((ROUND((ROUND((_15_同援日増１．５*_15・基礎２),0)*_15・２人),0)*(1+_15・盲ろう)),0)*(1+_15・区４)),0)</f>
        <v>298</v>
      </c>
      <c r="V78" s="69"/>
    </row>
    <row r="79" spans="1:22" ht="16.5" customHeight="1" x14ac:dyDescent="0.3">
      <c r="A79" s="2">
        <v>15</v>
      </c>
      <c r="B79" s="2" t="s">
        <v>2059</v>
      </c>
      <c r="C79" s="60" t="s">
        <v>12834</v>
      </c>
      <c r="D79" s="233" t="s">
        <v>18182</v>
      </c>
      <c r="E79" s="62"/>
      <c r="F79" s="75"/>
      <c r="G79" s="61"/>
      <c r="H79" s="62"/>
      <c r="I79" s="63"/>
      <c r="J79" s="85"/>
      <c r="K79" s="64"/>
      <c r="L79" s="65"/>
      <c r="M79" s="61"/>
      <c r="N79" s="62"/>
      <c r="O79" s="63"/>
      <c r="P79" s="75"/>
      <c r="Q79" s="61"/>
      <c r="R79" s="62"/>
      <c r="S79" s="63"/>
      <c r="T79" s="75"/>
      <c r="U79" s="120">
        <f>_15_同援日増２．０</f>
        <v>252</v>
      </c>
      <c r="V79" s="69"/>
    </row>
    <row r="80" spans="1:22" ht="16.5" customHeight="1" x14ac:dyDescent="0.3">
      <c r="A80" s="2">
        <v>15</v>
      </c>
      <c r="B80" s="2" t="s">
        <v>2060</v>
      </c>
      <c r="C80" s="60" t="s">
        <v>12833</v>
      </c>
      <c r="D80" s="1" t="s">
        <v>5983</v>
      </c>
      <c r="E80" s="68"/>
      <c r="F80" s="70"/>
      <c r="G80" s="66"/>
      <c r="H80" s="57"/>
      <c r="I80" s="58"/>
      <c r="J80" s="83" t="s">
        <v>5895</v>
      </c>
      <c r="K80" s="64" t="s">
        <v>1</v>
      </c>
      <c r="L80" s="65">
        <v>1</v>
      </c>
      <c r="M80" s="67"/>
      <c r="N80" s="68"/>
      <c r="O80" s="76"/>
      <c r="P80" s="70"/>
      <c r="Q80" s="67"/>
      <c r="R80" s="68"/>
      <c r="S80" s="76"/>
      <c r="T80" s="70"/>
      <c r="U80" s="120">
        <f>ROUND((_15_同援日増２．０*_15・２人),0)</f>
        <v>252</v>
      </c>
      <c r="V80" s="69"/>
    </row>
    <row r="81" spans="1:22" ht="16.5" customHeight="1" x14ac:dyDescent="0.3">
      <c r="A81" s="2">
        <v>15</v>
      </c>
      <c r="B81" s="2" t="s">
        <v>2061</v>
      </c>
      <c r="C81" s="60" t="s">
        <v>12832</v>
      </c>
      <c r="D81" s="1" t="s">
        <v>6448</v>
      </c>
      <c r="E81" s="68"/>
      <c r="F81" s="70"/>
      <c r="G81" s="74" t="s">
        <v>17747</v>
      </c>
      <c r="H81" s="62"/>
      <c r="I81" s="63"/>
      <c r="J81" s="85"/>
      <c r="K81" s="64"/>
      <c r="L81" s="65"/>
      <c r="M81" s="67"/>
      <c r="N81" s="68"/>
      <c r="O81" s="76"/>
      <c r="P81" s="70"/>
      <c r="Q81" s="67"/>
      <c r="R81" s="68"/>
      <c r="S81" s="76"/>
      <c r="T81" s="70"/>
      <c r="U81" s="120">
        <f>ROUND((_15_同援日増２．０*_15・基礎２),0)</f>
        <v>227</v>
      </c>
      <c r="V81" s="69"/>
    </row>
    <row r="82" spans="1:22" ht="16.5" customHeight="1" x14ac:dyDescent="0.3">
      <c r="A82" s="2">
        <v>15</v>
      </c>
      <c r="B82" s="2" t="s">
        <v>2062</v>
      </c>
      <c r="C82" s="60" t="s">
        <v>12831</v>
      </c>
      <c r="D82" s="1"/>
      <c r="E82" s="119">
        <v>252</v>
      </c>
      <c r="F82" s="70" t="s">
        <v>0</v>
      </c>
      <c r="G82" s="106" t="s">
        <v>17420</v>
      </c>
      <c r="H82" s="57" t="s">
        <v>1</v>
      </c>
      <c r="I82" s="58">
        <v>0.9</v>
      </c>
      <c r="J82" s="83" t="s">
        <v>5895</v>
      </c>
      <c r="K82" s="64" t="s">
        <v>1</v>
      </c>
      <c r="L82" s="65">
        <v>1</v>
      </c>
      <c r="M82" s="66"/>
      <c r="N82" s="57"/>
      <c r="O82" s="58"/>
      <c r="P82" s="77"/>
      <c r="Q82" s="67"/>
      <c r="R82" s="68"/>
      <c r="S82" s="76"/>
      <c r="T82" s="70"/>
      <c r="U82" s="120">
        <f>ROUND((ROUND((_15_同援日増２．０*_15・基礎２),0)*_15・２人),0)</f>
        <v>227</v>
      </c>
      <c r="V82" s="69"/>
    </row>
    <row r="83" spans="1:22" ht="16.5" customHeight="1" x14ac:dyDescent="0.3">
      <c r="A83" s="2">
        <v>15</v>
      </c>
      <c r="B83" s="2" t="s">
        <v>2063</v>
      </c>
      <c r="C83" s="60" t="s">
        <v>12830</v>
      </c>
      <c r="D83" s="1"/>
      <c r="E83" s="68"/>
      <c r="F83" s="70"/>
      <c r="G83" s="61"/>
      <c r="H83" s="62"/>
      <c r="I83" s="63"/>
      <c r="J83" s="85"/>
      <c r="K83" s="64"/>
      <c r="L83" s="65"/>
      <c r="M83" s="74" t="s">
        <v>17933</v>
      </c>
      <c r="N83" s="62"/>
      <c r="O83" s="63"/>
      <c r="P83" s="75"/>
      <c r="Q83" s="67"/>
      <c r="R83" s="68"/>
      <c r="S83" s="76"/>
      <c r="T83" s="70"/>
      <c r="U83" s="120">
        <f>ROUND((_15_同援日増２．０*(1+_15・盲ろう)),0)</f>
        <v>315</v>
      </c>
      <c r="V83" s="69"/>
    </row>
    <row r="84" spans="1:22" ht="16.5" customHeight="1" x14ac:dyDescent="0.3">
      <c r="A84" s="2">
        <v>15</v>
      </c>
      <c r="B84" s="2" t="s">
        <v>2064</v>
      </c>
      <c r="C84" s="60" t="s">
        <v>12829</v>
      </c>
      <c r="D84" s="1"/>
      <c r="E84" s="68"/>
      <c r="F84" s="70"/>
      <c r="G84" s="66"/>
      <c r="H84" s="57"/>
      <c r="I84" s="58"/>
      <c r="J84" s="83" t="s">
        <v>5895</v>
      </c>
      <c r="K84" s="64" t="s">
        <v>1</v>
      </c>
      <c r="L84" s="65">
        <v>1</v>
      </c>
      <c r="M84" s="94" t="s">
        <v>8083</v>
      </c>
      <c r="N84" s="68"/>
      <c r="O84" s="76"/>
      <c r="P84" s="70"/>
      <c r="Q84" s="67"/>
      <c r="R84" s="68"/>
      <c r="S84" s="76"/>
      <c r="T84" s="70"/>
      <c r="U84" s="120">
        <f>ROUND((ROUND((_15_同援日増２．０*_15・２人),0)*(1+_15・盲ろう)),0)</f>
        <v>315</v>
      </c>
      <c r="V84" s="69"/>
    </row>
    <row r="85" spans="1:22" ht="16.5" customHeight="1" x14ac:dyDescent="0.3">
      <c r="A85" s="2">
        <v>15</v>
      </c>
      <c r="B85" s="2" t="s">
        <v>2065</v>
      </c>
      <c r="C85" s="60" t="s">
        <v>12828</v>
      </c>
      <c r="D85" s="1"/>
      <c r="E85" s="68"/>
      <c r="F85" s="70"/>
      <c r="G85" s="74" t="s">
        <v>5898</v>
      </c>
      <c r="H85" s="62"/>
      <c r="I85" s="63"/>
      <c r="J85" s="85"/>
      <c r="K85" s="64"/>
      <c r="L85" s="65"/>
      <c r="M85" s="67"/>
      <c r="N85" s="68" t="s">
        <v>1</v>
      </c>
      <c r="O85" s="76">
        <v>0.25</v>
      </c>
      <c r="P85" s="70" t="s">
        <v>422</v>
      </c>
      <c r="Q85" s="67"/>
      <c r="R85" s="68"/>
      <c r="S85" s="76"/>
      <c r="T85" s="70"/>
      <c r="U85" s="120">
        <f>ROUND((ROUND((_15_同援日増２．０*_15・基礎２),0)*(1+_15・盲ろう)),0)</f>
        <v>284</v>
      </c>
      <c r="V85" s="69"/>
    </row>
    <row r="86" spans="1:22" ht="16.5" customHeight="1" x14ac:dyDescent="0.3">
      <c r="A86" s="2">
        <v>15</v>
      </c>
      <c r="B86" s="2" t="s">
        <v>2066</v>
      </c>
      <c r="C86" s="60" t="s">
        <v>12827</v>
      </c>
      <c r="D86" s="1"/>
      <c r="E86" s="68"/>
      <c r="F86" s="70"/>
      <c r="G86" s="106" t="s">
        <v>17420</v>
      </c>
      <c r="H86" s="57" t="s">
        <v>1</v>
      </c>
      <c r="I86" s="58">
        <v>0.9</v>
      </c>
      <c r="J86" s="83" t="s">
        <v>5895</v>
      </c>
      <c r="K86" s="64" t="s">
        <v>1</v>
      </c>
      <c r="L86" s="65">
        <v>1</v>
      </c>
      <c r="M86" s="66"/>
      <c r="N86" s="57"/>
      <c r="O86" s="58"/>
      <c r="P86" s="77"/>
      <c r="Q86" s="66"/>
      <c r="R86" s="57"/>
      <c r="S86" s="58"/>
      <c r="T86" s="77"/>
      <c r="U86" s="120">
        <f>ROUND((ROUND((ROUND((_15_同援日増２．０*_15・基礎２),0)*_15・２人),0)*(1+_15・盲ろう)),0)</f>
        <v>284</v>
      </c>
      <c r="V86" s="69"/>
    </row>
    <row r="87" spans="1:22" ht="16.5" customHeight="1" x14ac:dyDescent="0.3">
      <c r="A87" s="2">
        <v>15</v>
      </c>
      <c r="B87" s="2" t="s">
        <v>2067</v>
      </c>
      <c r="C87" s="60" t="s">
        <v>12826</v>
      </c>
      <c r="D87" s="1"/>
      <c r="E87" s="68"/>
      <c r="F87" s="70"/>
      <c r="G87" s="61"/>
      <c r="H87" s="62"/>
      <c r="I87" s="63"/>
      <c r="J87" s="85"/>
      <c r="K87" s="64"/>
      <c r="L87" s="65"/>
      <c r="M87" s="61"/>
      <c r="N87" s="62"/>
      <c r="O87" s="63"/>
      <c r="P87" s="75"/>
      <c r="Q87" s="61"/>
      <c r="R87" s="62"/>
      <c r="S87" s="63"/>
      <c r="T87" s="75"/>
      <c r="U87" s="120">
        <f>ROUND((_15_同援日増２．０*(1+_15・区３)),0)</f>
        <v>302</v>
      </c>
      <c r="V87" s="69"/>
    </row>
    <row r="88" spans="1:22" ht="16.5" customHeight="1" x14ac:dyDescent="0.3">
      <c r="A88" s="2">
        <v>15</v>
      </c>
      <c r="B88" s="2" t="s">
        <v>2068</v>
      </c>
      <c r="C88" s="60" t="s">
        <v>12825</v>
      </c>
      <c r="D88" s="1"/>
      <c r="E88" s="68"/>
      <c r="F88" s="70"/>
      <c r="G88" s="66"/>
      <c r="H88" s="57"/>
      <c r="I88" s="58"/>
      <c r="J88" s="83" t="s">
        <v>5895</v>
      </c>
      <c r="K88" s="64" t="s">
        <v>1</v>
      </c>
      <c r="L88" s="65">
        <v>1</v>
      </c>
      <c r="M88" s="67"/>
      <c r="N88" s="68"/>
      <c r="O88" s="76"/>
      <c r="P88" s="70"/>
      <c r="Q88" s="67"/>
      <c r="R88" s="68"/>
      <c r="S88" s="76"/>
      <c r="T88" s="70"/>
      <c r="U88" s="120">
        <f>ROUND((ROUND((_15_同援日増２．０*_15・２人),0)*(1+_15・区３)),0)</f>
        <v>302</v>
      </c>
      <c r="V88" s="69"/>
    </row>
    <row r="89" spans="1:22" ht="16.5" customHeight="1" x14ac:dyDescent="0.3">
      <c r="A89" s="2">
        <v>15</v>
      </c>
      <c r="B89" s="2" t="s">
        <v>2069</v>
      </c>
      <c r="C89" s="60" t="s">
        <v>12824</v>
      </c>
      <c r="D89" s="1"/>
      <c r="E89" s="68"/>
      <c r="F89" s="70"/>
      <c r="G89" s="74" t="s">
        <v>5898</v>
      </c>
      <c r="H89" s="62"/>
      <c r="I89" s="63"/>
      <c r="J89" s="85"/>
      <c r="K89" s="64"/>
      <c r="L89" s="65"/>
      <c r="M89" s="67"/>
      <c r="N89" s="68"/>
      <c r="O89" s="76"/>
      <c r="P89" s="70"/>
      <c r="Q89" s="1" t="s">
        <v>17936</v>
      </c>
      <c r="R89" s="68"/>
      <c r="S89" s="76"/>
      <c r="T89" s="70"/>
      <c r="U89" s="120">
        <f>ROUND((ROUND((_15_同援日増２．０*_15・基礎２),0)*(1+_15・区３)),0)</f>
        <v>272</v>
      </c>
      <c r="V89" s="69"/>
    </row>
    <row r="90" spans="1:22" ht="16.5" customHeight="1" x14ac:dyDescent="0.3">
      <c r="A90" s="2">
        <v>15</v>
      </c>
      <c r="B90" s="2" t="s">
        <v>2070</v>
      </c>
      <c r="C90" s="60" t="s">
        <v>12823</v>
      </c>
      <c r="D90" s="1"/>
      <c r="E90" s="68"/>
      <c r="F90" s="70"/>
      <c r="G90" s="106" t="s">
        <v>17420</v>
      </c>
      <c r="H90" s="57" t="s">
        <v>1</v>
      </c>
      <c r="I90" s="58">
        <v>0.9</v>
      </c>
      <c r="J90" s="83" t="s">
        <v>5895</v>
      </c>
      <c r="K90" s="64" t="s">
        <v>1</v>
      </c>
      <c r="L90" s="65">
        <v>1</v>
      </c>
      <c r="M90" s="66"/>
      <c r="N90" s="57"/>
      <c r="O90" s="58"/>
      <c r="P90" s="77"/>
      <c r="Q90" s="1" t="s">
        <v>17934</v>
      </c>
      <c r="R90" s="68"/>
      <c r="S90" s="76"/>
      <c r="T90" s="70"/>
      <c r="U90" s="120">
        <f>ROUND((ROUND((ROUND((_15_同援日増２．０*_15・基礎２),0)*_15・２人),0)*(1+_15・区３)),0)</f>
        <v>272</v>
      </c>
      <c r="V90" s="69"/>
    </row>
    <row r="91" spans="1:22" ht="16.5" customHeight="1" x14ac:dyDescent="0.3">
      <c r="A91" s="2">
        <v>15</v>
      </c>
      <c r="B91" s="2" t="s">
        <v>2071</v>
      </c>
      <c r="C91" s="60" t="s">
        <v>12822</v>
      </c>
      <c r="D91" s="1"/>
      <c r="E91" s="68"/>
      <c r="F91" s="70"/>
      <c r="G91" s="61"/>
      <c r="H91" s="62"/>
      <c r="I91" s="63"/>
      <c r="J91" s="85"/>
      <c r="K91" s="64"/>
      <c r="L91" s="65"/>
      <c r="M91" s="74" t="s">
        <v>17933</v>
      </c>
      <c r="N91" s="62"/>
      <c r="O91" s="63"/>
      <c r="P91" s="75"/>
      <c r="Q91" s="67"/>
      <c r="R91" s="68" t="s">
        <v>1</v>
      </c>
      <c r="S91" s="76">
        <v>0.2</v>
      </c>
      <c r="T91" s="70" t="s">
        <v>422</v>
      </c>
      <c r="U91" s="120">
        <f>ROUND((ROUND((_15_同援日増２．０*(1+_15・盲ろう)),0)*(1+_15・区３)),0)</f>
        <v>378</v>
      </c>
      <c r="V91" s="69"/>
    </row>
    <row r="92" spans="1:22" ht="16.5" customHeight="1" x14ac:dyDescent="0.3">
      <c r="A92" s="2">
        <v>15</v>
      </c>
      <c r="B92" s="2" t="s">
        <v>2072</v>
      </c>
      <c r="C92" s="60" t="s">
        <v>12821</v>
      </c>
      <c r="D92" s="1"/>
      <c r="E92" s="68"/>
      <c r="F92" s="70"/>
      <c r="G92" s="66"/>
      <c r="H92" s="57"/>
      <c r="I92" s="58"/>
      <c r="J92" s="83" t="s">
        <v>5895</v>
      </c>
      <c r="K92" s="64" t="s">
        <v>1</v>
      </c>
      <c r="L92" s="65">
        <v>1</v>
      </c>
      <c r="M92" s="94" t="s">
        <v>8083</v>
      </c>
      <c r="N92" s="68"/>
      <c r="O92" s="76"/>
      <c r="P92" s="70"/>
      <c r="Q92" s="67"/>
      <c r="R92" s="68"/>
      <c r="S92" s="76"/>
      <c r="T92" s="70"/>
      <c r="U92" s="120">
        <f>ROUND((ROUND((ROUND((_15_同援日増２．０*_15・２人),0)*(1+_15・盲ろう)),0)*(1+_15・区３)),0)</f>
        <v>378</v>
      </c>
      <c r="V92" s="69"/>
    </row>
    <row r="93" spans="1:22" ht="16.5" customHeight="1" x14ac:dyDescent="0.3">
      <c r="A93" s="2">
        <v>15</v>
      </c>
      <c r="B93" s="2" t="s">
        <v>2073</v>
      </c>
      <c r="C93" s="60" t="s">
        <v>12820</v>
      </c>
      <c r="D93" s="1"/>
      <c r="E93" s="68"/>
      <c r="F93" s="70"/>
      <c r="G93" s="74" t="s">
        <v>17747</v>
      </c>
      <c r="H93" s="62"/>
      <c r="I93" s="63"/>
      <c r="J93" s="85"/>
      <c r="K93" s="64"/>
      <c r="L93" s="65"/>
      <c r="M93" s="67"/>
      <c r="N93" s="68" t="s">
        <v>1</v>
      </c>
      <c r="O93" s="76">
        <v>0.25</v>
      </c>
      <c r="P93" s="70" t="s">
        <v>422</v>
      </c>
      <c r="Q93" s="67"/>
      <c r="R93" s="68"/>
      <c r="S93" s="76"/>
      <c r="T93" s="70"/>
      <c r="U93" s="120">
        <f>ROUND((ROUND((ROUND((_15_同援日増２．０*_15・基礎２),0)*(1+_15・盲ろう)),0)*(1+_15・区３)),0)</f>
        <v>341</v>
      </c>
      <c r="V93" s="69"/>
    </row>
    <row r="94" spans="1:22" ht="16.5" customHeight="1" x14ac:dyDescent="0.3">
      <c r="A94" s="2">
        <v>15</v>
      </c>
      <c r="B94" s="2" t="s">
        <v>2074</v>
      </c>
      <c r="C94" s="60" t="s">
        <v>12819</v>
      </c>
      <c r="D94" s="1"/>
      <c r="E94" s="68"/>
      <c r="F94" s="70"/>
      <c r="G94" s="106" t="s">
        <v>17420</v>
      </c>
      <c r="H94" s="57" t="s">
        <v>1</v>
      </c>
      <c r="I94" s="58">
        <v>0.9</v>
      </c>
      <c r="J94" s="83" t="s">
        <v>5895</v>
      </c>
      <c r="K94" s="64" t="s">
        <v>1</v>
      </c>
      <c r="L94" s="65">
        <v>1</v>
      </c>
      <c r="M94" s="66"/>
      <c r="N94" s="57"/>
      <c r="O94" s="58"/>
      <c r="P94" s="77"/>
      <c r="Q94" s="66"/>
      <c r="R94" s="57"/>
      <c r="S94" s="58"/>
      <c r="T94" s="77"/>
      <c r="U94" s="120">
        <f>ROUND((ROUND((ROUND((ROUND((_15_同援日増２．０*_15・基礎２),0)*_15・２人),0)*(1+_15・盲ろう)),0)*(1+_15・区３)),0)</f>
        <v>341</v>
      </c>
      <c r="V94" s="69"/>
    </row>
    <row r="95" spans="1:22" ht="16.5" customHeight="1" x14ac:dyDescent="0.3">
      <c r="A95" s="2">
        <v>15</v>
      </c>
      <c r="B95" s="2" t="s">
        <v>2075</v>
      </c>
      <c r="C95" s="60" t="s">
        <v>12818</v>
      </c>
      <c r="D95" s="1"/>
      <c r="E95" s="68"/>
      <c r="F95" s="70"/>
      <c r="G95" s="61"/>
      <c r="H95" s="62"/>
      <c r="I95" s="63"/>
      <c r="J95" s="85"/>
      <c r="K95" s="64"/>
      <c r="L95" s="65"/>
      <c r="M95" s="61"/>
      <c r="N95" s="62"/>
      <c r="O95" s="63"/>
      <c r="P95" s="75"/>
      <c r="Q95" s="61"/>
      <c r="R95" s="62"/>
      <c r="S95" s="63"/>
      <c r="T95" s="75"/>
      <c r="U95" s="120">
        <f>ROUND((_15_同援日増２．０*(1+_15・区４)),0)</f>
        <v>353</v>
      </c>
      <c r="V95" s="69"/>
    </row>
    <row r="96" spans="1:22" ht="16.5" customHeight="1" x14ac:dyDescent="0.3">
      <c r="A96" s="2">
        <v>15</v>
      </c>
      <c r="B96" s="2" t="s">
        <v>2076</v>
      </c>
      <c r="C96" s="60" t="s">
        <v>12817</v>
      </c>
      <c r="D96" s="1"/>
      <c r="E96" s="68"/>
      <c r="F96" s="70"/>
      <c r="G96" s="66"/>
      <c r="H96" s="57"/>
      <c r="I96" s="58"/>
      <c r="J96" s="83" t="s">
        <v>5895</v>
      </c>
      <c r="K96" s="64" t="s">
        <v>1</v>
      </c>
      <c r="L96" s="65">
        <v>1</v>
      </c>
      <c r="M96" s="67"/>
      <c r="N96" s="68"/>
      <c r="O96" s="76"/>
      <c r="P96" s="70"/>
      <c r="Q96" s="67"/>
      <c r="R96" s="68"/>
      <c r="S96" s="76"/>
      <c r="T96" s="70"/>
      <c r="U96" s="120">
        <f>ROUND((ROUND((_15_同援日増２．０*_15・２人),0)*(1+_15・区４)),0)</f>
        <v>353</v>
      </c>
      <c r="V96" s="69"/>
    </row>
    <row r="97" spans="1:22" ht="16.5" customHeight="1" x14ac:dyDescent="0.3">
      <c r="A97" s="2">
        <v>15</v>
      </c>
      <c r="B97" s="2" t="s">
        <v>2077</v>
      </c>
      <c r="C97" s="60" t="s">
        <v>12816</v>
      </c>
      <c r="D97" s="1"/>
      <c r="E97" s="68"/>
      <c r="F97" s="70"/>
      <c r="G97" s="74" t="s">
        <v>5898</v>
      </c>
      <c r="H97" s="62"/>
      <c r="I97" s="63"/>
      <c r="J97" s="85"/>
      <c r="K97" s="64"/>
      <c r="L97" s="65"/>
      <c r="M97" s="67"/>
      <c r="N97" s="68"/>
      <c r="O97" s="76"/>
      <c r="P97" s="70"/>
      <c r="Q97" s="1" t="s">
        <v>17935</v>
      </c>
      <c r="R97" s="68"/>
      <c r="S97" s="76"/>
      <c r="T97" s="70"/>
      <c r="U97" s="120">
        <f>ROUND((ROUND((_15_同援日増２．０*_15・基礎２),0)*(1+_15・区４)),0)</f>
        <v>318</v>
      </c>
      <c r="V97" s="69"/>
    </row>
    <row r="98" spans="1:22" ht="16.5" customHeight="1" x14ac:dyDescent="0.3">
      <c r="A98" s="2">
        <v>15</v>
      </c>
      <c r="B98" s="2" t="s">
        <v>2078</v>
      </c>
      <c r="C98" s="60" t="s">
        <v>12815</v>
      </c>
      <c r="D98" s="1"/>
      <c r="E98" s="68"/>
      <c r="F98" s="70"/>
      <c r="G98" s="106" t="s">
        <v>17420</v>
      </c>
      <c r="H98" s="57" t="s">
        <v>1</v>
      </c>
      <c r="I98" s="58">
        <v>0.9</v>
      </c>
      <c r="J98" s="83" t="s">
        <v>5895</v>
      </c>
      <c r="K98" s="64" t="s">
        <v>1</v>
      </c>
      <c r="L98" s="65">
        <v>1</v>
      </c>
      <c r="M98" s="66"/>
      <c r="N98" s="57"/>
      <c r="O98" s="58"/>
      <c r="P98" s="77"/>
      <c r="Q98" s="1" t="s">
        <v>8087</v>
      </c>
      <c r="R98" s="68"/>
      <c r="S98" s="76"/>
      <c r="T98" s="70"/>
      <c r="U98" s="120">
        <f>ROUND((ROUND((ROUND((_15_同援日増２．０*_15・基礎２),0)*_15・２人),0)*(1+_15・区４)),0)</f>
        <v>318</v>
      </c>
      <c r="V98" s="69"/>
    </row>
    <row r="99" spans="1:22" ht="16.5" customHeight="1" x14ac:dyDescent="0.3">
      <c r="A99" s="2">
        <v>15</v>
      </c>
      <c r="B99" s="2" t="s">
        <v>2079</v>
      </c>
      <c r="C99" s="60" t="s">
        <v>12814</v>
      </c>
      <c r="D99" s="1"/>
      <c r="E99" s="68"/>
      <c r="F99" s="70"/>
      <c r="G99" s="61"/>
      <c r="H99" s="62"/>
      <c r="I99" s="63"/>
      <c r="J99" s="85"/>
      <c r="K99" s="64"/>
      <c r="L99" s="65"/>
      <c r="M99" s="74" t="s">
        <v>8085</v>
      </c>
      <c r="N99" s="62"/>
      <c r="O99" s="63"/>
      <c r="P99" s="75"/>
      <c r="Q99" s="67"/>
      <c r="R99" s="68" t="s">
        <v>1</v>
      </c>
      <c r="S99" s="76">
        <v>0.4</v>
      </c>
      <c r="T99" s="70" t="s">
        <v>422</v>
      </c>
      <c r="U99" s="120">
        <f>ROUND((ROUND((_15_同援日増２．０*(1+_15・盲ろう)),0)*(1+_15・区４)),0)</f>
        <v>441</v>
      </c>
      <c r="V99" s="69"/>
    </row>
    <row r="100" spans="1:22" ht="16.5" customHeight="1" x14ac:dyDescent="0.3">
      <c r="A100" s="2">
        <v>15</v>
      </c>
      <c r="B100" s="2" t="s">
        <v>2080</v>
      </c>
      <c r="C100" s="60" t="s">
        <v>12813</v>
      </c>
      <c r="D100" s="1"/>
      <c r="E100" s="68"/>
      <c r="F100" s="70"/>
      <c r="G100" s="66"/>
      <c r="H100" s="57"/>
      <c r="I100" s="58"/>
      <c r="J100" s="83" t="s">
        <v>5895</v>
      </c>
      <c r="K100" s="64" t="s">
        <v>1</v>
      </c>
      <c r="L100" s="65">
        <v>1</v>
      </c>
      <c r="M100" s="94" t="s">
        <v>17932</v>
      </c>
      <c r="N100" s="68"/>
      <c r="O100" s="76"/>
      <c r="P100" s="70"/>
      <c r="Q100" s="67"/>
      <c r="R100" s="68"/>
      <c r="S100" s="76"/>
      <c r="T100" s="70"/>
      <c r="U100" s="120">
        <f>ROUND((ROUND((ROUND((_15_同援日増２．０*_15・２人),0)*(1+_15・盲ろう)),0)*(1+_15・区４)),0)</f>
        <v>441</v>
      </c>
      <c r="V100" s="69"/>
    </row>
    <row r="101" spans="1:22" ht="16.5" customHeight="1" x14ac:dyDescent="0.3">
      <c r="A101" s="2">
        <v>15</v>
      </c>
      <c r="B101" s="2" t="s">
        <v>2081</v>
      </c>
      <c r="C101" s="60" t="s">
        <v>12812</v>
      </c>
      <c r="D101" s="1"/>
      <c r="E101" s="68"/>
      <c r="F101" s="70"/>
      <c r="G101" s="74" t="s">
        <v>5898</v>
      </c>
      <c r="H101" s="62"/>
      <c r="I101" s="63"/>
      <c r="J101" s="85"/>
      <c r="K101" s="64"/>
      <c r="L101" s="65"/>
      <c r="M101" s="67"/>
      <c r="N101" s="68" t="s">
        <v>1</v>
      </c>
      <c r="O101" s="76">
        <v>0.25</v>
      </c>
      <c r="P101" s="70" t="s">
        <v>422</v>
      </c>
      <c r="Q101" s="67"/>
      <c r="R101" s="68"/>
      <c r="S101" s="76"/>
      <c r="T101" s="70"/>
      <c r="U101" s="120">
        <f>ROUND((ROUND((ROUND((_15_同援日増２．０*_15・基礎２),0)*(1+_15・盲ろう)),0)*(1+_15・区４)),0)</f>
        <v>398</v>
      </c>
      <c r="V101" s="69"/>
    </row>
    <row r="102" spans="1:22" ht="16.5" customHeight="1" x14ac:dyDescent="0.3">
      <c r="A102" s="2">
        <v>15</v>
      </c>
      <c r="B102" s="2" t="s">
        <v>2082</v>
      </c>
      <c r="C102" s="60" t="s">
        <v>12811</v>
      </c>
      <c r="D102" s="81"/>
      <c r="E102" s="57"/>
      <c r="F102" s="77"/>
      <c r="G102" s="106" t="s">
        <v>17420</v>
      </c>
      <c r="H102" s="57" t="s">
        <v>1</v>
      </c>
      <c r="I102" s="58">
        <v>0.9</v>
      </c>
      <c r="J102" s="83" t="s">
        <v>5895</v>
      </c>
      <c r="K102" s="64" t="s">
        <v>1</v>
      </c>
      <c r="L102" s="65">
        <v>1</v>
      </c>
      <c r="M102" s="66"/>
      <c r="N102" s="57"/>
      <c r="O102" s="58"/>
      <c r="P102" s="77"/>
      <c r="Q102" s="66"/>
      <c r="R102" s="57"/>
      <c r="S102" s="58"/>
      <c r="T102" s="77"/>
      <c r="U102" s="120">
        <f>ROUND((ROUND((ROUND((ROUND((_15_同援日増２．０*_15・基礎２),0)*_15・２人),0)*(1+_15・盲ろう)),0)*(1+_15・区４)),0)</f>
        <v>398</v>
      </c>
      <c r="V102" s="69"/>
    </row>
    <row r="103" spans="1:22" ht="16.5" customHeight="1" x14ac:dyDescent="0.3">
      <c r="A103" s="2">
        <v>15</v>
      </c>
      <c r="B103" s="2" t="s">
        <v>2083</v>
      </c>
      <c r="C103" s="60" t="s">
        <v>12810</v>
      </c>
      <c r="D103" s="233" t="s">
        <v>18181</v>
      </c>
      <c r="E103" s="62"/>
      <c r="F103" s="75"/>
      <c r="G103" s="61"/>
      <c r="H103" s="62"/>
      <c r="I103" s="63"/>
      <c r="J103" s="85"/>
      <c r="K103" s="64"/>
      <c r="L103" s="65"/>
      <c r="M103" s="61"/>
      <c r="N103" s="62"/>
      <c r="O103" s="63"/>
      <c r="P103" s="75"/>
      <c r="Q103" s="61"/>
      <c r="R103" s="62"/>
      <c r="S103" s="63"/>
      <c r="T103" s="75"/>
      <c r="U103" s="120">
        <f>_15_同援日増２．５</f>
        <v>315</v>
      </c>
      <c r="V103" s="69"/>
    </row>
    <row r="104" spans="1:22" ht="16.5" customHeight="1" x14ac:dyDescent="0.3">
      <c r="A104" s="2">
        <v>15</v>
      </c>
      <c r="B104" s="2" t="s">
        <v>2084</v>
      </c>
      <c r="C104" s="60" t="s">
        <v>12809</v>
      </c>
      <c r="D104" s="1" t="s">
        <v>5977</v>
      </c>
      <c r="E104" s="68"/>
      <c r="F104" s="70"/>
      <c r="G104" s="66"/>
      <c r="H104" s="57"/>
      <c r="I104" s="58"/>
      <c r="J104" s="83" t="s">
        <v>5895</v>
      </c>
      <c r="K104" s="64" t="s">
        <v>1</v>
      </c>
      <c r="L104" s="65">
        <v>1</v>
      </c>
      <c r="M104" s="67"/>
      <c r="N104" s="68"/>
      <c r="O104" s="76"/>
      <c r="P104" s="70"/>
      <c r="Q104" s="67"/>
      <c r="R104" s="68"/>
      <c r="S104" s="76"/>
      <c r="T104" s="70"/>
      <c r="U104" s="120">
        <f>ROUND((_15_同援日増２．５*_15・２人),0)</f>
        <v>315</v>
      </c>
      <c r="V104" s="69"/>
    </row>
    <row r="105" spans="1:22" ht="16.5" customHeight="1" x14ac:dyDescent="0.3">
      <c r="A105" s="2">
        <v>15</v>
      </c>
      <c r="B105" s="2" t="s">
        <v>2085</v>
      </c>
      <c r="C105" s="60" t="s">
        <v>12808</v>
      </c>
      <c r="D105" s="1" t="s">
        <v>8499</v>
      </c>
      <c r="E105" s="68"/>
      <c r="F105" s="70"/>
      <c r="G105" s="74" t="s">
        <v>17747</v>
      </c>
      <c r="H105" s="62"/>
      <c r="I105" s="63"/>
      <c r="J105" s="85"/>
      <c r="K105" s="64"/>
      <c r="L105" s="65"/>
      <c r="M105" s="67"/>
      <c r="N105" s="68"/>
      <c r="O105" s="76"/>
      <c r="P105" s="70"/>
      <c r="Q105" s="67"/>
      <c r="R105" s="68"/>
      <c r="S105" s="76"/>
      <c r="T105" s="70"/>
      <c r="U105" s="120">
        <f>ROUND((_15_同援日増２．５*_15・基礎２),0)</f>
        <v>284</v>
      </c>
      <c r="V105" s="69"/>
    </row>
    <row r="106" spans="1:22" ht="16.5" customHeight="1" x14ac:dyDescent="0.3">
      <c r="A106" s="2">
        <v>15</v>
      </c>
      <c r="B106" s="2" t="s">
        <v>2086</v>
      </c>
      <c r="C106" s="60" t="s">
        <v>12807</v>
      </c>
      <c r="D106" s="1"/>
      <c r="E106" s="119">
        <v>315</v>
      </c>
      <c r="F106" s="70" t="s">
        <v>0</v>
      </c>
      <c r="G106" s="106" t="s">
        <v>5896</v>
      </c>
      <c r="H106" s="57" t="s">
        <v>1</v>
      </c>
      <c r="I106" s="58">
        <v>0.9</v>
      </c>
      <c r="J106" s="83" t="s">
        <v>5895</v>
      </c>
      <c r="K106" s="64" t="s">
        <v>1</v>
      </c>
      <c r="L106" s="65">
        <v>1</v>
      </c>
      <c r="M106" s="66"/>
      <c r="N106" s="57"/>
      <c r="O106" s="58"/>
      <c r="P106" s="77"/>
      <c r="Q106" s="67"/>
      <c r="R106" s="68"/>
      <c r="S106" s="76"/>
      <c r="T106" s="70"/>
      <c r="U106" s="120">
        <f>ROUND((ROUND((_15_同援日増２．５*_15・基礎２),0)*_15・２人),0)</f>
        <v>284</v>
      </c>
      <c r="V106" s="69"/>
    </row>
    <row r="107" spans="1:22" ht="16.5" customHeight="1" x14ac:dyDescent="0.3">
      <c r="A107" s="2">
        <v>15</v>
      </c>
      <c r="B107" s="2" t="s">
        <v>2087</v>
      </c>
      <c r="C107" s="60" t="s">
        <v>12806</v>
      </c>
      <c r="D107" s="1"/>
      <c r="E107" s="68"/>
      <c r="F107" s="70"/>
      <c r="G107" s="61"/>
      <c r="H107" s="62"/>
      <c r="I107" s="63"/>
      <c r="J107" s="85"/>
      <c r="K107" s="64"/>
      <c r="L107" s="65"/>
      <c r="M107" s="74" t="s">
        <v>17933</v>
      </c>
      <c r="N107" s="62"/>
      <c r="O107" s="63"/>
      <c r="P107" s="75"/>
      <c r="Q107" s="67"/>
      <c r="R107" s="68"/>
      <c r="S107" s="76"/>
      <c r="T107" s="70"/>
      <c r="U107" s="120">
        <f>ROUND((_15_同援日増２．５*(1+_15・盲ろう)),0)</f>
        <v>394</v>
      </c>
      <c r="V107" s="69"/>
    </row>
    <row r="108" spans="1:22" ht="16.5" customHeight="1" x14ac:dyDescent="0.3">
      <c r="A108" s="2">
        <v>15</v>
      </c>
      <c r="B108" s="2" t="s">
        <v>2088</v>
      </c>
      <c r="C108" s="60" t="s">
        <v>12805</v>
      </c>
      <c r="D108" s="1"/>
      <c r="E108" s="68"/>
      <c r="F108" s="70"/>
      <c r="G108" s="66"/>
      <c r="H108" s="57"/>
      <c r="I108" s="58"/>
      <c r="J108" s="83" t="s">
        <v>5895</v>
      </c>
      <c r="K108" s="64" t="s">
        <v>1</v>
      </c>
      <c r="L108" s="65">
        <v>1</v>
      </c>
      <c r="M108" s="94" t="s">
        <v>17932</v>
      </c>
      <c r="N108" s="68"/>
      <c r="O108" s="76"/>
      <c r="P108" s="70"/>
      <c r="Q108" s="67"/>
      <c r="R108" s="68"/>
      <c r="S108" s="76"/>
      <c r="T108" s="70"/>
      <c r="U108" s="120">
        <f>ROUND((ROUND((_15_同援日増２．５*_15・２人),0)*(1+_15・盲ろう)),0)</f>
        <v>394</v>
      </c>
      <c r="V108" s="69"/>
    </row>
    <row r="109" spans="1:22" ht="16.5" customHeight="1" x14ac:dyDescent="0.3">
      <c r="A109" s="2">
        <v>15</v>
      </c>
      <c r="B109" s="2" t="s">
        <v>2089</v>
      </c>
      <c r="C109" s="60" t="s">
        <v>12804</v>
      </c>
      <c r="D109" s="1"/>
      <c r="E109" s="68"/>
      <c r="F109" s="70"/>
      <c r="G109" s="74" t="s">
        <v>17747</v>
      </c>
      <c r="H109" s="62"/>
      <c r="I109" s="63"/>
      <c r="J109" s="85"/>
      <c r="K109" s="64"/>
      <c r="L109" s="65"/>
      <c r="M109" s="67"/>
      <c r="N109" s="68" t="s">
        <v>1</v>
      </c>
      <c r="O109" s="76">
        <v>0.25</v>
      </c>
      <c r="P109" s="70" t="s">
        <v>422</v>
      </c>
      <c r="Q109" s="67"/>
      <c r="R109" s="68"/>
      <c r="S109" s="76"/>
      <c r="T109" s="70"/>
      <c r="U109" s="120">
        <f>ROUND((ROUND((_15_同援日増２．５*_15・基礎２),0)*(1+_15・盲ろう)),0)</f>
        <v>355</v>
      </c>
      <c r="V109" s="69"/>
    </row>
    <row r="110" spans="1:22" ht="16.5" customHeight="1" x14ac:dyDescent="0.3">
      <c r="A110" s="2">
        <v>15</v>
      </c>
      <c r="B110" s="2" t="s">
        <v>2090</v>
      </c>
      <c r="C110" s="60" t="s">
        <v>12803</v>
      </c>
      <c r="D110" s="1"/>
      <c r="E110" s="68"/>
      <c r="F110" s="70"/>
      <c r="G110" s="106" t="s">
        <v>17420</v>
      </c>
      <c r="H110" s="57" t="s">
        <v>1</v>
      </c>
      <c r="I110" s="58">
        <v>0.9</v>
      </c>
      <c r="J110" s="83" t="s">
        <v>5895</v>
      </c>
      <c r="K110" s="64" t="s">
        <v>1</v>
      </c>
      <c r="L110" s="65">
        <v>1</v>
      </c>
      <c r="M110" s="66"/>
      <c r="N110" s="57"/>
      <c r="O110" s="58"/>
      <c r="P110" s="77"/>
      <c r="Q110" s="66"/>
      <c r="R110" s="57"/>
      <c r="S110" s="58"/>
      <c r="T110" s="77"/>
      <c r="U110" s="120">
        <f>ROUND((ROUND((ROUND((_15_同援日増２．５*_15・基礎２),0)*_15・２人),0)*(1+_15・盲ろう)),0)</f>
        <v>355</v>
      </c>
      <c r="V110" s="69"/>
    </row>
    <row r="111" spans="1:22" ht="16.5" customHeight="1" x14ac:dyDescent="0.3">
      <c r="A111" s="2">
        <v>15</v>
      </c>
      <c r="B111" s="2" t="s">
        <v>2091</v>
      </c>
      <c r="C111" s="60" t="s">
        <v>12802</v>
      </c>
      <c r="D111" s="1"/>
      <c r="E111" s="68"/>
      <c r="F111" s="70"/>
      <c r="G111" s="61"/>
      <c r="H111" s="62"/>
      <c r="I111" s="63"/>
      <c r="J111" s="85"/>
      <c r="K111" s="64"/>
      <c r="L111" s="65"/>
      <c r="M111" s="61"/>
      <c r="N111" s="62"/>
      <c r="O111" s="63"/>
      <c r="P111" s="75"/>
      <c r="Q111" s="61"/>
      <c r="R111" s="62"/>
      <c r="S111" s="63"/>
      <c r="T111" s="75"/>
      <c r="U111" s="120">
        <f>ROUND((_15_同援日増２．５*(1+_15・区３)),0)</f>
        <v>378</v>
      </c>
      <c r="V111" s="69"/>
    </row>
    <row r="112" spans="1:22" ht="16.5" customHeight="1" x14ac:dyDescent="0.3">
      <c r="A112" s="2">
        <v>15</v>
      </c>
      <c r="B112" s="2" t="s">
        <v>2092</v>
      </c>
      <c r="C112" s="60" t="s">
        <v>12801</v>
      </c>
      <c r="D112" s="1"/>
      <c r="E112" s="68"/>
      <c r="F112" s="70"/>
      <c r="G112" s="66"/>
      <c r="H112" s="57"/>
      <c r="I112" s="58"/>
      <c r="J112" s="83" t="s">
        <v>5895</v>
      </c>
      <c r="K112" s="64" t="s">
        <v>1</v>
      </c>
      <c r="L112" s="65">
        <v>1</v>
      </c>
      <c r="M112" s="67"/>
      <c r="N112" s="68"/>
      <c r="O112" s="76"/>
      <c r="P112" s="70"/>
      <c r="Q112" s="67"/>
      <c r="R112" s="68"/>
      <c r="S112" s="76"/>
      <c r="T112" s="70"/>
      <c r="U112" s="120">
        <f>ROUND((ROUND((_15_同援日増２．５*_15・２人),0)*(1+_15・区３)),0)</f>
        <v>378</v>
      </c>
      <c r="V112" s="69"/>
    </row>
    <row r="113" spans="1:22" ht="16.5" customHeight="1" x14ac:dyDescent="0.3">
      <c r="A113" s="2">
        <v>15</v>
      </c>
      <c r="B113" s="2" t="s">
        <v>2093</v>
      </c>
      <c r="C113" s="60" t="s">
        <v>12800</v>
      </c>
      <c r="D113" s="1"/>
      <c r="E113" s="68"/>
      <c r="F113" s="70"/>
      <c r="G113" s="74" t="s">
        <v>17747</v>
      </c>
      <c r="H113" s="62"/>
      <c r="I113" s="63"/>
      <c r="J113" s="85"/>
      <c r="K113" s="64"/>
      <c r="L113" s="65"/>
      <c r="M113" s="67"/>
      <c r="N113" s="68"/>
      <c r="O113" s="76"/>
      <c r="P113" s="70"/>
      <c r="Q113" s="1" t="s">
        <v>17936</v>
      </c>
      <c r="R113" s="68"/>
      <c r="S113" s="76"/>
      <c r="T113" s="70"/>
      <c r="U113" s="120">
        <f>ROUND((ROUND((_15_同援日増２．５*_15・基礎２),0)*(1+_15・区３)),0)</f>
        <v>341</v>
      </c>
      <c r="V113" s="69"/>
    </row>
    <row r="114" spans="1:22" ht="16.5" customHeight="1" x14ac:dyDescent="0.3">
      <c r="A114" s="2">
        <v>15</v>
      </c>
      <c r="B114" s="2" t="s">
        <v>2094</v>
      </c>
      <c r="C114" s="60" t="s">
        <v>12799</v>
      </c>
      <c r="D114" s="1"/>
      <c r="E114" s="68"/>
      <c r="F114" s="70"/>
      <c r="G114" s="106" t="s">
        <v>5896</v>
      </c>
      <c r="H114" s="57" t="s">
        <v>1</v>
      </c>
      <c r="I114" s="58">
        <v>0.9</v>
      </c>
      <c r="J114" s="83" t="s">
        <v>5895</v>
      </c>
      <c r="K114" s="64" t="s">
        <v>1</v>
      </c>
      <c r="L114" s="65">
        <v>1</v>
      </c>
      <c r="M114" s="66"/>
      <c r="N114" s="57"/>
      <c r="O114" s="58"/>
      <c r="P114" s="77"/>
      <c r="Q114" s="1" t="s">
        <v>8087</v>
      </c>
      <c r="R114" s="68"/>
      <c r="S114" s="76"/>
      <c r="T114" s="70"/>
      <c r="U114" s="120">
        <f>ROUND((ROUND((ROUND((_15_同援日増２．５*_15・基礎２),0)*_15・２人),0)*(1+_15・区３)),0)</f>
        <v>341</v>
      </c>
      <c r="V114" s="69"/>
    </row>
    <row r="115" spans="1:22" ht="16.5" customHeight="1" x14ac:dyDescent="0.3">
      <c r="A115" s="2">
        <v>15</v>
      </c>
      <c r="B115" s="2" t="s">
        <v>2095</v>
      </c>
      <c r="C115" s="60" t="s">
        <v>12798</v>
      </c>
      <c r="D115" s="1"/>
      <c r="E115" s="68"/>
      <c r="F115" s="70"/>
      <c r="G115" s="61"/>
      <c r="H115" s="62"/>
      <c r="I115" s="63"/>
      <c r="J115" s="85"/>
      <c r="K115" s="64"/>
      <c r="L115" s="65"/>
      <c r="M115" s="74" t="s">
        <v>8085</v>
      </c>
      <c r="N115" s="62"/>
      <c r="O115" s="63"/>
      <c r="P115" s="75"/>
      <c r="Q115" s="67"/>
      <c r="R115" s="68" t="s">
        <v>1</v>
      </c>
      <c r="S115" s="76">
        <v>0.2</v>
      </c>
      <c r="T115" s="70" t="s">
        <v>422</v>
      </c>
      <c r="U115" s="120">
        <f>ROUND((ROUND((_15_同援日増２．５*(1+_15・盲ろう)),0)*(1+_15・区３)),0)</f>
        <v>473</v>
      </c>
      <c r="V115" s="69"/>
    </row>
    <row r="116" spans="1:22" ht="16.5" customHeight="1" x14ac:dyDescent="0.3">
      <c r="A116" s="2">
        <v>15</v>
      </c>
      <c r="B116" s="2" t="s">
        <v>2096</v>
      </c>
      <c r="C116" s="60" t="s">
        <v>12797</v>
      </c>
      <c r="D116" s="1"/>
      <c r="E116" s="68"/>
      <c r="F116" s="70"/>
      <c r="G116" s="66"/>
      <c r="H116" s="57"/>
      <c r="I116" s="58"/>
      <c r="J116" s="83" t="s">
        <v>5895</v>
      </c>
      <c r="K116" s="64" t="s">
        <v>1</v>
      </c>
      <c r="L116" s="65">
        <v>1</v>
      </c>
      <c r="M116" s="94" t="s">
        <v>17932</v>
      </c>
      <c r="N116" s="68"/>
      <c r="O116" s="76"/>
      <c r="P116" s="70"/>
      <c r="Q116" s="67"/>
      <c r="R116" s="68"/>
      <c r="S116" s="76"/>
      <c r="T116" s="70"/>
      <c r="U116" s="120">
        <f>ROUND((ROUND((ROUND((_15_同援日増２．５*_15・２人),0)*(1+_15・盲ろう)),0)*(1+_15・区３)),0)</f>
        <v>473</v>
      </c>
      <c r="V116" s="69"/>
    </row>
    <row r="117" spans="1:22" ht="16.5" customHeight="1" x14ac:dyDescent="0.3">
      <c r="A117" s="2">
        <v>15</v>
      </c>
      <c r="B117" s="2" t="s">
        <v>2097</v>
      </c>
      <c r="C117" s="60" t="s">
        <v>12796</v>
      </c>
      <c r="D117" s="1"/>
      <c r="E117" s="68"/>
      <c r="F117" s="70"/>
      <c r="G117" s="74" t="s">
        <v>5898</v>
      </c>
      <c r="H117" s="62"/>
      <c r="I117" s="63"/>
      <c r="J117" s="85"/>
      <c r="K117" s="64"/>
      <c r="L117" s="65"/>
      <c r="M117" s="67"/>
      <c r="N117" s="68" t="s">
        <v>1</v>
      </c>
      <c r="O117" s="76">
        <v>0.25</v>
      </c>
      <c r="P117" s="70" t="s">
        <v>422</v>
      </c>
      <c r="Q117" s="67"/>
      <c r="R117" s="68"/>
      <c r="S117" s="76"/>
      <c r="T117" s="70"/>
      <c r="U117" s="120">
        <f>ROUND((ROUND((ROUND((_15_同援日増２．５*_15・基礎２),0)*(1+_15・盲ろう)),0)*(1+_15・区３)),0)</f>
        <v>426</v>
      </c>
      <c r="V117" s="69"/>
    </row>
    <row r="118" spans="1:22" ht="16.5" customHeight="1" x14ac:dyDescent="0.3">
      <c r="A118" s="2">
        <v>15</v>
      </c>
      <c r="B118" s="2" t="s">
        <v>2098</v>
      </c>
      <c r="C118" s="60" t="s">
        <v>12795</v>
      </c>
      <c r="D118" s="1"/>
      <c r="E118" s="68"/>
      <c r="F118" s="70"/>
      <c r="G118" s="106" t="s">
        <v>5896</v>
      </c>
      <c r="H118" s="57" t="s">
        <v>1</v>
      </c>
      <c r="I118" s="58">
        <v>0.9</v>
      </c>
      <c r="J118" s="83" t="s">
        <v>5895</v>
      </c>
      <c r="K118" s="64" t="s">
        <v>1</v>
      </c>
      <c r="L118" s="65">
        <v>1</v>
      </c>
      <c r="M118" s="66"/>
      <c r="N118" s="57"/>
      <c r="O118" s="58"/>
      <c r="P118" s="77"/>
      <c r="Q118" s="66"/>
      <c r="R118" s="57"/>
      <c r="S118" s="58"/>
      <c r="T118" s="77"/>
      <c r="U118" s="120">
        <f>ROUND((ROUND((ROUND((ROUND((_15_同援日増２．５*_15・基礎２),0)*_15・２人),0)*(1+_15・盲ろう)),0)*(1+_15・区３)),0)</f>
        <v>426</v>
      </c>
      <c r="V118" s="69"/>
    </row>
    <row r="119" spans="1:22" ht="16.5" customHeight="1" x14ac:dyDescent="0.3">
      <c r="A119" s="2">
        <v>15</v>
      </c>
      <c r="B119" s="2" t="s">
        <v>2099</v>
      </c>
      <c r="C119" s="60" t="s">
        <v>12794</v>
      </c>
      <c r="D119" s="1"/>
      <c r="E119" s="68"/>
      <c r="F119" s="70"/>
      <c r="G119" s="61"/>
      <c r="H119" s="62"/>
      <c r="I119" s="63"/>
      <c r="J119" s="85"/>
      <c r="K119" s="64"/>
      <c r="L119" s="65"/>
      <c r="M119" s="61"/>
      <c r="N119" s="62"/>
      <c r="O119" s="63"/>
      <c r="P119" s="75"/>
      <c r="Q119" s="61"/>
      <c r="R119" s="62"/>
      <c r="S119" s="63"/>
      <c r="T119" s="75"/>
      <c r="U119" s="120">
        <f>ROUND((_15_同援日増２．５*(1+_15・区４)),0)</f>
        <v>441</v>
      </c>
      <c r="V119" s="69"/>
    </row>
    <row r="120" spans="1:22" ht="16.5" customHeight="1" x14ac:dyDescent="0.3">
      <c r="A120" s="2">
        <v>15</v>
      </c>
      <c r="B120" s="2" t="s">
        <v>2100</v>
      </c>
      <c r="C120" s="60" t="s">
        <v>12793</v>
      </c>
      <c r="D120" s="1"/>
      <c r="E120" s="68"/>
      <c r="F120" s="70"/>
      <c r="G120" s="66"/>
      <c r="H120" s="57"/>
      <c r="I120" s="58"/>
      <c r="J120" s="83" t="s">
        <v>5895</v>
      </c>
      <c r="K120" s="64" t="s">
        <v>1</v>
      </c>
      <c r="L120" s="65">
        <v>1</v>
      </c>
      <c r="M120" s="67"/>
      <c r="N120" s="68"/>
      <c r="O120" s="76"/>
      <c r="P120" s="70"/>
      <c r="Q120" s="67"/>
      <c r="R120" s="68"/>
      <c r="S120" s="76"/>
      <c r="T120" s="70"/>
      <c r="U120" s="120">
        <f>ROUND((ROUND((_15_同援日増２．５*_15・２人),0)*(1+_15・区４)),0)</f>
        <v>441</v>
      </c>
      <c r="V120" s="69"/>
    </row>
    <row r="121" spans="1:22" ht="16.5" customHeight="1" x14ac:dyDescent="0.3">
      <c r="A121" s="2">
        <v>15</v>
      </c>
      <c r="B121" s="2" t="s">
        <v>2101</v>
      </c>
      <c r="C121" s="60" t="s">
        <v>12792</v>
      </c>
      <c r="D121" s="1"/>
      <c r="E121" s="68"/>
      <c r="F121" s="70"/>
      <c r="G121" s="74" t="s">
        <v>5898</v>
      </c>
      <c r="H121" s="62"/>
      <c r="I121" s="63"/>
      <c r="J121" s="85"/>
      <c r="K121" s="64"/>
      <c r="L121" s="65"/>
      <c r="M121" s="67"/>
      <c r="N121" s="68"/>
      <c r="O121" s="76"/>
      <c r="P121" s="70"/>
      <c r="Q121" s="1" t="s">
        <v>17935</v>
      </c>
      <c r="R121" s="68"/>
      <c r="S121" s="76"/>
      <c r="T121" s="70"/>
      <c r="U121" s="120">
        <f>ROUND((ROUND((_15_同援日増２．５*_15・基礎２),0)*(1+_15・区４)),0)</f>
        <v>398</v>
      </c>
      <c r="V121" s="69"/>
    </row>
    <row r="122" spans="1:22" ht="16.5" customHeight="1" x14ac:dyDescent="0.3">
      <c r="A122" s="2">
        <v>15</v>
      </c>
      <c r="B122" s="2" t="s">
        <v>2102</v>
      </c>
      <c r="C122" s="60" t="s">
        <v>12791</v>
      </c>
      <c r="D122" s="1"/>
      <c r="E122" s="68"/>
      <c r="F122" s="70"/>
      <c r="G122" s="106" t="s">
        <v>17420</v>
      </c>
      <c r="H122" s="57" t="s">
        <v>1</v>
      </c>
      <c r="I122" s="58">
        <v>0.9</v>
      </c>
      <c r="J122" s="83" t="s">
        <v>5895</v>
      </c>
      <c r="K122" s="64" t="s">
        <v>1</v>
      </c>
      <c r="L122" s="65">
        <v>1</v>
      </c>
      <c r="M122" s="66"/>
      <c r="N122" s="57"/>
      <c r="O122" s="58"/>
      <c r="P122" s="77"/>
      <c r="Q122" s="1" t="s">
        <v>17934</v>
      </c>
      <c r="R122" s="68"/>
      <c r="S122" s="76"/>
      <c r="T122" s="70"/>
      <c r="U122" s="120">
        <f>ROUND((ROUND((ROUND((_15_同援日増２．５*_15・基礎２),0)*_15・２人),0)*(1+_15・区４)),0)</f>
        <v>398</v>
      </c>
      <c r="V122" s="69"/>
    </row>
    <row r="123" spans="1:22" ht="16.5" customHeight="1" x14ac:dyDescent="0.3">
      <c r="A123" s="2">
        <v>15</v>
      </c>
      <c r="B123" s="2" t="s">
        <v>2103</v>
      </c>
      <c r="C123" s="60" t="s">
        <v>12790</v>
      </c>
      <c r="D123" s="1"/>
      <c r="E123" s="68"/>
      <c r="F123" s="70"/>
      <c r="G123" s="61"/>
      <c r="H123" s="62"/>
      <c r="I123" s="63"/>
      <c r="J123" s="85"/>
      <c r="K123" s="64"/>
      <c r="L123" s="65"/>
      <c r="M123" s="74" t="s">
        <v>8085</v>
      </c>
      <c r="N123" s="62"/>
      <c r="O123" s="63"/>
      <c r="P123" s="75"/>
      <c r="Q123" s="67"/>
      <c r="R123" s="68" t="s">
        <v>1</v>
      </c>
      <c r="S123" s="76">
        <v>0.4</v>
      </c>
      <c r="T123" s="70" t="s">
        <v>422</v>
      </c>
      <c r="U123" s="120">
        <f>ROUND((ROUND((_15_同援日増２．５*(1+_15・盲ろう)),0)*(1+_15・区４)),0)</f>
        <v>552</v>
      </c>
      <c r="V123" s="69"/>
    </row>
    <row r="124" spans="1:22" ht="16.5" customHeight="1" x14ac:dyDescent="0.3">
      <c r="A124" s="2">
        <v>15</v>
      </c>
      <c r="B124" s="2" t="s">
        <v>2104</v>
      </c>
      <c r="C124" s="60" t="s">
        <v>12789</v>
      </c>
      <c r="D124" s="1"/>
      <c r="E124" s="68"/>
      <c r="F124" s="70"/>
      <c r="G124" s="66"/>
      <c r="H124" s="57"/>
      <c r="I124" s="58"/>
      <c r="J124" s="83" t="s">
        <v>5895</v>
      </c>
      <c r="K124" s="64" t="s">
        <v>1</v>
      </c>
      <c r="L124" s="65">
        <v>1</v>
      </c>
      <c r="M124" s="94" t="s">
        <v>8083</v>
      </c>
      <c r="N124" s="68"/>
      <c r="O124" s="76"/>
      <c r="P124" s="70"/>
      <c r="Q124" s="67"/>
      <c r="R124" s="68"/>
      <c r="S124" s="76"/>
      <c r="T124" s="70"/>
      <c r="U124" s="120">
        <f>ROUND((ROUND((ROUND((_15_同援日増２．５*_15・２人),0)*(1+_15・盲ろう)),0)*(1+_15・区４)),0)</f>
        <v>552</v>
      </c>
      <c r="V124" s="69"/>
    </row>
    <row r="125" spans="1:22" ht="16.5" customHeight="1" x14ac:dyDescent="0.3">
      <c r="A125" s="2">
        <v>15</v>
      </c>
      <c r="B125" s="2" t="s">
        <v>2105</v>
      </c>
      <c r="C125" s="60" t="s">
        <v>12788</v>
      </c>
      <c r="D125" s="1"/>
      <c r="E125" s="68"/>
      <c r="F125" s="70"/>
      <c r="G125" s="74" t="s">
        <v>5898</v>
      </c>
      <c r="H125" s="62"/>
      <c r="I125" s="63"/>
      <c r="J125" s="85"/>
      <c r="K125" s="64"/>
      <c r="L125" s="65"/>
      <c r="M125" s="67"/>
      <c r="N125" s="68" t="s">
        <v>1</v>
      </c>
      <c r="O125" s="76">
        <v>0.25</v>
      </c>
      <c r="P125" s="70" t="s">
        <v>422</v>
      </c>
      <c r="Q125" s="67"/>
      <c r="R125" s="68"/>
      <c r="S125" s="76"/>
      <c r="T125" s="70"/>
      <c r="U125" s="120">
        <f>ROUND((ROUND((ROUND((_15_同援日増２．５*_15・基礎２),0)*(1+_15・盲ろう)),0)*(1+_15・区４)),0)</f>
        <v>497</v>
      </c>
      <c r="V125" s="69"/>
    </row>
    <row r="126" spans="1:22" ht="16.5" customHeight="1" x14ac:dyDescent="0.3">
      <c r="A126" s="2">
        <v>15</v>
      </c>
      <c r="B126" s="2" t="s">
        <v>2106</v>
      </c>
      <c r="C126" s="60" t="s">
        <v>12787</v>
      </c>
      <c r="D126" s="81"/>
      <c r="E126" s="57"/>
      <c r="F126" s="77"/>
      <c r="G126" s="106" t="s">
        <v>17420</v>
      </c>
      <c r="H126" s="57" t="s">
        <v>1</v>
      </c>
      <c r="I126" s="58">
        <v>0.9</v>
      </c>
      <c r="J126" s="83" t="s">
        <v>5895</v>
      </c>
      <c r="K126" s="64" t="s">
        <v>1</v>
      </c>
      <c r="L126" s="65">
        <v>1</v>
      </c>
      <c r="M126" s="66"/>
      <c r="N126" s="57"/>
      <c r="O126" s="58"/>
      <c r="P126" s="77"/>
      <c r="Q126" s="66"/>
      <c r="R126" s="57"/>
      <c r="S126" s="58"/>
      <c r="T126" s="77"/>
      <c r="U126" s="120">
        <f>ROUND((ROUND((ROUND((ROUND((_15_同援日増２．５*_15・基礎２),0)*_15・２人),0)*(1+_15・盲ろう)),0)*(1+_15・区４)),0)</f>
        <v>497</v>
      </c>
      <c r="V126" s="69"/>
    </row>
    <row r="127" spans="1:22" ht="16.5" customHeight="1" x14ac:dyDescent="0.3">
      <c r="A127" s="2">
        <v>15</v>
      </c>
      <c r="B127" s="2" t="s">
        <v>2107</v>
      </c>
      <c r="C127" s="60" t="s">
        <v>12786</v>
      </c>
      <c r="D127" s="233" t="s">
        <v>16315</v>
      </c>
      <c r="E127" s="62"/>
      <c r="F127" s="75"/>
      <c r="G127" s="61"/>
      <c r="H127" s="62"/>
      <c r="I127" s="63"/>
      <c r="J127" s="85"/>
      <c r="K127" s="64"/>
      <c r="L127" s="65"/>
      <c r="M127" s="61"/>
      <c r="N127" s="62"/>
      <c r="O127" s="63"/>
      <c r="P127" s="75"/>
      <c r="Q127" s="61"/>
      <c r="R127" s="62"/>
      <c r="S127" s="63"/>
      <c r="T127" s="75"/>
      <c r="U127" s="120">
        <f>_15_同援日増３．０</f>
        <v>378</v>
      </c>
      <c r="V127" s="69"/>
    </row>
    <row r="128" spans="1:22" ht="16.5" customHeight="1" x14ac:dyDescent="0.3">
      <c r="A128" s="2">
        <v>15</v>
      </c>
      <c r="B128" s="2" t="s">
        <v>2108</v>
      </c>
      <c r="C128" s="60" t="s">
        <v>12785</v>
      </c>
      <c r="D128" s="1" t="s">
        <v>17770</v>
      </c>
      <c r="E128" s="68"/>
      <c r="F128" s="70"/>
      <c r="G128" s="66"/>
      <c r="H128" s="57"/>
      <c r="I128" s="58"/>
      <c r="J128" s="83" t="s">
        <v>5895</v>
      </c>
      <c r="K128" s="64" t="s">
        <v>1</v>
      </c>
      <c r="L128" s="65">
        <v>1</v>
      </c>
      <c r="M128" s="67"/>
      <c r="N128" s="68"/>
      <c r="O128" s="76"/>
      <c r="P128" s="70"/>
      <c r="Q128" s="67"/>
      <c r="R128" s="68"/>
      <c r="S128" s="76"/>
      <c r="T128" s="70"/>
      <c r="U128" s="120">
        <f>ROUND((_15_同援日増３．０*_15・２人),0)</f>
        <v>378</v>
      </c>
      <c r="V128" s="69"/>
    </row>
    <row r="129" spans="1:22" ht="16.5" customHeight="1" x14ac:dyDescent="0.3">
      <c r="A129" s="2">
        <v>15</v>
      </c>
      <c r="B129" s="2" t="s">
        <v>2109</v>
      </c>
      <c r="C129" s="60" t="s">
        <v>12784</v>
      </c>
      <c r="D129" s="1" t="s">
        <v>8694</v>
      </c>
      <c r="E129" s="68"/>
      <c r="F129" s="70"/>
      <c r="G129" s="74" t="s">
        <v>17747</v>
      </c>
      <c r="H129" s="62"/>
      <c r="I129" s="63"/>
      <c r="J129" s="85"/>
      <c r="K129" s="64"/>
      <c r="L129" s="65"/>
      <c r="M129" s="67"/>
      <c r="N129" s="68"/>
      <c r="O129" s="76"/>
      <c r="P129" s="70"/>
      <c r="Q129" s="67"/>
      <c r="R129" s="68"/>
      <c r="S129" s="76"/>
      <c r="T129" s="70"/>
      <c r="U129" s="120">
        <f>ROUND((_15_同援日増３．０*_15・基礎２),0)</f>
        <v>340</v>
      </c>
      <c r="V129" s="69"/>
    </row>
    <row r="130" spans="1:22" ht="16.5" customHeight="1" x14ac:dyDescent="0.3">
      <c r="A130" s="2">
        <v>15</v>
      </c>
      <c r="B130" s="2" t="s">
        <v>2110</v>
      </c>
      <c r="C130" s="60" t="s">
        <v>12783</v>
      </c>
      <c r="D130" s="1"/>
      <c r="E130" s="119">
        <v>378</v>
      </c>
      <c r="F130" s="70" t="s">
        <v>0</v>
      </c>
      <c r="G130" s="106" t="s">
        <v>5896</v>
      </c>
      <c r="H130" s="57" t="s">
        <v>1</v>
      </c>
      <c r="I130" s="58">
        <v>0.9</v>
      </c>
      <c r="J130" s="83" t="s">
        <v>5895</v>
      </c>
      <c r="K130" s="64" t="s">
        <v>1</v>
      </c>
      <c r="L130" s="65">
        <v>1</v>
      </c>
      <c r="M130" s="66"/>
      <c r="N130" s="57"/>
      <c r="O130" s="58"/>
      <c r="P130" s="77"/>
      <c r="Q130" s="67"/>
      <c r="R130" s="68"/>
      <c r="S130" s="76"/>
      <c r="T130" s="70"/>
      <c r="U130" s="120">
        <f>ROUND((ROUND((_15_同援日増３．０*_15・基礎２),0)*_15・２人),0)</f>
        <v>340</v>
      </c>
      <c r="V130" s="69"/>
    </row>
    <row r="131" spans="1:22" ht="16.5" customHeight="1" x14ac:dyDescent="0.3">
      <c r="A131" s="2">
        <v>15</v>
      </c>
      <c r="B131" s="2" t="s">
        <v>2111</v>
      </c>
      <c r="C131" s="60" t="s">
        <v>12782</v>
      </c>
      <c r="D131" s="1"/>
      <c r="E131" s="68"/>
      <c r="F131" s="70"/>
      <c r="G131" s="61"/>
      <c r="H131" s="62"/>
      <c r="I131" s="63"/>
      <c r="J131" s="85"/>
      <c r="K131" s="64"/>
      <c r="L131" s="65"/>
      <c r="M131" s="74" t="s">
        <v>8085</v>
      </c>
      <c r="N131" s="62"/>
      <c r="O131" s="63"/>
      <c r="P131" s="75"/>
      <c r="Q131" s="67"/>
      <c r="R131" s="68"/>
      <c r="S131" s="76"/>
      <c r="T131" s="70"/>
      <c r="U131" s="120">
        <f>ROUND((_15_同援日増３．０*(1+_15・盲ろう)),0)</f>
        <v>473</v>
      </c>
      <c r="V131" s="69"/>
    </row>
    <row r="132" spans="1:22" ht="16.5" customHeight="1" x14ac:dyDescent="0.3">
      <c r="A132" s="2">
        <v>15</v>
      </c>
      <c r="B132" s="2" t="s">
        <v>2112</v>
      </c>
      <c r="C132" s="60" t="s">
        <v>12781</v>
      </c>
      <c r="D132" s="1"/>
      <c r="E132" s="68"/>
      <c r="F132" s="70"/>
      <c r="G132" s="66"/>
      <c r="H132" s="57"/>
      <c r="I132" s="58"/>
      <c r="J132" s="83" t="s">
        <v>5895</v>
      </c>
      <c r="K132" s="64" t="s">
        <v>1</v>
      </c>
      <c r="L132" s="65">
        <v>1</v>
      </c>
      <c r="M132" s="94" t="s">
        <v>17932</v>
      </c>
      <c r="N132" s="68"/>
      <c r="O132" s="76"/>
      <c r="P132" s="70"/>
      <c r="Q132" s="67"/>
      <c r="R132" s="68"/>
      <c r="S132" s="76"/>
      <c r="T132" s="70"/>
      <c r="U132" s="120">
        <f>ROUND((ROUND((_15_同援日増３．０*_15・２人),0)*(1+_15・盲ろう)),0)</f>
        <v>473</v>
      </c>
      <c r="V132" s="69"/>
    </row>
    <row r="133" spans="1:22" ht="16.5" customHeight="1" x14ac:dyDescent="0.3">
      <c r="A133" s="2">
        <v>15</v>
      </c>
      <c r="B133" s="2" t="s">
        <v>2113</v>
      </c>
      <c r="C133" s="60" t="s">
        <v>12780</v>
      </c>
      <c r="D133" s="1"/>
      <c r="E133" s="68"/>
      <c r="F133" s="70"/>
      <c r="G133" s="74" t="s">
        <v>17747</v>
      </c>
      <c r="H133" s="62"/>
      <c r="I133" s="63"/>
      <c r="J133" s="85"/>
      <c r="K133" s="64"/>
      <c r="L133" s="65"/>
      <c r="M133" s="67"/>
      <c r="N133" s="68" t="s">
        <v>1</v>
      </c>
      <c r="O133" s="76">
        <v>0.25</v>
      </c>
      <c r="P133" s="70" t="s">
        <v>422</v>
      </c>
      <c r="Q133" s="67"/>
      <c r="R133" s="68"/>
      <c r="S133" s="76"/>
      <c r="T133" s="70"/>
      <c r="U133" s="120">
        <f>ROUND((ROUND((_15_同援日増３．０*_15・基礎２),0)*(1+_15・盲ろう)),0)</f>
        <v>425</v>
      </c>
      <c r="V133" s="69"/>
    </row>
    <row r="134" spans="1:22" ht="16.5" customHeight="1" x14ac:dyDescent="0.3">
      <c r="A134" s="2">
        <v>15</v>
      </c>
      <c r="B134" s="2" t="s">
        <v>2114</v>
      </c>
      <c r="C134" s="60" t="s">
        <v>12779</v>
      </c>
      <c r="D134" s="1"/>
      <c r="E134" s="68"/>
      <c r="F134" s="70"/>
      <c r="G134" s="106" t="s">
        <v>17420</v>
      </c>
      <c r="H134" s="57" t="s">
        <v>1</v>
      </c>
      <c r="I134" s="58">
        <v>0.9</v>
      </c>
      <c r="J134" s="83" t="s">
        <v>5895</v>
      </c>
      <c r="K134" s="64" t="s">
        <v>1</v>
      </c>
      <c r="L134" s="65">
        <v>1</v>
      </c>
      <c r="M134" s="66"/>
      <c r="N134" s="57"/>
      <c r="O134" s="58"/>
      <c r="P134" s="77"/>
      <c r="Q134" s="66"/>
      <c r="R134" s="57"/>
      <c r="S134" s="58"/>
      <c r="T134" s="77"/>
      <c r="U134" s="120">
        <f>ROUND((ROUND((ROUND((_15_同援日増３．０*_15・基礎２),0)*_15・２人),0)*(1+_15・盲ろう)),0)</f>
        <v>425</v>
      </c>
      <c r="V134" s="69"/>
    </row>
    <row r="135" spans="1:22" ht="16.5" customHeight="1" x14ac:dyDescent="0.3">
      <c r="A135" s="2">
        <v>15</v>
      </c>
      <c r="B135" s="2" t="s">
        <v>2115</v>
      </c>
      <c r="C135" s="60" t="s">
        <v>12778</v>
      </c>
      <c r="D135" s="1"/>
      <c r="E135" s="68"/>
      <c r="F135" s="70"/>
      <c r="G135" s="61"/>
      <c r="H135" s="62"/>
      <c r="I135" s="63"/>
      <c r="J135" s="85"/>
      <c r="K135" s="64"/>
      <c r="L135" s="65"/>
      <c r="M135" s="61"/>
      <c r="N135" s="62"/>
      <c r="O135" s="63"/>
      <c r="P135" s="75"/>
      <c r="Q135" s="61"/>
      <c r="R135" s="62"/>
      <c r="S135" s="63"/>
      <c r="T135" s="75"/>
      <c r="U135" s="120">
        <f>ROUND((_15_同援日増３．０*(1+_15・区３)),0)</f>
        <v>454</v>
      </c>
      <c r="V135" s="69"/>
    </row>
    <row r="136" spans="1:22" ht="16.5" customHeight="1" x14ac:dyDescent="0.3">
      <c r="A136" s="2">
        <v>15</v>
      </c>
      <c r="B136" s="2" t="s">
        <v>2116</v>
      </c>
      <c r="C136" s="60" t="s">
        <v>12777</v>
      </c>
      <c r="D136" s="1"/>
      <c r="E136" s="68"/>
      <c r="F136" s="70"/>
      <c r="G136" s="66"/>
      <c r="H136" s="57"/>
      <c r="I136" s="58"/>
      <c r="J136" s="83" t="s">
        <v>5895</v>
      </c>
      <c r="K136" s="64" t="s">
        <v>1</v>
      </c>
      <c r="L136" s="65">
        <v>1</v>
      </c>
      <c r="M136" s="67"/>
      <c r="N136" s="68"/>
      <c r="O136" s="76"/>
      <c r="P136" s="70"/>
      <c r="Q136" s="67"/>
      <c r="R136" s="68"/>
      <c r="S136" s="76"/>
      <c r="T136" s="70"/>
      <c r="U136" s="120">
        <f>ROUND((ROUND((_15_同援日増３．０*_15・２人),0)*(1+_15・区３)),0)</f>
        <v>454</v>
      </c>
      <c r="V136" s="69"/>
    </row>
    <row r="137" spans="1:22" ht="16.5" customHeight="1" x14ac:dyDescent="0.3">
      <c r="A137" s="2">
        <v>15</v>
      </c>
      <c r="B137" s="2" t="s">
        <v>2117</v>
      </c>
      <c r="C137" s="60" t="s">
        <v>12776</v>
      </c>
      <c r="D137" s="1"/>
      <c r="E137" s="68"/>
      <c r="F137" s="70"/>
      <c r="G137" s="74" t="s">
        <v>5898</v>
      </c>
      <c r="H137" s="62"/>
      <c r="I137" s="63"/>
      <c r="J137" s="85"/>
      <c r="K137" s="64"/>
      <c r="L137" s="65"/>
      <c r="M137" s="67"/>
      <c r="N137" s="68"/>
      <c r="O137" s="76"/>
      <c r="P137" s="70"/>
      <c r="Q137" s="1" t="s">
        <v>17936</v>
      </c>
      <c r="R137" s="68"/>
      <c r="S137" s="76"/>
      <c r="T137" s="70"/>
      <c r="U137" s="120">
        <f>ROUND((ROUND((_15_同援日増３．０*_15・基礎２),0)*(1+_15・区３)),0)</f>
        <v>408</v>
      </c>
      <c r="V137" s="69"/>
    </row>
    <row r="138" spans="1:22" ht="16.5" customHeight="1" x14ac:dyDescent="0.3">
      <c r="A138" s="2">
        <v>15</v>
      </c>
      <c r="B138" s="2" t="s">
        <v>2118</v>
      </c>
      <c r="C138" s="60" t="s">
        <v>12775</v>
      </c>
      <c r="D138" s="1"/>
      <c r="E138" s="68"/>
      <c r="F138" s="70"/>
      <c r="G138" s="106" t="s">
        <v>17420</v>
      </c>
      <c r="H138" s="57" t="s">
        <v>1</v>
      </c>
      <c r="I138" s="58">
        <v>0.9</v>
      </c>
      <c r="J138" s="83" t="s">
        <v>5895</v>
      </c>
      <c r="K138" s="64" t="s">
        <v>1</v>
      </c>
      <c r="L138" s="65">
        <v>1</v>
      </c>
      <c r="M138" s="66"/>
      <c r="N138" s="57"/>
      <c r="O138" s="58"/>
      <c r="P138" s="77"/>
      <c r="Q138" s="1" t="s">
        <v>17934</v>
      </c>
      <c r="R138" s="68"/>
      <c r="S138" s="76"/>
      <c r="T138" s="70"/>
      <c r="U138" s="120">
        <f>ROUND((ROUND((ROUND((_15_同援日増３．０*_15・基礎２),0)*_15・２人),0)*(1+_15・区３)),0)</f>
        <v>408</v>
      </c>
      <c r="V138" s="69"/>
    </row>
    <row r="139" spans="1:22" ht="16.5" customHeight="1" x14ac:dyDescent="0.3">
      <c r="A139" s="2">
        <v>15</v>
      </c>
      <c r="B139" s="2" t="s">
        <v>2119</v>
      </c>
      <c r="C139" s="60" t="s">
        <v>12774</v>
      </c>
      <c r="D139" s="1"/>
      <c r="E139" s="68"/>
      <c r="F139" s="70"/>
      <c r="G139" s="61"/>
      <c r="H139" s="62"/>
      <c r="I139" s="63"/>
      <c r="J139" s="85"/>
      <c r="K139" s="64"/>
      <c r="L139" s="65"/>
      <c r="M139" s="74" t="s">
        <v>17933</v>
      </c>
      <c r="N139" s="62"/>
      <c r="O139" s="63"/>
      <c r="P139" s="75"/>
      <c r="Q139" s="67"/>
      <c r="R139" s="68" t="s">
        <v>1</v>
      </c>
      <c r="S139" s="76">
        <v>0.2</v>
      </c>
      <c r="T139" s="70" t="s">
        <v>422</v>
      </c>
      <c r="U139" s="120">
        <f>ROUND((ROUND((_15_同援日増３．０*(1+_15・盲ろう)),0)*(1+_15・区３)),0)</f>
        <v>568</v>
      </c>
      <c r="V139" s="69"/>
    </row>
    <row r="140" spans="1:22" ht="16.5" customHeight="1" x14ac:dyDescent="0.3">
      <c r="A140" s="2">
        <v>15</v>
      </c>
      <c r="B140" s="2" t="s">
        <v>2120</v>
      </c>
      <c r="C140" s="60" t="s">
        <v>12773</v>
      </c>
      <c r="D140" s="1"/>
      <c r="E140" s="68"/>
      <c r="F140" s="70"/>
      <c r="G140" s="66"/>
      <c r="H140" s="57"/>
      <c r="I140" s="58"/>
      <c r="J140" s="83" t="s">
        <v>5895</v>
      </c>
      <c r="K140" s="64" t="s">
        <v>1</v>
      </c>
      <c r="L140" s="65">
        <v>1</v>
      </c>
      <c r="M140" s="94" t="s">
        <v>17932</v>
      </c>
      <c r="N140" s="68"/>
      <c r="O140" s="76"/>
      <c r="P140" s="70"/>
      <c r="Q140" s="67"/>
      <c r="R140" s="68"/>
      <c r="S140" s="76"/>
      <c r="T140" s="70"/>
      <c r="U140" s="120">
        <f>ROUND((ROUND((ROUND((_15_同援日増３．０*_15・２人),0)*(1+_15・盲ろう)),0)*(1+_15・区３)),0)</f>
        <v>568</v>
      </c>
      <c r="V140" s="69"/>
    </row>
    <row r="141" spans="1:22" ht="16.5" customHeight="1" x14ac:dyDescent="0.3">
      <c r="A141" s="2">
        <v>15</v>
      </c>
      <c r="B141" s="2" t="s">
        <v>2121</v>
      </c>
      <c r="C141" s="60" t="s">
        <v>12772</v>
      </c>
      <c r="D141" s="1"/>
      <c r="E141" s="68"/>
      <c r="F141" s="70"/>
      <c r="G141" s="74" t="s">
        <v>5898</v>
      </c>
      <c r="H141" s="62"/>
      <c r="I141" s="63"/>
      <c r="J141" s="85"/>
      <c r="K141" s="64"/>
      <c r="L141" s="65"/>
      <c r="M141" s="67"/>
      <c r="N141" s="68" t="s">
        <v>1</v>
      </c>
      <c r="O141" s="76">
        <v>0.25</v>
      </c>
      <c r="P141" s="70" t="s">
        <v>422</v>
      </c>
      <c r="Q141" s="67"/>
      <c r="R141" s="68"/>
      <c r="S141" s="76"/>
      <c r="T141" s="70"/>
      <c r="U141" s="120">
        <f>ROUND((ROUND((ROUND((_15_同援日増３．０*_15・基礎２),0)*(1+_15・盲ろう)),0)*(1+_15・区３)),0)</f>
        <v>510</v>
      </c>
      <c r="V141" s="69"/>
    </row>
    <row r="142" spans="1:22" ht="16.5" customHeight="1" x14ac:dyDescent="0.3">
      <c r="A142" s="2">
        <v>15</v>
      </c>
      <c r="B142" s="2" t="s">
        <v>2122</v>
      </c>
      <c r="C142" s="60" t="s">
        <v>12771</v>
      </c>
      <c r="D142" s="1"/>
      <c r="E142" s="68"/>
      <c r="F142" s="70"/>
      <c r="G142" s="106" t="s">
        <v>17420</v>
      </c>
      <c r="H142" s="57" t="s">
        <v>1</v>
      </c>
      <c r="I142" s="58">
        <v>0.9</v>
      </c>
      <c r="J142" s="83" t="s">
        <v>5895</v>
      </c>
      <c r="K142" s="64" t="s">
        <v>1</v>
      </c>
      <c r="L142" s="65">
        <v>1</v>
      </c>
      <c r="M142" s="66"/>
      <c r="N142" s="57"/>
      <c r="O142" s="58"/>
      <c r="P142" s="77"/>
      <c r="Q142" s="66"/>
      <c r="R142" s="57"/>
      <c r="S142" s="58"/>
      <c r="T142" s="77"/>
      <c r="U142" s="120">
        <f>ROUND((ROUND((ROUND((ROUND((_15_同援日増３．０*_15・基礎２),0)*_15・２人),0)*(1+_15・盲ろう)),0)*(1+_15・区３)),0)</f>
        <v>510</v>
      </c>
      <c r="V142" s="69"/>
    </row>
    <row r="143" spans="1:22" ht="16.5" customHeight="1" x14ac:dyDescent="0.3">
      <c r="A143" s="2">
        <v>15</v>
      </c>
      <c r="B143" s="2" t="s">
        <v>2123</v>
      </c>
      <c r="C143" s="60" t="s">
        <v>12770</v>
      </c>
      <c r="D143" s="1"/>
      <c r="E143" s="68"/>
      <c r="F143" s="70"/>
      <c r="G143" s="61"/>
      <c r="H143" s="62"/>
      <c r="I143" s="63"/>
      <c r="J143" s="85"/>
      <c r="K143" s="64"/>
      <c r="L143" s="65"/>
      <c r="M143" s="61"/>
      <c r="N143" s="62"/>
      <c r="O143" s="63"/>
      <c r="P143" s="75"/>
      <c r="Q143" s="61"/>
      <c r="R143" s="62"/>
      <c r="S143" s="63"/>
      <c r="T143" s="75"/>
      <c r="U143" s="120">
        <f>ROUND((_15_同援日増３．０*(1+_15・区４)),0)</f>
        <v>529</v>
      </c>
      <c r="V143" s="69"/>
    </row>
    <row r="144" spans="1:22" ht="16.5" customHeight="1" x14ac:dyDescent="0.3">
      <c r="A144" s="2">
        <v>15</v>
      </c>
      <c r="B144" s="2" t="s">
        <v>2124</v>
      </c>
      <c r="C144" s="60" t="s">
        <v>12769</v>
      </c>
      <c r="D144" s="1"/>
      <c r="E144" s="68"/>
      <c r="F144" s="70"/>
      <c r="G144" s="66"/>
      <c r="H144" s="57"/>
      <c r="I144" s="58"/>
      <c r="J144" s="83" t="s">
        <v>5895</v>
      </c>
      <c r="K144" s="64" t="s">
        <v>1</v>
      </c>
      <c r="L144" s="65">
        <v>1</v>
      </c>
      <c r="M144" s="67"/>
      <c r="N144" s="68"/>
      <c r="O144" s="76"/>
      <c r="P144" s="70"/>
      <c r="Q144" s="67"/>
      <c r="R144" s="68"/>
      <c r="S144" s="76"/>
      <c r="T144" s="70"/>
      <c r="U144" s="120">
        <f>ROUND((ROUND((_15_同援日増３．０*_15・２人),0)*(1+_15・区４)),0)</f>
        <v>529</v>
      </c>
      <c r="V144" s="69"/>
    </row>
    <row r="145" spans="1:22" ht="16.5" customHeight="1" x14ac:dyDescent="0.3">
      <c r="A145" s="2">
        <v>15</v>
      </c>
      <c r="B145" s="2" t="s">
        <v>2125</v>
      </c>
      <c r="C145" s="60" t="s">
        <v>12768</v>
      </c>
      <c r="D145" s="1"/>
      <c r="E145" s="68"/>
      <c r="F145" s="70"/>
      <c r="G145" s="74" t="s">
        <v>17747</v>
      </c>
      <c r="H145" s="62"/>
      <c r="I145" s="63"/>
      <c r="J145" s="85"/>
      <c r="K145" s="64"/>
      <c r="L145" s="65"/>
      <c r="M145" s="67"/>
      <c r="N145" s="68"/>
      <c r="O145" s="76"/>
      <c r="P145" s="70"/>
      <c r="Q145" s="1" t="s">
        <v>8089</v>
      </c>
      <c r="R145" s="68"/>
      <c r="S145" s="76"/>
      <c r="T145" s="70"/>
      <c r="U145" s="120">
        <f>ROUND((ROUND((_15_同援日増３．０*_15・基礎２),0)*(1+_15・区４)),0)</f>
        <v>476</v>
      </c>
      <c r="V145" s="69"/>
    </row>
    <row r="146" spans="1:22" ht="16.5" customHeight="1" x14ac:dyDescent="0.3">
      <c r="A146" s="2">
        <v>15</v>
      </c>
      <c r="B146" s="2" t="s">
        <v>2126</v>
      </c>
      <c r="C146" s="60" t="s">
        <v>12767</v>
      </c>
      <c r="D146" s="1"/>
      <c r="E146" s="68"/>
      <c r="F146" s="70"/>
      <c r="G146" s="106" t="s">
        <v>5896</v>
      </c>
      <c r="H146" s="57" t="s">
        <v>1</v>
      </c>
      <c r="I146" s="58">
        <v>0.9</v>
      </c>
      <c r="J146" s="83" t="s">
        <v>5895</v>
      </c>
      <c r="K146" s="64" t="s">
        <v>1</v>
      </c>
      <c r="L146" s="65">
        <v>1</v>
      </c>
      <c r="M146" s="66"/>
      <c r="N146" s="57"/>
      <c r="O146" s="58"/>
      <c r="P146" s="77"/>
      <c r="Q146" s="1" t="s">
        <v>17934</v>
      </c>
      <c r="R146" s="68"/>
      <c r="S146" s="76"/>
      <c r="T146" s="70"/>
      <c r="U146" s="120">
        <f>ROUND((ROUND((ROUND((_15_同援日増３．０*_15・基礎２),0)*_15・２人),0)*(1+_15・区４)),0)</f>
        <v>476</v>
      </c>
      <c r="V146" s="69"/>
    </row>
    <row r="147" spans="1:22" ht="16.5" customHeight="1" x14ac:dyDescent="0.3">
      <c r="A147" s="2">
        <v>15</v>
      </c>
      <c r="B147" s="2" t="s">
        <v>2127</v>
      </c>
      <c r="C147" s="60" t="s">
        <v>12766</v>
      </c>
      <c r="D147" s="1"/>
      <c r="E147" s="68"/>
      <c r="F147" s="70"/>
      <c r="G147" s="61"/>
      <c r="H147" s="62"/>
      <c r="I147" s="63"/>
      <c r="J147" s="85"/>
      <c r="K147" s="64"/>
      <c r="L147" s="65"/>
      <c r="M147" s="74" t="s">
        <v>17933</v>
      </c>
      <c r="N147" s="62"/>
      <c r="O147" s="63"/>
      <c r="P147" s="75"/>
      <c r="Q147" s="67"/>
      <c r="R147" s="68" t="s">
        <v>1</v>
      </c>
      <c r="S147" s="76">
        <v>0.4</v>
      </c>
      <c r="T147" s="70" t="s">
        <v>422</v>
      </c>
      <c r="U147" s="120">
        <f>ROUND((ROUND((_15_同援日増３．０*(1+_15・盲ろう)),0)*(1+_15・区４)),0)</f>
        <v>662</v>
      </c>
      <c r="V147" s="69"/>
    </row>
    <row r="148" spans="1:22" ht="16.5" customHeight="1" x14ac:dyDescent="0.3">
      <c r="A148" s="2">
        <v>15</v>
      </c>
      <c r="B148" s="2" t="s">
        <v>2128</v>
      </c>
      <c r="C148" s="60" t="s">
        <v>12765</v>
      </c>
      <c r="D148" s="1"/>
      <c r="E148" s="68"/>
      <c r="F148" s="70"/>
      <c r="G148" s="66"/>
      <c r="H148" s="57"/>
      <c r="I148" s="58"/>
      <c r="J148" s="83" t="s">
        <v>5895</v>
      </c>
      <c r="K148" s="64" t="s">
        <v>1</v>
      </c>
      <c r="L148" s="65">
        <v>1</v>
      </c>
      <c r="M148" s="94" t="s">
        <v>8083</v>
      </c>
      <c r="N148" s="68"/>
      <c r="O148" s="76"/>
      <c r="P148" s="70"/>
      <c r="Q148" s="67"/>
      <c r="R148" s="68"/>
      <c r="S148" s="76"/>
      <c r="T148" s="70"/>
      <c r="U148" s="120">
        <f>ROUND((ROUND((ROUND((_15_同援日増３．０*_15・２人),0)*(1+_15・盲ろう)),0)*(1+_15・区４)),0)</f>
        <v>662</v>
      </c>
      <c r="V148" s="69"/>
    </row>
    <row r="149" spans="1:22" ht="16.5" customHeight="1" x14ac:dyDescent="0.3">
      <c r="A149" s="2">
        <v>15</v>
      </c>
      <c r="B149" s="2" t="s">
        <v>2129</v>
      </c>
      <c r="C149" s="60" t="s">
        <v>12764</v>
      </c>
      <c r="D149" s="1"/>
      <c r="E149" s="68"/>
      <c r="F149" s="70"/>
      <c r="G149" s="74" t="s">
        <v>17747</v>
      </c>
      <c r="H149" s="62"/>
      <c r="I149" s="63"/>
      <c r="J149" s="85"/>
      <c r="K149" s="64"/>
      <c r="L149" s="65"/>
      <c r="M149" s="67"/>
      <c r="N149" s="68" t="s">
        <v>1</v>
      </c>
      <c r="O149" s="76">
        <v>0.25</v>
      </c>
      <c r="P149" s="70" t="s">
        <v>422</v>
      </c>
      <c r="Q149" s="67"/>
      <c r="R149" s="68"/>
      <c r="S149" s="76"/>
      <c r="T149" s="70"/>
      <c r="U149" s="120">
        <f>ROUND((ROUND((ROUND((_15_同援日増３．０*_15・基礎２),0)*(1+_15・盲ろう)),0)*(1+_15・区４)),0)</f>
        <v>595</v>
      </c>
      <c r="V149" s="69"/>
    </row>
    <row r="150" spans="1:22" ht="16.5" customHeight="1" x14ac:dyDescent="0.3">
      <c r="A150" s="2">
        <v>15</v>
      </c>
      <c r="B150" s="2" t="s">
        <v>2130</v>
      </c>
      <c r="C150" s="60" t="s">
        <v>12763</v>
      </c>
      <c r="D150" s="81"/>
      <c r="E150" s="57"/>
      <c r="F150" s="77"/>
      <c r="G150" s="106" t="s">
        <v>17420</v>
      </c>
      <c r="H150" s="57" t="s">
        <v>1</v>
      </c>
      <c r="I150" s="58">
        <v>0.9</v>
      </c>
      <c r="J150" s="83" t="s">
        <v>5895</v>
      </c>
      <c r="K150" s="64" t="s">
        <v>1</v>
      </c>
      <c r="L150" s="65">
        <v>1</v>
      </c>
      <c r="M150" s="66"/>
      <c r="N150" s="57"/>
      <c r="O150" s="58"/>
      <c r="P150" s="77"/>
      <c r="Q150" s="66"/>
      <c r="R150" s="57"/>
      <c r="S150" s="58"/>
      <c r="T150" s="77"/>
      <c r="U150" s="120">
        <f>ROUND((ROUND((ROUND((ROUND((_15_同援日増３．０*_15・基礎２),0)*_15・２人),0)*(1+_15・盲ろう)),0)*(1+_15・区４)),0)</f>
        <v>595</v>
      </c>
      <c r="V150" s="69"/>
    </row>
    <row r="151" spans="1:22" ht="16.5" customHeight="1" x14ac:dyDescent="0.3">
      <c r="A151" s="2">
        <v>15</v>
      </c>
      <c r="B151" s="2" t="s">
        <v>2131</v>
      </c>
      <c r="C151" s="60" t="s">
        <v>12762</v>
      </c>
      <c r="D151" s="233" t="s">
        <v>18180</v>
      </c>
      <c r="E151" s="62"/>
      <c r="F151" s="75"/>
      <c r="G151" s="61"/>
      <c r="H151" s="62"/>
      <c r="I151" s="63"/>
      <c r="J151" s="85"/>
      <c r="K151" s="64"/>
      <c r="L151" s="65"/>
      <c r="M151" s="61"/>
      <c r="N151" s="62"/>
      <c r="O151" s="63"/>
      <c r="P151" s="75"/>
      <c r="Q151" s="61"/>
      <c r="R151" s="62"/>
      <c r="S151" s="63"/>
      <c r="T151" s="75"/>
      <c r="U151" s="120">
        <f>_15_同援日増３．５</f>
        <v>441</v>
      </c>
      <c r="V151" s="69"/>
    </row>
    <row r="152" spans="1:22" ht="16.5" customHeight="1" x14ac:dyDescent="0.3">
      <c r="A152" s="2">
        <v>15</v>
      </c>
      <c r="B152" s="2" t="s">
        <v>2132</v>
      </c>
      <c r="C152" s="60" t="s">
        <v>12761</v>
      </c>
      <c r="D152" s="1" t="s">
        <v>5966</v>
      </c>
      <c r="E152" s="68"/>
      <c r="F152" s="70"/>
      <c r="G152" s="66"/>
      <c r="H152" s="57"/>
      <c r="I152" s="58"/>
      <c r="J152" s="83" t="s">
        <v>5895</v>
      </c>
      <c r="K152" s="64" t="s">
        <v>1</v>
      </c>
      <c r="L152" s="65">
        <v>1</v>
      </c>
      <c r="M152" s="67"/>
      <c r="N152" s="68"/>
      <c r="O152" s="76"/>
      <c r="P152" s="70"/>
      <c r="Q152" s="67"/>
      <c r="R152" s="68"/>
      <c r="S152" s="76"/>
      <c r="T152" s="70"/>
      <c r="U152" s="120">
        <f>ROUND((_15_同援日増３．５*_15・２人),0)</f>
        <v>441</v>
      </c>
      <c r="V152" s="69"/>
    </row>
    <row r="153" spans="1:22" ht="16.5" customHeight="1" x14ac:dyDescent="0.3">
      <c r="A153" s="2">
        <v>15</v>
      </c>
      <c r="B153" s="2" t="s">
        <v>2133</v>
      </c>
      <c r="C153" s="60" t="s">
        <v>12760</v>
      </c>
      <c r="D153" s="1" t="s">
        <v>8450</v>
      </c>
      <c r="E153" s="68"/>
      <c r="F153" s="70"/>
      <c r="G153" s="74" t="s">
        <v>5898</v>
      </c>
      <c r="H153" s="62"/>
      <c r="I153" s="63"/>
      <c r="J153" s="85"/>
      <c r="K153" s="64"/>
      <c r="L153" s="65"/>
      <c r="M153" s="67"/>
      <c r="N153" s="68"/>
      <c r="O153" s="76"/>
      <c r="P153" s="70"/>
      <c r="Q153" s="67"/>
      <c r="R153" s="68"/>
      <c r="S153" s="76"/>
      <c r="T153" s="70"/>
      <c r="U153" s="120">
        <f>ROUND((_15_同援日増３．５*_15・基礎２),0)</f>
        <v>397</v>
      </c>
      <c r="V153" s="69"/>
    </row>
    <row r="154" spans="1:22" ht="16.5" customHeight="1" x14ac:dyDescent="0.3">
      <c r="A154" s="2">
        <v>15</v>
      </c>
      <c r="B154" s="2" t="s">
        <v>2134</v>
      </c>
      <c r="C154" s="60" t="s">
        <v>12759</v>
      </c>
      <c r="D154" s="1"/>
      <c r="E154" s="119">
        <v>441</v>
      </c>
      <c r="F154" s="70" t="s">
        <v>0</v>
      </c>
      <c r="G154" s="106" t="s">
        <v>17420</v>
      </c>
      <c r="H154" s="57" t="s">
        <v>1</v>
      </c>
      <c r="I154" s="58">
        <v>0.9</v>
      </c>
      <c r="J154" s="83" t="s">
        <v>5895</v>
      </c>
      <c r="K154" s="64" t="s">
        <v>1</v>
      </c>
      <c r="L154" s="65">
        <v>1</v>
      </c>
      <c r="M154" s="66"/>
      <c r="N154" s="57"/>
      <c r="O154" s="58"/>
      <c r="P154" s="77"/>
      <c r="Q154" s="67"/>
      <c r="R154" s="68"/>
      <c r="S154" s="76"/>
      <c r="T154" s="70"/>
      <c r="U154" s="120">
        <f>ROUND((ROUND((_15_同援日増３．５*_15・基礎２),0)*_15・２人),0)</f>
        <v>397</v>
      </c>
      <c r="V154" s="69"/>
    </row>
    <row r="155" spans="1:22" ht="16.5" customHeight="1" x14ac:dyDescent="0.3">
      <c r="A155" s="2">
        <v>15</v>
      </c>
      <c r="B155" s="2" t="s">
        <v>2135</v>
      </c>
      <c r="C155" s="60" t="s">
        <v>12758</v>
      </c>
      <c r="D155" s="1"/>
      <c r="E155" s="68"/>
      <c r="F155" s="70"/>
      <c r="G155" s="61"/>
      <c r="H155" s="62"/>
      <c r="I155" s="63"/>
      <c r="J155" s="85"/>
      <c r="K155" s="64"/>
      <c r="L155" s="65"/>
      <c r="M155" s="74" t="s">
        <v>17933</v>
      </c>
      <c r="N155" s="62"/>
      <c r="O155" s="63"/>
      <c r="P155" s="75"/>
      <c r="Q155" s="67"/>
      <c r="R155" s="68"/>
      <c r="S155" s="76"/>
      <c r="T155" s="70"/>
      <c r="U155" s="120">
        <f>ROUND((_15_同援日増３．５*(1+_15・盲ろう)),0)</f>
        <v>551</v>
      </c>
      <c r="V155" s="69"/>
    </row>
    <row r="156" spans="1:22" ht="16.5" customHeight="1" x14ac:dyDescent="0.3">
      <c r="A156" s="2">
        <v>15</v>
      </c>
      <c r="B156" s="2" t="s">
        <v>2136</v>
      </c>
      <c r="C156" s="60" t="s">
        <v>12757</v>
      </c>
      <c r="D156" s="1"/>
      <c r="E156" s="68"/>
      <c r="F156" s="70"/>
      <c r="G156" s="66"/>
      <c r="H156" s="57"/>
      <c r="I156" s="58"/>
      <c r="J156" s="83" t="s">
        <v>5895</v>
      </c>
      <c r="K156" s="64" t="s">
        <v>1</v>
      </c>
      <c r="L156" s="65">
        <v>1</v>
      </c>
      <c r="M156" s="94" t="s">
        <v>17932</v>
      </c>
      <c r="N156" s="68"/>
      <c r="O156" s="76"/>
      <c r="P156" s="70"/>
      <c r="Q156" s="67"/>
      <c r="R156" s="68"/>
      <c r="S156" s="76"/>
      <c r="T156" s="70"/>
      <c r="U156" s="120">
        <f>ROUND((ROUND((_15_同援日増３．５*_15・２人),0)*(1+_15・盲ろう)),0)</f>
        <v>551</v>
      </c>
      <c r="V156" s="69"/>
    </row>
    <row r="157" spans="1:22" ht="16.5" customHeight="1" x14ac:dyDescent="0.3">
      <c r="A157" s="2">
        <v>15</v>
      </c>
      <c r="B157" s="2" t="s">
        <v>2137</v>
      </c>
      <c r="C157" s="60" t="s">
        <v>12756</v>
      </c>
      <c r="D157" s="1"/>
      <c r="E157" s="68"/>
      <c r="F157" s="70"/>
      <c r="G157" s="74" t="s">
        <v>17747</v>
      </c>
      <c r="H157" s="62"/>
      <c r="I157" s="63"/>
      <c r="J157" s="85"/>
      <c r="K157" s="64"/>
      <c r="L157" s="65"/>
      <c r="M157" s="67"/>
      <c r="N157" s="68" t="s">
        <v>1</v>
      </c>
      <c r="O157" s="76">
        <v>0.25</v>
      </c>
      <c r="P157" s="70" t="s">
        <v>422</v>
      </c>
      <c r="Q157" s="67"/>
      <c r="R157" s="68"/>
      <c r="S157" s="76"/>
      <c r="T157" s="70"/>
      <c r="U157" s="120">
        <f>ROUND((ROUND((_15_同援日増３．５*_15・基礎２),0)*(1+_15・盲ろう)),0)</f>
        <v>496</v>
      </c>
      <c r="V157" s="69"/>
    </row>
    <row r="158" spans="1:22" ht="16.5" customHeight="1" x14ac:dyDescent="0.3">
      <c r="A158" s="2">
        <v>15</v>
      </c>
      <c r="B158" s="2" t="s">
        <v>2138</v>
      </c>
      <c r="C158" s="60" t="s">
        <v>12755</v>
      </c>
      <c r="D158" s="1"/>
      <c r="E158" s="68"/>
      <c r="F158" s="70"/>
      <c r="G158" s="106" t="s">
        <v>17420</v>
      </c>
      <c r="H158" s="57" t="s">
        <v>1</v>
      </c>
      <c r="I158" s="58">
        <v>0.9</v>
      </c>
      <c r="J158" s="83" t="s">
        <v>5895</v>
      </c>
      <c r="K158" s="64" t="s">
        <v>1</v>
      </c>
      <c r="L158" s="65">
        <v>1</v>
      </c>
      <c r="M158" s="66"/>
      <c r="N158" s="57"/>
      <c r="O158" s="58"/>
      <c r="P158" s="77"/>
      <c r="Q158" s="66"/>
      <c r="R158" s="57"/>
      <c r="S158" s="58"/>
      <c r="T158" s="77"/>
      <c r="U158" s="120">
        <f>ROUND((ROUND((ROUND((_15_同援日増３．５*_15・基礎２),0)*_15・２人),0)*(1+_15・盲ろう)),0)</f>
        <v>496</v>
      </c>
      <c r="V158" s="69"/>
    </row>
    <row r="159" spans="1:22" ht="16.5" customHeight="1" x14ac:dyDescent="0.3">
      <c r="A159" s="2">
        <v>15</v>
      </c>
      <c r="B159" s="2" t="s">
        <v>2139</v>
      </c>
      <c r="C159" s="60" t="s">
        <v>12754</v>
      </c>
      <c r="D159" s="1"/>
      <c r="E159" s="68"/>
      <c r="F159" s="70"/>
      <c r="G159" s="61"/>
      <c r="H159" s="62"/>
      <c r="I159" s="63"/>
      <c r="J159" s="85"/>
      <c r="K159" s="64"/>
      <c r="L159" s="65"/>
      <c r="M159" s="61"/>
      <c r="N159" s="62"/>
      <c r="O159" s="63"/>
      <c r="P159" s="75"/>
      <c r="Q159" s="61"/>
      <c r="R159" s="62"/>
      <c r="S159" s="63"/>
      <c r="T159" s="75"/>
      <c r="U159" s="120">
        <f>ROUND((_15_同援日増３．５*(1+_15・区３)),0)</f>
        <v>529</v>
      </c>
      <c r="V159" s="69"/>
    </row>
    <row r="160" spans="1:22" ht="16.5" customHeight="1" x14ac:dyDescent="0.3">
      <c r="A160" s="2">
        <v>15</v>
      </c>
      <c r="B160" s="2" t="s">
        <v>2140</v>
      </c>
      <c r="C160" s="60" t="s">
        <v>12753</v>
      </c>
      <c r="D160" s="1"/>
      <c r="E160" s="68"/>
      <c r="F160" s="70"/>
      <c r="G160" s="66"/>
      <c r="H160" s="57"/>
      <c r="I160" s="58"/>
      <c r="J160" s="83" t="s">
        <v>5895</v>
      </c>
      <c r="K160" s="64" t="s">
        <v>1</v>
      </c>
      <c r="L160" s="65">
        <v>1</v>
      </c>
      <c r="M160" s="67"/>
      <c r="N160" s="68"/>
      <c r="O160" s="76"/>
      <c r="P160" s="70"/>
      <c r="Q160" s="67"/>
      <c r="R160" s="68"/>
      <c r="S160" s="76"/>
      <c r="T160" s="70"/>
      <c r="U160" s="120">
        <f>ROUND((ROUND((_15_同援日増３．５*_15・２人),0)*(1+_15・区３)),0)</f>
        <v>529</v>
      </c>
      <c r="V160" s="69"/>
    </row>
    <row r="161" spans="1:22" ht="16.5" customHeight="1" x14ac:dyDescent="0.3">
      <c r="A161" s="2">
        <v>15</v>
      </c>
      <c r="B161" s="2" t="s">
        <v>2141</v>
      </c>
      <c r="C161" s="60" t="s">
        <v>12752</v>
      </c>
      <c r="D161" s="1"/>
      <c r="E161" s="68"/>
      <c r="F161" s="70"/>
      <c r="G161" s="74" t="s">
        <v>5898</v>
      </c>
      <c r="H161" s="62"/>
      <c r="I161" s="63"/>
      <c r="J161" s="85"/>
      <c r="K161" s="64"/>
      <c r="L161" s="65"/>
      <c r="M161" s="67"/>
      <c r="N161" s="68"/>
      <c r="O161" s="76"/>
      <c r="P161" s="70"/>
      <c r="Q161" s="1" t="s">
        <v>17936</v>
      </c>
      <c r="R161" s="68"/>
      <c r="S161" s="76"/>
      <c r="T161" s="70"/>
      <c r="U161" s="120">
        <f>ROUND((ROUND((_15_同援日増３．５*_15・基礎２),0)*(1+_15・区３)),0)</f>
        <v>476</v>
      </c>
      <c r="V161" s="69"/>
    </row>
    <row r="162" spans="1:22" ht="16.5" customHeight="1" x14ac:dyDescent="0.3">
      <c r="A162" s="2">
        <v>15</v>
      </c>
      <c r="B162" s="2" t="s">
        <v>2142</v>
      </c>
      <c r="C162" s="60" t="s">
        <v>12751</v>
      </c>
      <c r="D162" s="1"/>
      <c r="E162" s="68"/>
      <c r="F162" s="70"/>
      <c r="G162" s="106" t="s">
        <v>17420</v>
      </c>
      <c r="H162" s="57" t="s">
        <v>1</v>
      </c>
      <c r="I162" s="58">
        <v>0.9</v>
      </c>
      <c r="J162" s="83" t="s">
        <v>5895</v>
      </c>
      <c r="K162" s="64" t="s">
        <v>1</v>
      </c>
      <c r="L162" s="65">
        <v>1</v>
      </c>
      <c r="M162" s="66"/>
      <c r="N162" s="57"/>
      <c r="O162" s="58"/>
      <c r="P162" s="77"/>
      <c r="Q162" s="1" t="s">
        <v>17934</v>
      </c>
      <c r="R162" s="68"/>
      <c r="S162" s="76"/>
      <c r="T162" s="70"/>
      <c r="U162" s="120">
        <f>ROUND((ROUND((ROUND((_15_同援日増３．５*_15・基礎２),0)*_15・２人),0)*(1+_15・区３)),0)</f>
        <v>476</v>
      </c>
      <c r="V162" s="69"/>
    </row>
    <row r="163" spans="1:22" ht="16.5" customHeight="1" x14ac:dyDescent="0.3">
      <c r="A163" s="2">
        <v>15</v>
      </c>
      <c r="B163" s="2" t="s">
        <v>2143</v>
      </c>
      <c r="C163" s="60" t="s">
        <v>12750</v>
      </c>
      <c r="D163" s="1"/>
      <c r="E163" s="68"/>
      <c r="F163" s="70"/>
      <c r="G163" s="61"/>
      <c r="H163" s="62"/>
      <c r="I163" s="63"/>
      <c r="J163" s="85"/>
      <c r="K163" s="64"/>
      <c r="L163" s="65"/>
      <c r="M163" s="74" t="s">
        <v>17933</v>
      </c>
      <c r="N163" s="62"/>
      <c r="O163" s="63"/>
      <c r="P163" s="75"/>
      <c r="Q163" s="67"/>
      <c r="R163" s="68" t="s">
        <v>1</v>
      </c>
      <c r="S163" s="76">
        <v>0.2</v>
      </c>
      <c r="T163" s="70" t="s">
        <v>422</v>
      </c>
      <c r="U163" s="120">
        <f>ROUND((ROUND((_15_同援日増３．５*(1+_15・盲ろう)),0)*(1+_15・区３)),0)</f>
        <v>661</v>
      </c>
      <c r="V163" s="69"/>
    </row>
    <row r="164" spans="1:22" ht="16.5" customHeight="1" x14ac:dyDescent="0.3">
      <c r="A164" s="2">
        <v>15</v>
      </c>
      <c r="B164" s="2" t="s">
        <v>2144</v>
      </c>
      <c r="C164" s="60" t="s">
        <v>12749</v>
      </c>
      <c r="D164" s="1"/>
      <c r="E164" s="68"/>
      <c r="F164" s="70"/>
      <c r="G164" s="66"/>
      <c r="H164" s="57"/>
      <c r="I164" s="58"/>
      <c r="J164" s="83" t="s">
        <v>5895</v>
      </c>
      <c r="K164" s="64" t="s">
        <v>1</v>
      </c>
      <c r="L164" s="65">
        <v>1</v>
      </c>
      <c r="M164" s="94" t="s">
        <v>8083</v>
      </c>
      <c r="N164" s="68"/>
      <c r="O164" s="76"/>
      <c r="P164" s="70"/>
      <c r="Q164" s="67"/>
      <c r="R164" s="68"/>
      <c r="S164" s="76"/>
      <c r="T164" s="70"/>
      <c r="U164" s="120">
        <f>ROUND((ROUND((ROUND((_15_同援日増３．５*_15・２人),0)*(1+_15・盲ろう)),0)*(1+_15・区３)),0)</f>
        <v>661</v>
      </c>
      <c r="V164" s="69"/>
    </row>
    <row r="165" spans="1:22" ht="16.5" customHeight="1" x14ac:dyDescent="0.3">
      <c r="A165" s="2">
        <v>15</v>
      </c>
      <c r="B165" s="2" t="s">
        <v>2145</v>
      </c>
      <c r="C165" s="60" t="s">
        <v>12748</v>
      </c>
      <c r="D165" s="1"/>
      <c r="E165" s="68"/>
      <c r="F165" s="70"/>
      <c r="G165" s="74" t="s">
        <v>17747</v>
      </c>
      <c r="H165" s="62"/>
      <c r="I165" s="63"/>
      <c r="J165" s="85"/>
      <c r="K165" s="64"/>
      <c r="L165" s="65"/>
      <c r="M165" s="67"/>
      <c r="N165" s="68" t="s">
        <v>1</v>
      </c>
      <c r="O165" s="76">
        <v>0.25</v>
      </c>
      <c r="P165" s="70" t="s">
        <v>422</v>
      </c>
      <c r="Q165" s="67"/>
      <c r="R165" s="68"/>
      <c r="S165" s="76"/>
      <c r="T165" s="70"/>
      <c r="U165" s="120">
        <f>ROUND((ROUND((ROUND((_15_同援日増３．５*_15・基礎２),0)*(1+_15・盲ろう)),0)*(1+_15・区３)),0)</f>
        <v>595</v>
      </c>
      <c r="V165" s="69"/>
    </row>
    <row r="166" spans="1:22" ht="16.5" customHeight="1" x14ac:dyDescent="0.3">
      <c r="A166" s="2">
        <v>15</v>
      </c>
      <c r="B166" s="2" t="s">
        <v>2146</v>
      </c>
      <c r="C166" s="60" t="s">
        <v>12747</v>
      </c>
      <c r="D166" s="1"/>
      <c r="E166" s="68"/>
      <c r="F166" s="70"/>
      <c r="G166" s="106" t="s">
        <v>17420</v>
      </c>
      <c r="H166" s="57" t="s">
        <v>1</v>
      </c>
      <c r="I166" s="58">
        <v>0.9</v>
      </c>
      <c r="J166" s="83" t="s">
        <v>5895</v>
      </c>
      <c r="K166" s="64" t="s">
        <v>1</v>
      </c>
      <c r="L166" s="65">
        <v>1</v>
      </c>
      <c r="M166" s="66"/>
      <c r="N166" s="57"/>
      <c r="O166" s="58"/>
      <c r="P166" s="77"/>
      <c r="Q166" s="66"/>
      <c r="R166" s="57"/>
      <c r="S166" s="58"/>
      <c r="T166" s="77"/>
      <c r="U166" s="120">
        <f>ROUND((ROUND((ROUND((ROUND((_15_同援日増３．５*_15・基礎２),0)*_15・２人),0)*(1+_15・盲ろう)),0)*(1+_15・区３)),0)</f>
        <v>595</v>
      </c>
      <c r="V166" s="69"/>
    </row>
    <row r="167" spans="1:22" ht="16.5" customHeight="1" x14ac:dyDescent="0.3">
      <c r="A167" s="2">
        <v>15</v>
      </c>
      <c r="B167" s="2" t="s">
        <v>2147</v>
      </c>
      <c r="C167" s="60" t="s">
        <v>12746</v>
      </c>
      <c r="D167" s="1"/>
      <c r="E167" s="68"/>
      <c r="F167" s="70"/>
      <c r="G167" s="61"/>
      <c r="H167" s="62"/>
      <c r="I167" s="63"/>
      <c r="J167" s="85"/>
      <c r="K167" s="64"/>
      <c r="L167" s="65"/>
      <c r="M167" s="61"/>
      <c r="N167" s="62"/>
      <c r="O167" s="63"/>
      <c r="P167" s="75"/>
      <c r="Q167" s="61"/>
      <c r="R167" s="62"/>
      <c r="S167" s="63"/>
      <c r="T167" s="75"/>
      <c r="U167" s="120">
        <f>ROUND((_15_同援日増３．５*(1+_15・区４)),0)</f>
        <v>617</v>
      </c>
      <c r="V167" s="69"/>
    </row>
    <row r="168" spans="1:22" ht="16.5" customHeight="1" x14ac:dyDescent="0.3">
      <c r="A168" s="2">
        <v>15</v>
      </c>
      <c r="B168" s="2" t="s">
        <v>2148</v>
      </c>
      <c r="C168" s="60" t="s">
        <v>12745</v>
      </c>
      <c r="D168" s="1"/>
      <c r="E168" s="68"/>
      <c r="F168" s="70"/>
      <c r="G168" s="66"/>
      <c r="H168" s="57"/>
      <c r="I168" s="58"/>
      <c r="J168" s="83" t="s">
        <v>5895</v>
      </c>
      <c r="K168" s="64" t="s">
        <v>1</v>
      </c>
      <c r="L168" s="65">
        <v>1</v>
      </c>
      <c r="M168" s="67"/>
      <c r="N168" s="68"/>
      <c r="O168" s="76"/>
      <c r="P168" s="70"/>
      <c r="Q168" s="67"/>
      <c r="R168" s="68"/>
      <c r="S168" s="76"/>
      <c r="T168" s="70"/>
      <c r="U168" s="120">
        <f>ROUND((ROUND((_15_同援日増３．５*_15・２人),0)*(1+_15・区４)),0)</f>
        <v>617</v>
      </c>
      <c r="V168" s="69"/>
    </row>
    <row r="169" spans="1:22" ht="16.5" customHeight="1" x14ac:dyDescent="0.3">
      <c r="A169" s="2">
        <v>15</v>
      </c>
      <c r="B169" s="2" t="s">
        <v>2149</v>
      </c>
      <c r="C169" s="60" t="s">
        <v>12744</v>
      </c>
      <c r="D169" s="1"/>
      <c r="E169" s="68"/>
      <c r="F169" s="70"/>
      <c r="G169" s="74" t="s">
        <v>5898</v>
      </c>
      <c r="H169" s="62"/>
      <c r="I169" s="63"/>
      <c r="J169" s="85"/>
      <c r="K169" s="64"/>
      <c r="L169" s="65"/>
      <c r="M169" s="67"/>
      <c r="N169" s="68"/>
      <c r="O169" s="76"/>
      <c r="P169" s="70"/>
      <c r="Q169" s="1" t="s">
        <v>8089</v>
      </c>
      <c r="R169" s="68"/>
      <c r="S169" s="76"/>
      <c r="T169" s="70"/>
      <c r="U169" s="120">
        <f>ROUND((ROUND((_15_同援日増３．５*_15・基礎２),0)*(1+_15・区４)),0)</f>
        <v>556</v>
      </c>
      <c r="V169" s="69"/>
    </row>
    <row r="170" spans="1:22" ht="16.5" customHeight="1" x14ac:dyDescent="0.3">
      <c r="A170" s="2">
        <v>15</v>
      </c>
      <c r="B170" s="2" t="s">
        <v>2150</v>
      </c>
      <c r="C170" s="60" t="s">
        <v>12743</v>
      </c>
      <c r="D170" s="1"/>
      <c r="E170" s="68"/>
      <c r="F170" s="70"/>
      <c r="G170" s="106" t="s">
        <v>17420</v>
      </c>
      <c r="H170" s="57" t="s">
        <v>1</v>
      </c>
      <c r="I170" s="58">
        <v>0.9</v>
      </c>
      <c r="J170" s="83" t="s">
        <v>5895</v>
      </c>
      <c r="K170" s="64" t="s">
        <v>1</v>
      </c>
      <c r="L170" s="65">
        <v>1</v>
      </c>
      <c r="M170" s="66"/>
      <c r="N170" s="57"/>
      <c r="O170" s="58"/>
      <c r="P170" s="77"/>
      <c r="Q170" s="1" t="s">
        <v>8087</v>
      </c>
      <c r="R170" s="68"/>
      <c r="S170" s="76"/>
      <c r="T170" s="70"/>
      <c r="U170" s="120">
        <f>ROUND((ROUND((ROUND((_15_同援日増３．５*_15・基礎２),0)*_15・２人),0)*(1+_15・区４)),0)</f>
        <v>556</v>
      </c>
      <c r="V170" s="69"/>
    </row>
    <row r="171" spans="1:22" ht="16.5" customHeight="1" x14ac:dyDescent="0.3">
      <c r="A171" s="2">
        <v>15</v>
      </c>
      <c r="B171" s="2" t="s">
        <v>2151</v>
      </c>
      <c r="C171" s="60" t="s">
        <v>12742</v>
      </c>
      <c r="D171" s="1"/>
      <c r="E171" s="68"/>
      <c r="F171" s="70"/>
      <c r="G171" s="61"/>
      <c r="H171" s="62"/>
      <c r="I171" s="63"/>
      <c r="J171" s="85"/>
      <c r="K171" s="64"/>
      <c r="L171" s="65"/>
      <c r="M171" s="74" t="s">
        <v>8085</v>
      </c>
      <c r="N171" s="62"/>
      <c r="O171" s="63"/>
      <c r="P171" s="75"/>
      <c r="Q171" s="67"/>
      <c r="R171" s="68" t="s">
        <v>1</v>
      </c>
      <c r="S171" s="76">
        <v>0.4</v>
      </c>
      <c r="T171" s="70" t="s">
        <v>422</v>
      </c>
      <c r="U171" s="120">
        <f>ROUND((ROUND((_15_同援日増３．５*(1+_15・盲ろう)),0)*(1+_15・区４)),0)</f>
        <v>771</v>
      </c>
      <c r="V171" s="69"/>
    </row>
    <row r="172" spans="1:22" ht="16.5" customHeight="1" x14ac:dyDescent="0.3">
      <c r="A172" s="2">
        <v>15</v>
      </c>
      <c r="B172" s="2" t="s">
        <v>2152</v>
      </c>
      <c r="C172" s="60" t="s">
        <v>12741</v>
      </c>
      <c r="D172" s="1"/>
      <c r="E172" s="68"/>
      <c r="F172" s="70"/>
      <c r="G172" s="66"/>
      <c r="H172" s="57"/>
      <c r="I172" s="58"/>
      <c r="J172" s="83" t="s">
        <v>5895</v>
      </c>
      <c r="K172" s="64" t="s">
        <v>1</v>
      </c>
      <c r="L172" s="65">
        <v>1</v>
      </c>
      <c r="M172" s="94" t="s">
        <v>17932</v>
      </c>
      <c r="N172" s="68"/>
      <c r="O172" s="76"/>
      <c r="P172" s="70"/>
      <c r="Q172" s="67"/>
      <c r="R172" s="68"/>
      <c r="S172" s="76"/>
      <c r="T172" s="70"/>
      <c r="U172" s="120">
        <f>ROUND((ROUND((ROUND((_15_同援日増３．５*_15・２人),0)*(1+_15・盲ろう)),0)*(1+_15・区４)),0)</f>
        <v>771</v>
      </c>
      <c r="V172" s="69"/>
    </row>
    <row r="173" spans="1:22" ht="16.5" customHeight="1" x14ac:dyDescent="0.3">
      <c r="A173" s="2">
        <v>15</v>
      </c>
      <c r="B173" s="2" t="s">
        <v>2153</v>
      </c>
      <c r="C173" s="60" t="s">
        <v>12740</v>
      </c>
      <c r="D173" s="1"/>
      <c r="E173" s="68"/>
      <c r="F173" s="70"/>
      <c r="G173" s="74" t="s">
        <v>17747</v>
      </c>
      <c r="H173" s="62"/>
      <c r="I173" s="63"/>
      <c r="J173" s="85"/>
      <c r="K173" s="64"/>
      <c r="L173" s="65"/>
      <c r="M173" s="67"/>
      <c r="N173" s="68" t="s">
        <v>1</v>
      </c>
      <c r="O173" s="76">
        <v>0.25</v>
      </c>
      <c r="P173" s="70" t="s">
        <v>422</v>
      </c>
      <c r="Q173" s="67"/>
      <c r="R173" s="68"/>
      <c r="S173" s="76"/>
      <c r="T173" s="70"/>
      <c r="U173" s="120">
        <f>ROUND((ROUND((ROUND((_15_同援日増３．５*_15・基礎２),0)*(1+_15・盲ろう)),0)*(1+_15・区４)),0)</f>
        <v>694</v>
      </c>
      <c r="V173" s="69"/>
    </row>
    <row r="174" spans="1:22" ht="16.5" customHeight="1" x14ac:dyDescent="0.3">
      <c r="A174" s="2">
        <v>15</v>
      </c>
      <c r="B174" s="2" t="s">
        <v>2154</v>
      </c>
      <c r="C174" s="60" t="s">
        <v>12739</v>
      </c>
      <c r="D174" s="81"/>
      <c r="E174" s="57"/>
      <c r="F174" s="77"/>
      <c r="G174" s="106" t="s">
        <v>5896</v>
      </c>
      <c r="H174" s="57" t="s">
        <v>1</v>
      </c>
      <c r="I174" s="58">
        <v>0.9</v>
      </c>
      <c r="J174" s="83" t="s">
        <v>5895</v>
      </c>
      <c r="K174" s="64" t="s">
        <v>1</v>
      </c>
      <c r="L174" s="65">
        <v>1</v>
      </c>
      <c r="M174" s="66"/>
      <c r="N174" s="57"/>
      <c r="O174" s="58"/>
      <c r="P174" s="77"/>
      <c r="Q174" s="66"/>
      <c r="R174" s="57"/>
      <c r="S174" s="58"/>
      <c r="T174" s="77"/>
      <c r="U174" s="120">
        <f>ROUND((ROUND((ROUND((ROUND((_15_同援日増３．５*_15・基礎２),0)*_15・２人),0)*(1+_15・盲ろう)),0)*(1+_15・区４)),0)</f>
        <v>694</v>
      </c>
      <c r="V174" s="69"/>
    </row>
    <row r="175" spans="1:22" ht="16.5" customHeight="1" x14ac:dyDescent="0.3">
      <c r="A175" s="2">
        <v>15</v>
      </c>
      <c r="B175" s="2" t="s">
        <v>2155</v>
      </c>
      <c r="C175" s="60" t="s">
        <v>12738</v>
      </c>
      <c r="D175" s="233" t="s">
        <v>16316</v>
      </c>
      <c r="E175" s="62"/>
      <c r="F175" s="75"/>
      <c r="G175" s="61"/>
      <c r="H175" s="62"/>
      <c r="I175" s="63"/>
      <c r="J175" s="85"/>
      <c r="K175" s="64"/>
      <c r="L175" s="65"/>
      <c r="M175" s="61"/>
      <c r="N175" s="62"/>
      <c r="O175" s="63"/>
      <c r="P175" s="75"/>
      <c r="Q175" s="61"/>
      <c r="R175" s="62"/>
      <c r="S175" s="63"/>
      <c r="T175" s="75"/>
      <c r="U175" s="120">
        <f>_15_同援日増４．０</f>
        <v>504</v>
      </c>
      <c r="V175" s="69"/>
    </row>
    <row r="176" spans="1:22" ht="16.5" customHeight="1" x14ac:dyDescent="0.3">
      <c r="A176" s="2">
        <v>15</v>
      </c>
      <c r="B176" s="2" t="s">
        <v>2156</v>
      </c>
      <c r="C176" s="60" t="s">
        <v>12737</v>
      </c>
      <c r="D176" s="1" t="s">
        <v>5961</v>
      </c>
      <c r="E176" s="68"/>
      <c r="F176" s="70"/>
      <c r="G176" s="66"/>
      <c r="H176" s="57"/>
      <c r="I176" s="58"/>
      <c r="J176" s="83" t="s">
        <v>5895</v>
      </c>
      <c r="K176" s="64" t="s">
        <v>1</v>
      </c>
      <c r="L176" s="65">
        <v>1</v>
      </c>
      <c r="M176" s="67"/>
      <c r="N176" s="68"/>
      <c r="O176" s="76"/>
      <c r="P176" s="70"/>
      <c r="Q176" s="67"/>
      <c r="R176" s="68"/>
      <c r="S176" s="76"/>
      <c r="T176" s="70"/>
      <c r="U176" s="120">
        <f>ROUND((_15_同援日増４．０*_15・２人),0)</f>
        <v>504</v>
      </c>
      <c r="V176" s="69"/>
    </row>
    <row r="177" spans="1:22" ht="16.5" customHeight="1" x14ac:dyDescent="0.3">
      <c r="A177" s="2">
        <v>15</v>
      </c>
      <c r="B177" s="2" t="s">
        <v>2157</v>
      </c>
      <c r="C177" s="60" t="s">
        <v>12736</v>
      </c>
      <c r="D177" s="1" t="s">
        <v>8425</v>
      </c>
      <c r="E177" s="68"/>
      <c r="F177" s="70"/>
      <c r="G177" s="74" t="s">
        <v>17747</v>
      </c>
      <c r="H177" s="62"/>
      <c r="I177" s="63"/>
      <c r="J177" s="85"/>
      <c r="K177" s="64"/>
      <c r="L177" s="65"/>
      <c r="M177" s="67"/>
      <c r="N177" s="68"/>
      <c r="O177" s="76"/>
      <c r="P177" s="70"/>
      <c r="Q177" s="67"/>
      <c r="R177" s="68"/>
      <c r="S177" s="76"/>
      <c r="T177" s="70"/>
      <c r="U177" s="120">
        <f>ROUND((_15_同援日増４．０*_15・基礎２),0)</f>
        <v>454</v>
      </c>
      <c r="V177" s="69"/>
    </row>
    <row r="178" spans="1:22" ht="16.5" customHeight="1" x14ac:dyDescent="0.3">
      <c r="A178" s="2">
        <v>15</v>
      </c>
      <c r="B178" s="2" t="s">
        <v>2158</v>
      </c>
      <c r="C178" s="60" t="s">
        <v>12735</v>
      </c>
      <c r="D178" s="1"/>
      <c r="E178" s="119">
        <v>504</v>
      </c>
      <c r="F178" s="70" t="s">
        <v>0</v>
      </c>
      <c r="G178" s="106" t="s">
        <v>5896</v>
      </c>
      <c r="H178" s="57" t="s">
        <v>1</v>
      </c>
      <c r="I178" s="58">
        <v>0.9</v>
      </c>
      <c r="J178" s="83" t="s">
        <v>5895</v>
      </c>
      <c r="K178" s="64" t="s">
        <v>1</v>
      </c>
      <c r="L178" s="65">
        <v>1</v>
      </c>
      <c r="M178" s="66"/>
      <c r="N178" s="57"/>
      <c r="O178" s="58"/>
      <c r="P178" s="77"/>
      <c r="Q178" s="67"/>
      <c r="R178" s="68"/>
      <c r="S178" s="76"/>
      <c r="T178" s="70"/>
      <c r="U178" s="120">
        <f>ROUND((ROUND((_15_同援日増４．０*_15・基礎２),0)*_15・２人),0)</f>
        <v>454</v>
      </c>
      <c r="V178" s="69"/>
    </row>
    <row r="179" spans="1:22" ht="16.5" customHeight="1" x14ac:dyDescent="0.3">
      <c r="A179" s="2">
        <v>15</v>
      </c>
      <c r="B179" s="2" t="s">
        <v>2159</v>
      </c>
      <c r="C179" s="60" t="s">
        <v>12734</v>
      </c>
      <c r="D179" s="1"/>
      <c r="E179" s="68"/>
      <c r="F179" s="70"/>
      <c r="G179" s="61"/>
      <c r="H179" s="62"/>
      <c r="I179" s="63"/>
      <c r="J179" s="85"/>
      <c r="K179" s="64"/>
      <c r="L179" s="65"/>
      <c r="M179" s="74" t="s">
        <v>17933</v>
      </c>
      <c r="N179" s="62"/>
      <c r="O179" s="63"/>
      <c r="P179" s="75"/>
      <c r="Q179" s="67"/>
      <c r="R179" s="68"/>
      <c r="S179" s="76"/>
      <c r="T179" s="70"/>
      <c r="U179" s="120">
        <f>ROUND((_15_同援日増４．０*(1+_15・盲ろう)),0)</f>
        <v>630</v>
      </c>
      <c r="V179" s="69"/>
    </row>
    <row r="180" spans="1:22" ht="16.5" customHeight="1" x14ac:dyDescent="0.3">
      <c r="A180" s="2">
        <v>15</v>
      </c>
      <c r="B180" s="2" t="s">
        <v>2160</v>
      </c>
      <c r="C180" s="60" t="s">
        <v>12733</v>
      </c>
      <c r="D180" s="1"/>
      <c r="E180" s="68"/>
      <c r="F180" s="70"/>
      <c r="G180" s="66"/>
      <c r="H180" s="57"/>
      <c r="I180" s="58"/>
      <c r="J180" s="83" t="s">
        <v>5895</v>
      </c>
      <c r="K180" s="64" t="s">
        <v>1</v>
      </c>
      <c r="L180" s="65">
        <v>1</v>
      </c>
      <c r="M180" s="94" t="s">
        <v>17932</v>
      </c>
      <c r="N180" s="68"/>
      <c r="O180" s="76"/>
      <c r="P180" s="70"/>
      <c r="Q180" s="67"/>
      <c r="R180" s="68"/>
      <c r="S180" s="76"/>
      <c r="T180" s="70"/>
      <c r="U180" s="120">
        <f>ROUND((ROUND((_15_同援日増４．０*_15・２人),0)*(1+_15・盲ろう)),0)</f>
        <v>630</v>
      </c>
      <c r="V180" s="69"/>
    </row>
    <row r="181" spans="1:22" ht="16.5" customHeight="1" x14ac:dyDescent="0.3">
      <c r="A181" s="2">
        <v>15</v>
      </c>
      <c r="B181" s="2" t="s">
        <v>2161</v>
      </c>
      <c r="C181" s="60" t="s">
        <v>12732</v>
      </c>
      <c r="D181" s="1"/>
      <c r="E181" s="68"/>
      <c r="F181" s="70"/>
      <c r="G181" s="74" t="s">
        <v>17747</v>
      </c>
      <c r="H181" s="62"/>
      <c r="I181" s="63"/>
      <c r="J181" s="85"/>
      <c r="K181" s="64"/>
      <c r="L181" s="65"/>
      <c r="M181" s="67"/>
      <c r="N181" s="68" t="s">
        <v>1</v>
      </c>
      <c r="O181" s="76">
        <v>0.25</v>
      </c>
      <c r="P181" s="70" t="s">
        <v>422</v>
      </c>
      <c r="Q181" s="67"/>
      <c r="R181" s="68"/>
      <c r="S181" s="76"/>
      <c r="T181" s="70"/>
      <c r="U181" s="120">
        <f>ROUND((ROUND((_15_同援日増４．０*_15・基礎２),0)*(1+_15・盲ろう)),0)</f>
        <v>568</v>
      </c>
      <c r="V181" s="69"/>
    </row>
    <row r="182" spans="1:22" ht="16.5" customHeight="1" x14ac:dyDescent="0.3">
      <c r="A182" s="2">
        <v>15</v>
      </c>
      <c r="B182" s="2" t="s">
        <v>2162</v>
      </c>
      <c r="C182" s="60" t="s">
        <v>12731</v>
      </c>
      <c r="D182" s="1"/>
      <c r="E182" s="68"/>
      <c r="F182" s="70"/>
      <c r="G182" s="106" t="s">
        <v>17420</v>
      </c>
      <c r="H182" s="57" t="s">
        <v>1</v>
      </c>
      <c r="I182" s="58">
        <v>0.9</v>
      </c>
      <c r="J182" s="83" t="s">
        <v>5895</v>
      </c>
      <c r="K182" s="64" t="s">
        <v>1</v>
      </c>
      <c r="L182" s="65">
        <v>1</v>
      </c>
      <c r="M182" s="66"/>
      <c r="N182" s="57"/>
      <c r="O182" s="58"/>
      <c r="P182" s="77"/>
      <c r="Q182" s="66"/>
      <c r="R182" s="57"/>
      <c r="S182" s="58"/>
      <c r="T182" s="77"/>
      <c r="U182" s="120">
        <f>ROUND((ROUND((ROUND((_15_同援日増４．０*_15・基礎２),0)*_15・２人),0)*(1+_15・盲ろう)),0)</f>
        <v>568</v>
      </c>
      <c r="V182" s="69"/>
    </row>
    <row r="183" spans="1:22" ht="16.5" customHeight="1" x14ac:dyDescent="0.3">
      <c r="A183" s="2">
        <v>15</v>
      </c>
      <c r="B183" s="2" t="s">
        <v>2163</v>
      </c>
      <c r="C183" s="60" t="s">
        <v>12730</v>
      </c>
      <c r="D183" s="1"/>
      <c r="E183" s="68"/>
      <c r="F183" s="70"/>
      <c r="G183" s="61"/>
      <c r="H183" s="62"/>
      <c r="I183" s="63"/>
      <c r="J183" s="85"/>
      <c r="K183" s="64"/>
      <c r="L183" s="65"/>
      <c r="M183" s="61"/>
      <c r="N183" s="62"/>
      <c r="O183" s="63"/>
      <c r="P183" s="75"/>
      <c r="Q183" s="61"/>
      <c r="R183" s="62"/>
      <c r="S183" s="63"/>
      <c r="T183" s="75"/>
      <c r="U183" s="120">
        <f>ROUND((_15_同援日増４．０*(1+_15・区３)),0)</f>
        <v>605</v>
      </c>
      <c r="V183" s="69"/>
    </row>
    <row r="184" spans="1:22" ht="16.5" customHeight="1" x14ac:dyDescent="0.3">
      <c r="A184" s="2">
        <v>15</v>
      </c>
      <c r="B184" s="2" t="s">
        <v>2164</v>
      </c>
      <c r="C184" s="60" t="s">
        <v>12729</v>
      </c>
      <c r="D184" s="1"/>
      <c r="E184" s="68"/>
      <c r="F184" s="70"/>
      <c r="G184" s="66"/>
      <c r="H184" s="57"/>
      <c r="I184" s="58"/>
      <c r="J184" s="83" t="s">
        <v>5895</v>
      </c>
      <c r="K184" s="64" t="s">
        <v>1</v>
      </c>
      <c r="L184" s="65">
        <v>1</v>
      </c>
      <c r="M184" s="67"/>
      <c r="N184" s="68"/>
      <c r="O184" s="76"/>
      <c r="P184" s="70"/>
      <c r="Q184" s="67"/>
      <c r="R184" s="68"/>
      <c r="S184" s="76"/>
      <c r="T184" s="70"/>
      <c r="U184" s="120">
        <f>ROUND((ROUND((_15_同援日増４．０*_15・２人),0)*(1+_15・区３)),0)</f>
        <v>605</v>
      </c>
      <c r="V184" s="69"/>
    </row>
    <row r="185" spans="1:22" ht="16.5" customHeight="1" x14ac:dyDescent="0.3">
      <c r="A185" s="2">
        <v>15</v>
      </c>
      <c r="B185" s="2" t="s">
        <v>2165</v>
      </c>
      <c r="C185" s="60" t="s">
        <v>12728</v>
      </c>
      <c r="D185" s="1"/>
      <c r="E185" s="68"/>
      <c r="F185" s="70"/>
      <c r="G185" s="74" t="s">
        <v>5898</v>
      </c>
      <c r="H185" s="62"/>
      <c r="I185" s="63"/>
      <c r="J185" s="85"/>
      <c r="K185" s="64"/>
      <c r="L185" s="65"/>
      <c r="M185" s="67"/>
      <c r="N185" s="68"/>
      <c r="O185" s="76"/>
      <c r="P185" s="70"/>
      <c r="Q185" s="1" t="s">
        <v>17936</v>
      </c>
      <c r="R185" s="68"/>
      <c r="S185" s="76"/>
      <c r="T185" s="70"/>
      <c r="U185" s="120">
        <f>ROUND((ROUND((_15_同援日増４．０*_15・基礎２),0)*(1+_15・区３)),0)</f>
        <v>545</v>
      </c>
      <c r="V185" s="69"/>
    </row>
    <row r="186" spans="1:22" ht="16.5" customHeight="1" x14ac:dyDescent="0.3">
      <c r="A186" s="2">
        <v>15</v>
      </c>
      <c r="B186" s="2" t="s">
        <v>2166</v>
      </c>
      <c r="C186" s="60" t="s">
        <v>12727</v>
      </c>
      <c r="D186" s="1"/>
      <c r="E186" s="68"/>
      <c r="F186" s="70"/>
      <c r="G186" s="106" t="s">
        <v>17420</v>
      </c>
      <c r="H186" s="57" t="s">
        <v>1</v>
      </c>
      <c r="I186" s="58">
        <v>0.9</v>
      </c>
      <c r="J186" s="83" t="s">
        <v>5895</v>
      </c>
      <c r="K186" s="64" t="s">
        <v>1</v>
      </c>
      <c r="L186" s="65">
        <v>1</v>
      </c>
      <c r="M186" s="66"/>
      <c r="N186" s="57"/>
      <c r="O186" s="58"/>
      <c r="P186" s="77"/>
      <c r="Q186" s="1" t="s">
        <v>8087</v>
      </c>
      <c r="R186" s="68"/>
      <c r="S186" s="76"/>
      <c r="T186" s="70"/>
      <c r="U186" s="120">
        <f>ROUND((ROUND((ROUND((_15_同援日増４．０*_15・基礎２),0)*_15・２人),0)*(1+_15・区３)),0)</f>
        <v>545</v>
      </c>
      <c r="V186" s="69"/>
    </row>
    <row r="187" spans="1:22" ht="16.5" customHeight="1" x14ac:dyDescent="0.3">
      <c r="A187" s="2">
        <v>15</v>
      </c>
      <c r="B187" s="2" t="s">
        <v>2167</v>
      </c>
      <c r="C187" s="60" t="s">
        <v>12726</v>
      </c>
      <c r="D187" s="1"/>
      <c r="E187" s="68"/>
      <c r="F187" s="70"/>
      <c r="G187" s="61"/>
      <c r="H187" s="62"/>
      <c r="I187" s="63"/>
      <c r="J187" s="85"/>
      <c r="K187" s="64"/>
      <c r="L187" s="65"/>
      <c r="M187" s="74" t="s">
        <v>17933</v>
      </c>
      <c r="N187" s="62"/>
      <c r="O187" s="63"/>
      <c r="P187" s="75"/>
      <c r="Q187" s="67"/>
      <c r="R187" s="68" t="s">
        <v>1</v>
      </c>
      <c r="S187" s="76">
        <v>0.2</v>
      </c>
      <c r="T187" s="70" t="s">
        <v>422</v>
      </c>
      <c r="U187" s="120">
        <f>ROUND((ROUND((_15_同援日増４．０*(1+_15・盲ろう)),0)*(1+_15・区３)),0)</f>
        <v>756</v>
      </c>
      <c r="V187" s="69"/>
    </row>
    <row r="188" spans="1:22" ht="16.5" customHeight="1" x14ac:dyDescent="0.3">
      <c r="A188" s="2">
        <v>15</v>
      </c>
      <c r="B188" s="2" t="s">
        <v>2168</v>
      </c>
      <c r="C188" s="60" t="s">
        <v>12725</v>
      </c>
      <c r="D188" s="1"/>
      <c r="E188" s="68"/>
      <c r="F188" s="70"/>
      <c r="G188" s="66"/>
      <c r="H188" s="57"/>
      <c r="I188" s="58"/>
      <c r="J188" s="83" t="s">
        <v>5895</v>
      </c>
      <c r="K188" s="64" t="s">
        <v>1</v>
      </c>
      <c r="L188" s="65">
        <v>1</v>
      </c>
      <c r="M188" s="94" t="s">
        <v>17932</v>
      </c>
      <c r="N188" s="68"/>
      <c r="O188" s="76"/>
      <c r="P188" s="70"/>
      <c r="Q188" s="67"/>
      <c r="R188" s="68"/>
      <c r="S188" s="76"/>
      <c r="T188" s="70"/>
      <c r="U188" s="120">
        <f>ROUND((ROUND((ROUND((_15_同援日増４．０*_15・２人),0)*(1+_15・盲ろう)),0)*(1+_15・区３)),0)</f>
        <v>756</v>
      </c>
      <c r="V188" s="69"/>
    </row>
    <row r="189" spans="1:22" ht="16.5" customHeight="1" x14ac:dyDescent="0.3">
      <c r="A189" s="2">
        <v>15</v>
      </c>
      <c r="B189" s="2" t="s">
        <v>2169</v>
      </c>
      <c r="C189" s="60" t="s">
        <v>12724</v>
      </c>
      <c r="D189" s="1"/>
      <c r="E189" s="68"/>
      <c r="F189" s="70"/>
      <c r="G189" s="74" t="s">
        <v>5898</v>
      </c>
      <c r="H189" s="62"/>
      <c r="I189" s="63"/>
      <c r="J189" s="85"/>
      <c r="K189" s="64"/>
      <c r="L189" s="65"/>
      <c r="M189" s="67"/>
      <c r="N189" s="68" t="s">
        <v>1</v>
      </c>
      <c r="O189" s="76">
        <v>0.25</v>
      </c>
      <c r="P189" s="70" t="s">
        <v>422</v>
      </c>
      <c r="Q189" s="67"/>
      <c r="R189" s="68"/>
      <c r="S189" s="76"/>
      <c r="T189" s="70"/>
      <c r="U189" s="120">
        <f>ROUND((ROUND((ROUND((_15_同援日増４．０*_15・基礎２),0)*(1+_15・盲ろう)),0)*(1+_15・区３)),0)</f>
        <v>682</v>
      </c>
      <c r="V189" s="69"/>
    </row>
    <row r="190" spans="1:22" ht="16.5" customHeight="1" x14ac:dyDescent="0.3">
      <c r="A190" s="2">
        <v>15</v>
      </c>
      <c r="B190" s="2" t="s">
        <v>2170</v>
      </c>
      <c r="C190" s="60" t="s">
        <v>12723</v>
      </c>
      <c r="D190" s="1"/>
      <c r="E190" s="68"/>
      <c r="F190" s="70"/>
      <c r="G190" s="106" t="s">
        <v>17420</v>
      </c>
      <c r="H190" s="57" t="s">
        <v>1</v>
      </c>
      <c r="I190" s="58">
        <v>0.9</v>
      </c>
      <c r="J190" s="83" t="s">
        <v>5895</v>
      </c>
      <c r="K190" s="64" t="s">
        <v>1</v>
      </c>
      <c r="L190" s="65">
        <v>1</v>
      </c>
      <c r="M190" s="66"/>
      <c r="N190" s="57"/>
      <c r="O190" s="58"/>
      <c r="P190" s="77"/>
      <c r="Q190" s="66"/>
      <c r="R190" s="57"/>
      <c r="S190" s="58"/>
      <c r="T190" s="77"/>
      <c r="U190" s="120">
        <f>ROUND((ROUND((ROUND((ROUND((_15_同援日増４．０*_15・基礎２),0)*_15・２人),0)*(1+_15・盲ろう)),0)*(1+_15・区３)),0)</f>
        <v>682</v>
      </c>
      <c r="V190" s="69"/>
    </row>
    <row r="191" spans="1:22" ht="16.5" customHeight="1" x14ac:dyDescent="0.3">
      <c r="A191" s="2">
        <v>15</v>
      </c>
      <c r="B191" s="2" t="s">
        <v>2171</v>
      </c>
      <c r="C191" s="60" t="s">
        <v>12722</v>
      </c>
      <c r="D191" s="1"/>
      <c r="E191" s="68"/>
      <c r="F191" s="70"/>
      <c r="G191" s="61"/>
      <c r="H191" s="62"/>
      <c r="I191" s="63"/>
      <c r="J191" s="85"/>
      <c r="K191" s="64"/>
      <c r="L191" s="65"/>
      <c r="M191" s="61"/>
      <c r="N191" s="62"/>
      <c r="O191" s="63"/>
      <c r="P191" s="75"/>
      <c r="Q191" s="61"/>
      <c r="R191" s="62"/>
      <c r="S191" s="63"/>
      <c r="T191" s="75"/>
      <c r="U191" s="120">
        <f>ROUND((_15_同援日増４．０*(1+_15・区４)),0)</f>
        <v>706</v>
      </c>
      <c r="V191" s="69"/>
    </row>
    <row r="192" spans="1:22" ht="16.5" customHeight="1" x14ac:dyDescent="0.3">
      <c r="A192" s="2">
        <v>15</v>
      </c>
      <c r="B192" s="2" t="s">
        <v>2172</v>
      </c>
      <c r="C192" s="60" t="s">
        <v>12721</v>
      </c>
      <c r="D192" s="1"/>
      <c r="E192" s="68"/>
      <c r="F192" s="70"/>
      <c r="G192" s="66"/>
      <c r="H192" s="57"/>
      <c r="I192" s="58"/>
      <c r="J192" s="83" t="s">
        <v>5895</v>
      </c>
      <c r="K192" s="64" t="s">
        <v>1</v>
      </c>
      <c r="L192" s="65">
        <v>1</v>
      </c>
      <c r="M192" s="67"/>
      <c r="N192" s="68"/>
      <c r="O192" s="76"/>
      <c r="P192" s="70"/>
      <c r="Q192" s="67"/>
      <c r="R192" s="68"/>
      <c r="S192" s="76"/>
      <c r="T192" s="70"/>
      <c r="U192" s="120">
        <f>ROUND((ROUND((_15_同援日増４．０*_15・２人),0)*(1+_15・区４)),0)</f>
        <v>706</v>
      </c>
      <c r="V192" s="69"/>
    </row>
    <row r="193" spans="1:22" ht="16.5" customHeight="1" x14ac:dyDescent="0.3">
      <c r="A193" s="2">
        <v>15</v>
      </c>
      <c r="B193" s="2" t="s">
        <v>2173</v>
      </c>
      <c r="C193" s="60" t="s">
        <v>12720</v>
      </c>
      <c r="D193" s="1"/>
      <c r="E193" s="68"/>
      <c r="F193" s="70"/>
      <c r="G193" s="74" t="s">
        <v>17747</v>
      </c>
      <c r="H193" s="62"/>
      <c r="I193" s="63"/>
      <c r="J193" s="85"/>
      <c r="K193" s="64"/>
      <c r="L193" s="65"/>
      <c r="M193" s="67"/>
      <c r="N193" s="68"/>
      <c r="O193" s="76"/>
      <c r="P193" s="70"/>
      <c r="Q193" s="1" t="s">
        <v>8089</v>
      </c>
      <c r="R193" s="68"/>
      <c r="S193" s="76"/>
      <c r="T193" s="70"/>
      <c r="U193" s="120">
        <f>ROUND((ROUND((_15_同援日増４．０*_15・基礎２),0)*(1+_15・区４)),0)</f>
        <v>636</v>
      </c>
      <c r="V193" s="69"/>
    </row>
    <row r="194" spans="1:22" ht="16.5" customHeight="1" x14ac:dyDescent="0.3">
      <c r="A194" s="2">
        <v>15</v>
      </c>
      <c r="B194" s="2" t="s">
        <v>2174</v>
      </c>
      <c r="C194" s="60" t="s">
        <v>12719</v>
      </c>
      <c r="D194" s="1"/>
      <c r="E194" s="68"/>
      <c r="F194" s="70"/>
      <c r="G194" s="106" t="s">
        <v>5896</v>
      </c>
      <c r="H194" s="57" t="s">
        <v>1</v>
      </c>
      <c r="I194" s="58">
        <v>0.9</v>
      </c>
      <c r="J194" s="83" t="s">
        <v>5895</v>
      </c>
      <c r="K194" s="64" t="s">
        <v>1</v>
      </c>
      <c r="L194" s="65">
        <v>1</v>
      </c>
      <c r="M194" s="66"/>
      <c r="N194" s="57"/>
      <c r="O194" s="58"/>
      <c r="P194" s="77"/>
      <c r="Q194" s="1" t="s">
        <v>8087</v>
      </c>
      <c r="R194" s="68"/>
      <c r="S194" s="76"/>
      <c r="T194" s="70"/>
      <c r="U194" s="120">
        <f>ROUND((ROUND((ROUND((_15_同援日増４．０*_15・基礎２),0)*_15・２人),0)*(1+_15・区４)),0)</f>
        <v>636</v>
      </c>
      <c r="V194" s="69"/>
    </row>
    <row r="195" spans="1:22" ht="16.5" customHeight="1" x14ac:dyDescent="0.3">
      <c r="A195" s="2">
        <v>15</v>
      </c>
      <c r="B195" s="2" t="s">
        <v>2175</v>
      </c>
      <c r="C195" s="60" t="s">
        <v>12718</v>
      </c>
      <c r="D195" s="1"/>
      <c r="E195" s="68"/>
      <c r="F195" s="70"/>
      <c r="G195" s="61"/>
      <c r="H195" s="62"/>
      <c r="I195" s="63"/>
      <c r="J195" s="85"/>
      <c r="K195" s="64"/>
      <c r="L195" s="65"/>
      <c r="M195" s="74" t="s">
        <v>17933</v>
      </c>
      <c r="N195" s="62"/>
      <c r="O195" s="63"/>
      <c r="P195" s="75"/>
      <c r="Q195" s="67"/>
      <c r="R195" s="68" t="s">
        <v>1</v>
      </c>
      <c r="S195" s="76">
        <v>0.4</v>
      </c>
      <c r="T195" s="70" t="s">
        <v>422</v>
      </c>
      <c r="U195" s="120">
        <f>ROUND((ROUND((_15_同援日増４．０*(1+_15・盲ろう)),0)*(1+_15・区４)),0)</f>
        <v>882</v>
      </c>
      <c r="V195" s="69"/>
    </row>
    <row r="196" spans="1:22" ht="16.5" customHeight="1" x14ac:dyDescent="0.3">
      <c r="A196" s="2">
        <v>15</v>
      </c>
      <c r="B196" s="2" t="s">
        <v>2176</v>
      </c>
      <c r="C196" s="60" t="s">
        <v>12717</v>
      </c>
      <c r="D196" s="1"/>
      <c r="E196" s="68"/>
      <c r="F196" s="70"/>
      <c r="G196" s="66"/>
      <c r="H196" s="57"/>
      <c r="I196" s="58"/>
      <c r="J196" s="83" t="s">
        <v>5895</v>
      </c>
      <c r="K196" s="64" t="s">
        <v>1</v>
      </c>
      <c r="L196" s="65">
        <v>1</v>
      </c>
      <c r="M196" s="94" t="s">
        <v>17932</v>
      </c>
      <c r="N196" s="68"/>
      <c r="O196" s="76"/>
      <c r="P196" s="70"/>
      <c r="Q196" s="67"/>
      <c r="R196" s="68"/>
      <c r="S196" s="76"/>
      <c r="T196" s="70"/>
      <c r="U196" s="120">
        <f>ROUND((ROUND((ROUND((_15_同援日増４．０*_15・２人),0)*(1+_15・盲ろう)),0)*(1+_15・区４)),0)</f>
        <v>882</v>
      </c>
      <c r="V196" s="69"/>
    </row>
    <row r="197" spans="1:22" ht="16.5" customHeight="1" x14ac:dyDescent="0.3">
      <c r="A197" s="2">
        <v>15</v>
      </c>
      <c r="B197" s="2" t="s">
        <v>2177</v>
      </c>
      <c r="C197" s="60" t="s">
        <v>12716</v>
      </c>
      <c r="D197" s="1"/>
      <c r="E197" s="68"/>
      <c r="F197" s="70"/>
      <c r="G197" s="74" t="s">
        <v>17747</v>
      </c>
      <c r="H197" s="62"/>
      <c r="I197" s="63"/>
      <c r="J197" s="85"/>
      <c r="K197" s="64"/>
      <c r="L197" s="65"/>
      <c r="M197" s="67"/>
      <c r="N197" s="68" t="s">
        <v>1</v>
      </c>
      <c r="O197" s="76">
        <v>0.25</v>
      </c>
      <c r="P197" s="70" t="s">
        <v>422</v>
      </c>
      <c r="Q197" s="67"/>
      <c r="R197" s="68"/>
      <c r="S197" s="76"/>
      <c r="T197" s="70"/>
      <c r="U197" s="120">
        <f>ROUND((ROUND((ROUND((_15_同援日増４．０*_15・基礎２),0)*(1+_15・盲ろう)),0)*(1+_15・区４)),0)</f>
        <v>795</v>
      </c>
      <c r="V197" s="69"/>
    </row>
    <row r="198" spans="1:22" ht="16.5" customHeight="1" x14ac:dyDescent="0.3">
      <c r="A198" s="2">
        <v>15</v>
      </c>
      <c r="B198" s="2" t="s">
        <v>2178</v>
      </c>
      <c r="C198" s="60" t="s">
        <v>12715</v>
      </c>
      <c r="D198" s="81"/>
      <c r="E198" s="57"/>
      <c r="F198" s="77"/>
      <c r="G198" s="106" t="s">
        <v>17420</v>
      </c>
      <c r="H198" s="57" t="s">
        <v>1</v>
      </c>
      <c r="I198" s="58">
        <v>0.9</v>
      </c>
      <c r="J198" s="83" t="s">
        <v>5895</v>
      </c>
      <c r="K198" s="64" t="s">
        <v>1</v>
      </c>
      <c r="L198" s="65">
        <v>1</v>
      </c>
      <c r="M198" s="66"/>
      <c r="N198" s="57"/>
      <c r="O198" s="58"/>
      <c r="P198" s="77"/>
      <c r="Q198" s="66"/>
      <c r="R198" s="57"/>
      <c r="S198" s="58"/>
      <c r="T198" s="77"/>
      <c r="U198" s="120">
        <f>ROUND((ROUND((ROUND((ROUND((_15_同援日増４．０*_15・基礎２),0)*_15・２人),0)*(1+_15・盲ろう)),0)*(1+_15・区４)),0)</f>
        <v>795</v>
      </c>
      <c r="V198" s="69"/>
    </row>
    <row r="199" spans="1:22" ht="16.5" customHeight="1" x14ac:dyDescent="0.3">
      <c r="A199" s="2">
        <v>15</v>
      </c>
      <c r="B199" s="2" t="s">
        <v>2179</v>
      </c>
      <c r="C199" s="60" t="s">
        <v>12714</v>
      </c>
      <c r="D199" s="233" t="s">
        <v>18179</v>
      </c>
      <c r="E199" s="62"/>
      <c r="F199" s="75"/>
      <c r="G199" s="61"/>
      <c r="H199" s="62"/>
      <c r="I199" s="63"/>
      <c r="J199" s="85"/>
      <c r="K199" s="64"/>
      <c r="L199" s="65"/>
      <c r="M199" s="61"/>
      <c r="N199" s="62"/>
      <c r="O199" s="63"/>
      <c r="P199" s="75"/>
      <c r="Q199" s="61"/>
      <c r="R199" s="62"/>
      <c r="S199" s="63"/>
      <c r="T199" s="75"/>
      <c r="U199" s="120">
        <f>_15_同援日増４．５</f>
        <v>567</v>
      </c>
      <c r="V199" s="69"/>
    </row>
    <row r="200" spans="1:22" ht="16.5" customHeight="1" x14ac:dyDescent="0.3">
      <c r="A200" s="2">
        <v>15</v>
      </c>
      <c r="B200" s="2" t="s">
        <v>2180</v>
      </c>
      <c r="C200" s="60" t="s">
        <v>12713</v>
      </c>
      <c r="D200" s="1" t="s">
        <v>17761</v>
      </c>
      <c r="E200" s="68"/>
      <c r="F200" s="70"/>
      <c r="G200" s="66"/>
      <c r="H200" s="57"/>
      <c r="I200" s="58"/>
      <c r="J200" s="83" t="s">
        <v>5895</v>
      </c>
      <c r="K200" s="64" t="s">
        <v>1</v>
      </c>
      <c r="L200" s="65">
        <v>1</v>
      </c>
      <c r="M200" s="67"/>
      <c r="N200" s="68"/>
      <c r="O200" s="76"/>
      <c r="P200" s="70"/>
      <c r="Q200" s="67"/>
      <c r="R200" s="68"/>
      <c r="S200" s="76"/>
      <c r="T200" s="70"/>
      <c r="U200" s="120">
        <f>ROUND((_15_同援日増４．５*_15・２人),0)</f>
        <v>567</v>
      </c>
      <c r="V200" s="69"/>
    </row>
    <row r="201" spans="1:22" ht="16.5" customHeight="1" x14ac:dyDescent="0.3">
      <c r="A201" s="2">
        <v>15</v>
      </c>
      <c r="B201" s="2" t="s">
        <v>2181</v>
      </c>
      <c r="C201" s="60" t="s">
        <v>12712</v>
      </c>
      <c r="D201" s="1" t="s">
        <v>8621</v>
      </c>
      <c r="E201" s="68"/>
      <c r="F201" s="70"/>
      <c r="G201" s="74" t="s">
        <v>17747</v>
      </c>
      <c r="H201" s="62"/>
      <c r="I201" s="63"/>
      <c r="J201" s="85"/>
      <c r="K201" s="64"/>
      <c r="L201" s="65"/>
      <c r="M201" s="67"/>
      <c r="N201" s="68"/>
      <c r="O201" s="76"/>
      <c r="P201" s="70"/>
      <c r="Q201" s="67"/>
      <c r="R201" s="68"/>
      <c r="S201" s="76"/>
      <c r="T201" s="70"/>
      <c r="U201" s="120">
        <f>ROUND((_15_同援日増４．５*_15・基礎２),0)</f>
        <v>510</v>
      </c>
      <c r="V201" s="69"/>
    </row>
    <row r="202" spans="1:22" ht="16.5" customHeight="1" x14ac:dyDescent="0.3">
      <c r="A202" s="2">
        <v>15</v>
      </c>
      <c r="B202" s="2" t="s">
        <v>2182</v>
      </c>
      <c r="C202" s="60" t="s">
        <v>12711</v>
      </c>
      <c r="D202" s="1"/>
      <c r="E202" s="119">
        <v>567</v>
      </c>
      <c r="F202" s="70" t="s">
        <v>0</v>
      </c>
      <c r="G202" s="106" t="s">
        <v>17420</v>
      </c>
      <c r="H202" s="57" t="s">
        <v>1</v>
      </c>
      <c r="I202" s="58">
        <v>0.9</v>
      </c>
      <c r="J202" s="83" t="s">
        <v>5895</v>
      </c>
      <c r="K202" s="64" t="s">
        <v>1</v>
      </c>
      <c r="L202" s="65">
        <v>1</v>
      </c>
      <c r="M202" s="66"/>
      <c r="N202" s="57"/>
      <c r="O202" s="58"/>
      <c r="P202" s="77"/>
      <c r="Q202" s="67"/>
      <c r="R202" s="68"/>
      <c r="S202" s="76"/>
      <c r="T202" s="70"/>
      <c r="U202" s="120">
        <f>ROUND((ROUND((_15_同援日増４．５*_15・基礎２),0)*_15・２人),0)</f>
        <v>510</v>
      </c>
      <c r="V202" s="69"/>
    </row>
    <row r="203" spans="1:22" ht="16.5" customHeight="1" x14ac:dyDescent="0.3">
      <c r="A203" s="2">
        <v>15</v>
      </c>
      <c r="B203" s="2" t="s">
        <v>2183</v>
      </c>
      <c r="C203" s="60" t="s">
        <v>12710</v>
      </c>
      <c r="D203" s="1"/>
      <c r="E203" s="68"/>
      <c r="F203" s="70"/>
      <c r="G203" s="61"/>
      <c r="H203" s="62"/>
      <c r="I203" s="63"/>
      <c r="J203" s="85"/>
      <c r="K203" s="64"/>
      <c r="L203" s="65"/>
      <c r="M203" s="74" t="s">
        <v>17933</v>
      </c>
      <c r="N203" s="62"/>
      <c r="O203" s="63"/>
      <c r="P203" s="75"/>
      <c r="Q203" s="67"/>
      <c r="R203" s="68"/>
      <c r="S203" s="76"/>
      <c r="T203" s="70"/>
      <c r="U203" s="120">
        <f>ROUND((_15_同援日増４．５*(1+_15・盲ろう)),0)</f>
        <v>709</v>
      </c>
      <c r="V203" s="69"/>
    </row>
    <row r="204" spans="1:22" ht="16.5" customHeight="1" x14ac:dyDescent="0.3">
      <c r="A204" s="2">
        <v>15</v>
      </c>
      <c r="B204" s="2" t="s">
        <v>2184</v>
      </c>
      <c r="C204" s="60" t="s">
        <v>12709</v>
      </c>
      <c r="D204" s="1"/>
      <c r="E204" s="68"/>
      <c r="F204" s="70"/>
      <c r="G204" s="66"/>
      <c r="H204" s="57"/>
      <c r="I204" s="58"/>
      <c r="J204" s="83" t="s">
        <v>5895</v>
      </c>
      <c r="K204" s="64" t="s">
        <v>1</v>
      </c>
      <c r="L204" s="65">
        <v>1</v>
      </c>
      <c r="M204" s="94" t="s">
        <v>17932</v>
      </c>
      <c r="N204" s="68"/>
      <c r="O204" s="76"/>
      <c r="P204" s="70"/>
      <c r="Q204" s="67"/>
      <c r="R204" s="68"/>
      <c r="S204" s="76"/>
      <c r="T204" s="70"/>
      <c r="U204" s="120">
        <f>ROUND((ROUND((_15_同援日増４．５*_15・２人),0)*(1+_15・盲ろう)),0)</f>
        <v>709</v>
      </c>
      <c r="V204" s="69"/>
    </row>
    <row r="205" spans="1:22" ht="16.5" customHeight="1" x14ac:dyDescent="0.3">
      <c r="A205" s="2">
        <v>15</v>
      </c>
      <c r="B205" s="2" t="s">
        <v>2185</v>
      </c>
      <c r="C205" s="60" t="s">
        <v>12708</v>
      </c>
      <c r="D205" s="1"/>
      <c r="E205" s="68"/>
      <c r="F205" s="70"/>
      <c r="G205" s="74" t="s">
        <v>17747</v>
      </c>
      <c r="H205" s="62"/>
      <c r="I205" s="63"/>
      <c r="J205" s="85"/>
      <c r="K205" s="64"/>
      <c r="L205" s="65"/>
      <c r="M205" s="67"/>
      <c r="N205" s="68" t="s">
        <v>1</v>
      </c>
      <c r="O205" s="76">
        <v>0.25</v>
      </c>
      <c r="P205" s="70" t="s">
        <v>422</v>
      </c>
      <c r="Q205" s="67"/>
      <c r="R205" s="68"/>
      <c r="S205" s="76"/>
      <c r="T205" s="70"/>
      <c r="U205" s="120">
        <f>ROUND((ROUND((_15_同援日増４．５*_15・基礎２),0)*(1+_15・盲ろう)),0)</f>
        <v>638</v>
      </c>
      <c r="V205" s="69"/>
    </row>
    <row r="206" spans="1:22" ht="16.5" customHeight="1" x14ac:dyDescent="0.3">
      <c r="A206" s="2">
        <v>15</v>
      </c>
      <c r="B206" s="2" t="s">
        <v>2186</v>
      </c>
      <c r="C206" s="60" t="s">
        <v>12707</v>
      </c>
      <c r="D206" s="1"/>
      <c r="E206" s="68"/>
      <c r="F206" s="70"/>
      <c r="G206" s="106" t="s">
        <v>17420</v>
      </c>
      <c r="H206" s="57" t="s">
        <v>1</v>
      </c>
      <c r="I206" s="58">
        <v>0.9</v>
      </c>
      <c r="J206" s="83" t="s">
        <v>5895</v>
      </c>
      <c r="K206" s="64" t="s">
        <v>1</v>
      </c>
      <c r="L206" s="65">
        <v>1</v>
      </c>
      <c r="M206" s="66"/>
      <c r="N206" s="57"/>
      <c r="O206" s="58"/>
      <c r="P206" s="77"/>
      <c r="Q206" s="66"/>
      <c r="R206" s="57"/>
      <c r="S206" s="58"/>
      <c r="T206" s="77"/>
      <c r="U206" s="120">
        <f>ROUND((ROUND((ROUND((_15_同援日増４．５*_15・基礎２),0)*_15・２人),0)*(1+_15・盲ろう)),0)</f>
        <v>638</v>
      </c>
      <c r="V206" s="69"/>
    </row>
    <row r="207" spans="1:22" ht="16.5" customHeight="1" x14ac:dyDescent="0.3">
      <c r="A207" s="2">
        <v>15</v>
      </c>
      <c r="B207" s="2" t="s">
        <v>2187</v>
      </c>
      <c r="C207" s="60" t="s">
        <v>12706</v>
      </c>
      <c r="D207" s="1"/>
      <c r="E207" s="68"/>
      <c r="F207" s="70"/>
      <c r="G207" s="61"/>
      <c r="H207" s="62"/>
      <c r="I207" s="63"/>
      <c r="J207" s="85"/>
      <c r="K207" s="64"/>
      <c r="L207" s="65"/>
      <c r="M207" s="61"/>
      <c r="N207" s="62"/>
      <c r="O207" s="63"/>
      <c r="P207" s="75"/>
      <c r="Q207" s="61"/>
      <c r="R207" s="62"/>
      <c r="S207" s="63"/>
      <c r="T207" s="75"/>
      <c r="U207" s="120">
        <f>ROUND((_15_同援日増４．５*(1+_15・区３)),0)</f>
        <v>680</v>
      </c>
      <c r="V207" s="69"/>
    </row>
    <row r="208" spans="1:22" ht="16.5" customHeight="1" x14ac:dyDescent="0.3">
      <c r="A208" s="2">
        <v>15</v>
      </c>
      <c r="B208" s="2" t="s">
        <v>2188</v>
      </c>
      <c r="C208" s="60" t="s">
        <v>12705</v>
      </c>
      <c r="D208" s="1"/>
      <c r="E208" s="68"/>
      <c r="F208" s="70"/>
      <c r="G208" s="66"/>
      <c r="H208" s="57"/>
      <c r="I208" s="58"/>
      <c r="J208" s="83" t="s">
        <v>5895</v>
      </c>
      <c r="K208" s="64" t="s">
        <v>1</v>
      </c>
      <c r="L208" s="65">
        <v>1</v>
      </c>
      <c r="M208" s="67"/>
      <c r="N208" s="68"/>
      <c r="O208" s="76"/>
      <c r="P208" s="70"/>
      <c r="Q208" s="67"/>
      <c r="R208" s="68"/>
      <c r="S208" s="76"/>
      <c r="T208" s="70"/>
      <c r="U208" s="120">
        <f>ROUND((ROUND((_15_同援日増４．５*_15・２人),0)*(1+_15・区３)),0)</f>
        <v>680</v>
      </c>
      <c r="V208" s="69"/>
    </row>
    <row r="209" spans="1:22" ht="16.5" customHeight="1" x14ac:dyDescent="0.3">
      <c r="A209" s="2">
        <v>15</v>
      </c>
      <c r="B209" s="2" t="s">
        <v>2189</v>
      </c>
      <c r="C209" s="60" t="s">
        <v>12704</v>
      </c>
      <c r="D209" s="1"/>
      <c r="E209" s="68"/>
      <c r="F209" s="70"/>
      <c r="G209" s="74" t="s">
        <v>17747</v>
      </c>
      <c r="H209" s="62"/>
      <c r="I209" s="63"/>
      <c r="J209" s="85"/>
      <c r="K209" s="64"/>
      <c r="L209" s="65"/>
      <c r="M209" s="67"/>
      <c r="N209" s="68"/>
      <c r="O209" s="76"/>
      <c r="P209" s="70"/>
      <c r="Q209" s="1" t="s">
        <v>17936</v>
      </c>
      <c r="R209" s="68"/>
      <c r="S209" s="76"/>
      <c r="T209" s="70"/>
      <c r="U209" s="120">
        <f>ROUND((ROUND((_15_同援日増４．５*_15・基礎２),0)*(1+_15・区３)),0)</f>
        <v>612</v>
      </c>
      <c r="V209" s="69"/>
    </row>
    <row r="210" spans="1:22" ht="16.5" customHeight="1" x14ac:dyDescent="0.3">
      <c r="A210" s="2">
        <v>15</v>
      </c>
      <c r="B210" s="2" t="s">
        <v>2190</v>
      </c>
      <c r="C210" s="60" t="s">
        <v>12703</v>
      </c>
      <c r="D210" s="1"/>
      <c r="E210" s="68"/>
      <c r="F210" s="70"/>
      <c r="G210" s="106" t="s">
        <v>17420</v>
      </c>
      <c r="H210" s="57" t="s">
        <v>1</v>
      </c>
      <c r="I210" s="58">
        <v>0.9</v>
      </c>
      <c r="J210" s="83" t="s">
        <v>5895</v>
      </c>
      <c r="K210" s="64" t="s">
        <v>1</v>
      </c>
      <c r="L210" s="65">
        <v>1</v>
      </c>
      <c r="M210" s="66"/>
      <c r="N210" s="57"/>
      <c r="O210" s="58"/>
      <c r="P210" s="77"/>
      <c r="Q210" s="1" t="s">
        <v>17934</v>
      </c>
      <c r="R210" s="68"/>
      <c r="S210" s="76"/>
      <c r="T210" s="70"/>
      <c r="U210" s="120">
        <f>ROUND((ROUND((ROUND((_15_同援日増４．５*_15・基礎２),0)*_15・２人),0)*(1+_15・区３)),0)</f>
        <v>612</v>
      </c>
      <c r="V210" s="69"/>
    </row>
    <row r="211" spans="1:22" ht="16.5" customHeight="1" x14ac:dyDescent="0.3">
      <c r="A211" s="2">
        <v>15</v>
      </c>
      <c r="B211" s="2" t="s">
        <v>2191</v>
      </c>
      <c r="C211" s="60" t="s">
        <v>12702</v>
      </c>
      <c r="D211" s="1"/>
      <c r="E211" s="68"/>
      <c r="F211" s="70"/>
      <c r="G211" s="61"/>
      <c r="H211" s="62"/>
      <c r="I211" s="63"/>
      <c r="J211" s="85"/>
      <c r="K211" s="64"/>
      <c r="L211" s="65"/>
      <c r="M211" s="74" t="s">
        <v>17933</v>
      </c>
      <c r="N211" s="62"/>
      <c r="O211" s="63"/>
      <c r="P211" s="75"/>
      <c r="Q211" s="67"/>
      <c r="R211" s="68" t="s">
        <v>1</v>
      </c>
      <c r="S211" s="76">
        <v>0.2</v>
      </c>
      <c r="T211" s="70" t="s">
        <v>422</v>
      </c>
      <c r="U211" s="120">
        <f>ROUND((ROUND((_15_同援日増４．５*(1+_15・盲ろう)),0)*(1+_15・区３)),0)</f>
        <v>851</v>
      </c>
      <c r="V211" s="69"/>
    </row>
    <row r="212" spans="1:22" ht="16.5" customHeight="1" x14ac:dyDescent="0.3">
      <c r="A212" s="2">
        <v>15</v>
      </c>
      <c r="B212" s="2" t="s">
        <v>2192</v>
      </c>
      <c r="C212" s="60" t="s">
        <v>12701</v>
      </c>
      <c r="D212" s="1"/>
      <c r="E212" s="68"/>
      <c r="F212" s="70"/>
      <c r="G212" s="66"/>
      <c r="H212" s="57"/>
      <c r="I212" s="58"/>
      <c r="J212" s="83" t="s">
        <v>5895</v>
      </c>
      <c r="K212" s="64" t="s">
        <v>1</v>
      </c>
      <c r="L212" s="65">
        <v>1</v>
      </c>
      <c r="M212" s="94" t="s">
        <v>8083</v>
      </c>
      <c r="N212" s="68"/>
      <c r="O212" s="76"/>
      <c r="P212" s="70"/>
      <c r="Q212" s="67"/>
      <c r="R212" s="68"/>
      <c r="S212" s="76"/>
      <c r="T212" s="70"/>
      <c r="U212" s="120">
        <f>ROUND((ROUND((ROUND((_15_同援日増４．５*_15・２人),0)*(1+_15・盲ろう)),0)*(1+_15・区３)),0)</f>
        <v>851</v>
      </c>
      <c r="V212" s="69"/>
    </row>
    <row r="213" spans="1:22" ht="16.5" customHeight="1" x14ac:dyDescent="0.3">
      <c r="A213" s="2">
        <v>15</v>
      </c>
      <c r="B213" s="2" t="s">
        <v>2193</v>
      </c>
      <c r="C213" s="60" t="s">
        <v>12700</v>
      </c>
      <c r="D213" s="1"/>
      <c r="E213" s="68"/>
      <c r="F213" s="70"/>
      <c r="G213" s="74" t="s">
        <v>17747</v>
      </c>
      <c r="H213" s="62"/>
      <c r="I213" s="63"/>
      <c r="J213" s="85"/>
      <c r="K213" s="64"/>
      <c r="L213" s="65"/>
      <c r="M213" s="67"/>
      <c r="N213" s="68" t="s">
        <v>1</v>
      </c>
      <c r="O213" s="76">
        <v>0.25</v>
      </c>
      <c r="P213" s="70" t="s">
        <v>422</v>
      </c>
      <c r="Q213" s="67"/>
      <c r="R213" s="68"/>
      <c r="S213" s="76"/>
      <c r="T213" s="70"/>
      <c r="U213" s="120">
        <f>ROUND((ROUND((ROUND((_15_同援日増４．５*_15・基礎２),0)*(1+_15・盲ろう)),0)*(1+_15・区３)),0)</f>
        <v>766</v>
      </c>
      <c r="V213" s="69"/>
    </row>
    <row r="214" spans="1:22" ht="16.5" customHeight="1" x14ac:dyDescent="0.3">
      <c r="A214" s="2">
        <v>15</v>
      </c>
      <c r="B214" s="2" t="s">
        <v>2194</v>
      </c>
      <c r="C214" s="60" t="s">
        <v>12699</v>
      </c>
      <c r="D214" s="1"/>
      <c r="E214" s="68"/>
      <c r="F214" s="70"/>
      <c r="G214" s="106" t="s">
        <v>17420</v>
      </c>
      <c r="H214" s="57" t="s">
        <v>1</v>
      </c>
      <c r="I214" s="58">
        <v>0.9</v>
      </c>
      <c r="J214" s="83" t="s">
        <v>5895</v>
      </c>
      <c r="K214" s="64" t="s">
        <v>1</v>
      </c>
      <c r="L214" s="65">
        <v>1</v>
      </c>
      <c r="M214" s="66"/>
      <c r="N214" s="57"/>
      <c r="O214" s="58"/>
      <c r="P214" s="77"/>
      <c r="Q214" s="66"/>
      <c r="R214" s="57"/>
      <c r="S214" s="58"/>
      <c r="T214" s="77"/>
      <c r="U214" s="120">
        <f>ROUND((ROUND((ROUND((ROUND((_15_同援日増４．５*_15・基礎２),0)*_15・２人),0)*(1+_15・盲ろう)),0)*(1+_15・区３)),0)</f>
        <v>766</v>
      </c>
      <c r="V214" s="69"/>
    </row>
    <row r="215" spans="1:22" ht="16.5" customHeight="1" x14ac:dyDescent="0.3">
      <c r="A215" s="2">
        <v>15</v>
      </c>
      <c r="B215" s="2" t="s">
        <v>2195</v>
      </c>
      <c r="C215" s="60" t="s">
        <v>12698</v>
      </c>
      <c r="D215" s="1"/>
      <c r="E215" s="68"/>
      <c r="F215" s="70"/>
      <c r="G215" s="61"/>
      <c r="H215" s="62"/>
      <c r="I215" s="63"/>
      <c r="J215" s="85"/>
      <c r="K215" s="64"/>
      <c r="L215" s="65"/>
      <c r="M215" s="61"/>
      <c r="N215" s="62"/>
      <c r="O215" s="63"/>
      <c r="P215" s="75"/>
      <c r="Q215" s="61"/>
      <c r="R215" s="62"/>
      <c r="S215" s="63"/>
      <c r="T215" s="75"/>
      <c r="U215" s="120">
        <f>ROUND((_15_同援日増４．５*(1+_15・区４)),0)</f>
        <v>794</v>
      </c>
      <c r="V215" s="69"/>
    </row>
    <row r="216" spans="1:22" ht="16.5" customHeight="1" x14ac:dyDescent="0.3">
      <c r="A216" s="2">
        <v>15</v>
      </c>
      <c r="B216" s="2" t="s">
        <v>2196</v>
      </c>
      <c r="C216" s="60" t="s">
        <v>12697</v>
      </c>
      <c r="D216" s="1"/>
      <c r="E216" s="68"/>
      <c r="F216" s="70"/>
      <c r="G216" s="66"/>
      <c r="H216" s="57"/>
      <c r="I216" s="58"/>
      <c r="J216" s="83" t="s">
        <v>5895</v>
      </c>
      <c r="K216" s="64" t="s">
        <v>1</v>
      </c>
      <c r="L216" s="65">
        <v>1</v>
      </c>
      <c r="M216" s="67"/>
      <c r="N216" s="68"/>
      <c r="O216" s="76"/>
      <c r="P216" s="70"/>
      <c r="Q216" s="67"/>
      <c r="R216" s="68"/>
      <c r="S216" s="76"/>
      <c r="T216" s="70"/>
      <c r="U216" s="120">
        <f>ROUND((ROUND((_15_同援日増４．５*_15・２人),0)*(1+_15・区４)),0)</f>
        <v>794</v>
      </c>
      <c r="V216" s="69"/>
    </row>
    <row r="217" spans="1:22" ht="16.5" customHeight="1" x14ac:dyDescent="0.3">
      <c r="A217" s="2">
        <v>15</v>
      </c>
      <c r="B217" s="2" t="s">
        <v>2197</v>
      </c>
      <c r="C217" s="60" t="s">
        <v>12696</v>
      </c>
      <c r="D217" s="1"/>
      <c r="E217" s="68"/>
      <c r="F217" s="70"/>
      <c r="G217" s="74" t="s">
        <v>17747</v>
      </c>
      <c r="H217" s="62"/>
      <c r="I217" s="63"/>
      <c r="J217" s="85"/>
      <c r="K217" s="64"/>
      <c r="L217" s="65"/>
      <c r="M217" s="67"/>
      <c r="N217" s="68"/>
      <c r="O217" s="76"/>
      <c r="P217" s="70"/>
      <c r="Q217" s="1" t="s">
        <v>17935</v>
      </c>
      <c r="R217" s="68"/>
      <c r="S217" s="76"/>
      <c r="T217" s="70"/>
      <c r="U217" s="120">
        <f>ROUND((ROUND((_15_同援日増４．５*_15・基礎２),0)*(1+_15・区４)),0)</f>
        <v>714</v>
      </c>
      <c r="V217" s="69"/>
    </row>
    <row r="218" spans="1:22" ht="16.5" customHeight="1" x14ac:dyDescent="0.3">
      <c r="A218" s="2">
        <v>15</v>
      </c>
      <c r="B218" s="2" t="s">
        <v>2198</v>
      </c>
      <c r="C218" s="60" t="s">
        <v>12695</v>
      </c>
      <c r="D218" s="1"/>
      <c r="E218" s="68"/>
      <c r="F218" s="70"/>
      <c r="G218" s="106" t="s">
        <v>17420</v>
      </c>
      <c r="H218" s="57" t="s">
        <v>1</v>
      </c>
      <c r="I218" s="58">
        <v>0.9</v>
      </c>
      <c r="J218" s="83" t="s">
        <v>5895</v>
      </c>
      <c r="K218" s="64" t="s">
        <v>1</v>
      </c>
      <c r="L218" s="65">
        <v>1</v>
      </c>
      <c r="M218" s="66"/>
      <c r="N218" s="57"/>
      <c r="O218" s="58"/>
      <c r="P218" s="77"/>
      <c r="Q218" s="1" t="s">
        <v>17934</v>
      </c>
      <c r="R218" s="68"/>
      <c r="S218" s="76"/>
      <c r="T218" s="70"/>
      <c r="U218" s="120">
        <f>ROUND((ROUND((ROUND((_15_同援日増４．５*_15・基礎２),0)*_15・２人),0)*(1+_15・区４)),0)</f>
        <v>714</v>
      </c>
      <c r="V218" s="69"/>
    </row>
    <row r="219" spans="1:22" ht="16.5" customHeight="1" x14ac:dyDescent="0.3">
      <c r="A219" s="2">
        <v>15</v>
      </c>
      <c r="B219" s="2" t="s">
        <v>2199</v>
      </c>
      <c r="C219" s="60" t="s">
        <v>12694</v>
      </c>
      <c r="D219" s="1"/>
      <c r="E219" s="68"/>
      <c r="F219" s="70"/>
      <c r="G219" s="61"/>
      <c r="H219" s="62"/>
      <c r="I219" s="63"/>
      <c r="J219" s="85"/>
      <c r="K219" s="64"/>
      <c r="L219" s="65"/>
      <c r="M219" s="74" t="s">
        <v>17933</v>
      </c>
      <c r="N219" s="62"/>
      <c r="O219" s="63"/>
      <c r="P219" s="75"/>
      <c r="Q219" s="67"/>
      <c r="R219" s="68" t="s">
        <v>1</v>
      </c>
      <c r="S219" s="76">
        <v>0.4</v>
      </c>
      <c r="T219" s="70" t="s">
        <v>422</v>
      </c>
      <c r="U219" s="120">
        <f>ROUND((ROUND((_15_同援日増４．５*(1+_15・盲ろう)),0)*(1+_15・区４)),0)</f>
        <v>993</v>
      </c>
      <c r="V219" s="69"/>
    </row>
    <row r="220" spans="1:22" ht="16.5" customHeight="1" x14ac:dyDescent="0.3">
      <c r="A220" s="2">
        <v>15</v>
      </c>
      <c r="B220" s="2" t="s">
        <v>2200</v>
      </c>
      <c r="C220" s="60" t="s">
        <v>12693</v>
      </c>
      <c r="D220" s="1"/>
      <c r="E220" s="68"/>
      <c r="F220" s="70"/>
      <c r="G220" s="66"/>
      <c r="H220" s="57"/>
      <c r="I220" s="58"/>
      <c r="J220" s="83" t="s">
        <v>5895</v>
      </c>
      <c r="K220" s="64" t="s">
        <v>1</v>
      </c>
      <c r="L220" s="65">
        <v>1</v>
      </c>
      <c r="M220" s="94" t="s">
        <v>8083</v>
      </c>
      <c r="N220" s="68"/>
      <c r="O220" s="76"/>
      <c r="P220" s="70"/>
      <c r="Q220" s="67"/>
      <c r="R220" s="68"/>
      <c r="S220" s="76"/>
      <c r="T220" s="70"/>
      <c r="U220" s="120">
        <f>ROUND((ROUND((ROUND((_15_同援日増４．５*_15・２人),0)*(1+_15・盲ろう)),0)*(1+_15・区４)),0)</f>
        <v>993</v>
      </c>
      <c r="V220" s="69"/>
    </row>
    <row r="221" spans="1:22" ht="16.5" customHeight="1" x14ac:dyDescent="0.3">
      <c r="A221" s="2">
        <v>15</v>
      </c>
      <c r="B221" s="2" t="s">
        <v>2201</v>
      </c>
      <c r="C221" s="60" t="s">
        <v>12692</v>
      </c>
      <c r="D221" s="1"/>
      <c r="E221" s="68"/>
      <c r="F221" s="70"/>
      <c r="G221" s="74" t="s">
        <v>17747</v>
      </c>
      <c r="H221" s="62"/>
      <c r="I221" s="63"/>
      <c r="J221" s="85"/>
      <c r="K221" s="64"/>
      <c r="L221" s="65"/>
      <c r="M221" s="67"/>
      <c r="N221" s="68" t="s">
        <v>1</v>
      </c>
      <c r="O221" s="76">
        <v>0.25</v>
      </c>
      <c r="P221" s="70" t="s">
        <v>422</v>
      </c>
      <c r="Q221" s="67"/>
      <c r="R221" s="68"/>
      <c r="S221" s="76"/>
      <c r="T221" s="70"/>
      <c r="U221" s="120">
        <f>ROUND((ROUND((ROUND((_15_同援日増４．５*_15・基礎２),0)*(1+_15・盲ろう)),0)*(1+_15・区４)),0)</f>
        <v>893</v>
      </c>
      <c r="V221" s="69"/>
    </row>
    <row r="222" spans="1:22" ht="16.5" customHeight="1" x14ac:dyDescent="0.3">
      <c r="A222" s="2">
        <v>15</v>
      </c>
      <c r="B222" s="2" t="s">
        <v>2202</v>
      </c>
      <c r="C222" s="60" t="s">
        <v>12691</v>
      </c>
      <c r="D222" s="81"/>
      <c r="E222" s="57"/>
      <c r="F222" s="77"/>
      <c r="G222" s="106" t="s">
        <v>17420</v>
      </c>
      <c r="H222" s="57" t="s">
        <v>1</v>
      </c>
      <c r="I222" s="58">
        <v>0.9</v>
      </c>
      <c r="J222" s="83" t="s">
        <v>5895</v>
      </c>
      <c r="K222" s="64" t="s">
        <v>1</v>
      </c>
      <c r="L222" s="65">
        <v>1</v>
      </c>
      <c r="M222" s="66"/>
      <c r="N222" s="57"/>
      <c r="O222" s="58"/>
      <c r="P222" s="77"/>
      <c r="Q222" s="66"/>
      <c r="R222" s="57"/>
      <c r="S222" s="58"/>
      <c r="T222" s="77"/>
      <c r="U222" s="120">
        <f>ROUND((ROUND((ROUND((ROUND((_15_同援日増４．５*_15・基礎２),0)*_15・２人),0)*(1+_15・盲ろう)),0)*(1+_15・区４)),0)</f>
        <v>893</v>
      </c>
      <c r="V222" s="69"/>
    </row>
    <row r="223" spans="1:22" ht="16.5" customHeight="1" x14ac:dyDescent="0.3">
      <c r="A223" s="2">
        <v>15</v>
      </c>
      <c r="B223" s="2" t="s">
        <v>2203</v>
      </c>
      <c r="C223" s="60" t="s">
        <v>12690</v>
      </c>
      <c r="D223" s="233" t="s">
        <v>18178</v>
      </c>
      <c r="E223" s="62"/>
      <c r="F223" s="75"/>
      <c r="G223" s="61"/>
      <c r="H223" s="62"/>
      <c r="I223" s="63"/>
      <c r="J223" s="85"/>
      <c r="K223" s="64"/>
      <c r="L223" s="65"/>
      <c r="M223" s="61"/>
      <c r="N223" s="62"/>
      <c r="O223" s="63"/>
      <c r="P223" s="75"/>
      <c r="Q223" s="61"/>
      <c r="R223" s="62"/>
      <c r="S223" s="63"/>
      <c r="T223" s="75"/>
      <c r="U223" s="120">
        <f>_15_同援日増５．０</f>
        <v>630</v>
      </c>
      <c r="V223" s="69"/>
    </row>
    <row r="224" spans="1:22" ht="16.5" customHeight="1" x14ac:dyDescent="0.3">
      <c r="A224" s="2">
        <v>15</v>
      </c>
      <c r="B224" s="2" t="s">
        <v>2204</v>
      </c>
      <c r="C224" s="60" t="s">
        <v>12689</v>
      </c>
      <c r="D224" s="1" t="s">
        <v>17758</v>
      </c>
      <c r="E224" s="68"/>
      <c r="F224" s="70"/>
      <c r="G224" s="66"/>
      <c r="H224" s="57"/>
      <c r="I224" s="58"/>
      <c r="J224" s="83" t="s">
        <v>5895</v>
      </c>
      <c r="K224" s="64" t="s">
        <v>1</v>
      </c>
      <c r="L224" s="65">
        <v>1</v>
      </c>
      <c r="M224" s="67"/>
      <c r="N224" s="68"/>
      <c r="O224" s="76"/>
      <c r="P224" s="70"/>
      <c r="Q224" s="67"/>
      <c r="R224" s="68"/>
      <c r="S224" s="76"/>
      <c r="T224" s="70"/>
      <c r="U224" s="120">
        <f>ROUND((_15_同援日増５．０*_15・２人),0)</f>
        <v>630</v>
      </c>
      <c r="V224" s="69"/>
    </row>
    <row r="225" spans="1:22" ht="16.5" customHeight="1" x14ac:dyDescent="0.3">
      <c r="A225" s="2">
        <v>15</v>
      </c>
      <c r="B225" s="2" t="s">
        <v>2205</v>
      </c>
      <c r="C225" s="60" t="s">
        <v>12688</v>
      </c>
      <c r="D225" s="1" t="s">
        <v>9035</v>
      </c>
      <c r="E225" s="68"/>
      <c r="F225" s="70"/>
      <c r="G225" s="74" t="s">
        <v>17747</v>
      </c>
      <c r="H225" s="62"/>
      <c r="I225" s="63"/>
      <c r="J225" s="85"/>
      <c r="K225" s="64"/>
      <c r="L225" s="65"/>
      <c r="M225" s="67"/>
      <c r="N225" s="68"/>
      <c r="O225" s="76"/>
      <c r="P225" s="70"/>
      <c r="Q225" s="67"/>
      <c r="R225" s="68"/>
      <c r="S225" s="76"/>
      <c r="T225" s="70"/>
      <c r="U225" s="120">
        <f>ROUND((_15_同援日増５．０*_15・基礎２),0)</f>
        <v>567</v>
      </c>
      <c r="V225" s="69"/>
    </row>
    <row r="226" spans="1:22" ht="16.5" customHeight="1" x14ac:dyDescent="0.3">
      <c r="A226" s="2">
        <v>15</v>
      </c>
      <c r="B226" s="2" t="s">
        <v>2206</v>
      </c>
      <c r="C226" s="60" t="s">
        <v>12687</v>
      </c>
      <c r="D226" s="1"/>
      <c r="E226" s="119">
        <v>630</v>
      </c>
      <c r="F226" s="70" t="s">
        <v>0</v>
      </c>
      <c r="G226" s="106" t="s">
        <v>17420</v>
      </c>
      <c r="H226" s="57" t="s">
        <v>1</v>
      </c>
      <c r="I226" s="58">
        <v>0.9</v>
      </c>
      <c r="J226" s="83" t="s">
        <v>5895</v>
      </c>
      <c r="K226" s="64" t="s">
        <v>1</v>
      </c>
      <c r="L226" s="65">
        <v>1</v>
      </c>
      <c r="M226" s="66"/>
      <c r="N226" s="57"/>
      <c r="O226" s="58"/>
      <c r="P226" s="77"/>
      <c r="Q226" s="67"/>
      <c r="R226" s="68"/>
      <c r="S226" s="76"/>
      <c r="T226" s="70"/>
      <c r="U226" s="120">
        <f>ROUND((ROUND((_15_同援日増５．０*_15・基礎２),0)*_15・２人),0)</f>
        <v>567</v>
      </c>
      <c r="V226" s="69"/>
    </row>
    <row r="227" spans="1:22" ht="16.5" customHeight="1" x14ac:dyDescent="0.3">
      <c r="A227" s="2">
        <v>15</v>
      </c>
      <c r="B227" s="2" t="s">
        <v>2207</v>
      </c>
      <c r="C227" s="60" t="s">
        <v>12686</v>
      </c>
      <c r="D227" s="1"/>
      <c r="E227" s="68"/>
      <c r="F227" s="70"/>
      <c r="G227" s="61"/>
      <c r="H227" s="62"/>
      <c r="I227" s="63"/>
      <c r="J227" s="85"/>
      <c r="K227" s="64"/>
      <c r="L227" s="65"/>
      <c r="M227" s="74" t="s">
        <v>17933</v>
      </c>
      <c r="N227" s="62"/>
      <c r="O227" s="63"/>
      <c r="P227" s="75"/>
      <c r="Q227" s="67"/>
      <c r="R227" s="68"/>
      <c r="S227" s="76"/>
      <c r="T227" s="70"/>
      <c r="U227" s="120">
        <f>ROUND((_15_同援日増５．０*(1+_15・盲ろう)),0)</f>
        <v>788</v>
      </c>
      <c r="V227" s="69"/>
    </row>
    <row r="228" spans="1:22" ht="16.5" customHeight="1" x14ac:dyDescent="0.3">
      <c r="A228" s="2">
        <v>15</v>
      </c>
      <c r="B228" s="2" t="s">
        <v>2208</v>
      </c>
      <c r="C228" s="60" t="s">
        <v>12685</v>
      </c>
      <c r="D228" s="1"/>
      <c r="E228" s="68"/>
      <c r="F228" s="70"/>
      <c r="G228" s="66"/>
      <c r="H228" s="57"/>
      <c r="I228" s="58"/>
      <c r="J228" s="83" t="s">
        <v>5895</v>
      </c>
      <c r="K228" s="64" t="s">
        <v>1</v>
      </c>
      <c r="L228" s="65">
        <v>1</v>
      </c>
      <c r="M228" s="94" t="s">
        <v>8083</v>
      </c>
      <c r="N228" s="68"/>
      <c r="O228" s="76"/>
      <c r="P228" s="70"/>
      <c r="Q228" s="67"/>
      <c r="R228" s="68"/>
      <c r="S228" s="76"/>
      <c r="T228" s="70"/>
      <c r="U228" s="120">
        <f>ROUND((ROUND((_15_同援日増５．０*_15・２人),0)*(1+_15・盲ろう)),0)</f>
        <v>788</v>
      </c>
      <c r="V228" s="69"/>
    </row>
    <row r="229" spans="1:22" ht="16.5" customHeight="1" x14ac:dyDescent="0.3">
      <c r="A229" s="2">
        <v>15</v>
      </c>
      <c r="B229" s="2" t="s">
        <v>2209</v>
      </c>
      <c r="C229" s="60" t="s">
        <v>12684</v>
      </c>
      <c r="D229" s="1"/>
      <c r="E229" s="68"/>
      <c r="F229" s="70"/>
      <c r="G229" s="74" t="s">
        <v>5898</v>
      </c>
      <c r="H229" s="62"/>
      <c r="I229" s="63"/>
      <c r="J229" s="85"/>
      <c r="K229" s="64"/>
      <c r="L229" s="65"/>
      <c r="M229" s="67"/>
      <c r="N229" s="68" t="s">
        <v>1</v>
      </c>
      <c r="O229" s="76">
        <v>0.25</v>
      </c>
      <c r="P229" s="70" t="s">
        <v>422</v>
      </c>
      <c r="Q229" s="67"/>
      <c r="R229" s="68"/>
      <c r="S229" s="76"/>
      <c r="T229" s="70"/>
      <c r="U229" s="120">
        <f>ROUND((ROUND((_15_同援日増５．０*_15・基礎２),0)*(1+_15・盲ろう)),0)</f>
        <v>709</v>
      </c>
      <c r="V229" s="69"/>
    </row>
    <row r="230" spans="1:22" ht="16.5" customHeight="1" x14ac:dyDescent="0.3">
      <c r="A230" s="2">
        <v>15</v>
      </c>
      <c r="B230" s="2" t="s">
        <v>2210</v>
      </c>
      <c r="C230" s="60" t="s">
        <v>12683</v>
      </c>
      <c r="D230" s="1"/>
      <c r="E230" s="68"/>
      <c r="F230" s="70"/>
      <c r="G230" s="106" t="s">
        <v>17420</v>
      </c>
      <c r="H230" s="57" t="s">
        <v>1</v>
      </c>
      <c r="I230" s="58">
        <v>0.9</v>
      </c>
      <c r="J230" s="83" t="s">
        <v>5895</v>
      </c>
      <c r="K230" s="64" t="s">
        <v>1</v>
      </c>
      <c r="L230" s="65">
        <v>1</v>
      </c>
      <c r="M230" s="66"/>
      <c r="N230" s="57"/>
      <c r="O230" s="58"/>
      <c r="P230" s="77"/>
      <c r="Q230" s="66"/>
      <c r="R230" s="57"/>
      <c r="S230" s="58"/>
      <c r="T230" s="77"/>
      <c r="U230" s="120">
        <f>ROUND((ROUND((ROUND((_15_同援日増５．０*_15・基礎２),0)*_15・２人),0)*(1+_15・盲ろう)),0)</f>
        <v>709</v>
      </c>
      <c r="V230" s="69"/>
    </row>
    <row r="231" spans="1:22" ht="16.5" customHeight="1" x14ac:dyDescent="0.3">
      <c r="A231" s="2">
        <v>15</v>
      </c>
      <c r="B231" s="2" t="s">
        <v>2211</v>
      </c>
      <c r="C231" s="60" t="s">
        <v>12682</v>
      </c>
      <c r="D231" s="1"/>
      <c r="E231" s="68"/>
      <c r="F231" s="70"/>
      <c r="G231" s="61"/>
      <c r="H231" s="62"/>
      <c r="I231" s="63"/>
      <c r="J231" s="85"/>
      <c r="K231" s="64"/>
      <c r="L231" s="65"/>
      <c r="M231" s="61"/>
      <c r="N231" s="62"/>
      <c r="O231" s="63"/>
      <c r="P231" s="75"/>
      <c r="Q231" s="61"/>
      <c r="R231" s="62"/>
      <c r="S231" s="63"/>
      <c r="T231" s="75"/>
      <c r="U231" s="120">
        <f>ROUND((_15_同援日増５．０*(1+_15・区３)),0)</f>
        <v>756</v>
      </c>
      <c r="V231" s="69"/>
    </row>
    <row r="232" spans="1:22" ht="16.5" customHeight="1" x14ac:dyDescent="0.3">
      <c r="A232" s="2">
        <v>15</v>
      </c>
      <c r="B232" s="2" t="s">
        <v>2212</v>
      </c>
      <c r="C232" s="60" t="s">
        <v>12681</v>
      </c>
      <c r="D232" s="1"/>
      <c r="E232" s="68"/>
      <c r="F232" s="70"/>
      <c r="G232" s="66"/>
      <c r="H232" s="57"/>
      <c r="I232" s="58"/>
      <c r="J232" s="83" t="s">
        <v>5895</v>
      </c>
      <c r="K232" s="64" t="s">
        <v>1</v>
      </c>
      <c r="L232" s="65">
        <v>1</v>
      </c>
      <c r="M232" s="67"/>
      <c r="N232" s="68"/>
      <c r="O232" s="76"/>
      <c r="P232" s="70"/>
      <c r="Q232" s="67"/>
      <c r="R232" s="68"/>
      <c r="S232" s="76"/>
      <c r="T232" s="70"/>
      <c r="U232" s="120">
        <f>ROUND((ROUND((_15_同援日増５．０*_15・２人),0)*(1+_15・区３)),0)</f>
        <v>756</v>
      </c>
      <c r="V232" s="69"/>
    </row>
    <row r="233" spans="1:22" ht="16.5" customHeight="1" x14ac:dyDescent="0.3">
      <c r="A233" s="2">
        <v>15</v>
      </c>
      <c r="B233" s="2" t="s">
        <v>2213</v>
      </c>
      <c r="C233" s="60" t="s">
        <v>12680</v>
      </c>
      <c r="D233" s="1"/>
      <c r="E233" s="68"/>
      <c r="F233" s="70"/>
      <c r="G233" s="74" t="s">
        <v>17747</v>
      </c>
      <c r="H233" s="62"/>
      <c r="I233" s="63"/>
      <c r="J233" s="85"/>
      <c r="K233" s="64"/>
      <c r="L233" s="65"/>
      <c r="M233" s="67"/>
      <c r="N233" s="68"/>
      <c r="O233" s="76"/>
      <c r="P233" s="70"/>
      <c r="Q233" s="1" t="s">
        <v>17936</v>
      </c>
      <c r="R233" s="68"/>
      <c r="S233" s="76"/>
      <c r="T233" s="70"/>
      <c r="U233" s="120">
        <f>ROUND((ROUND((_15_同援日増５．０*_15・基礎２),0)*(1+_15・区３)),0)</f>
        <v>680</v>
      </c>
      <c r="V233" s="69"/>
    </row>
    <row r="234" spans="1:22" ht="16.5" customHeight="1" x14ac:dyDescent="0.3">
      <c r="A234" s="2">
        <v>15</v>
      </c>
      <c r="B234" s="2" t="s">
        <v>2214</v>
      </c>
      <c r="C234" s="60" t="s">
        <v>12679</v>
      </c>
      <c r="D234" s="1"/>
      <c r="E234" s="68"/>
      <c r="F234" s="70"/>
      <c r="G234" s="106" t="s">
        <v>17420</v>
      </c>
      <c r="H234" s="57" t="s">
        <v>1</v>
      </c>
      <c r="I234" s="58">
        <v>0.9</v>
      </c>
      <c r="J234" s="83" t="s">
        <v>5895</v>
      </c>
      <c r="K234" s="64" t="s">
        <v>1</v>
      </c>
      <c r="L234" s="65">
        <v>1</v>
      </c>
      <c r="M234" s="66"/>
      <c r="N234" s="57"/>
      <c r="O234" s="58"/>
      <c r="P234" s="77"/>
      <c r="Q234" s="1" t="s">
        <v>17934</v>
      </c>
      <c r="R234" s="68"/>
      <c r="S234" s="76"/>
      <c r="T234" s="70"/>
      <c r="U234" s="120">
        <f>ROUND((ROUND((ROUND((_15_同援日増５．０*_15・基礎２),0)*_15・２人),0)*(1+_15・区３)),0)</f>
        <v>680</v>
      </c>
      <c r="V234" s="69"/>
    </row>
    <row r="235" spans="1:22" ht="16.5" customHeight="1" x14ac:dyDescent="0.3">
      <c r="A235" s="2">
        <v>15</v>
      </c>
      <c r="B235" s="2" t="s">
        <v>2215</v>
      </c>
      <c r="C235" s="60" t="s">
        <v>12678</v>
      </c>
      <c r="D235" s="1"/>
      <c r="E235" s="68"/>
      <c r="F235" s="70"/>
      <c r="G235" s="61"/>
      <c r="H235" s="62"/>
      <c r="I235" s="63"/>
      <c r="J235" s="85"/>
      <c r="K235" s="64"/>
      <c r="L235" s="65"/>
      <c r="M235" s="74" t="s">
        <v>17933</v>
      </c>
      <c r="N235" s="62"/>
      <c r="O235" s="63"/>
      <c r="P235" s="75"/>
      <c r="Q235" s="67"/>
      <c r="R235" s="68" t="s">
        <v>1</v>
      </c>
      <c r="S235" s="76">
        <v>0.2</v>
      </c>
      <c r="T235" s="70" t="s">
        <v>422</v>
      </c>
      <c r="U235" s="120">
        <f>ROUND((ROUND((_15_同援日増５．０*(1+_15・盲ろう)),0)*(1+_15・区３)),0)</f>
        <v>946</v>
      </c>
      <c r="V235" s="69"/>
    </row>
    <row r="236" spans="1:22" ht="16.5" customHeight="1" x14ac:dyDescent="0.3">
      <c r="A236" s="2">
        <v>15</v>
      </c>
      <c r="B236" s="2" t="s">
        <v>2216</v>
      </c>
      <c r="C236" s="60" t="s">
        <v>12677</v>
      </c>
      <c r="D236" s="1"/>
      <c r="E236" s="68"/>
      <c r="F236" s="70"/>
      <c r="G236" s="66"/>
      <c r="H236" s="57"/>
      <c r="I236" s="58"/>
      <c r="J236" s="83" t="s">
        <v>5895</v>
      </c>
      <c r="K236" s="64" t="s">
        <v>1</v>
      </c>
      <c r="L236" s="65">
        <v>1</v>
      </c>
      <c r="M236" s="94" t="s">
        <v>17932</v>
      </c>
      <c r="N236" s="68"/>
      <c r="O236" s="76"/>
      <c r="P236" s="70"/>
      <c r="Q236" s="67"/>
      <c r="R236" s="68"/>
      <c r="S236" s="76"/>
      <c r="T236" s="70"/>
      <c r="U236" s="120">
        <f>ROUND((ROUND((ROUND((_15_同援日増５．０*_15・２人),0)*(1+_15・盲ろう)),0)*(1+_15・区３)),0)</f>
        <v>946</v>
      </c>
      <c r="V236" s="69"/>
    </row>
    <row r="237" spans="1:22" ht="16.5" customHeight="1" x14ac:dyDescent="0.3">
      <c r="A237" s="2">
        <v>15</v>
      </c>
      <c r="B237" s="2" t="s">
        <v>2217</v>
      </c>
      <c r="C237" s="60" t="s">
        <v>12676</v>
      </c>
      <c r="D237" s="1"/>
      <c r="E237" s="68"/>
      <c r="F237" s="70"/>
      <c r="G237" s="74" t="s">
        <v>17747</v>
      </c>
      <c r="H237" s="62"/>
      <c r="I237" s="63"/>
      <c r="J237" s="85"/>
      <c r="K237" s="64"/>
      <c r="L237" s="65"/>
      <c r="M237" s="67"/>
      <c r="N237" s="68" t="s">
        <v>1</v>
      </c>
      <c r="O237" s="76">
        <v>0.25</v>
      </c>
      <c r="P237" s="70" t="s">
        <v>422</v>
      </c>
      <c r="Q237" s="67"/>
      <c r="R237" s="68"/>
      <c r="S237" s="76"/>
      <c r="T237" s="70"/>
      <c r="U237" s="120">
        <f>ROUND((ROUND((ROUND((_15_同援日増５．０*_15・基礎２),0)*(1+_15・盲ろう)),0)*(1+_15・区３)),0)</f>
        <v>851</v>
      </c>
      <c r="V237" s="69"/>
    </row>
    <row r="238" spans="1:22" ht="16.5" customHeight="1" x14ac:dyDescent="0.3">
      <c r="A238" s="2">
        <v>15</v>
      </c>
      <c r="B238" s="2" t="s">
        <v>2218</v>
      </c>
      <c r="C238" s="60" t="s">
        <v>12675</v>
      </c>
      <c r="D238" s="1"/>
      <c r="E238" s="68"/>
      <c r="F238" s="70"/>
      <c r="G238" s="106" t="s">
        <v>17420</v>
      </c>
      <c r="H238" s="57" t="s">
        <v>1</v>
      </c>
      <c r="I238" s="58">
        <v>0.9</v>
      </c>
      <c r="J238" s="83" t="s">
        <v>5895</v>
      </c>
      <c r="K238" s="64" t="s">
        <v>1</v>
      </c>
      <c r="L238" s="65">
        <v>1</v>
      </c>
      <c r="M238" s="66"/>
      <c r="N238" s="57"/>
      <c r="O238" s="58"/>
      <c r="P238" s="77"/>
      <c r="Q238" s="66"/>
      <c r="R238" s="57"/>
      <c r="S238" s="58"/>
      <c r="T238" s="77"/>
      <c r="U238" s="120">
        <f>ROUND((ROUND((ROUND((ROUND((_15_同援日増５．０*_15・基礎２),0)*_15・２人),0)*(1+_15・盲ろう)),0)*(1+_15・区３)),0)</f>
        <v>851</v>
      </c>
      <c r="V238" s="69"/>
    </row>
    <row r="239" spans="1:22" ht="16.5" customHeight="1" x14ac:dyDescent="0.3">
      <c r="A239" s="2">
        <v>15</v>
      </c>
      <c r="B239" s="2" t="s">
        <v>2219</v>
      </c>
      <c r="C239" s="60" t="s">
        <v>12674</v>
      </c>
      <c r="D239" s="1"/>
      <c r="E239" s="68"/>
      <c r="F239" s="70"/>
      <c r="G239" s="61"/>
      <c r="H239" s="62"/>
      <c r="I239" s="63"/>
      <c r="J239" s="85"/>
      <c r="K239" s="64"/>
      <c r="L239" s="65"/>
      <c r="M239" s="61"/>
      <c r="N239" s="62"/>
      <c r="O239" s="63"/>
      <c r="P239" s="75"/>
      <c r="Q239" s="61"/>
      <c r="R239" s="62"/>
      <c r="S239" s="63"/>
      <c r="T239" s="75"/>
      <c r="U239" s="120">
        <f>ROUND((_15_同援日増５．０*(1+_15・区４)),0)</f>
        <v>882</v>
      </c>
      <c r="V239" s="69"/>
    </row>
    <row r="240" spans="1:22" ht="16.5" customHeight="1" x14ac:dyDescent="0.3">
      <c r="A240" s="2">
        <v>15</v>
      </c>
      <c r="B240" s="2" t="s">
        <v>2220</v>
      </c>
      <c r="C240" s="60" t="s">
        <v>12673</v>
      </c>
      <c r="D240" s="1"/>
      <c r="E240" s="68"/>
      <c r="F240" s="70"/>
      <c r="G240" s="66"/>
      <c r="H240" s="57"/>
      <c r="I240" s="58"/>
      <c r="J240" s="83" t="s">
        <v>5895</v>
      </c>
      <c r="K240" s="64" t="s">
        <v>1</v>
      </c>
      <c r="L240" s="65">
        <v>1</v>
      </c>
      <c r="M240" s="67"/>
      <c r="N240" s="68"/>
      <c r="O240" s="76"/>
      <c r="P240" s="70"/>
      <c r="Q240" s="67"/>
      <c r="R240" s="68"/>
      <c r="S240" s="76"/>
      <c r="T240" s="70"/>
      <c r="U240" s="120">
        <f>ROUND((ROUND((_15_同援日増５．０*_15・２人),0)*(1+_15・区４)),0)</f>
        <v>882</v>
      </c>
      <c r="V240" s="69"/>
    </row>
    <row r="241" spans="1:22" ht="16.5" customHeight="1" x14ac:dyDescent="0.3">
      <c r="A241" s="2">
        <v>15</v>
      </c>
      <c r="B241" s="2" t="s">
        <v>2221</v>
      </c>
      <c r="C241" s="60" t="s">
        <v>12672</v>
      </c>
      <c r="D241" s="1"/>
      <c r="E241" s="68"/>
      <c r="F241" s="70"/>
      <c r="G241" s="74" t="s">
        <v>17747</v>
      </c>
      <c r="H241" s="62"/>
      <c r="I241" s="63"/>
      <c r="J241" s="85"/>
      <c r="K241" s="64"/>
      <c r="L241" s="65"/>
      <c r="M241" s="67"/>
      <c r="N241" s="68"/>
      <c r="O241" s="76"/>
      <c r="P241" s="70"/>
      <c r="Q241" s="1" t="s">
        <v>17935</v>
      </c>
      <c r="R241" s="68"/>
      <c r="S241" s="76"/>
      <c r="T241" s="70"/>
      <c r="U241" s="120">
        <f>ROUND((ROUND((_15_同援日増５．０*_15・基礎２),0)*(1+_15・区４)),0)</f>
        <v>794</v>
      </c>
      <c r="V241" s="69"/>
    </row>
    <row r="242" spans="1:22" ht="16.5" customHeight="1" x14ac:dyDescent="0.3">
      <c r="A242" s="2">
        <v>15</v>
      </c>
      <c r="B242" s="2" t="s">
        <v>2222</v>
      </c>
      <c r="C242" s="60" t="s">
        <v>12671</v>
      </c>
      <c r="D242" s="1"/>
      <c r="E242" s="68"/>
      <c r="F242" s="70"/>
      <c r="G242" s="106" t="s">
        <v>17420</v>
      </c>
      <c r="H242" s="57" t="s">
        <v>1</v>
      </c>
      <c r="I242" s="58">
        <v>0.9</v>
      </c>
      <c r="J242" s="83" t="s">
        <v>5895</v>
      </c>
      <c r="K242" s="64" t="s">
        <v>1</v>
      </c>
      <c r="L242" s="65">
        <v>1</v>
      </c>
      <c r="M242" s="66"/>
      <c r="N242" s="57"/>
      <c r="O242" s="58"/>
      <c r="P242" s="77"/>
      <c r="Q242" s="1" t="s">
        <v>17934</v>
      </c>
      <c r="R242" s="68"/>
      <c r="S242" s="76"/>
      <c r="T242" s="70"/>
      <c r="U242" s="120">
        <f>ROUND((ROUND((ROUND((_15_同援日増５．０*_15・基礎２),0)*_15・２人),0)*(1+_15・区４)),0)</f>
        <v>794</v>
      </c>
      <c r="V242" s="69"/>
    </row>
    <row r="243" spans="1:22" ht="16.5" customHeight="1" x14ac:dyDescent="0.3">
      <c r="A243" s="2">
        <v>15</v>
      </c>
      <c r="B243" s="2" t="s">
        <v>2223</v>
      </c>
      <c r="C243" s="60" t="s">
        <v>12670</v>
      </c>
      <c r="D243" s="1"/>
      <c r="E243" s="68"/>
      <c r="F243" s="70"/>
      <c r="G243" s="61"/>
      <c r="H243" s="62"/>
      <c r="I243" s="63"/>
      <c r="J243" s="85"/>
      <c r="K243" s="64"/>
      <c r="L243" s="65"/>
      <c r="M243" s="74" t="s">
        <v>17933</v>
      </c>
      <c r="N243" s="62"/>
      <c r="O243" s="63"/>
      <c r="P243" s="75"/>
      <c r="Q243" s="67"/>
      <c r="R243" s="68" t="s">
        <v>1</v>
      </c>
      <c r="S243" s="76">
        <v>0.4</v>
      </c>
      <c r="T243" s="70" t="s">
        <v>422</v>
      </c>
      <c r="U243" s="120">
        <f>ROUND((ROUND((_15_同援日増５．０*(1+_15・盲ろう)),0)*(1+_15・区４)),0)</f>
        <v>1103</v>
      </c>
      <c r="V243" s="69"/>
    </row>
    <row r="244" spans="1:22" ht="16.5" customHeight="1" x14ac:dyDescent="0.3">
      <c r="A244" s="2">
        <v>15</v>
      </c>
      <c r="B244" s="2" t="s">
        <v>2224</v>
      </c>
      <c r="C244" s="60" t="s">
        <v>12669</v>
      </c>
      <c r="D244" s="1"/>
      <c r="E244" s="68"/>
      <c r="F244" s="70"/>
      <c r="G244" s="66"/>
      <c r="H244" s="57"/>
      <c r="I244" s="58"/>
      <c r="J244" s="83" t="s">
        <v>5895</v>
      </c>
      <c r="K244" s="64" t="s">
        <v>1</v>
      </c>
      <c r="L244" s="65">
        <v>1</v>
      </c>
      <c r="M244" s="94" t="s">
        <v>8083</v>
      </c>
      <c r="N244" s="68"/>
      <c r="O244" s="76"/>
      <c r="P244" s="70"/>
      <c r="Q244" s="67"/>
      <c r="R244" s="68"/>
      <c r="S244" s="76"/>
      <c r="T244" s="70"/>
      <c r="U244" s="120">
        <f>ROUND((ROUND((ROUND((_15_同援日増５．０*_15・２人),0)*(1+_15・盲ろう)),0)*(1+_15・区４)),0)</f>
        <v>1103</v>
      </c>
      <c r="V244" s="69"/>
    </row>
    <row r="245" spans="1:22" ht="16.5" customHeight="1" x14ac:dyDescent="0.3">
      <c r="A245" s="2">
        <v>15</v>
      </c>
      <c r="B245" s="2" t="s">
        <v>2225</v>
      </c>
      <c r="C245" s="60" t="s">
        <v>12668</v>
      </c>
      <c r="D245" s="1"/>
      <c r="E245" s="68"/>
      <c r="F245" s="70"/>
      <c r="G245" s="74" t="s">
        <v>17747</v>
      </c>
      <c r="H245" s="62"/>
      <c r="I245" s="63"/>
      <c r="J245" s="85"/>
      <c r="K245" s="64"/>
      <c r="L245" s="65"/>
      <c r="M245" s="67"/>
      <c r="N245" s="68" t="s">
        <v>1</v>
      </c>
      <c r="O245" s="76">
        <v>0.25</v>
      </c>
      <c r="P245" s="70" t="s">
        <v>422</v>
      </c>
      <c r="Q245" s="67"/>
      <c r="R245" s="68"/>
      <c r="S245" s="76"/>
      <c r="T245" s="70"/>
      <c r="U245" s="120">
        <f>ROUND((ROUND((ROUND((_15_同援日増５．０*_15・基礎２),0)*(1+_15・盲ろう)),0)*(1+_15・区４)),0)</f>
        <v>993</v>
      </c>
      <c r="V245" s="69"/>
    </row>
    <row r="246" spans="1:22" ht="16.5" customHeight="1" x14ac:dyDescent="0.3">
      <c r="A246" s="2">
        <v>15</v>
      </c>
      <c r="B246" s="2" t="s">
        <v>2226</v>
      </c>
      <c r="C246" s="60" t="s">
        <v>12667</v>
      </c>
      <c r="D246" s="81"/>
      <c r="E246" s="57"/>
      <c r="F246" s="77"/>
      <c r="G246" s="106" t="s">
        <v>5896</v>
      </c>
      <c r="H246" s="57" t="s">
        <v>1</v>
      </c>
      <c r="I246" s="58">
        <v>0.9</v>
      </c>
      <c r="J246" s="83" t="s">
        <v>5895</v>
      </c>
      <c r="K246" s="64" t="s">
        <v>1</v>
      </c>
      <c r="L246" s="65">
        <v>1</v>
      </c>
      <c r="M246" s="66"/>
      <c r="N246" s="57"/>
      <c r="O246" s="58"/>
      <c r="P246" s="77"/>
      <c r="Q246" s="66"/>
      <c r="R246" s="57"/>
      <c r="S246" s="58"/>
      <c r="T246" s="77"/>
      <c r="U246" s="120">
        <f>ROUND((ROUND((ROUND((ROUND((_15_同援日増５．０*_15・基礎２),0)*_15・２人),0)*(1+_15・盲ろう)),0)*(1+_15・区４)),0)</f>
        <v>993</v>
      </c>
      <c r="V246" s="69"/>
    </row>
    <row r="247" spans="1:22" ht="16.5" customHeight="1" x14ac:dyDescent="0.3">
      <c r="A247" s="2">
        <v>15</v>
      </c>
      <c r="B247" s="2" t="s">
        <v>2227</v>
      </c>
      <c r="C247" s="60" t="s">
        <v>12666</v>
      </c>
      <c r="D247" s="233" t="s">
        <v>18177</v>
      </c>
      <c r="E247" s="62"/>
      <c r="F247" s="75"/>
      <c r="G247" s="61"/>
      <c r="H247" s="62"/>
      <c r="I247" s="63"/>
      <c r="J247" s="85"/>
      <c r="K247" s="64"/>
      <c r="L247" s="65"/>
      <c r="M247" s="61"/>
      <c r="N247" s="62"/>
      <c r="O247" s="63"/>
      <c r="P247" s="75"/>
      <c r="Q247" s="61"/>
      <c r="R247" s="62"/>
      <c r="S247" s="63"/>
      <c r="T247" s="75"/>
      <c r="U247" s="120">
        <f>_15_同援日増５．５</f>
        <v>693</v>
      </c>
      <c r="V247" s="69"/>
    </row>
    <row r="248" spans="1:22" ht="16.5" customHeight="1" x14ac:dyDescent="0.3">
      <c r="A248" s="2">
        <v>15</v>
      </c>
      <c r="B248" s="2" t="s">
        <v>2228</v>
      </c>
      <c r="C248" s="60" t="s">
        <v>12665</v>
      </c>
      <c r="D248" s="1" t="s">
        <v>17755</v>
      </c>
      <c r="E248" s="68"/>
      <c r="F248" s="70"/>
      <c r="G248" s="66"/>
      <c r="H248" s="57"/>
      <c r="I248" s="58"/>
      <c r="J248" s="83" t="s">
        <v>5895</v>
      </c>
      <c r="K248" s="64" t="s">
        <v>1</v>
      </c>
      <c r="L248" s="65">
        <v>1</v>
      </c>
      <c r="M248" s="67"/>
      <c r="N248" s="68"/>
      <c r="O248" s="76"/>
      <c r="P248" s="70"/>
      <c r="Q248" s="67"/>
      <c r="R248" s="68"/>
      <c r="S248" s="76"/>
      <c r="T248" s="70"/>
      <c r="U248" s="120">
        <f>ROUND((_15_同援日増５．５*_15・２人),0)</f>
        <v>693</v>
      </c>
      <c r="V248" s="69"/>
    </row>
    <row r="249" spans="1:22" ht="16.5" customHeight="1" x14ac:dyDescent="0.3">
      <c r="A249" s="2">
        <v>15</v>
      </c>
      <c r="B249" s="2" t="s">
        <v>2229</v>
      </c>
      <c r="C249" s="60" t="s">
        <v>12664</v>
      </c>
      <c r="D249" s="1" t="s">
        <v>9010</v>
      </c>
      <c r="E249" s="68"/>
      <c r="F249" s="70"/>
      <c r="G249" s="74" t="s">
        <v>17747</v>
      </c>
      <c r="H249" s="62"/>
      <c r="I249" s="63"/>
      <c r="J249" s="85"/>
      <c r="K249" s="64"/>
      <c r="L249" s="65"/>
      <c r="M249" s="67"/>
      <c r="N249" s="68"/>
      <c r="O249" s="76"/>
      <c r="P249" s="70"/>
      <c r="Q249" s="67"/>
      <c r="R249" s="68"/>
      <c r="S249" s="76"/>
      <c r="T249" s="70"/>
      <c r="U249" s="120">
        <f>ROUND((_15_同援日増５．５*_15・基礎２),0)</f>
        <v>624</v>
      </c>
      <c r="V249" s="69"/>
    </row>
    <row r="250" spans="1:22" ht="16.5" customHeight="1" x14ac:dyDescent="0.3">
      <c r="A250" s="2">
        <v>15</v>
      </c>
      <c r="B250" s="2" t="s">
        <v>2230</v>
      </c>
      <c r="C250" s="60" t="s">
        <v>12663</v>
      </c>
      <c r="D250" s="1"/>
      <c r="E250" s="119">
        <v>693</v>
      </c>
      <c r="F250" s="70" t="s">
        <v>0</v>
      </c>
      <c r="G250" s="106" t="s">
        <v>5896</v>
      </c>
      <c r="H250" s="57" t="s">
        <v>1</v>
      </c>
      <c r="I250" s="58">
        <v>0.9</v>
      </c>
      <c r="J250" s="83" t="s">
        <v>5895</v>
      </c>
      <c r="K250" s="64" t="s">
        <v>1</v>
      </c>
      <c r="L250" s="65">
        <v>1</v>
      </c>
      <c r="M250" s="66"/>
      <c r="N250" s="57"/>
      <c r="O250" s="58"/>
      <c r="P250" s="77"/>
      <c r="Q250" s="67"/>
      <c r="R250" s="68"/>
      <c r="S250" s="76"/>
      <c r="T250" s="70"/>
      <c r="U250" s="120">
        <f>ROUND((ROUND((_15_同援日増５．５*_15・基礎２),0)*_15・２人),0)</f>
        <v>624</v>
      </c>
      <c r="V250" s="69"/>
    </row>
    <row r="251" spans="1:22" ht="16.5" customHeight="1" x14ac:dyDescent="0.3">
      <c r="A251" s="2">
        <v>15</v>
      </c>
      <c r="B251" s="2" t="s">
        <v>2231</v>
      </c>
      <c r="C251" s="60" t="s">
        <v>12662</v>
      </c>
      <c r="D251" s="1"/>
      <c r="E251" s="68"/>
      <c r="F251" s="70"/>
      <c r="G251" s="61"/>
      <c r="H251" s="62"/>
      <c r="I251" s="63"/>
      <c r="J251" s="85"/>
      <c r="K251" s="64"/>
      <c r="L251" s="65"/>
      <c r="M251" s="74" t="s">
        <v>17933</v>
      </c>
      <c r="N251" s="62"/>
      <c r="O251" s="63"/>
      <c r="P251" s="75"/>
      <c r="Q251" s="67"/>
      <c r="R251" s="68"/>
      <c r="S251" s="76"/>
      <c r="T251" s="70"/>
      <c r="U251" s="120">
        <f>ROUND((_15_同援日増５．５*(1+_15・盲ろう)),0)</f>
        <v>866</v>
      </c>
      <c r="V251" s="69"/>
    </row>
    <row r="252" spans="1:22" ht="16.5" customHeight="1" x14ac:dyDescent="0.3">
      <c r="A252" s="2">
        <v>15</v>
      </c>
      <c r="B252" s="2" t="s">
        <v>2232</v>
      </c>
      <c r="C252" s="60" t="s">
        <v>12661</v>
      </c>
      <c r="D252" s="1"/>
      <c r="E252" s="68"/>
      <c r="F252" s="70"/>
      <c r="G252" s="66"/>
      <c r="H252" s="57"/>
      <c r="I252" s="58"/>
      <c r="J252" s="83" t="s">
        <v>5895</v>
      </c>
      <c r="K252" s="64" t="s">
        <v>1</v>
      </c>
      <c r="L252" s="65">
        <v>1</v>
      </c>
      <c r="M252" s="94" t="s">
        <v>17932</v>
      </c>
      <c r="N252" s="68"/>
      <c r="O252" s="76"/>
      <c r="P252" s="70"/>
      <c r="Q252" s="67"/>
      <c r="R252" s="68"/>
      <c r="S252" s="76"/>
      <c r="T252" s="70"/>
      <c r="U252" s="120">
        <f>ROUND((ROUND((_15_同援日増５．５*_15・２人),0)*(1+_15・盲ろう)),0)</f>
        <v>866</v>
      </c>
      <c r="V252" s="69"/>
    </row>
    <row r="253" spans="1:22" ht="16.5" customHeight="1" x14ac:dyDescent="0.3">
      <c r="A253" s="2">
        <v>15</v>
      </c>
      <c r="B253" s="2" t="s">
        <v>2233</v>
      </c>
      <c r="C253" s="60" t="s">
        <v>12660</v>
      </c>
      <c r="D253" s="1"/>
      <c r="E253" s="68"/>
      <c r="F253" s="70"/>
      <c r="G253" s="74" t="s">
        <v>17747</v>
      </c>
      <c r="H253" s="62"/>
      <c r="I253" s="63"/>
      <c r="J253" s="85"/>
      <c r="K253" s="64"/>
      <c r="L253" s="65"/>
      <c r="M253" s="67"/>
      <c r="N253" s="68" t="s">
        <v>1</v>
      </c>
      <c r="O253" s="76">
        <v>0.25</v>
      </c>
      <c r="P253" s="70" t="s">
        <v>422</v>
      </c>
      <c r="Q253" s="67"/>
      <c r="R253" s="68"/>
      <c r="S253" s="76"/>
      <c r="T253" s="70"/>
      <c r="U253" s="120">
        <f>ROUND((ROUND((_15_同援日増５．５*_15・基礎２),0)*(1+_15・盲ろう)),0)</f>
        <v>780</v>
      </c>
      <c r="V253" s="69"/>
    </row>
    <row r="254" spans="1:22" ht="16.5" customHeight="1" x14ac:dyDescent="0.3">
      <c r="A254" s="2">
        <v>15</v>
      </c>
      <c r="B254" s="2" t="s">
        <v>2234</v>
      </c>
      <c r="C254" s="60" t="s">
        <v>12659</v>
      </c>
      <c r="D254" s="1"/>
      <c r="E254" s="68"/>
      <c r="F254" s="70"/>
      <c r="G254" s="106" t="s">
        <v>5896</v>
      </c>
      <c r="H254" s="57" t="s">
        <v>1</v>
      </c>
      <c r="I254" s="58">
        <v>0.9</v>
      </c>
      <c r="J254" s="83" t="s">
        <v>5895</v>
      </c>
      <c r="K254" s="64" t="s">
        <v>1</v>
      </c>
      <c r="L254" s="65">
        <v>1</v>
      </c>
      <c r="M254" s="66"/>
      <c r="N254" s="57"/>
      <c r="O254" s="58"/>
      <c r="P254" s="77"/>
      <c r="Q254" s="66"/>
      <c r="R254" s="57"/>
      <c r="S254" s="58"/>
      <c r="T254" s="77"/>
      <c r="U254" s="120">
        <f>ROUND((ROUND((ROUND((_15_同援日増５．５*_15・基礎２),0)*_15・２人),0)*(1+_15・盲ろう)),0)</f>
        <v>780</v>
      </c>
      <c r="V254" s="69"/>
    </row>
    <row r="255" spans="1:22" ht="16.5" customHeight="1" x14ac:dyDescent="0.3">
      <c r="A255" s="2">
        <v>15</v>
      </c>
      <c r="B255" s="2" t="s">
        <v>2235</v>
      </c>
      <c r="C255" s="60" t="s">
        <v>12658</v>
      </c>
      <c r="D255" s="1"/>
      <c r="E255" s="68"/>
      <c r="F255" s="70"/>
      <c r="G255" s="61"/>
      <c r="H255" s="62"/>
      <c r="I255" s="63"/>
      <c r="J255" s="85"/>
      <c r="K255" s="64"/>
      <c r="L255" s="65"/>
      <c r="M255" s="61"/>
      <c r="N255" s="62"/>
      <c r="O255" s="63"/>
      <c r="P255" s="75"/>
      <c r="Q255" s="61"/>
      <c r="R255" s="62"/>
      <c r="S255" s="63"/>
      <c r="T255" s="75"/>
      <c r="U255" s="120">
        <f>ROUND((_15_同援日増５．５*(1+_15・区３)),0)</f>
        <v>832</v>
      </c>
      <c r="V255" s="69"/>
    </row>
    <row r="256" spans="1:22" ht="16.5" customHeight="1" x14ac:dyDescent="0.3">
      <c r="A256" s="2">
        <v>15</v>
      </c>
      <c r="B256" s="2" t="s">
        <v>2236</v>
      </c>
      <c r="C256" s="60" t="s">
        <v>12657</v>
      </c>
      <c r="D256" s="1"/>
      <c r="E256" s="68"/>
      <c r="F256" s="70"/>
      <c r="G256" s="66"/>
      <c r="H256" s="57"/>
      <c r="I256" s="58"/>
      <c r="J256" s="83" t="s">
        <v>5895</v>
      </c>
      <c r="K256" s="64" t="s">
        <v>1</v>
      </c>
      <c r="L256" s="65">
        <v>1</v>
      </c>
      <c r="M256" s="67"/>
      <c r="N256" s="68"/>
      <c r="O256" s="76"/>
      <c r="P256" s="70"/>
      <c r="Q256" s="67"/>
      <c r="R256" s="68"/>
      <c r="S256" s="76"/>
      <c r="T256" s="70"/>
      <c r="U256" s="120">
        <f>ROUND((ROUND((_15_同援日増５．５*_15・２人),0)*(1+_15・区３)),0)</f>
        <v>832</v>
      </c>
      <c r="V256" s="69"/>
    </row>
    <row r="257" spans="1:22" ht="16.5" customHeight="1" x14ac:dyDescent="0.3">
      <c r="A257" s="2">
        <v>15</v>
      </c>
      <c r="B257" s="2" t="s">
        <v>2237</v>
      </c>
      <c r="C257" s="60" t="s">
        <v>12656</v>
      </c>
      <c r="D257" s="1"/>
      <c r="E257" s="68"/>
      <c r="F257" s="70"/>
      <c r="G257" s="74" t="s">
        <v>17747</v>
      </c>
      <c r="H257" s="62"/>
      <c r="I257" s="63"/>
      <c r="J257" s="85"/>
      <c r="K257" s="64"/>
      <c r="L257" s="65"/>
      <c r="M257" s="67"/>
      <c r="N257" s="68"/>
      <c r="O257" s="76"/>
      <c r="P257" s="70"/>
      <c r="Q257" s="1" t="s">
        <v>17936</v>
      </c>
      <c r="R257" s="68"/>
      <c r="S257" s="76"/>
      <c r="T257" s="70"/>
      <c r="U257" s="120">
        <f>ROUND((ROUND((_15_同援日増５．５*_15・基礎２),0)*(1+_15・区３)),0)</f>
        <v>749</v>
      </c>
      <c r="V257" s="69"/>
    </row>
    <row r="258" spans="1:22" ht="16.5" customHeight="1" x14ac:dyDescent="0.3">
      <c r="A258" s="2">
        <v>15</v>
      </c>
      <c r="B258" s="2" t="s">
        <v>2238</v>
      </c>
      <c r="C258" s="60" t="s">
        <v>12655</v>
      </c>
      <c r="D258" s="1"/>
      <c r="E258" s="68"/>
      <c r="F258" s="70"/>
      <c r="G258" s="106" t="s">
        <v>17420</v>
      </c>
      <c r="H258" s="57" t="s">
        <v>1</v>
      </c>
      <c r="I258" s="58">
        <v>0.9</v>
      </c>
      <c r="J258" s="83" t="s">
        <v>5895</v>
      </c>
      <c r="K258" s="64" t="s">
        <v>1</v>
      </c>
      <c r="L258" s="65">
        <v>1</v>
      </c>
      <c r="M258" s="66"/>
      <c r="N258" s="57"/>
      <c r="O258" s="58"/>
      <c r="P258" s="77"/>
      <c r="Q258" s="1" t="s">
        <v>17934</v>
      </c>
      <c r="R258" s="68"/>
      <c r="S258" s="76"/>
      <c r="T258" s="70"/>
      <c r="U258" s="120">
        <f>ROUND((ROUND((ROUND((_15_同援日増５．５*_15・基礎２),0)*_15・２人),0)*(1+_15・区３)),0)</f>
        <v>749</v>
      </c>
      <c r="V258" s="69"/>
    </row>
    <row r="259" spans="1:22" ht="16.5" customHeight="1" x14ac:dyDescent="0.3">
      <c r="A259" s="2">
        <v>15</v>
      </c>
      <c r="B259" s="2" t="s">
        <v>2239</v>
      </c>
      <c r="C259" s="60" t="s">
        <v>12654</v>
      </c>
      <c r="D259" s="1"/>
      <c r="E259" s="68"/>
      <c r="F259" s="70"/>
      <c r="G259" s="61"/>
      <c r="H259" s="62"/>
      <c r="I259" s="63"/>
      <c r="J259" s="85"/>
      <c r="K259" s="64"/>
      <c r="L259" s="65"/>
      <c r="M259" s="74" t="s">
        <v>17933</v>
      </c>
      <c r="N259" s="62"/>
      <c r="O259" s="63"/>
      <c r="P259" s="75"/>
      <c r="Q259" s="67"/>
      <c r="R259" s="68" t="s">
        <v>1</v>
      </c>
      <c r="S259" s="76">
        <v>0.2</v>
      </c>
      <c r="T259" s="70" t="s">
        <v>422</v>
      </c>
      <c r="U259" s="120">
        <f>ROUND((ROUND((_15_同援日増５．５*(1+_15・盲ろう)),0)*(1+_15・区３)),0)</f>
        <v>1039</v>
      </c>
      <c r="V259" s="69"/>
    </row>
    <row r="260" spans="1:22" ht="16.5" customHeight="1" x14ac:dyDescent="0.3">
      <c r="A260" s="2">
        <v>15</v>
      </c>
      <c r="B260" s="2" t="s">
        <v>2240</v>
      </c>
      <c r="C260" s="60" t="s">
        <v>12653</v>
      </c>
      <c r="D260" s="1"/>
      <c r="E260" s="68"/>
      <c r="F260" s="70"/>
      <c r="G260" s="66"/>
      <c r="H260" s="57"/>
      <c r="I260" s="58"/>
      <c r="J260" s="83" t="s">
        <v>5895</v>
      </c>
      <c r="K260" s="64" t="s">
        <v>1</v>
      </c>
      <c r="L260" s="65">
        <v>1</v>
      </c>
      <c r="M260" s="94" t="s">
        <v>17932</v>
      </c>
      <c r="N260" s="68"/>
      <c r="O260" s="76"/>
      <c r="P260" s="70"/>
      <c r="Q260" s="67"/>
      <c r="R260" s="68"/>
      <c r="S260" s="76"/>
      <c r="T260" s="70"/>
      <c r="U260" s="120">
        <f>ROUND((ROUND((ROUND((_15_同援日増５．５*_15・２人),0)*(1+_15・盲ろう)),0)*(1+_15・区３)),0)</f>
        <v>1039</v>
      </c>
      <c r="V260" s="69"/>
    </row>
    <row r="261" spans="1:22" ht="16.5" customHeight="1" x14ac:dyDescent="0.3">
      <c r="A261" s="2">
        <v>15</v>
      </c>
      <c r="B261" s="2" t="s">
        <v>2241</v>
      </c>
      <c r="C261" s="60" t="s">
        <v>12652</v>
      </c>
      <c r="D261" s="1"/>
      <c r="E261" s="68"/>
      <c r="F261" s="70"/>
      <c r="G261" s="74" t="s">
        <v>17747</v>
      </c>
      <c r="H261" s="62"/>
      <c r="I261" s="63"/>
      <c r="J261" s="85"/>
      <c r="K261" s="64"/>
      <c r="L261" s="65"/>
      <c r="M261" s="67"/>
      <c r="N261" s="68" t="s">
        <v>1</v>
      </c>
      <c r="O261" s="76">
        <v>0.25</v>
      </c>
      <c r="P261" s="70" t="s">
        <v>422</v>
      </c>
      <c r="Q261" s="67"/>
      <c r="R261" s="68"/>
      <c r="S261" s="76"/>
      <c r="T261" s="70"/>
      <c r="U261" s="120">
        <f>ROUND((ROUND((ROUND((_15_同援日増５．５*_15・基礎２),0)*(1+_15・盲ろう)),0)*(1+_15・区３)),0)</f>
        <v>936</v>
      </c>
      <c r="V261" s="69"/>
    </row>
    <row r="262" spans="1:22" ht="16.5" customHeight="1" x14ac:dyDescent="0.3">
      <c r="A262" s="2">
        <v>15</v>
      </c>
      <c r="B262" s="2" t="s">
        <v>2242</v>
      </c>
      <c r="C262" s="60" t="s">
        <v>12651</v>
      </c>
      <c r="D262" s="1"/>
      <c r="E262" s="68"/>
      <c r="F262" s="70"/>
      <c r="G262" s="106" t="s">
        <v>17420</v>
      </c>
      <c r="H262" s="57" t="s">
        <v>1</v>
      </c>
      <c r="I262" s="58">
        <v>0.9</v>
      </c>
      <c r="J262" s="83" t="s">
        <v>5895</v>
      </c>
      <c r="K262" s="64" t="s">
        <v>1</v>
      </c>
      <c r="L262" s="65">
        <v>1</v>
      </c>
      <c r="M262" s="66"/>
      <c r="N262" s="57"/>
      <c r="O262" s="58"/>
      <c r="P262" s="77"/>
      <c r="Q262" s="66"/>
      <c r="R262" s="57"/>
      <c r="S262" s="58"/>
      <c r="T262" s="77"/>
      <c r="U262" s="120">
        <f>ROUND((ROUND((ROUND((ROUND((_15_同援日増５．５*_15・基礎２),0)*_15・２人),0)*(1+_15・盲ろう)),0)*(1+_15・区３)),0)</f>
        <v>936</v>
      </c>
      <c r="V262" s="69"/>
    </row>
    <row r="263" spans="1:22" ht="16.5" customHeight="1" x14ac:dyDescent="0.3">
      <c r="A263" s="2">
        <v>15</v>
      </c>
      <c r="B263" s="2" t="s">
        <v>2243</v>
      </c>
      <c r="C263" s="60" t="s">
        <v>12650</v>
      </c>
      <c r="D263" s="1"/>
      <c r="E263" s="68"/>
      <c r="F263" s="70"/>
      <c r="G263" s="61"/>
      <c r="H263" s="62"/>
      <c r="I263" s="63"/>
      <c r="J263" s="85"/>
      <c r="K263" s="64"/>
      <c r="L263" s="65"/>
      <c r="M263" s="61"/>
      <c r="N263" s="62"/>
      <c r="O263" s="63"/>
      <c r="P263" s="75"/>
      <c r="Q263" s="61"/>
      <c r="R263" s="62"/>
      <c r="S263" s="63"/>
      <c r="T263" s="75"/>
      <c r="U263" s="120">
        <f>ROUND((_15_同援日増５．５*(1+_15・区４)),0)</f>
        <v>970</v>
      </c>
      <c r="V263" s="69"/>
    </row>
    <row r="264" spans="1:22" ht="16.5" customHeight="1" x14ac:dyDescent="0.3">
      <c r="A264" s="2">
        <v>15</v>
      </c>
      <c r="B264" s="2" t="s">
        <v>2244</v>
      </c>
      <c r="C264" s="60" t="s">
        <v>12649</v>
      </c>
      <c r="D264" s="1"/>
      <c r="E264" s="68"/>
      <c r="F264" s="70"/>
      <c r="G264" s="66"/>
      <c r="H264" s="57"/>
      <c r="I264" s="58"/>
      <c r="J264" s="83" t="s">
        <v>5895</v>
      </c>
      <c r="K264" s="64" t="s">
        <v>1</v>
      </c>
      <c r="L264" s="65">
        <v>1</v>
      </c>
      <c r="M264" s="67"/>
      <c r="N264" s="68"/>
      <c r="O264" s="76"/>
      <c r="P264" s="70"/>
      <c r="Q264" s="67"/>
      <c r="R264" s="68"/>
      <c r="S264" s="76"/>
      <c r="T264" s="70"/>
      <c r="U264" s="120">
        <f>ROUND((ROUND((_15_同援日増５．５*_15・２人),0)*(1+_15・区４)),0)</f>
        <v>970</v>
      </c>
      <c r="V264" s="69"/>
    </row>
    <row r="265" spans="1:22" ht="16.5" customHeight="1" x14ac:dyDescent="0.3">
      <c r="A265" s="2">
        <v>15</v>
      </c>
      <c r="B265" s="2" t="s">
        <v>2245</v>
      </c>
      <c r="C265" s="60" t="s">
        <v>12648</v>
      </c>
      <c r="D265" s="1"/>
      <c r="E265" s="68"/>
      <c r="F265" s="70"/>
      <c r="G265" s="74" t="s">
        <v>17747</v>
      </c>
      <c r="H265" s="62"/>
      <c r="I265" s="63"/>
      <c r="J265" s="85"/>
      <c r="K265" s="64"/>
      <c r="L265" s="65"/>
      <c r="M265" s="67"/>
      <c r="N265" s="68"/>
      <c r="O265" s="76"/>
      <c r="P265" s="70"/>
      <c r="Q265" s="1" t="s">
        <v>17935</v>
      </c>
      <c r="R265" s="68"/>
      <c r="S265" s="76"/>
      <c r="T265" s="70"/>
      <c r="U265" s="120">
        <f>ROUND((ROUND((_15_同援日増５．５*_15・基礎２),0)*(1+_15・区４)),0)</f>
        <v>874</v>
      </c>
      <c r="V265" s="69"/>
    </row>
    <row r="266" spans="1:22" ht="16.5" customHeight="1" x14ac:dyDescent="0.3">
      <c r="A266" s="2">
        <v>15</v>
      </c>
      <c r="B266" s="2" t="s">
        <v>2246</v>
      </c>
      <c r="C266" s="60" t="s">
        <v>12647</v>
      </c>
      <c r="D266" s="1"/>
      <c r="E266" s="68"/>
      <c r="F266" s="70"/>
      <c r="G266" s="106" t="s">
        <v>17420</v>
      </c>
      <c r="H266" s="57" t="s">
        <v>1</v>
      </c>
      <c r="I266" s="58">
        <v>0.9</v>
      </c>
      <c r="J266" s="83" t="s">
        <v>5895</v>
      </c>
      <c r="K266" s="64" t="s">
        <v>1</v>
      </c>
      <c r="L266" s="65">
        <v>1</v>
      </c>
      <c r="M266" s="66"/>
      <c r="N266" s="57"/>
      <c r="O266" s="58"/>
      <c r="P266" s="77"/>
      <c r="Q266" s="1" t="s">
        <v>8087</v>
      </c>
      <c r="R266" s="68"/>
      <c r="S266" s="76"/>
      <c r="T266" s="70"/>
      <c r="U266" s="120">
        <f>ROUND((ROUND((ROUND((_15_同援日増５．５*_15・基礎２),0)*_15・２人),0)*(1+_15・区４)),0)</f>
        <v>874</v>
      </c>
      <c r="V266" s="69"/>
    </row>
    <row r="267" spans="1:22" ht="16.5" customHeight="1" x14ac:dyDescent="0.3">
      <c r="A267" s="2">
        <v>15</v>
      </c>
      <c r="B267" s="2" t="s">
        <v>2247</v>
      </c>
      <c r="C267" s="60" t="s">
        <v>12646</v>
      </c>
      <c r="D267" s="1"/>
      <c r="E267" s="68"/>
      <c r="F267" s="70"/>
      <c r="G267" s="61"/>
      <c r="H267" s="62"/>
      <c r="I267" s="63"/>
      <c r="J267" s="85"/>
      <c r="K267" s="64"/>
      <c r="L267" s="65"/>
      <c r="M267" s="74" t="s">
        <v>17933</v>
      </c>
      <c r="N267" s="62"/>
      <c r="O267" s="63"/>
      <c r="P267" s="75"/>
      <c r="Q267" s="67"/>
      <c r="R267" s="68" t="s">
        <v>1</v>
      </c>
      <c r="S267" s="76">
        <v>0.4</v>
      </c>
      <c r="T267" s="70" t="s">
        <v>422</v>
      </c>
      <c r="U267" s="120">
        <f>ROUND((ROUND((_15_同援日増５．５*(1+_15・盲ろう)),0)*(1+_15・区４)),0)</f>
        <v>1212</v>
      </c>
      <c r="V267" s="69"/>
    </row>
    <row r="268" spans="1:22" ht="16.5" customHeight="1" x14ac:dyDescent="0.3">
      <c r="A268" s="2">
        <v>15</v>
      </c>
      <c r="B268" s="2" t="s">
        <v>2248</v>
      </c>
      <c r="C268" s="60" t="s">
        <v>12645</v>
      </c>
      <c r="D268" s="1"/>
      <c r="E268" s="68"/>
      <c r="F268" s="70"/>
      <c r="G268" s="66"/>
      <c r="H268" s="57"/>
      <c r="I268" s="58"/>
      <c r="J268" s="83" t="s">
        <v>5895</v>
      </c>
      <c r="K268" s="64" t="s">
        <v>1</v>
      </c>
      <c r="L268" s="65">
        <v>1</v>
      </c>
      <c r="M268" s="94" t="s">
        <v>17932</v>
      </c>
      <c r="N268" s="68"/>
      <c r="O268" s="76"/>
      <c r="P268" s="70"/>
      <c r="Q268" s="67"/>
      <c r="R268" s="68"/>
      <c r="S268" s="76"/>
      <c r="T268" s="70"/>
      <c r="U268" s="120">
        <f>ROUND((ROUND((ROUND((_15_同援日増５．５*_15・２人),0)*(1+_15・盲ろう)),0)*(1+_15・区４)),0)</f>
        <v>1212</v>
      </c>
      <c r="V268" s="69"/>
    </row>
    <row r="269" spans="1:22" ht="16.5" customHeight="1" x14ac:dyDescent="0.3">
      <c r="A269" s="2">
        <v>15</v>
      </c>
      <c r="B269" s="2" t="s">
        <v>2249</v>
      </c>
      <c r="C269" s="60" t="s">
        <v>12644</v>
      </c>
      <c r="D269" s="1"/>
      <c r="E269" s="68"/>
      <c r="F269" s="70"/>
      <c r="G269" s="74" t="s">
        <v>17747</v>
      </c>
      <c r="H269" s="62"/>
      <c r="I269" s="63"/>
      <c r="J269" s="85"/>
      <c r="K269" s="64"/>
      <c r="L269" s="65"/>
      <c r="M269" s="67"/>
      <c r="N269" s="68" t="s">
        <v>1</v>
      </c>
      <c r="O269" s="76">
        <v>0.25</v>
      </c>
      <c r="P269" s="70" t="s">
        <v>422</v>
      </c>
      <c r="Q269" s="67"/>
      <c r="R269" s="68"/>
      <c r="S269" s="76"/>
      <c r="T269" s="70"/>
      <c r="U269" s="120">
        <f>ROUND((ROUND((ROUND((_15_同援日増５．５*_15・基礎２),0)*(1+_15・盲ろう)),0)*(1+_15・区４)),0)</f>
        <v>1092</v>
      </c>
      <c r="V269" s="69"/>
    </row>
    <row r="270" spans="1:22" ht="16.5" customHeight="1" x14ac:dyDescent="0.3">
      <c r="A270" s="2">
        <v>15</v>
      </c>
      <c r="B270" s="2" t="s">
        <v>2250</v>
      </c>
      <c r="C270" s="60" t="s">
        <v>12643</v>
      </c>
      <c r="D270" s="81"/>
      <c r="E270" s="57"/>
      <c r="F270" s="77"/>
      <c r="G270" s="106" t="s">
        <v>17420</v>
      </c>
      <c r="H270" s="57" t="s">
        <v>1</v>
      </c>
      <c r="I270" s="58">
        <v>0.9</v>
      </c>
      <c r="J270" s="83" t="s">
        <v>5895</v>
      </c>
      <c r="K270" s="64" t="s">
        <v>1</v>
      </c>
      <c r="L270" s="65">
        <v>1</v>
      </c>
      <c r="M270" s="66"/>
      <c r="N270" s="57"/>
      <c r="O270" s="58"/>
      <c r="P270" s="77"/>
      <c r="Q270" s="66"/>
      <c r="R270" s="57"/>
      <c r="S270" s="58"/>
      <c r="T270" s="77"/>
      <c r="U270" s="120">
        <f>ROUND((ROUND((ROUND((ROUND((_15_同援日増５．５*_15・基礎２),0)*_15・２人),0)*(1+_15・盲ろう)),0)*(1+_15・区４)),0)</f>
        <v>1092</v>
      </c>
      <c r="V270" s="69"/>
    </row>
    <row r="271" spans="1:22" ht="16.5" customHeight="1" x14ac:dyDescent="0.3">
      <c r="A271" s="2">
        <v>15</v>
      </c>
      <c r="B271" s="2" t="s">
        <v>2251</v>
      </c>
      <c r="C271" s="60" t="s">
        <v>12642</v>
      </c>
      <c r="D271" s="233" t="s">
        <v>18176</v>
      </c>
      <c r="E271" s="62"/>
      <c r="F271" s="75"/>
      <c r="G271" s="61"/>
      <c r="H271" s="62"/>
      <c r="I271" s="63"/>
      <c r="J271" s="85"/>
      <c r="K271" s="64"/>
      <c r="L271" s="65"/>
      <c r="M271" s="61"/>
      <c r="N271" s="62"/>
      <c r="O271" s="63"/>
      <c r="P271" s="75"/>
      <c r="Q271" s="61"/>
      <c r="R271" s="62"/>
      <c r="S271" s="63"/>
      <c r="T271" s="75"/>
      <c r="U271" s="120">
        <f>_15_同援日増６．０</f>
        <v>756</v>
      </c>
      <c r="V271" s="69"/>
    </row>
    <row r="272" spans="1:22" ht="16.5" customHeight="1" x14ac:dyDescent="0.3">
      <c r="A272" s="2">
        <v>15</v>
      </c>
      <c r="B272" s="2" t="s">
        <v>2252</v>
      </c>
      <c r="C272" s="60" t="s">
        <v>12641</v>
      </c>
      <c r="D272" s="1" t="s">
        <v>5943</v>
      </c>
      <c r="E272" s="68"/>
      <c r="F272" s="70"/>
      <c r="G272" s="66"/>
      <c r="H272" s="57"/>
      <c r="I272" s="58"/>
      <c r="J272" s="83" t="s">
        <v>5895</v>
      </c>
      <c r="K272" s="64" t="s">
        <v>1</v>
      </c>
      <c r="L272" s="65">
        <v>1</v>
      </c>
      <c r="M272" s="67"/>
      <c r="N272" s="68"/>
      <c r="O272" s="76"/>
      <c r="P272" s="70"/>
      <c r="Q272" s="67"/>
      <c r="R272" s="68"/>
      <c r="S272" s="76"/>
      <c r="T272" s="70"/>
      <c r="U272" s="120">
        <f>ROUND((_15_同援日増６．０*_15・２人),0)</f>
        <v>756</v>
      </c>
      <c r="V272" s="69"/>
    </row>
    <row r="273" spans="1:22" ht="16.5" customHeight="1" x14ac:dyDescent="0.3">
      <c r="A273" s="2">
        <v>15</v>
      </c>
      <c r="B273" s="2" t="s">
        <v>2253</v>
      </c>
      <c r="C273" s="60" t="s">
        <v>12640</v>
      </c>
      <c r="D273" s="1" t="s">
        <v>8985</v>
      </c>
      <c r="E273" s="68"/>
      <c r="F273" s="70"/>
      <c r="G273" s="74" t="s">
        <v>17747</v>
      </c>
      <c r="H273" s="62"/>
      <c r="I273" s="63"/>
      <c r="J273" s="85"/>
      <c r="K273" s="64"/>
      <c r="L273" s="65"/>
      <c r="M273" s="67"/>
      <c r="N273" s="68"/>
      <c r="O273" s="76"/>
      <c r="P273" s="70"/>
      <c r="Q273" s="67"/>
      <c r="R273" s="68"/>
      <c r="S273" s="76"/>
      <c r="T273" s="70"/>
      <c r="U273" s="120">
        <f>ROUND((_15_同援日増６．０*_15・基礎２),0)</f>
        <v>680</v>
      </c>
      <c r="V273" s="69"/>
    </row>
    <row r="274" spans="1:22" ht="16.5" customHeight="1" x14ac:dyDescent="0.3">
      <c r="A274" s="2">
        <v>15</v>
      </c>
      <c r="B274" s="2" t="s">
        <v>2254</v>
      </c>
      <c r="C274" s="60" t="s">
        <v>12639</v>
      </c>
      <c r="D274" s="1"/>
      <c r="E274" s="119">
        <v>756</v>
      </c>
      <c r="F274" s="70" t="s">
        <v>0</v>
      </c>
      <c r="G274" s="106" t="s">
        <v>17420</v>
      </c>
      <c r="H274" s="57" t="s">
        <v>1</v>
      </c>
      <c r="I274" s="58">
        <v>0.9</v>
      </c>
      <c r="J274" s="83" t="s">
        <v>5895</v>
      </c>
      <c r="K274" s="64" t="s">
        <v>1</v>
      </c>
      <c r="L274" s="65">
        <v>1</v>
      </c>
      <c r="M274" s="66"/>
      <c r="N274" s="57"/>
      <c r="O274" s="58"/>
      <c r="P274" s="77"/>
      <c r="Q274" s="67"/>
      <c r="R274" s="68"/>
      <c r="S274" s="76"/>
      <c r="T274" s="70"/>
      <c r="U274" s="120">
        <f>ROUND((ROUND((_15_同援日増６．０*_15・基礎２),0)*_15・２人),0)</f>
        <v>680</v>
      </c>
      <c r="V274" s="69"/>
    </row>
    <row r="275" spans="1:22" ht="16.5" customHeight="1" x14ac:dyDescent="0.3">
      <c r="A275" s="2">
        <v>15</v>
      </c>
      <c r="B275" s="2" t="s">
        <v>2255</v>
      </c>
      <c r="C275" s="60" t="s">
        <v>12638</v>
      </c>
      <c r="D275" s="1"/>
      <c r="E275" s="68"/>
      <c r="F275" s="70"/>
      <c r="G275" s="61"/>
      <c r="H275" s="62"/>
      <c r="I275" s="63"/>
      <c r="J275" s="85"/>
      <c r="K275" s="64"/>
      <c r="L275" s="65"/>
      <c r="M275" s="74" t="s">
        <v>17933</v>
      </c>
      <c r="N275" s="62"/>
      <c r="O275" s="63"/>
      <c r="P275" s="75"/>
      <c r="Q275" s="67"/>
      <c r="R275" s="68"/>
      <c r="S275" s="76"/>
      <c r="T275" s="70"/>
      <c r="U275" s="120">
        <f>ROUND((_15_同援日増６．０*(1+_15・盲ろう)),0)</f>
        <v>945</v>
      </c>
      <c r="V275" s="69"/>
    </row>
    <row r="276" spans="1:22" ht="16.5" customHeight="1" x14ac:dyDescent="0.3">
      <c r="A276" s="2">
        <v>15</v>
      </c>
      <c r="B276" s="2" t="s">
        <v>2256</v>
      </c>
      <c r="C276" s="60" t="s">
        <v>12637</v>
      </c>
      <c r="D276" s="1"/>
      <c r="E276" s="68"/>
      <c r="F276" s="70"/>
      <c r="G276" s="66"/>
      <c r="H276" s="57"/>
      <c r="I276" s="58"/>
      <c r="J276" s="83" t="s">
        <v>5895</v>
      </c>
      <c r="K276" s="64" t="s">
        <v>1</v>
      </c>
      <c r="L276" s="65">
        <v>1</v>
      </c>
      <c r="M276" s="94" t="s">
        <v>8083</v>
      </c>
      <c r="N276" s="68"/>
      <c r="O276" s="76"/>
      <c r="P276" s="70"/>
      <c r="Q276" s="67"/>
      <c r="R276" s="68"/>
      <c r="S276" s="76"/>
      <c r="T276" s="70"/>
      <c r="U276" s="120">
        <f>ROUND((ROUND((_15_同援日増６．０*_15・２人),0)*(1+_15・盲ろう)),0)</f>
        <v>945</v>
      </c>
      <c r="V276" s="69"/>
    </row>
    <row r="277" spans="1:22" ht="16.5" customHeight="1" x14ac:dyDescent="0.3">
      <c r="A277" s="2">
        <v>15</v>
      </c>
      <c r="B277" s="2" t="s">
        <v>2257</v>
      </c>
      <c r="C277" s="60" t="s">
        <v>12636</v>
      </c>
      <c r="D277" s="1"/>
      <c r="E277" s="68"/>
      <c r="F277" s="70"/>
      <c r="G277" s="74" t="s">
        <v>17747</v>
      </c>
      <c r="H277" s="62"/>
      <c r="I277" s="63"/>
      <c r="J277" s="85"/>
      <c r="K277" s="64"/>
      <c r="L277" s="65"/>
      <c r="M277" s="67"/>
      <c r="N277" s="68" t="s">
        <v>1</v>
      </c>
      <c r="O277" s="76">
        <v>0.25</v>
      </c>
      <c r="P277" s="70" t="s">
        <v>422</v>
      </c>
      <c r="Q277" s="67"/>
      <c r="R277" s="68"/>
      <c r="S277" s="76"/>
      <c r="T277" s="70"/>
      <c r="U277" s="120">
        <f>ROUND((ROUND((_15_同援日増６．０*_15・基礎２),0)*(1+_15・盲ろう)),0)</f>
        <v>850</v>
      </c>
      <c r="V277" s="69"/>
    </row>
    <row r="278" spans="1:22" ht="16.5" customHeight="1" x14ac:dyDescent="0.3">
      <c r="A278" s="2">
        <v>15</v>
      </c>
      <c r="B278" s="2" t="s">
        <v>2258</v>
      </c>
      <c r="C278" s="60" t="s">
        <v>12635</v>
      </c>
      <c r="D278" s="1"/>
      <c r="E278" s="68"/>
      <c r="F278" s="70"/>
      <c r="G278" s="106" t="s">
        <v>17420</v>
      </c>
      <c r="H278" s="57" t="s">
        <v>1</v>
      </c>
      <c r="I278" s="58">
        <v>0.9</v>
      </c>
      <c r="J278" s="83" t="s">
        <v>5895</v>
      </c>
      <c r="K278" s="64" t="s">
        <v>1</v>
      </c>
      <c r="L278" s="65">
        <v>1</v>
      </c>
      <c r="M278" s="66"/>
      <c r="N278" s="57"/>
      <c r="O278" s="58"/>
      <c r="P278" s="77"/>
      <c r="Q278" s="66"/>
      <c r="R278" s="57"/>
      <c r="S278" s="58"/>
      <c r="T278" s="77"/>
      <c r="U278" s="120">
        <f>ROUND((ROUND((ROUND((_15_同援日増６．０*_15・基礎２),0)*_15・２人),0)*(1+_15・盲ろう)),0)</f>
        <v>850</v>
      </c>
      <c r="V278" s="69"/>
    </row>
    <row r="279" spans="1:22" ht="16.5" customHeight="1" x14ac:dyDescent="0.3">
      <c r="A279" s="2">
        <v>15</v>
      </c>
      <c r="B279" s="2" t="s">
        <v>2259</v>
      </c>
      <c r="C279" s="60" t="s">
        <v>12634</v>
      </c>
      <c r="D279" s="1"/>
      <c r="E279" s="68"/>
      <c r="F279" s="70"/>
      <c r="G279" s="61"/>
      <c r="H279" s="62"/>
      <c r="I279" s="63"/>
      <c r="J279" s="85"/>
      <c r="K279" s="64"/>
      <c r="L279" s="65"/>
      <c r="M279" s="61"/>
      <c r="N279" s="62"/>
      <c r="O279" s="63"/>
      <c r="P279" s="75"/>
      <c r="Q279" s="61"/>
      <c r="R279" s="62"/>
      <c r="S279" s="63"/>
      <c r="T279" s="75"/>
      <c r="U279" s="120">
        <f>ROUND((_15_同援日増６．０*(1+_15・区３)),0)</f>
        <v>907</v>
      </c>
      <c r="V279" s="69"/>
    </row>
    <row r="280" spans="1:22" ht="16.5" customHeight="1" x14ac:dyDescent="0.3">
      <c r="A280" s="2">
        <v>15</v>
      </c>
      <c r="B280" s="2" t="s">
        <v>2260</v>
      </c>
      <c r="C280" s="60" t="s">
        <v>12633</v>
      </c>
      <c r="D280" s="1"/>
      <c r="E280" s="68"/>
      <c r="F280" s="70"/>
      <c r="G280" s="66"/>
      <c r="H280" s="57"/>
      <c r="I280" s="58"/>
      <c r="J280" s="83" t="s">
        <v>5895</v>
      </c>
      <c r="K280" s="64" t="s">
        <v>1</v>
      </c>
      <c r="L280" s="65">
        <v>1</v>
      </c>
      <c r="M280" s="67"/>
      <c r="N280" s="68"/>
      <c r="O280" s="76"/>
      <c r="P280" s="70"/>
      <c r="Q280" s="67"/>
      <c r="R280" s="68"/>
      <c r="S280" s="76"/>
      <c r="T280" s="70"/>
      <c r="U280" s="120">
        <f>ROUND((ROUND((_15_同援日増６．０*_15・２人),0)*(1+_15・区３)),0)</f>
        <v>907</v>
      </c>
      <c r="V280" s="69"/>
    </row>
    <row r="281" spans="1:22" ht="16.5" customHeight="1" x14ac:dyDescent="0.3">
      <c r="A281" s="2">
        <v>15</v>
      </c>
      <c r="B281" s="2" t="s">
        <v>2261</v>
      </c>
      <c r="C281" s="60" t="s">
        <v>12632</v>
      </c>
      <c r="D281" s="1"/>
      <c r="E281" s="68"/>
      <c r="F281" s="70"/>
      <c r="G281" s="74" t="s">
        <v>17747</v>
      </c>
      <c r="H281" s="62"/>
      <c r="I281" s="63"/>
      <c r="J281" s="85"/>
      <c r="K281" s="64"/>
      <c r="L281" s="65"/>
      <c r="M281" s="67"/>
      <c r="N281" s="68"/>
      <c r="O281" s="76"/>
      <c r="P281" s="70"/>
      <c r="Q281" s="1" t="s">
        <v>17936</v>
      </c>
      <c r="R281" s="68"/>
      <c r="S281" s="76"/>
      <c r="T281" s="70"/>
      <c r="U281" s="120">
        <f>ROUND((ROUND((_15_同援日増６．０*_15・基礎２),0)*(1+_15・区３)),0)</f>
        <v>816</v>
      </c>
      <c r="V281" s="69"/>
    </row>
    <row r="282" spans="1:22" ht="16.5" customHeight="1" x14ac:dyDescent="0.3">
      <c r="A282" s="2">
        <v>15</v>
      </c>
      <c r="B282" s="2" t="s">
        <v>2262</v>
      </c>
      <c r="C282" s="60" t="s">
        <v>12631</v>
      </c>
      <c r="D282" s="1"/>
      <c r="E282" s="68"/>
      <c r="F282" s="70"/>
      <c r="G282" s="106" t="s">
        <v>17420</v>
      </c>
      <c r="H282" s="57" t="s">
        <v>1</v>
      </c>
      <c r="I282" s="58">
        <v>0.9</v>
      </c>
      <c r="J282" s="83" t="s">
        <v>5895</v>
      </c>
      <c r="K282" s="64" t="s">
        <v>1</v>
      </c>
      <c r="L282" s="65">
        <v>1</v>
      </c>
      <c r="M282" s="66"/>
      <c r="N282" s="57"/>
      <c r="O282" s="58"/>
      <c r="P282" s="77"/>
      <c r="Q282" s="1" t="s">
        <v>17934</v>
      </c>
      <c r="R282" s="68"/>
      <c r="S282" s="76"/>
      <c r="T282" s="70"/>
      <c r="U282" s="120">
        <f>ROUND((ROUND((ROUND((_15_同援日増６．０*_15・基礎２),0)*_15・２人),0)*(1+_15・区３)),0)</f>
        <v>816</v>
      </c>
      <c r="V282" s="69"/>
    </row>
    <row r="283" spans="1:22" ht="16.5" customHeight="1" x14ac:dyDescent="0.3">
      <c r="A283" s="2">
        <v>15</v>
      </c>
      <c r="B283" s="2" t="s">
        <v>2263</v>
      </c>
      <c r="C283" s="60" t="s">
        <v>12630</v>
      </c>
      <c r="D283" s="1"/>
      <c r="E283" s="68"/>
      <c r="F283" s="70"/>
      <c r="G283" s="61"/>
      <c r="H283" s="62"/>
      <c r="I283" s="63"/>
      <c r="J283" s="85"/>
      <c r="K283" s="64"/>
      <c r="L283" s="65"/>
      <c r="M283" s="74" t="s">
        <v>17933</v>
      </c>
      <c r="N283" s="62"/>
      <c r="O283" s="63"/>
      <c r="P283" s="75"/>
      <c r="Q283" s="67"/>
      <c r="R283" s="68" t="s">
        <v>1</v>
      </c>
      <c r="S283" s="76">
        <v>0.2</v>
      </c>
      <c r="T283" s="70" t="s">
        <v>422</v>
      </c>
      <c r="U283" s="120">
        <f>ROUND((ROUND((_15_同援日増６．０*(1+_15・盲ろう)),0)*(1+_15・区３)),0)</f>
        <v>1134</v>
      </c>
      <c r="V283" s="69"/>
    </row>
    <row r="284" spans="1:22" ht="16.5" customHeight="1" x14ac:dyDescent="0.3">
      <c r="A284" s="2">
        <v>15</v>
      </c>
      <c r="B284" s="2" t="s">
        <v>2264</v>
      </c>
      <c r="C284" s="60" t="s">
        <v>12629</v>
      </c>
      <c r="D284" s="1"/>
      <c r="E284" s="68"/>
      <c r="F284" s="70"/>
      <c r="G284" s="66"/>
      <c r="H284" s="57"/>
      <c r="I284" s="58"/>
      <c r="J284" s="83" t="s">
        <v>5895</v>
      </c>
      <c r="K284" s="64" t="s">
        <v>1</v>
      </c>
      <c r="L284" s="65">
        <v>1</v>
      </c>
      <c r="M284" s="94" t="s">
        <v>17932</v>
      </c>
      <c r="N284" s="68"/>
      <c r="O284" s="76"/>
      <c r="P284" s="70"/>
      <c r="Q284" s="67"/>
      <c r="R284" s="68"/>
      <c r="S284" s="76"/>
      <c r="T284" s="70"/>
      <c r="U284" s="120">
        <f>ROUND((ROUND((ROUND((_15_同援日増６．０*_15・２人),0)*(1+_15・盲ろう)),0)*(1+_15・区３)),0)</f>
        <v>1134</v>
      </c>
      <c r="V284" s="69"/>
    </row>
    <row r="285" spans="1:22" ht="16.5" customHeight="1" x14ac:dyDescent="0.3">
      <c r="A285" s="2">
        <v>15</v>
      </c>
      <c r="B285" s="2" t="s">
        <v>2265</v>
      </c>
      <c r="C285" s="60" t="s">
        <v>12628</v>
      </c>
      <c r="D285" s="1"/>
      <c r="E285" s="68"/>
      <c r="F285" s="70"/>
      <c r="G285" s="74" t="s">
        <v>17747</v>
      </c>
      <c r="H285" s="62"/>
      <c r="I285" s="63"/>
      <c r="J285" s="85"/>
      <c r="K285" s="64"/>
      <c r="L285" s="65"/>
      <c r="M285" s="67"/>
      <c r="N285" s="68" t="s">
        <v>1</v>
      </c>
      <c r="O285" s="76">
        <v>0.25</v>
      </c>
      <c r="P285" s="70" t="s">
        <v>422</v>
      </c>
      <c r="Q285" s="67"/>
      <c r="R285" s="68"/>
      <c r="S285" s="76"/>
      <c r="T285" s="70"/>
      <c r="U285" s="120">
        <f>ROUND((ROUND((ROUND((_15_同援日増６．０*_15・基礎２),0)*(1+_15・盲ろう)),0)*(1+_15・区３)),0)</f>
        <v>1020</v>
      </c>
      <c r="V285" s="69"/>
    </row>
    <row r="286" spans="1:22" ht="16.5" customHeight="1" x14ac:dyDescent="0.3">
      <c r="A286" s="2">
        <v>15</v>
      </c>
      <c r="B286" s="2" t="s">
        <v>2266</v>
      </c>
      <c r="C286" s="60" t="s">
        <v>12627</v>
      </c>
      <c r="D286" s="1"/>
      <c r="E286" s="68"/>
      <c r="F286" s="70"/>
      <c r="G286" s="106" t="s">
        <v>17420</v>
      </c>
      <c r="H286" s="57" t="s">
        <v>1</v>
      </c>
      <c r="I286" s="58">
        <v>0.9</v>
      </c>
      <c r="J286" s="83" t="s">
        <v>5895</v>
      </c>
      <c r="K286" s="64" t="s">
        <v>1</v>
      </c>
      <c r="L286" s="65">
        <v>1</v>
      </c>
      <c r="M286" s="66"/>
      <c r="N286" s="57"/>
      <c r="O286" s="58"/>
      <c r="P286" s="77"/>
      <c r="Q286" s="66"/>
      <c r="R286" s="57"/>
      <c r="S286" s="58"/>
      <c r="T286" s="77"/>
      <c r="U286" s="120">
        <f>ROUND((ROUND((ROUND((ROUND((_15_同援日増６．０*_15・基礎２),0)*_15・２人),0)*(1+_15・盲ろう)),0)*(1+_15・区３)),0)</f>
        <v>1020</v>
      </c>
      <c r="V286" s="69"/>
    </row>
    <row r="287" spans="1:22" ht="16.5" customHeight="1" x14ac:dyDescent="0.3">
      <c r="A287" s="2">
        <v>15</v>
      </c>
      <c r="B287" s="2" t="s">
        <v>2267</v>
      </c>
      <c r="C287" s="60" t="s">
        <v>12626</v>
      </c>
      <c r="D287" s="1"/>
      <c r="E287" s="68"/>
      <c r="F287" s="70"/>
      <c r="G287" s="61"/>
      <c r="H287" s="62"/>
      <c r="I287" s="63"/>
      <c r="J287" s="85"/>
      <c r="K287" s="64"/>
      <c r="L287" s="65"/>
      <c r="M287" s="61"/>
      <c r="N287" s="62"/>
      <c r="O287" s="63"/>
      <c r="P287" s="75"/>
      <c r="Q287" s="61"/>
      <c r="R287" s="62"/>
      <c r="S287" s="63"/>
      <c r="T287" s="75"/>
      <c r="U287" s="120">
        <f>ROUND((_15_同援日増６．０*(1+_15・区４)),0)</f>
        <v>1058</v>
      </c>
      <c r="V287" s="69"/>
    </row>
    <row r="288" spans="1:22" ht="16.5" customHeight="1" x14ac:dyDescent="0.3">
      <c r="A288" s="2">
        <v>15</v>
      </c>
      <c r="B288" s="2" t="s">
        <v>2268</v>
      </c>
      <c r="C288" s="60" t="s">
        <v>12625</v>
      </c>
      <c r="D288" s="1"/>
      <c r="E288" s="68"/>
      <c r="F288" s="70"/>
      <c r="G288" s="66"/>
      <c r="H288" s="57"/>
      <c r="I288" s="58"/>
      <c r="J288" s="83" t="s">
        <v>5895</v>
      </c>
      <c r="K288" s="64" t="s">
        <v>1</v>
      </c>
      <c r="L288" s="65">
        <v>1</v>
      </c>
      <c r="M288" s="67"/>
      <c r="N288" s="68"/>
      <c r="O288" s="76"/>
      <c r="P288" s="70"/>
      <c r="Q288" s="67"/>
      <c r="R288" s="68"/>
      <c r="S288" s="76"/>
      <c r="T288" s="70"/>
      <c r="U288" s="120">
        <f>ROUND((ROUND((_15_同援日増６．０*_15・２人),0)*(1+_15・区４)),0)</f>
        <v>1058</v>
      </c>
      <c r="V288" s="69"/>
    </row>
    <row r="289" spans="1:22" ht="16.5" customHeight="1" x14ac:dyDescent="0.3">
      <c r="A289" s="2">
        <v>15</v>
      </c>
      <c r="B289" s="2" t="s">
        <v>2269</v>
      </c>
      <c r="C289" s="60" t="s">
        <v>12624</v>
      </c>
      <c r="D289" s="1"/>
      <c r="E289" s="68"/>
      <c r="F289" s="70"/>
      <c r="G289" s="74" t="s">
        <v>17747</v>
      </c>
      <c r="H289" s="62"/>
      <c r="I289" s="63"/>
      <c r="J289" s="85"/>
      <c r="K289" s="64"/>
      <c r="L289" s="65"/>
      <c r="M289" s="67"/>
      <c r="N289" s="68"/>
      <c r="O289" s="76"/>
      <c r="P289" s="70"/>
      <c r="Q289" s="1" t="s">
        <v>17935</v>
      </c>
      <c r="R289" s="68"/>
      <c r="S289" s="76"/>
      <c r="T289" s="70"/>
      <c r="U289" s="120">
        <f>ROUND((ROUND((_15_同援日増６．０*_15・基礎２),0)*(1+_15・区４)),0)</f>
        <v>952</v>
      </c>
      <c r="V289" s="69"/>
    </row>
    <row r="290" spans="1:22" ht="16.5" customHeight="1" x14ac:dyDescent="0.3">
      <c r="A290" s="2">
        <v>15</v>
      </c>
      <c r="B290" s="2" t="s">
        <v>2270</v>
      </c>
      <c r="C290" s="60" t="s">
        <v>12623</v>
      </c>
      <c r="D290" s="1"/>
      <c r="E290" s="68"/>
      <c r="F290" s="70"/>
      <c r="G290" s="106" t="s">
        <v>17420</v>
      </c>
      <c r="H290" s="57" t="s">
        <v>1</v>
      </c>
      <c r="I290" s="58">
        <v>0.9</v>
      </c>
      <c r="J290" s="83" t="s">
        <v>5895</v>
      </c>
      <c r="K290" s="64" t="s">
        <v>1</v>
      </c>
      <c r="L290" s="65">
        <v>1</v>
      </c>
      <c r="M290" s="66"/>
      <c r="N290" s="57"/>
      <c r="O290" s="58"/>
      <c r="P290" s="77"/>
      <c r="Q290" s="1" t="s">
        <v>17934</v>
      </c>
      <c r="R290" s="68"/>
      <c r="S290" s="76"/>
      <c r="T290" s="70"/>
      <c r="U290" s="120">
        <f>ROUND((ROUND((ROUND((_15_同援日増６．０*_15・基礎２),0)*_15・２人),0)*(1+_15・区４)),0)</f>
        <v>952</v>
      </c>
      <c r="V290" s="69"/>
    </row>
    <row r="291" spans="1:22" ht="16.5" customHeight="1" x14ac:dyDescent="0.3">
      <c r="A291" s="2">
        <v>15</v>
      </c>
      <c r="B291" s="2" t="s">
        <v>2271</v>
      </c>
      <c r="C291" s="60" t="s">
        <v>12622</v>
      </c>
      <c r="D291" s="1"/>
      <c r="E291" s="68"/>
      <c r="F291" s="70"/>
      <c r="G291" s="61"/>
      <c r="H291" s="62"/>
      <c r="I291" s="63"/>
      <c r="J291" s="85"/>
      <c r="K291" s="64"/>
      <c r="L291" s="65"/>
      <c r="M291" s="74" t="s">
        <v>17933</v>
      </c>
      <c r="N291" s="62"/>
      <c r="O291" s="63"/>
      <c r="P291" s="75"/>
      <c r="Q291" s="67"/>
      <c r="R291" s="68" t="s">
        <v>1</v>
      </c>
      <c r="S291" s="76">
        <v>0.4</v>
      </c>
      <c r="T291" s="70" t="s">
        <v>422</v>
      </c>
      <c r="U291" s="120">
        <f>ROUND((ROUND((_15_同援日増６．０*(1+_15・盲ろう)),0)*(1+_15・区４)),0)</f>
        <v>1323</v>
      </c>
      <c r="V291" s="69"/>
    </row>
    <row r="292" spans="1:22" ht="16.5" customHeight="1" x14ac:dyDescent="0.3">
      <c r="A292" s="2">
        <v>15</v>
      </c>
      <c r="B292" s="2" t="s">
        <v>2272</v>
      </c>
      <c r="C292" s="60" t="s">
        <v>12621</v>
      </c>
      <c r="D292" s="1"/>
      <c r="E292" s="68"/>
      <c r="F292" s="70"/>
      <c r="G292" s="66"/>
      <c r="H292" s="57"/>
      <c r="I292" s="58"/>
      <c r="J292" s="83" t="s">
        <v>5895</v>
      </c>
      <c r="K292" s="64" t="s">
        <v>1</v>
      </c>
      <c r="L292" s="65">
        <v>1</v>
      </c>
      <c r="M292" s="94" t="s">
        <v>17932</v>
      </c>
      <c r="N292" s="68"/>
      <c r="O292" s="76"/>
      <c r="P292" s="70"/>
      <c r="Q292" s="67"/>
      <c r="R292" s="68"/>
      <c r="S292" s="76"/>
      <c r="T292" s="70"/>
      <c r="U292" s="120">
        <f>ROUND((ROUND((ROUND((_15_同援日増６．０*_15・２人),0)*(1+_15・盲ろう)),0)*(1+_15・区４)),0)</f>
        <v>1323</v>
      </c>
      <c r="V292" s="69"/>
    </row>
    <row r="293" spans="1:22" ht="16.5" customHeight="1" x14ac:dyDescent="0.3">
      <c r="A293" s="2">
        <v>15</v>
      </c>
      <c r="B293" s="2" t="s">
        <v>2273</v>
      </c>
      <c r="C293" s="60" t="s">
        <v>12620</v>
      </c>
      <c r="D293" s="1"/>
      <c r="E293" s="68"/>
      <c r="F293" s="70"/>
      <c r="G293" s="74" t="s">
        <v>17747</v>
      </c>
      <c r="H293" s="62"/>
      <c r="I293" s="63"/>
      <c r="J293" s="85"/>
      <c r="K293" s="64"/>
      <c r="L293" s="65"/>
      <c r="M293" s="67"/>
      <c r="N293" s="68" t="s">
        <v>1</v>
      </c>
      <c r="O293" s="76">
        <v>0.25</v>
      </c>
      <c r="P293" s="70" t="s">
        <v>422</v>
      </c>
      <c r="Q293" s="67"/>
      <c r="R293" s="68"/>
      <c r="S293" s="76"/>
      <c r="T293" s="70"/>
      <c r="U293" s="120">
        <f>ROUND((ROUND((ROUND((_15_同援日増６．０*_15・基礎２),0)*(1+_15・盲ろう)),0)*(1+_15・区４)),0)</f>
        <v>1190</v>
      </c>
      <c r="V293" s="69"/>
    </row>
    <row r="294" spans="1:22" ht="16.5" customHeight="1" x14ac:dyDescent="0.3">
      <c r="A294" s="2">
        <v>15</v>
      </c>
      <c r="B294" s="2" t="s">
        <v>2274</v>
      </c>
      <c r="C294" s="60" t="s">
        <v>12619</v>
      </c>
      <c r="D294" s="81"/>
      <c r="E294" s="57"/>
      <c r="F294" s="77"/>
      <c r="G294" s="106" t="s">
        <v>17420</v>
      </c>
      <c r="H294" s="57" t="s">
        <v>1</v>
      </c>
      <c r="I294" s="58">
        <v>0.9</v>
      </c>
      <c r="J294" s="83" t="s">
        <v>5895</v>
      </c>
      <c r="K294" s="64" t="s">
        <v>1</v>
      </c>
      <c r="L294" s="65">
        <v>1</v>
      </c>
      <c r="M294" s="66"/>
      <c r="N294" s="57"/>
      <c r="O294" s="58"/>
      <c r="P294" s="77"/>
      <c r="Q294" s="66"/>
      <c r="R294" s="57"/>
      <c r="S294" s="58"/>
      <c r="T294" s="77"/>
      <c r="U294" s="120">
        <f>ROUND((ROUND((ROUND((ROUND((_15_同援日増６．０*_15・基礎２),0)*_15・２人),0)*(1+_15・盲ろう)),0)*(1+_15・区４)),0)</f>
        <v>1190</v>
      </c>
      <c r="V294" s="69"/>
    </row>
    <row r="295" spans="1:22" ht="16.5" customHeight="1" x14ac:dyDescent="0.3">
      <c r="A295" s="2">
        <v>15</v>
      </c>
      <c r="B295" s="2" t="s">
        <v>2275</v>
      </c>
      <c r="C295" s="60" t="s">
        <v>12618</v>
      </c>
      <c r="D295" s="233" t="s">
        <v>18175</v>
      </c>
      <c r="E295" s="62"/>
      <c r="F295" s="75"/>
      <c r="G295" s="61"/>
      <c r="H295" s="62"/>
      <c r="I295" s="63"/>
      <c r="J295" s="85"/>
      <c r="K295" s="64"/>
      <c r="L295" s="65"/>
      <c r="M295" s="61"/>
      <c r="N295" s="62"/>
      <c r="O295" s="63"/>
      <c r="P295" s="75"/>
      <c r="Q295" s="61"/>
      <c r="R295" s="62"/>
      <c r="S295" s="63"/>
      <c r="T295" s="75"/>
      <c r="U295" s="120">
        <f>_15_同援日増６．５</f>
        <v>819</v>
      </c>
      <c r="V295" s="69"/>
    </row>
    <row r="296" spans="1:22" ht="16.5" customHeight="1" x14ac:dyDescent="0.3">
      <c r="A296" s="2">
        <v>15</v>
      </c>
      <c r="B296" s="2" t="s">
        <v>2276</v>
      </c>
      <c r="C296" s="60" t="s">
        <v>12617</v>
      </c>
      <c r="D296" s="1" t="s">
        <v>17749</v>
      </c>
      <c r="E296" s="68"/>
      <c r="F296" s="70"/>
      <c r="G296" s="66"/>
      <c r="H296" s="57"/>
      <c r="I296" s="58"/>
      <c r="J296" s="83" t="s">
        <v>5895</v>
      </c>
      <c r="K296" s="64" t="s">
        <v>1</v>
      </c>
      <c r="L296" s="65">
        <v>1</v>
      </c>
      <c r="M296" s="67"/>
      <c r="N296" s="68"/>
      <c r="O296" s="76"/>
      <c r="P296" s="70"/>
      <c r="Q296" s="67"/>
      <c r="R296" s="68"/>
      <c r="S296" s="76"/>
      <c r="T296" s="70"/>
      <c r="U296" s="120">
        <f>ROUND((_15_同援日増６．５*_15・２人),0)</f>
        <v>819</v>
      </c>
      <c r="V296" s="69"/>
    </row>
    <row r="297" spans="1:22" ht="16.5" customHeight="1" x14ac:dyDescent="0.3">
      <c r="A297" s="2">
        <v>15</v>
      </c>
      <c r="B297" s="2" t="s">
        <v>2277</v>
      </c>
      <c r="C297" s="60" t="s">
        <v>12616</v>
      </c>
      <c r="D297" s="1" t="s">
        <v>8960</v>
      </c>
      <c r="E297" s="68"/>
      <c r="F297" s="70"/>
      <c r="G297" s="74" t="s">
        <v>17747</v>
      </c>
      <c r="H297" s="62"/>
      <c r="I297" s="63"/>
      <c r="J297" s="85"/>
      <c r="K297" s="64"/>
      <c r="L297" s="65"/>
      <c r="M297" s="67"/>
      <c r="N297" s="68"/>
      <c r="O297" s="76"/>
      <c r="P297" s="70"/>
      <c r="Q297" s="67"/>
      <c r="R297" s="68"/>
      <c r="S297" s="76"/>
      <c r="T297" s="70"/>
      <c r="U297" s="120">
        <f>ROUND((_15_同援日増６．５*_15・基礎２),0)</f>
        <v>737</v>
      </c>
      <c r="V297" s="69"/>
    </row>
    <row r="298" spans="1:22" ht="16.5" customHeight="1" x14ac:dyDescent="0.3">
      <c r="A298" s="2">
        <v>15</v>
      </c>
      <c r="B298" s="2" t="s">
        <v>2278</v>
      </c>
      <c r="C298" s="60" t="s">
        <v>12615</v>
      </c>
      <c r="D298" s="1"/>
      <c r="E298" s="119">
        <v>819</v>
      </c>
      <c r="F298" s="70" t="s">
        <v>0</v>
      </c>
      <c r="G298" s="106" t="s">
        <v>17420</v>
      </c>
      <c r="H298" s="57" t="s">
        <v>1</v>
      </c>
      <c r="I298" s="58">
        <v>0.9</v>
      </c>
      <c r="J298" s="83" t="s">
        <v>5895</v>
      </c>
      <c r="K298" s="64" t="s">
        <v>1</v>
      </c>
      <c r="L298" s="65">
        <v>1</v>
      </c>
      <c r="M298" s="66"/>
      <c r="N298" s="57"/>
      <c r="O298" s="58"/>
      <c r="P298" s="77"/>
      <c r="Q298" s="67"/>
      <c r="R298" s="68"/>
      <c r="S298" s="76"/>
      <c r="T298" s="70"/>
      <c r="U298" s="120">
        <f>ROUND((ROUND((_15_同援日増６．５*_15・基礎２),0)*_15・２人),0)</f>
        <v>737</v>
      </c>
      <c r="V298" s="69"/>
    </row>
    <row r="299" spans="1:22" ht="16.5" customHeight="1" x14ac:dyDescent="0.3">
      <c r="A299" s="2">
        <v>15</v>
      </c>
      <c r="B299" s="2" t="s">
        <v>2279</v>
      </c>
      <c r="C299" s="60" t="s">
        <v>12614</v>
      </c>
      <c r="D299" s="1"/>
      <c r="E299" s="68"/>
      <c r="F299" s="70"/>
      <c r="G299" s="61"/>
      <c r="H299" s="62"/>
      <c r="I299" s="63"/>
      <c r="J299" s="85"/>
      <c r="K299" s="64"/>
      <c r="L299" s="65"/>
      <c r="M299" s="74" t="s">
        <v>17933</v>
      </c>
      <c r="N299" s="62"/>
      <c r="O299" s="63"/>
      <c r="P299" s="75"/>
      <c r="Q299" s="67"/>
      <c r="R299" s="68"/>
      <c r="S299" s="76"/>
      <c r="T299" s="70"/>
      <c r="U299" s="120">
        <f>ROUND((_15_同援日増６．５*(1+_15・盲ろう)),0)</f>
        <v>1024</v>
      </c>
      <c r="V299" s="69"/>
    </row>
    <row r="300" spans="1:22" ht="16.5" customHeight="1" x14ac:dyDescent="0.3">
      <c r="A300" s="2">
        <v>15</v>
      </c>
      <c r="B300" s="2" t="s">
        <v>2280</v>
      </c>
      <c r="C300" s="60" t="s">
        <v>12613</v>
      </c>
      <c r="D300" s="1"/>
      <c r="E300" s="68"/>
      <c r="F300" s="70"/>
      <c r="G300" s="66"/>
      <c r="H300" s="57"/>
      <c r="I300" s="58"/>
      <c r="J300" s="83" t="s">
        <v>5895</v>
      </c>
      <c r="K300" s="64" t="s">
        <v>1</v>
      </c>
      <c r="L300" s="65">
        <v>1</v>
      </c>
      <c r="M300" s="94" t="s">
        <v>17932</v>
      </c>
      <c r="N300" s="68"/>
      <c r="O300" s="76"/>
      <c r="P300" s="70"/>
      <c r="Q300" s="67"/>
      <c r="R300" s="68"/>
      <c r="S300" s="76"/>
      <c r="T300" s="70"/>
      <c r="U300" s="120">
        <f>ROUND((ROUND((_15_同援日増６．５*_15・２人),0)*(1+_15・盲ろう)),0)</f>
        <v>1024</v>
      </c>
      <c r="V300" s="69"/>
    </row>
    <row r="301" spans="1:22" ht="16.5" customHeight="1" x14ac:dyDescent="0.3">
      <c r="A301" s="2">
        <v>15</v>
      </c>
      <c r="B301" s="2" t="s">
        <v>2281</v>
      </c>
      <c r="C301" s="60" t="s">
        <v>12612</v>
      </c>
      <c r="D301" s="1"/>
      <c r="E301" s="68"/>
      <c r="F301" s="70"/>
      <c r="G301" s="74" t="s">
        <v>17747</v>
      </c>
      <c r="H301" s="62"/>
      <c r="I301" s="63"/>
      <c r="J301" s="85"/>
      <c r="K301" s="64"/>
      <c r="L301" s="65"/>
      <c r="M301" s="67"/>
      <c r="N301" s="68" t="s">
        <v>1</v>
      </c>
      <c r="O301" s="76">
        <v>0.25</v>
      </c>
      <c r="P301" s="70" t="s">
        <v>422</v>
      </c>
      <c r="Q301" s="67"/>
      <c r="R301" s="68"/>
      <c r="S301" s="76"/>
      <c r="T301" s="70"/>
      <c r="U301" s="120">
        <f>ROUND((ROUND((_15_同援日増６．５*_15・基礎２),0)*(1+_15・盲ろう)),0)</f>
        <v>921</v>
      </c>
      <c r="V301" s="69"/>
    </row>
    <row r="302" spans="1:22" ht="16.5" customHeight="1" x14ac:dyDescent="0.3">
      <c r="A302" s="2">
        <v>15</v>
      </c>
      <c r="B302" s="2" t="s">
        <v>2282</v>
      </c>
      <c r="C302" s="60" t="s">
        <v>12611</v>
      </c>
      <c r="D302" s="1"/>
      <c r="E302" s="68"/>
      <c r="F302" s="70"/>
      <c r="G302" s="106" t="s">
        <v>17420</v>
      </c>
      <c r="H302" s="57" t="s">
        <v>1</v>
      </c>
      <c r="I302" s="58">
        <v>0.9</v>
      </c>
      <c r="J302" s="83" t="s">
        <v>5895</v>
      </c>
      <c r="K302" s="64" t="s">
        <v>1</v>
      </c>
      <c r="L302" s="65">
        <v>1</v>
      </c>
      <c r="M302" s="66"/>
      <c r="N302" s="57"/>
      <c r="O302" s="58"/>
      <c r="P302" s="77"/>
      <c r="Q302" s="66"/>
      <c r="R302" s="57"/>
      <c r="S302" s="58"/>
      <c r="T302" s="77"/>
      <c r="U302" s="120">
        <f>ROUND((ROUND((ROUND((_15_同援日増６．５*_15・基礎２),0)*_15・２人),0)*(1+_15・盲ろう)),0)</f>
        <v>921</v>
      </c>
      <c r="V302" s="69"/>
    </row>
    <row r="303" spans="1:22" ht="16.5" customHeight="1" x14ac:dyDescent="0.3">
      <c r="A303" s="2">
        <v>15</v>
      </c>
      <c r="B303" s="2" t="s">
        <v>2283</v>
      </c>
      <c r="C303" s="60" t="s">
        <v>12610</v>
      </c>
      <c r="D303" s="1"/>
      <c r="E303" s="68"/>
      <c r="F303" s="70"/>
      <c r="G303" s="61"/>
      <c r="H303" s="62"/>
      <c r="I303" s="63"/>
      <c r="J303" s="85"/>
      <c r="K303" s="64"/>
      <c r="L303" s="65"/>
      <c r="M303" s="61"/>
      <c r="N303" s="62"/>
      <c r="O303" s="63"/>
      <c r="P303" s="75"/>
      <c r="Q303" s="61"/>
      <c r="R303" s="62"/>
      <c r="S303" s="63"/>
      <c r="T303" s="75"/>
      <c r="U303" s="120">
        <f>ROUND((_15_同援日増６．５*(1+_15・区３)),0)</f>
        <v>983</v>
      </c>
      <c r="V303" s="69"/>
    </row>
    <row r="304" spans="1:22" ht="16.5" customHeight="1" x14ac:dyDescent="0.3">
      <c r="A304" s="2">
        <v>15</v>
      </c>
      <c r="B304" s="2" t="s">
        <v>2284</v>
      </c>
      <c r="C304" s="60" t="s">
        <v>12609</v>
      </c>
      <c r="D304" s="1"/>
      <c r="E304" s="68"/>
      <c r="F304" s="70"/>
      <c r="G304" s="66"/>
      <c r="H304" s="57"/>
      <c r="I304" s="58"/>
      <c r="J304" s="83" t="s">
        <v>5895</v>
      </c>
      <c r="K304" s="64" t="s">
        <v>1</v>
      </c>
      <c r="L304" s="65">
        <v>1</v>
      </c>
      <c r="M304" s="67"/>
      <c r="N304" s="68"/>
      <c r="O304" s="76"/>
      <c r="P304" s="70"/>
      <c r="Q304" s="67"/>
      <c r="R304" s="68"/>
      <c r="S304" s="76"/>
      <c r="T304" s="70"/>
      <c r="U304" s="120">
        <f>ROUND((ROUND((_15_同援日増６．５*_15・２人),0)*(1+_15・区３)),0)</f>
        <v>983</v>
      </c>
      <c r="V304" s="69"/>
    </row>
    <row r="305" spans="1:22" ht="16.5" customHeight="1" x14ac:dyDescent="0.3">
      <c r="A305" s="2">
        <v>15</v>
      </c>
      <c r="B305" s="2" t="s">
        <v>2285</v>
      </c>
      <c r="C305" s="60" t="s">
        <v>12608</v>
      </c>
      <c r="D305" s="1"/>
      <c r="E305" s="68"/>
      <c r="F305" s="70"/>
      <c r="G305" s="74" t="s">
        <v>17747</v>
      </c>
      <c r="H305" s="62"/>
      <c r="I305" s="63"/>
      <c r="J305" s="85"/>
      <c r="K305" s="64"/>
      <c r="L305" s="65"/>
      <c r="M305" s="67"/>
      <c r="N305" s="68"/>
      <c r="O305" s="76"/>
      <c r="P305" s="70"/>
      <c r="Q305" s="1" t="s">
        <v>17936</v>
      </c>
      <c r="R305" s="68"/>
      <c r="S305" s="76"/>
      <c r="T305" s="70"/>
      <c r="U305" s="120">
        <f>ROUND((ROUND((_15_同援日増６．５*_15・基礎２),0)*(1+_15・区３)),0)</f>
        <v>884</v>
      </c>
      <c r="V305" s="69"/>
    </row>
    <row r="306" spans="1:22" ht="16.5" customHeight="1" x14ac:dyDescent="0.3">
      <c r="A306" s="2">
        <v>15</v>
      </c>
      <c r="B306" s="2" t="s">
        <v>2286</v>
      </c>
      <c r="C306" s="60" t="s">
        <v>12607</v>
      </c>
      <c r="D306" s="1"/>
      <c r="E306" s="68"/>
      <c r="F306" s="70"/>
      <c r="G306" s="106" t="s">
        <v>17420</v>
      </c>
      <c r="H306" s="57" t="s">
        <v>1</v>
      </c>
      <c r="I306" s="58">
        <v>0.9</v>
      </c>
      <c r="J306" s="83" t="s">
        <v>5895</v>
      </c>
      <c r="K306" s="64" t="s">
        <v>1</v>
      </c>
      <c r="L306" s="65">
        <v>1</v>
      </c>
      <c r="M306" s="66"/>
      <c r="N306" s="57"/>
      <c r="O306" s="58"/>
      <c r="P306" s="77"/>
      <c r="Q306" s="1" t="s">
        <v>17934</v>
      </c>
      <c r="R306" s="68"/>
      <c r="S306" s="76"/>
      <c r="T306" s="70"/>
      <c r="U306" s="120">
        <f>ROUND((ROUND((ROUND((_15_同援日増６．５*_15・基礎２),0)*_15・２人),0)*(1+_15・区３)),0)</f>
        <v>884</v>
      </c>
      <c r="V306" s="69"/>
    </row>
    <row r="307" spans="1:22" ht="16.5" customHeight="1" x14ac:dyDescent="0.3">
      <c r="A307" s="2">
        <v>15</v>
      </c>
      <c r="B307" s="2" t="s">
        <v>2287</v>
      </c>
      <c r="C307" s="60" t="s">
        <v>12606</v>
      </c>
      <c r="D307" s="1"/>
      <c r="E307" s="68"/>
      <c r="F307" s="70"/>
      <c r="G307" s="61"/>
      <c r="H307" s="62"/>
      <c r="I307" s="63"/>
      <c r="J307" s="85"/>
      <c r="K307" s="64"/>
      <c r="L307" s="65"/>
      <c r="M307" s="74" t="s">
        <v>17933</v>
      </c>
      <c r="N307" s="62"/>
      <c r="O307" s="63"/>
      <c r="P307" s="75"/>
      <c r="Q307" s="67"/>
      <c r="R307" s="68" t="s">
        <v>1</v>
      </c>
      <c r="S307" s="76">
        <v>0.2</v>
      </c>
      <c r="T307" s="70" t="s">
        <v>422</v>
      </c>
      <c r="U307" s="120">
        <f>ROUND((ROUND((_15_同援日増６．５*(1+_15・盲ろう)),0)*(1+_15・区３)),0)</f>
        <v>1229</v>
      </c>
      <c r="V307" s="69"/>
    </row>
    <row r="308" spans="1:22" ht="16.5" customHeight="1" x14ac:dyDescent="0.3">
      <c r="A308" s="2">
        <v>15</v>
      </c>
      <c r="B308" s="2" t="s">
        <v>2288</v>
      </c>
      <c r="C308" s="60" t="s">
        <v>12605</v>
      </c>
      <c r="D308" s="1"/>
      <c r="E308" s="68"/>
      <c r="F308" s="70"/>
      <c r="G308" s="66"/>
      <c r="H308" s="57"/>
      <c r="I308" s="58"/>
      <c r="J308" s="83" t="s">
        <v>5895</v>
      </c>
      <c r="K308" s="64" t="s">
        <v>1</v>
      </c>
      <c r="L308" s="65">
        <v>1</v>
      </c>
      <c r="M308" s="94" t="s">
        <v>17932</v>
      </c>
      <c r="N308" s="68"/>
      <c r="O308" s="76"/>
      <c r="P308" s="70"/>
      <c r="Q308" s="67"/>
      <c r="R308" s="68"/>
      <c r="S308" s="76"/>
      <c r="T308" s="70"/>
      <c r="U308" s="120">
        <f>ROUND((ROUND((ROUND((_15_同援日増６．５*_15・２人),0)*(1+_15・盲ろう)),0)*(1+_15・区３)),0)</f>
        <v>1229</v>
      </c>
      <c r="V308" s="69"/>
    </row>
    <row r="309" spans="1:22" ht="16.5" customHeight="1" x14ac:dyDescent="0.3">
      <c r="A309" s="2">
        <v>15</v>
      </c>
      <c r="B309" s="2" t="s">
        <v>2289</v>
      </c>
      <c r="C309" s="60" t="s">
        <v>12604</v>
      </c>
      <c r="D309" s="1"/>
      <c r="E309" s="68"/>
      <c r="F309" s="70"/>
      <c r="G309" s="74" t="s">
        <v>17747</v>
      </c>
      <c r="H309" s="62"/>
      <c r="I309" s="63"/>
      <c r="J309" s="85"/>
      <c r="K309" s="64"/>
      <c r="L309" s="65"/>
      <c r="M309" s="67"/>
      <c r="N309" s="68" t="s">
        <v>1</v>
      </c>
      <c r="O309" s="76">
        <v>0.25</v>
      </c>
      <c r="P309" s="70" t="s">
        <v>422</v>
      </c>
      <c r="Q309" s="67"/>
      <c r="R309" s="68"/>
      <c r="S309" s="76"/>
      <c r="T309" s="70"/>
      <c r="U309" s="120">
        <f>ROUND((ROUND((ROUND((_15_同援日増６．５*_15・基礎２),0)*(1+_15・盲ろう)),0)*(1+_15・区３)),0)</f>
        <v>1105</v>
      </c>
      <c r="V309" s="69"/>
    </row>
    <row r="310" spans="1:22" ht="16.5" customHeight="1" x14ac:dyDescent="0.3">
      <c r="A310" s="2">
        <v>15</v>
      </c>
      <c r="B310" s="2" t="s">
        <v>2290</v>
      </c>
      <c r="C310" s="60" t="s">
        <v>12603</v>
      </c>
      <c r="D310" s="1"/>
      <c r="E310" s="68"/>
      <c r="F310" s="70"/>
      <c r="G310" s="106" t="s">
        <v>17420</v>
      </c>
      <c r="H310" s="57" t="s">
        <v>1</v>
      </c>
      <c r="I310" s="58">
        <v>0.9</v>
      </c>
      <c r="J310" s="83" t="s">
        <v>5895</v>
      </c>
      <c r="K310" s="64" t="s">
        <v>1</v>
      </c>
      <c r="L310" s="65">
        <v>1</v>
      </c>
      <c r="M310" s="66"/>
      <c r="N310" s="57"/>
      <c r="O310" s="58"/>
      <c r="P310" s="77"/>
      <c r="Q310" s="66"/>
      <c r="R310" s="57"/>
      <c r="S310" s="58"/>
      <c r="T310" s="77"/>
      <c r="U310" s="120">
        <f>ROUND((ROUND((ROUND((ROUND((_15_同援日増６．５*_15・基礎２),0)*_15・２人),0)*(1+_15・盲ろう)),0)*(1+_15・区３)),0)</f>
        <v>1105</v>
      </c>
      <c r="V310" s="69"/>
    </row>
    <row r="311" spans="1:22" ht="16.5" customHeight="1" x14ac:dyDescent="0.3">
      <c r="A311" s="2">
        <v>15</v>
      </c>
      <c r="B311" s="2" t="s">
        <v>2291</v>
      </c>
      <c r="C311" s="60" t="s">
        <v>12602</v>
      </c>
      <c r="D311" s="1"/>
      <c r="E311" s="68"/>
      <c r="F311" s="70"/>
      <c r="G311" s="61"/>
      <c r="H311" s="62"/>
      <c r="I311" s="63"/>
      <c r="J311" s="85"/>
      <c r="K311" s="64"/>
      <c r="L311" s="65"/>
      <c r="M311" s="61"/>
      <c r="N311" s="62"/>
      <c r="O311" s="63"/>
      <c r="P311" s="75"/>
      <c r="Q311" s="61"/>
      <c r="R311" s="62"/>
      <c r="S311" s="63"/>
      <c r="T311" s="75"/>
      <c r="U311" s="120">
        <f>ROUND((_15_同援日増６．５*(1+_15・区４)),0)</f>
        <v>1147</v>
      </c>
      <c r="V311" s="69"/>
    </row>
    <row r="312" spans="1:22" ht="16.5" customHeight="1" x14ac:dyDescent="0.3">
      <c r="A312" s="2">
        <v>15</v>
      </c>
      <c r="B312" s="2" t="s">
        <v>2292</v>
      </c>
      <c r="C312" s="60" t="s">
        <v>12601</v>
      </c>
      <c r="D312" s="1"/>
      <c r="E312" s="68"/>
      <c r="F312" s="70"/>
      <c r="G312" s="66"/>
      <c r="H312" s="57"/>
      <c r="I312" s="58"/>
      <c r="J312" s="83" t="s">
        <v>5895</v>
      </c>
      <c r="K312" s="64" t="s">
        <v>1</v>
      </c>
      <c r="L312" s="65">
        <v>1</v>
      </c>
      <c r="M312" s="67"/>
      <c r="N312" s="68"/>
      <c r="O312" s="76"/>
      <c r="P312" s="70"/>
      <c r="Q312" s="67"/>
      <c r="R312" s="68"/>
      <c r="S312" s="76"/>
      <c r="T312" s="70"/>
      <c r="U312" s="120">
        <f>ROUND((ROUND((_15_同援日増６．５*_15・２人),0)*(1+_15・区４)),0)</f>
        <v>1147</v>
      </c>
      <c r="V312" s="69"/>
    </row>
    <row r="313" spans="1:22" ht="16.5" customHeight="1" x14ac:dyDescent="0.3">
      <c r="A313" s="2">
        <v>15</v>
      </c>
      <c r="B313" s="2" t="s">
        <v>2293</v>
      </c>
      <c r="C313" s="60" t="s">
        <v>12600</v>
      </c>
      <c r="D313" s="1"/>
      <c r="E313" s="68"/>
      <c r="F313" s="70"/>
      <c r="G313" s="74" t="s">
        <v>17747</v>
      </c>
      <c r="H313" s="62"/>
      <c r="I313" s="63"/>
      <c r="J313" s="85"/>
      <c r="K313" s="64"/>
      <c r="L313" s="65"/>
      <c r="M313" s="67"/>
      <c r="N313" s="68"/>
      <c r="O313" s="76"/>
      <c r="P313" s="70"/>
      <c r="Q313" s="1" t="s">
        <v>17935</v>
      </c>
      <c r="R313" s="68"/>
      <c r="S313" s="76"/>
      <c r="T313" s="70"/>
      <c r="U313" s="120">
        <f>ROUND((ROUND((_15_同援日増６．５*_15・基礎２),0)*(1+_15・区４)),0)</f>
        <v>1032</v>
      </c>
      <c r="V313" s="69"/>
    </row>
    <row r="314" spans="1:22" ht="16.5" customHeight="1" x14ac:dyDescent="0.3">
      <c r="A314" s="2">
        <v>15</v>
      </c>
      <c r="B314" s="2" t="s">
        <v>2294</v>
      </c>
      <c r="C314" s="60" t="s">
        <v>12599</v>
      </c>
      <c r="D314" s="1"/>
      <c r="E314" s="68"/>
      <c r="F314" s="70"/>
      <c r="G314" s="106" t="s">
        <v>17420</v>
      </c>
      <c r="H314" s="57" t="s">
        <v>1</v>
      </c>
      <c r="I314" s="58">
        <v>0.9</v>
      </c>
      <c r="J314" s="83" t="s">
        <v>5895</v>
      </c>
      <c r="K314" s="64" t="s">
        <v>1</v>
      </c>
      <c r="L314" s="65">
        <v>1</v>
      </c>
      <c r="M314" s="66"/>
      <c r="N314" s="57"/>
      <c r="O314" s="58"/>
      <c r="P314" s="77"/>
      <c r="Q314" s="1" t="s">
        <v>17934</v>
      </c>
      <c r="R314" s="68"/>
      <c r="S314" s="76"/>
      <c r="T314" s="70"/>
      <c r="U314" s="120">
        <f>ROUND((ROUND((ROUND((_15_同援日増６．５*_15・基礎２),0)*_15・２人),0)*(1+_15・区４)),0)</f>
        <v>1032</v>
      </c>
      <c r="V314" s="69"/>
    </row>
    <row r="315" spans="1:22" ht="16.5" customHeight="1" x14ac:dyDescent="0.3">
      <c r="A315" s="2">
        <v>15</v>
      </c>
      <c r="B315" s="2" t="s">
        <v>2295</v>
      </c>
      <c r="C315" s="60" t="s">
        <v>12598</v>
      </c>
      <c r="D315" s="1"/>
      <c r="E315" s="68"/>
      <c r="F315" s="70"/>
      <c r="G315" s="61"/>
      <c r="H315" s="62"/>
      <c r="I315" s="63"/>
      <c r="J315" s="85"/>
      <c r="K315" s="64"/>
      <c r="L315" s="65"/>
      <c r="M315" s="74" t="s">
        <v>17933</v>
      </c>
      <c r="N315" s="62"/>
      <c r="O315" s="63"/>
      <c r="P315" s="75"/>
      <c r="Q315" s="67"/>
      <c r="R315" s="68" t="s">
        <v>1</v>
      </c>
      <c r="S315" s="76">
        <v>0.4</v>
      </c>
      <c r="T315" s="70" t="s">
        <v>422</v>
      </c>
      <c r="U315" s="120">
        <f>ROUND((ROUND((_15_同援日増６．５*(1+_15・盲ろう)),0)*(1+_15・区４)),0)</f>
        <v>1434</v>
      </c>
      <c r="V315" s="69"/>
    </row>
    <row r="316" spans="1:22" ht="16.5" customHeight="1" x14ac:dyDescent="0.3">
      <c r="A316" s="2">
        <v>15</v>
      </c>
      <c r="B316" s="2" t="s">
        <v>2296</v>
      </c>
      <c r="C316" s="60" t="s">
        <v>12597</v>
      </c>
      <c r="D316" s="1"/>
      <c r="E316" s="68"/>
      <c r="F316" s="70"/>
      <c r="G316" s="66"/>
      <c r="H316" s="57"/>
      <c r="I316" s="58"/>
      <c r="J316" s="83" t="s">
        <v>5895</v>
      </c>
      <c r="K316" s="64" t="s">
        <v>1</v>
      </c>
      <c r="L316" s="65">
        <v>1</v>
      </c>
      <c r="M316" s="94" t="s">
        <v>17932</v>
      </c>
      <c r="N316" s="68"/>
      <c r="O316" s="76"/>
      <c r="P316" s="70"/>
      <c r="Q316" s="67"/>
      <c r="R316" s="68"/>
      <c r="S316" s="76"/>
      <c r="T316" s="70"/>
      <c r="U316" s="120">
        <f>ROUND((ROUND((ROUND((_15_同援日増６．５*_15・２人),0)*(1+_15・盲ろう)),0)*(1+_15・区４)),0)</f>
        <v>1434</v>
      </c>
      <c r="V316" s="69"/>
    </row>
    <row r="317" spans="1:22" ht="16.5" customHeight="1" x14ac:dyDescent="0.3">
      <c r="A317" s="2">
        <v>15</v>
      </c>
      <c r="B317" s="2" t="s">
        <v>2297</v>
      </c>
      <c r="C317" s="60" t="s">
        <v>12596</v>
      </c>
      <c r="D317" s="1"/>
      <c r="E317" s="68"/>
      <c r="F317" s="70"/>
      <c r="G317" s="74" t="s">
        <v>17747</v>
      </c>
      <c r="H317" s="62"/>
      <c r="I317" s="63"/>
      <c r="J317" s="85"/>
      <c r="K317" s="64"/>
      <c r="L317" s="65"/>
      <c r="M317" s="67"/>
      <c r="N317" s="68" t="s">
        <v>1</v>
      </c>
      <c r="O317" s="76">
        <v>0.25</v>
      </c>
      <c r="P317" s="70" t="s">
        <v>422</v>
      </c>
      <c r="Q317" s="67"/>
      <c r="R317" s="68"/>
      <c r="S317" s="76"/>
      <c r="T317" s="70"/>
      <c r="U317" s="120">
        <f>ROUND((ROUND((ROUND((_15_同援日増６．５*_15・基礎２),0)*(1+_15・盲ろう)),0)*(1+_15・区４)),0)</f>
        <v>1289</v>
      </c>
      <c r="V317" s="69"/>
    </row>
    <row r="318" spans="1:22" ht="16.5" customHeight="1" x14ac:dyDescent="0.3">
      <c r="A318" s="2">
        <v>15</v>
      </c>
      <c r="B318" s="2" t="s">
        <v>2298</v>
      </c>
      <c r="C318" s="60" t="s">
        <v>12595</v>
      </c>
      <c r="D318" s="81"/>
      <c r="E318" s="57"/>
      <c r="F318" s="77"/>
      <c r="G318" s="106" t="s">
        <v>17420</v>
      </c>
      <c r="H318" s="57" t="s">
        <v>1</v>
      </c>
      <c r="I318" s="58">
        <v>0.9</v>
      </c>
      <c r="J318" s="83" t="s">
        <v>5895</v>
      </c>
      <c r="K318" s="64" t="s">
        <v>1</v>
      </c>
      <c r="L318" s="65">
        <v>1</v>
      </c>
      <c r="M318" s="66"/>
      <c r="N318" s="57"/>
      <c r="O318" s="58"/>
      <c r="P318" s="77"/>
      <c r="Q318" s="66"/>
      <c r="R318" s="57"/>
      <c r="S318" s="58"/>
      <c r="T318" s="77"/>
      <c r="U318" s="120">
        <f>ROUND((ROUND((ROUND((ROUND((_15_同援日増６．５*_15・基礎２),0)*_15・２人),0)*(1+_15・盲ろう)),0)*(1+_15・区４)),0)</f>
        <v>1289</v>
      </c>
      <c r="V318" s="69"/>
    </row>
    <row r="319" spans="1:22" ht="16.5" customHeight="1" x14ac:dyDescent="0.3">
      <c r="A319" s="2">
        <v>15</v>
      </c>
      <c r="B319" s="2" t="s">
        <v>2299</v>
      </c>
      <c r="C319" s="60" t="s">
        <v>12594</v>
      </c>
      <c r="D319" s="233" t="s">
        <v>18174</v>
      </c>
      <c r="E319" s="62"/>
      <c r="F319" s="75"/>
      <c r="G319" s="61"/>
      <c r="H319" s="62"/>
      <c r="I319" s="63"/>
      <c r="J319" s="85"/>
      <c r="K319" s="64"/>
      <c r="L319" s="65"/>
      <c r="M319" s="61"/>
      <c r="N319" s="62"/>
      <c r="O319" s="63"/>
      <c r="P319" s="75"/>
      <c r="Q319" s="61"/>
      <c r="R319" s="62"/>
      <c r="S319" s="63"/>
      <c r="T319" s="75"/>
      <c r="U319" s="120">
        <f>_15_同援日増７．０</f>
        <v>882</v>
      </c>
      <c r="V319" s="69"/>
    </row>
    <row r="320" spans="1:22" ht="16.5" customHeight="1" x14ac:dyDescent="0.3">
      <c r="A320" s="2">
        <v>15</v>
      </c>
      <c r="B320" s="2" t="s">
        <v>2300</v>
      </c>
      <c r="C320" s="60" t="s">
        <v>12593</v>
      </c>
      <c r="D320" s="1" t="s">
        <v>17951</v>
      </c>
      <c r="E320" s="68"/>
      <c r="F320" s="70"/>
      <c r="G320" s="66"/>
      <c r="H320" s="57"/>
      <c r="I320" s="58"/>
      <c r="J320" s="83" t="s">
        <v>5895</v>
      </c>
      <c r="K320" s="64" t="s">
        <v>1</v>
      </c>
      <c r="L320" s="65">
        <v>1</v>
      </c>
      <c r="M320" s="67"/>
      <c r="N320" s="68"/>
      <c r="O320" s="76"/>
      <c r="P320" s="70"/>
      <c r="Q320" s="67"/>
      <c r="R320" s="68"/>
      <c r="S320" s="76"/>
      <c r="T320" s="70"/>
      <c r="U320" s="120">
        <f>ROUND((_15_同援日増７．０*_15・２人),0)</f>
        <v>882</v>
      </c>
      <c r="V320" s="69"/>
    </row>
    <row r="321" spans="1:22" ht="16.5" customHeight="1" x14ac:dyDescent="0.3">
      <c r="A321" s="2">
        <v>15</v>
      </c>
      <c r="B321" s="2" t="s">
        <v>2301</v>
      </c>
      <c r="C321" s="60" t="s">
        <v>12592</v>
      </c>
      <c r="D321" s="1" t="s">
        <v>12591</v>
      </c>
      <c r="E321" s="68"/>
      <c r="F321" s="70"/>
      <c r="G321" s="74" t="s">
        <v>17747</v>
      </c>
      <c r="H321" s="62"/>
      <c r="I321" s="63"/>
      <c r="J321" s="85"/>
      <c r="K321" s="64"/>
      <c r="L321" s="65"/>
      <c r="M321" s="67"/>
      <c r="N321" s="68"/>
      <c r="O321" s="76"/>
      <c r="P321" s="70"/>
      <c r="Q321" s="67"/>
      <c r="R321" s="68"/>
      <c r="S321" s="76"/>
      <c r="T321" s="70"/>
      <c r="U321" s="120">
        <f>ROUND((_15_同援日増７．０*_15・基礎２),0)</f>
        <v>794</v>
      </c>
      <c r="V321" s="69"/>
    </row>
    <row r="322" spans="1:22" ht="16.5" customHeight="1" x14ac:dyDescent="0.3">
      <c r="A322" s="2">
        <v>15</v>
      </c>
      <c r="B322" s="2" t="s">
        <v>2302</v>
      </c>
      <c r="C322" s="60" t="s">
        <v>12590</v>
      </c>
      <c r="D322" s="1"/>
      <c r="E322" s="119">
        <v>882</v>
      </c>
      <c r="F322" s="70" t="s">
        <v>0</v>
      </c>
      <c r="G322" s="106" t="s">
        <v>17420</v>
      </c>
      <c r="H322" s="57" t="s">
        <v>1</v>
      </c>
      <c r="I322" s="58">
        <v>0.9</v>
      </c>
      <c r="J322" s="83" t="s">
        <v>5895</v>
      </c>
      <c r="K322" s="64" t="s">
        <v>1</v>
      </c>
      <c r="L322" s="65">
        <v>1</v>
      </c>
      <c r="M322" s="66"/>
      <c r="N322" s="57"/>
      <c r="O322" s="58"/>
      <c r="P322" s="77"/>
      <c r="Q322" s="67"/>
      <c r="R322" s="68"/>
      <c r="S322" s="76"/>
      <c r="T322" s="70"/>
      <c r="U322" s="120">
        <f>ROUND((ROUND((_15_同援日増７．０*_15・基礎２),0)*_15・２人),0)</f>
        <v>794</v>
      </c>
      <c r="V322" s="69"/>
    </row>
    <row r="323" spans="1:22" ht="16.5" customHeight="1" x14ac:dyDescent="0.3">
      <c r="A323" s="2">
        <v>15</v>
      </c>
      <c r="B323" s="2" t="s">
        <v>2303</v>
      </c>
      <c r="C323" s="60" t="s">
        <v>12589</v>
      </c>
      <c r="D323" s="1"/>
      <c r="E323" s="68"/>
      <c r="F323" s="70"/>
      <c r="G323" s="61"/>
      <c r="H323" s="62"/>
      <c r="I323" s="63"/>
      <c r="J323" s="85"/>
      <c r="K323" s="64"/>
      <c r="L323" s="65"/>
      <c r="M323" s="74" t="s">
        <v>17933</v>
      </c>
      <c r="N323" s="62"/>
      <c r="O323" s="63"/>
      <c r="P323" s="75"/>
      <c r="Q323" s="67"/>
      <c r="R323" s="68"/>
      <c r="S323" s="76"/>
      <c r="T323" s="70"/>
      <c r="U323" s="120">
        <f>ROUND((_15_同援日増７．０*(1+_15・盲ろう)),0)</f>
        <v>1103</v>
      </c>
      <c r="V323" s="69"/>
    </row>
    <row r="324" spans="1:22" ht="16.5" customHeight="1" x14ac:dyDescent="0.3">
      <c r="A324" s="2">
        <v>15</v>
      </c>
      <c r="B324" s="2" t="s">
        <v>2304</v>
      </c>
      <c r="C324" s="60" t="s">
        <v>12588</v>
      </c>
      <c r="D324" s="1"/>
      <c r="E324" s="68"/>
      <c r="F324" s="70"/>
      <c r="G324" s="66"/>
      <c r="H324" s="57"/>
      <c r="I324" s="58"/>
      <c r="J324" s="83" t="s">
        <v>5895</v>
      </c>
      <c r="K324" s="64" t="s">
        <v>1</v>
      </c>
      <c r="L324" s="65">
        <v>1</v>
      </c>
      <c r="M324" s="94" t="s">
        <v>17932</v>
      </c>
      <c r="N324" s="68"/>
      <c r="O324" s="76"/>
      <c r="P324" s="70"/>
      <c r="Q324" s="67"/>
      <c r="R324" s="68"/>
      <c r="S324" s="76"/>
      <c r="T324" s="70"/>
      <c r="U324" s="120">
        <f>ROUND((ROUND((_15_同援日増７．０*_15・２人),0)*(1+_15・盲ろう)),0)</f>
        <v>1103</v>
      </c>
      <c r="V324" s="69"/>
    </row>
    <row r="325" spans="1:22" ht="16.5" customHeight="1" x14ac:dyDescent="0.3">
      <c r="A325" s="2">
        <v>15</v>
      </c>
      <c r="B325" s="2" t="s">
        <v>2305</v>
      </c>
      <c r="C325" s="60" t="s">
        <v>12587</v>
      </c>
      <c r="D325" s="1"/>
      <c r="E325" s="68"/>
      <c r="F325" s="70"/>
      <c r="G325" s="74" t="s">
        <v>17747</v>
      </c>
      <c r="H325" s="62"/>
      <c r="I325" s="63"/>
      <c r="J325" s="85"/>
      <c r="K325" s="64"/>
      <c r="L325" s="65"/>
      <c r="M325" s="67"/>
      <c r="N325" s="68" t="s">
        <v>1</v>
      </c>
      <c r="O325" s="76">
        <v>0.25</v>
      </c>
      <c r="P325" s="70" t="s">
        <v>422</v>
      </c>
      <c r="Q325" s="67"/>
      <c r="R325" s="68"/>
      <c r="S325" s="76"/>
      <c r="T325" s="70"/>
      <c r="U325" s="120">
        <f>ROUND((ROUND((_15_同援日増７．０*_15・基礎２),0)*(1+_15・盲ろう)),0)</f>
        <v>993</v>
      </c>
      <c r="V325" s="69"/>
    </row>
    <row r="326" spans="1:22" ht="16.5" customHeight="1" x14ac:dyDescent="0.3">
      <c r="A326" s="2">
        <v>15</v>
      </c>
      <c r="B326" s="2" t="s">
        <v>2306</v>
      </c>
      <c r="C326" s="60" t="s">
        <v>12586</v>
      </c>
      <c r="D326" s="1"/>
      <c r="E326" s="68"/>
      <c r="F326" s="70"/>
      <c r="G326" s="106" t="s">
        <v>17420</v>
      </c>
      <c r="H326" s="57" t="s">
        <v>1</v>
      </c>
      <c r="I326" s="58">
        <v>0.9</v>
      </c>
      <c r="J326" s="83" t="s">
        <v>5895</v>
      </c>
      <c r="K326" s="64" t="s">
        <v>1</v>
      </c>
      <c r="L326" s="65">
        <v>1</v>
      </c>
      <c r="M326" s="66"/>
      <c r="N326" s="57"/>
      <c r="O326" s="58"/>
      <c r="P326" s="77"/>
      <c r="Q326" s="66"/>
      <c r="R326" s="57"/>
      <c r="S326" s="58"/>
      <c r="T326" s="77"/>
      <c r="U326" s="120">
        <f>ROUND((ROUND((ROUND((_15_同援日増７．０*_15・基礎２),0)*_15・２人),0)*(1+_15・盲ろう)),0)</f>
        <v>993</v>
      </c>
      <c r="V326" s="69"/>
    </row>
    <row r="327" spans="1:22" ht="16.5" customHeight="1" x14ac:dyDescent="0.3">
      <c r="A327" s="2">
        <v>15</v>
      </c>
      <c r="B327" s="2" t="s">
        <v>2307</v>
      </c>
      <c r="C327" s="60" t="s">
        <v>12585</v>
      </c>
      <c r="D327" s="1"/>
      <c r="E327" s="68"/>
      <c r="F327" s="70"/>
      <c r="G327" s="61"/>
      <c r="H327" s="62"/>
      <c r="I327" s="63"/>
      <c r="J327" s="85"/>
      <c r="K327" s="64"/>
      <c r="L327" s="65"/>
      <c r="M327" s="61"/>
      <c r="N327" s="62"/>
      <c r="O327" s="63"/>
      <c r="P327" s="75"/>
      <c r="Q327" s="61"/>
      <c r="R327" s="62"/>
      <c r="S327" s="63"/>
      <c r="T327" s="75"/>
      <c r="U327" s="120">
        <f>ROUND((_15_同援日増７．０*(1+_15・区３)),0)</f>
        <v>1058</v>
      </c>
      <c r="V327" s="69"/>
    </row>
    <row r="328" spans="1:22" ht="16.5" customHeight="1" x14ac:dyDescent="0.3">
      <c r="A328" s="2">
        <v>15</v>
      </c>
      <c r="B328" s="2" t="s">
        <v>2308</v>
      </c>
      <c r="C328" s="60" t="s">
        <v>12584</v>
      </c>
      <c r="D328" s="1"/>
      <c r="E328" s="68"/>
      <c r="F328" s="70"/>
      <c r="G328" s="66"/>
      <c r="H328" s="57"/>
      <c r="I328" s="58"/>
      <c r="J328" s="83" t="s">
        <v>5895</v>
      </c>
      <c r="K328" s="64" t="s">
        <v>1</v>
      </c>
      <c r="L328" s="65">
        <v>1</v>
      </c>
      <c r="M328" s="67"/>
      <c r="N328" s="68"/>
      <c r="O328" s="76"/>
      <c r="P328" s="70"/>
      <c r="Q328" s="67"/>
      <c r="R328" s="68"/>
      <c r="S328" s="76"/>
      <c r="T328" s="70"/>
      <c r="U328" s="120">
        <f>ROUND((ROUND((_15_同援日増７．０*_15・２人),0)*(1+_15・区３)),0)</f>
        <v>1058</v>
      </c>
      <c r="V328" s="69"/>
    </row>
    <row r="329" spans="1:22" ht="16.5" customHeight="1" x14ac:dyDescent="0.3">
      <c r="A329" s="2">
        <v>15</v>
      </c>
      <c r="B329" s="2" t="s">
        <v>2309</v>
      </c>
      <c r="C329" s="60" t="s">
        <v>12583</v>
      </c>
      <c r="D329" s="1"/>
      <c r="E329" s="68"/>
      <c r="F329" s="70"/>
      <c r="G329" s="74" t="s">
        <v>17747</v>
      </c>
      <c r="H329" s="62"/>
      <c r="I329" s="63"/>
      <c r="J329" s="85"/>
      <c r="K329" s="64"/>
      <c r="L329" s="65"/>
      <c r="M329" s="67"/>
      <c r="N329" s="68"/>
      <c r="O329" s="76"/>
      <c r="P329" s="70"/>
      <c r="Q329" s="1" t="s">
        <v>17936</v>
      </c>
      <c r="R329" s="68"/>
      <c r="S329" s="76"/>
      <c r="T329" s="70"/>
      <c r="U329" s="120">
        <f>ROUND((ROUND((_15_同援日増７．０*_15・基礎２),0)*(1+_15・区３)),0)</f>
        <v>953</v>
      </c>
      <c r="V329" s="69"/>
    </row>
    <row r="330" spans="1:22" ht="16.5" customHeight="1" x14ac:dyDescent="0.3">
      <c r="A330" s="2">
        <v>15</v>
      </c>
      <c r="B330" s="2" t="s">
        <v>2310</v>
      </c>
      <c r="C330" s="60" t="s">
        <v>12582</v>
      </c>
      <c r="D330" s="1"/>
      <c r="E330" s="68"/>
      <c r="F330" s="70"/>
      <c r="G330" s="106" t="s">
        <v>17420</v>
      </c>
      <c r="H330" s="57" t="s">
        <v>1</v>
      </c>
      <c r="I330" s="58">
        <v>0.9</v>
      </c>
      <c r="J330" s="83" t="s">
        <v>5895</v>
      </c>
      <c r="K330" s="64" t="s">
        <v>1</v>
      </c>
      <c r="L330" s="65">
        <v>1</v>
      </c>
      <c r="M330" s="66"/>
      <c r="N330" s="57"/>
      <c r="O330" s="58"/>
      <c r="P330" s="77"/>
      <c r="Q330" s="1" t="s">
        <v>17934</v>
      </c>
      <c r="R330" s="68"/>
      <c r="S330" s="76"/>
      <c r="T330" s="70"/>
      <c r="U330" s="120">
        <f>ROUND((ROUND((ROUND((_15_同援日増７．０*_15・基礎２),0)*_15・２人),0)*(1+_15・区３)),0)</f>
        <v>953</v>
      </c>
      <c r="V330" s="69"/>
    </row>
    <row r="331" spans="1:22" ht="16.5" customHeight="1" x14ac:dyDescent="0.3">
      <c r="A331" s="2">
        <v>15</v>
      </c>
      <c r="B331" s="2" t="s">
        <v>2311</v>
      </c>
      <c r="C331" s="60" t="s">
        <v>12581</v>
      </c>
      <c r="D331" s="1"/>
      <c r="E331" s="68"/>
      <c r="F331" s="70"/>
      <c r="G331" s="61"/>
      <c r="H331" s="62"/>
      <c r="I331" s="63"/>
      <c r="J331" s="85"/>
      <c r="K331" s="64"/>
      <c r="L331" s="65"/>
      <c r="M331" s="74" t="s">
        <v>17933</v>
      </c>
      <c r="N331" s="62"/>
      <c r="O331" s="63"/>
      <c r="P331" s="75"/>
      <c r="Q331" s="67"/>
      <c r="R331" s="68" t="s">
        <v>1</v>
      </c>
      <c r="S331" s="76">
        <v>0.2</v>
      </c>
      <c r="T331" s="70" t="s">
        <v>422</v>
      </c>
      <c r="U331" s="120">
        <f>ROUND((ROUND((_15_同援日増７．０*(1+_15・盲ろう)),0)*(1+_15・区３)),0)</f>
        <v>1324</v>
      </c>
      <c r="V331" s="69"/>
    </row>
    <row r="332" spans="1:22" ht="16.5" customHeight="1" x14ac:dyDescent="0.3">
      <c r="A332" s="2">
        <v>15</v>
      </c>
      <c r="B332" s="2" t="s">
        <v>2312</v>
      </c>
      <c r="C332" s="60" t="s">
        <v>12580</v>
      </c>
      <c r="D332" s="1"/>
      <c r="E332" s="68"/>
      <c r="F332" s="70"/>
      <c r="G332" s="66"/>
      <c r="H332" s="57"/>
      <c r="I332" s="58"/>
      <c r="J332" s="83" t="s">
        <v>5895</v>
      </c>
      <c r="K332" s="64" t="s">
        <v>1</v>
      </c>
      <c r="L332" s="65">
        <v>1</v>
      </c>
      <c r="M332" s="94" t="s">
        <v>17932</v>
      </c>
      <c r="N332" s="68"/>
      <c r="O332" s="76"/>
      <c r="P332" s="70"/>
      <c r="Q332" s="67"/>
      <c r="R332" s="68"/>
      <c r="S332" s="76"/>
      <c r="T332" s="70"/>
      <c r="U332" s="120">
        <f>ROUND((ROUND((ROUND((_15_同援日増７．０*_15・２人),0)*(1+_15・盲ろう)),0)*(1+_15・区３)),0)</f>
        <v>1324</v>
      </c>
      <c r="V332" s="69"/>
    </row>
    <row r="333" spans="1:22" ht="16.5" customHeight="1" x14ac:dyDescent="0.3">
      <c r="A333" s="2">
        <v>15</v>
      </c>
      <c r="B333" s="2" t="s">
        <v>2313</v>
      </c>
      <c r="C333" s="60" t="s">
        <v>12579</v>
      </c>
      <c r="D333" s="1"/>
      <c r="E333" s="68"/>
      <c r="F333" s="70"/>
      <c r="G333" s="74" t="s">
        <v>17747</v>
      </c>
      <c r="H333" s="62"/>
      <c r="I333" s="63"/>
      <c r="J333" s="85"/>
      <c r="K333" s="64"/>
      <c r="L333" s="65"/>
      <c r="M333" s="67"/>
      <c r="N333" s="68" t="s">
        <v>1</v>
      </c>
      <c r="O333" s="76">
        <v>0.25</v>
      </c>
      <c r="P333" s="70" t="s">
        <v>422</v>
      </c>
      <c r="Q333" s="67"/>
      <c r="R333" s="68"/>
      <c r="S333" s="76"/>
      <c r="T333" s="70"/>
      <c r="U333" s="120">
        <f>ROUND((ROUND((ROUND((_15_同援日増７．０*_15・基礎２),0)*(1+_15・盲ろう)),0)*(1+_15・区３)),0)</f>
        <v>1192</v>
      </c>
      <c r="V333" s="69"/>
    </row>
    <row r="334" spans="1:22" ht="16.5" customHeight="1" x14ac:dyDescent="0.3">
      <c r="A334" s="2">
        <v>15</v>
      </c>
      <c r="B334" s="2" t="s">
        <v>2314</v>
      </c>
      <c r="C334" s="60" t="s">
        <v>12578</v>
      </c>
      <c r="D334" s="1"/>
      <c r="E334" s="68"/>
      <c r="F334" s="70"/>
      <c r="G334" s="106" t="s">
        <v>17420</v>
      </c>
      <c r="H334" s="57" t="s">
        <v>1</v>
      </c>
      <c r="I334" s="58">
        <v>0.9</v>
      </c>
      <c r="J334" s="83" t="s">
        <v>5895</v>
      </c>
      <c r="K334" s="64" t="s">
        <v>1</v>
      </c>
      <c r="L334" s="65">
        <v>1</v>
      </c>
      <c r="M334" s="66"/>
      <c r="N334" s="57"/>
      <c r="O334" s="58"/>
      <c r="P334" s="77"/>
      <c r="Q334" s="66"/>
      <c r="R334" s="57"/>
      <c r="S334" s="58"/>
      <c r="T334" s="77"/>
      <c r="U334" s="120">
        <f>ROUND((ROUND((ROUND((ROUND((_15_同援日増７．０*_15・基礎２),0)*_15・２人),0)*(1+_15・盲ろう)),0)*(1+_15・区３)),0)</f>
        <v>1192</v>
      </c>
      <c r="V334" s="69"/>
    </row>
    <row r="335" spans="1:22" ht="16.5" customHeight="1" x14ac:dyDescent="0.3">
      <c r="A335" s="2">
        <v>15</v>
      </c>
      <c r="B335" s="2" t="s">
        <v>2315</v>
      </c>
      <c r="C335" s="60" t="s">
        <v>12577</v>
      </c>
      <c r="D335" s="1"/>
      <c r="E335" s="68"/>
      <c r="F335" s="70"/>
      <c r="G335" s="61"/>
      <c r="H335" s="62"/>
      <c r="I335" s="63"/>
      <c r="J335" s="85"/>
      <c r="K335" s="64"/>
      <c r="L335" s="65"/>
      <c r="M335" s="61"/>
      <c r="N335" s="62"/>
      <c r="O335" s="63"/>
      <c r="P335" s="75"/>
      <c r="Q335" s="61"/>
      <c r="R335" s="62"/>
      <c r="S335" s="63"/>
      <c r="T335" s="75"/>
      <c r="U335" s="120">
        <f>ROUND((_15_同援日増７．０*(1+_15・区４)),0)</f>
        <v>1235</v>
      </c>
      <c r="V335" s="69"/>
    </row>
    <row r="336" spans="1:22" ht="16.5" customHeight="1" x14ac:dyDescent="0.3">
      <c r="A336" s="2">
        <v>15</v>
      </c>
      <c r="B336" s="2" t="s">
        <v>2316</v>
      </c>
      <c r="C336" s="60" t="s">
        <v>12576</v>
      </c>
      <c r="D336" s="1"/>
      <c r="E336" s="68"/>
      <c r="F336" s="70"/>
      <c r="G336" s="66"/>
      <c r="H336" s="57"/>
      <c r="I336" s="58"/>
      <c r="J336" s="83" t="s">
        <v>5895</v>
      </c>
      <c r="K336" s="64" t="s">
        <v>1</v>
      </c>
      <c r="L336" s="65">
        <v>1</v>
      </c>
      <c r="M336" s="67"/>
      <c r="N336" s="68"/>
      <c r="O336" s="76"/>
      <c r="P336" s="70"/>
      <c r="Q336" s="67"/>
      <c r="R336" s="68"/>
      <c r="S336" s="76"/>
      <c r="T336" s="70"/>
      <c r="U336" s="120">
        <f>ROUND((ROUND((_15_同援日増７．０*_15・２人),0)*(1+_15・区４)),0)</f>
        <v>1235</v>
      </c>
      <c r="V336" s="69"/>
    </row>
    <row r="337" spans="1:22" ht="16.5" customHeight="1" x14ac:dyDescent="0.3">
      <c r="A337" s="2">
        <v>15</v>
      </c>
      <c r="B337" s="2" t="s">
        <v>2317</v>
      </c>
      <c r="C337" s="60" t="s">
        <v>12575</v>
      </c>
      <c r="D337" s="1"/>
      <c r="E337" s="68"/>
      <c r="F337" s="70"/>
      <c r="G337" s="74" t="s">
        <v>17747</v>
      </c>
      <c r="H337" s="62"/>
      <c r="I337" s="63"/>
      <c r="J337" s="85"/>
      <c r="K337" s="64"/>
      <c r="L337" s="65"/>
      <c r="M337" s="67"/>
      <c r="N337" s="68"/>
      <c r="O337" s="76"/>
      <c r="P337" s="70"/>
      <c r="Q337" s="1" t="s">
        <v>17935</v>
      </c>
      <c r="R337" s="68"/>
      <c r="S337" s="76"/>
      <c r="T337" s="70"/>
      <c r="U337" s="120">
        <f>ROUND((ROUND((_15_同援日増７．０*_15・基礎２),0)*(1+_15・区４)),0)</f>
        <v>1112</v>
      </c>
      <c r="V337" s="69"/>
    </row>
    <row r="338" spans="1:22" ht="16.5" customHeight="1" x14ac:dyDescent="0.3">
      <c r="A338" s="2">
        <v>15</v>
      </c>
      <c r="B338" s="2" t="s">
        <v>2318</v>
      </c>
      <c r="C338" s="60" t="s">
        <v>12574</v>
      </c>
      <c r="D338" s="1"/>
      <c r="E338" s="68"/>
      <c r="F338" s="70"/>
      <c r="G338" s="106" t="s">
        <v>17420</v>
      </c>
      <c r="H338" s="57" t="s">
        <v>1</v>
      </c>
      <c r="I338" s="58">
        <v>0.9</v>
      </c>
      <c r="J338" s="83" t="s">
        <v>5895</v>
      </c>
      <c r="K338" s="64" t="s">
        <v>1</v>
      </c>
      <c r="L338" s="65">
        <v>1</v>
      </c>
      <c r="M338" s="66"/>
      <c r="N338" s="57"/>
      <c r="O338" s="58"/>
      <c r="P338" s="77"/>
      <c r="Q338" s="1" t="s">
        <v>17934</v>
      </c>
      <c r="R338" s="68"/>
      <c r="S338" s="76"/>
      <c r="T338" s="70"/>
      <c r="U338" s="120">
        <f>ROUND((ROUND((ROUND((_15_同援日増７．０*_15・基礎２),0)*_15・２人),0)*(1+_15・区４)),0)</f>
        <v>1112</v>
      </c>
      <c r="V338" s="69"/>
    </row>
    <row r="339" spans="1:22" ht="16.5" customHeight="1" x14ac:dyDescent="0.3">
      <c r="A339" s="2">
        <v>15</v>
      </c>
      <c r="B339" s="2" t="s">
        <v>2319</v>
      </c>
      <c r="C339" s="60" t="s">
        <v>12573</v>
      </c>
      <c r="D339" s="1"/>
      <c r="E339" s="68"/>
      <c r="F339" s="70"/>
      <c r="G339" s="61"/>
      <c r="H339" s="62"/>
      <c r="I339" s="63"/>
      <c r="J339" s="85"/>
      <c r="K339" s="64"/>
      <c r="L339" s="65"/>
      <c r="M339" s="74" t="s">
        <v>17933</v>
      </c>
      <c r="N339" s="62"/>
      <c r="O339" s="63"/>
      <c r="P339" s="75"/>
      <c r="Q339" s="67"/>
      <c r="R339" s="68" t="s">
        <v>1</v>
      </c>
      <c r="S339" s="76">
        <v>0.4</v>
      </c>
      <c r="T339" s="70" t="s">
        <v>422</v>
      </c>
      <c r="U339" s="120">
        <f>ROUND((ROUND((_15_同援日増７．０*(1+_15・盲ろう)),0)*(1+_15・区４)),0)</f>
        <v>1544</v>
      </c>
      <c r="V339" s="69"/>
    </row>
    <row r="340" spans="1:22" ht="16.5" customHeight="1" x14ac:dyDescent="0.3">
      <c r="A340" s="2">
        <v>15</v>
      </c>
      <c r="B340" s="2" t="s">
        <v>2320</v>
      </c>
      <c r="C340" s="60" t="s">
        <v>12572</v>
      </c>
      <c r="D340" s="1"/>
      <c r="E340" s="68"/>
      <c r="F340" s="70"/>
      <c r="G340" s="66"/>
      <c r="H340" s="57"/>
      <c r="I340" s="58"/>
      <c r="J340" s="83" t="s">
        <v>5895</v>
      </c>
      <c r="K340" s="64" t="s">
        <v>1</v>
      </c>
      <c r="L340" s="65">
        <v>1</v>
      </c>
      <c r="M340" s="94" t="s">
        <v>17932</v>
      </c>
      <c r="N340" s="68"/>
      <c r="O340" s="76"/>
      <c r="P340" s="70"/>
      <c r="Q340" s="67"/>
      <c r="R340" s="68"/>
      <c r="S340" s="76"/>
      <c r="T340" s="70"/>
      <c r="U340" s="120">
        <f>ROUND((ROUND((ROUND((_15_同援日増７．０*_15・２人),0)*(1+_15・盲ろう)),0)*(1+_15・区４)),0)</f>
        <v>1544</v>
      </c>
      <c r="V340" s="69"/>
    </row>
    <row r="341" spans="1:22" ht="16.5" customHeight="1" x14ac:dyDescent="0.3">
      <c r="A341" s="2">
        <v>15</v>
      </c>
      <c r="B341" s="2" t="s">
        <v>2321</v>
      </c>
      <c r="C341" s="60" t="s">
        <v>12571</v>
      </c>
      <c r="D341" s="1"/>
      <c r="E341" s="68"/>
      <c r="F341" s="70"/>
      <c r="G341" s="74" t="s">
        <v>17747</v>
      </c>
      <c r="H341" s="62"/>
      <c r="I341" s="63"/>
      <c r="J341" s="85"/>
      <c r="K341" s="64"/>
      <c r="L341" s="65"/>
      <c r="M341" s="67"/>
      <c r="N341" s="68" t="s">
        <v>1</v>
      </c>
      <c r="O341" s="76">
        <v>0.25</v>
      </c>
      <c r="P341" s="70" t="s">
        <v>422</v>
      </c>
      <c r="Q341" s="67"/>
      <c r="R341" s="68"/>
      <c r="S341" s="76"/>
      <c r="T341" s="70"/>
      <c r="U341" s="120">
        <f>ROUND((ROUND((ROUND((_15_同援日増７．０*_15・基礎２),0)*(1+_15・盲ろう)),0)*(1+_15・区４)),0)</f>
        <v>1390</v>
      </c>
      <c r="V341" s="69"/>
    </row>
    <row r="342" spans="1:22" ht="16.5" customHeight="1" x14ac:dyDescent="0.3">
      <c r="A342" s="2">
        <v>15</v>
      </c>
      <c r="B342" s="2" t="s">
        <v>2322</v>
      </c>
      <c r="C342" s="60" t="s">
        <v>12570</v>
      </c>
      <c r="D342" s="81"/>
      <c r="E342" s="57"/>
      <c r="F342" s="77"/>
      <c r="G342" s="106" t="s">
        <v>17420</v>
      </c>
      <c r="H342" s="57" t="s">
        <v>1</v>
      </c>
      <c r="I342" s="58">
        <v>0.9</v>
      </c>
      <c r="J342" s="83" t="s">
        <v>5895</v>
      </c>
      <c r="K342" s="64" t="s">
        <v>1</v>
      </c>
      <c r="L342" s="65">
        <v>1</v>
      </c>
      <c r="M342" s="66"/>
      <c r="N342" s="57"/>
      <c r="O342" s="58"/>
      <c r="P342" s="77"/>
      <c r="Q342" s="66"/>
      <c r="R342" s="57"/>
      <c r="S342" s="58"/>
      <c r="T342" s="77"/>
      <c r="U342" s="120">
        <f>ROUND((ROUND((ROUND((ROUND((_15_同援日増７．０*_15・基礎２),0)*_15・２人),0)*(1+_15・盲ろう)),0)*(1+_15・区４)),0)</f>
        <v>1390</v>
      </c>
      <c r="V342" s="69"/>
    </row>
    <row r="343" spans="1:22" ht="16.5" customHeight="1" x14ac:dyDescent="0.3">
      <c r="A343" s="2">
        <v>15</v>
      </c>
      <c r="B343" s="2" t="s">
        <v>2323</v>
      </c>
      <c r="C343" s="60" t="s">
        <v>12569</v>
      </c>
      <c r="D343" s="233" t="s">
        <v>18173</v>
      </c>
      <c r="E343" s="62"/>
      <c r="F343" s="75"/>
      <c r="G343" s="61"/>
      <c r="H343" s="62"/>
      <c r="I343" s="63"/>
      <c r="J343" s="85"/>
      <c r="K343" s="64"/>
      <c r="L343" s="65"/>
      <c r="M343" s="61"/>
      <c r="N343" s="62"/>
      <c r="O343" s="63"/>
      <c r="P343" s="75"/>
      <c r="Q343" s="61"/>
      <c r="R343" s="62"/>
      <c r="S343" s="63"/>
      <c r="T343" s="75"/>
      <c r="U343" s="120">
        <f>_15_同援日増７．５</f>
        <v>945</v>
      </c>
      <c r="V343" s="69"/>
    </row>
    <row r="344" spans="1:22" ht="16.5" customHeight="1" x14ac:dyDescent="0.3">
      <c r="A344" s="2">
        <v>15</v>
      </c>
      <c r="B344" s="2" t="s">
        <v>2324</v>
      </c>
      <c r="C344" s="60" t="s">
        <v>12568</v>
      </c>
      <c r="D344" s="1" t="s">
        <v>17948</v>
      </c>
      <c r="E344" s="68"/>
      <c r="F344" s="70"/>
      <c r="G344" s="66"/>
      <c r="H344" s="57"/>
      <c r="I344" s="58"/>
      <c r="J344" s="83" t="s">
        <v>5895</v>
      </c>
      <c r="K344" s="64" t="s">
        <v>1</v>
      </c>
      <c r="L344" s="65">
        <v>1</v>
      </c>
      <c r="M344" s="67"/>
      <c r="N344" s="68"/>
      <c r="O344" s="76"/>
      <c r="P344" s="70"/>
      <c r="Q344" s="67"/>
      <c r="R344" s="68"/>
      <c r="S344" s="76"/>
      <c r="T344" s="70"/>
      <c r="U344" s="120">
        <f>ROUND((_15_同援日増７．５*_15・２人),0)</f>
        <v>945</v>
      </c>
      <c r="V344" s="69"/>
    </row>
    <row r="345" spans="1:22" ht="16.5" customHeight="1" x14ac:dyDescent="0.3">
      <c r="A345" s="2">
        <v>15</v>
      </c>
      <c r="B345" s="2" t="s">
        <v>2325</v>
      </c>
      <c r="C345" s="60" t="s">
        <v>12567</v>
      </c>
      <c r="D345" s="1" t="s">
        <v>12566</v>
      </c>
      <c r="E345" s="68"/>
      <c r="F345" s="70"/>
      <c r="G345" s="74" t="s">
        <v>17747</v>
      </c>
      <c r="H345" s="62"/>
      <c r="I345" s="63"/>
      <c r="J345" s="85"/>
      <c r="K345" s="64"/>
      <c r="L345" s="65"/>
      <c r="M345" s="67"/>
      <c r="N345" s="68"/>
      <c r="O345" s="76"/>
      <c r="P345" s="70"/>
      <c r="Q345" s="67"/>
      <c r="R345" s="68"/>
      <c r="S345" s="76"/>
      <c r="T345" s="70"/>
      <c r="U345" s="120">
        <f>ROUND((_15_同援日増７．５*_15・基礎２),0)</f>
        <v>851</v>
      </c>
      <c r="V345" s="69"/>
    </row>
    <row r="346" spans="1:22" ht="16.5" customHeight="1" x14ac:dyDescent="0.3">
      <c r="A346" s="2">
        <v>15</v>
      </c>
      <c r="B346" s="2" t="s">
        <v>2326</v>
      </c>
      <c r="C346" s="60" t="s">
        <v>12565</v>
      </c>
      <c r="D346" s="1"/>
      <c r="E346" s="119">
        <v>945</v>
      </c>
      <c r="F346" s="70" t="s">
        <v>0</v>
      </c>
      <c r="G346" s="106" t="s">
        <v>17420</v>
      </c>
      <c r="H346" s="57" t="s">
        <v>1</v>
      </c>
      <c r="I346" s="58">
        <v>0.9</v>
      </c>
      <c r="J346" s="83" t="s">
        <v>5895</v>
      </c>
      <c r="K346" s="64" t="s">
        <v>1</v>
      </c>
      <c r="L346" s="65">
        <v>1</v>
      </c>
      <c r="M346" s="66"/>
      <c r="N346" s="57"/>
      <c r="O346" s="58"/>
      <c r="P346" s="77"/>
      <c r="Q346" s="67"/>
      <c r="R346" s="68"/>
      <c r="S346" s="76"/>
      <c r="T346" s="70"/>
      <c r="U346" s="120">
        <f>ROUND((ROUND((_15_同援日増７．５*_15・基礎２),0)*_15・２人),0)</f>
        <v>851</v>
      </c>
      <c r="V346" s="69"/>
    </row>
    <row r="347" spans="1:22" ht="16.5" customHeight="1" x14ac:dyDescent="0.3">
      <c r="A347" s="2">
        <v>15</v>
      </c>
      <c r="B347" s="2" t="s">
        <v>2327</v>
      </c>
      <c r="C347" s="60" t="s">
        <v>12564</v>
      </c>
      <c r="D347" s="1"/>
      <c r="E347" s="68"/>
      <c r="F347" s="70"/>
      <c r="G347" s="61"/>
      <c r="H347" s="62"/>
      <c r="I347" s="63"/>
      <c r="J347" s="85"/>
      <c r="K347" s="64"/>
      <c r="L347" s="65"/>
      <c r="M347" s="74" t="s">
        <v>17933</v>
      </c>
      <c r="N347" s="62"/>
      <c r="O347" s="63"/>
      <c r="P347" s="75"/>
      <c r="Q347" s="67"/>
      <c r="R347" s="68"/>
      <c r="S347" s="76"/>
      <c r="T347" s="70"/>
      <c r="U347" s="120">
        <f>ROUND((_15_同援日増７．５*(1+_15・盲ろう)),0)</f>
        <v>1181</v>
      </c>
      <c r="V347" s="69"/>
    </row>
    <row r="348" spans="1:22" ht="16.5" customHeight="1" x14ac:dyDescent="0.3">
      <c r="A348" s="2">
        <v>15</v>
      </c>
      <c r="B348" s="2" t="s">
        <v>2328</v>
      </c>
      <c r="C348" s="60" t="s">
        <v>12563</v>
      </c>
      <c r="D348" s="1"/>
      <c r="E348" s="68"/>
      <c r="F348" s="70"/>
      <c r="G348" s="66"/>
      <c r="H348" s="57"/>
      <c r="I348" s="58"/>
      <c r="J348" s="83" t="s">
        <v>5895</v>
      </c>
      <c r="K348" s="64" t="s">
        <v>1</v>
      </c>
      <c r="L348" s="65">
        <v>1</v>
      </c>
      <c r="M348" s="94" t="s">
        <v>17932</v>
      </c>
      <c r="N348" s="68"/>
      <c r="O348" s="76"/>
      <c r="P348" s="70"/>
      <c r="Q348" s="67"/>
      <c r="R348" s="68"/>
      <c r="S348" s="76"/>
      <c r="T348" s="70"/>
      <c r="U348" s="120">
        <f>ROUND((ROUND((_15_同援日増７．５*_15・２人),0)*(1+_15・盲ろう)),0)</f>
        <v>1181</v>
      </c>
      <c r="V348" s="69"/>
    </row>
    <row r="349" spans="1:22" ht="16.5" customHeight="1" x14ac:dyDescent="0.3">
      <c r="A349" s="2">
        <v>15</v>
      </c>
      <c r="B349" s="2" t="s">
        <v>2329</v>
      </c>
      <c r="C349" s="60" t="s">
        <v>12562</v>
      </c>
      <c r="D349" s="1"/>
      <c r="E349" s="68"/>
      <c r="F349" s="70"/>
      <c r="G349" s="74" t="s">
        <v>17747</v>
      </c>
      <c r="H349" s="62"/>
      <c r="I349" s="63"/>
      <c r="J349" s="85"/>
      <c r="K349" s="64"/>
      <c r="L349" s="65"/>
      <c r="M349" s="67"/>
      <c r="N349" s="68" t="s">
        <v>1</v>
      </c>
      <c r="O349" s="76">
        <v>0.25</v>
      </c>
      <c r="P349" s="70" t="s">
        <v>422</v>
      </c>
      <c r="Q349" s="67"/>
      <c r="R349" s="68"/>
      <c r="S349" s="76"/>
      <c r="T349" s="70"/>
      <c r="U349" s="120">
        <f>ROUND((ROUND((_15_同援日増７．５*_15・基礎２),0)*(1+_15・盲ろう)),0)</f>
        <v>1064</v>
      </c>
      <c r="V349" s="69"/>
    </row>
    <row r="350" spans="1:22" ht="16.5" customHeight="1" x14ac:dyDescent="0.3">
      <c r="A350" s="2">
        <v>15</v>
      </c>
      <c r="B350" s="2" t="s">
        <v>2330</v>
      </c>
      <c r="C350" s="60" t="s">
        <v>12561</v>
      </c>
      <c r="D350" s="1"/>
      <c r="E350" s="68"/>
      <c r="F350" s="70"/>
      <c r="G350" s="106" t="s">
        <v>5896</v>
      </c>
      <c r="H350" s="57" t="s">
        <v>1</v>
      </c>
      <c r="I350" s="58">
        <v>0.9</v>
      </c>
      <c r="J350" s="83" t="s">
        <v>5895</v>
      </c>
      <c r="K350" s="64" t="s">
        <v>1</v>
      </c>
      <c r="L350" s="65">
        <v>1</v>
      </c>
      <c r="M350" s="66"/>
      <c r="N350" s="57"/>
      <c r="O350" s="58"/>
      <c r="P350" s="77"/>
      <c r="Q350" s="66"/>
      <c r="R350" s="57"/>
      <c r="S350" s="58"/>
      <c r="T350" s="77"/>
      <c r="U350" s="120">
        <f>ROUND((ROUND((ROUND((_15_同援日増７．５*_15・基礎２),0)*_15・２人),0)*(1+_15・盲ろう)),0)</f>
        <v>1064</v>
      </c>
      <c r="V350" s="69"/>
    </row>
    <row r="351" spans="1:22" ht="16.5" customHeight="1" x14ac:dyDescent="0.3">
      <c r="A351" s="2">
        <v>15</v>
      </c>
      <c r="B351" s="2" t="s">
        <v>2331</v>
      </c>
      <c r="C351" s="60" t="s">
        <v>12560</v>
      </c>
      <c r="D351" s="1"/>
      <c r="E351" s="68"/>
      <c r="F351" s="70"/>
      <c r="G351" s="61"/>
      <c r="H351" s="62"/>
      <c r="I351" s="63"/>
      <c r="J351" s="85"/>
      <c r="K351" s="64"/>
      <c r="L351" s="65"/>
      <c r="M351" s="61"/>
      <c r="N351" s="62"/>
      <c r="O351" s="63"/>
      <c r="P351" s="75"/>
      <c r="Q351" s="61"/>
      <c r="R351" s="62"/>
      <c r="S351" s="63"/>
      <c r="T351" s="75"/>
      <c r="U351" s="120">
        <f>ROUND((_15_同援日増７．５*(1+_15・区３)),0)</f>
        <v>1134</v>
      </c>
      <c r="V351" s="69"/>
    </row>
    <row r="352" spans="1:22" ht="16.5" customHeight="1" x14ac:dyDescent="0.3">
      <c r="A352" s="2">
        <v>15</v>
      </c>
      <c r="B352" s="2" t="s">
        <v>2332</v>
      </c>
      <c r="C352" s="60" t="s">
        <v>12559</v>
      </c>
      <c r="D352" s="1"/>
      <c r="E352" s="68"/>
      <c r="F352" s="70"/>
      <c r="G352" s="66"/>
      <c r="H352" s="57"/>
      <c r="I352" s="58"/>
      <c r="J352" s="83" t="s">
        <v>5895</v>
      </c>
      <c r="K352" s="64" t="s">
        <v>1</v>
      </c>
      <c r="L352" s="65">
        <v>1</v>
      </c>
      <c r="M352" s="67"/>
      <c r="N352" s="68"/>
      <c r="O352" s="76"/>
      <c r="P352" s="70"/>
      <c r="Q352" s="67"/>
      <c r="R352" s="68"/>
      <c r="S352" s="76"/>
      <c r="T352" s="70"/>
      <c r="U352" s="120">
        <f>ROUND((ROUND((_15_同援日増７．５*_15・２人),0)*(1+_15・区３)),0)</f>
        <v>1134</v>
      </c>
      <c r="V352" s="69"/>
    </row>
    <row r="353" spans="1:22" ht="16.5" customHeight="1" x14ac:dyDescent="0.3">
      <c r="A353" s="2">
        <v>15</v>
      </c>
      <c r="B353" s="2" t="s">
        <v>2333</v>
      </c>
      <c r="C353" s="60" t="s">
        <v>12558</v>
      </c>
      <c r="D353" s="1"/>
      <c r="E353" s="68"/>
      <c r="F353" s="70"/>
      <c r="G353" s="74" t="s">
        <v>17747</v>
      </c>
      <c r="H353" s="62"/>
      <c r="I353" s="63"/>
      <c r="J353" s="85"/>
      <c r="K353" s="64"/>
      <c r="L353" s="65"/>
      <c r="M353" s="67"/>
      <c r="N353" s="68"/>
      <c r="O353" s="76"/>
      <c r="P353" s="70"/>
      <c r="Q353" s="1" t="s">
        <v>17936</v>
      </c>
      <c r="R353" s="68"/>
      <c r="S353" s="76"/>
      <c r="T353" s="70"/>
      <c r="U353" s="120">
        <f>ROUND((ROUND((_15_同援日増７．５*_15・基礎２),0)*(1+_15・区３)),0)</f>
        <v>1021</v>
      </c>
      <c r="V353" s="69"/>
    </row>
    <row r="354" spans="1:22" ht="16.5" customHeight="1" x14ac:dyDescent="0.3">
      <c r="A354" s="2">
        <v>15</v>
      </c>
      <c r="B354" s="2" t="s">
        <v>2334</v>
      </c>
      <c r="C354" s="60" t="s">
        <v>12557</v>
      </c>
      <c r="D354" s="1"/>
      <c r="E354" s="68"/>
      <c r="F354" s="70"/>
      <c r="G354" s="106" t="s">
        <v>17420</v>
      </c>
      <c r="H354" s="57" t="s">
        <v>1</v>
      </c>
      <c r="I354" s="58">
        <v>0.9</v>
      </c>
      <c r="J354" s="83" t="s">
        <v>5895</v>
      </c>
      <c r="K354" s="64" t="s">
        <v>1</v>
      </c>
      <c r="L354" s="65">
        <v>1</v>
      </c>
      <c r="M354" s="66"/>
      <c r="N354" s="57"/>
      <c r="O354" s="58"/>
      <c r="P354" s="77"/>
      <c r="Q354" s="1" t="s">
        <v>17934</v>
      </c>
      <c r="R354" s="68"/>
      <c r="S354" s="76"/>
      <c r="T354" s="70"/>
      <c r="U354" s="120">
        <f>ROUND((ROUND((ROUND((_15_同援日増７．５*_15・基礎２),0)*_15・２人),0)*(1+_15・区３)),0)</f>
        <v>1021</v>
      </c>
      <c r="V354" s="69"/>
    </row>
    <row r="355" spans="1:22" ht="16.5" customHeight="1" x14ac:dyDescent="0.3">
      <c r="A355" s="2">
        <v>15</v>
      </c>
      <c r="B355" s="2" t="s">
        <v>2335</v>
      </c>
      <c r="C355" s="60" t="s">
        <v>12556</v>
      </c>
      <c r="D355" s="1"/>
      <c r="E355" s="68"/>
      <c r="F355" s="70"/>
      <c r="G355" s="61"/>
      <c r="H355" s="62"/>
      <c r="I355" s="63"/>
      <c r="J355" s="85"/>
      <c r="K355" s="64"/>
      <c r="L355" s="65"/>
      <c r="M355" s="74" t="s">
        <v>17933</v>
      </c>
      <c r="N355" s="62"/>
      <c r="O355" s="63"/>
      <c r="P355" s="75"/>
      <c r="Q355" s="67"/>
      <c r="R355" s="68" t="s">
        <v>1</v>
      </c>
      <c r="S355" s="76">
        <v>0.2</v>
      </c>
      <c r="T355" s="70" t="s">
        <v>422</v>
      </c>
      <c r="U355" s="120">
        <f>ROUND((ROUND((_15_同援日増７．５*(1+_15・盲ろう)),0)*(1+_15・区３)),0)</f>
        <v>1417</v>
      </c>
      <c r="V355" s="69"/>
    </row>
    <row r="356" spans="1:22" ht="16.5" customHeight="1" x14ac:dyDescent="0.3">
      <c r="A356" s="2">
        <v>15</v>
      </c>
      <c r="B356" s="2" t="s">
        <v>2336</v>
      </c>
      <c r="C356" s="60" t="s">
        <v>12555</v>
      </c>
      <c r="D356" s="1"/>
      <c r="E356" s="68"/>
      <c r="F356" s="70"/>
      <c r="G356" s="66"/>
      <c r="H356" s="57"/>
      <c r="I356" s="58"/>
      <c r="J356" s="83" t="s">
        <v>5895</v>
      </c>
      <c r="K356" s="64" t="s">
        <v>1</v>
      </c>
      <c r="L356" s="65">
        <v>1</v>
      </c>
      <c r="M356" s="94" t="s">
        <v>17932</v>
      </c>
      <c r="N356" s="68"/>
      <c r="O356" s="76"/>
      <c r="P356" s="70"/>
      <c r="Q356" s="67"/>
      <c r="R356" s="68"/>
      <c r="S356" s="76"/>
      <c r="T356" s="70"/>
      <c r="U356" s="120">
        <f>ROUND((ROUND((ROUND((_15_同援日増７．５*_15・２人),0)*(1+_15・盲ろう)),0)*(1+_15・区３)),0)</f>
        <v>1417</v>
      </c>
      <c r="V356" s="69"/>
    </row>
    <row r="357" spans="1:22" ht="16.5" customHeight="1" x14ac:dyDescent="0.3">
      <c r="A357" s="2">
        <v>15</v>
      </c>
      <c r="B357" s="2" t="s">
        <v>2337</v>
      </c>
      <c r="C357" s="60" t="s">
        <v>12554</v>
      </c>
      <c r="D357" s="1"/>
      <c r="E357" s="68"/>
      <c r="F357" s="70"/>
      <c r="G357" s="74" t="s">
        <v>17747</v>
      </c>
      <c r="H357" s="62"/>
      <c r="I357" s="63"/>
      <c r="J357" s="85"/>
      <c r="K357" s="64"/>
      <c r="L357" s="65"/>
      <c r="M357" s="67"/>
      <c r="N357" s="68" t="s">
        <v>1</v>
      </c>
      <c r="O357" s="76">
        <v>0.25</v>
      </c>
      <c r="P357" s="70" t="s">
        <v>422</v>
      </c>
      <c r="Q357" s="67"/>
      <c r="R357" s="68"/>
      <c r="S357" s="76"/>
      <c r="T357" s="70"/>
      <c r="U357" s="120">
        <f>ROUND((ROUND((ROUND((_15_同援日増７．５*_15・基礎２),0)*(1+_15・盲ろう)),0)*(1+_15・区３)),0)</f>
        <v>1277</v>
      </c>
      <c r="V357" s="69"/>
    </row>
    <row r="358" spans="1:22" ht="16.5" customHeight="1" x14ac:dyDescent="0.3">
      <c r="A358" s="2">
        <v>15</v>
      </c>
      <c r="B358" s="2" t="s">
        <v>2338</v>
      </c>
      <c r="C358" s="60" t="s">
        <v>12553</v>
      </c>
      <c r="D358" s="1"/>
      <c r="E358" s="68"/>
      <c r="F358" s="70"/>
      <c r="G358" s="106" t="s">
        <v>17420</v>
      </c>
      <c r="H358" s="57" t="s">
        <v>1</v>
      </c>
      <c r="I358" s="58">
        <v>0.9</v>
      </c>
      <c r="J358" s="83" t="s">
        <v>5895</v>
      </c>
      <c r="K358" s="64" t="s">
        <v>1</v>
      </c>
      <c r="L358" s="65">
        <v>1</v>
      </c>
      <c r="M358" s="66"/>
      <c r="N358" s="57"/>
      <c r="O358" s="58"/>
      <c r="P358" s="77"/>
      <c r="Q358" s="66"/>
      <c r="R358" s="57"/>
      <c r="S358" s="58"/>
      <c r="T358" s="77"/>
      <c r="U358" s="120">
        <f>ROUND((ROUND((ROUND((ROUND((_15_同援日増７．５*_15・基礎２),0)*_15・２人),0)*(1+_15・盲ろう)),0)*(1+_15・区３)),0)</f>
        <v>1277</v>
      </c>
      <c r="V358" s="69"/>
    </row>
    <row r="359" spans="1:22" ht="16.5" customHeight="1" x14ac:dyDescent="0.3">
      <c r="A359" s="2">
        <v>15</v>
      </c>
      <c r="B359" s="2" t="s">
        <v>2339</v>
      </c>
      <c r="C359" s="60" t="s">
        <v>12552</v>
      </c>
      <c r="D359" s="1"/>
      <c r="E359" s="68"/>
      <c r="F359" s="70"/>
      <c r="G359" s="61"/>
      <c r="H359" s="62"/>
      <c r="I359" s="63"/>
      <c r="J359" s="85"/>
      <c r="K359" s="64"/>
      <c r="L359" s="65"/>
      <c r="M359" s="61"/>
      <c r="N359" s="62"/>
      <c r="O359" s="63"/>
      <c r="P359" s="75"/>
      <c r="Q359" s="61"/>
      <c r="R359" s="62"/>
      <c r="S359" s="63"/>
      <c r="T359" s="75"/>
      <c r="U359" s="120">
        <f>ROUND((_15_同援日増７．５*(1+_15・区４)),0)</f>
        <v>1323</v>
      </c>
      <c r="V359" s="69"/>
    </row>
    <row r="360" spans="1:22" ht="16.5" customHeight="1" x14ac:dyDescent="0.3">
      <c r="A360" s="2">
        <v>15</v>
      </c>
      <c r="B360" s="2" t="s">
        <v>2340</v>
      </c>
      <c r="C360" s="60" t="s">
        <v>12551</v>
      </c>
      <c r="D360" s="1"/>
      <c r="E360" s="68"/>
      <c r="F360" s="70"/>
      <c r="G360" s="66"/>
      <c r="H360" s="57"/>
      <c r="I360" s="58"/>
      <c r="J360" s="83" t="s">
        <v>5895</v>
      </c>
      <c r="K360" s="64" t="s">
        <v>1</v>
      </c>
      <c r="L360" s="65">
        <v>1</v>
      </c>
      <c r="M360" s="67"/>
      <c r="N360" s="68"/>
      <c r="O360" s="76"/>
      <c r="P360" s="70"/>
      <c r="Q360" s="67"/>
      <c r="R360" s="68"/>
      <c r="S360" s="76"/>
      <c r="T360" s="70"/>
      <c r="U360" s="120">
        <f>ROUND((ROUND((_15_同援日増７．５*_15・２人),0)*(1+_15・区４)),0)</f>
        <v>1323</v>
      </c>
      <c r="V360" s="69"/>
    </row>
    <row r="361" spans="1:22" ht="16.5" customHeight="1" x14ac:dyDescent="0.3">
      <c r="A361" s="2">
        <v>15</v>
      </c>
      <c r="B361" s="2" t="s">
        <v>2341</v>
      </c>
      <c r="C361" s="60" t="s">
        <v>12550</v>
      </c>
      <c r="D361" s="1"/>
      <c r="E361" s="68"/>
      <c r="F361" s="70"/>
      <c r="G361" s="74" t="s">
        <v>17747</v>
      </c>
      <c r="H361" s="62"/>
      <c r="I361" s="63"/>
      <c r="J361" s="85"/>
      <c r="K361" s="64"/>
      <c r="L361" s="65"/>
      <c r="M361" s="67"/>
      <c r="N361" s="68"/>
      <c r="O361" s="76"/>
      <c r="P361" s="70"/>
      <c r="Q361" s="1" t="s">
        <v>17935</v>
      </c>
      <c r="R361" s="68"/>
      <c r="S361" s="76"/>
      <c r="T361" s="70"/>
      <c r="U361" s="120">
        <f>ROUND((ROUND((_15_同援日増７．５*_15・基礎２),0)*(1+_15・区４)),0)</f>
        <v>1191</v>
      </c>
      <c r="V361" s="69"/>
    </row>
    <row r="362" spans="1:22" ht="16.5" customHeight="1" x14ac:dyDescent="0.3">
      <c r="A362" s="2">
        <v>15</v>
      </c>
      <c r="B362" s="2" t="s">
        <v>2342</v>
      </c>
      <c r="C362" s="60" t="s">
        <v>12549</v>
      </c>
      <c r="D362" s="1"/>
      <c r="E362" s="68"/>
      <c r="F362" s="70"/>
      <c r="G362" s="106" t="s">
        <v>17420</v>
      </c>
      <c r="H362" s="57" t="s">
        <v>1</v>
      </c>
      <c r="I362" s="58">
        <v>0.9</v>
      </c>
      <c r="J362" s="83" t="s">
        <v>5895</v>
      </c>
      <c r="K362" s="64" t="s">
        <v>1</v>
      </c>
      <c r="L362" s="65">
        <v>1</v>
      </c>
      <c r="M362" s="66"/>
      <c r="N362" s="57"/>
      <c r="O362" s="58"/>
      <c r="P362" s="77"/>
      <c r="Q362" s="1" t="s">
        <v>17934</v>
      </c>
      <c r="R362" s="68"/>
      <c r="S362" s="76"/>
      <c r="T362" s="70"/>
      <c r="U362" s="120">
        <f>ROUND((ROUND((ROUND((_15_同援日増７．５*_15・基礎２),0)*_15・２人),0)*(1+_15・区４)),0)</f>
        <v>1191</v>
      </c>
      <c r="V362" s="69"/>
    </row>
    <row r="363" spans="1:22" ht="16.5" customHeight="1" x14ac:dyDescent="0.3">
      <c r="A363" s="2">
        <v>15</v>
      </c>
      <c r="B363" s="2" t="s">
        <v>2343</v>
      </c>
      <c r="C363" s="60" t="s">
        <v>12548</v>
      </c>
      <c r="D363" s="1"/>
      <c r="E363" s="68"/>
      <c r="F363" s="70"/>
      <c r="G363" s="61"/>
      <c r="H363" s="62"/>
      <c r="I363" s="63"/>
      <c r="J363" s="85"/>
      <c r="K363" s="64"/>
      <c r="L363" s="65"/>
      <c r="M363" s="74" t="s">
        <v>17933</v>
      </c>
      <c r="N363" s="62"/>
      <c r="O363" s="63"/>
      <c r="P363" s="75"/>
      <c r="Q363" s="67"/>
      <c r="R363" s="68" t="s">
        <v>1</v>
      </c>
      <c r="S363" s="76">
        <v>0.4</v>
      </c>
      <c r="T363" s="70" t="s">
        <v>422</v>
      </c>
      <c r="U363" s="120">
        <f>ROUND((ROUND((_15_同援日増７．５*(1+_15・盲ろう)),0)*(1+_15・区４)),0)</f>
        <v>1653</v>
      </c>
      <c r="V363" s="69"/>
    </row>
    <row r="364" spans="1:22" ht="16.5" customHeight="1" x14ac:dyDescent="0.3">
      <c r="A364" s="2">
        <v>15</v>
      </c>
      <c r="B364" s="2" t="s">
        <v>2344</v>
      </c>
      <c r="C364" s="60" t="s">
        <v>12547</v>
      </c>
      <c r="D364" s="1"/>
      <c r="E364" s="68"/>
      <c r="F364" s="70"/>
      <c r="G364" s="66"/>
      <c r="H364" s="57"/>
      <c r="I364" s="58"/>
      <c r="J364" s="83" t="s">
        <v>5895</v>
      </c>
      <c r="K364" s="64" t="s">
        <v>1</v>
      </c>
      <c r="L364" s="65">
        <v>1</v>
      </c>
      <c r="M364" s="94" t="s">
        <v>8083</v>
      </c>
      <c r="N364" s="68"/>
      <c r="O364" s="76"/>
      <c r="P364" s="70"/>
      <c r="Q364" s="67"/>
      <c r="R364" s="68"/>
      <c r="S364" s="76"/>
      <c r="T364" s="70"/>
      <c r="U364" s="120">
        <f>ROUND((ROUND((ROUND((_15_同援日増７．５*_15・２人),0)*(1+_15・盲ろう)),0)*(1+_15・区４)),0)</f>
        <v>1653</v>
      </c>
      <c r="V364" s="69"/>
    </row>
    <row r="365" spans="1:22" ht="16.5" customHeight="1" x14ac:dyDescent="0.3">
      <c r="A365" s="2">
        <v>15</v>
      </c>
      <c r="B365" s="2" t="s">
        <v>2345</v>
      </c>
      <c r="C365" s="60" t="s">
        <v>12546</v>
      </c>
      <c r="D365" s="1"/>
      <c r="E365" s="68"/>
      <c r="F365" s="70"/>
      <c r="G365" s="74" t="s">
        <v>17747</v>
      </c>
      <c r="H365" s="62"/>
      <c r="I365" s="63"/>
      <c r="J365" s="85"/>
      <c r="K365" s="64"/>
      <c r="L365" s="65"/>
      <c r="M365" s="67"/>
      <c r="N365" s="68" t="s">
        <v>1</v>
      </c>
      <c r="O365" s="76">
        <v>0.25</v>
      </c>
      <c r="P365" s="70" t="s">
        <v>422</v>
      </c>
      <c r="Q365" s="67"/>
      <c r="R365" s="68"/>
      <c r="S365" s="76"/>
      <c r="T365" s="70"/>
      <c r="U365" s="120">
        <f>ROUND((ROUND((ROUND((_15_同援日増７．５*_15・基礎２),0)*(1+_15・盲ろう)),0)*(1+_15・区４)),0)</f>
        <v>1490</v>
      </c>
      <c r="V365" s="69"/>
    </row>
    <row r="366" spans="1:22" ht="16.5" customHeight="1" x14ac:dyDescent="0.3">
      <c r="A366" s="2">
        <v>15</v>
      </c>
      <c r="B366" s="2" t="s">
        <v>2346</v>
      </c>
      <c r="C366" s="60" t="s">
        <v>12545</v>
      </c>
      <c r="D366" s="81"/>
      <c r="E366" s="57"/>
      <c r="F366" s="77"/>
      <c r="G366" s="106" t="s">
        <v>17420</v>
      </c>
      <c r="H366" s="57" t="s">
        <v>1</v>
      </c>
      <c r="I366" s="58">
        <v>0.9</v>
      </c>
      <c r="J366" s="83" t="s">
        <v>5895</v>
      </c>
      <c r="K366" s="64" t="s">
        <v>1</v>
      </c>
      <c r="L366" s="65">
        <v>1</v>
      </c>
      <c r="M366" s="66"/>
      <c r="N366" s="57"/>
      <c r="O366" s="58"/>
      <c r="P366" s="77"/>
      <c r="Q366" s="66"/>
      <c r="R366" s="57"/>
      <c r="S366" s="58"/>
      <c r="T366" s="77"/>
      <c r="U366" s="120">
        <f>ROUND((ROUND((ROUND((ROUND((_15_同援日増７．５*_15・基礎２),0)*_15・２人),0)*(1+_15・盲ろう)),0)*(1+_15・区４)),0)</f>
        <v>1490</v>
      </c>
      <c r="V366" s="69"/>
    </row>
    <row r="367" spans="1:22" ht="16.5" customHeight="1" x14ac:dyDescent="0.3">
      <c r="A367" s="2">
        <v>15</v>
      </c>
      <c r="B367" s="2" t="s">
        <v>2347</v>
      </c>
      <c r="C367" s="60" t="s">
        <v>12544</v>
      </c>
      <c r="D367" s="233" t="s">
        <v>18172</v>
      </c>
      <c r="E367" s="62"/>
      <c r="F367" s="75"/>
      <c r="G367" s="61"/>
      <c r="H367" s="62"/>
      <c r="I367" s="63"/>
      <c r="J367" s="85"/>
      <c r="K367" s="64"/>
      <c r="L367" s="65"/>
      <c r="M367" s="61"/>
      <c r="N367" s="62"/>
      <c r="O367" s="63"/>
      <c r="P367" s="75"/>
      <c r="Q367" s="61"/>
      <c r="R367" s="62"/>
      <c r="S367" s="63"/>
      <c r="T367" s="75"/>
      <c r="U367" s="120">
        <f>_15_同援日増８．０</f>
        <v>1008</v>
      </c>
      <c r="V367" s="69"/>
    </row>
    <row r="368" spans="1:22" ht="16.5" customHeight="1" x14ac:dyDescent="0.3">
      <c r="A368" s="2">
        <v>15</v>
      </c>
      <c r="B368" s="2" t="s">
        <v>2348</v>
      </c>
      <c r="C368" s="60" t="s">
        <v>12543</v>
      </c>
      <c r="D368" s="1" t="s">
        <v>17945</v>
      </c>
      <c r="E368" s="68"/>
      <c r="F368" s="70"/>
      <c r="G368" s="66"/>
      <c r="H368" s="57"/>
      <c r="I368" s="58"/>
      <c r="J368" s="83" t="s">
        <v>5895</v>
      </c>
      <c r="K368" s="64" t="s">
        <v>1</v>
      </c>
      <c r="L368" s="65">
        <v>1</v>
      </c>
      <c r="M368" s="67"/>
      <c r="N368" s="68"/>
      <c r="O368" s="76"/>
      <c r="P368" s="70"/>
      <c r="Q368" s="67"/>
      <c r="R368" s="68"/>
      <c r="S368" s="76"/>
      <c r="T368" s="70"/>
      <c r="U368" s="120">
        <f>ROUND((_15_同援日増８．０*_15・２人),0)</f>
        <v>1008</v>
      </c>
      <c r="V368" s="69"/>
    </row>
    <row r="369" spans="1:22" ht="16.5" customHeight="1" x14ac:dyDescent="0.3">
      <c r="A369" s="2">
        <v>15</v>
      </c>
      <c r="B369" s="2" t="s">
        <v>2349</v>
      </c>
      <c r="C369" s="60" t="s">
        <v>12542</v>
      </c>
      <c r="D369" s="1" t="s">
        <v>8232</v>
      </c>
      <c r="E369" s="68"/>
      <c r="F369" s="70"/>
      <c r="G369" s="74" t="s">
        <v>17747</v>
      </c>
      <c r="H369" s="62"/>
      <c r="I369" s="63"/>
      <c r="J369" s="85"/>
      <c r="K369" s="64"/>
      <c r="L369" s="65"/>
      <c r="M369" s="67"/>
      <c r="N369" s="68"/>
      <c r="O369" s="76"/>
      <c r="P369" s="70"/>
      <c r="Q369" s="67"/>
      <c r="R369" s="68"/>
      <c r="S369" s="76"/>
      <c r="T369" s="70"/>
      <c r="U369" s="120">
        <f>ROUND((_15_同援日増８．０*_15・基礎２),0)</f>
        <v>907</v>
      </c>
      <c r="V369" s="69"/>
    </row>
    <row r="370" spans="1:22" ht="16.5" customHeight="1" x14ac:dyDescent="0.3">
      <c r="A370" s="2">
        <v>15</v>
      </c>
      <c r="B370" s="2" t="s">
        <v>2350</v>
      </c>
      <c r="C370" s="60" t="s">
        <v>12541</v>
      </c>
      <c r="D370" s="1"/>
      <c r="E370" s="119">
        <v>1008</v>
      </c>
      <c r="F370" s="70" t="s">
        <v>0</v>
      </c>
      <c r="G370" s="106" t="s">
        <v>5896</v>
      </c>
      <c r="H370" s="57" t="s">
        <v>1</v>
      </c>
      <c r="I370" s="58">
        <v>0.9</v>
      </c>
      <c r="J370" s="83" t="s">
        <v>5895</v>
      </c>
      <c r="K370" s="64" t="s">
        <v>1</v>
      </c>
      <c r="L370" s="65">
        <v>1</v>
      </c>
      <c r="M370" s="66"/>
      <c r="N370" s="57"/>
      <c r="O370" s="58"/>
      <c r="P370" s="77"/>
      <c r="Q370" s="67"/>
      <c r="R370" s="68"/>
      <c r="S370" s="76"/>
      <c r="T370" s="70"/>
      <c r="U370" s="120">
        <f>ROUND((ROUND((_15_同援日増８．０*_15・基礎２),0)*_15・２人),0)</f>
        <v>907</v>
      </c>
      <c r="V370" s="69"/>
    </row>
    <row r="371" spans="1:22" ht="16.5" customHeight="1" x14ac:dyDescent="0.3">
      <c r="A371" s="2">
        <v>15</v>
      </c>
      <c r="B371" s="2" t="s">
        <v>2351</v>
      </c>
      <c r="C371" s="60" t="s">
        <v>12540</v>
      </c>
      <c r="D371" s="1"/>
      <c r="E371" s="68"/>
      <c r="F371" s="70"/>
      <c r="G371" s="61"/>
      <c r="H371" s="62"/>
      <c r="I371" s="63"/>
      <c r="J371" s="85"/>
      <c r="K371" s="64"/>
      <c r="L371" s="65"/>
      <c r="M371" s="74" t="s">
        <v>17933</v>
      </c>
      <c r="N371" s="62"/>
      <c r="O371" s="63"/>
      <c r="P371" s="75"/>
      <c r="Q371" s="67"/>
      <c r="R371" s="68"/>
      <c r="S371" s="76"/>
      <c r="T371" s="70"/>
      <c r="U371" s="120">
        <f>ROUND((_15_同援日増８．０*(1+_15・盲ろう)),0)</f>
        <v>1260</v>
      </c>
      <c r="V371" s="69"/>
    </row>
    <row r="372" spans="1:22" ht="16.5" customHeight="1" x14ac:dyDescent="0.3">
      <c r="A372" s="2">
        <v>15</v>
      </c>
      <c r="B372" s="2" t="s">
        <v>2352</v>
      </c>
      <c r="C372" s="60" t="s">
        <v>12539</v>
      </c>
      <c r="D372" s="1"/>
      <c r="E372" s="68"/>
      <c r="F372" s="70"/>
      <c r="G372" s="66"/>
      <c r="H372" s="57"/>
      <c r="I372" s="58"/>
      <c r="J372" s="83" t="s">
        <v>5895</v>
      </c>
      <c r="K372" s="64" t="s">
        <v>1</v>
      </c>
      <c r="L372" s="65">
        <v>1</v>
      </c>
      <c r="M372" s="94" t="s">
        <v>17932</v>
      </c>
      <c r="N372" s="68"/>
      <c r="O372" s="76"/>
      <c r="P372" s="70"/>
      <c r="Q372" s="67"/>
      <c r="R372" s="68"/>
      <c r="S372" s="76"/>
      <c r="T372" s="70"/>
      <c r="U372" s="120">
        <f>ROUND((ROUND((_15_同援日増８．０*_15・２人),0)*(1+_15・盲ろう)),0)</f>
        <v>1260</v>
      </c>
      <c r="V372" s="69"/>
    </row>
    <row r="373" spans="1:22" ht="16.5" customHeight="1" x14ac:dyDescent="0.3">
      <c r="A373" s="2">
        <v>15</v>
      </c>
      <c r="B373" s="2" t="s">
        <v>2353</v>
      </c>
      <c r="C373" s="60" t="s">
        <v>12538</v>
      </c>
      <c r="D373" s="1"/>
      <c r="E373" s="68"/>
      <c r="F373" s="70"/>
      <c r="G373" s="74" t="s">
        <v>17747</v>
      </c>
      <c r="H373" s="62"/>
      <c r="I373" s="63"/>
      <c r="J373" s="85"/>
      <c r="K373" s="64"/>
      <c r="L373" s="65"/>
      <c r="M373" s="67"/>
      <c r="N373" s="68" t="s">
        <v>1</v>
      </c>
      <c r="O373" s="76">
        <v>0.25</v>
      </c>
      <c r="P373" s="70" t="s">
        <v>422</v>
      </c>
      <c r="Q373" s="67"/>
      <c r="R373" s="68"/>
      <c r="S373" s="76"/>
      <c r="T373" s="70"/>
      <c r="U373" s="120">
        <f>ROUND((ROUND((_15_同援日増８．０*_15・基礎２),0)*(1+_15・盲ろう)),0)</f>
        <v>1134</v>
      </c>
      <c r="V373" s="69"/>
    </row>
    <row r="374" spans="1:22" ht="16.5" customHeight="1" x14ac:dyDescent="0.3">
      <c r="A374" s="2">
        <v>15</v>
      </c>
      <c r="B374" s="2" t="s">
        <v>2354</v>
      </c>
      <c r="C374" s="60" t="s">
        <v>12537</v>
      </c>
      <c r="D374" s="1"/>
      <c r="E374" s="68"/>
      <c r="F374" s="70"/>
      <c r="G374" s="106" t="s">
        <v>17420</v>
      </c>
      <c r="H374" s="57" t="s">
        <v>1</v>
      </c>
      <c r="I374" s="58">
        <v>0.9</v>
      </c>
      <c r="J374" s="83" t="s">
        <v>5895</v>
      </c>
      <c r="K374" s="64" t="s">
        <v>1</v>
      </c>
      <c r="L374" s="65">
        <v>1</v>
      </c>
      <c r="M374" s="66"/>
      <c r="N374" s="57"/>
      <c r="O374" s="58"/>
      <c r="P374" s="77"/>
      <c r="Q374" s="66"/>
      <c r="R374" s="57"/>
      <c r="S374" s="58"/>
      <c r="T374" s="77"/>
      <c r="U374" s="120">
        <f>ROUND((ROUND((ROUND((_15_同援日増８．０*_15・基礎２),0)*_15・２人),0)*(1+_15・盲ろう)),0)</f>
        <v>1134</v>
      </c>
      <c r="V374" s="69"/>
    </row>
    <row r="375" spans="1:22" ht="16.5" customHeight="1" x14ac:dyDescent="0.3">
      <c r="A375" s="2">
        <v>15</v>
      </c>
      <c r="B375" s="2" t="s">
        <v>2355</v>
      </c>
      <c r="C375" s="60" t="s">
        <v>12536</v>
      </c>
      <c r="D375" s="1"/>
      <c r="E375" s="68"/>
      <c r="F375" s="70"/>
      <c r="G375" s="61"/>
      <c r="H375" s="62"/>
      <c r="I375" s="63"/>
      <c r="J375" s="85"/>
      <c r="K375" s="64"/>
      <c r="L375" s="65"/>
      <c r="M375" s="61"/>
      <c r="N375" s="62"/>
      <c r="O375" s="63"/>
      <c r="P375" s="75"/>
      <c r="Q375" s="61"/>
      <c r="R375" s="62"/>
      <c r="S375" s="63"/>
      <c r="T375" s="75"/>
      <c r="U375" s="120">
        <f>ROUND((_15_同援日増８．０*(1+_15・区３)),0)</f>
        <v>1210</v>
      </c>
      <c r="V375" s="69"/>
    </row>
    <row r="376" spans="1:22" ht="16.5" customHeight="1" x14ac:dyDescent="0.3">
      <c r="A376" s="2">
        <v>15</v>
      </c>
      <c r="B376" s="2" t="s">
        <v>2356</v>
      </c>
      <c r="C376" s="60" t="s">
        <v>12535</v>
      </c>
      <c r="D376" s="1"/>
      <c r="E376" s="68"/>
      <c r="F376" s="70"/>
      <c r="G376" s="66"/>
      <c r="H376" s="57"/>
      <c r="I376" s="58"/>
      <c r="J376" s="83" t="s">
        <v>5895</v>
      </c>
      <c r="K376" s="64" t="s">
        <v>1</v>
      </c>
      <c r="L376" s="65">
        <v>1</v>
      </c>
      <c r="M376" s="67"/>
      <c r="N376" s="68"/>
      <c r="O376" s="76"/>
      <c r="P376" s="70"/>
      <c r="Q376" s="67"/>
      <c r="R376" s="68"/>
      <c r="S376" s="76"/>
      <c r="T376" s="70"/>
      <c r="U376" s="120">
        <f>ROUND((ROUND((_15_同援日増８．０*_15・２人),0)*(1+_15・区３)),0)</f>
        <v>1210</v>
      </c>
      <c r="V376" s="69"/>
    </row>
    <row r="377" spans="1:22" ht="16.5" customHeight="1" x14ac:dyDescent="0.3">
      <c r="A377" s="2">
        <v>15</v>
      </c>
      <c r="B377" s="2" t="s">
        <v>2357</v>
      </c>
      <c r="C377" s="60" t="s">
        <v>12534</v>
      </c>
      <c r="D377" s="1"/>
      <c r="E377" s="68"/>
      <c r="F377" s="70"/>
      <c r="G377" s="74" t="s">
        <v>17747</v>
      </c>
      <c r="H377" s="62"/>
      <c r="I377" s="63"/>
      <c r="J377" s="85"/>
      <c r="K377" s="64"/>
      <c r="L377" s="65"/>
      <c r="M377" s="67"/>
      <c r="N377" s="68"/>
      <c r="O377" s="76"/>
      <c r="P377" s="70"/>
      <c r="Q377" s="1" t="s">
        <v>17936</v>
      </c>
      <c r="R377" s="68"/>
      <c r="S377" s="76"/>
      <c r="T377" s="70"/>
      <c r="U377" s="120">
        <f>ROUND((ROUND((_15_同援日増８．０*_15・基礎２),0)*(1+_15・区３)),0)</f>
        <v>1088</v>
      </c>
      <c r="V377" s="69"/>
    </row>
    <row r="378" spans="1:22" ht="16.5" customHeight="1" x14ac:dyDescent="0.3">
      <c r="A378" s="2">
        <v>15</v>
      </c>
      <c r="B378" s="2" t="s">
        <v>2358</v>
      </c>
      <c r="C378" s="60" t="s">
        <v>12533</v>
      </c>
      <c r="D378" s="1"/>
      <c r="E378" s="68"/>
      <c r="F378" s="70"/>
      <c r="G378" s="106" t="s">
        <v>17420</v>
      </c>
      <c r="H378" s="57" t="s">
        <v>1</v>
      </c>
      <c r="I378" s="58">
        <v>0.9</v>
      </c>
      <c r="J378" s="83" t="s">
        <v>5895</v>
      </c>
      <c r="K378" s="64" t="s">
        <v>1</v>
      </c>
      <c r="L378" s="65">
        <v>1</v>
      </c>
      <c r="M378" s="66"/>
      <c r="N378" s="57"/>
      <c r="O378" s="58"/>
      <c r="P378" s="77"/>
      <c r="Q378" s="1" t="s">
        <v>17934</v>
      </c>
      <c r="R378" s="68"/>
      <c r="S378" s="76"/>
      <c r="T378" s="70"/>
      <c r="U378" s="120">
        <f>ROUND((ROUND((ROUND((_15_同援日増８．０*_15・基礎２),0)*_15・２人),0)*(1+_15・区３)),0)</f>
        <v>1088</v>
      </c>
      <c r="V378" s="69"/>
    </row>
    <row r="379" spans="1:22" ht="16.5" customHeight="1" x14ac:dyDescent="0.3">
      <c r="A379" s="2">
        <v>15</v>
      </c>
      <c r="B379" s="2" t="s">
        <v>2359</v>
      </c>
      <c r="C379" s="60" t="s">
        <v>12532</v>
      </c>
      <c r="D379" s="1"/>
      <c r="E379" s="68"/>
      <c r="F379" s="70"/>
      <c r="G379" s="61"/>
      <c r="H379" s="62"/>
      <c r="I379" s="63"/>
      <c r="J379" s="85"/>
      <c r="K379" s="64"/>
      <c r="L379" s="65"/>
      <c r="M379" s="74" t="s">
        <v>17933</v>
      </c>
      <c r="N379" s="62"/>
      <c r="O379" s="63"/>
      <c r="P379" s="75"/>
      <c r="Q379" s="67"/>
      <c r="R379" s="68" t="s">
        <v>1</v>
      </c>
      <c r="S379" s="76">
        <v>0.2</v>
      </c>
      <c r="T379" s="70" t="s">
        <v>422</v>
      </c>
      <c r="U379" s="120">
        <f>ROUND((ROUND((_15_同援日増８．０*(1+_15・盲ろう)),0)*(1+_15・区３)),0)</f>
        <v>1512</v>
      </c>
      <c r="V379" s="69"/>
    </row>
    <row r="380" spans="1:22" ht="16.5" customHeight="1" x14ac:dyDescent="0.3">
      <c r="A380" s="2">
        <v>15</v>
      </c>
      <c r="B380" s="2" t="s">
        <v>2360</v>
      </c>
      <c r="C380" s="60" t="s">
        <v>12531</v>
      </c>
      <c r="D380" s="1"/>
      <c r="E380" s="68"/>
      <c r="F380" s="70"/>
      <c r="G380" s="66"/>
      <c r="H380" s="57"/>
      <c r="I380" s="58"/>
      <c r="J380" s="83" t="s">
        <v>5895</v>
      </c>
      <c r="K380" s="64" t="s">
        <v>1</v>
      </c>
      <c r="L380" s="65">
        <v>1</v>
      </c>
      <c r="M380" s="94" t="s">
        <v>17932</v>
      </c>
      <c r="N380" s="68"/>
      <c r="O380" s="76"/>
      <c r="P380" s="70"/>
      <c r="Q380" s="67"/>
      <c r="R380" s="68"/>
      <c r="S380" s="76"/>
      <c r="T380" s="70"/>
      <c r="U380" s="120">
        <f>ROUND((ROUND((ROUND((_15_同援日増８．０*_15・２人),0)*(1+_15・盲ろう)),0)*(1+_15・区３)),0)</f>
        <v>1512</v>
      </c>
      <c r="V380" s="69"/>
    </row>
    <row r="381" spans="1:22" ht="16.5" customHeight="1" x14ac:dyDescent="0.3">
      <c r="A381" s="2">
        <v>15</v>
      </c>
      <c r="B381" s="2" t="s">
        <v>2361</v>
      </c>
      <c r="C381" s="60" t="s">
        <v>12530</v>
      </c>
      <c r="D381" s="1"/>
      <c r="E381" s="68"/>
      <c r="F381" s="70"/>
      <c r="G381" s="74" t="s">
        <v>17747</v>
      </c>
      <c r="H381" s="62"/>
      <c r="I381" s="63"/>
      <c r="J381" s="85"/>
      <c r="K381" s="64"/>
      <c r="L381" s="65"/>
      <c r="M381" s="67"/>
      <c r="N381" s="68" t="s">
        <v>1</v>
      </c>
      <c r="O381" s="76">
        <v>0.25</v>
      </c>
      <c r="P381" s="70" t="s">
        <v>422</v>
      </c>
      <c r="Q381" s="67"/>
      <c r="R381" s="68"/>
      <c r="S381" s="76"/>
      <c r="T381" s="70"/>
      <c r="U381" s="120">
        <f>ROUND((ROUND((ROUND((_15_同援日増８．０*_15・基礎２),0)*(1+_15・盲ろう)),0)*(1+_15・区３)),0)</f>
        <v>1361</v>
      </c>
      <c r="V381" s="69"/>
    </row>
    <row r="382" spans="1:22" ht="16.5" customHeight="1" x14ac:dyDescent="0.3">
      <c r="A382" s="2">
        <v>15</v>
      </c>
      <c r="B382" s="2" t="s">
        <v>2362</v>
      </c>
      <c r="C382" s="60" t="s">
        <v>12529</v>
      </c>
      <c r="D382" s="1"/>
      <c r="E382" s="68"/>
      <c r="F382" s="70"/>
      <c r="G382" s="106" t="s">
        <v>17420</v>
      </c>
      <c r="H382" s="57" t="s">
        <v>1</v>
      </c>
      <c r="I382" s="58">
        <v>0.9</v>
      </c>
      <c r="J382" s="83" t="s">
        <v>5895</v>
      </c>
      <c r="K382" s="64" t="s">
        <v>1</v>
      </c>
      <c r="L382" s="65">
        <v>1</v>
      </c>
      <c r="M382" s="66"/>
      <c r="N382" s="57"/>
      <c r="O382" s="58"/>
      <c r="P382" s="77"/>
      <c r="Q382" s="66"/>
      <c r="R382" s="57"/>
      <c r="S382" s="58"/>
      <c r="T382" s="77"/>
      <c r="U382" s="120">
        <f>ROUND((ROUND((ROUND((ROUND((_15_同援日増８．０*_15・基礎２),0)*_15・２人),0)*(1+_15・盲ろう)),0)*(1+_15・区３)),0)</f>
        <v>1361</v>
      </c>
      <c r="V382" s="69"/>
    </row>
    <row r="383" spans="1:22" ht="16.5" customHeight="1" x14ac:dyDescent="0.3">
      <c r="A383" s="2">
        <v>15</v>
      </c>
      <c r="B383" s="2" t="s">
        <v>2363</v>
      </c>
      <c r="C383" s="60" t="s">
        <v>12528</v>
      </c>
      <c r="D383" s="1"/>
      <c r="E383" s="68"/>
      <c r="F383" s="70"/>
      <c r="G383" s="61"/>
      <c r="H383" s="62"/>
      <c r="I383" s="63"/>
      <c r="J383" s="85"/>
      <c r="K383" s="64"/>
      <c r="L383" s="65"/>
      <c r="M383" s="61"/>
      <c r="N383" s="62"/>
      <c r="O383" s="63"/>
      <c r="P383" s="75"/>
      <c r="Q383" s="61"/>
      <c r="R383" s="62"/>
      <c r="S383" s="63"/>
      <c r="T383" s="75"/>
      <c r="U383" s="120">
        <f>ROUND((_15_同援日増８．０*(1+_15・区４)),0)</f>
        <v>1411</v>
      </c>
      <c r="V383" s="69"/>
    </row>
    <row r="384" spans="1:22" ht="16.5" customHeight="1" x14ac:dyDescent="0.3">
      <c r="A384" s="2">
        <v>15</v>
      </c>
      <c r="B384" s="2" t="s">
        <v>2364</v>
      </c>
      <c r="C384" s="60" t="s">
        <v>12527</v>
      </c>
      <c r="D384" s="1"/>
      <c r="E384" s="68"/>
      <c r="F384" s="70"/>
      <c r="G384" s="66"/>
      <c r="H384" s="57"/>
      <c r="I384" s="58"/>
      <c r="J384" s="83" t="s">
        <v>5895</v>
      </c>
      <c r="K384" s="64" t="s">
        <v>1</v>
      </c>
      <c r="L384" s="65">
        <v>1</v>
      </c>
      <c r="M384" s="67"/>
      <c r="N384" s="68"/>
      <c r="O384" s="76"/>
      <c r="P384" s="70"/>
      <c r="Q384" s="67"/>
      <c r="R384" s="68"/>
      <c r="S384" s="76"/>
      <c r="T384" s="70"/>
      <c r="U384" s="120">
        <f>ROUND((ROUND((_15_同援日増８．０*_15・２人),0)*(1+_15・区４)),0)</f>
        <v>1411</v>
      </c>
      <c r="V384" s="69"/>
    </row>
    <row r="385" spans="1:22" ht="16.5" customHeight="1" x14ac:dyDescent="0.3">
      <c r="A385" s="2">
        <v>15</v>
      </c>
      <c r="B385" s="2" t="s">
        <v>2365</v>
      </c>
      <c r="C385" s="60" t="s">
        <v>12526</v>
      </c>
      <c r="D385" s="1"/>
      <c r="E385" s="68"/>
      <c r="F385" s="70"/>
      <c r="G385" s="74" t="s">
        <v>17747</v>
      </c>
      <c r="H385" s="62"/>
      <c r="I385" s="63"/>
      <c r="J385" s="85"/>
      <c r="K385" s="64"/>
      <c r="L385" s="65"/>
      <c r="M385" s="67"/>
      <c r="N385" s="68"/>
      <c r="O385" s="76"/>
      <c r="P385" s="70"/>
      <c r="Q385" s="1" t="s">
        <v>17935</v>
      </c>
      <c r="R385" s="68"/>
      <c r="S385" s="76"/>
      <c r="T385" s="70"/>
      <c r="U385" s="120">
        <f>ROUND((ROUND((_15_同援日増８．０*_15・基礎２),0)*(1+_15・区４)),0)</f>
        <v>1270</v>
      </c>
      <c r="V385" s="69"/>
    </row>
    <row r="386" spans="1:22" ht="16.5" customHeight="1" x14ac:dyDescent="0.3">
      <c r="A386" s="2">
        <v>15</v>
      </c>
      <c r="B386" s="2" t="s">
        <v>2366</v>
      </c>
      <c r="C386" s="60" t="s">
        <v>12525</v>
      </c>
      <c r="D386" s="1"/>
      <c r="E386" s="68"/>
      <c r="F386" s="70"/>
      <c r="G386" s="106" t="s">
        <v>5896</v>
      </c>
      <c r="H386" s="57" t="s">
        <v>1</v>
      </c>
      <c r="I386" s="58">
        <v>0.9</v>
      </c>
      <c r="J386" s="83" t="s">
        <v>5895</v>
      </c>
      <c r="K386" s="64" t="s">
        <v>1</v>
      </c>
      <c r="L386" s="65">
        <v>1</v>
      </c>
      <c r="M386" s="66"/>
      <c r="N386" s="57"/>
      <c r="O386" s="58"/>
      <c r="P386" s="77"/>
      <c r="Q386" s="1" t="s">
        <v>17934</v>
      </c>
      <c r="R386" s="68"/>
      <c r="S386" s="76"/>
      <c r="T386" s="70"/>
      <c r="U386" s="120">
        <f>ROUND((ROUND((ROUND((_15_同援日増８．０*_15・基礎２),0)*_15・２人),0)*(1+_15・区４)),0)</f>
        <v>1270</v>
      </c>
      <c r="V386" s="69"/>
    </row>
    <row r="387" spans="1:22" ht="16.5" customHeight="1" x14ac:dyDescent="0.3">
      <c r="A387" s="2">
        <v>15</v>
      </c>
      <c r="B387" s="2" t="s">
        <v>2367</v>
      </c>
      <c r="C387" s="60" t="s">
        <v>12524</v>
      </c>
      <c r="D387" s="1"/>
      <c r="E387" s="68"/>
      <c r="F387" s="70"/>
      <c r="G387" s="61"/>
      <c r="H387" s="62"/>
      <c r="I387" s="63"/>
      <c r="J387" s="85"/>
      <c r="K387" s="64"/>
      <c r="L387" s="65"/>
      <c r="M387" s="74" t="s">
        <v>17933</v>
      </c>
      <c r="N387" s="62"/>
      <c r="O387" s="63"/>
      <c r="P387" s="75"/>
      <c r="Q387" s="67"/>
      <c r="R387" s="68" t="s">
        <v>1</v>
      </c>
      <c r="S387" s="76">
        <v>0.4</v>
      </c>
      <c r="T387" s="70" t="s">
        <v>422</v>
      </c>
      <c r="U387" s="120">
        <f>ROUND((ROUND((_15_同援日増８．０*(1+_15・盲ろう)),0)*(1+_15・区４)),0)</f>
        <v>1764</v>
      </c>
      <c r="V387" s="69"/>
    </row>
    <row r="388" spans="1:22" ht="16.5" customHeight="1" x14ac:dyDescent="0.3">
      <c r="A388" s="2">
        <v>15</v>
      </c>
      <c r="B388" s="2" t="s">
        <v>2368</v>
      </c>
      <c r="C388" s="60" t="s">
        <v>12523</v>
      </c>
      <c r="D388" s="1"/>
      <c r="E388" s="68"/>
      <c r="F388" s="70"/>
      <c r="G388" s="66"/>
      <c r="H388" s="57"/>
      <c r="I388" s="58"/>
      <c r="J388" s="83" t="s">
        <v>5895</v>
      </c>
      <c r="K388" s="64" t="s">
        <v>1</v>
      </c>
      <c r="L388" s="65">
        <v>1</v>
      </c>
      <c r="M388" s="94" t="s">
        <v>17932</v>
      </c>
      <c r="N388" s="68"/>
      <c r="O388" s="76"/>
      <c r="P388" s="70"/>
      <c r="Q388" s="67"/>
      <c r="R388" s="68"/>
      <c r="S388" s="76"/>
      <c r="T388" s="70"/>
      <c r="U388" s="120">
        <f>ROUND((ROUND((ROUND((_15_同援日増８．０*_15・２人),0)*(1+_15・盲ろう)),0)*(1+_15・区４)),0)</f>
        <v>1764</v>
      </c>
      <c r="V388" s="69"/>
    </row>
    <row r="389" spans="1:22" ht="16.5" customHeight="1" x14ac:dyDescent="0.3">
      <c r="A389" s="2">
        <v>15</v>
      </c>
      <c r="B389" s="2" t="s">
        <v>2369</v>
      </c>
      <c r="C389" s="60" t="s">
        <v>12522</v>
      </c>
      <c r="D389" s="1"/>
      <c r="E389" s="68"/>
      <c r="F389" s="70"/>
      <c r="G389" s="74" t="s">
        <v>17747</v>
      </c>
      <c r="H389" s="62"/>
      <c r="I389" s="63"/>
      <c r="J389" s="85"/>
      <c r="K389" s="64"/>
      <c r="L389" s="65"/>
      <c r="M389" s="67"/>
      <c r="N389" s="68" t="s">
        <v>1</v>
      </c>
      <c r="O389" s="76">
        <v>0.25</v>
      </c>
      <c r="P389" s="70" t="s">
        <v>422</v>
      </c>
      <c r="Q389" s="67"/>
      <c r="R389" s="68"/>
      <c r="S389" s="76"/>
      <c r="T389" s="70"/>
      <c r="U389" s="120">
        <f>ROUND((ROUND((ROUND((_15_同援日増８．０*_15・基礎２),0)*(1+_15・盲ろう)),0)*(1+_15・区４)),0)</f>
        <v>1588</v>
      </c>
      <c r="V389" s="69"/>
    </row>
    <row r="390" spans="1:22" ht="16.5" customHeight="1" x14ac:dyDescent="0.3">
      <c r="A390" s="2">
        <v>15</v>
      </c>
      <c r="B390" s="2" t="s">
        <v>2370</v>
      </c>
      <c r="C390" s="60" t="s">
        <v>12521</v>
      </c>
      <c r="D390" s="81"/>
      <c r="E390" s="57"/>
      <c r="F390" s="77"/>
      <c r="G390" s="106" t="s">
        <v>17420</v>
      </c>
      <c r="H390" s="57" t="s">
        <v>1</v>
      </c>
      <c r="I390" s="58">
        <v>0.9</v>
      </c>
      <c r="J390" s="83" t="s">
        <v>5895</v>
      </c>
      <c r="K390" s="64" t="s">
        <v>1</v>
      </c>
      <c r="L390" s="65">
        <v>1</v>
      </c>
      <c r="M390" s="66"/>
      <c r="N390" s="57"/>
      <c r="O390" s="58"/>
      <c r="P390" s="77"/>
      <c r="Q390" s="66"/>
      <c r="R390" s="57"/>
      <c r="S390" s="58"/>
      <c r="T390" s="77"/>
      <c r="U390" s="120">
        <f>ROUND((ROUND((ROUND((ROUND((_15_同援日増８．０*_15・基礎２),0)*_15・２人),0)*(1+_15・盲ろう)),0)*(1+_15・区４)),0)</f>
        <v>1588</v>
      </c>
      <c r="V390" s="69"/>
    </row>
    <row r="391" spans="1:22" ht="16.5" customHeight="1" x14ac:dyDescent="0.3">
      <c r="A391" s="2">
        <v>15</v>
      </c>
      <c r="B391" s="2" t="s">
        <v>2371</v>
      </c>
      <c r="C391" s="60" t="s">
        <v>12520</v>
      </c>
      <c r="D391" s="233" t="s">
        <v>18171</v>
      </c>
      <c r="E391" s="62"/>
      <c r="F391" s="75"/>
      <c r="G391" s="61"/>
      <c r="H391" s="62"/>
      <c r="I391" s="63"/>
      <c r="J391" s="85"/>
      <c r="K391" s="64"/>
      <c r="L391" s="65"/>
      <c r="M391" s="61"/>
      <c r="N391" s="62"/>
      <c r="O391" s="63"/>
      <c r="P391" s="75"/>
      <c r="Q391" s="61"/>
      <c r="R391" s="62"/>
      <c r="S391" s="63"/>
      <c r="T391" s="75"/>
      <c r="U391" s="120">
        <f>_15_同援日増８．５</f>
        <v>1071</v>
      </c>
      <c r="V391" s="69"/>
    </row>
    <row r="392" spans="1:22" ht="16.5" customHeight="1" x14ac:dyDescent="0.3">
      <c r="A392" s="2">
        <v>15</v>
      </c>
      <c r="B392" s="2" t="s">
        <v>2372</v>
      </c>
      <c r="C392" s="60" t="s">
        <v>12519</v>
      </c>
      <c r="D392" s="1" t="s">
        <v>17943</v>
      </c>
      <c r="E392" s="68"/>
      <c r="F392" s="70"/>
      <c r="G392" s="66"/>
      <c r="H392" s="57"/>
      <c r="I392" s="58"/>
      <c r="J392" s="83" t="s">
        <v>5895</v>
      </c>
      <c r="K392" s="64" t="s">
        <v>1</v>
      </c>
      <c r="L392" s="65">
        <v>1</v>
      </c>
      <c r="M392" s="67"/>
      <c r="N392" s="68"/>
      <c r="O392" s="76"/>
      <c r="P392" s="70"/>
      <c r="Q392" s="67"/>
      <c r="R392" s="68"/>
      <c r="S392" s="76"/>
      <c r="T392" s="70"/>
      <c r="U392" s="120">
        <f>ROUND((_15_同援日増８．５*_15・２人),0)</f>
        <v>1071</v>
      </c>
      <c r="V392" s="69"/>
    </row>
    <row r="393" spans="1:22" ht="16.5" customHeight="1" x14ac:dyDescent="0.3">
      <c r="A393" s="2">
        <v>15</v>
      </c>
      <c r="B393" s="2" t="s">
        <v>2373</v>
      </c>
      <c r="C393" s="60" t="s">
        <v>12518</v>
      </c>
      <c r="D393" s="1" t="s">
        <v>8207</v>
      </c>
      <c r="E393" s="68"/>
      <c r="F393" s="70"/>
      <c r="G393" s="74" t="s">
        <v>17747</v>
      </c>
      <c r="H393" s="62"/>
      <c r="I393" s="63"/>
      <c r="J393" s="85"/>
      <c r="K393" s="64"/>
      <c r="L393" s="65"/>
      <c r="M393" s="67"/>
      <c r="N393" s="68"/>
      <c r="O393" s="76"/>
      <c r="P393" s="70"/>
      <c r="Q393" s="67"/>
      <c r="R393" s="68"/>
      <c r="S393" s="76"/>
      <c r="T393" s="70"/>
      <c r="U393" s="120">
        <f>ROUND((_15_同援日増８．５*_15・基礎２),0)</f>
        <v>964</v>
      </c>
      <c r="V393" s="69"/>
    </row>
    <row r="394" spans="1:22" ht="16.5" customHeight="1" x14ac:dyDescent="0.3">
      <c r="A394" s="2">
        <v>15</v>
      </c>
      <c r="B394" s="2" t="s">
        <v>2374</v>
      </c>
      <c r="C394" s="60" t="s">
        <v>12517</v>
      </c>
      <c r="D394" s="1"/>
      <c r="E394" s="119">
        <v>1071</v>
      </c>
      <c r="F394" s="70" t="s">
        <v>0</v>
      </c>
      <c r="G394" s="106" t="s">
        <v>17420</v>
      </c>
      <c r="H394" s="57" t="s">
        <v>1</v>
      </c>
      <c r="I394" s="58">
        <v>0.9</v>
      </c>
      <c r="J394" s="83" t="s">
        <v>5895</v>
      </c>
      <c r="K394" s="64" t="s">
        <v>1</v>
      </c>
      <c r="L394" s="65">
        <v>1</v>
      </c>
      <c r="M394" s="66"/>
      <c r="N394" s="57"/>
      <c r="O394" s="58"/>
      <c r="P394" s="77"/>
      <c r="Q394" s="67"/>
      <c r="R394" s="68"/>
      <c r="S394" s="76"/>
      <c r="T394" s="70"/>
      <c r="U394" s="120">
        <f>ROUND((ROUND((_15_同援日増８．５*_15・基礎２),0)*_15・２人),0)</f>
        <v>964</v>
      </c>
      <c r="V394" s="69"/>
    </row>
    <row r="395" spans="1:22" ht="16.5" customHeight="1" x14ac:dyDescent="0.3">
      <c r="A395" s="2">
        <v>15</v>
      </c>
      <c r="B395" s="2" t="s">
        <v>2375</v>
      </c>
      <c r="C395" s="60" t="s">
        <v>12516</v>
      </c>
      <c r="D395" s="1"/>
      <c r="E395" s="68"/>
      <c r="F395" s="70"/>
      <c r="G395" s="61"/>
      <c r="H395" s="62"/>
      <c r="I395" s="63"/>
      <c r="J395" s="85"/>
      <c r="K395" s="64"/>
      <c r="L395" s="65"/>
      <c r="M395" s="74" t="s">
        <v>17933</v>
      </c>
      <c r="N395" s="62"/>
      <c r="O395" s="63"/>
      <c r="P395" s="75"/>
      <c r="Q395" s="67"/>
      <c r="R395" s="68"/>
      <c r="S395" s="76"/>
      <c r="T395" s="70"/>
      <c r="U395" s="120">
        <f>ROUND((_15_同援日増８．５*(1+_15・盲ろう)),0)</f>
        <v>1339</v>
      </c>
      <c r="V395" s="69"/>
    </row>
    <row r="396" spans="1:22" ht="16.5" customHeight="1" x14ac:dyDescent="0.3">
      <c r="A396" s="2">
        <v>15</v>
      </c>
      <c r="B396" s="2" t="s">
        <v>2376</v>
      </c>
      <c r="C396" s="60" t="s">
        <v>12515</v>
      </c>
      <c r="D396" s="1"/>
      <c r="E396" s="68"/>
      <c r="F396" s="70"/>
      <c r="G396" s="66"/>
      <c r="H396" s="57"/>
      <c r="I396" s="58"/>
      <c r="J396" s="83" t="s">
        <v>5895</v>
      </c>
      <c r="K396" s="64" t="s">
        <v>1</v>
      </c>
      <c r="L396" s="65">
        <v>1</v>
      </c>
      <c r="M396" s="94" t="s">
        <v>17932</v>
      </c>
      <c r="N396" s="68"/>
      <c r="O396" s="76"/>
      <c r="P396" s="70"/>
      <c r="Q396" s="67"/>
      <c r="R396" s="68"/>
      <c r="S396" s="76"/>
      <c r="T396" s="70"/>
      <c r="U396" s="120">
        <f>ROUND((ROUND((_15_同援日増８．５*_15・２人),0)*(1+_15・盲ろう)),0)</f>
        <v>1339</v>
      </c>
      <c r="V396" s="69"/>
    </row>
    <row r="397" spans="1:22" ht="16.5" customHeight="1" x14ac:dyDescent="0.3">
      <c r="A397" s="2">
        <v>15</v>
      </c>
      <c r="B397" s="2" t="s">
        <v>2377</v>
      </c>
      <c r="C397" s="60" t="s">
        <v>12514</v>
      </c>
      <c r="D397" s="1"/>
      <c r="E397" s="68"/>
      <c r="F397" s="70"/>
      <c r="G397" s="74" t="s">
        <v>17747</v>
      </c>
      <c r="H397" s="62"/>
      <c r="I397" s="63"/>
      <c r="J397" s="85"/>
      <c r="K397" s="64"/>
      <c r="L397" s="65"/>
      <c r="M397" s="67"/>
      <c r="N397" s="68" t="s">
        <v>1</v>
      </c>
      <c r="O397" s="76">
        <v>0.25</v>
      </c>
      <c r="P397" s="70" t="s">
        <v>422</v>
      </c>
      <c r="Q397" s="67"/>
      <c r="R397" s="68"/>
      <c r="S397" s="76"/>
      <c r="T397" s="70"/>
      <c r="U397" s="120">
        <f>ROUND((ROUND((_15_同援日増８．５*_15・基礎２),0)*(1+_15・盲ろう)),0)</f>
        <v>1205</v>
      </c>
      <c r="V397" s="69"/>
    </row>
    <row r="398" spans="1:22" ht="16.5" customHeight="1" x14ac:dyDescent="0.3">
      <c r="A398" s="2">
        <v>15</v>
      </c>
      <c r="B398" s="2" t="s">
        <v>2378</v>
      </c>
      <c r="C398" s="60" t="s">
        <v>12513</v>
      </c>
      <c r="D398" s="1"/>
      <c r="E398" s="68"/>
      <c r="F398" s="70"/>
      <c r="G398" s="106" t="s">
        <v>17420</v>
      </c>
      <c r="H398" s="57" t="s">
        <v>1</v>
      </c>
      <c r="I398" s="58">
        <v>0.9</v>
      </c>
      <c r="J398" s="83" t="s">
        <v>5895</v>
      </c>
      <c r="K398" s="64" t="s">
        <v>1</v>
      </c>
      <c r="L398" s="65">
        <v>1</v>
      </c>
      <c r="M398" s="66"/>
      <c r="N398" s="57"/>
      <c r="O398" s="58"/>
      <c r="P398" s="77"/>
      <c r="Q398" s="66"/>
      <c r="R398" s="57"/>
      <c r="S398" s="58"/>
      <c r="T398" s="77"/>
      <c r="U398" s="120">
        <f>ROUND((ROUND((ROUND((_15_同援日増８．５*_15・基礎２),0)*_15・２人),0)*(1+_15・盲ろう)),0)</f>
        <v>1205</v>
      </c>
      <c r="V398" s="69"/>
    </row>
    <row r="399" spans="1:22" ht="16.5" customHeight="1" x14ac:dyDescent="0.3">
      <c r="A399" s="2">
        <v>15</v>
      </c>
      <c r="B399" s="2" t="s">
        <v>2379</v>
      </c>
      <c r="C399" s="60" t="s">
        <v>12512</v>
      </c>
      <c r="D399" s="1"/>
      <c r="E399" s="68"/>
      <c r="F399" s="70"/>
      <c r="G399" s="61"/>
      <c r="H399" s="62"/>
      <c r="I399" s="63"/>
      <c r="J399" s="85"/>
      <c r="K399" s="64"/>
      <c r="L399" s="65"/>
      <c r="M399" s="61"/>
      <c r="N399" s="62"/>
      <c r="O399" s="63"/>
      <c r="P399" s="75"/>
      <c r="Q399" s="61"/>
      <c r="R399" s="62"/>
      <c r="S399" s="63"/>
      <c r="T399" s="75"/>
      <c r="U399" s="120">
        <f>ROUND((_15_同援日増８．５*(1+_15・区３)),0)</f>
        <v>1285</v>
      </c>
      <c r="V399" s="69"/>
    </row>
    <row r="400" spans="1:22" ht="16.5" customHeight="1" x14ac:dyDescent="0.3">
      <c r="A400" s="2">
        <v>15</v>
      </c>
      <c r="B400" s="2" t="s">
        <v>2380</v>
      </c>
      <c r="C400" s="60" t="s">
        <v>12511</v>
      </c>
      <c r="D400" s="1"/>
      <c r="E400" s="68"/>
      <c r="F400" s="70"/>
      <c r="G400" s="66"/>
      <c r="H400" s="57"/>
      <c r="I400" s="58"/>
      <c r="J400" s="83" t="s">
        <v>5895</v>
      </c>
      <c r="K400" s="64" t="s">
        <v>1</v>
      </c>
      <c r="L400" s="65">
        <v>1</v>
      </c>
      <c r="M400" s="67"/>
      <c r="N400" s="68"/>
      <c r="O400" s="76"/>
      <c r="P400" s="70"/>
      <c r="Q400" s="67"/>
      <c r="R400" s="68"/>
      <c r="S400" s="76"/>
      <c r="T400" s="70"/>
      <c r="U400" s="120">
        <f>ROUND((ROUND((_15_同援日増８．５*_15・２人),0)*(1+_15・区３)),0)</f>
        <v>1285</v>
      </c>
      <c r="V400" s="69"/>
    </row>
    <row r="401" spans="1:22" ht="16.5" customHeight="1" x14ac:dyDescent="0.3">
      <c r="A401" s="2">
        <v>15</v>
      </c>
      <c r="B401" s="2" t="s">
        <v>2381</v>
      </c>
      <c r="C401" s="60" t="s">
        <v>12510</v>
      </c>
      <c r="D401" s="1"/>
      <c r="E401" s="68"/>
      <c r="F401" s="70"/>
      <c r="G401" s="74" t="s">
        <v>17747</v>
      </c>
      <c r="H401" s="62"/>
      <c r="I401" s="63"/>
      <c r="J401" s="85"/>
      <c r="K401" s="64"/>
      <c r="L401" s="65"/>
      <c r="M401" s="67"/>
      <c r="N401" s="68"/>
      <c r="O401" s="76"/>
      <c r="P401" s="70"/>
      <c r="Q401" s="1" t="s">
        <v>17936</v>
      </c>
      <c r="R401" s="68"/>
      <c r="S401" s="76"/>
      <c r="T401" s="70"/>
      <c r="U401" s="120">
        <f>ROUND((ROUND((_15_同援日増８．５*_15・基礎２),0)*(1+_15・区３)),0)</f>
        <v>1157</v>
      </c>
      <c r="V401" s="69"/>
    </row>
    <row r="402" spans="1:22" ht="16.5" customHeight="1" x14ac:dyDescent="0.3">
      <c r="A402" s="2">
        <v>15</v>
      </c>
      <c r="B402" s="2" t="s">
        <v>2382</v>
      </c>
      <c r="C402" s="60" t="s">
        <v>12509</v>
      </c>
      <c r="D402" s="1"/>
      <c r="E402" s="68"/>
      <c r="F402" s="70"/>
      <c r="G402" s="106" t="s">
        <v>17420</v>
      </c>
      <c r="H402" s="57" t="s">
        <v>1</v>
      </c>
      <c r="I402" s="58">
        <v>0.9</v>
      </c>
      <c r="J402" s="83" t="s">
        <v>5895</v>
      </c>
      <c r="K402" s="64" t="s">
        <v>1</v>
      </c>
      <c r="L402" s="65">
        <v>1</v>
      </c>
      <c r="M402" s="66"/>
      <c r="N402" s="57"/>
      <c r="O402" s="58"/>
      <c r="P402" s="77"/>
      <c r="Q402" s="1" t="s">
        <v>17934</v>
      </c>
      <c r="R402" s="68"/>
      <c r="S402" s="76"/>
      <c r="T402" s="70"/>
      <c r="U402" s="120">
        <f>ROUND((ROUND((ROUND((_15_同援日増８．５*_15・基礎２),0)*_15・２人),0)*(1+_15・区３)),0)</f>
        <v>1157</v>
      </c>
      <c r="V402" s="69"/>
    </row>
    <row r="403" spans="1:22" ht="16.5" customHeight="1" x14ac:dyDescent="0.3">
      <c r="A403" s="2">
        <v>15</v>
      </c>
      <c r="B403" s="2" t="s">
        <v>2383</v>
      </c>
      <c r="C403" s="60" t="s">
        <v>12508</v>
      </c>
      <c r="D403" s="1"/>
      <c r="E403" s="68"/>
      <c r="F403" s="70"/>
      <c r="G403" s="61"/>
      <c r="H403" s="62"/>
      <c r="I403" s="63"/>
      <c r="J403" s="85"/>
      <c r="K403" s="64"/>
      <c r="L403" s="65"/>
      <c r="M403" s="74" t="s">
        <v>17933</v>
      </c>
      <c r="N403" s="62"/>
      <c r="O403" s="63"/>
      <c r="P403" s="75"/>
      <c r="Q403" s="67"/>
      <c r="R403" s="68" t="s">
        <v>1</v>
      </c>
      <c r="S403" s="76">
        <v>0.2</v>
      </c>
      <c r="T403" s="70" t="s">
        <v>422</v>
      </c>
      <c r="U403" s="120">
        <f>ROUND((ROUND((_15_同援日増８．５*(1+_15・盲ろう)),0)*(1+_15・区３)),0)</f>
        <v>1607</v>
      </c>
      <c r="V403" s="69"/>
    </row>
    <row r="404" spans="1:22" ht="16.5" customHeight="1" x14ac:dyDescent="0.3">
      <c r="A404" s="2">
        <v>15</v>
      </c>
      <c r="B404" s="2" t="s">
        <v>2384</v>
      </c>
      <c r="C404" s="60" t="s">
        <v>12507</v>
      </c>
      <c r="D404" s="1"/>
      <c r="E404" s="68"/>
      <c r="F404" s="70"/>
      <c r="G404" s="66"/>
      <c r="H404" s="57"/>
      <c r="I404" s="58"/>
      <c r="J404" s="83" t="s">
        <v>5895</v>
      </c>
      <c r="K404" s="64" t="s">
        <v>1</v>
      </c>
      <c r="L404" s="65">
        <v>1</v>
      </c>
      <c r="M404" s="94" t="s">
        <v>17932</v>
      </c>
      <c r="N404" s="68"/>
      <c r="O404" s="76"/>
      <c r="P404" s="70"/>
      <c r="Q404" s="67"/>
      <c r="R404" s="68"/>
      <c r="S404" s="76"/>
      <c r="T404" s="70"/>
      <c r="U404" s="120">
        <f>ROUND((ROUND((ROUND((_15_同援日増８．５*_15・２人),0)*(1+_15・盲ろう)),0)*(1+_15・区３)),0)</f>
        <v>1607</v>
      </c>
      <c r="V404" s="69"/>
    </row>
    <row r="405" spans="1:22" ht="16.5" customHeight="1" x14ac:dyDescent="0.3">
      <c r="A405" s="2">
        <v>15</v>
      </c>
      <c r="B405" s="2" t="s">
        <v>2385</v>
      </c>
      <c r="C405" s="60" t="s">
        <v>12506</v>
      </c>
      <c r="D405" s="1"/>
      <c r="E405" s="68"/>
      <c r="F405" s="70"/>
      <c r="G405" s="74" t="s">
        <v>5898</v>
      </c>
      <c r="H405" s="62"/>
      <c r="I405" s="63"/>
      <c r="J405" s="85"/>
      <c r="K405" s="64"/>
      <c r="L405" s="65"/>
      <c r="M405" s="67"/>
      <c r="N405" s="68" t="s">
        <v>1</v>
      </c>
      <c r="O405" s="76">
        <v>0.25</v>
      </c>
      <c r="P405" s="70" t="s">
        <v>422</v>
      </c>
      <c r="Q405" s="67"/>
      <c r="R405" s="68"/>
      <c r="S405" s="76"/>
      <c r="T405" s="70"/>
      <c r="U405" s="120">
        <f>ROUND((ROUND((ROUND((_15_同援日増８．５*_15・基礎２),0)*(1+_15・盲ろう)),0)*(1+_15・区３)),0)</f>
        <v>1446</v>
      </c>
      <c r="V405" s="69"/>
    </row>
    <row r="406" spans="1:22" ht="16.5" customHeight="1" x14ac:dyDescent="0.3">
      <c r="A406" s="2">
        <v>15</v>
      </c>
      <c r="B406" s="2" t="s">
        <v>2386</v>
      </c>
      <c r="C406" s="60" t="s">
        <v>12505</v>
      </c>
      <c r="D406" s="1"/>
      <c r="E406" s="68"/>
      <c r="F406" s="70"/>
      <c r="G406" s="106" t="s">
        <v>17420</v>
      </c>
      <c r="H406" s="57" t="s">
        <v>1</v>
      </c>
      <c r="I406" s="58">
        <v>0.9</v>
      </c>
      <c r="J406" s="83" t="s">
        <v>5895</v>
      </c>
      <c r="K406" s="64" t="s">
        <v>1</v>
      </c>
      <c r="L406" s="65">
        <v>1</v>
      </c>
      <c r="M406" s="66"/>
      <c r="N406" s="57"/>
      <c r="O406" s="58"/>
      <c r="P406" s="77"/>
      <c r="Q406" s="66"/>
      <c r="R406" s="57"/>
      <c r="S406" s="58"/>
      <c r="T406" s="77"/>
      <c r="U406" s="120">
        <f>ROUND((ROUND((ROUND((ROUND((_15_同援日増８．５*_15・基礎２),0)*_15・２人),0)*(1+_15・盲ろう)),0)*(1+_15・区３)),0)</f>
        <v>1446</v>
      </c>
      <c r="V406" s="69"/>
    </row>
    <row r="407" spans="1:22" ht="16.5" customHeight="1" x14ac:dyDescent="0.3">
      <c r="A407" s="2">
        <v>15</v>
      </c>
      <c r="B407" s="2" t="s">
        <v>2387</v>
      </c>
      <c r="C407" s="60" t="s">
        <v>12504</v>
      </c>
      <c r="D407" s="1"/>
      <c r="E407" s="68"/>
      <c r="F407" s="70"/>
      <c r="G407" s="61"/>
      <c r="H407" s="62"/>
      <c r="I407" s="63"/>
      <c r="J407" s="85"/>
      <c r="K407" s="64"/>
      <c r="L407" s="65"/>
      <c r="M407" s="61"/>
      <c r="N407" s="62"/>
      <c r="O407" s="63"/>
      <c r="P407" s="75"/>
      <c r="Q407" s="61"/>
      <c r="R407" s="62"/>
      <c r="S407" s="63"/>
      <c r="T407" s="75"/>
      <c r="U407" s="120">
        <f>ROUND((_15_同援日増８．５*(1+_15・区４)),0)</f>
        <v>1499</v>
      </c>
      <c r="V407" s="69"/>
    </row>
    <row r="408" spans="1:22" ht="16.5" customHeight="1" x14ac:dyDescent="0.3">
      <c r="A408" s="2">
        <v>15</v>
      </c>
      <c r="B408" s="2" t="s">
        <v>2388</v>
      </c>
      <c r="C408" s="60" t="s">
        <v>12503</v>
      </c>
      <c r="D408" s="1"/>
      <c r="E408" s="68"/>
      <c r="F408" s="70"/>
      <c r="G408" s="66"/>
      <c r="H408" s="57"/>
      <c r="I408" s="58"/>
      <c r="J408" s="83" t="s">
        <v>5895</v>
      </c>
      <c r="K408" s="64" t="s">
        <v>1</v>
      </c>
      <c r="L408" s="65">
        <v>1</v>
      </c>
      <c r="M408" s="67"/>
      <c r="N408" s="68"/>
      <c r="O408" s="76"/>
      <c r="P408" s="70"/>
      <c r="Q408" s="67"/>
      <c r="R408" s="68"/>
      <c r="S408" s="76"/>
      <c r="T408" s="70"/>
      <c r="U408" s="120">
        <f>ROUND((ROUND((_15_同援日増８．５*_15・２人),0)*(1+_15・区４)),0)</f>
        <v>1499</v>
      </c>
      <c r="V408" s="69"/>
    </row>
    <row r="409" spans="1:22" ht="16.5" customHeight="1" x14ac:dyDescent="0.3">
      <c r="A409" s="2">
        <v>15</v>
      </c>
      <c r="B409" s="2" t="s">
        <v>2389</v>
      </c>
      <c r="C409" s="60" t="s">
        <v>12502</v>
      </c>
      <c r="D409" s="1"/>
      <c r="E409" s="68"/>
      <c r="F409" s="70"/>
      <c r="G409" s="74" t="s">
        <v>17747</v>
      </c>
      <c r="H409" s="62"/>
      <c r="I409" s="63"/>
      <c r="J409" s="85"/>
      <c r="K409" s="64"/>
      <c r="L409" s="65"/>
      <c r="M409" s="67"/>
      <c r="N409" s="68"/>
      <c r="O409" s="76"/>
      <c r="P409" s="70"/>
      <c r="Q409" s="1" t="s">
        <v>17935</v>
      </c>
      <c r="R409" s="68"/>
      <c r="S409" s="76"/>
      <c r="T409" s="70"/>
      <c r="U409" s="120">
        <f>ROUND((ROUND((_15_同援日増８．５*_15・基礎２),0)*(1+_15・区４)),0)</f>
        <v>1350</v>
      </c>
      <c r="V409" s="69"/>
    </row>
    <row r="410" spans="1:22" ht="16.5" customHeight="1" x14ac:dyDescent="0.3">
      <c r="A410" s="2">
        <v>15</v>
      </c>
      <c r="B410" s="2" t="s">
        <v>2390</v>
      </c>
      <c r="C410" s="60" t="s">
        <v>12501</v>
      </c>
      <c r="D410" s="1"/>
      <c r="E410" s="68"/>
      <c r="F410" s="70"/>
      <c r="G410" s="106" t="s">
        <v>17420</v>
      </c>
      <c r="H410" s="57" t="s">
        <v>1</v>
      </c>
      <c r="I410" s="58">
        <v>0.9</v>
      </c>
      <c r="J410" s="83" t="s">
        <v>5895</v>
      </c>
      <c r="K410" s="64" t="s">
        <v>1</v>
      </c>
      <c r="L410" s="65">
        <v>1</v>
      </c>
      <c r="M410" s="66"/>
      <c r="N410" s="57"/>
      <c r="O410" s="58"/>
      <c r="P410" s="77"/>
      <c r="Q410" s="1" t="s">
        <v>17934</v>
      </c>
      <c r="R410" s="68"/>
      <c r="S410" s="76"/>
      <c r="T410" s="70"/>
      <c r="U410" s="120">
        <f>ROUND((ROUND((ROUND((_15_同援日増８．５*_15・基礎２),0)*_15・２人),0)*(1+_15・区４)),0)</f>
        <v>1350</v>
      </c>
      <c r="V410" s="69"/>
    </row>
    <row r="411" spans="1:22" ht="16.5" customHeight="1" x14ac:dyDescent="0.3">
      <c r="A411" s="2">
        <v>15</v>
      </c>
      <c r="B411" s="2" t="s">
        <v>2391</v>
      </c>
      <c r="C411" s="60" t="s">
        <v>12500</v>
      </c>
      <c r="D411" s="1"/>
      <c r="E411" s="68"/>
      <c r="F411" s="70"/>
      <c r="G411" s="61"/>
      <c r="H411" s="62"/>
      <c r="I411" s="63"/>
      <c r="J411" s="85"/>
      <c r="K411" s="64"/>
      <c r="L411" s="65"/>
      <c r="M411" s="74" t="s">
        <v>17933</v>
      </c>
      <c r="N411" s="62"/>
      <c r="O411" s="63"/>
      <c r="P411" s="75"/>
      <c r="Q411" s="67"/>
      <c r="R411" s="68" t="s">
        <v>1</v>
      </c>
      <c r="S411" s="76">
        <v>0.4</v>
      </c>
      <c r="T411" s="70" t="s">
        <v>422</v>
      </c>
      <c r="U411" s="120">
        <f>ROUND((ROUND((_15_同援日増８．５*(1+_15・盲ろう)),0)*(1+_15・区４)),0)</f>
        <v>1875</v>
      </c>
      <c r="V411" s="69"/>
    </row>
    <row r="412" spans="1:22" ht="16.5" customHeight="1" x14ac:dyDescent="0.3">
      <c r="A412" s="2">
        <v>15</v>
      </c>
      <c r="B412" s="2" t="s">
        <v>2392</v>
      </c>
      <c r="C412" s="60" t="s">
        <v>12499</v>
      </c>
      <c r="D412" s="1"/>
      <c r="E412" s="68"/>
      <c r="F412" s="70"/>
      <c r="G412" s="66"/>
      <c r="H412" s="57"/>
      <c r="I412" s="58"/>
      <c r="J412" s="83" t="s">
        <v>5895</v>
      </c>
      <c r="K412" s="64" t="s">
        <v>1</v>
      </c>
      <c r="L412" s="65">
        <v>1</v>
      </c>
      <c r="M412" s="94" t="s">
        <v>17932</v>
      </c>
      <c r="N412" s="68"/>
      <c r="O412" s="76"/>
      <c r="P412" s="70"/>
      <c r="Q412" s="67"/>
      <c r="R412" s="68"/>
      <c r="S412" s="76"/>
      <c r="T412" s="70"/>
      <c r="U412" s="120">
        <f>ROUND((ROUND((ROUND((_15_同援日増８．５*_15・２人),0)*(1+_15・盲ろう)),0)*(1+_15・区４)),0)</f>
        <v>1875</v>
      </c>
      <c r="V412" s="69"/>
    </row>
    <row r="413" spans="1:22" ht="16.5" customHeight="1" x14ac:dyDescent="0.3">
      <c r="A413" s="2">
        <v>15</v>
      </c>
      <c r="B413" s="2" t="s">
        <v>2393</v>
      </c>
      <c r="C413" s="60" t="s">
        <v>12498</v>
      </c>
      <c r="D413" s="1"/>
      <c r="E413" s="68"/>
      <c r="F413" s="70"/>
      <c r="G413" s="74" t="s">
        <v>17747</v>
      </c>
      <c r="H413" s="62"/>
      <c r="I413" s="63"/>
      <c r="J413" s="85"/>
      <c r="K413" s="64"/>
      <c r="L413" s="65"/>
      <c r="M413" s="67"/>
      <c r="N413" s="68" t="s">
        <v>1</v>
      </c>
      <c r="O413" s="76">
        <v>0.25</v>
      </c>
      <c r="P413" s="70" t="s">
        <v>422</v>
      </c>
      <c r="Q413" s="67"/>
      <c r="R413" s="68"/>
      <c r="S413" s="76"/>
      <c r="T413" s="70"/>
      <c r="U413" s="120">
        <f>ROUND((ROUND((ROUND((_15_同援日増８．５*_15・基礎２),0)*(1+_15・盲ろう)),0)*(1+_15・区４)),0)</f>
        <v>1687</v>
      </c>
      <c r="V413" s="69"/>
    </row>
    <row r="414" spans="1:22" ht="16.5" customHeight="1" x14ac:dyDescent="0.3">
      <c r="A414" s="2">
        <v>15</v>
      </c>
      <c r="B414" s="2" t="s">
        <v>2394</v>
      </c>
      <c r="C414" s="60" t="s">
        <v>12497</v>
      </c>
      <c r="D414" s="81"/>
      <c r="E414" s="57"/>
      <c r="F414" s="77"/>
      <c r="G414" s="106" t="s">
        <v>5896</v>
      </c>
      <c r="H414" s="57" t="s">
        <v>1</v>
      </c>
      <c r="I414" s="58">
        <v>0.9</v>
      </c>
      <c r="J414" s="83" t="s">
        <v>5895</v>
      </c>
      <c r="K414" s="64" t="s">
        <v>1</v>
      </c>
      <c r="L414" s="65">
        <v>1</v>
      </c>
      <c r="M414" s="66"/>
      <c r="N414" s="57"/>
      <c r="O414" s="58"/>
      <c r="P414" s="77"/>
      <c r="Q414" s="66"/>
      <c r="R414" s="57"/>
      <c r="S414" s="58"/>
      <c r="T414" s="77"/>
      <c r="U414" s="120">
        <f>ROUND((ROUND((ROUND((ROUND((_15_同援日増８．５*_15・基礎２),0)*_15・２人),0)*(1+_15・盲ろう)),0)*(1+_15・区４)),0)</f>
        <v>1687</v>
      </c>
      <c r="V414" s="69"/>
    </row>
    <row r="415" spans="1:22" ht="16.5" customHeight="1" x14ac:dyDescent="0.3">
      <c r="A415" s="2">
        <v>15</v>
      </c>
      <c r="B415" s="2" t="s">
        <v>2395</v>
      </c>
      <c r="C415" s="60" t="s">
        <v>12496</v>
      </c>
      <c r="D415" s="233" t="s">
        <v>18170</v>
      </c>
      <c r="E415" s="62"/>
      <c r="F415" s="75"/>
      <c r="G415" s="61"/>
      <c r="H415" s="62"/>
      <c r="I415" s="63"/>
      <c r="J415" s="85"/>
      <c r="K415" s="64"/>
      <c r="L415" s="65"/>
      <c r="M415" s="61"/>
      <c r="N415" s="62"/>
      <c r="O415" s="63"/>
      <c r="P415" s="75"/>
      <c r="Q415" s="61"/>
      <c r="R415" s="62"/>
      <c r="S415" s="63"/>
      <c r="T415" s="75"/>
      <c r="U415" s="120">
        <f>_15_同援日増９．０</f>
        <v>1134</v>
      </c>
      <c r="V415" s="69"/>
    </row>
    <row r="416" spans="1:22" ht="16.5" customHeight="1" x14ac:dyDescent="0.3">
      <c r="A416" s="2">
        <v>15</v>
      </c>
      <c r="B416" s="2" t="s">
        <v>2396</v>
      </c>
      <c r="C416" s="60" t="s">
        <v>12495</v>
      </c>
      <c r="D416" s="1" t="s">
        <v>5914</v>
      </c>
      <c r="E416" s="68"/>
      <c r="F416" s="70"/>
      <c r="G416" s="66"/>
      <c r="H416" s="57"/>
      <c r="I416" s="58"/>
      <c r="J416" s="83" t="s">
        <v>5895</v>
      </c>
      <c r="K416" s="64" t="s">
        <v>1</v>
      </c>
      <c r="L416" s="65">
        <v>1</v>
      </c>
      <c r="M416" s="67"/>
      <c r="N416" s="68"/>
      <c r="O416" s="76"/>
      <c r="P416" s="70"/>
      <c r="Q416" s="67"/>
      <c r="R416" s="68"/>
      <c r="S416" s="76"/>
      <c r="T416" s="70"/>
      <c r="U416" s="120">
        <f>ROUND((_15_同援日増９．０*_15・２人),0)</f>
        <v>1134</v>
      </c>
      <c r="V416" s="69"/>
    </row>
    <row r="417" spans="1:22" ht="16.5" customHeight="1" x14ac:dyDescent="0.3">
      <c r="A417" s="2">
        <v>15</v>
      </c>
      <c r="B417" s="2" t="s">
        <v>2397</v>
      </c>
      <c r="C417" s="60" t="s">
        <v>12494</v>
      </c>
      <c r="D417" s="1" t="s">
        <v>8182</v>
      </c>
      <c r="E417" s="68"/>
      <c r="F417" s="70"/>
      <c r="G417" s="74" t="s">
        <v>17747</v>
      </c>
      <c r="H417" s="62"/>
      <c r="I417" s="63"/>
      <c r="J417" s="85"/>
      <c r="K417" s="64"/>
      <c r="L417" s="65"/>
      <c r="M417" s="67"/>
      <c r="N417" s="68"/>
      <c r="O417" s="76"/>
      <c r="P417" s="70"/>
      <c r="Q417" s="67"/>
      <c r="R417" s="68"/>
      <c r="S417" s="76"/>
      <c r="T417" s="70"/>
      <c r="U417" s="120">
        <f>ROUND((_15_同援日増９．０*_15・基礎２),0)</f>
        <v>1021</v>
      </c>
      <c r="V417" s="69"/>
    </row>
    <row r="418" spans="1:22" ht="16.5" customHeight="1" x14ac:dyDescent="0.3">
      <c r="A418" s="2">
        <v>15</v>
      </c>
      <c r="B418" s="2" t="s">
        <v>2398</v>
      </c>
      <c r="C418" s="60" t="s">
        <v>12493</v>
      </c>
      <c r="D418" s="1"/>
      <c r="E418" s="119">
        <v>1134</v>
      </c>
      <c r="F418" s="70" t="s">
        <v>0</v>
      </c>
      <c r="G418" s="106" t="s">
        <v>17420</v>
      </c>
      <c r="H418" s="57" t="s">
        <v>1</v>
      </c>
      <c r="I418" s="58">
        <v>0.9</v>
      </c>
      <c r="J418" s="83" t="s">
        <v>5895</v>
      </c>
      <c r="K418" s="64" t="s">
        <v>1</v>
      </c>
      <c r="L418" s="65">
        <v>1</v>
      </c>
      <c r="M418" s="66"/>
      <c r="N418" s="57"/>
      <c r="O418" s="58"/>
      <c r="P418" s="77"/>
      <c r="Q418" s="67"/>
      <c r="R418" s="68"/>
      <c r="S418" s="76"/>
      <c r="T418" s="70"/>
      <c r="U418" s="120">
        <f>ROUND((ROUND((_15_同援日増９．０*_15・基礎２),0)*_15・２人),0)</f>
        <v>1021</v>
      </c>
      <c r="V418" s="69"/>
    </row>
    <row r="419" spans="1:22" ht="16.5" customHeight="1" x14ac:dyDescent="0.3">
      <c r="A419" s="2">
        <v>15</v>
      </c>
      <c r="B419" s="2" t="s">
        <v>2399</v>
      </c>
      <c r="C419" s="60" t="s">
        <v>12492</v>
      </c>
      <c r="D419" s="1"/>
      <c r="E419" s="68"/>
      <c r="F419" s="70"/>
      <c r="G419" s="61"/>
      <c r="H419" s="62"/>
      <c r="I419" s="63"/>
      <c r="J419" s="85"/>
      <c r="K419" s="64"/>
      <c r="L419" s="65"/>
      <c r="M419" s="74" t="s">
        <v>17933</v>
      </c>
      <c r="N419" s="62"/>
      <c r="O419" s="63"/>
      <c r="P419" s="75"/>
      <c r="Q419" s="67"/>
      <c r="R419" s="68"/>
      <c r="S419" s="76"/>
      <c r="T419" s="70"/>
      <c r="U419" s="120">
        <f>ROUND((_15_同援日増９．０*(1+_15・盲ろう)),0)</f>
        <v>1418</v>
      </c>
      <c r="V419" s="69"/>
    </row>
    <row r="420" spans="1:22" ht="16.5" customHeight="1" x14ac:dyDescent="0.3">
      <c r="A420" s="2">
        <v>15</v>
      </c>
      <c r="B420" s="2" t="s">
        <v>2400</v>
      </c>
      <c r="C420" s="60" t="s">
        <v>12491</v>
      </c>
      <c r="D420" s="1"/>
      <c r="E420" s="68"/>
      <c r="F420" s="70"/>
      <c r="G420" s="66"/>
      <c r="H420" s="57"/>
      <c r="I420" s="58"/>
      <c r="J420" s="83" t="s">
        <v>5895</v>
      </c>
      <c r="K420" s="64" t="s">
        <v>1</v>
      </c>
      <c r="L420" s="65">
        <v>1</v>
      </c>
      <c r="M420" s="94" t="s">
        <v>17932</v>
      </c>
      <c r="N420" s="68"/>
      <c r="O420" s="76"/>
      <c r="P420" s="70"/>
      <c r="Q420" s="67"/>
      <c r="R420" s="68"/>
      <c r="S420" s="76"/>
      <c r="T420" s="70"/>
      <c r="U420" s="120">
        <f>ROUND((ROUND((_15_同援日増９．０*_15・２人),0)*(1+_15・盲ろう)),0)</f>
        <v>1418</v>
      </c>
      <c r="V420" s="69"/>
    </row>
    <row r="421" spans="1:22" ht="16.5" customHeight="1" x14ac:dyDescent="0.3">
      <c r="A421" s="2">
        <v>15</v>
      </c>
      <c r="B421" s="2" t="s">
        <v>2401</v>
      </c>
      <c r="C421" s="60" t="s">
        <v>12490</v>
      </c>
      <c r="D421" s="1"/>
      <c r="E421" s="68"/>
      <c r="F421" s="70"/>
      <c r="G421" s="74" t="s">
        <v>17747</v>
      </c>
      <c r="H421" s="62"/>
      <c r="I421" s="63"/>
      <c r="J421" s="85"/>
      <c r="K421" s="64"/>
      <c r="L421" s="65"/>
      <c r="M421" s="67"/>
      <c r="N421" s="68" t="s">
        <v>1</v>
      </c>
      <c r="O421" s="76">
        <v>0.25</v>
      </c>
      <c r="P421" s="70" t="s">
        <v>422</v>
      </c>
      <c r="Q421" s="67"/>
      <c r="R421" s="68"/>
      <c r="S421" s="76"/>
      <c r="T421" s="70"/>
      <c r="U421" s="120">
        <f>ROUND((ROUND((_15_同援日増９．０*_15・基礎２),0)*(1+_15・盲ろう)),0)</f>
        <v>1276</v>
      </c>
      <c r="V421" s="69"/>
    </row>
    <row r="422" spans="1:22" ht="16.5" customHeight="1" x14ac:dyDescent="0.3">
      <c r="A422" s="2">
        <v>15</v>
      </c>
      <c r="B422" s="2" t="s">
        <v>2402</v>
      </c>
      <c r="C422" s="60" t="s">
        <v>12489</v>
      </c>
      <c r="D422" s="1"/>
      <c r="E422" s="68"/>
      <c r="F422" s="70"/>
      <c r="G422" s="106" t="s">
        <v>17420</v>
      </c>
      <c r="H422" s="57" t="s">
        <v>1</v>
      </c>
      <c r="I422" s="58">
        <v>0.9</v>
      </c>
      <c r="J422" s="83" t="s">
        <v>5895</v>
      </c>
      <c r="K422" s="64" t="s">
        <v>1</v>
      </c>
      <c r="L422" s="65">
        <v>1</v>
      </c>
      <c r="M422" s="66"/>
      <c r="N422" s="57"/>
      <c r="O422" s="58"/>
      <c r="P422" s="77"/>
      <c r="Q422" s="66"/>
      <c r="R422" s="57"/>
      <c r="S422" s="58"/>
      <c r="T422" s="77"/>
      <c r="U422" s="120">
        <f>ROUND((ROUND((ROUND((_15_同援日増９．０*_15・基礎２),0)*_15・２人),0)*(1+_15・盲ろう)),0)</f>
        <v>1276</v>
      </c>
      <c r="V422" s="69"/>
    </row>
    <row r="423" spans="1:22" ht="16.5" customHeight="1" x14ac:dyDescent="0.3">
      <c r="A423" s="2">
        <v>15</v>
      </c>
      <c r="B423" s="2" t="s">
        <v>2403</v>
      </c>
      <c r="C423" s="60" t="s">
        <v>12488</v>
      </c>
      <c r="D423" s="1"/>
      <c r="E423" s="68"/>
      <c r="F423" s="70"/>
      <c r="G423" s="61"/>
      <c r="H423" s="62"/>
      <c r="I423" s="63"/>
      <c r="J423" s="85"/>
      <c r="K423" s="64"/>
      <c r="L423" s="65"/>
      <c r="M423" s="61"/>
      <c r="N423" s="62"/>
      <c r="O423" s="63"/>
      <c r="P423" s="75"/>
      <c r="Q423" s="61"/>
      <c r="R423" s="62"/>
      <c r="S423" s="63"/>
      <c r="T423" s="75"/>
      <c r="U423" s="120">
        <f>ROUND((_15_同援日増９．０*(1+_15・区３)),0)</f>
        <v>1361</v>
      </c>
      <c r="V423" s="69"/>
    </row>
    <row r="424" spans="1:22" ht="16.5" customHeight="1" x14ac:dyDescent="0.3">
      <c r="A424" s="2">
        <v>15</v>
      </c>
      <c r="B424" s="2" t="s">
        <v>2404</v>
      </c>
      <c r="C424" s="60" t="s">
        <v>12487</v>
      </c>
      <c r="D424" s="1"/>
      <c r="E424" s="68"/>
      <c r="F424" s="70"/>
      <c r="G424" s="66"/>
      <c r="H424" s="57"/>
      <c r="I424" s="58"/>
      <c r="J424" s="83" t="s">
        <v>5895</v>
      </c>
      <c r="K424" s="64" t="s">
        <v>1</v>
      </c>
      <c r="L424" s="65">
        <v>1</v>
      </c>
      <c r="M424" s="67"/>
      <c r="N424" s="68"/>
      <c r="O424" s="76"/>
      <c r="P424" s="70"/>
      <c r="Q424" s="67"/>
      <c r="R424" s="68"/>
      <c r="S424" s="76"/>
      <c r="T424" s="70"/>
      <c r="U424" s="120">
        <f>ROUND((ROUND((_15_同援日増９．０*_15・２人),0)*(1+_15・区３)),0)</f>
        <v>1361</v>
      </c>
      <c r="V424" s="69"/>
    </row>
    <row r="425" spans="1:22" ht="16.5" customHeight="1" x14ac:dyDescent="0.3">
      <c r="A425" s="2">
        <v>15</v>
      </c>
      <c r="B425" s="2" t="s">
        <v>2405</v>
      </c>
      <c r="C425" s="60" t="s">
        <v>12486</v>
      </c>
      <c r="D425" s="1"/>
      <c r="E425" s="68"/>
      <c r="F425" s="70"/>
      <c r="G425" s="74" t="s">
        <v>17747</v>
      </c>
      <c r="H425" s="62"/>
      <c r="I425" s="63"/>
      <c r="J425" s="85"/>
      <c r="K425" s="64"/>
      <c r="L425" s="65"/>
      <c r="M425" s="67"/>
      <c r="N425" s="68"/>
      <c r="O425" s="76"/>
      <c r="P425" s="70"/>
      <c r="Q425" s="1" t="s">
        <v>17936</v>
      </c>
      <c r="R425" s="68"/>
      <c r="S425" s="76"/>
      <c r="T425" s="70"/>
      <c r="U425" s="120">
        <f>ROUND((ROUND((_15_同援日増９．０*_15・基礎２),0)*(1+_15・区３)),0)</f>
        <v>1225</v>
      </c>
      <c r="V425" s="69"/>
    </row>
    <row r="426" spans="1:22" ht="16.5" customHeight="1" x14ac:dyDescent="0.3">
      <c r="A426" s="2">
        <v>15</v>
      </c>
      <c r="B426" s="2" t="s">
        <v>2406</v>
      </c>
      <c r="C426" s="60" t="s">
        <v>12485</v>
      </c>
      <c r="D426" s="1"/>
      <c r="E426" s="68"/>
      <c r="F426" s="70"/>
      <c r="G426" s="106" t="s">
        <v>17420</v>
      </c>
      <c r="H426" s="57" t="s">
        <v>1</v>
      </c>
      <c r="I426" s="58">
        <v>0.9</v>
      </c>
      <c r="J426" s="83" t="s">
        <v>5895</v>
      </c>
      <c r="K426" s="64" t="s">
        <v>1</v>
      </c>
      <c r="L426" s="65">
        <v>1</v>
      </c>
      <c r="M426" s="66"/>
      <c r="N426" s="57"/>
      <c r="O426" s="58"/>
      <c r="P426" s="77"/>
      <c r="Q426" s="1" t="s">
        <v>17934</v>
      </c>
      <c r="R426" s="68"/>
      <c r="S426" s="76"/>
      <c r="T426" s="70"/>
      <c r="U426" s="120">
        <f>ROUND((ROUND((ROUND((_15_同援日増９．０*_15・基礎２),0)*_15・２人),0)*(1+_15・区３)),0)</f>
        <v>1225</v>
      </c>
      <c r="V426" s="69"/>
    </row>
    <row r="427" spans="1:22" ht="16.5" customHeight="1" x14ac:dyDescent="0.3">
      <c r="A427" s="2">
        <v>15</v>
      </c>
      <c r="B427" s="2" t="s">
        <v>2407</v>
      </c>
      <c r="C427" s="60" t="s">
        <v>12484</v>
      </c>
      <c r="D427" s="1"/>
      <c r="E427" s="68"/>
      <c r="F427" s="70"/>
      <c r="G427" s="61"/>
      <c r="H427" s="62"/>
      <c r="I427" s="63"/>
      <c r="J427" s="85"/>
      <c r="K427" s="64"/>
      <c r="L427" s="65"/>
      <c r="M427" s="74" t="s">
        <v>17933</v>
      </c>
      <c r="N427" s="62"/>
      <c r="O427" s="63"/>
      <c r="P427" s="75"/>
      <c r="Q427" s="67"/>
      <c r="R427" s="68" t="s">
        <v>1</v>
      </c>
      <c r="S427" s="76">
        <v>0.2</v>
      </c>
      <c r="T427" s="70" t="s">
        <v>422</v>
      </c>
      <c r="U427" s="120">
        <f>ROUND((ROUND((_15_同援日増９．０*(1+_15・盲ろう)),0)*(1+_15・区３)),0)</f>
        <v>1702</v>
      </c>
      <c r="V427" s="69"/>
    </row>
    <row r="428" spans="1:22" ht="16.5" customHeight="1" x14ac:dyDescent="0.3">
      <c r="A428" s="2">
        <v>15</v>
      </c>
      <c r="B428" s="2" t="s">
        <v>2408</v>
      </c>
      <c r="C428" s="60" t="s">
        <v>12483</v>
      </c>
      <c r="D428" s="1"/>
      <c r="E428" s="68"/>
      <c r="F428" s="70"/>
      <c r="G428" s="66"/>
      <c r="H428" s="57"/>
      <c r="I428" s="58"/>
      <c r="J428" s="83" t="s">
        <v>5895</v>
      </c>
      <c r="K428" s="64" t="s">
        <v>1</v>
      </c>
      <c r="L428" s="65">
        <v>1</v>
      </c>
      <c r="M428" s="94" t="s">
        <v>17932</v>
      </c>
      <c r="N428" s="68"/>
      <c r="O428" s="76"/>
      <c r="P428" s="70"/>
      <c r="Q428" s="67"/>
      <c r="R428" s="68"/>
      <c r="S428" s="76"/>
      <c r="T428" s="70"/>
      <c r="U428" s="120">
        <f>ROUND((ROUND((ROUND((_15_同援日増９．０*_15・２人),0)*(1+_15・盲ろう)),0)*(1+_15・区３)),0)</f>
        <v>1702</v>
      </c>
      <c r="V428" s="69"/>
    </row>
    <row r="429" spans="1:22" ht="16.5" customHeight="1" x14ac:dyDescent="0.3">
      <c r="A429" s="2">
        <v>15</v>
      </c>
      <c r="B429" s="2" t="s">
        <v>2409</v>
      </c>
      <c r="C429" s="60" t="s">
        <v>12482</v>
      </c>
      <c r="D429" s="1"/>
      <c r="E429" s="68"/>
      <c r="F429" s="70"/>
      <c r="G429" s="74" t="s">
        <v>17747</v>
      </c>
      <c r="H429" s="62"/>
      <c r="I429" s="63"/>
      <c r="J429" s="85"/>
      <c r="K429" s="64"/>
      <c r="L429" s="65"/>
      <c r="M429" s="67"/>
      <c r="N429" s="68" t="s">
        <v>1</v>
      </c>
      <c r="O429" s="76">
        <v>0.25</v>
      </c>
      <c r="P429" s="70" t="s">
        <v>422</v>
      </c>
      <c r="Q429" s="67"/>
      <c r="R429" s="68"/>
      <c r="S429" s="76"/>
      <c r="T429" s="70"/>
      <c r="U429" s="120">
        <f>ROUND((ROUND((ROUND((_15_同援日増９．０*_15・基礎２),0)*(1+_15・盲ろう)),0)*(1+_15・区３)),0)</f>
        <v>1531</v>
      </c>
      <c r="V429" s="69"/>
    </row>
    <row r="430" spans="1:22" ht="16.5" customHeight="1" x14ac:dyDescent="0.3">
      <c r="A430" s="2">
        <v>15</v>
      </c>
      <c r="B430" s="2" t="s">
        <v>2410</v>
      </c>
      <c r="C430" s="60" t="s">
        <v>12481</v>
      </c>
      <c r="D430" s="1"/>
      <c r="E430" s="68"/>
      <c r="F430" s="70"/>
      <c r="G430" s="106" t="s">
        <v>17420</v>
      </c>
      <c r="H430" s="57" t="s">
        <v>1</v>
      </c>
      <c r="I430" s="58">
        <v>0.9</v>
      </c>
      <c r="J430" s="83" t="s">
        <v>5895</v>
      </c>
      <c r="K430" s="64" t="s">
        <v>1</v>
      </c>
      <c r="L430" s="65">
        <v>1</v>
      </c>
      <c r="M430" s="66"/>
      <c r="N430" s="57"/>
      <c r="O430" s="58"/>
      <c r="P430" s="77"/>
      <c r="Q430" s="66"/>
      <c r="R430" s="57"/>
      <c r="S430" s="58"/>
      <c r="T430" s="77"/>
      <c r="U430" s="120">
        <f>ROUND((ROUND((ROUND((ROUND((_15_同援日増９．０*_15・基礎２),0)*_15・２人),0)*(1+_15・盲ろう)),0)*(1+_15・区３)),0)</f>
        <v>1531</v>
      </c>
      <c r="V430" s="69"/>
    </row>
    <row r="431" spans="1:22" ht="16.5" customHeight="1" x14ac:dyDescent="0.3">
      <c r="A431" s="2">
        <v>15</v>
      </c>
      <c r="B431" s="2" t="s">
        <v>2411</v>
      </c>
      <c r="C431" s="60" t="s">
        <v>12480</v>
      </c>
      <c r="D431" s="1"/>
      <c r="E431" s="68"/>
      <c r="F431" s="70"/>
      <c r="G431" s="61"/>
      <c r="H431" s="62"/>
      <c r="I431" s="63"/>
      <c r="J431" s="85"/>
      <c r="K431" s="64"/>
      <c r="L431" s="65"/>
      <c r="M431" s="61"/>
      <c r="N431" s="62"/>
      <c r="O431" s="63"/>
      <c r="P431" s="75"/>
      <c r="Q431" s="61"/>
      <c r="R431" s="62"/>
      <c r="S431" s="63"/>
      <c r="T431" s="75"/>
      <c r="U431" s="120">
        <f>ROUND((_15_同援日増９．０*(1+_15・区４)),0)</f>
        <v>1588</v>
      </c>
      <c r="V431" s="69"/>
    </row>
    <row r="432" spans="1:22" ht="16.5" customHeight="1" x14ac:dyDescent="0.3">
      <c r="A432" s="2">
        <v>15</v>
      </c>
      <c r="B432" s="2" t="s">
        <v>2412</v>
      </c>
      <c r="C432" s="60" t="s">
        <v>12479</v>
      </c>
      <c r="D432" s="1"/>
      <c r="E432" s="68"/>
      <c r="F432" s="70"/>
      <c r="G432" s="66"/>
      <c r="H432" s="57"/>
      <c r="I432" s="58"/>
      <c r="J432" s="83" t="s">
        <v>5895</v>
      </c>
      <c r="K432" s="64" t="s">
        <v>1</v>
      </c>
      <c r="L432" s="65">
        <v>1</v>
      </c>
      <c r="M432" s="67"/>
      <c r="N432" s="68"/>
      <c r="O432" s="76"/>
      <c r="P432" s="70"/>
      <c r="Q432" s="67"/>
      <c r="R432" s="68"/>
      <c r="S432" s="76"/>
      <c r="T432" s="70"/>
      <c r="U432" s="120">
        <f>ROUND((ROUND((_15_同援日増９．０*_15・２人),0)*(1+_15・区４)),0)</f>
        <v>1588</v>
      </c>
      <c r="V432" s="69"/>
    </row>
    <row r="433" spans="1:22" ht="16.5" customHeight="1" x14ac:dyDescent="0.3">
      <c r="A433" s="2">
        <v>15</v>
      </c>
      <c r="B433" s="2" t="s">
        <v>2413</v>
      </c>
      <c r="C433" s="60" t="s">
        <v>12478</v>
      </c>
      <c r="D433" s="1"/>
      <c r="E433" s="68"/>
      <c r="F433" s="70"/>
      <c r="G433" s="74" t="s">
        <v>17747</v>
      </c>
      <c r="H433" s="62"/>
      <c r="I433" s="63"/>
      <c r="J433" s="85"/>
      <c r="K433" s="64"/>
      <c r="L433" s="65"/>
      <c r="M433" s="67"/>
      <c r="N433" s="68"/>
      <c r="O433" s="76"/>
      <c r="P433" s="70"/>
      <c r="Q433" s="1" t="s">
        <v>17935</v>
      </c>
      <c r="R433" s="68"/>
      <c r="S433" s="76"/>
      <c r="T433" s="70"/>
      <c r="U433" s="120">
        <f>ROUND((ROUND((_15_同援日増９．０*_15・基礎２),0)*(1+_15・区４)),0)</f>
        <v>1429</v>
      </c>
      <c r="V433" s="69"/>
    </row>
    <row r="434" spans="1:22" ht="16.5" customHeight="1" x14ac:dyDescent="0.3">
      <c r="A434" s="2">
        <v>15</v>
      </c>
      <c r="B434" s="2" t="s">
        <v>2414</v>
      </c>
      <c r="C434" s="60" t="s">
        <v>12477</v>
      </c>
      <c r="D434" s="1"/>
      <c r="E434" s="68"/>
      <c r="F434" s="70"/>
      <c r="G434" s="106" t="s">
        <v>17420</v>
      </c>
      <c r="H434" s="57" t="s">
        <v>1</v>
      </c>
      <c r="I434" s="58">
        <v>0.9</v>
      </c>
      <c r="J434" s="83" t="s">
        <v>5895</v>
      </c>
      <c r="K434" s="64" t="s">
        <v>1</v>
      </c>
      <c r="L434" s="65">
        <v>1</v>
      </c>
      <c r="M434" s="66"/>
      <c r="N434" s="57"/>
      <c r="O434" s="58"/>
      <c r="P434" s="77"/>
      <c r="Q434" s="1" t="s">
        <v>17934</v>
      </c>
      <c r="R434" s="68"/>
      <c r="S434" s="76"/>
      <c r="T434" s="70"/>
      <c r="U434" s="120">
        <f>ROUND((ROUND((ROUND((_15_同援日増９．０*_15・基礎２),0)*_15・２人),0)*(1+_15・区４)),0)</f>
        <v>1429</v>
      </c>
      <c r="V434" s="69"/>
    </row>
    <row r="435" spans="1:22" ht="16.5" customHeight="1" x14ac:dyDescent="0.3">
      <c r="A435" s="2">
        <v>15</v>
      </c>
      <c r="B435" s="2" t="s">
        <v>2415</v>
      </c>
      <c r="C435" s="60" t="s">
        <v>12476</v>
      </c>
      <c r="D435" s="1"/>
      <c r="E435" s="68"/>
      <c r="F435" s="70"/>
      <c r="G435" s="61"/>
      <c r="H435" s="62"/>
      <c r="I435" s="63"/>
      <c r="J435" s="85"/>
      <c r="K435" s="64"/>
      <c r="L435" s="65"/>
      <c r="M435" s="74" t="s">
        <v>17933</v>
      </c>
      <c r="N435" s="62"/>
      <c r="O435" s="63"/>
      <c r="P435" s="75"/>
      <c r="Q435" s="67"/>
      <c r="R435" s="68" t="s">
        <v>1</v>
      </c>
      <c r="S435" s="76">
        <v>0.4</v>
      </c>
      <c r="T435" s="70" t="s">
        <v>422</v>
      </c>
      <c r="U435" s="120">
        <f>ROUND((ROUND((_15_同援日増９．０*(1+_15・盲ろう)),0)*(1+_15・区４)),0)</f>
        <v>1985</v>
      </c>
      <c r="V435" s="69"/>
    </row>
    <row r="436" spans="1:22" ht="16.5" customHeight="1" x14ac:dyDescent="0.3">
      <c r="A436" s="2">
        <v>15</v>
      </c>
      <c r="B436" s="2" t="s">
        <v>2416</v>
      </c>
      <c r="C436" s="60" t="s">
        <v>12475</v>
      </c>
      <c r="D436" s="1"/>
      <c r="E436" s="68"/>
      <c r="F436" s="70"/>
      <c r="G436" s="66"/>
      <c r="H436" s="57"/>
      <c r="I436" s="58"/>
      <c r="J436" s="83" t="s">
        <v>5895</v>
      </c>
      <c r="K436" s="64" t="s">
        <v>1</v>
      </c>
      <c r="L436" s="65">
        <v>1</v>
      </c>
      <c r="M436" s="94" t="s">
        <v>17932</v>
      </c>
      <c r="N436" s="68"/>
      <c r="O436" s="76"/>
      <c r="P436" s="70"/>
      <c r="Q436" s="67"/>
      <c r="R436" s="68"/>
      <c r="S436" s="76"/>
      <c r="T436" s="70"/>
      <c r="U436" s="120">
        <f>ROUND((ROUND((ROUND((_15_同援日増９．０*_15・２人),0)*(1+_15・盲ろう)),0)*(1+_15・区４)),0)</f>
        <v>1985</v>
      </c>
      <c r="V436" s="69"/>
    </row>
    <row r="437" spans="1:22" ht="16.5" customHeight="1" x14ac:dyDescent="0.3">
      <c r="A437" s="2">
        <v>15</v>
      </c>
      <c r="B437" s="2" t="s">
        <v>2417</v>
      </c>
      <c r="C437" s="60" t="s">
        <v>12474</v>
      </c>
      <c r="D437" s="1"/>
      <c r="E437" s="68"/>
      <c r="F437" s="70"/>
      <c r="G437" s="74" t="s">
        <v>17747</v>
      </c>
      <c r="H437" s="62"/>
      <c r="I437" s="63"/>
      <c r="J437" s="85"/>
      <c r="K437" s="64"/>
      <c r="L437" s="65"/>
      <c r="M437" s="67"/>
      <c r="N437" s="68" t="s">
        <v>1</v>
      </c>
      <c r="O437" s="76">
        <v>0.25</v>
      </c>
      <c r="P437" s="70" t="s">
        <v>422</v>
      </c>
      <c r="Q437" s="67"/>
      <c r="R437" s="68"/>
      <c r="S437" s="76"/>
      <c r="T437" s="70"/>
      <c r="U437" s="120">
        <f>ROUND((ROUND((ROUND((_15_同援日増９．０*_15・基礎２),0)*(1+_15・盲ろう)),0)*(1+_15・区４)),0)</f>
        <v>1786</v>
      </c>
      <c r="V437" s="69"/>
    </row>
    <row r="438" spans="1:22" ht="16.5" customHeight="1" x14ac:dyDescent="0.3">
      <c r="A438" s="2">
        <v>15</v>
      </c>
      <c r="B438" s="2" t="s">
        <v>2418</v>
      </c>
      <c r="C438" s="60" t="s">
        <v>12473</v>
      </c>
      <c r="D438" s="81"/>
      <c r="E438" s="57"/>
      <c r="F438" s="77"/>
      <c r="G438" s="106" t="s">
        <v>17420</v>
      </c>
      <c r="H438" s="57" t="s">
        <v>1</v>
      </c>
      <c r="I438" s="58">
        <v>0.9</v>
      </c>
      <c r="J438" s="83" t="s">
        <v>5895</v>
      </c>
      <c r="K438" s="64" t="s">
        <v>1</v>
      </c>
      <c r="L438" s="65">
        <v>1</v>
      </c>
      <c r="M438" s="66"/>
      <c r="N438" s="57"/>
      <c r="O438" s="58"/>
      <c r="P438" s="77"/>
      <c r="Q438" s="66"/>
      <c r="R438" s="57"/>
      <c r="S438" s="58"/>
      <c r="T438" s="77"/>
      <c r="U438" s="120">
        <f>ROUND((ROUND((ROUND((ROUND((_15_同援日増９．０*_15・基礎２),0)*_15・２人),0)*(1+_15・盲ろう)),0)*(1+_15・区４)),0)</f>
        <v>1786</v>
      </c>
      <c r="V438" s="69"/>
    </row>
    <row r="439" spans="1:22" ht="16.5" customHeight="1" x14ac:dyDescent="0.3">
      <c r="A439" s="2">
        <v>15</v>
      </c>
      <c r="B439" s="2" t="s">
        <v>2419</v>
      </c>
      <c r="C439" s="60" t="s">
        <v>12472</v>
      </c>
      <c r="D439" s="233" t="s">
        <v>18169</v>
      </c>
      <c r="E439" s="62"/>
      <c r="F439" s="75"/>
      <c r="G439" s="61"/>
      <c r="H439" s="62"/>
      <c r="I439" s="63"/>
      <c r="J439" s="85"/>
      <c r="K439" s="64"/>
      <c r="L439" s="65"/>
      <c r="M439" s="61"/>
      <c r="N439" s="62"/>
      <c r="O439" s="63"/>
      <c r="P439" s="75"/>
      <c r="Q439" s="61"/>
      <c r="R439" s="62"/>
      <c r="S439" s="63"/>
      <c r="T439" s="75"/>
      <c r="U439" s="120">
        <f>_15_同援日増９．５</f>
        <v>1197</v>
      </c>
      <c r="V439" s="69"/>
    </row>
    <row r="440" spans="1:22" ht="16.5" customHeight="1" x14ac:dyDescent="0.3">
      <c r="A440" s="2">
        <v>15</v>
      </c>
      <c r="B440" s="2" t="s">
        <v>2420</v>
      </c>
      <c r="C440" s="60" t="s">
        <v>12471</v>
      </c>
      <c r="D440" s="1" t="s">
        <v>17940</v>
      </c>
      <c r="E440" s="68"/>
      <c r="F440" s="70"/>
      <c r="G440" s="66"/>
      <c r="H440" s="57"/>
      <c r="I440" s="58"/>
      <c r="J440" s="83" t="s">
        <v>5895</v>
      </c>
      <c r="K440" s="64" t="s">
        <v>1</v>
      </c>
      <c r="L440" s="65">
        <v>1</v>
      </c>
      <c r="M440" s="67"/>
      <c r="N440" s="68"/>
      <c r="O440" s="76"/>
      <c r="P440" s="70"/>
      <c r="Q440" s="67"/>
      <c r="R440" s="68"/>
      <c r="S440" s="76"/>
      <c r="T440" s="70"/>
      <c r="U440" s="120">
        <f>ROUND((_15_同援日増９．５*_15・２人),0)</f>
        <v>1197</v>
      </c>
      <c r="V440" s="69"/>
    </row>
    <row r="441" spans="1:22" ht="16.5" customHeight="1" x14ac:dyDescent="0.3">
      <c r="A441" s="2">
        <v>15</v>
      </c>
      <c r="B441" s="2" t="s">
        <v>2421</v>
      </c>
      <c r="C441" s="60" t="s">
        <v>12470</v>
      </c>
      <c r="D441" s="1" t="s">
        <v>8157</v>
      </c>
      <c r="E441" s="68"/>
      <c r="F441" s="70"/>
      <c r="G441" s="74" t="s">
        <v>17747</v>
      </c>
      <c r="H441" s="62"/>
      <c r="I441" s="63"/>
      <c r="J441" s="85"/>
      <c r="K441" s="64"/>
      <c r="L441" s="65"/>
      <c r="M441" s="67"/>
      <c r="N441" s="68"/>
      <c r="O441" s="76"/>
      <c r="P441" s="70"/>
      <c r="Q441" s="67"/>
      <c r="R441" s="68"/>
      <c r="S441" s="76"/>
      <c r="T441" s="70"/>
      <c r="U441" s="120">
        <f>ROUND((_15_同援日増９．５*_15・基礎２),0)</f>
        <v>1077</v>
      </c>
      <c r="V441" s="69"/>
    </row>
    <row r="442" spans="1:22" ht="16.5" customHeight="1" x14ac:dyDescent="0.3">
      <c r="A442" s="2">
        <v>15</v>
      </c>
      <c r="B442" s="2" t="s">
        <v>2422</v>
      </c>
      <c r="C442" s="60" t="s">
        <v>12469</v>
      </c>
      <c r="D442" s="1"/>
      <c r="E442" s="119">
        <v>1197</v>
      </c>
      <c r="F442" s="70" t="s">
        <v>0</v>
      </c>
      <c r="G442" s="106" t="s">
        <v>17420</v>
      </c>
      <c r="H442" s="57" t="s">
        <v>1</v>
      </c>
      <c r="I442" s="58">
        <v>0.9</v>
      </c>
      <c r="J442" s="83" t="s">
        <v>5895</v>
      </c>
      <c r="K442" s="64" t="s">
        <v>1</v>
      </c>
      <c r="L442" s="65">
        <v>1</v>
      </c>
      <c r="M442" s="66"/>
      <c r="N442" s="57"/>
      <c r="O442" s="58"/>
      <c r="P442" s="77"/>
      <c r="Q442" s="67"/>
      <c r="R442" s="68"/>
      <c r="S442" s="76"/>
      <c r="T442" s="70"/>
      <c r="U442" s="120">
        <f>ROUND((ROUND((_15_同援日増９．５*_15・基礎２),0)*_15・２人),0)</f>
        <v>1077</v>
      </c>
      <c r="V442" s="69"/>
    </row>
    <row r="443" spans="1:22" ht="16.5" customHeight="1" x14ac:dyDescent="0.3">
      <c r="A443" s="2">
        <v>15</v>
      </c>
      <c r="B443" s="2" t="s">
        <v>2423</v>
      </c>
      <c r="C443" s="60" t="s">
        <v>12468</v>
      </c>
      <c r="D443" s="1"/>
      <c r="E443" s="68"/>
      <c r="F443" s="70"/>
      <c r="G443" s="61"/>
      <c r="H443" s="62"/>
      <c r="I443" s="63"/>
      <c r="J443" s="85"/>
      <c r="K443" s="64"/>
      <c r="L443" s="65"/>
      <c r="M443" s="74" t="s">
        <v>17933</v>
      </c>
      <c r="N443" s="62"/>
      <c r="O443" s="63"/>
      <c r="P443" s="75"/>
      <c r="Q443" s="67"/>
      <c r="R443" s="68"/>
      <c r="S443" s="76"/>
      <c r="T443" s="70"/>
      <c r="U443" s="120">
        <f>ROUND((_15_同援日増９．５*(1+_15・盲ろう)),0)</f>
        <v>1496</v>
      </c>
      <c r="V443" s="69"/>
    </row>
    <row r="444" spans="1:22" ht="16.5" customHeight="1" x14ac:dyDescent="0.3">
      <c r="A444" s="2">
        <v>15</v>
      </c>
      <c r="B444" s="2" t="s">
        <v>2424</v>
      </c>
      <c r="C444" s="60" t="s">
        <v>12467</v>
      </c>
      <c r="D444" s="1"/>
      <c r="E444" s="68"/>
      <c r="F444" s="70"/>
      <c r="G444" s="66"/>
      <c r="H444" s="57"/>
      <c r="I444" s="58"/>
      <c r="J444" s="83" t="s">
        <v>5895</v>
      </c>
      <c r="K444" s="64" t="s">
        <v>1</v>
      </c>
      <c r="L444" s="65">
        <v>1</v>
      </c>
      <c r="M444" s="94" t="s">
        <v>17932</v>
      </c>
      <c r="N444" s="68"/>
      <c r="O444" s="76"/>
      <c r="P444" s="70"/>
      <c r="Q444" s="67"/>
      <c r="R444" s="68"/>
      <c r="S444" s="76"/>
      <c r="T444" s="70"/>
      <c r="U444" s="120">
        <f>ROUND((ROUND((_15_同援日増９．５*_15・２人),0)*(1+_15・盲ろう)),0)</f>
        <v>1496</v>
      </c>
      <c r="V444" s="69"/>
    </row>
    <row r="445" spans="1:22" ht="16.5" customHeight="1" x14ac:dyDescent="0.3">
      <c r="A445" s="2">
        <v>15</v>
      </c>
      <c r="B445" s="2" t="s">
        <v>2425</v>
      </c>
      <c r="C445" s="60" t="s">
        <v>12466</v>
      </c>
      <c r="D445" s="1"/>
      <c r="E445" s="68"/>
      <c r="F445" s="70"/>
      <c r="G445" s="74" t="s">
        <v>17747</v>
      </c>
      <c r="H445" s="62"/>
      <c r="I445" s="63"/>
      <c r="J445" s="85"/>
      <c r="K445" s="64"/>
      <c r="L445" s="65"/>
      <c r="M445" s="67"/>
      <c r="N445" s="68" t="s">
        <v>1</v>
      </c>
      <c r="O445" s="76">
        <v>0.25</v>
      </c>
      <c r="P445" s="70" t="s">
        <v>422</v>
      </c>
      <c r="Q445" s="67"/>
      <c r="R445" s="68"/>
      <c r="S445" s="76"/>
      <c r="T445" s="70"/>
      <c r="U445" s="120">
        <f>ROUND((ROUND((_15_同援日増９．５*_15・基礎２),0)*(1+_15・盲ろう)),0)</f>
        <v>1346</v>
      </c>
      <c r="V445" s="69"/>
    </row>
    <row r="446" spans="1:22" ht="16.5" customHeight="1" x14ac:dyDescent="0.3">
      <c r="A446" s="2">
        <v>15</v>
      </c>
      <c r="B446" s="2" t="s">
        <v>2426</v>
      </c>
      <c r="C446" s="60" t="s">
        <v>12465</v>
      </c>
      <c r="D446" s="1"/>
      <c r="E446" s="68"/>
      <c r="F446" s="70"/>
      <c r="G446" s="106" t="s">
        <v>17420</v>
      </c>
      <c r="H446" s="57" t="s">
        <v>1</v>
      </c>
      <c r="I446" s="58">
        <v>0.9</v>
      </c>
      <c r="J446" s="83" t="s">
        <v>5895</v>
      </c>
      <c r="K446" s="64" t="s">
        <v>1</v>
      </c>
      <c r="L446" s="65">
        <v>1</v>
      </c>
      <c r="M446" s="66"/>
      <c r="N446" s="57"/>
      <c r="O446" s="58"/>
      <c r="P446" s="77"/>
      <c r="Q446" s="66"/>
      <c r="R446" s="57"/>
      <c r="S446" s="58"/>
      <c r="T446" s="77"/>
      <c r="U446" s="120">
        <f>ROUND((ROUND((ROUND((_15_同援日増９．５*_15・基礎２),0)*_15・２人),0)*(1+_15・盲ろう)),0)</f>
        <v>1346</v>
      </c>
      <c r="V446" s="69"/>
    </row>
    <row r="447" spans="1:22" ht="16.5" customHeight="1" x14ac:dyDescent="0.3">
      <c r="A447" s="2">
        <v>15</v>
      </c>
      <c r="B447" s="2" t="s">
        <v>2427</v>
      </c>
      <c r="C447" s="60" t="s">
        <v>12464</v>
      </c>
      <c r="D447" s="1"/>
      <c r="E447" s="68"/>
      <c r="F447" s="70"/>
      <c r="G447" s="61"/>
      <c r="H447" s="62"/>
      <c r="I447" s="63"/>
      <c r="J447" s="85"/>
      <c r="K447" s="64"/>
      <c r="L447" s="65"/>
      <c r="M447" s="61"/>
      <c r="N447" s="62"/>
      <c r="O447" s="63"/>
      <c r="P447" s="75"/>
      <c r="Q447" s="61"/>
      <c r="R447" s="62"/>
      <c r="S447" s="63"/>
      <c r="T447" s="75"/>
      <c r="U447" s="120">
        <f>ROUND((_15_同援日増９．５*(1+_15・区３)),0)</f>
        <v>1436</v>
      </c>
      <c r="V447" s="69"/>
    </row>
    <row r="448" spans="1:22" ht="16.5" customHeight="1" x14ac:dyDescent="0.3">
      <c r="A448" s="2">
        <v>15</v>
      </c>
      <c r="B448" s="2" t="s">
        <v>2428</v>
      </c>
      <c r="C448" s="60" t="s">
        <v>12463</v>
      </c>
      <c r="D448" s="1"/>
      <c r="E448" s="68"/>
      <c r="F448" s="70"/>
      <c r="G448" s="66"/>
      <c r="H448" s="57"/>
      <c r="I448" s="58"/>
      <c r="J448" s="83" t="s">
        <v>5895</v>
      </c>
      <c r="K448" s="64" t="s">
        <v>1</v>
      </c>
      <c r="L448" s="65">
        <v>1</v>
      </c>
      <c r="M448" s="67"/>
      <c r="N448" s="68"/>
      <c r="O448" s="76"/>
      <c r="P448" s="70"/>
      <c r="Q448" s="67"/>
      <c r="R448" s="68"/>
      <c r="S448" s="76"/>
      <c r="T448" s="70"/>
      <c r="U448" s="120">
        <f>ROUND((ROUND((_15_同援日増９．５*_15・２人),0)*(1+_15・区３)),0)</f>
        <v>1436</v>
      </c>
      <c r="V448" s="69"/>
    </row>
    <row r="449" spans="1:22" ht="16.5" customHeight="1" x14ac:dyDescent="0.3">
      <c r="A449" s="2">
        <v>15</v>
      </c>
      <c r="B449" s="2" t="s">
        <v>2429</v>
      </c>
      <c r="C449" s="60" t="s">
        <v>12462</v>
      </c>
      <c r="D449" s="1"/>
      <c r="E449" s="68"/>
      <c r="F449" s="70"/>
      <c r="G449" s="74" t="s">
        <v>17747</v>
      </c>
      <c r="H449" s="62"/>
      <c r="I449" s="63"/>
      <c r="J449" s="85"/>
      <c r="K449" s="64"/>
      <c r="L449" s="65"/>
      <c r="M449" s="67"/>
      <c r="N449" s="68"/>
      <c r="O449" s="76"/>
      <c r="P449" s="70"/>
      <c r="Q449" s="1" t="s">
        <v>17936</v>
      </c>
      <c r="R449" s="68"/>
      <c r="S449" s="76"/>
      <c r="T449" s="70"/>
      <c r="U449" s="120">
        <f>ROUND((ROUND((_15_同援日増９．５*_15・基礎２),0)*(1+_15・区３)),0)</f>
        <v>1292</v>
      </c>
      <c r="V449" s="69"/>
    </row>
    <row r="450" spans="1:22" ht="16.5" customHeight="1" x14ac:dyDescent="0.3">
      <c r="A450" s="2">
        <v>15</v>
      </c>
      <c r="B450" s="2" t="s">
        <v>2430</v>
      </c>
      <c r="C450" s="60" t="s">
        <v>12461</v>
      </c>
      <c r="D450" s="1"/>
      <c r="E450" s="68"/>
      <c r="F450" s="70"/>
      <c r="G450" s="106" t="s">
        <v>17420</v>
      </c>
      <c r="H450" s="57" t="s">
        <v>1</v>
      </c>
      <c r="I450" s="58">
        <v>0.9</v>
      </c>
      <c r="J450" s="83" t="s">
        <v>5895</v>
      </c>
      <c r="K450" s="64" t="s">
        <v>1</v>
      </c>
      <c r="L450" s="65">
        <v>1</v>
      </c>
      <c r="M450" s="66"/>
      <c r="N450" s="57"/>
      <c r="O450" s="58"/>
      <c r="P450" s="77"/>
      <c r="Q450" s="1" t="s">
        <v>17934</v>
      </c>
      <c r="R450" s="68"/>
      <c r="S450" s="76"/>
      <c r="T450" s="70"/>
      <c r="U450" s="120">
        <f>ROUND((ROUND((ROUND((_15_同援日増９．５*_15・基礎２),0)*_15・２人),0)*(1+_15・区３)),0)</f>
        <v>1292</v>
      </c>
      <c r="V450" s="69"/>
    </row>
    <row r="451" spans="1:22" ht="16.5" customHeight="1" x14ac:dyDescent="0.3">
      <c r="A451" s="2">
        <v>15</v>
      </c>
      <c r="B451" s="2" t="s">
        <v>2431</v>
      </c>
      <c r="C451" s="60" t="s">
        <v>12460</v>
      </c>
      <c r="D451" s="1"/>
      <c r="E451" s="68"/>
      <c r="F451" s="70"/>
      <c r="G451" s="61"/>
      <c r="H451" s="62"/>
      <c r="I451" s="63"/>
      <c r="J451" s="85"/>
      <c r="K451" s="64"/>
      <c r="L451" s="65"/>
      <c r="M451" s="74" t="s">
        <v>17933</v>
      </c>
      <c r="N451" s="62"/>
      <c r="O451" s="63"/>
      <c r="P451" s="75"/>
      <c r="Q451" s="67"/>
      <c r="R451" s="68" t="s">
        <v>1</v>
      </c>
      <c r="S451" s="76">
        <v>0.2</v>
      </c>
      <c r="T451" s="70" t="s">
        <v>422</v>
      </c>
      <c r="U451" s="120">
        <f>ROUND((ROUND((_15_同援日増９．５*(1+_15・盲ろう)),0)*(1+_15・区３)),0)</f>
        <v>1795</v>
      </c>
      <c r="V451" s="69"/>
    </row>
    <row r="452" spans="1:22" ht="16.5" customHeight="1" x14ac:dyDescent="0.3">
      <c r="A452" s="2">
        <v>15</v>
      </c>
      <c r="B452" s="2" t="s">
        <v>2432</v>
      </c>
      <c r="C452" s="60" t="s">
        <v>12459</v>
      </c>
      <c r="D452" s="1"/>
      <c r="E452" s="68"/>
      <c r="F452" s="70"/>
      <c r="G452" s="66"/>
      <c r="H452" s="57"/>
      <c r="I452" s="58"/>
      <c r="J452" s="83" t="s">
        <v>5895</v>
      </c>
      <c r="K452" s="64" t="s">
        <v>1</v>
      </c>
      <c r="L452" s="65">
        <v>1</v>
      </c>
      <c r="M452" s="94" t="s">
        <v>17932</v>
      </c>
      <c r="N452" s="68"/>
      <c r="O452" s="76"/>
      <c r="P452" s="70"/>
      <c r="Q452" s="67"/>
      <c r="R452" s="68"/>
      <c r="S452" s="76"/>
      <c r="T452" s="70"/>
      <c r="U452" s="120">
        <f>ROUND((ROUND((ROUND((_15_同援日増９．５*_15・２人),0)*(1+_15・盲ろう)),0)*(1+_15・区３)),0)</f>
        <v>1795</v>
      </c>
      <c r="V452" s="69"/>
    </row>
    <row r="453" spans="1:22" ht="16.5" customHeight="1" x14ac:dyDescent="0.3">
      <c r="A453" s="2">
        <v>15</v>
      </c>
      <c r="B453" s="2" t="s">
        <v>2433</v>
      </c>
      <c r="C453" s="60" t="s">
        <v>12458</v>
      </c>
      <c r="D453" s="1"/>
      <c r="E453" s="68"/>
      <c r="F453" s="70"/>
      <c r="G453" s="74" t="s">
        <v>17747</v>
      </c>
      <c r="H453" s="62"/>
      <c r="I453" s="63"/>
      <c r="J453" s="85"/>
      <c r="K453" s="64"/>
      <c r="L453" s="65"/>
      <c r="M453" s="67"/>
      <c r="N453" s="68" t="s">
        <v>1</v>
      </c>
      <c r="O453" s="76">
        <v>0.25</v>
      </c>
      <c r="P453" s="70" t="s">
        <v>422</v>
      </c>
      <c r="Q453" s="67"/>
      <c r="R453" s="68"/>
      <c r="S453" s="76"/>
      <c r="T453" s="70"/>
      <c r="U453" s="120">
        <f>ROUND((ROUND((ROUND((_15_同援日増９．５*_15・基礎２),0)*(1+_15・盲ろう)),0)*(1+_15・区３)),0)</f>
        <v>1615</v>
      </c>
      <c r="V453" s="69"/>
    </row>
    <row r="454" spans="1:22" ht="16.5" customHeight="1" x14ac:dyDescent="0.3">
      <c r="A454" s="2">
        <v>15</v>
      </c>
      <c r="B454" s="2" t="s">
        <v>2434</v>
      </c>
      <c r="C454" s="60" t="s">
        <v>12457</v>
      </c>
      <c r="D454" s="1"/>
      <c r="E454" s="68"/>
      <c r="F454" s="70"/>
      <c r="G454" s="106" t="s">
        <v>17420</v>
      </c>
      <c r="H454" s="57" t="s">
        <v>1</v>
      </c>
      <c r="I454" s="58">
        <v>0.9</v>
      </c>
      <c r="J454" s="83" t="s">
        <v>5895</v>
      </c>
      <c r="K454" s="64" t="s">
        <v>1</v>
      </c>
      <c r="L454" s="65">
        <v>1</v>
      </c>
      <c r="M454" s="66"/>
      <c r="N454" s="57"/>
      <c r="O454" s="58"/>
      <c r="P454" s="77"/>
      <c r="Q454" s="66"/>
      <c r="R454" s="57"/>
      <c r="S454" s="58"/>
      <c r="T454" s="77"/>
      <c r="U454" s="120">
        <f>ROUND((ROUND((ROUND((ROUND((_15_同援日増９．５*_15・基礎２),0)*_15・２人),0)*(1+_15・盲ろう)),0)*(1+_15・区３)),0)</f>
        <v>1615</v>
      </c>
      <c r="V454" s="69"/>
    </row>
    <row r="455" spans="1:22" ht="16.5" customHeight="1" x14ac:dyDescent="0.3">
      <c r="A455" s="2">
        <v>15</v>
      </c>
      <c r="B455" s="2" t="s">
        <v>2435</v>
      </c>
      <c r="C455" s="60" t="s">
        <v>12456</v>
      </c>
      <c r="D455" s="1"/>
      <c r="E455" s="68"/>
      <c r="F455" s="70"/>
      <c r="G455" s="61"/>
      <c r="H455" s="62"/>
      <c r="I455" s="63"/>
      <c r="J455" s="85"/>
      <c r="K455" s="64"/>
      <c r="L455" s="65"/>
      <c r="M455" s="61"/>
      <c r="N455" s="62"/>
      <c r="O455" s="63"/>
      <c r="P455" s="75"/>
      <c r="Q455" s="61"/>
      <c r="R455" s="62"/>
      <c r="S455" s="63"/>
      <c r="T455" s="75"/>
      <c r="U455" s="120">
        <f>ROUND((_15_同援日増９．５*(1+_15・区４)),0)</f>
        <v>1676</v>
      </c>
      <c r="V455" s="69"/>
    </row>
    <row r="456" spans="1:22" ht="16.5" customHeight="1" x14ac:dyDescent="0.3">
      <c r="A456" s="2">
        <v>15</v>
      </c>
      <c r="B456" s="2" t="s">
        <v>2436</v>
      </c>
      <c r="C456" s="60" t="s">
        <v>12455</v>
      </c>
      <c r="D456" s="1"/>
      <c r="E456" s="68"/>
      <c r="F456" s="70"/>
      <c r="G456" s="66"/>
      <c r="H456" s="57"/>
      <c r="I456" s="58"/>
      <c r="J456" s="83" t="s">
        <v>5895</v>
      </c>
      <c r="K456" s="64" t="s">
        <v>1</v>
      </c>
      <c r="L456" s="65">
        <v>1</v>
      </c>
      <c r="M456" s="67"/>
      <c r="N456" s="68"/>
      <c r="O456" s="76"/>
      <c r="P456" s="70"/>
      <c r="Q456" s="67"/>
      <c r="R456" s="68"/>
      <c r="S456" s="76"/>
      <c r="T456" s="70"/>
      <c r="U456" s="120">
        <f>ROUND((ROUND((_15_同援日増９．５*_15・２人),0)*(1+_15・区４)),0)</f>
        <v>1676</v>
      </c>
      <c r="V456" s="69"/>
    </row>
    <row r="457" spans="1:22" ht="16.5" customHeight="1" x14ac:dyDescent="0.3">
      <c r="A457" s="2">
        <v>15</v>
      </c>
      <c r="B457" s="2" t="s">
        <v>2437</v>
      </c>
      <c r="C457" s="60" t="s">
        <v>12454</v>
      </c>
      <c r="D457" s="1"/>
      <c r="E457" s="68"/>
      <c r="F457" s="70"/>
      <c r="G457" s="74" t="s">
        <v>17747</v>
      </c>
      <c r="H457" s="62"/>
      <c r="I457" s="63"/>
      <c r="J457" s="85"/>
      <c r="K457" s="64"/>
      <c r="L457" s="65"/>
      <c r="M457" s="67"/>
      <c r="N457" s="68"/>
      <c r="O457" s="76"/>
      <c r="P457" s="70"/>
      <c r="Q457" s="1" t="s">
        <v>17935</v>
      </c>
      <c r="R457" s="68"/>
      <c r="S457" s="76"/>
      <c r="T457" s="70"/>
      <c r="U457" s="120">
        <f>ROUND((ROUND((_15_同援日増９．５*_15・基礎２),0)*(1+_15・区４)),0)</f>
        <v>1508</v>
      </c>
      <c r="V457" s="69"/>
    </row>
    <row r="458" spans="1:22" ht="16.5" customHeight="1" x14ac:dyDescent="0.3">
      <c r="A458" s="2">
        <v>15</v>
      </c>
      <c r="B458" s="2" t="s">
        <v>2438</v>
      </c>
      <c r="C458" s="60" t="s">
        <v>12453</v>
      </c>
      <c r="D458" s="1"/>
      <c r="E458" s="68"/>
      <c r="F458" s="70"/>
      <c r="G458" s="106" t="s">
        <v>17420</v>
      </c>
      <c r="H458" s="57" t="s">
        <v>1</v>
      </c>
      <c r="I458" s="58">
        <v>0.9</v>
      </c>
      <c r="J458" s="83" t="s">
        <v>5895</v>
      </c>
      <c r="K458" s="64" t="s">
        <v>1</v>
      </c>
      <c r="L458" s="65">
        <v>1</v>
      </c>
      <c r="M458" s="66"/>
      <c r="N458" s="57"/>
      <c r="O458" s="58"/>
      <c r="P458" s="77"/>
      <c r="Q458" s="1" t="s">
        <v>17934</v>
      </c>
      <c r="R458" s="68"/>
      <c r="S458" s="76"/>
      <c r="T458" s="70"/>
      <c r="U458" s="120">
        <f>ROUND((ROUND((ROUND((_15_同援日増９．５*_15・基礎２),0)*_15・２人),0)*(1+_15・区４)),0)</f>
        <v>1508</v>
      </c>
      <c r="V458" s="69"/>
    </row>
    <row r="459" spans="1:22" ht="16.5" customHeight="1" x14ac:dyDescent="0.3">
      <c r="A459" s="2">
        <v>15</v>
      </c>
      <c r="B459" s="2" t="s">
        <v>2439</v>
      </c>
      <c r="C459" s="60" t="s">
        <v>12452</v>
      </c>
      <c r="D459" s="1"/>
      <c r="E459" s="68"/>
      <c r="F459" s="70"/>
      <c r="G459" s="61"/>
      <c r="H459" s="62"/>
      <c r="I459" s="63"/>
      <c r="J459" s="85"/>
      <c r="K459" s="64"/>
      <c r="L459" s="65"/>
      <c r="M459" s="74" t="s">
        <v>17933</v>
      </c>
      <c r="N459" s="62"/>
      <c r="O459" s="63"/>
      <c r="P459" s="75"/>
      <c r="Q459" s="67"/>
      <c r="R459" s="68" t="s">
        <v>1</v>
      </c>
      <c r="S459" s="76">
        <v>0.4</v>
      </c>
      <c r="T459" s="70" t="s">
        <v>422</v>
      </c>
      <c r="U459" s="120">
        <f>ROUND((ROUND((_15_同援日増９．５*(1+_15・盲ろう)),0)*(1+_15・区４)),0)</f>
        <v>2094</v>
      </c>
      <c r="V459" s="69"/>
    </row>
    <row r="460" spans="1:22" ht="16.5" customHeight="1" x14ac:dyDescent="0.3">
      <c r="A460" s="2">
        <v>15</v>
      </c>
      <c r="B460" s="2" t="s">
        <v>2440</v>
      </c>
      <c r="C460" s="60" t="s">
        <v>12451</v>
      </c>
      <c r="D460" s="1"/>
      <c r="E460" s="68"/>
      <c r="F460" s="70"/>
      <c r="G460" s="66"/>
      <c r="H460" s="57"/>
      <c r="I460" s="58"/>
      <c r="J460" s="83" t="s">
        <v>5895</v>
      </c>
      <c r="K460" s="64" t="s">
        <v>1</v>
      </c>
      <c r="L460" s="65">
        <v>1</v>
      </c>
      <c r="M460" s="94" t="s">
        <v>17932</v>
      </c>
      <c r="N460" s="68"/>
      <c r="O460" s="76"/>
      <c r="P460" s="70"/>
      <c r="Q460" s="67"/>
      <c r="R460" s="68"/>
      <c r="S460" s="76"/>
      <c r="T460" s="70"/>
      <c r="U460" s="120">
        <f>ROUND((ROUND((ROUND((_15_同援日増９．５*_15・２人),0)*(1+_15・盲ろう)),0)*(1+_15・区４)),0)</f>
        <v>2094</v>
      </c>
      <c r="V460" s="69"/>
    </row>
    <row r="461" spans="1:22" ht="16.5" customHeight="1" x14ac:dyDescent="0.3">
      <c r="A461" s="2">
        <v>15</v>
      </c>
      <c r="B461" s="2" t="s">
        <v>2441</v>
      </c>
      <c r="C461" s="60" t="s">
        <v>12450</v>
      </c>
      <c r="D461" s="1"/>
      <c r="E461" s="68"/>
      <c r="F461" s="70"/>
      <c r="G461" s="74" t="s">
        <v>17747</v>
      </c>
      <c r="H461" s="62"/>
      <c r="I461" s="63"/>
      <c r="J461" s="85"/>
      <c r="K461" s="64"/>
      <c r="L461" s="65"/>
      <c r="M461" s="67"/>
      <c r="N461" s="68" t="s">
        <v>1</v>
      </c>
      <c r="O461" s="76">
        <v>0.25</v>
      </c>
      <c r="P461" s="70" t="s">
        <v>422</v>
      </c>
      <c r="Q461" s="67"/>
      <c r="R461" s="68"/>
      <c r="S461" s="76"/>
      <c r="T461" s="70"/>
      <c r="U461" s="120">
        <f>ROUND((ROUND((ROUND((_15_同援日増９．５*_15・基礎２),0)*(1+_15・盲ろう)),0)*(1+_15・区４)),0)</f>
        <v>1884</v>
      </c>
      <c r="V461" s="69"/>
    </row>
    <row r="462" spans="1:22" ht="16.5" customHeight="1" x14ac:dyDescent="0.3">
      <c r="A462" s="2">
        <v>15</v>
      </c>
      <c r="B462" s="2" t="s">
        <v>2442</v>
      </c>
      <c r="C462" s="60" t="s">
        <v>12449</v>
      </c>
      <c r="D462" s="81"/>
      <c r="E462" s="57"/>
      <c r="F462" s="77"/>
      <c r="G462" s="106" t="s">
        <v>17420</v>
      </c>
      <c r="H462" s="57" t="s">
        <v>1</v>
      </c>
      <c r="I462" s="58">
        <v>0.9</v>
      </c>
      <c r="J462" s="83" t="s">
        <v>5895</v>
      </c>
      <c r="K462" s="64" t="s">
        <v>1</v>
      </c>
      <c r="L462" s="65">
        <v>1</v>
      </c>
      <c r="M462" s="66"/>
      <c r="N462" s="57"/>
      <c r="O462" s="58"/>
      <c r="P462" s="77"/>
      <c r="Q462" s="66"/>
      <c r="R462" s="57"/>
      <c r="S462" s="58"/>
      <c r="T462" s="77"/>
      <c r="U462" s="120">
        <f>ROUND((ROUND((ROUND((ROUND((_15_同援日増９．５*_15・基礎２),0)*_15・２人),0)*(1+_15・盲ろう)),0)*(1+_15・区４)),0)</f>
        <v>1884</v>
      </c>
      <c r="V462" s="69"/>
    </row>
    <row r="463" spans="1:22" ht="16.5" customHeight="1" x14ac:dyDescent="0.3">
      <c r="A463" s="2">
        <v>15</v>
      </c>
      <c r="B463" s="2" t="s">
        <v>2443</v>
      </c>
      <c r="C463" s="60" t="s">
        <v>12448</v>
      </c>
      <c r="D463" s="233" t="s">
        <v>18168</v>
      </c>
      <c r="E463" s="62"/>
      <c r="F463" s="75"/>
      <c r="G463" s="61"/>
      <c r="H463" s="62"/>
      <c r="I463" s="63"/>
      <c r="J463" s="85"/>
      <c r="K463" s="64"/>
      <c r="L463" s="65"/>
      <c r="M463" s="61"/>
      <c r="N463" s="62"/>
      <c r="O463" s="63"/>
      <c r="P463" s="75"/>
      <c r="Q463" s="61"/>
      <c r="R463" s="62"/>
      <c r="S463" s="63"/>
      <c r="T463" s="75"/>
      <c r="U463" s="120">
        <f>_15_同援日増１０．０</f>
        <v>1260</v>
      </c>
      <c r="V463" s="69"/>
    </row>
    <row r="464" spans="1:22" ht="16.5" customHeight="1" x14ac:dyDescent="0.3">
      <c r="A464" s="2">
        <v>15</v>
      </c>
      <c r="B464" s="2" t="s">
        <v>2444</v>
      </c>
      <c r="C464" s="60" t="s">
        <v>12447</v>
      </c>
      <c r="D464" s="1" t="s">
        <v>5904</v>
      </c>
      <c r="E464" s="68"/>
      <c r="F464" s="70"/>
      <c r="G464" s="66"/>
      <c r="H464" s="57"/>
      <c r="I464" s="58"/>
      <c r="J464" s="83" t="s">
        <v>5895</v>
      </c>
      <c r="K464" s="64" t="s">
        <v>1</v>
      </c>
      <c r="L464" s="65">
        <v>1</v>
      </c>
      <c r="M464" s="67"/>
      <c r="N464" s="68"/>
      <c r="O464" s="76"/>
      <c r="P464" s="70"/>
      <c r="Q464" s="67"/>
      <c r="R464" s="68"/>
      <c r="S464" s="76"/>
      <c r="T464" s="70"/>
      <c r="U464" s="120">
        <f>ROUND((_15_同援日増１０．０*_15・２人),0)</f>
        <v>1260</v>
      </c>
      <c r="V464" s="69"/>
    </row>
    <row r="465" spans="1:22" ht="16.5" customHeight="1" x14ac:dyDescent="0.3">
      <c r="A465" s="2">
        <v>15</v>
      </c>
      <c r="B465" s="2" t="s">
        <v>2445</v>
      </c>
      <c r="C465" s="60" t="s">
        <v>12446</v>
      </c>
      <c r="D465" s="1" t="s">
        <v>8132</v>
      </c>
      <c r="E465" s="68"/>
      <c r="F465" s="70"/>
      <c r="G465" s="74" t="s">
        <v>17747</v>
      </c>
      <c r="H465" s="62"/>
      <c r="I465" s="63"/>
      <c r="J465" s="85"/>
      <c r="K465" s="64"/>
      <c r="L465" s="65"/>
      <c r="M465" s="67"/>
      <c r="N465" s="68"/>
      <c r="O465" s="76"/>
      <c r="P465" s="70"/>
      <c r="Q465" s="67"/>
      <c r="R465" s="68"/>
      <c r="S465" s="76"/>
      <c r="T465" s="70"/>
      <c r="U465" s="120">
        <f>ROUND((_15_同援日増１０．０*_15・基礎２),0)</f>
        <v>1134</v>
      </c>
      <c r="V465" s="69"/>
    </row>
    <row r="466" spans="1:22" ht="16.5" customHeight="1" x14ac:dyDescent="0.3">
      <c r="A466" s="2">
        <v>15</v>
      </c>
      <c r="B466" s="2" t="s">
        <v>2446</v>
      </c>
      <c r="C466" s="60" t="s">
        <v>12445</v>
      </c>
      <c r="D466" s="1"/>
      <c r="E466" s="119">
        <v>1260</v>
      </c>
      <c r="F466" s="70" t="s">
        <v>0</v>
      </c>
      <c r="G466" s="106" t="s">
        <v>17420</v>
      </c>
      <c r="H466" s="57" t="s">
        <v>1</v>
      </c>
      <c r="I466" s="58">
        <v>0.9</v>
      </c>
      <c r="J466" s="83" t="s">
        <v>5895</v>
      </c>
      <c r="K466" s="64" t="s">
        <v>1</v>
      </c>
      <c r="L466" s="65">
        <v>1</v>
      </c>
      <c r="M466" s="66"/>
      <c r="N466" s="57"/>
      <c r="O466" s="58"/>
      <c r="P466" s="77"/>
      <c r="Q466" s="67"/>
      <c r="R466" s="68"/>
      <c r="S466" s="76"/>
      <c r="T466" s="70"/>
      <c r="U466" s="120">
        <f>ROUND((ROUND((_15_同援日増１０．０*_15・基礎２),0)*_15・２人),0)</f>
        <v>1134</v>
      </c>
      <c r="V466" s="69"/>
    </row>
    <row r="467" spans="1:22" ht="16.5" customHeight="1" x14ac:dyDescent="0.3">
      <c r="A467" s="2">
        <v>15</v>
      </c>
      <c r="B467" s="2" t="s">
        <v>2447</v>
      </c>
      <c r="C467" s="60" t="s">
        <v>12444</v>
      </c>
      <c r="D467" s="1"/>
      <c r="E467" s="68"/>
      <c r="F467" s="70"/>
      <c r="G467" s="61"/>
      <c r="H467" s="62"/>
      <c r="I467" s="63"/>
      <c r="J467" s="85"/>
      <c r="K467" s="64"/>
      <c r="L467" s="65"/>
      <c r="M467" s="74" t="s">
        <v>17933</v>
      </c>
      <c r="N467" s="62"/>
      <c r="O467" s="63"/>
      <c r="P467" s="75"/>
      <c r="Q467" s="67"/>
      <c r="R467" s="68"/>
      <c r="S467" s="76"/>
      <c r="T467" s="70"/>
      <c r="U467" s="120">
        <f>ROUND((_15_同援日増１０．０*(1+_15・盲ろう)),0)</f>
        <v>1575</v>
      </c>
      <c r="V467" s="69"/>
    </row>
    <row r="468" spans="1:22" ht="16.5" customHeight="1" x14ac:dyDescent="0.3">
      <c r="A468" s="2">
        <v>15</v>
      </c>
      <c r="B468" s="2" t="s">
        <v>2448</v>
      </c>
      <c r="C468" s="60" t="s">
        <v>12443</v>
      </c>
      <c r="D468" s="1"/>
      <c r="E468" s="68"/>
      <c r="F468" s="70"/>
      <c r="G468" s="66"/>
      <c r="H468" s="57"/>
      <c r="I468" s="58"/>
      <c r="J468" s="83" t="s">
        <v>5895</v>
      </c>
      <c r="K468" s="64" t="s">
        <v>1</v>
      </c>
      <c r="L468" s="65">
        <v>1</v>
      </c>
      <c r="M468" s="94" t="s">
        <v>17932</v>
      </c>
      <c r="N468" s="68"/>
      <c r="O468" s="76"/>
      <c r="P468" s="70"/>
      <c r="Q468" s="67"/>
      <c r="R468" s="68"/>
      <c r="S468" s="76"/>
      <c r="T468" s="70"/>
      <c r="U468" s="120">
        <f>ROUND((ROUND((_15_同援日増１０．０*_15・２人),0)*(1+_15・盲ろう)),0)</f>
        <v>1575</v>
      </c>
      <c r="V468" s="69"/>
    </row>
    <row r="469" spans="1:22" ht="16.5" customHeight="1" x14ac:dyDescent="0.3">
      <c r="A469" s="2">
        <v>15</v>
      </c>
      <c r="B469" s="2" t="s">
        <v>2449</v>
      </c>
      <c r="C469" s="60" t="s">
        <v>12442</v>
      </c>
      <c r="D469" s="1"/>
      <c r="E469" s="68"/>
      <c r="F469" s="70"/>
      <c r="G469" s="74" t="s">
        <v>17747</v>
      </c>
      <c r="H469" s="62"/>
      <c r="I469" s="63"/>
      <c r="J469" s="85"/>
      <c r="K469" s="64"/>
      <c r="L469" s="65"/>
      <c r="M469" s="67"/>
      <c r="N469" s="68" t="s">
        <v>1</v>
      </c>
      <c r="O469" s="76">
        <v>0.25</v>
      </c>
      <c r="P469" s="70" t="s">
        <v>422</v>
      </c>
      <c r="Q469" s="67"/>
      <c r="R469" s="68"/>
      <c r="S469" s="76"/>
      <c r="T469" s="70"/>
      <c r="U469" s="120">
        <f>ROUND((ROUND((_15_同援日増１０．０*_15・基礎２),0)*(1+_15・盲ろう)),0)</f>
        <v>1418</v>
      </c>
      <c r="V469" s="69"/>
    </row>
    <row r="470" spans="1:22" ht="16.5" customHeight="1" x14ac:dyDescent="0.3">
      <c r="A470" s="2">
        <v>15</v>
      </c>
      <c r="B470" s="2" t="s">
        <v>2450</v>
      </c>
      <c r="C470" s="60" t="s">
        <v>12441</v>
      </c>
      <c r="D470" s="1"/>
      <c r="E470" s="68"/>
      <c r="F470" s="70"/>
      <c r="G470" s="106" t="s">
        <v>17420</v>
      </c>
      <c r="H470" s="57" t="s">
        <v>1</v>
      </c>
      <c r="I470" s="58">
        <v>0.9</v>
      </c>
      <c r="J470" s="83" t="s">
        <v>5895</v>
      </c>
      <c r="K470" s="64" t="s">
        <v>1</v>
      </c>
      <c r="L470" s="65">
        <v>1</v>
      </c>
      <c r="M470" s="66"/>
      <c r="N470" s="57"/>
      <c r="O470" s="58"/>
      <c r="P470" s="77"/>
      <c r="Q470" s="66"/>
      <c r="R470" s="57"/>
      <c r="S470" s="58"/>
      <c r="T470" s="77"/>
      <c r="U470" s="120">
        <f>ROUND((ROUND((ROUND((_15_同援日増１０．０*_15・基礎２),0)*_15・２人),0)*(1+_15・盲ろう)),0)</f>
        <v>1418</v>
      </c>
      <c r="V470" s="69"/>
    </row>
    <row r="471" spans="1:22" ht="16.5" customHeight="1" x14ac:dyDescent="0.3">
      <c r="A471" s="2">
        <v>15</v>
      </c>
      <c r="B471" s="2" t="s">
        <v>2451</v>
      </c>
      <c r="C471" s="60" t="s">
        <v>12440</v>
      </c>
      <c r="D471" s="1"/>
      <c r="E471" s="68"/>
      <c r="F471" s="70"/>
      <c r="G471" s="61"/>
      <c r="H471" s="62"/>
      <c r="I471" s="63"/>
      <c r="J471" s="85"/>
      <c r="K471" s="64"/>
      <c r="L471" s="65"/>
      <c r="M471" s="61"/>
      <c r="N471" s="62"/>
      <c r="O471" s="63"/>
      <c r="P471" s="75"/>
      <c r="Q471" s="61"/>
      <c r="R471" s="62"/>
      <c r="S471" s="63"/>
      <c r="T471" s="75"/>
      <c r="U471" s="120">
        <f>ROUND((_15_同援日増１０．０*(1+_15・区３)),0)</f>
        <v>1512</v>
      </c>
      <c r="V471" s="69"/>
    </row>
    <row r="472" spans="1:22" ht="16.5" customHeight="1" x14ac:dyDescent="0.3">
      <c r="A472" s="2">
        <v>15</v>
      </c>
      <c r="B472" s="2" t="s">
        <v>2452</v>
      </c>
      <c r="C472" s="60" t="s">
        <v>12439</v>
      </c>
      <c r="D472" s="1"/>
      <c r="E472" s="68"/>
      <c r="F472" s="70"/>
      <c r="G472" s="66"/>
      <c r="H472" s="57"/>
      <c r="I472" s="58"/>
      <c r="J472" s="83" t="s">
        <v>5895</v>
      </c>
      <c r="K472" s="64" t="s">
        <v>1</v>
      </c>
      <c r="L472" s="65">
        <v>1</v>
      </c>
      <c r="M472" s="67"/>
      <c r="N472" s="68"/>
      <c r="O472" s="76"/>
      <c r="P472" s="70"/>
      <c r="Q472" s="67"/>
      <c r="R472" s="68"/>
      <c r="S472" s="76"/>
      <c r="T472" s="70"/>
      <c r="U472" s="120">
        <f>ROUND((ROUND((_15_同援日増１０．０*_15・２人),0)*(1+_15・区３)),0)</f>
        <v>1512</v>
      </c>
      <c r="V472" s="69"/>
    </row>
    <row r="473" spans="1:22" ht="16.5" customHeight="1" x14ac:dyDescent="0.3">
      <c r="A473" s="2">
        <v>15</v>
      </c>
      <c r="B473" s="2" t="s">
        <v>2453</v>
      </c>
      <c r="C473" s="60" t="s">
        <v>12438</v>
      </c>
      <c r="D473" s="1"/>
      <c r="E473" s="68"/>
      <c r="F473" s="70"/>
      <c r="G473" s="74" t="s">
        <v>17747</v>
      </c>
      <c r="H473" s="62"/>
      <c r="I473" s="63"/>
      <c r="J473" s="85"/>
      <c r="K473" s="64"/>
      <c r="L473" s="65"/>
      <c r="M473" s="67"/>
      <c r="N473" s="68"/>
      <c r="O473" s="76"/>
      <c r="P473" s="70"/>
      <c r="Q473" s="1" t="s">
        <v>17936</v>
      </c>
      <c r="R473" s="68"/>
      <c r="S473" s="76"/>
      <c r="T473" s="70"/>
      <c r="U473" s="120">
        <f>ROUND((ROUND((_15_同援日増１０．０*_15・基礎２),0)*(1+_15・区３)),0)</f>
        <v>1361</v>
      </c>
      <c r="V473" s="69"/>
    </row>
    <row r="474" spans="1:22" ht="16.5" customHeight="1" x14ac:dyDescent="0.3">
      <c r="A474" s="2">
        <v>15</v>
      </c>
      <c r="B474" s="2" t="s">
        <v>2454</v>
      </c>
      <c r="C474" s="60" t="s">
        <v>12437</v>
      </c>
      <c r="D474" s="1"/>
      <c r="E474" s="68"/>
      <c r="F474" s="70"/>
      <c r="G474" s="106" t="s">
        <v>17420</v>
      </c>
      <c r="H474" s="57" t="s">
        <v>1</v>
      </c>
      <c r="I474" s="58">
        <v>0.9</v>
      </c>
      <c r="J474" s="83" t="s">
        <v>5895</v>
      </c>
      <c r="K474" s="64" t="s">
        <v>1</v>
      </c>
      <c r="L474" s="65">
        <v>1</v>
      </c>
      <c r="M474" s="66"/>
      <c r="N474" s="57"/>
      <c r="O474" s="58"/>
      <c r="P474" s="77"/>
      <c r="Q474" s="1" t="s">
        <v>17934</v>
      </c>
      <c r="R474" s="68"/>
      <c r="S474" s="76"/>
      <c r="T474" s="70"/>
      <c r="U474" s="120">
        <f>ROUND((ROUND((ROUND((_15_同援日増１０．０*_15・基礎２),0)*_15・２人),0)*(1+_15・区３)),0)</f>
        <v>1361</v>
      </c>
      <c r="V474" s="69"/>
    </row>
    <row r="475" spans="1:22" ht="16.5" customHeight="1" x14ac:dyDescent="0.3">
      <c r="A475" s="2">
        <v>15</v>
      </c>
      <c r="B475" s="2" t="s">
        <v>2455</v>
      </c>
      <c r="C475" s="60" t="s">
        <v>12436</v>
      </c>
      <c r="D475" s="1"/>
      <c r="E475" s="68"/>
      <c r="F475" s="70"/>
      <c r="G475" s="61"/>
      <c r="H475" s="62"/>
      <c r="I475" s="63"/>
      <c r="J475" s="85"/>
      <c r="K475" s="64"/>
      <c r="L475" s="65"/>
      <c r="M475" s="74" t="s">
        <v>17933</v>
      </c>
      <c r="N475" s="62"/>
      <c r="O475" s="63"/>
      <c r="P475" s="75"/>
      <c r="Q475" s="67"/>
      <c r="R475" s="68" t="s">
        <v>1</v>
      </c>
      <c r="S475" s="76">
        <v>0.2</v>
      </c>
      <c r="T475" s="70" t="s">
        <v>422</v>
      </c>
      <c r="U475" s="120">
        <f>ROUND((ROUND((_15_同援日増１０．０*(1+_15・盲ろう)),0)*(1+_15・区３)),0)</f>
        <v>1890</v>
      </c>
      <c r="V475" s="69"/>
    </row>
    <row r="476" spans="1:22" ht="16.5" customHeight="1" x14ac:dyDescent="0.3">
      <c r="A476" s="2">
        <v>15</v>
      </c>
      <c r="B476" s="2" t="s">
        <v>2456</v>
      </c>
      <c r="C476" s="60" t="s">
        <v>12435</v>
      </c>
      <c r="D476" s="1"/>
      <c r="E476" s="68"/>
      <c r="F476" s="70"/>
      <c r="G476" s="66"/>
      <c r="H476" s="57"/>
      <c r="I476" s="58"/>
      <c r="J476" s="83" t="s">
        <v>5895</v>
      </c>
      <c r="K476" s="64" t="s">
        <v>1</v>
      </c>
      <c r="L476" s="65">
        <v>1</v>
      </c>
      <c r="M476" s="94" t="s">
        <v>17932</v>
      </c>
      <c r="N476" s="68"/>
      <c r="O476" s="76"/>
      <c r="P476" s="70"/>
      <c r="Q476" s="67"/>
      <c r="R476" s="68"/>
      <c r="S476" s="76"/>
      <c r="T476" s="70"/>
      <c r="U476" s="120">
        <f>ROUND((ROUND((ROUND((_15_同援日増１０．０*_15・２人),0)*(1+_15・盲ろう)),0)*(1+_15・区３)),0)</f>
        <v>1890</v>
      </c>
      <c r="V476" s="69"/>
    </row>
    <row r="477" spans="1:22" ht="16.5" customHeight="1" x14ac:dyDescent="0.3">
      <c r="A477" s="2">
        <v>15</v>
      </c>
      <c r="B477" s="2" t="s">
        <v>2457</v>
      </c>
      <c r="C477" s="60" t="s">
        <v>12434</v>
      </c>
      <c r="D477" s="1"/>
      <c r="E477" s="68"/>
      <c r="F477" s="70"/>
      <c r="G477" s="74" t="s">
        <v>17747</v>
      </c>
      <c r="H477" s="62"/>
      <c r="I477" s="63"/>
      <c r="J477" s="85"/>
      <c r="K477" s="64"/>
      <c r="L477" s="65"/>
      <c r="M477" s="67"/>
      <c r="N477" s="68" t="s">
        <v>1</v>
      </c>
      <c r="O477" s="76">
        <v>0.25</v>
      </c>
      <c r="P477" s="70" t="s">
        <v>422</v>
      </c>
      <c r="Q477" s="67"/>
      <c r="R477" s="68"/>
      <c r="S477" s="76"/>
      <c r="T477" s="70"/>
      <c r="U477" s="120">
        <f>ROUND((ROUND((ROUND((_15_同援日増１０．０*_15・基礎２),0)*(1+_15・盲ろう)),0)*(1+_15・区３)),0)</f>
        <v>1702</v>
      </c>
      <c r="V477" s="69"/>
    </row>
    <row r="478" spans="1:22" ht="16.5" customHeight="1" x14ac:dyDescent="0.3">
      <c r="A478" s="2">
        <v>15</v>
      </c>
      <c r="B478" s="2" t="s">
        <v>2458</v>
      </c>
      <c r="C478" s="60" t="s">
        <v>12433</v>
      </c>
      <c r="D478" s="1"/>
      <c r="E478" s="68"/>
      <c r="F478" s="70"/>
      <c r="G478" s="106" t="s">
        <v>17420</v>
      </c>
      <c r="H478" s="57" t="s">
        <v>1</v>
      </c>
      <c r="I478" s="58">
        <v>0.9</v>
      </c>
      <c r="J478" s="83" t="s">
        <v>5895</v>
      </c>
      <c r="K478" s="64" t="s">
        <v>1</v>
      </c>
      <c r="L478" s="65">
        <v>1</v>
      </c>
      <c r="M478" s="66"/>
      <c r="N478" s="57"/>
      <c r="O478" s="58"/>
      <c r="P478" s="77"/>
      <c r="Q478" s="66"/>
      <c r="R478" s="57"/>
      <c r="S478" s="58"/>
      <c r="T478" s="77"/>
      <c r="U478" s="120">
        <f>ROUND((ROUND((ROUND((ROUND((_15_同援日増１０．０*_15・基礎２),0)*_15・２人),0)*(1+_15・盲ろう)),0)*(1+_15・区３)),0)</f>
        <v>1702</v>
      </c>
      <c r="V478" s="69"/>
    </row>
    <row r="479" spans="1:22" ht="16.5" customHeight="1" x14ac:dyDescent="0.3">
      <c r="A479" s="2">
        <v>15</v>
      </c>
      <c r="B479" s="2" t="s">
        <v>2459</v>
      </c>
      <c r="C479" s="60" t="s">
        <v>12432</v>
      </c>
      <c r="D479" s="1"/>
      <c r="E479" s="68"/>
      <c r="F479" s="70"/>
      <c r="G479" s="61"/>
      <c r="H479" s="62"/>
      <c r="I479" s="63"/>
      <c r="J479" s="85"/>
      <c r="K479" s="64"/>
      <c r="L479" s="65"/>
      <c r="M479" s="61"/>
      <c r="N479" s="62"/>
      <c r="O479" s="63"/>
      <c r="P479" s="75"/>
      <c r="Q479" s="61"/>
      <c r="R479" s="62"/>
      <c r="S479" s="63"/>
      <c r="T479" s="75"/>
      <c r="U479" s="120">
        <f>ROUND((_15_同援日増１０．０*(1+_15・区４)),0)</f>
        <v>1764</v>
      </c>
      <c r="V479" s="69"/>
    </row>
    <row r="480" spans="1:22" ht="16.5" customHeight="1" x14ac:dyDescent="0.3">
      <c r="A480" s="2">
        <v>15</v>
      </c>
      <c r="B480" s="2" t="s">
        <v>2460</v>
      </c>
      <c r="C480" s="60" t="s">
        <v>12431</v>
      </c>
      <c r="D480" s="1"/>
      <c r="E480" s="68"/>
      <c r="F480" s="70"/>
      <c r="G480" s="66"/>
      <c r="H480" s="57"/>
      <c r="I480" s="58"/>
      <c r="J480" s="83" t="s">
        <v>5895</v>
      </c>
      <c r="K480" s="64" t="s">
        <v>1</v>
      </c>
      <c r="L480" s="65">
        <v>1</v>
      </c>
      <c r="M480" s="67"/>
      <c r="N480" s="68"/>
      <c r="O480" s="76"/>
      <c r="P480" s="70"/>
      <c r="Q480" s="67"/>
      <c r="R480" s="68"/>
      <c r="S480" s="76"/>
      <c r="T480" s="70"/>
      <c r="U480" s="120">
        <f>ROUND((ROUND((_15_同援日増１０．０*_15・２人),0)*(1+_15・区４)),0)</f>
        <v>1764</v>
      </c>
      <c r="V480" s="69"/>
    </row>
    <row r="481" spans="1:22" ht="16.5" customHeight="1" x14ac:dyDescent="0.3">
      <c r="A481" s="2">
        <v>15</v>
      </c>
      <c r="B481" s="2" t="s">
        <v>2461</v>
      </c>
      <c r="C481" s="60" t="s">
        <v>12430</v>
      </c>
      <c r="D481" s="1"/>
      <c r="E481" s="68"/>
      <c r="F481" s="70"/>
      <c r="G481" s="74" t="s">
        <v>17747</v>
      </c>
      <c r="H481" s="62"/>
      <c r="I481" s="63"/>
      <c r="J481" s="85"/>
      <c r="K481" s="64"/>
      <c r="L481" s="65"/>
      <c r="M481" s="67"/>
      <c r="N481" s="68"/>
      <c r="O481" s="76"/>
      <c r="P481" s="70"/>
      <c r="Q481" s="1" t="s">
        <v>17935</v>
      </c>
      <c r="R481" s="68"/>
      <c r="S481" s="76"/>
      <c r="T481" s="70"/>
      <c r="U481" s="120">
        <f>ROUND((ROUND((_15_同援日増１０．０*_15・基礎２),0)*(1+_15・区４)),0)</f>
        <v>1588</v>
      </c>
      <c r="V481" s="69"/>
    </row>
    <row r="482" spans="1:22" ht="16.5" customHeight="1" x14ac:dyDescent="0.3">
      <c r="A482" s="2">
        <v>15</v>
      </c>
      <c r="B482" s="2" t="s">
        <v>2462</v>
      </c>
      <c r="C482" s="60" t="s">
        <v>12429</v>
      </c>
      <c r="D482" s="1"/>
      <c r="E482" s="68"/>
      <c r="F482" s="70"/>
      <c r="G482" s="106" t="s">
        <v>17420</v>
      </c>
      <c r="H482" s="57" t="s">
        <v>1</v>
      </c>
      <c r="I482" s="58">
        <v>0.9</v>
      </c>
      <c r="J482" s="83" t="s">
        <v>5895</v>
      </c>
      <c r="K482" s="64" t="s">
        <v>1</v>
      </c>
      <c r="L482" s="65">
        <v>1</v>
      </c>
      <c r="M482" s="66"/>
      <c r="N482" s="57"/>
      <c r="O482" s="58"/>
      <c r="P482" s="77"/>
      <c r="Q482" s="1" t="s">
        <v>17934</v>
      </c>
      <c r="R482" s="68"/>
      <c r="S482" s="76"/>
      <c r="T482" s="70"/>
      <c r="U482" s="120">
        <f>ROUND((ROUND((ROUND((_15_同援日増１０．０*_15・基礎２),0)*_15・２人),0)*(1+_15・区４)),0)</f>
        <v>1588</v>
      </c>
      <c r="V482" s="69"/>
    </row>
    <row r="483" spans="1:22" ht="16.5" customHeight="1" x14ac:dyDescent="0.3">
      <c r="A483" s="2">
        <v>15</v>
      </c>
      <c r="B483" s="2" t="s">
        <v>2463</v>
      </c>
      <c r="C483" s="60" t="s">
        <v>12428</v>
      </c>
      <c r="D483" s="1"/>
      <c r="E483" s="68"/>
      <c r="F483" s="70"/>
      <c r="G483" s="61"/>
      <c r="H483" s="62"/>
      <c r="I483" s="63"/>
      <c r="J483" s="85"/>
      <c r="K483" s="64"/>
      <c r="L483" s="65"/>
      <c r="M483" s="74" t="s">
        <v>17933</v>
      </c>
      <c r="N483" s="62"/>
      <c r="O483" s="63"/>
      <c r="P483" s="75"/>
      <c r="Q483" s="67"/>
      <c r="R483" s="68" t="s">
        <v>1</v>
      </c>
      <c r="S483" s="76">
        <v>0.4</v>
      </c>
      <c r="T483" s="70" t="s">
        <v>422</v>
      </c>
      <c r="U483" s="120">
        <f>ROUND((ROUND((_15_同援日増１０．０*(1+_15・盲ろう)),0)*(1+_15・区４)),0)</f>
        <v>2205</v>
      </c>
      <c r="V483" s="69"/>
    </row>
    <row r="484" spans="1:22" ht="16.5" customHeight="1" x14ac:dyDescent="0.3">
      <c r="A484" s="2">
        <v>15</v>
      </c>
      <c r="B484" s="2" t="s">
        <v>2464</v>
      </c>
      <c r="C484" s="60" t="s">
        <v>12427</v>
      </c>
      <c r="D484" s="1"/>
      <c r="E484" s="68"/>
      <c r="F484" s="70"/>
      <c r="G484" s="66"/>
      <c r="H484" s="57"/>
      <c r="I484" s="58"/>
      <c r="J484" s="83" t="s">
        <v>5895</v>
      </c>
      <c r="K484" s="64" t="s">
        <v>1</v>
      </c>
      <c r="L484" s="65">
        <v>1</v>
      </c>
      <c r="M484" s="94" t="s">
        <v>17932</v>
      </c>
      <c r="N484" s="68"/>
      <c r="O484" s="76"/>
      <c r="P484" s="70"/>
      <c r="Q484" s="67"/>
      <c r="R484" s="68"/>
      <c r="S484" s="76"/>
      <c r="T484" s="70"/>
      <c r="U484" s="120">
        <f>ROUND((ROUND((ROUND((_15_同援日増１０．０*_15・２人),0)*(1+_15・盲ろう)),0)*(1+_15・区４)),0)</f>
        <v>2205</v>
      </c>
      <c r="V484" s="69"/>
    </row>
    <row r="485" spans="1:22" ht="16.5" customHeight="1" x14ac:dyDescent="0.3">
      <c r="A485" s="2">
        <v>15</v>
      </c>
      <c r="B485" s="2" t="s">
        <v>2465</v>
      </c>
      <c r="C485" s="60" t="s">
        <v>12426</v>
      </c>
      <c r="D485" s="1"/>
      <c r="E485" s="68"/>
      <c r="F485" s="70"/>
      <c r="G485" s="74" t="s">
        <v>17747</v>
      </c>
      <c r="H485" s="62"/>
      <c r="I485" s="63"/>
      <c r="J485" s="85"/>
      <c r="K485" s="64"/>
      <c r="L485" s="65"/>
      <c r="M485" s="67"/>
      <c r="N485" s="68" t="s">
        <v>1</v>
      </c>
      <c r="O485" s="76">
        <v>0.25</v>
      </c>
      <c r="P485" s="70" t="s">
        <v>422</v>
      </c>
      <c r="Q485" s="67"/>
      <c r="R485" s="68"/>
      <c r="S485" s="76"/>
      <c r="T485" s="70"/>
      <c r="U485" s="120">
        <f>ROUND((ROUND((ROUND((_15_同援日増１０．０*_15・基礎２),0)*(1+_15・盲ろう)),0)*(1+_15・区４)),0)</f>
        <v>1985</v>
      </c>
      <c r="V485" s="69"/>
    </row>
    <row r="486" spans="1:22" ht="16.5" customHeight="1" x14ac:dyDescent="0.3">
      <c r="A486" s="2">
        <v>15</v>
      </c>
      <c r="B486" s="2" t="s">
        <v>2466</v>
      </c>
      <c r="C486" s="60" t="s">
        <v>12425</v>
      </c>
      <c r="D486" s="81"/>
      <c r="E486" s="57"/>
      <c r="F486" s="77"/>
      <c r="G486" s="106" t="s">
        <v>17420</v>
      </c>
      <c r="H486" s="57" t="s">
        <v>1</v>
      </c>
      <c r="I486" s="58">
        <v>0.9</v>
      </c>
      <c r="J486" s="83" t="s">
        <v>5895</v>
      </c>
      <c r="K486" s="64" t="s">
        <v>1</v>
      </c>
      <c r="L486" s="65">
        <v>1</v>
      </c>
      <c r="M486" s="66"/>
      <c r="N486" s="57"/>
      <c r="O486" s="58"/>
      <c r="P486" s="77"/>
      <c r="Q486" s="66"/>
      <c r="R486" s="57"/>
      <c r="S486" s="58"/>
      <c r="T486" s="77"/>
      <c r="U486" s="120">
        <f>ROUND((ROUND((ROUND((ROUND((_15_同援日増１０．０*_15・基礎２),0)*_15・２人),0)*(1+_15・盲ろう)),0)*(1+_15・区４)),0)</f>
        <v>1985</v>
      </c>
      <c r="V486" s="69"/>
    </row>
    <row r="487" spans="1:22" ht="16.5" customHeight="1" x14ac:dyDescent="0.3">
      <c r="A487" s="2">
        <v>15</v>
      </c>
      <c r="B487" s="2" t="s">
        <v>2467</v>
      </c>
      <c r="C487" s="60" t="s">
        <v>12424</v>
      </c>
      <c r="D487" s="233" t="s">
        <v>18167</v>
      </c>
      <c r="E487" s="62"/>
      <c r="F487" s="75"/>
      <c r="G487" s="61"/>
      <c r="H487" s="62"/>
      <c r="I487" s="63"/>
      <c r="J487" s="85"/>
      <c r="K487" s="64"/>
      <c r="L487" s="65"/>
      <c r="M487" s="61"/>
      <c r="N487" s="62"/>
      <c r="O487" s="63"/>
      <c r="P487" s="75"/>
      <c r="Q487" s="61"/>
      <c r="R487" s="62"/>
      <c r="S487" s="63"/>
      <c r="T487" s="75"/>
      <c r="U487" s="120">
        <f>_15_同援日増１０．５</f>
        <v>1323</v>
      </c>
      <c r="V487" s="69"/>
    </row>
    <row r="488" spans="1:22" ht="16.5" customHeight="1" x14ac:dyDescent="0.3">
      <c r="A488" s="2">
        <v>15</v>
      </c>
      <c r="B488" s="2" t="s">
        <v>2468</v>
      </c>
      <c r="C488" s="60" t="s">
        <v>12423</v>
      </c>
      <c r="D488" s="1" t="s">
        <v>17937</v>
      </c>
      <c r="E488" s="68"/>
      <c r="F488" s="70"/>
      <c r="G488" s="66"/>
      <c r="H488" s="57"/>
      <c r="I488" s="58"/>
      <c r="J488" s="83" t="s">
        <v>5895</v>
      </c>
      <c r="K488" s="64" t="s">
        <v>1</v>
      </c>
      <c r="L488" s="65">
        <v>1</v>
      </c>
      <c r="M488" s="67"/>
      <c r="N488" s="68"/>
      <c r="O488" s="76"/>
      <c r="P488" s="70"/>
      <c r="Q488" s="67"/>
      <c r="R488" s="68"/>
      <c r="S488" s="76"/>
      <c r="T488" s="70"/>
      <c r="U488" s="120">
        <f>ROUND((_15_同援日増１０．５*_15・２人),0)</f>
        <v>1323</v>
      </c>
      <c r="V488" s="69"/>
    </row>
    <row r="489" spans="1:22" ht="16.5" customHeight="1" x14ac:dyDescent="0.3">
      <c r="A489" s="2">
        <v>15</v>
      </c>
      <c r="B489" s="2" t="s">
        <v>2469</v>
      </c>
      <c r="C489" s="60" t="s">
        <v>12422</v>
      </c>
      <c r="D489" s="1" t="s">
        <v>8107</v>
      </c>
      <c r="E489" s="68"/>
      <c r="F489" s="70"/>
      <c r="G489" s="74" t="s">
        <v>17747</v>
      </c>
      <c r="H489" s="62"/>
      <c r="I489" s="63"/>
      <c r="J489" s="85"/>
      <c r="K489" s="64"/>
      <c r="L489" s="65"/>
      <c r="M489" s="67"/>
      <c r="N489" s="68"/>
      <c r="O489" s="76"/>
      <c r="P489" s="70"/>
      <c r="Q489" s="67"/>
      <c r="R489" s="68"/>
      <c r="S489" s="76"/>
      <c r="T489" s="70"/>
      <c r="U489" s="120">
        <f>ROUND((_15_同援日増１０．５*_15・基礎２),0)</f>
        <v>1191</v>
      </c>
      <c r="V489" s="69"/>
    </row>
    <row r="490" spans="1:22" ht="16.5" customHeight="1" x14ac:dyDescent="0.3">
      <c r="A490" s="2">
        <v>15</v>
      </c>
      <c r="B490" s="2" t="s">
        <v>2470</v>
      </c>
      <c r="C490" s="60" t="s">
        <v>12421</v>
      </c>
      <c r="D490" s="1"/>
      <c r="E490" s="119">
        <v>1323</v>
      </c>
      <c r="F490" s="70" t="s">
        <v>0</v>
      </c>
      <c r="G490" s="106" t="s">
        <v>17420</v>
      </c>
      <c r="H490" s="57" t="s">
        <v>1</v>
      </c>
      <c r="I490" s="58">
        <v>0.9</v>
      </c>
      <c r="J490" s="83" t="s">
        <v>5895</v>
      </c>
      <c r="K490" s="64" t="s">
        <v>1</v>
      </c>
      <c r="L490" s="65">
        <v>1</v>
      </c>
      <c r="M490" s="66"/>
      <c r="N490" s="57"/>
      <c r="O490" s="58"/>
      <c r="P490" s="77"/>
      <c r="Q490" s="67"/>
      <c r="R490" s="68"/>
      <c r="S490" s="76"/>
      <c r="T490" s="70"/>
      <c r="U490" s="120">
        <f>ROUND((ROUND((_15_同援日増１０．５*_15・基礎２),0)*_15・２人),0)</f>
        <v>1191</v>
      </c>
      <c r="V490" s="69"/>
    </row>
    <row r="491" spans="1:22" ht="16.5" customHeight="1" x14ac:dyDescent="0.3">
      <c r="A491" s="2">
        <v>15</v>
      </c>
      <c r="B491" s="2" t="s">
        <v>2471</v>
      </c>
      <c r="C491" s="60" t="s">
        <v>12420</v>
      </c>
      <c r="D491" s="1"/>
      <c r="E491" s="68"/>
      <c r="F491" s="70"/>
      <c r="G491" s="61"/>
      <c r="H491" s="62"/>
      <c r="I491" s="63"/>
      <c r="J491" s="85"/>
      <c r="K491" s="64"/>
      <c r="L491" s="65"/>
      <c r="M491" s="74" t="s">
        <v>17933</v>
      </c>
      <c r="N491" s="62"/>
      <c r="O491" s="63"/>
      <c r="P491" s="75"/>
      <c r="Q491" s="67"/>
      <c r="R491" s="68"/>
      <c r="S491" s="76"/>
      <c r="T491" s="70"/>
      <c r="U491" s="120">
        <f>ROUND((_15_同援日増１０．５*(1+_15・盲ろう)),0)</f>
        <v>1654</v>
      </c>
      <c r="V491" s="69"/>
    </row>
    <row r="492" spans="1:22" ht="16.5" customHeight="1" x14ac:dyDescent="0.3">
      <c r="A492" s="2">
        <v>15</v>
      </c>
      <c r="B492" s="2" t="s">
        <v>2472</v>
      </c>
      <c r="C492" s="60" t="s">
        <v>12419</v>
      </c>
      <c r="D492" s="1"/>
      <c r="E492" s="68"/>
      <c r="F492" s="70"/>
      <c r="G492" s="66"/>
      <c r="H492" s="57"/>
      <c r="I492" s="58"/>
      <c r="J492" s="83" t="s">
        <v>5895</v>
      </c>
      <c r="K492" s="64" t="s">
        <v>1</v>
      </c>
      <c r="L492" s="65">
        <v>1</v>
      </c>
      <c r="M492" s="94" t="s">
        <v>17932</v>
      </c>
      <c r="N492" s="68"/>
      <c r="O492" s="76"/>
      <c r="P492" s="70"/>
      <c r="Q492" s="67"/>
      <c r="R492" s="68"/>
      <c r="S492" s="76"/>
      <c r="T492" s="70"/>
      <c r="U492" s="120">
        <f>ROUND((ROUND((_15_同援日増１０．５*_15・２人),0)*(1+_15・盲ろう)),0)</f>
        <v>1654</v>
      </c>
      <c r="V492" s="69"/>
    </row>
    <row r="493" spans="1:22" ht="16.5" customHeight="1" x14ac:dyDescent="0.3">
      <c r="A493" s="2">
        <v>15</v>
      </c>
      <c r="B493" s="2" t="s">
        <v>2473</v>
      </c>
      <c r="C493" s="60" t="s">
        <v>12418</v>
      </c>
      <c r="D493" s="1"/>
      <c r="E493" s="68"/>
      <c r="F493" s="70"/>
      <c r="G493" s="74" t="s">
        <v>17747</v>
      </c>
      <c r="H493" s="62"/>
      <c r="I493" s="63"/>
      <c r="J493" s="85"/>
      <c r="K493" s="64"/>
      <c r="L493" s="65"/>
      <c r="M493" s="67"/>
      <c r="N493" s="68" t="s">
        <v>1</v>
      </c>
      <c r="O493" s="76">
        <v>0.25</v>
      </c>
      <c r="P493" s="70" t="s">
        <v>422</v>
      </c>
      <c r="Q493" s="67"/>
      <c r="R493" s="68"/>
      <c r="S493" s="76"/>
      <c r="T493" s="70"/>
      <c r="U493" s="120">
        <f>ROUND((ROUND((_15_同援日増１０．５*_15・基礎２),0)*(1+_15・盲ろう)),0)</f>
        <v>1489</v>
      </c>
      <c r="V493" s="69"/>
    </row>
    <row r="494" spans="1:22" ht="16.5" customHeight="1" x14ac:dyDescent="0.3">
      <c r="A494" s="2">
        <v>15</v>
      </c>
      <c r="B494" s="2" t="s">
        <v>2474</v>
      </c>
      <c r="C494" s="60" t="s">
        <v>12417</v>
      </c>
      <c r="D494" s="1"/>
      <c r="E494" s="68"/>
      <c r="F494" s="70"/>
      <c r="G494" s="106" t="s">
        <v>17420</v>
      </c>
      <c r="H494" s="57" t="s">
        <v>1</v>
      </c>
      <c r="I494" s="58">
        <v>0.9</v>
      </c>
      <c r="J494" s="83" t="s">
        <v>5895</v>
      </c>
      <c r="K494" s="64" t="s">
        <v>1</v>
      </c>
      <c r="L494" s="65">
        <v>1</v>
      </c>
      <c r="M494" s="66"/>
      <c r="N494" s="57"/>
      <c r="O494" s="58"/>
      <c r="P494" s="77"/>
      <c r="Q494" s="66"/>
      <c r="R494" s="57"/>
      <c r="S494" s="58"/>
      <c r="T494" s="77"/>
      <c r="U494" s="120">
        <f>ROUND((ROUND((ROUND((_15_同援日増１０．５*_15・基礎２),0)*_15・２人),0)*(1+_15・盲ろう)),0)</f>
        <v>1489</v>
      </c>
      <c r="V494" s="69"/>
    </row>
    <row r="495" spans="1:22" ht="16.5" customHeight="1" x14ac:dyDescent="0.3">
      <c r="A495" s="2">
        <v>15</v>
      </c>
      <c r="B495" s="2" t="s">
        <v>2475</v>
      </c>
      <c r="C495" s="60" t="s">
        <v>12416</v>
      </c>
      <c r="D495" s="1"/>
      <c r="E495" s="68"/>
      <c r="F495" s="70"/>
      <c r="G495" s="61"/>
      <c r="H495" s="62"/>
      <c r="I495" s="63"/>
      <c r="J495" s="85"/>
      <c r="K495" s="64"/>
      <c r="L495" s="65"/>
      <c r="M495" s="61"/>
      <c r="N495" s="62"/>
      <c r="O495" s="63"/>
      <c r="P495" s="75"/>
      <c r="Q495" s="61"/>
      <c r="R495" s="62"/>
      <c r="S495" s="63"/>
      <c r="T495" s="75"/>
      <c r="U495" s="120">
        <f>ROUND((_15_同援日増１０．５*(1+_15・区３)),0)</f>
        <v>1588</v>
      </c>
      <c r="V495" s="69"/>
    </row>
    <row r="496" spans="1:22" ht="16.5" customHeight="1" x14ac:dyDescent="0.3">
      <c r="A496" s="2">
        <v>15</v>
      </c>
      <c r="B496" s="2" t="s">
        <v>2476</v>
      </c>
      <c r="C496" s="60" t="s">
        <v>12415</v>
      </c>
      <c r="D496" s="1"/>
      <c r="E496" s="68"/>
      <c r="F496" s="70"/>
      <c r="G496" s="66"/>
      <c r="H496" s="57"/>
      <c r="I496" s="58"/>
      <c r="J496" s="83" t="s">
        <v>5895</v>
      </c>
      <c r="K496" s="64" t="s">
        <v>1</v>
      </c>
      <c r="L496" s="65">
        <v>1</v>
      </c>
      <c r="M496" s="67"/>
      <c r="N496" s="68"/>
      <c r="O496" s="76"/>
      <c r="P496" s="70"/>
      <c r="Q496" s="67"/>
      <c r="R496" s="68"/>
      <c r="S496" s="76"/>
      <c r="T496" s="70"/>
      <c r="U496" s="120">
        <f>ROUND((ROUND((_15_同援日増１０．５*_15・２人),0)*(1+_15・区３)),0)</f>
        <v>1588</v>
      </c>
      <c r="V496" s="69"/>
    </row>
    <row r="497" spans="1:22" ht="16.5" customHeight="1" x14ac:dyDescent="0.3">
      <c r="A497" s="2">
        <v>15</v>
      </c>
      <c r="B497" s="2" t="s">
        <v>2477</v>
      </c>
      <c r="C497" s="60" t="s">
        <v>12414</v>
      </c>
      <c r="D497" s="1"/>
      <c r="E497" s="68"/>
      <c r="F497" s="70"/>
      <c r="G497" s="74" t="s">
        <v>17747</v>
      </c>
      <c r="H497" s="62"/>
      <c r="I497" s="63"/>
      <c r="J497" s="85"/>
      <c r="K497" s="64"/>
      <c r="L497" s="65"/>
      <c r="M497" s="67"/>
      <c r="N497" s="68"/>
      <c r="O497" s="76"/>
      <c r="P497" s="70"/>
      <c r="Q497" s="1" t="s">
        <v>17936</v>
      </c>
      <c r="R497" s="68"/>
      <c r="S497" s="76"/>
      <c r="T497" s="70"/>
      <c r="U497" s="120">
        <f>ROUND((ROUND((_15_同援日増１０．５*_15・基礎２),0)*(1+_15・区３)),0)</f>
        <v>1429</v>
      </c>
      <c r="V497" s="69"/>
    </row>
    <row r="498" spans="1:22" ht="16.5" customHeight="1" x14ac:dyDescent="0.3">
      <c r="A498" s="2">
        <v>15</v>
      </c>
      <c r="B498" s="2" t="s">
        <v>2478</v>
      </c>
      <c r="C498" s="60" t="s">
        <v>12413</v>
      </c>
      <c r="D498" s="1"/>
      <c r="E498" s="68"/>
      <c r="F498" s="70"/>
      <c r="G498" s="106" t="s">
        <v>17420</v>
      </c>
      <c r="H498" s="57" t="s">
        <v>1</v>
      </c>
      <c r="I498" s="58">
        <v>0.9</v>
      </c>
      <c r="J498" s="83" t="s">
        <v>5895</v>
      </c>
      <c r="K498" s="64" t="s">
        <v>1</v>
      </c>
      <c r="L498" s="65">
        <v>1</v>
      </c>
      <c r="M498" s="66"/>
      <c r="N498" s="57"/>
      <c r="O498" s="58"/>
      <c r="P498" s="77"/>
      <c r="Q498" s="1" t="s">
        <v>17934</v>
      </c>
      <c r="R498" s="68"/>
      <c r="S498" s="76"/>
      <c r="T498" s="70"/>
      <c r="U498" s="120">
        <f>ROUND((ROUND((ROUND((_15_同援日増１０．５*_15・基礎２),0)*_15・２人),0)*(1+_15・区３)),0)</f>
        <v>1429</v>
      </c>
      <c r="V498" s="69"/>
    </row>
    <row r="499" spans="1:22" ht="16.5" customHeight="1" x14ac:dyDescent="0.3">
      <c r="A499" s="2">
        <v>15</v>
      </c>
      <c r="B499" s="2" t="s">
        <v>2479</v>
      </c>
      <c r="C499" s="60" t="s">
        <v>12412</v>
      </c>
      <c r="D499" s="1"/>
      <c r="E499" s="68"/>
      <c r="F499" s="70"/>
      <c r="G499" s="61"/>
      <c r="H499" s="62"/>
      <c r="I499" s="63"/>
      <c r="J499" s="85"/>
      <c r="K499" s="64"/>
      <c r="L499" s="65"/>
      <c r="M499" s="74" t="s">
        <v>17933</v>
      </c>
      <c r="N499" s="62"/>
      <c r="O499" s="63"/>
      <c r="P499" s="75"/>
      <c r="Q499" s="67"/>
      <c r="R499" s="68" t="s">
        <v>1</v>
      </c>
      <c r="S499" s="76">
        <v>0.2</v>
      </c>
      <c r="T499" s="70" t="s">
        <v>422</v>
      </c>
      <c r="U499" s="120">
        <f>ROUND((ROUND((_15_同援日増１０．５*(1+_15・盲ろう)),0)*(1+_15・区３)),0)</f>
        <v>1985</v>
      </c>
      <c r="V499" s="69"/>
    </row>
    <row r="500" spans="1:22" ht="16.5" customHeight="1" x14ac:dyDescent="0.3">
      <c r="A500" s="2">
        <v>15</v>
      </c>
      <c r="B500" s="2" t="s">
        <v>2480</v>
      </c>
      <c r="C500" s="60" t="s">
        <v>12411</v>
      </c>
      <c r="D500" s="1"/>
      <c r="E500" s="68"/>
      <c r="F500" s="70"/>
      <c r="G500" s="66"/>
      <c r="H500" s="57"/>
      <c r="I500" s="58"/>
      <c r="J500" s="83" t="s">
        <v>5895</v>
      </c>
      <c r="K500" s="64" t="s">
        <v>1</v>
      </c>
      <c r="L500" s="65">
        <v>1</v>
      </c>
      <c r="M500" s="94" t="s">
        <v>17932</v>
      </c>
      <c r="N500" s="68"/>
      <c r="O500" s="76"/>
      <c r="P500" s="70"/>
      <c r="Q500" s="67"/>
      <c r="R500" s="68"/>
      <c r="S500" s="76"/>
      <c r="T500" s="70"/>
      <c r="U500" s="120">
        <f>ROUND((ROUND((ROUND((_15_同援日増１０．５*_15・２人),0)*(1+_15・盲ろう)),0)*(1+_15・区３)),0)</f>
        <v>1985</v>
      </c>
      <c r="V500" s="69"/>
    </row>
    <row r="501" spans="1:22" ht="16.5" customHeight="1" x14ac:dyDescent="0.3">
      <c r="A501" s="2">
        <v>15</v>
      </c>
      <c r="B501" s="2" t="s">
        <v>2481</v>
      </c>
      <c r="C501" s="60" t="s">
        <v>12410</v>
      </c>
      <c r="D501" s="1"/>
      <c r="E501" s="68"/>
      <c r="F501" s="70"/>
      <c r="G501" s="74" t="s">
        <v>17747</v>
      </c>
      <c r="H501" s="62"/>
      <c r="I501" s="63"/>
      <c r="J501" s="85"/>
      <c r="K501" s="64"/>
      <c r="L501" s="65"/>
      <c r="M501" s="67"/>
      <c r="N501" s="68" t="s">
        <v>1</v>
      </c>
      <c r="O501" s="76">
        <v>0.25</v>
      </c>
      <c r="P501" s="70" t="s">
        <v>422</v>
      </c>
      <c r="Q501" s="67"/>
      <c r="R501" s="68"/>
      <c r="S501" s="76"/>
      <c r="T501" s="70"/>
      <c r="U501" s="120">
        <f>ROUND((ROUND((ROUND((_15_同援日増１０．５*_15・基礎２),0)*(1+_15・盲ろう)),0)*(1+_15・区３)),0)</f>
        <v>1787</v>
      </c>
      <c r="V501" s="69"/>
    </row>
    <row r="502" spans="1:22" ht="16.5" customHeight="1" x14ac:dyDescent="0.3">
      <c r="A502" s="2">
        <v>15</v>
      </c>
      <c r="B502" s="2" t="s">
        <v>2482</v>
      </c>
      <c r="C502" s="60" t="s">
        <v>12409</v>
      </c>
      <c r="D502" s="1"/>
      <c r="E502" s="68"/>
      <c r="F502" s="70"/>
      <c r="G502" s="106" t="s">
        <v>17420</v>
      </c>
      <c r="H502" s="57" t="s">
        <v>1</v>
      </c>
      <c r="I502" s="58">
        <v>0.9</v>
      </c>
      <c r="J502" s="83" t="s">
        <v>5895</v>
      </c>
      <c r="K502" s="64" t="s">
        <v>1</v>
      </c>
      <c r="L502" s="65">
        <v>1</v>
      </c>
      <c r="M502" s="66"/>
      <c r="N502" s="57"/>
      <c r="O502" s="58"/>
      <c r="P502" s="77"/>
      <c r="Q502" s="66"/>
      <c r="R502" s="57"/>
      <c r="S502" s="58"/>
      <c r="T502" s="77"/>
      <c r="U502" s="120">
        <f>ROUND((ROUND((ROUND((ROUND((_15_同援日増１０．５*_15・基礎２),0)*_15・２人),0)*(1+_15・盲ろう)),0)*(1+_15・区３)),0)</f>
        <v>1787</v>
      </c>
      <c r="V502" s="69"/>
    </row>
    <row r="503" spans="1:22" ht="16.5" customHeight="1" x14ac:dyDescent="0.3">
      <c r="A503" s="2">
        <v>15</v>
      </c>
      <c r="B503" s="2" t="s">
        <v>2483</v>
      </c>
      <c r="C503" s="60" t="s">
        <v>12408</v>
      </c>
      <c r="D503" s="1"/>
      <c r="E503" s="68"/>
      <c r="F503" s="70"/>
      <c r="G503" s="61"/>
      <c r="H503" s="62"/>
      <c r="I503" s="63"/>
      <c r="J503" s="85"/>
      <c r="K503" s="64"/>
      <c r="L503" s="65"/>
      <c r="M503" s="61"/>
      <c r="N503" s="62"/>
      <c r="O503" s="63"/>
      <c r="P503" s="75"/>
      <c r="Q503" s="61"/>
      <c r="R503" s="62"/>
      <c r="S503" s="63"/>
      <c r="T503" s="75"/>
      <c r="U503" s="120">
        <f>ROUND((_15_同援日増１０．５*(1+_15・区４)),0)</f>
        <v>1852</v>
      </c>
      <c r="V503" s="69"/>
    </row>
    <row r="504" spans="1:22" ht="16.5" customHeight="1" x14ac:dyDescent="0.3">
      <c r="A504" s="2">
        <v>15</v>
      </c>
      <c r="B504" s="2" t="s">
        <v>2484</v>
      </c>
      <c r="C504" s="60" t="s">
        <v>12407</v>
      </c>
      <c r="D504" s="1"/>
      <c r="E504" s="68"/>
      <c r="F504" s="70"/>
      <c r="G504" s="66"/>
      <c r="H504" s="57"/>
      <c r="I504" s="58"/>
      <c r="J504" s="83" t="s">
        <v>5895</v>
      </c>
      <c r="K504" s="64" t="s">
        <v>1</v>
      </c>
      <c r="L504" s="65">
        <v>1</v>
      </c>
      <c r="M504" s="67"/>
      <c r="N504" s="68"/>
      <c r="O504" s="76"/>
      <c r="P504" s="70"/>
      <c r="Q504" s="67"/>
      <c r="R504" s="68"/>
      <c r="S504" s="76"/>
      <c r="T504" s="70"/>
      <c r="U504" s="120">
        <f>ROUND((ROUND((_15_同援日増１０．５*_15・２人),0)*(1+_15・区４)),0)</f>
        <v>1852</v>
      </c>
      <c r="V504" s="69"/>
    </row>
    <row r="505" spans="1:22" ht="16.5" customHeight="1" x14ac:dyDescent="0.3">
      <c r="A505" s="2">
        <v>15</v>
      </c>
      <c r="B505" s="2" t="s">
        <v>2485</v>
      </c>
      <c r="C505" s="60" t="s">
        <v>12406</v>
      </c>
      <c r="D505" s="1"/>
      <c r="E505" s="68"/>
      <c r="F505" s="70"/>
      <c r="G505" s="74" t="s">
        <v>17747</v>
      </c>
      <c r="H505" s="62"/>
      <c r="I505" s="63"/>
      <c r="J505" s="85"/>
      <c r="K505" s="64"/>
      <c r="L505" s="65"/>
      <c r="M505" s="67"/>
      <c r="N505" s="68"/>
      <c r="O505" s="76"/>
      <c r="P505" s="70"/>
      <c r="Q505" s="1" t="s">
        <v>17935</v>
      </c>
      <c r="R505" s="68"/>
      <c r="S505" s="76"/>
      <c r="T505" s="70"/>
      <c r="U505" s="120">
        <f>ROUND((ROUND((_15_同援日増１０．５*_15・基礎２),0)*(1+_15・区４)),0)</f>
        <v>1667</v>
      </c>
      <c r="V505" s="69"/>
    </row>
    <row r="506" spans="1:22" ht="16.5" customHeight="1" x14ac:dyDescent="0.3">
      <c r="A506" s="2">
        <v>15</v>
      </c>
      <c r="B506" s="2" t="s">
        <v>2486</v>
      </c>
      <c r="C506" s="60" t="s">
        <v>12405</v>
      </c>
      <c r="D506" s="1"/>
      <c r="E506" s="68"/>
      <c r="F506" s="70"/>
      <c r="G506" s="106" t="s">
        <v>17420</v>
      </c>
      <c r="H506" s="57" t="s">
        <v>1</v>
      </c>
      <c r="I506" s="58">
        <v>0.9</v>
      </c>
      <c r="J506" s="83" t="s">
        <v>5895</v>
      </c>
      <c r="K506" s="64" t="s">
        <v>1</v>
      </c>
      <c r="L506" s="65">
        <v>1</v>
      </c>
      <c r="M506" s="66"/>
      <c r="N506" s="57"/>
      <c r="O506" s="58"/>
      <c r="P506" s="77"/>
      <c r="Q506" s="1" t="s">
        <v>17934</v>
      </c>
      <c r="R506" s="68"/>
      <c r="S506" s="76"/>
      <c r="T506" s="70"/>
      <c r="U506" s="120">
        <f>ROUND((ROUND((ROUND((_15_同援日増１０．５*_15・基礎２),0)*_15・２人),0)*(1+_15・区４)),0)</f>
        <v>1667</v>
      </c>
      <c r="V506" s="69"/>
    </row>
    <row r="507" spans="1:22" ht="16.5" customHeight="1" x14ac:dyDescent="0.3">
      <c r="A507" s="2">
        <v>15</v>
      </c>
      <c r="B507" s="2" t="s">
        <v>2487</v>
      </c>
      <c r="C507" s="60" t="s">
        <v>12404</v>
      </c>
      <c r="D507" s="1"/>
      <c r="E507" s="68"/>
      <c r="F507" s="70"/>
      <c r="G507" s="61"/>
      <c r="H507" s="62"/>
      <c r="I507" s="63"/>
      <c r="J507" s="85"/>
      <c r="K507" s="64"/>
      <c r="L507" s="65"/>
      <c r="M507" s="74" t="s">
        <v>17933</v>
      </c>
      <c r="N507" s="62"/>
      <c r="O507" s="63"/>
      <c r="P507" s="75"/>
      <c r="Q507" s="67"/>
      <c r="R507" s="68" t="s">
        <v>1</v>
      </c>
      <c r="S507" s="76">
        <v>0.4</v>
      </c>
      <c r="T507" s="70" t="s">
        <v>422</v>
      </c>
      <c r="U507" s="120">
        <f>ROUND((ROUND((_15_同援日増１０．５*(1+_15・盲ろう)),0)*(1+_15・区４)),0)</f>
        <v>2316</v>
      </c>
      <c r="V507" s="69"/>
    </row>
    <row r="508" spans="1:22" ht="16.5" customHeight="1" x14ac:dyDescent="0.3">
      <c r="A508" s="2">
        <v>15</v>
      </c>
      <c r="B508" s="2" t="s">
        <v>2488</v>
      </c>
      <c r="C508" s="60" t="s">
        <v>12403</v>
      </c>
      <c r="D508" s="1"/>
      <c r="E508" s="68"/>
      <c r="F508" s="70"/>
      <c r="G508" s="66"/>
      <c r="H508" s="57"/>
      <c r="I508" s="58"/>
      <c r="J508" s="83" t="s">
        <v>5895</v>
      </c>
      <c r="K508" s="64" t="s">
        <v>1</v>
      </c>
      <c r="L508" s="65">
        <v>1</v>
      </c>
      <c r="M508" s="94" t="s">
        <v>17932</v>
      </c>
      <c r="N508" s="68"/>
      <c r="O508" s="76"/>
      <c r="P508" s="70"/>
      <c r="Q508" s="67"/>
      <c r="R508" s="68"/>
      <c r="S508" s="76"/>
      <c r="T508" s="70"/>
      <c r="U508" s="120">
        <f>ROUND((ROUND((ROUND((_15_同援日増１０．５*_15・２人),0)*(1+_15・盲ろう)),0)*(1+_15・区４)),0)</f>
        <v>2316</v>
      </c>
      <c r="V508" s="69"/>
    </row>
    <row r="509" spans="1:22" ht="16.5" customHeight="1" x14ac:dyDescent="0.3">
      <c r="A509" s="2">
        <v>15</v>
      </c>
      <c r="B509" s="2" t="s">
        <v>2489</v>
      </c>
      <c r="C509" s="60" t="s">
        <v>12402</v>
      </c>
      <c r="D509" s="1"/>
      <c r="E509" s="68"/>
      <c r="F509" s="70"/>
      <c r="G509" s="74" t="s">
        <v>17747</v>
      </c>
      <c r="H509" s="62"/>
      <c r="I509" s="63"/>
      <c r="J509" s="85"/>
      <c r="K509" s="64"/>
      <c r="L509" s="65"/>
      <c r="M509" s="67"/>
      <c r="N509" s="68" t="s">
        <v>1</v>
      </c>
      <c r="O509" s="76">
        <v>0.25</v>
      </c>
      <c r="P509" s="70" t="s">
        <v>422</v>
      </c>
      <c r="Q509" s="67"/>
      <c r="R509" s="68"/>
      <c r="S509" s="76"/>
      <c r="T509" s="70"/>
      <c r="U509" s="120">
        <f>ROUND((ROUND((ROUND((_15_同援日増１０．５*_15・基礎２),0)*(1+_15・盲ろう)),0)*(1+_15・区４)),0)</f>
        <v>2085</v>
      </c>
      <c r="V509" s="69"/>
    </row>
    <row r="510" spans="1:22" ht="16.5" customHeight="1" x14ac:dyDescent="0.3">
      <c r="A510" s="2">
        <v>15</v>
      </c>
      <c r="B510" s="2" t="s">
        <v>2490</v>
      </c>
      <c r="C510" s="60" t="s">
        <v>12401</v>
      </c>
      <c r="D510" s="81"/>
      <c r="E510" s="57"/>
      <c r="F510" s="77"/>
      <c r="G510" s="106" t="s">
        <v>17420</v>
      </c>
      <c r="H510" s="57" t="s">
        <v>1</v>
      </c>
      <c r="I510" s="58">
        <v>0.9</v>
      </c>
      <c r="J510" s="83" t="s">
        <v>5895</v>
      </c>
      <c r="K510" s="64" t="s">
        <v>1</v>
      </c>
      <c r="L510" s="65">
        <v>1</v>
      </c>
      <c r="M510" s="66"/>
      <c r="N510" s="57"/>
      <c r="O510" s="58"/>
      <c r="P510" s="77"/>
      <c r="Q510" s="66"/>
      <c r="R510" s="57"/>
      <c r="S510" s="58"/>
      <c r="T510" s="77"/>
      <c r="U510" s="120">
        <f>ROUND((ROUND((ROUND((ROUND((_15_同援日増１０．５*_15・基礎２),0)*_15・２人),0)*(1+_15・盲ろう)),0)*(1+_15・区４)),0)</f>
        <v>2085</v>
      </c>
      <c r="V510" s="71"/>
    </row>
    <row r="511" spans="1:22" ht="16.5" customHeight="1" x14ac:dyDescent="0.3"/>
    <row r="512" spans="1:2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9" fitToHeight="0" orientation="portrait" r:id="rId1"/>
  <headerFooter>
    <oddHeader>&amp;R&amp;"ＭＳ Ｐゴシック"&amp;9同行援護</oddHeader>
    <oddFooter>&amp;C&amp;"ＭＳ Ｐゴシック"&amp;14&amp;P</oddFooter>
  </headerFooter>
  <rowBreaks count="5" manualBreakCount="5">
    <brk id="94" max="16383" man="1"/>
    <brk id="190" max="16383" man="1"/>
    <brk id="286" max="16383" man="1"/>
    <brk id="382" max="16383" man="1"/>
    <brk id="47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0000"/>
    <pageSetUpPr fitToPage="1"/>
  </sheetPr>
  <dimension ref="A1:X349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734375" style="45" customWidth="1"/>
    <col min="5" max="5" width="4.1015625" style="46" bestFit="1" customWidth="1"/>
    <col min="6" max="6" width="4.734375" style="46" bestFit="1" customWidth="1"/>
    <col min="7" max="7" width="14.62890625" style="46" customWidth="1"/>
    <col min="8" max="8" width="3.1015625" style="46" bestFit="1" customWidth="1"/>
    <col min="9" max="9" width="4.1015625" style="47" bestFit="1" customWidth="1"/>
    <col min="10" max="10" width="26.47265625" style="46" bestFit="1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10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18198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 t="s">
        <v>2491</v>
      </c>
      <c r="C7" s="60" t="s">
        <v>13242</v>
      </c>
      <c r="D7" s="233" t="s">
        <v>16320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ROUND((_15_同援日増０．５*(1+_15・A早朝)),0)</f>
        <v>79</v>
      </c>
      <c r="X7" s="52" t="s">
        <v>5863</v>
      </c>
    </row>
    <row r="8" spans="1:24" ht="16.5" customHeight="1" x14ac:dyDescent="0.3">
      <c r="A8" s="2">
        <v>15</v>
      </c>
      <c r="B8" s="2" t="s">
        <v>2492</v>
      </c>
      <c r="C8" s="60" t="s">
        <v>13241</v>
      </c>
      <c r="D8" s="1" t="s">
        <v>7928</v>
      </c>
      <c r="E8" s="68"/>
      <c r="F8" s="70"/>
      <c r="G8" s="66"/>
      <c r="H8" s="57"/>
      <c r="I8" s="58"/>
      <c r="J8" s="83" t="s">
        <v>5895</v>
      </c>
      <c r="K8" s="64" t="s">
        <v>1</v>
      </c>
      <c r="L8" s="65">
        <v>1</v>
      </c>
      <c r="M8" s="99"/>
      <c r="N8" s="70"/>
      <c r="O8" s="67"/>
      <c r="P8" s="68"/>
      <c r="Q8" s="76"/>
      <c r="R8" s="70"/>
      <c r="S8" s="67"/>
      <c r="T8" s="68"/>
      <c r="U8" s="76"/>
      <c r="V8" s="70"/>
      <c r="W8" s="120">
        <f>ROUND((ROUND((_15_同援日増０．５*_15・２人),0)*(1+_15・A早朝)),0)</f>
        <v>79</v>
      </c>
      <c r="X8" s="69"/>
    </row>
    <row r="9" spans="1:24" ht="16.5" customHeight="1" x14ac:dyDescent="0.3">
      <c r="A9" s="2">
        <v>15</v>
      </c>
      <c r="B9" s="2" t="s">
        <v>2493</v>
      </c>
      <c r="C9" s="60" t="s">
        <v>13240</v>
      </c>
      <c r="D9" s="1"/>
      <c r="E9" s="68"/>
      <c r="F9" s="70"/>
      <c r="G9" s="74" t="s">
        <v>5898</v>
      </c>
      <c r="H9" s="62"/>
      <c r="I9" s="63"/>
      <c r="J9" s="85"/>
      <c r="K9" s="64"/>
      <c r="L9" s="65"/>
      <c r="M9" s="99"/>
      <c r="N9" s="70"/>
      <c r="O9" s="67"/>
      <c r="P9" s="68"/>
      <c r="Q9" s="76"/>
      <c r="R9" s="70"/>
      <c r="S9" s="67"/>
      <c r="T9" s="68"/>
      <c r="U9" s="76"/>
      <c r="V9" s="70"/>
      <c r="W9" s="120">
        <f>ROUND((ROUND((_15_同援日増０．５*_15・基礎２),0)*(1+_15・A早朝)),0)</f>
        <v>71</v>
      </c>
      <c r="X9" s="69"/>
    </row>
    <row r="10" spans="1:24" ht="16.5" customHeight="1" x14ac:dyDescent="0.3">
      <c r="A10" s="2">
        <v>15</v>
      </c>
      <c r="B10" s="2" t="s">
        <v>2494</v>
      </c>
      <c r="C10" s="60" t="s">
        <v>13239</v>
      </c>
      <c r="D10" s="1"/>
      <c r="E10" s="119">
        <v>63</v>
      </c>
      <c r="F10" s="70" t="s">
        <v>0</v>
      </c>
      <c r="G10" s="106" t="s">
        <v>16812</v>
      </c>
      <c r="H10" s="57" t="s">
        <v>1</v>
      </c>
      <c r="I10" s="58">
        <v>0.9</v>
      </c>
      <c r="J10" s="83" t="s">
        <v>5895</v>
      </c>
      <c r="K10" s="64" t="s">
        <v>1</v>
      </c>
      <c r="L10" s="65">
        <v>1</v>
      </c>
      <c r="M10" s="99"/>
      <c r="N10" s="70"/>
      <c r="O10" s="66"/>
      <c r="P10" s="57"/>
      <c r="Q10" s="58"/>
      <c r="R10" s="77"/>
      <c r="S10" s="67"/>
      <c r="T10" s="68"/>
      <c r="U10" s="76"/>
      <c r="V10" s="70"/>
      <c r="W10" s="120">
        <f>ROUND((ROUND((ROUND((_15_同援日増０．５*_15・基礎２),0)*_15・２人),0)*(1+_15・A早朝)),0)</f>
        <v>71</v>
      </c>
      <c r="X10" s="69"/>
    </row>
    <row r="11" spans="1:24" ht="16.5" customHeight="1" x14ac:dyDescent="0.3">
      <c r="A11" s="2">
        <v>15</v>
      </c>
      <c r="B11" s="2" t="s">
        <v>2495</v>
      </c>
      <c r="C11" s="60" t="s">
        <v>13238</v>
      </c>
      <c r="D11" s="1"/>
      <c r="E11" s="68"/>
      <c r="F11" s="70"/>
      <c r="G11" s="61"/>
      <c r="H11" s="62"/>
      <c r="I11" s="63"/>
      <c r="J11" s="85"/>
      <c r="K11" s="64"/>
      <c r="L11" s="65"/>
      <c r="M11" s="99"/>
      <c r="N11" s="70"/>
      <c r="O11" s="74" t="s">
        <v>17969</v>
      </c>
      <c r="P11" s="62"/>
      <c r="Q11" s="63"/>
      <c r="R11" s="75"/>
      <c r="S11" s="67"/>
      <c r="T11" s="68"/>
      <c r="U11" s="76"/>
      <c r="V11" s="70"/>
      <c r="W11" s="120">
        <f>ROUND((ROUND((_15_同援日増０．５*(1+_15・A早朝)),0)*(1+_15・盲ろう)),0)</f>
        <v>99</v>
      </c>
      <c r="X11" s="69"/>
    </row>
    <row r="12" spans="1:24" ht="16.5" customHeight="1" x14ac:dyDescent="0.3">
      <c r="A12" s="2">
        <v>15</v>
      </c>
      <c r="B12" s="2" t="s">
        <v>2496</v>
      </c>
      <c r="C12" s="60" t="s">
        <v>13237</v>
      </c>
      <c r="D12" s="1"/>
      <c r="E12" s="68"/>
      <c r="F12" s="70"/>
      <c r="G12" s="66"/>
      <c r="H12" s="57"/>
      <c r="I12" s="58"/>
      <c r="J12" s="83" t="s">
        <v>5895</v>
      </c>
      <c r="K12" s="64" t="s">
        <v>1</v>
      </c>
      <c r="L12" s="65">
        <v>1</v>
      </c>
      <c r="M12" s="108" t="s">
        <v>7895</v>
      </c>
      <c r="N12" s="70"/>
      <c r="O12" s="94" t="s">
        <v>8083</v>
      </c>
      <c r="P12" s="68"/>
      <c r="Q12" s="76"/>
      <c r="R12" s="70"/>
      <c r="S12" s="67"/>
      <c r="T12" s="68"/>
      <c r="U12" s="76"/>
      <c r="V12" s="70"/>
      <c r="W12" s="120">
        <f>ROUND((ROUND((ROUND((_15_同援日増０．５*_15・２人),0)*(1+_15・A早朝)),0)*(1+_15・盲ろう)),0)</f>
        <v>99</v>
      </c>
      <c r="X12" s="69"/>
    </row>
    <row r="13" spans="1:24" ht="16.5" customHeight="1" x14ac:dyDescent="0.3">
      <c r="A13" s="2">
        <v>15</v>
      </c>
      <c r="B13" s="2" t="s">
        <v>2497</v>
      </c>
      <c r="C13" s="60" t="s">
        <v>13236</v>
      </c>
      <c r="D13" s="1"/>
      <c r="E13" s="68"/>
      <c r="F13" s="70"/>
      <c r="G13" s="74" t="s">
        <v>5898</v>
      </c>
      <c r="H13" s="62"/>
      <c r="I13" s="63"/>
      <c r="J13" s="85"/>
      <c r="K13" s="64"/>
      <c r="L13" s="65"/>
      <c r="M13" s="99"/>
      <c r="N13" s="110" t="s">
        <v>8034</v>
      </c>
      <c r="O13" s="67"/>
      <c r="P13" s="68" t="s">
        <v>1</v>
      </c>
      <c r="Q13" s="76">
        <v>0.25</v>
      </c>
      <c r="R13" s="70" t="s">
        <v>422</v>
      </c>
      <c r="S13" s="67"/>
      <c r="T13" s="68"/>
      <c r="U13" s="76"/>
      <c r="V13" s="70"/>
      <c r="W13" s="120">
        <f>ROUND((ROUND((ROUND((_15_同援日増０．５*_15・基礎２),0)*(1+_15・A早朝)),0)*(1+_15・盲ろう)),0)</f>
        <v>89</v>
      </c>
      <c r="X13" s="69"/>
    </row>
    <row r="14" spans="1:24" ht="16.5" customHeight="1" x14ac:dyDescent="0.3">
      <c r="A14" s="2">
        <v>15</v>
      </c>
      <c r="B14" s="2" t="s">
        <v>2498</v>
      </c>
      <c r="C14" s="60" t="s">
        <v>13235</v>
      </c>
      <c r="D14" s="1"/>
      <c r="E14" s="68"/>
      <c r="F14" s="70"/>
      <c r="G14" s="106" t="s">
        <v>5896</v>
      </c>
      <c r="H14" s="57" t="s">
        <v>1</v>
      </c>
      <c r="I14" s="58">
        <v>0.9</v>
      </c>
      <c r="J14" s="83" t="s">
        <v>5895</v>
      </c>
      <c r="K14" s="64" t="s">
        <v>1</v>
      </c>
      <c r="L14" s="65">
        <v>1</v>
      </c>
      <c r="M14" s="99"/>
      <c r="N14" s="70"/>
      <c r="O14" s="66"/>
      <c r="P14" s="57"/>
      <c r="Q14" s="58"/>
      <c r="R14" s="77"/>
      <c r="S14" s="66"/>
      <c r="T14" s="57"/>
      <c r="U14" s="58"/>
      <c r="V14" s="77"/>
      <c r="W14" s="120">
        <f>ROUND((ROUND((ROUND((ROUND((_15_同援日増０．５*_15・基礎２),0)*_15・２人),0)*(1+_15・A早朝)),0)*(1+_15・盲ろう)),0)</f>
        <v>89</v>
      </c>
      <c r="X14" s="69"/>
    </row>
    <row r="15" spans="1:24" ht="16.5" customHeight="1" x14ac:dyDescent="0.3">
      <c r="A15" s="2">
        <v>15</v>
      </c>
      <c r="B15" s="2" t="s">
        <v>2499</v>
      </c>
      <c r="C15" s="60" t="s">
        <v>13234</v>
      </c>
      <c r="D15" s="1"/>
      <c r="E15" s="68"/>
      <c r="F15" s="70"/>
      <c r="G15" s="61"/>
      <c r="H15" s="62"/>
      <c r="I15" s="63"/>
      <c r="J15" s="85"/>
      <c r="K15" s="64"/>
      <c r="L15" s="65"/>
      <c r="M15" s="67" t="s">
        <v>1</v>
      </c>
      <c r="N15" s="93">
        <v>0.25</v>
      </c>
      <c r="O15" s="61"/>
      <c r="P15" s="62"/>
      <c r="Q15" s="63"/>
      <c r="R15" s="75"/>
      <c r="S15" s="61"/>
      <c r="T15" s="62"/>
      <c r="U15" s="63"/>
      <c r="V15" s="75"/>
      <c r="W15" s="120">
        <f>ROUND((ROUND((_15_同援日増０．５*(1+_15・A早朝)),0)*(1+_15・区３)),0)</f>
        <v>95</v>
      </c>
      <c r="X15" s="69"/>
    </row>
    <row r="16" spans="1:24" ht="16.5" customHeight="1" x14ac:dyDescent="0.3">
      <c r="A16" s="2">
        <v>15</v>
      </c>
      <c r="B16" s="2" t="s">
        <v>2500</v>
      </c>
      <c r="C16" s="60" t="s">
        <v>13233</v>
      </c>
      <c r="D16" s="1"/>
      <c r="E16" s="68"/>
      <c r="F16" s="70"/>
      <c r="G16" s="66"/>
      <c r="H16" s="57"/>
      <c r="I16" s="58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7"/>
      <c r="P16" s="68"/>
      <c r="Q16" s="76"/>
      <c r="R16" s="70"/>
      <c r="S16" s="67"/>
      <c r="T16" s="68"/>
      <c r="U16" s="76"/>
      <c r="V16" s="70"/>
      <c r="W16" s="120">
        <f>ROUND((ROUND((ROUND((_15_同援日増０．５*_15・２人),0)*(1+_15・A早朝)),0)*(1+_15・区３)),0)</f>
        <v>95</v>
      </c>
      <c r="X16" s="69"/>
    </row>
    <row r="17" spans="1:24" ht="16.5" customHeight="1" x14ac:dyDescent="0.3">
      <c r="A17" s="2">
        <v>15</v>
      </c>
      <c r="B17" s="2" t="s">
        <v>2501</v>
      </c>
      <c r="C17" s="60" t="s">
        <v>13232</v>
      </c>
      <c r="D17" s="1"/>
      <c r="E17" s="68"/>
      <c r="F17" s="70"/>
      <c r="G17" s="74" t="s">
        <v>5898</v>
      </c>
      <c r="H17" s="62"/>
      <c r="I17" s="63"/>
      <c r="J17" s="85"/>
      <c r="K17" s="64"/>
      <c r="L17" s="65"/>
      <c r="M17" s="99"/>
      <c r="N17" s="70"/>
      <c r="O17" s="67"/>
      <c r="P17" s="68"/>
      <c r="Q17" s="76"/>
      <c r="R17" s="70"/>
      <c r="S17" s="1" t="s">
        <v>8098</v>
      </c>
      <c r="T17" s="68"/>
      <c r="U17" s="76"/>
      <c r="V17" s="70"/>
      <c r="W17" s="120">
        <f>ROUND((ROUND((ROUND((_15_同援日増０．５*_15・基礎２),0)*(1+_15・A早朝)),0)*(1+_15・区３)),0)</f>
        <v>85</v>
      </c>
      <c r="X17" s="69"/>
    </row>
    <row r="18" spans="1:24" ht="16.5" customHeight="1" x14ac:dyDescent="0.3">
      <c r="A18" s="2">
        <v>15</v>
      </c>
      <c r="B18" s="2" t="s">
        <v>2502</v>
      </c>
      <c r="C18" s="60" t="s">
        <v>13231</v>
      </c>
      <c r="D18" s="1"/>
      <c r="E18" s="68"/>
      <c r="F18" s="70"/>
      <c r="G18" s="106" t="s">
        <v>16812</v>
      </c>
      <c r="H18" s="57" t="s">
        <v>1</v>
      </c>
      <c r="I18" s="58">
        <v>0.9</v>
      </c>
      <c r="J18" s="83" t="s">
        <v>5895</v>
      </c>
      <c r="K18" s="64" t="s">
        <v>1</v>
      </c>
      <c r="L18" s="65">
        <v>1</v>
      </c>
      <c r="M18" s="99"/>
      <c r="N18" s="70"/>
      <c r="O18" s="66"/>
      <c r="P18" s="57"/>
      <c r="Q18" s="58"/>
      <c r="R18" s="77"/>
      <c r="S18" s="1" t="s">
        <v>17970</v>
      </c>
      <c r="T18" s="68"/>
      <c r="U18" s="76"/>
      <c r="V18" s="70"/>
      <c r="W18" s="120">
        <f>ROUND((ROUND((ROUND((ROUND((_15_同援日増０．５*_15・基礎２),0)*_15・２人),0)*(1+_15・A早朝)),0)*(1+_15・区３)),0)</f>
        <v>85</v>
      </c>
      <c r="X18" s="69"/>
    </row>
    <row r="19" spans="1:24" ht="16.5" customHeight="1" x14ac:dyDescent="0.3">
      <c r="A19" s="2">
        <v>15</v>
      </c>
      <c r="B19" s="2" t="s">
        <v>2503</v>
      </c>
      <c r="C19" s="60" t="s">
        <v>13230</v>
      </c>
      <c r="D19" s="1"/>
      <c r="E19" s="68"/>
      <c r="F19" s="70"/>
      <c r="G19" s="61"/>
      <c r="H19" s="62"/>
      <c r="I19" s="63"/>
      <c r="J19" s="85"/>
      <c r="K19" s="64"/>
      <c r="L19" s="65"/>
      <c r="M19" s="99"/>
      <c r="N19" s="70"/>
      <c r="O19" s="74" t="s">
        <v>17969</v>
      </c>
      <c r="P19" s="62"/>
      <c r="Q19" s="63"/>
      <c r="R19" s="75"/>
      <c r="S19" s="67"/>
      <c r="T19" s="68" t="s">
        <v>1</v>
      </c>
      <c r="U19" s="76">
        <v>0.2</v>
      </c>
      <c r="V19" s="70" t="s">
        <v>422</v>
      </c>
      <c r="W19" s="120">
        <f>ROUND((ROUND((ROUND((_15_同援日増０．５*(1+_15・A早朝)),0)*(1+_15・盲ろう)),0)*(1+_15・区３)),0)</f>
        <v>119</v>
      </c>
      <c r="X19" s="69"/>
    </row>
    <row r="20" spans="1:24" ht="16.5" customHeight="1" x14ac:dyDescent="0.3">
      <c r="A20" s="2">
        <v>15</v>
      </c>
      <c r="B20" s="2" t="s">
        <v>2504</v>
      </c>
      <c r="C20" s="60" t="s">
        <v>13229</v>
      </c>
      <c r="D20" s="1"/>
      <c r="E20" s="68"/>
      <c r="F20" s="70"/>
      <c r="G20" s="66"/>
      <c r="H20" s="57"/>
      <c r="I20" s="58"/>
      <c r="J20" s="83" t="s">
        <v>5895</v>
      </c>
      <c r="K20" s="64" t="s">
        <v>1</v>
      </c>
      <c r="L20" s="65">
        <v>1</v>
      </c>
      <c r="M20" s="99"/>
      <c r="N20" s="70"/>
      <c r="O20" s="94" t="s">
        <v>17968</v>
      </c>
      <c r="P20" s="68"/>
      <c r="Q20" s="76"/>
      <c r="R20" s="70"/>
      <c r="S20" s="67"/>
      <c r="T20" s="68"/>
      <c r="U20" s="76"/>
      <c r="V20" s="70"/>
      <c r="W20" s="120">
        <f>ROUND((ROUND((ROUND((ROUND((_15_同援日増０．５*_15・２人),0)*(1+_15・A早朝)),0)*(1+_15・盲ろう)),0)*(1+_15・区３)),0)</f>
        <v>119</v>
      </c>
      <c r="X20" s="69"/>
    </row>
    <row r="21" spans="1:24" ht="16.5" customHeight="1" x14ac:dyDescent="0.3">
      <c r="A21" s="2">
        <v>15</v>
      </c>
      <c r="B21" s="2" t="s">
        <v>2505</v>
      </c>
      <c r="C21" s="60" t="s">
        <v>13228</v>
      </c>
      <c r="D21" s="1"/>
      <c r="E21" s="68"/>
      <c r="F21" s="70"/>
      <c r="G21" s="74" t="s">
        <v>16823</v>
      </c>
      <c r="H21" s="62"/>
      <c r="I21" s="63"/>
      <c r="J21" s="85"/>
      <c r="K21" s="64"/>
      <c r="L21" s="65"/>
      <c r="M21" s="99"/>
      <c r="N21" s="70"/>
      <c r="O21" s="67"/>
      <c r="P21" s="68" t="s">
        <v>1</v>
      </c>
      <c r="Q21" s="76">
        <v>0.25</v>
      </c>
      <c r="R21" s="70" t="s">
        <v>422</v>
      </c>
      <c r="S21" s="67"/>
      <c r="T21" s="68"/>
      <c r="U21" s="76"/>
      <c r="V21" s="70"/>
      <c r="W21" s="120">
        <f>ROUND((ROUND((ROUND((ROUND((_15_同援日増０．５*_15・基礎２),0)*(1+_15・A早朝)),0)*(1+_15・盲ろう)),0)*(1+_15・区３)),0)</f>
        <v>107</v>
      </c>
      <c r="X21" s="69"/>
    </row>
    <row r="22" spans="1:24" ht="16.5" customHeight="1" x14ac:dyDescent="0.3">
      <c r="A22" s="2">
        <v>15</v>
      </c>
      <c r="B22" s="2" t="s">
        <v>2506</v>
      </c>
      <c r="C22" s="60" t="s">
        <v>13227</v>
      </c>
      <c r="D22" s="1"/>
      <c r="E22" s="68"/>
      <c r="F22" s="70"/>
      <c r="G22" s="106" t="s">
        <v>16812</v>
      </c>
      <c r="H22" s="57" t="s">
        <v>1</v>
      </c>
      <c r="I22" s="58">
        <v>0.9</v>
      </c>
      <c r="J22" s="83" t="s">
        <v>5895</v>
      </c>
      <c r="K22" s="64" t="s">
        <v>1</v>
      </c>
      <c r="L22" s="65">
        <v>1</v>
      </c>
      <c r="M22" s="99"/>
      <c r="N22" s="70"/>
      <c r="O22" s="66"/>
      <c r="P22" s="57"/>
      <c r="Q22" s="58"/>
      <c r="R22" s="77"/>
      <c r="S22" s="66"/>
      <c r="T22" s="57"/>
      <c r="U22" s="58"/>
      <c r="V22" s="77"/>
      <c r="W22" s="120">
        <f>ROUND((ROUND((ROUND((ROUND((ROUND((_15_同援日増０．５*_15・基礎２),0)*_15・２人),0)*(1+_15・A早朝)),0)*(1+_15・盲ろう)),0)*(1+_15・区３)),0)</f>
        <v>107</v>
      </c>
      <c r="X22" s="69"/>
    </row>
    <row r="23" spans="1:24" ht="16.5" customHeight="1" x14ac:dyDescent="0.3">
      <c r="A23" s="2">
        <v>15</v>
      </c>
      <c r="B23" s="2" t="s">
        <v>2507</v>
      </c>
      <c r="C23" s="60" t="s">
        <v>13226</v>
      </c>
      <c r="D23" s="1"/>
      <c r="E23" s="68"/>
      <c r="F23" s="70"/>
      <c r="G23" s="61"/>
      <c r="H23" s="62"/>
      <c r="I23" s="63"/>
      <c r="J23" s="85"/>
      <c r="K23" s="64"/>
      <c r="L23" s="65"/>
      <c r="M23" s="99"/>
      <c r="N23" s="70"/>
      <c r="O23" s="61"/>
      <c r="P23" s="62"/>
      <c r="Q23" s="63"/>
      <c r="R23" s="75"/>
      <c r="S23" s="61"/>
      <c r="T23" s="62"/>
      <c r="U23" s="63"/>
      <c r="V23" s="75"/>
      <c r="W23" s="120">
        <f>ROUND((ROUND((_15_同援日増０．５*(1+_15・A早朝)),0)*(1+_15・区４)),0)</f>
        <v>111</v>
      </c>
      <c r="X23" s="69"/>
    </row>
    <row r="24" spans="1:24" ht="16.5" customHeight="1" x14ac:dyDescent="0.3">
      <c r="A24" s="2">
        <v>15</v>
      </c>
      <c r="B24" s="2" t="s">
        <v>2508</v>
      </c>
      <c r="C24" s="60" t="s">
        <v>13225</v>
      </c>
      <c r="D24" s="1"/>
      <c r="E24" s="68"/>
      <c r="F24" s="70"/>
      <c r="G24" s="66"/>
      <c r="H24" s="57"/>
      <c r="I24" s="58"/>
      <c r="J24" s="83" t="s">
        <v>5895</v>
      </c>
      <c r="K24" s="64" t="s">
        <v>1</v>
      </c>
      <c r="L24" s="65">
        <v>1</v>
      </c>
      <c r="M24" s="99"/>
      <c r="N24" s="70"/>
      <c r="O24" s="67"/>
      <c r="P24" s="68"/>
      <c r="Q24" s="76"/>
      <c r="R24" s="70"/>
      <c r="S24" s="67"/>
      <c r="T24" s="68"/>
      <c r="U24" s="76"/>
      <c r="V24" s="70"/>
      <c r="W24" s="120">
        <f>ROUND((ROUND((ROUND((_15_同援日増０．５*_15・２人),0)*(1+_15・A早朝)),0)*(1+_15・区４)),0)</f>
        <v>111</v>
      </c>
      <c r="X24" s="69"/>
    </row>
    <row r="25" spans="1:24" ht="16.5" customHeight="1" x14ac:dyDescent="0.3">
      <c r="A25" s="2">
        <v>15</v>
      </c>
      <c r="B25" s="2" t="s">
        <v>2509</v>
      </c>
      <c r="C25" s="60" t="s">
        <v>13224</v>
      </c>
      <c r="D25" s="1"/>
      <c r="E25" s="68"/>
      <c r="F25" s="70"/>
      <c r="G25" s="74" t="s">
        <v>5898</v>
      </c>
      <c r="H25" s="62"/>
      <c r="I25" s="63"/>
      <c r="J25" s="85"/>
      <c r="K25" s="64"/>
      <c r="L25" s="65"/>
      <c r="M25" s="99"/>
      <c r="N25" s="70"/>
      <c r="O25" s="67"/>
      <c r="P25" s="68"/>
      <c r="Q25" s="76"/>
      <c r="R25" s="70"/>
      <c r="S25" s="1" t="s">
        <v>8089</v>
      </c>
      <c r="T25" s="68"/>
      <c r="U25" s="76"/>
      <c r="V25" s="70"/>
      <c r="W25" s="120">
        <f>ROUND((ROUND((ROUND((_15_同援日増０．５*_15・基礎２),0)*(1+_15・A早朝)),0)*(1+_15・区４)),0)</f>
        <v>99</v>
      </c>
      <c r="X25" s="69"/>
    </row>
    <row r="26" spans="1:24" ht="16.5" customHeight="1" x14ac:dyDescent="0.3">
      <c r="A26" s="2">
        <v>15</v>
      </c>
      <c r="B26" s="2" t="s">
        <v>2510</v>
      </c>
      <c r="C26" s="60" t="s">
        <v>13223</v>
      </c>
      <c r="D26" s="1"/>
      <c r="E26" s="68"/>
      <c r="F26" s="70"/>
      <c r="G26" s="106" t="s">
        <v>16812</v>
      </c>
      <c r="H26" s="57" t="s">
        <v>1</v>
      </c>
      <c r="I26" s="58">
        <v>0.9</v>
      </c>
      <c r="J26" s="83" t="s">
        <v>5895</v>
      </c>
      <c r="K26" s="64" t="s">
        <v>1</v>
      </c>
      <c r="L26" s="65">
        <v>1</v>
      </c>
      <c r="M26" s="99"/>
      <c r="N26" s="70"/>
      <c r="O26" s="66"/>
      <c r="P26" s="57"/>
      <c r="Q26" s="58"/>
      <c r="R26" s="77"/>
      <c r="S26" s="1" t="s">
        <v>8087</v>
      </c>
      <c r="T26" s="68"/>
      <c r="U26" s="76"/>
      <c r="V26" s="70"/>
      <c r="W26" s="120">
        <f>ROUND((ROUND((ROUND((ROUND((_15_同援日増０．５*_15・基礎２),0)*_15・２人),0)*(1+_15・A早朝)),0)*(1+_15・区４)),0)</f>
        <v>99</v>
      </c>
      <c r="X26" s="69"/>
    </row>
    <row r="27" spans="1:24" ht="16.5" customHeight="1" x14ac:dyDescent="0.3">
      <c r="A27" s="2">
        <v>15</v>
      </c>
      <c r="B27" s="2" t="s">
        <v>2511</v>
      </c>
      <c r="C27" s="60" t="s">
        <v>13222</v>
      </c>
      <c r="D27" s="1"/>
      <c r="E27" s="68"/>
      <c r="F27" s="70"/>
      <c r="G27" s="61"/>
      <c r="H27" s="62"/>
      <c r="I27" s="63"/>
      <c r="J27" s="85"/>
      <c r="K27" s="64"/>
      <c r="L27" s="65"/>
      <c r="M27" s="99"/>
      <c r="N27" s="70"/>
      <c r="O27" s="74" t="s">
        <v>17969</v>
      </c>
      <c r="P27" s="62"/>
      <c r="Q27" s="63"/>
      <c r="R27" s="75"/>
      <c r="S27" s="67"/>
      <c r="T27" s="68" t="s">
        <v>1</v>
      </c>
      <c r="U27" s="76">
        <v>0.4</v>
      </c>
      <c r="V27" s="70" t="s">
        <v>422</v>
      </c>
      <c r="W27" s="120">
        <f>ROUND((ROUND((ROUND((_15_同援日増０．５*(1+_15・A早朝)),0)*(1+_15・盲ろう)),0)*(1+_15・区４)),0)</f>
        <v>139</v>
      </c>
      <c r="X27" s="69"/>
    </row>
    <row r="28" spans="1:24" ht="16.5" customHeight="1" x14ac:dyDescent="0.3">
      <c r="A28" s="2">
        <v>15</v>
      </c>
      <c r="B28" s="2" t="s">
        <v>2512</v>
      </c>
      <c r="C28" s="60" t="s">
        <v>13221</v>
      </c>
      <c r="D28" s="1"/>
      <c r="E28" s="68"/>
      <c r="F28" s="70"/>
      <c r="G28" s="66"/>
      <c r="H28" s="57"/>
      <c r="I28" s="58"/>
      <c r="J28" s="83" t="s">
        <v>5895</v>
      </c>
      <c r="K28" s="64" t="s">
        <v>1</v>
      </c>
      <c r="L28" s="65">
        <v>1</v>
      </c>
      <c r="M28" s="99"/>
      <c r="N28" s="70"/>
      <c r="O28" s="94" t="s">
        <v>17968</v>
      </c>
      <c r="P28" s="68"/>
      <c r="Q28" s="76"/>
      <c r="R28" s="70"/>
      <c r="S28" s="67"/>
      <c r="T28" s="68"/>
      <c r="U28" s="76"/>
      <c r="V28" s="70"/>
      <c r="W28" s="120">
        <f>ROUND((ROUND((ROUND((ROUND((_15_同援日増０．５*_15・２人),0)*(1+_15・A早朝)),0)*(1+_15・盲ろう)),0)*(1+_15・区４)),0)</f>
        <v>139</v>
      </c>
      <c r="X28" s="69"/>
    </row>
    <row r="29" spans="1:24" ht="16.5" customHeight="1" x14ac:dyDescent="0.3">
      <c r="A29" s="2">
        <v>15</v>
      </c>
      <c r="B29" s="2" t="s">
        <v>2513</v>
      </c>
      <c r="C29" s="60" t="s">
        <v>13220</v>
      </c>
      <c r="D29" s="1"/>
      <c r="E29" s="68"/>
      <c r="F29" s="70"/>
      <c r="G29" s="74" t="s">
        <v>16823</v>
      </c>
      <c r="H29" s="62"/>
      <c r="I29" s="63"/>
      <c r="J29" s="85"/>
      <c r="K29" s="64"/>
      <c r="L29" s="65"/>
      <c r="M29" s="99"/>
      <c r="N29" s="70"/>
      <c r="O29" s="67"/>
      <c r="P29" s="68" t="s">
        <v>1</v>
      </c>
      <c r="Q29" s="76">
        <v>0.25</v>
      </c>
      <c r="R29" s="70" t="s">
        <v>422</v>
      </c>
      <c r="S29" s="67"/>
      <c r="T29" s="68"/>
      <c r="U29" s="76"/>
      <c r="V29" s="70"/>
      <c r="W29" s="120">
        <f>ROUND((ROUND((ROUND((ROUND((_15_同援日増０．５*_15・基礎２),0)*(1+_15・A早朝)),0)*(1+_15・盲ろう)),0)*(1+_15・区４)),0)</f>
        <v>125</v>
      </c>
      <c r="X29" s="69"/>
    </row>
    <row r="30" spans="1:24" ht="16.5" customHeight="1" x14ac:dyDescent="0.3">
      <c r="A30" s="2">
        <v>15</v>
      </c>
      <c r="B30" s="2" t="s">
        <v>2514</v>
      </c>
      <c r="C30" s="60" t="s">
        <v>13219</v>
      </c>
      <c r="D30" s="81"/>
      <c r="E30" s="57"/>
      <c r="F30" s="77"/>
      <c r="G30" s="106" t="s">
        <v>16812</v>
      </c>
      <c r="H30" s="57" t="s">
        <v>1</v>
      </c>
      <c r="I30" s="58">
        <v>0.9</v>
      </c>
      <c r="J30" s="83" t="s">
        <v>5895</v>
      </c>
      <c r="K30" s="64" t="s">
        <v>1</v>
      </c>
      <c r="L30" s="65">
        <v>1</v>
      </c>
      <c r="M30" s="99"/>
      <c r="N30" s="70"/>
      <c r="O30" s="66"/>
      <c r="P30" s="57"/>
      <c r="Q30" s="58"/>
      <c r="R30" s="77"/>
      <c r="S30" s="66"/>
      <c r="T30" s="57"/>
      <c r="U30" s="58"/>
      <c r="V30" s="77"/>
      <c r="W30" s="120">
        <f>ROUND((ROUND((ROUND((ROUND((ROUND((_15_同援日増０．５*_15・基礎２),0)*_15・２人),0)*(1+_15・A早朝)),0)*(1+_15・盲ろう)),0)*(1+_15・区４)),0)</f>
        <v>125</v>
      </c>
      <c r="X30" s="69"/>
    </row>
    <row r="31" spans="1:24" ht="16.5" customHeight="1" x14ac:dyDescent="0.3">
      <c r="A31" s="2">
        <v>15</v>
      </c>
      <c r="B31" s="2" t="s">
        <v>2515</v>
      </c>
      <c r="C31" s="60" t="s">
        <v>13218</v>
      </c>
      <c r="D31" s="233" t="s">
        <v>16321</v>
      </c>
      <c r="E31" s="62"/>
      <c r="F31" s="75"/>
      <c r="G31" s="61"/>
      <c r="H31" s="62"/>
      <c r="I31" s="63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120">
        <f>ROUND((_15_同援日増１．０*(1+_15・A早朝)),0)</f>
        <v>158</v>
      </c>
      <c r="X31" s="69"/>
    </row>
    <row r="32" spans="1:24" ht="16.5" customHeight="1" x14ac:dyDescent="0.3">
      <c r="A32" s="2">
        <v>15</v>
      </c>
      <c r="B32" s="2" t="s">
        <v>2516</v>
      </c>
      <c r="C32" s="60" t="s">
        <v>13217</v>
      </c>
      <c r="D32" s="1" t="s">
        <v>5993</v>
      </c>
      <c r="E32" s="68"/>
      <c r="F32" s="70"/>
      <c r="G32" s="66"/>
      <c r="H32" s="57"/>
      <c r="I32" s="58"/>
      <c r="J32" s="83" t="s">
        <v>5895</v>
      </c>
      <c r="K32" s="64" t="s">
        <v>1</v>
      </c>
      <c r="L32" s="65">
        <v>1</v>
      </c>
      <c r="M32" s="99"/>
      <c r="N32" s="70"/>
      <c r="O32" s="67"/>
      <c r="P32" s="68"/>
      <c r="Q32" s="76"/>
      <c r="R32" s="70"/>
      <c r="S32" s="67"/>
      <c r="T32" s="68"/>
      <c r="U32" s="76"/>
      <c r="V32" s="70"/>
      <c r="W32" s="120">
        <f>ROUND((ROUND((_15_同援日増１．０*_15・２人),0)*(1+_15・A早朝)),0)</f>
        <v>158</v>
      </c>
      <c r="X32" s="69"/>
    </row>
    <row r="33" spans="1:24" ht="16.5" customHeight="1" x14ac:dyDescent="0.3">
      <c r="A33" s="2">
        <v>15</v>
      </c>
      <c r="B33" s="2" t="s">
        <v>2517</v>
      </c>
      <c r="C33" s="60" t="s">
        <v>13216</v>
      </c>
      <c r="D33" s="1" t="s">
        <v>8572</v>
      </c>
      <c r="E33" s="68"/>
      <c r="F33" s="70"/>
      <c r="G33" s="74" t="s">
        <v>5898</v>
      </c>
      <c r="H33" s="62"/>
      <c r="I33" s="63"/>
      <c r="J33" s="85"/>
      <c r="K33" s="64"/>
      <c r="L33" s="65"/>
      <c r="M33" s="99"/>
      <c r="N33" s="70"/>
      <c r="O33" s="67"/>
      <c r="P33" s="68"/>
      <c r="Q33" s="76"/>
      <c r="R33" s="70"/>
      <c r="S33" s="67"/>
      <c r="T33" s="68"/>
      <c r="U33" s="76"/>
      <c r="V33" s="70"/>
      <c r="W33" s="120">
        <f>ROUND((ROUND((_15_同援日増１．０*_15・基礎２),0)*(1+_15・A早朝)),0)</f>
        <v>141</v>
      </c>
      <c r="X33" s="69"/>
    </row>
    <row r="34" spans="1:24" ht="16.5" customHeight="1" x14ac:dyDescent="0.3">
      <c r="A34" s="2">
        <v>15</v>
      </c>
      <c r="B34" s="2" t="s">
        <v>2518</v>
      </c>
      <c r="C34" s="60" t="s">
        <v>13215</v>
      </c>
      <c r="D34" s="1"/>
      <c r="E34" s="119">
        <v>126</v>
      </c>
      <c r="F34" s="70" t="s">
        <v>0</v>
      </c>
      <c r="G34" s="106" t="s">
        <v>5896</v>
      </c>
      <c r="H34" s="57" t="s">
        <v>1</v>
      </c>
      <c r="I34" s="58">
        <v>0.9</v>
      </c>
      <c r="J34" s="83" t="s">
        <v>5895</v>
      </c>
      <c r="K34" s="64" t="s">
        <v>1</v>
      </c>
      <c r="L34" s="65">
        <v>1</v>
      </c>
      <c r="M34" s="99"/>
      <c r="N34" s="70"/>
      <c r="O34" s="66"/>
      <c r="P34" s="57"/>
      <c r="Q34" s="58"/>
      <c r="R34" s="77"/>
      <c r="S34" s="67"/>
      <c r="T34" s="68"/>
      <c r="U34" s="76"/>
      <c r="V34" s="70"/>
      <c r="W34" s="120">
        <f>ROUND((ROUND((ROUND((_15_同援日増１．０*_15・基礎２),0)*_15・２人),0)*(1+_15・A早朝)),0)</f>
        <v>141</v>
      </c>
      <c r="X34" s="69"/>
    </row>
    <row r="35" spans="1:24" ht="16.5" customHeight="1" x14ac:dyDescent="0.3">
      <c r="A35" s="2">
        <v>15</v>
      </c>
      <c r="B35" s="2" t="s">
        <v>2519</v>
      </c>
      <c r="C35" s="60" t="s">
        <v>13214</v>
      </c>
      <c r="D35" s="1"/>
      <c r="E35" s="68"/>
      <c r="F35" s="70"/>
      <c r="G35" s="61"/>
      <c r="H35" s="62"/>
      <c r="I35" s="63"/>
      <c r="J35" s="85"/>
      <c r="K35" s="64"/>
      <c r="L35" s="65"/>
      <c r="M35" s="99"/>
      <c r="N35" s="70"/>
      <c r="O35" s="74" t="s">
        <v>8085</v>
      </c>
      <c r="P35" s="62"/>
      <c r="Q35" s="63"/>
      <c r="R35" s="75"/>
      <c r="S35" s="67"/>
      <c r="T35" s="68"/>
      <c r="U35" s="76"/>
      <c r="V35" s="70"/>
      <c r="W35" s="120">
        <f>ROUND((ROUND((_15_同援日増１．０*(1+_15・A早朝)),0)*(1+_15・盲ろう)),0)</f>
        <v>198</v>
      </c>
      <c r="X35" s="69"/>
    </row>
    <row r="36" spans="1:24" ht="16.5" customHeight="1" x14ac:dyDescent="0.3">
      <c r="A36" s="2">
        <v>15</v>
      </c>
      <c r="B36" s="2" t="s">
        <v>2520</v>
      </c>
      <c r="C36" s="60" t="s">
        <v>13213</v>
      </c>
      <c r="D36" s="1"/>
      <c r="E36" s="68"/>
      <c r="F36" s="70"/>
      <c r="G36" s="66"/>
      <c r="H36" s="57"/>
      <c r="I36" s="58"/>
      <c r="J36" s="83" t="s">
        <v>5895</v>
      </c>
      <c r="K36" s="64" t="s">
        <v>1</v>
      </c>
      <c r="L36" s="65">
        <v>1</v>
      </c>
      <c r="M36" s="99"/>
      <c r="N36" s="70"/>
      <c r="O36" s="94" t="s">
        <v>8083</v>
      </c>
      <c r="P36" s="68"/>
      <c r="Q36" s="76"/>
      <c r="R36" s="70"/>
      <c r="S36" s="67"/>
      <c r="T36" s="68"/>
      <c r="U36" s="76"/>
      <c r="V36" s="70"/>
      <c r="W36" s="120">
        <f>ROUND((ROUND((ROUND((_15_同援日増１．０*_15・２人),0)*(1+_15・A早朝)),0)*(1+_15・盲ろう)),0)</f>
        <v>198</v>
      </c>
      <c r="X36" s="69"/>
    </row>
    <row r="37" spans="1:24" ht="16.5" customHeight="1" x14ac:dyDescent="0.3">
      <c r="A37" s="2">
        <v>15</v>
      </c>
      <c r="B37" s="2" t="s">
        <v>2521</v>
      </c>
      <c r="C37" s="60" t="s">
        <v>13212</v>
      </c>
      <c r="D37" s="1"/>
      <c r="E37" s="68"/>
      <c r="F37" s="70"/>
      <c r="G37" s="74" t="s">
        <v>5898</v>
      </c>
      <c r="H37" s="62"/>
      <c r="I37" s="63"/>
      <c r="J37" s="85"/>
      <c r="K37" s="64"/>
      <c r="L37" s="65"/>
      <c r="M37" s="99"/>
      <c r="N37" s="70"/>
      <c r="O37" s="67"/>
      <c r="P37" s="68" t="s">
        <v>1</v>
      </c>
      <c r="Q37" s="76">
        <v>0.25</v>
      </c>
      <c r="R37" s="70" t="s">
        <v>422</v>
      </c>
      <c r="S37" s="67"/>
      <c r="T37" s="68"/>
      <c r="U37" s="76"/>
      <c r="V37" s="70"/>
      <c r="W37" s="120">
        <f>ROUND((ROUND((ROUND((_15_同援日増１．０*_15・基礎２),0)*(1+_15・A早朝)),0)*(1+_15・盲ろう)),0)</f>
        <v>176</v>
      </c>
      <c r="X37" s="69"/>
    </row>
    <row r="38" spans="1:24" ht="16.5" customHeight="1" x14ac:dyDescent="0.3">
      <c r="A38" s="2">
        <v>15</v>
      </c>
      <c r="B38" s="2" t="s">
        <v>2522</v>
      </c>
      <c r="C38" s="60" t="s">
        <v>13211</v>
      </c>
      <c r="D38" s="1"/>
      <c r="E38" s="68"/>
      <c r="F38" s="70"/>
      <c r="G38" s="106" t="s">
        <v>5896</v>
      </c>
      <c r="H38" s="57" t="s">
        <v>1</v>
      </c>
      <c r="I38" s="58">
        <v>0.9</v>
      </c>
      <c r="J38" s="83" t="s">
        <v>5895</v>
      </c>
      <c r="K38" s="64" t="s">
        <v>1</v>
      </c>
      <c r="L38" s="65">
        <v>1</v>
      </c>
      <c r="M38" s="99"/>
      <c r="N38" s="70"/>
      <c r="O38" s="66"/>
      <c r="P38" s="57"/>
      <c r="Q38" s="58"/>
      <c r="R38" s="77"/>
      <c r="S38" s="66"/>
      <c r="T38" s="57"/>
      <c r="U38" s="58"/>
      <c r="V38" s="77"/>
      <c r="W38" s="120">
        <f>ROUND((ROUND((ROUND((ROUND((_15_同援日増１．０*_15・基礎２),0)*_15・２人),0)*(1+_15・A早朝)),0)*(1+_15・盲ろう)),0)</f>
        <v>176</v>
      </c>
      <c r="X38" s="69"/>
    </row>
    <row r="39" spans="1:24" ht="16.5" customHeight="1" x14ac:dyDescent="0.3">
      <c r="A39" s="2">
        <v>15</v>
      </c>
      <c r="B39" s="2" t="s">
        <v>2523</v>
      </c>
      <c r="C39" s="60" t="s">
        <v>13210</v>
      </c>
      <c r="D39" s="1"/>
      <c r="E39" s="68"/>
      <c r="F39" s="70"/>
      <c r="G39" s="61"/>
      <c r="H39" s="62"/>
      <c r="I39" s="63"/>
      <c r="J39" s="85"/>
      <c r="K39" s="64"/>
      <c r="L39" s="65"/>
      <c r="M39" s="99"/>
      <c r="N39" s="70"/>
      <c r="O39" s="61"/>
      <c r="P39" s="62"/>
      <c r="Q39" s="63"/>
      <c r="R39" s="75"/>
      <c r="S39" s="61"/>
      <c r="T39" s="62"/>
      <c r="U39" s="63"/>
      <c r="V39" s="75"/>
      <c r="W39" s="120">
        <f>ROUND((ROUND((_15_同援日増１．０*(1+_15・A早朝)),0)*(1+_15・区３)),0)</f>
        <v>190</v>
      </c>
      <c r="X39" s="69"/>
    </row>
    <row r="40" spans="1:24" ht="16.5" customHeight="1" x14ac:dyDescent="0.3">
      <c r="A40" s="2">
        <v>15</v>
      </c>
      <c r="B40" s="2" t="s">
        <v>2524</v>
      </c>
      <c r="C40" s="60" t="s">
        <v>13209</v>
      </c>
      <c r="D40" s="1"/>
      <c r="E40" s="68"/>
      <c r="F40" s="70"/>
      <c r="G40" s="66"/>
      <c r="H40" s="57"/>
      <c r="I40" s="58"/>
      <c r="J40" s="83" t="s">
        <v>5895</v>
      </c>
      <c r="K40" s="64" t="s">
        <v>1</v>
      </c>
      <c r="L40" s="65">
        <v>1</v>
      </c>
      <c r="M40" s="99"/>
      <c r="N40" s="70"/>
      <c r="O40" s="67"/>
      <c r="P40" s="68"/>
      <c r="Q40" s="76"/>
      <c r="R40" s="70"/>
      <c r="S40" s="67"/>
      <c r="T40" s="68"/>
      <c r="U40" s="76"/>
      <c r="V40" s="70"/>
      <c r="W40" s="120">
        <f>ROUND((ROUND((ROUND((_15_同援日増１．０*_15・２人),0)*(1+_15・A早朝)),0)*(1+_15・区３)),0)</f>
        <v>190</v>
      </c>
      <c r="X40" s="69"/>
    </row>
    <row r="41" spans="1:24" ht="16.5" customHeight="1" x14ac:dyDescent="0.3">
      <c r="A41" s="2">
        <v>15</v>
      </c>
      <c r="B41" s="2" t="s">
        <v>2525</v>
      </c>
      <c r="C41" s="60" t="s">
        <v>13208</v>
      </c>
      <c r="D41" s="1"/>
      <c r="E41" s="68"/>
      <c r="F41" s="70"/>
      <c r="G41" s="74" t="s">
        <v>5898</v>
      </c>
      <c r="H41" s="62"/>
      <c r="I41" s="63"/>
      <c r="J41" s="85"/>
      <c r="K41" s="64"/>
      <c r="L41" s="65"/>
      <c r="M41" s="99"/>
      <c r="N41" s="70"/>
      <c r="O41" s="67"/>
      <c r="P41" s="68"/>
      <c r="Q41" s="76"/>
      <c r="R41" s="70"/>
      <c r="S41" s="1" t="s">
        <v>8098</v>
      </c>
      <c r="T41" s="68"/>
      <c r="U41" s="76"/>
      <c r="V41" s="70"/>
      <c r="W41" s="120">
        <f>ROUND((ROUND((ROUND((_15_同援日増１．０*_15・基礎２),0)*(1+_15・A早朝)),0)*(1+_15・区３)),0)</f>
        <v>169</v>
      </c>
      <c r="X41" s="69"/>
    </row>
    <row r="42" spans="1:24" ht="16.5" customHeight="1" x14ac:dyDescent="0.3">
      <c r="A42" s="2">
        <v>15</v>
      </c>
      <c r="B42" s="2" t="s">
        <v>2526</v>
      </c>
      <c r="C42" s="60" t="s">
        <v>13207</v>
      </c>
      <c r="D42" s="1"/>
      <c r="E42" s="68"/>
      <c r="F42" s="70"/>
      <c r="G42" s="106" t="s">
        <v>5896</v>
      </c>
      <c r="H42" s="57" t="s">
        <v>1</v>
      </c>
      <c r="I42" s="58">
        <v>0.9</v>
      </c>
      <c r="J42" s="83" t="s">
        <v>5895</v>
      </c>
      <c r="K42" s="64" t="s">
        <v>1</v>
      </c>
      <c r="L42" s="65">
        <v>1</v>
      </c>
      <c r="M42" s="99"/>
      <c r="N42" s="70"/>
      <c r="O42" s="66"/>
      <c r="P42" s="57"/>
      <c r="Q42" s="58"/>
      <c r="R42" s="77"/>
      <c r="S42" s="1" t="s">
        <v>8087</v>
      </c>
      <c r="T42" s="68"/>
      <c r="U42" s="76"/>
      <c r="V42" s="70"/>
      <c r="W42" s="120">
        <f>ROUND((ROUND((ROUND((ROUND((_15_同援日増１．０*_15・基礎２),0)*_15・２人),0)*(1+_15・A早朝)),0)*(1+_15・区３)),0)</f>
        <v>169</v>
      </c>
      <c r="X42" s="69"/>
    </row>
    <row r="43" spans="1:24" ht="16.5" customHeight="1" x14ac:dyDescent="0.3">
      <c r="A43" s="2">
        <v>15</v>
      </c>
      <c r="B43" s="2" t="s">
        <v>2527</v>
      </c>
      <c r="C43" s="60" t="s">
        <v>13206</v>
      </c>
      <c r="D43" s="1"/>
      <c r="E43" s="68"/>
      <c r="F43" s="70"/>
      <c r="G43" s="61"/>
      <c r="H43" s="62"/>
      <c r="I43" s="63"/>
      <c r="J43" s="85"/>
      <c r="K43" s="64"/>
      <c r="L43" s="65"/>
      <c r="M43" s="99"/>
      <c r="N43" s="70"/>
      <c r="O43" s="74" t="s">
        <v>8085</v>
      </c>
      <c r="P43" s="62"/>
      <c r="Q43" s="63"/>
      <c r="R43" s="75"/>
      <c r="S43" s="67"/>
      <c r="T43" s="68" t="s">
        <v>1</v>
      </c>
      <c r="U43" s="76">
        <v>0.2</v>
      </c>
      <c r="V43" s="70" t="s">
        <v>422</v>
      </c>
      <c r="W43" s="120">
        <f>ROUND((ROUND((ROUND((_15_同援日増１．０*(1+_15・A早朝)),0)*(1+_15・盲ろう)),0)*(1+_15・区３)),0)</f>
        <v>238</v>
      </c>
      <c r="X43" s="69"/>
    </row>
    <row r="44" spans="1:24" ht="16.5" customHeight="1" x14ac:dyDescent="0.3">
      <c r="A44" s="2">
        <v>15</v>
      </c>
      <c r="B44" s="2" t="s">
        <v>2528</v>
      </c>
      <c r="C44" s="60" t="s">
        <v>13205</v>
      </c>
      <c r="D44" s="1"/>
      <c r="E44" s="68"/>
      <c r="F44" s="70"/>
      <c r="G44" s="66"/>
      <c r="H44" s="57"/>
      <c r="I44" s="58"/>
      <c r="J44" s="83" t="s">
        <v>5895</v>
      </c>
      <c r="K44" s="64" t="s">
        <v>1</v>
      </c>
      <c r="L44" s="65">
        <v>1</v>
      </c>
      <c r="M44" s="99"/>
      <c r="N44" s="70"/>
      <c r="O44" s="94" t="s">
        <v>8083</v>
      </c>
      <c r="P44" s="68"/>
      <c r="Q44" s="76"/>
      <c r="R44" s="70"/>
      <c r="S44" s="67"/>
      <c r="T44" s="68"/>
      <c r="U44" s="76"/>
      <c r="V44" s="70"/>
      <c r="W44" s="120">
        <f>ROUND((ROUND((ROUND((ROUND((_15_同援日増１．０*_15・２人),0)*(1+_15・A早朝)),0)*(1+_15・盲ろう)),0)*(1+_15・区３)),0)</f>
        <v>238</v>
      </c>
      <c r="X44" s="69"/>
    </row>
    <row r="45" spans="1:24" ht="16.5" customHeight="1" x14ac:dyDescent="0.3">
      <c r="A45" s="2">
        <v>15</v>
      </c>
      <c r="B45" s="2" t="s">
        <v>2529</v>
      </c>
      <c r="C45" s="60" t="s">
        <v>13204</v>
      </c>
      <c r="D45" s="1"/>
      <c r="E45" s="68"/>
      <c r="F45" s="70"/>
      <c r="G45" s="74" t="s">
        <v>5898</v>
      </c>
      <c r="H45" s="62"/>
      <c r="I45" s="63"/>
      <c r="J45" s="85"/>
      <c r="K45" s="64"/>
      <c r="L45" s="65"/>
      <c r="M45" s="99"/>
      <c r="N45" s="70"/>
      <c r="O45" s="67"/>
      <c r="P45" s="68" t="s">
        <v>1</v>
      </c>
      <c r="Q45" s="76">
        <v>0.25</v>
      </c>
      <c r="R45" s="70" t="s">
        <v>422</v>
      </c>
      <c r="S45" s="67"/>
      <c r="T45" s="68"/>
      <c r="U45" s="76"/>
      <c r="V45" s="70"/>
      <c r="W45" s="120">
        <f>ROUND((ROUND((ROUND((ROUND((_15_同援日増１．０*_15・基礎２),0)*(1+_15・A早朝)),0)*(1+_15・盲ろう)),0)*(1+_15・区３)),0)</f>
        <v>211</v>
      </c>
      <c r="X45" s="69"/>
    </row>
    <row r="46" spans="1:24" ht="16.5" customHeight="1" x14ac:dyDescent="0.3">
      <c r="A46" s="2">
        <v>15</v>
      </c>
      <c r="B46" s="2" t="s">
        <v>2530</v>
      </c>
      <c r="C46" s="60" t="s">
        <v>13203</v>
      </c>
      <c r="D46" s="1"/>
      <c r="E46" s="68"/>
      <c r="F46" s="70"/>
      <c r="G46" s="106" t="s">
        <v>5896</v>
      </c>
      <c r="H46" s="57" t="s">
        <v>1</v>
      </c>
      <c r="I46" s="58">
        <v>0.9</v>
      </c>
      <c r="J46" s="83" t="s">
        <v>5895</v>
      </c>
      <c r="K46" s="64" t="s">
        <v>1</v>
      </c>
      <c r="L46" s="65">
        <v>1</v>
      </c>
      <c r="M46" s="99"/>
      <c r="N46" s="70"/>
      <c r="O46" s="66"/>
      <c r="P46" s="57"/>
      <c r="Q46" s="58"/>
      <c r="R46" s="77"/>
      <c r="S46" s="66"/>
      <c r="T46" s="57"/>
      <c r="U46" s="58"/>
      <c r="V46" s="77"/>
      <c r="W46" s="120">
        <f>ROUND((ROUND((ROUND((ROUND((ROUND((_15_同援日増１．０*_15・基礎２),0)*_15・２人),0)*(1+_15・A早朝)),0)*(1+_15・盲ろう)),0)*(1+_15・区３)),0)</f>
        <v>211</v>
      </c>
      <c r="X46" s="69"/>
    </row>
    <row r="47" spans="1:24" ht="16.5" customHeight="1" x14ac:dyDescent="0.3">
      <c r="A47" s="2">
        <v>15</v>
      </c>
      <c r="B47" s="2" t="s">
        <v>2531</v>
      </c>
      <c r="C47" s="60" t="s">
        <v>13202</v>
      </c>
      <c r="D47" s="1"/>
      <c r="E47" s="68"/>
      <c r="F47" s="70"/>
      <c r="G47" s="61"/>
      <c r="H47" s="62"/>
      <c r="I47" s="63"/>
      <c r="J47" s="85"/>
      <c r="K47" s="64"/>
      <c r="L47" s="65"/>
      <c r="M47" s="99"/>
      <c r="N47" s="70"/>
      <c r="O47" s="61"/>
      <c r="P47" s="62"/>
      <c r="Q47" s="63"/>
      <c r="R47" s="75"/>
      <c r="S47" s="61"/>
      <c r="T47" s="62"/>
      <c r="U47" s="63"/>
      <c r="V47" s="75"/>
      <c r="W47" s="120">
        <f>ROUND((ROUND((_15_同援日増１．０*(1+_15・A早朝)),0)*(1+_15・区４)),0)</f>
        <v>221</v>
      </c>
      <c r="X47" s="69"/>
    </row>
    <row r="48" spans="1:24" ht="16.5" customHeight="1" x14ac:dyDescent="0.3">
      <c r="A48" s="2">
        <v>15</v>
      </c>
      <c r="B48" s="2" t="s">
        <v>2532</v>
      </c>
      <c r="C48" s="60" t="s">
        <v>13201</v>
      </c>
      <c r="D48" s="1"/>
      <c r="E48" s="68"/>
      <c r="F48" s="70"/>
      <c r="G48" s="66"/>
      <c r="H48" s="57"/>
      <c r="I48" s="58"/>
      <c r="J48" s="83" t="s">
        <v>5895</v>
      </c>
      <c r="K48" s="64" t="s">
        <v>1</v>
      </c>
      <c r="L48" s="65">
        <v>1</v>
      </c>
      <c r="M48" s="99"/>
      <c r="N48" s="70"/>
      <c r="O48" s="67"/>
      <c r="P48" s="68"/>
      <c r="Q48" s="76"/>
      <c r="R48" s="70"/>
      <c r="S48" s="67"/>
      <c r="T48" s="68"/>
      <c r="U48" s="76"/>
      <c r="V48" s="70"/>
      <c r="W48" s="120">
        <f>ROUND((ROUND((ROUND((_15_同援日増１．０*_15・２人),0)*(1+_15・A早朝)),0)*(1+_15・区４)),0)</f>
        <v>221</v>
      </c>
      <c r="X48" s="69"/>
    </row>
    <row r="49" spans="1:24" ht="16.5" customHeight="1" x14ac:dyDescent="0.3">
      <c r="A49" s="2">
        <v>15</v>
      </c>
      <c r="B49" s="2" t="s">
        <v>2533</v>
      </c>
      <c r="C49" s="60" t="s">
        <v>13200</v>
      </c>
      <c r="D49" s="1"/>
      <c r="E49" s="68"/>
      <c r="F49" s="70"/>
      <c r="G49" s="74" t="s">
        <v>5898</v>
      </c>
      <c r="H49" s="62"/>
      <c r="I49" s="63"/>
      <c r="J49" s="85"/>
      <c r="K49" s="64"/>
      <c r="L49" s="65"/>
      <c r="M49" s="99"/>
      <c r="N49" s="70"/>
      <c r="O49" s="67"/>
      <c r="P49" s="68"/>
      <c r="Q49" s="76"/>
      <c r="R49" s="70"/>
      <c r="S49" s="1" t="s">
        <v>8089</v>
      </c>
      <c r="T49" s="68"/>
      <c r="U49" s="76"/>
      <c r="V49" s="70"/>
      <c r="W49" s="120">
        <f>ROUND((ROUND((ROUND((_15_同援日増１．０*_15・基礎２),0)*(1+_15・A早朝)),0)*(1+_15・区４)),0)</f>
        <v>197</v>
      </c>
      <c r="X49" s="69"/>
    </row>
    <row r="50" spans="1:24" ht="16.5" customHeight="1" x14ac:dyDescent="0.3">
      <c r="A50" s="2">
        <v>15</v>
      </c>
      <c r="B50" s="2" t="s">
        <v>2534</v>
      </c>
      <c r="C50" s="60" t="s">
        <v>13199</v>
      </c>
      <c r="D50" s="1"/>
      <c r="E50" s="68"/>
      <c r="F50" s="70"/>
      <c r="G50" s="106" t="s">
        <v>5896</v>
      </c>
      <c r="H50" s="57" t="s">
        <v>1</v>
      </c>
      <c r="I50" s="58">
        <v>0.9</v>
      </c>
      <c r="J50" s="83" t="s">
        <v>5895</v>
      </c>
      <c r="K50" s="64" t="s">
        <v>1</v>
      </c>
      <c r="L50" s="65">
        <v>1</v>
      </c>
      <c r="M50" s="99"/>
      <c r="N50" s="70"/>
      <c r="O50" s="66"/>
      <c r="P50" s="57"/>
      <c r="Q50" s="58"/>
      <c r="R50" s="77"/>
      <c r="S50" s="1" t="s">
        <v>8087</v>
      </c>
      <c r="T50" s="68"/>
      <c r="U50" s="76"/>
      <c r="V50" s="70"/>
      <c r="W50" s="120">
        <f>ROUND((ROUND((ROUND((ROUND((_15_同援日増１．０*_15・基礎２),0)*_15・２人),0)*(1+_15・A早朝)),0)*(1+_15・区４)),0)</f>
        <v>197</v>
      </c>
      <c r="X50" s="69"/>
    </row>
    <row r="51" spans="1:24" ht="16.5" customHeight="1" x14ac:dyDescent="0.3">
      <c r="A51" s="2">
        <v>15</v>
      </c>
      <c r="B51" s="2" t="s">
        <v>2535</v>
      </c>
      <c r="C51" s="60" t="s">
        <v>13198</v>
      </c>
      <c r="D51" s="1"/>
      <c r="E51" s="68"/>
      <c r="F51" s="70"/>
      <c r="G51" s="61"/>
      <c r="H51" s="62"/>
      <c r="I51" s="63"/>
      <c r="J51" s="85"/>
      <c r="K51" s="64"/>
      <c r="L51" s="65"/>
      <c r="M51" s="99"/>
      <c r="N51" s="70"/>
      <c r="O51" s="74" t="s">
        <v>8085</v>
      </c>
      <c r="P51" s="62"/>
      <c r="Q51" s="63"/>
      <c r="R51" s="75"/>
      <c r="S51" s="67"/>
      <c r="T51" s="68" t="s">
        <v>1</v>
      </c>
      <c r="U51" s="76">
        <v>0.4</v>
      </c>
      <c r="V51" s="70" t="s">
        <v>422</v>
      </c>
      <c r="W51" s="120">
        <f>ROUND((ROUND((ROUND((_15_同援日増１．０*(1+_15・A早朝)),0)*(1+_15・盲ろう)),0)*(1+_15・区４)),0)</f>
        <v>277</v>
      </c>
      <c r="X51" s="69"/>
    </row>
    <row r="52" spans="1:24" ht="16.5" customHeight="1" x14ac:dyDescent="0.3">
      <c r="A52" s="2">
        <v>15</v>
      </c>
      <c r="B52" s="2" t="s">
        <v>2536</v>
      </c>
      <c r="C52" s="60" t="s">
        <v>13197</v>
      </c>
      <c r="D52" s="1"/>
      <c r="E52" s="68"/>
      <c r="F52" s="70"/>
      <c r="G52" s="66"/>
      <c r="H52" s="57"/>
      <c r="I52" s="58"/>
      <c r="J52" s="83" t="s">
        <v>5895</v>
      </c>
      <c r="K52" s="64" t="s">
        <v>1</v>
      </c>
      <c r="L52" s="65">
        <v>1</v>
      </c>
      <c r="M52" s="99"/>
      <c r="N52" s="70"/>
      <c r="O52" s="94" t="s">
        <v>8083</v>
      </c>
      <c r="P52" s="68"/>
      <c r="Q52" s="76"/>
      <c r="R52" s="70"/>
      <c r="S52" s="67"/>
      <c r="T52" s="68"/>
      <c r="U52" s="76"/>
      <c r="V52" s="70"/>
      <c r="W52" s="120">
        <f>ROUND((ROUND((ROUND((ROUND((_15_同援日増１．０*_15・２人),0)*(1+_15・A早朝)),0)*(1+_15・盲ろう)),0)*(1+_15・区４)),0)</f>
        <v>277</v>
      </c>
      <c r="X52" s="69"/>
    </row>
    <row r="53" spans="1:24" ht="16.5" customHeight="1" x14ac:dyDescent="0.3">
      <c r="A53" s="2">
        <v>15</v>
      </c>
      <c r="B53" s="2" t="s">
        <v>2537</v>
      </c>
      <c r="C53" s="60" t="s">
        <v>13196</v>
      </c>
      <c r="D53" s="1"/>
      <c r="E53" s="68"/>
      <c r="F53" s="70"/>
      <c r="G53" s="74" t="s">
        <v>5898</v>
      </c>
      <c r="H53" s="62"/>
      <c r="I53" s="63"/>
      <c r="J53" s="85"/>
      <c r="K53" s="64"/>
      <c r="L53" s="65"/>
      <c r="M53" s="99"/>
      <c r="N53" s="70"/>
      <c r="O53" s="67"/>
      <c r="P53" s="68" t="s">
        <v>1</v>
      </c>
      <c r="Q53" s="76">
        <v>0.25</v>
      </c>
      <c r="R53" s="70" t="s">
        <v>422</v>
      </c>
      <c r="S53" s="67"/>
      <c r="T53" s="68"/>
      <c r="U53" s="76"/>
      <c r="V53" s="70"/>
      <c r="W53" s="120">
        <f>ROUND((ROUND((ROUND((ROUND((_15_同援日増１．０*_15・基礎２),0)*(1+_15・A早朝)),0)*(1+_15・盲ろう)),0)*(1+_15・区４)),0)</f>
        <v>246</v>
      </c>
      <c r="X53" s="69"/>
    </row>
    <row r="54" spans="1:24" ht="16.5" customHeight="1" x14ac:dyDescent="0.3">
      <c r="A54" s="2">
        <v>15</v>
      </c>
      <c r="B54" s="2" t="s">
        <v>2538</v>
      </c>
      <c r="C54" s="60" t="s">
        <v>13195</v>
      </c>
      <c r="D54" s="81"/>
      <c r="E54" s="57"/>
      <c r="F54" s="77"/>
      <c r="G54" s="106" t="s">
        <v>5896</v>
      </c>
      <c r="H54" s="57" t="s">
        <v>1</v>
      </c>
      <c r="I54" s="58">
        <v>0.9</v>
      </c>
      <c r="J54" s="83" t="s">
        <v>5895</v>
      </c>
      <c r="K54" s="64" t="s">
        <v>1</v>
      </c>
      <c r="L54" s="65">
        <v>1</v>
      </c>
      <c r="M54" s="99"/>
      <c r="N54" s="70"/>
      <c r="O54" s="66"/>
      <c r="P54" s="57"/>
      <c r="Q54" s="58"/>
      <c r="R54" s="77"/>
      <c r="S54" s="66"/>
      <c r="T54" s="57"/>
      <c r="U54" s="58"/>
      <c r="V54" s="77"/>
      <c r="W54" s="120">
        <f>ROUND((ROUND((ROUND((ROUND((ROUND((_15_同援日増１．０*_15・基礎２),0)*_15・２人),0)*(1+_15・A早朝)),0)*(1+_15・盲ろう)),0)*(1+_15・区４)),0)</f>
        <v>246</v>
      </c>
      <c r="X54" s="69"/>
    </row>
    <row r="55" spans="1:24" ht="16.5" customHeight="1" x14ac:dyDescent="0.3">
      <c r="A55" s="2">
        <v>15</v>
      </c>
      <c r="B55" s="2" t="s">
        <v>2539</v>
      </c>
      <c r="C55" s="60" t="s">
        <v>13194</v>
      </c>
      <c r="D55" s="233" t="s">
        <v>16322</v>
      </c>
      <c r="E55" s="62"/>
      <c r="F55" s="75"/>
      <c r="G55" s="61"/>
      <c r="H55" s="62"/>
      <c r="I55" s="63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120">
        <f>ROUND((_15_同援日増１．５*(1+_15・A早朝)),0)</f>
        <v>236</v>
      </c>
      <c r="X55" s="69"/>
    </row>
    <row r="56" spans="1:24" ht="16.5" customHeight="1" x14ac:dyDescent="0.3">
      <c r="A56" s="2">
        <v>15</v>
      </c>
      <c r="B56" s="2" t="s">
        <v>2540</v>
      </c>
      <c r="C56" s="60" t="s">
        <v>13193</v>
      </c>
      <c r="D56" s="1" t="s">
        <v>5987</v>
      </c>
      <c r="E56" s="68"/>
      <c r="F56" s="70"/>
      <c r="G56" s="66"/>
      <c r="H56" s="57"/>
      <c r="I56" s="58"/>
      <c r="J56" s="83" t="s">
        <v>5895</v>
      </c>
      <c r="K56" s="64" t="s">
        <v>1</v>
      </c>
      <c r="L56" s="65">
        <v>1</v>
      </c>
      <c r="M56" s="99"/>
      <c r="N56" s="70"/>
      <c r="O56" s="67"/>
      <c r="P56" s="68"/>
      <c r="Q56" s="76"/>
      <c r="R56" s="70"/>
      <c r="S56" s="67"/>
      <c r="T56" s="68"/>
      <c r="U56" s="76"/>
      <c r="V56" s="70"/>
      <c r="W56" s="120">
        <f>ROUND((ROUND((_15_同援日増１．５*_15・２人),0)*(1+_15・A早朝)),0)</f>
        <v>236</v>
      </c>
      <c r="X56" s="69"/>
    </row>
    <row r="57" spans="1:24" ht="16.5" customHeight="1" x14ac:dyDescent="0.3">
      <c r="A57" s="2">
        <v>15</v>
      </c>
      <c r="B57" s="2" t="s">
        <v>2541</v>
      </c>
      <c r="C57" s="60" t="s">
        <v>13192</v>
      </c>
      <c r="D57" s="1" t="s">
        <v>8767</v>
      </c>
      <c r="E57" s="68"/>
      <c r="F57" s="70"/>
      <c r="G57" s="74" t="s">
        <v>5898</v>
      </c>
      <c r="H57" s="62"/>
      <c r="I57" s="63"/>
      <c r="J57" s="85"/>
      <c r="K57" s="64"/>
      <c r="L57" s="65"/>
      <c r="M57" s="99"/>
      <c r="N57" s="70"/>
      <c r="O57" s="67"/>
      <c r="P57" s="68"/>
      <c r="Q57" s="76"/>
      <c r="R57" s="70"/>
      <c r="S57" s="67"/>
      <c r="T57" s="68"/>
      <c r="U57" s="76"/>
      <c r="V57" s="70"/>
      <c r="W57" s="120">
        <f>ROUND((ROUND((_15_同援日増１．５*_15・基礎２),0)*(1+_15・A早朝)),0)</f>
        <v>213</v>
      </c>
      <c r="X57" s="69"/>
    </row>
    <row r="58" spans="1:24" ht="16.5" customHeight="1" x14ac:dyDescent="0.3">
      <c r="A58" s="2">
        <v>15</v>
      </c>
      <c r="B58" s="2" t="s">
        <v>2542</v>
      </c>
      <c r="C58" s="60" t="s">
        <v>13191</v>
      </c>
      <c r="D58" s="1"/>
      <c r="E58" s="119">
        <v>189</v>
      </c>
      <c r="F58" s="70" t="s">
        <v>0</v>
      </c>
      <c r="G58" s="106" t="s">
        <v>5896</v>
      </c>
      <c r="H58" s="57" t="s">
        <v>1</v>
      </c>
      <c r="I58" s="58">
        <v>0.9</v>
      </c>
      <c r="J58" s="83" t="s">
        <v>5895</v>
      </c>
      <c r="K58" s="64" t="s">
        <v>1</v>
      </c>
      <c r="L58" s="65">
        <v>1</v>
      </c>
      <c r="M58" s="99"/>
      <c r="N58" s="70"/>
      <c r="O58" s="66"/>
      <c r="P58" s="57"/>
      <c r="Q58" s="58"/>
      <c r="R58" s="77"/>
      <c r="S58" s="67"/>
      <c r="T58" s="68"/>
      <c r="U58" s="76"/>
      <c r="V58" s="70"/>
      <c r="W58" s="120">
        <f>ROUND((ROUND((ROUND((_15_同援日増１．５*_15・基礎２),0)*_15・２人),0)*(1+_15・A早朝)),0)</f>
        <v>213</v>
      </c>
      <c r="X58" s="69"/>
    </row>
    <row r="59" spans="1:24" ht="16.5" customHeight="1" x14ac:dyDescent="0.3">
      <c r="A59" s="2">
        <v>15</v>
      </c>
      <c r="B59" s="2" t="s">
        <v>2543</v>
      </c>
      <c r="C59" s="60" t="s">
        <v>13190</v>
      </c>
      <c r="D59" s="1"/>
      <c r="E59" s="68"/>
      <c r="F59" s="70"/>
      <c r="G59" s="61"/>
      <c r="H59" s="62"/>
      <c r="I59" s="63"/>
      <c r="J59" s="85"/>
      <c r="K59" s="64"/>
      <c r="L59" s="65"/>
      <c r="M59" s="99"/>
      <c r="N59" s="70"/>
      <c r="O59" s="74" t="s">
        <v>8085</v>
      </c>
      <c r="P59" s="62"/>
      <c r="Q59" s="63"/>
      <c r="R59" s="75"/>
      <c r="S59" s="67"/>
      <c r="T59" s="68"/>
      <c r="U59" s="76"/>
      <c r="V59" s="70"/>
      <c r="W59" s="120">
        <f>ROUND((ROUND((_15_同援日増１．５*(1+_15・A早朝)),0)*(1+_15・盲ろう)),0)</f>
        <v>295</v>
      </c>
      <c r="X59" s="69"/>
    </row>
    <row r="60" spans="1:24" ht="16.5" customHeight="1" x14ac:dyDescent="0.3">
      <c r="A60" s="2">
        <v>15</v>
      </c>
      <c r="B60" s="2" t="s">
        <v>2544</v>
      </c>
      <c r="C60" s="60" t="s">
        <v>13189</v>
      </c>
      <c r="D60" s="1"/>
      <c r="E60" s="68"/>
      <c r="F60" s="70"/>
      <c r="G60" s="66"/>
      <c r="H60" s="57"/>
      <c r="I60" s="58"/>
      <c r="J60" s="83" t="s">
        <v>5895</v>
      </c>
      <c r="K60" s="64" t="s">
        <v>1</v>
      </c>
      <c r="L60" s="65">
        <v>1</v>
      </c>
      <c r="M60" s="99"/>
      <c r="N60" s="70"/>
      <c r="O60" s="94" t="s">
        <v>8083</v>
      </c>
      <c r="P60" s="68"/>
      <c r="Q60" s="76"/>
      <c r="R60" s="70"/>
      <c r="S60" s="67"/>
      <c r="T60" s="68"/>
      <c r="U60" s="76"/>
      <c r="V60" s="70"/>
      <c r="W60" s="120">
        <f>ROUND((ROUND((ROUND((_15_同援日増１．５*_15・２人),0)*(1+_15・A早朝)),0)*(1+_15・盲ろう)),0)</f>
        <v>295</v>
      </c>
      <c r="X60" s="69"/>
    </row>
    <row r="61" spans="1:24" ht="16.5" customHeight="1" x14ac:dyDescent="0.3">
      <c r="A61" s="2">
        <v>15</v>
      </c>
      <c r="B61" s="2" t="s">
        <v>2545</v>
      </c>
      <c r="C61" s="60" t="s">
        <v>13188</v>
      </c>
      <c r="D61" s="1"/>
      <c r="E61" s="68"/>
      <c r="F61" s="70"/>
      <c r="G61" s="74" t="s">
        <v>5898</v>
      </c>
      <c r="H61" s="62"/>
      <c r="I61" s="63"/>
      <c r="J61" s="85"/>
      <c r="K61" s="64"/>
      <c r="L61" s="65"/>
      <c r="M61" s="99"/>
      <c r="N61" s="70"/>
      <c r="O61" s="67"/>
      <c r="P61" s="68" t="s">
        <v>1</v>
      </c>
      <c r="Q61" s="76">
        <v>0.25</v>
      </c>
      <c r="R61" s="70" t="s">
        <v>422</v>
      </c>
      <c r="S61" s="67"/>
      <c r="T61" s="68"/>
      <c r="U61" s="76"/>
      <c r="V61" s="70"/>
      <c r="W61" s="120">
        <f>ROUND((ROUND((ROUND((_15_同援日増１．５*_15・基礎２),0)*(1+_15・A早朝)),0)*(1+_15・盲ろう)),0)</f>
        <v>266</v>
      </c>
      <c r="X61" s="69"/>
    </row>
    <row r="62" spans="1:24" ht="16.5" customHeight="1" x14ac:dyDescent="0.3">
      <c r="A62" s="2">
        <v>15</v>
      </c>
      <c r="B62" s="2" t="s">
        <v>2546</v>
      </c>
      <c r="C62" s="60" t="s">
        <v>13187</v>
      </c>
      <c r="D62" s="1"/>
      <c r="E62" s="68"/>
      <c r="F62" s="70"/>
      <c r="G62" s="106" t="s">
        <v>5896</v>
      </c>
      <c r="H62" s="57" t="s">
        <v>1</v>
      </c>
      <c r="I62" s="58">
        <v>0.9</v>
      </c>
      <c r="J62" s="83" t="s">
        <v>5895</v>
      </c>
      <c r="K62" s="64" t="s">
        <v>1</v>
      </c>
      <c r="L62" s="65">
        <v>1</v>
      </c>
      <c r="M62" s="99"/>
      <c r="N62" s="70"/>
      <c r="O62" s="66"/>
      <c r="P62" s="57"/>
      <c r="Q62" s="58"/>
      <c r="R62" s="77"/>
      <c r="S62" s="66"/>
      <c r="T62" s="57"/>
      <c r="U62" s="58"/>
      <c r="V62" s="77"/>
      <c r="W62" s="120">
        <f>ROUND((ROUND((ROUND((ROUND((_15_同援日増１．５*_15・基礎２),0)*_15・２人),0)*(1+_15・A早朝)),0)*(1+_15・盲ろう)),0)</f>
        <v>266</v>
      </c>
      <c r="X62" s="69"/>
    </row>
    <row r="63" spans="1:24" ht="16.5" customHeight="1" x14ac:dyDescent="0.3">
      <c r="A63" s="2">
        <v>15</v>
      </c>
      <c r="B63" s="2" t="s">
        <v>2547</v>
      </c>
      <c r="C63" s="60" t="s">
        <v>13186</v>
      </c>
      <c r="D63" s="1"/>
      <c r="E63" s="68"/>
      <c r="F63" s="70"/>
      <c r="G63" s="61"/>
      <c r="H63" s="62"/>
      <c r="I63" s="63"/>
      <c r="J63" s="85"/>
      <c r="K63" s="64"/>
      <c r="L63" s="65"/>
      <c r="M63" s="99"/>
      <c r="N63" s="70"/>
      <c r="O63" s="61"/>
      <c r="P63" s="62"/>
      <c r="Q63" s="63"/>
      <c r="R63" s="75"/>
      <c r="S63" s="61"/>
      <c r="T63" s="62"/>
      <c r="U63" s="63"/>
      <c r="V63" s="75"/>
      <c r="W63" s="120">
        <f>ROUND((ROUND((_15_同援日増１．５*(1+_15・A早朝)),0)*(1+_15・区３)),0)</f>
        <v>283</v>
      </c>
      <c r="X63" s="69"/>
    </row>
    <row r="64" spans="1:24" ht="16.5" customHeight="1" x14ac:dyDescent="0.3">
      <c r="A64" s="2">
        <v>15</v>
      </c>
      <c r="B64" s="2" t="s">
        <v>2548</v>
      </c>
      <c r="C64" s="60" t="s">
        <v>13185</v>
      </c>
      <c r="D64" s="1"/>
      <c r="E64" s="68"/>
      <c r="F64" s="70"/>
      <c r="G64" s="66"/>
      <c r="H64" s="57"/>
      <c r="I64" s="58"/>
      <c r="J64" s="83" t="s">
        <v>5895</v>
      </c>
      <c r="K64" s="64" t="s">
        <v>1</v>
      </c>
      <c r="L64" s="65">
        <v>1</v>
      </c>
      <c r="M64" s="99"/>
      <c r="N64" s="70"/>
      <c r="O64" s="67"/>
      <c r="P64" s="68"/>
      <c r="Q64" s="76"/>
      <c r="R64" s="70"/>
      <c r="S64" s="67"/>
      <c r="T64" s="68"/>
      <c r="U64" s="76"/>
      <c r="V64" s="70"/>
      <c r="W64" s="120">
        <f>ROUND((ROUND((ROUND((_15_同援日増１．５*_15・２人),0)*(1+_15・A早朝)),0)*(1+_15・区３)),0)</f>
        <v>283</v>
      </c>
      <c r="X64" s="69"/>
    </row>
    <row r="65" spans="1:24" ht="16.5" customHeight="1" x14ac:dyDescent="0.3">
      <c r="A65" s="2">
        <v>15</v>
      </c>
      <c r="B65" s="2" t="s">
        <v>2549</v>
      </c>
      <c r="C65" s="60" t="s">
        <v>13184</v>
      </c>
      <c r="D65" s="1"/>
      <c r="E65" s="68"/>
      <c r="F65" s="70"/>
      <c r="G65" s="74" t="s">
        <v>5898</v>
      </c>
      <c r="H65" s="62"/>
      <c r="I65" s="63"/>
      <c r="J65" s="85"/>
      <c r="K65" s="64"/>
      <c r="L65" s="65"/>
      <c r="M65" s="99"/>
      <c r="N65" s="70"/>
      <c r="O65" s="67"/>
      <c r="P65" s="68"/>
      <c r="Q65" s="76"/>
      <c r="R65" s="70"/>
      <c r="S65" s="1" t="s">
        <v>8098</v>
      </c>
      <c r="T65" s="68"/>
      <c r="U65" s="76"/>
      <c r="V65" s="70"/>
      <c r="W65" s="120">
        <f>ROUND((ROUND((ROUND((_15_同援日増１．５*_15・基礎２),0)*(1+_15・A早朝)),0)*(1+_15・区３)),0)</f>
        <v>256</v>
      </c>
      <c r="X65" s="69"/>
    </row>
    <row r="66" spans="1:24" ht="16.5" customHeight="1" x14ac:dyDescent="0.3">
      <c r="A66" s="2">
        <v>15</v>
      </c>
      <c r="B66" s="2" t="s">
        <v>2550</v>
      </c>
      <c r="C66" s="60" t="s">
        <v>13183</v>
      </c>
      <c r="D66" s="1"/>
      <c r="E66" s="68"/>
      <c r="F66" s="70"/>
      <c r="G66" s="106" t="s">
        <v>5896</v>
      </c>
      <c r="H66" s="57" t="s">
        <v>1</v>
      </c>
      <c r="I66" s="58">
        <v>0.9</v>
      </c>
      <c r="J66" s="83" t="s">
        <v>5895</v>
      </c>
      <c r="K66" s="64" t="s">
        <v>1</v>
      </c>
      <c r="L66" s="65">
        <v>1</v>
      </c>
      <c r="M66" s="99"/>
      <c r="N66" s="70"/>
      <c r="O66" s="66"/>
      <c r="P66" s="57"/>
      <c r="Q66" s="58"/>
      <c r="R66" s="77"/>
      <c r="S66" s="1" t="s">
        <v>8087</v>
      </c>
      <c r="T66" s="68"/>
      <c r="U66" s="76"/>
      <c r="V66" s="70"/>
      <c r="W66" s="120">
        <f>ROUND((ROUND((ROUND((ROUND((_15_同援日増１．５*_15・基礎２),0)*_15・２人),0)*(1+_15・A早朝)),0)*(1+_15・区３)),0)</f>
        <v>256</v>
      </c>
      <c r="X66" s="69"/>
    </row>
    <row r="67" spans="1:24" ht="16.5" customHeight="1" x14ac:dyDescent="0.3">
      <c r="A67" s="2">
        <v>15</v>
      </c>
      <c r="B67" s="2" t="s">
        <v>2551</v>
      </c>
      <c r="C67" s="60" t="s">
        <v>13182</v>
      </c>
      <c r="D67" s="1"/>
      <c r="E67" s="68"/>
      <c r="F67" s="70"/>
      <c r="G67" s="61"/>
      <c r="H67" s="62"/>
      <c r="I67" s="63"/>
      <c r="J67" s="85"/>
      <c r="K67" s="64"/>
      <c r="L67" s="65"/>
      <c r="M67" s="99"/>
      <c r="N67" s="70"/>
      <c r="O67" s="74" t="s">
        <v>8085</v>
      </c>
      <c r="P67" s="62"/>
      <c r="Q67" s="63"/>
      <c r="R67" s="75"/>
      <c r="S67" s="67"/>
      <c r="T67" s="68" t="s">
        <v>1</v>
      </c>
      <c r="U67" s="76">
        <v>0.2</v>
      </c>
      <c r="V67" s="70" t="s">
        <v>422</v>
      </c>
      <c r="W67" s="120">
        <f>ROUND((ROUND((ROUND((_15_同援日増１．５*(1+_15・A早朝)),0)*(1+_15・盲ろう)),0)*(1+_15・区３)),0)</f>
        <v>354</v>
      </c>
      <c r="X67" s="69"/>
    </row>
    <row r="68" spans="1:24" ht="16.5" customHeight="1" x14ac:dyDescent="0.3">
      <c r="A68" s="2">
        <v>15</v>
      </c>
      <c r="B68" s="2" t="s">
        <v>2552</v>
      </c>
      <c r="C68" s="60" t="s">
        <v>13181</v>
      </c>
      <c r="D68" s="1"/>
      <c r="E68" s="68"/>
      <c r="F68" s="70"/>
      <c r="G68" s="66"/>
      <c r="H68" s="57"/>
      <c r="I68" s="58"/>
      <c r="J68" s="83" t="s">
        <v>5895</v>
      </c>
      <c r="K68" s="64" t="s">
        <v>1</v>
      </c>
      <c r="L68" s="65">
        <v>1</v>
      </c>
      <c r="M68" s="99"/>
      <c r="N68" s="70"/>
      <c r="O68" s="94" t="s">
        <v>8083</v>
      </c>
      <c r="P68" s="68"/>
      <c r="Q68" s="76"/>
      <c r="R68" s="70"/>
      <c r="S68" s="67"/>
      <c r="T68" s="68"/>
      <c r="U68" s="76"/>
      <c r="V68" s="70"/>
      <c r="W68" s="120">
        <f>ROUND((ROUND((ROUND((ROUND((_15_同援日増１．５*_15・２人),0)*(1+_15・A早朝)),0)*(1+_15・盲ろう)),0)*(1+_15・区３)),0)</f>
        <v>354</v>
      </c>
      <c r="X68" s="69"/>
    </row>
    <row r="69" spans="1:24" ht="16.5" customHeight="1" x14ac:dyDescent="0.3">
      <c r="A69" s="2">
        <v>15</v>
      </c>
      <c r="B69" s="2" t="s">
        <v>2553</v>
      </c>
      <c r="C69" s="60" t="s">
        <v>13180</v>
      </c>
      <c r="D69" s="1"/>
      <c r="E69" s="68"/>
      <c r="F69" s="70"/>
      <c r="G69" s="74" t="s">
        <v>5898</v>
      </c>
      <c r="H69" s="62"/>
      <c r="I69" s="63"/>
      <c r="J69" s="85"/>
      <c r="K69" s="64"/>
      <c r="L69" s="65"/>
      <c r="M69" s="99"/>
      <c r="N69" s="70"/>
      <c r="O69" s="67"/>
      <c r="P69" s="68" t="s">
        <v>1</v>
      </c>
      <c r="Q69" s="76">
        <v>0.25</v>
      </c>
      <c r="R69" s="70" t="s">
        <v>422</v>
      </c>
      <c r="S69" s="67"/>
      <c r="T69" s="68"/>
      <c r="U69" s="76"/>
      <c r="V69" s="70"/>
      <c r="W69" s="120">
        <f>ROUND((ROUND((ROUND((ROUND((_15_同援日増１．５*_15・基礎２),0)*(1+_15・A早朝)),0)*(1+_15・盲ろう)),0)*(1+_15・区３)),0)</f>
        <v>319</v>
      </c>
      <c r="X69" s="69"/>
    </row>
    <row r="70" spans="1:24" ht="16.5" customHeight="1" x14ac:dyDescent="0.3">
      <c r="A70" s="2">
        <v>15</v>
      </c>
      <c r="B70" s="2" t="s">
        <v>2554</v>
      </c>
      <c r="C70" s="60" t="s">
        <v>13179</v>
      </c>
      <c r="D70" s="1"/>
      <c r="E70" s="68"/>
      <c r="F70" s="70"/>
      <c r="G70" s="106" t="s">
        <v>5896</v>
      </c>
      <c r="H70" s="57" t="s">
        <v>1</v>
      </c>
      <c r="I70" s="58">
        <v>0.9</v>
      </c>
      <c r="J70" s="83" t="s">
        <v>5895</v>
      </c>
      <c r="K70" s="64" t="s">
        <v>1</v>
      </c>
      <c r="L70" s="65">
        <v>1</v>
      </c>
      <c r="M70" s="99"/>
      <c r="N70" s="70"/>
      <c r="O70" s="66"/>
      <c r="P70" s="57"/>
      <c r="Q70" s="58"/>
      <c r="R70" s="77"/>
      <c r="S70" s="66"/>
      <c r="T70" s="57"/>
      <c r="U70" s="58"/>
      <c r="V70" s="77"/>
      <c r="W70" s="120">
        <f>ROUND((ROUND((ROUND((ROUND((ROUND((_15_同援日増１．５*_15・基礎２),0)*_15・２人),0)*(1+_15・A早朝)),0)*(1+_15・盲ろう)),0)*(1+_15・区３)),0)</f>
        <v>319</v>
      </c>
      <c r="X70" s="69"/>
    </row>
    <row r="71" spans="1:24" ht="16.5" customHeight="1" x14ac:dyDescent="0.3">
      <c r="A71" s="2">
        <v>15</v>
      </c>
      <c r="B71" s="2" t="s">
        <v>2555</v>
      </c>
      <c r="C71" s="60" t="s">
        <v>13178</v>
      </c>
      <c r="D71" s="1"/>
      <c r="E71" s="68"/>
      <c r="F71" s="70"/>
      <c r="G71" s="61"/>
      <c r="H71" s="62"/>
      <c r="I71" s="63"/>
      <c r="J71" s="85"/>
      <c r="K71" s="64"/>
      <c r="L71" s="65"/>
      <c r="M71" s="99"/>
      <c r="N71" s="70"/>
      <c r="O71" s="61"/>
      <c r="P71" s="62"/>
      <c r="Q71" s="63"/>
      <c r="R71" s="75"/>
      <c r="S71" s="61"/>
      <c r="T71" s="62"/>
      <c r="U71" s="63"/>
      <c r="V71" s="75"/>
      <c r="W71" s="120">
        <f>ROUND((ROUND((_15_同援日増１．５*(1+_15・A早朝)),0)*(1+_15・区４)),0)</f>
        <v>330</v>
      </c>
      <c r="X71" s="69"/>
    </row>
    <row r="72" spans="1:24" ht="16.5" customHeight="1" x14ac:dyDescent="0.3">
      <c r="A72" s="2">
        <v>15</v>
      </c>
      <c r="B72" s="2" t="s">
        <v>2556</v>
      </c>
      <c r="C72" s="60" t="s">
        <v>13177</v>
      </c>
      <c r="D72" s="1"/>
      <c r="E72" s="68"/>
      <c r="F72" s="70"/>
      <c r="G72" s="66"/>
      <c r="H72" s="57"/>
      <c r="I72" s="58"/>
      <c r="J72" s="83" t="s">
        <v>5895</v>
      </c>
      <c r="K72" s="64" t="s">
        <v>1</v>
      </c>
      <c r="L72" s="65">
        <v>1</v>
      </c>
      <c r="M72" s="99"/>
      <c r="N72" s="70"/>
      <c r="O72" s="67"/>
      <c r="P72" s="68"/>
      <c r="Q72" s="76"/>
      <c r="R72" s="70"/>
      <c r="S72" s="67"/>
      <c r="T72" s="68"/>
      <c r="U72" s="76"/>
      <c r="V72" s="70"/>
      <c r="W72" s="120">
        <f>ROUND((ROUND((ROUND((_15_同援日増１．５*_15・２人),0)*(1+_15・A早朝)),0)*(1+_15・区４)),0)</f>
        <v>330</v>
      </c>
      <c r="X72" s="69"/>
    </row>
    <row r="73" spans="1:24" ht="16.5" customHeight="1" x14ac:dyDescent="0.3">
      <c r="A73" s="2">
        <v>15</v>
      </c>
      <c r="B73" s="2" t="s">
        <v>2557</v>
      </c>
      <c r="C73" s="60" t="s">
        <v>13176</v>
      </c>
      <c r="D73" s="1"/>
      <c r="E73" s="68"/>
      <c r="F73" s="70"/>
      <c r="G73" s="74" t="s">
        <v>5898</v>
      </c>
      <c r="H73" s="62"/>
      <c r="I73" s="63"/>
      <c r="J73" s="85"/>
      <c r="K73" s="64"/>
      <c r="L73" s="65"/>
      <c r="M73" s="99"/>
      <c r="N73" s="70"/>
      <c r="O73" s="67"/>
      <c r="P73" s="68"/>
      <c r="Q73" s="76"/>
      <c r="R73" s="70"/>
      <c r="S73" s="1" t="s">
        <v>8089</v>
      </c>
      <c r="T73" s="68"/>
      <c r="U73" s="76"/>
      <c r="V73" s="70"/>
      <c r="W73" s="120">
        <f>ROUND((ROUND((ROUND((_15_同援日増１．５*_15・基礎２),0)*(1+_15・A早朝)),0)*(1+_15・区４)),0)</f>
        <v>298</v>
      </c>
      <c r="X73" s="69"/>
    </row>
    <row r="74" spans="1:24" ht="16.5" customHeight="1" x14ac:dyDescent="0.3">
      <c r="A74" s="2">
        <v>15</v>
      </c>
      <c r="B74" s="2" t="s">
        <v>2558</v>
      </c>
      <c r="C74" s="60" t="s">
        <v>13175</v>
      </c>
      <c r="D74" s="1"/>
      <c r="E74" s="68"/>
      <c r="F74" s="70"/>
      <c r="G74" s="106" t="s">
        <v>5896</v>
      </c>
      <c r="H74" s="57" t="s">
        <v>1</v>
      </c>
      <c r="I74" s="58">
        <v>0.9</v>
      </c>
      <c r="J74" s="83" t="s">
        <v>5895</v>
      </c>
      <c r="K74" s="64" t="s">
        <v>1</v>
      </c>
      <c r="L74" s="65">
        <v>1</v>
      </c>
      <c r="M74" s="99"/>
      <c r="N74" s="70"/>
      <c r="O74" s="66"/>
      <c r="P74" s="57"/>
      <c r="Q74" s="58"/>
      <c r="R74" s="77"/>
      <c r="S74" s="1" t="s">
        <v>8087</v>
      </c>
      <c r="T74" s="68"/>
      <c r="U74" s="76"/>
      <c r="V74" s="70"/>
      <c r="W74" s="120">
        <f>ROUND((ROUND((ROUND((ROUND((_15_同援日増１．５*_15・基礎２),0)*_15・２人),0)*(1+_15・A早朝)),0)*(1+_15・区４)),0)</f>
        <v>298</v>
      </c>
      <c r="X74" s="69"/>
    </row>
    <row r="75" spans="1:24" ht="16.5" customHeight="1" x14ac:dyDescent="0.3">
      <c r="A75" s="2">
        <v>15</v>
      </c>
      <c r="B75" s="2" t="s">
        <v>2559</v>
      </c>
      <c r="C75" s="60" t="s">
        <v>13174</v>
      </c>
      <c r="D75" s="1"/>
      <c r="E75" s="68"/>
      <c r="F75" s="70"/>
      <c r="G75" s="61"/>
      <c r="H75" s="62"/>
      <c r="I75" s="63"/>
      <c r="J75" s="85"/>
      <c r="K75" s="64"/>
      <c r="L75" s="65"/>
      <c r="M75" s="99"/>
      <c r="N75" s="70"/>
      <c r="O75" s="74" t="s">
        <v>8085</v>
      </c>
      <c r="P75" s="62"/>
      <c r="Q75" s="63"/>
      <c r="R75" s="75"/>
      <c r="S75" s="67"/>
      <c r="T75" s="68" t="s">
        <v>1</v>
      </c>
      <c r="U75" s="76">
        <v>0.4</v>
      </c>
      <c r="V75" s="70" t="s">
        <v>422</v>
      </c>
      <c r="W75" s="120">
        <f>ROUND((ROUND((ROUND((_15_同援日増１．５*(1+_15・A早朝)),0)*(1+_15・盲ろう)),0)*(1+_15・区４)),0)</f>
        <v>413</v>
      </c>
      <c r="X75" s="69"/>
    </row>
    <row r="76" spans="1:24" ht="16.5" customHeight="1" x14ac:dyDescent="0.3">
      <c r="A76" s="2">
        <v>15</v>
      </c>
      <c r="B76" s="2" t="s">
        <v>2560</v>
      </c>
      <c r="C76" s="60" t="s">
        <v>13173</v>
      </c>
      <c r="D76" s="1"/>
      <c r="E76" s="68"/>
      <c r="F76" s="70"/>
      <c r="G76" s="66"/>
      <c r="H76" s="57"/>
      <c r="I76" s="58"/>
      <c r="J76" s="83" t="s">
        <v>5895</v>
      </c>
      <c r="K76" s="64" t="s">
        <v>1</v>
      </c>
      <c r="L76" s="65">
        <v>1</v>
      </c>
      <c r="M76" s="99"/>
      <c r="N76" s="70"/>
      <c r="O76" s="94" t="s">
        <v>8083</v>
      </c>
      <c r="P76" s="68"/>
      <c r="Q76" s="76"/>
      <c r="R76" s="70"/>
      <c r="S76" s="67"/>
      <c r="T76" s="68"/>
      <c r="U76" s="76"/>
      <c r="V76" s="70"/>
      <c r="W76" s="120">
        <f>ROUND((ROUND((ROUND((ROUND((_15_同援日増１．５*_15・２人),0)*(1+_15・A早朝)),0)*(1+_15・盲ろう)),0)*(1+_15・区４)),0)</f>
        <v>413</v>
      </c>
      <c r="X76" s="69"/>
    </row>
    <row r="77" spans="1:24" ht="16.5" customHeight="1" x14ac:dyDescent="0.3">
      <c r="A77" s="2">
        <v>15</v>
      </c>
      <c r="B77" s="2" t="s">
        <v>2561</v>
      </c>
      <c r="C77" s="60" t="s">
        <v>13172</v>
      </c>
      <c r="D77" s="1"/>
      <c r="E77" s="68"/>
      <c r="F77" s="70"/>
      <c r="G77" s="74" t="s">
        <v>5898</v>
      </c>
      <c r="H77" s="62"/>
      <c r="I77" s="63"/>
      <c r="J77" s="85"/>
      <c r="K77" s="64"/>
      <c r="L77" s="65"/>
      <c r="M77" s="99"/>
      <c r="N77" s="70"/>
      <c r="O77" s="67"/>
      <c r="P77" s="68" t="s">
        <v>1</v>
      </c>
      <c r="Q77" s="76">
        <v>0.25</v>
      </c>
      <c r="R77" s="70" t="s">
        <v>422</v>
      </c>
      <c r="S77" s="67"/>
      <c r="T77" s="68"/>
      <c r="U77" s="76"/>
      <c r="V77" s="70"/>
      <c r="W77" s="120">
        <f>ROUND((ROUND((ROUND((ROUND((_15_同援日増１．５*_15・基礎２),0)*(1+_15・A早朝)),0)*(1+_15・盲ろう)),0)*(1+_15・区４)),0)</f>
        <v>372</v>
      </c>
      <c r="X77" s="69"/>
    </row>
    <row r="78" spans="1:24" ht="16.5" customHeight="1" x14ac:dyDescent="0.3">
      <c r="A78" s="2">
        <v>15</v>
      </c>
      <c r="B78" s="2" t="s">
        <v>2562</v>
      </c>
      <c r="C78" s="60" t="s">
        <v>13171</v>
      </c>
      <c r="D78" s="81"/>
      <c r="E78" s="57"/>
      <c r="F78" s="77"/>
      <c r="G78" s="106" t="s">
        <v>5896</v>
      </c>
      <c r="H78" s="57" t="s">
        <v>1</v>
      </c>
      <c r="I78" s="58">
        <v>0.9</v>
      </c>
      <c r="J78" s="83" t="s">
        <v>5895</v>
      </c>
      <c r="K78" s="64" t="s">
        <v>1</v>
      </c>
      <c r="L78" s="65">
        <v>1</v>
      </c>
      <c r="M78" s="99"/>
      <c r="N78" s="70"/>
      <c r="O78" s="66"/>
      <c r="P78" s="57"/>
      <c r="Q78" s="58"/>
      <c r="R78" s="77"/>
      <c r="S78" s="66"/>
      <c r="T78" s="57"/>
      <c r="U78" s="58"/>
      <c r="V78" s="77"/>
      <c r="W78" s="120">
        <f>ROUND((ROUND((ROUND((ROUND((ROUND((_15_同援日増１．５*_15・基礎２),0)*_15・２人),0)*(1+_15・A早朝)),0)*(1+_15・盲ろう)),0)*(1+_15・区４)),0)</f>
        <v>372</v>
      </c>
      <c r="X78" s="69"/>
    </row>
    <row r="79" spans="1:24" ht="16.5" customHeight="1" x14ac:dyDescent="0.3">
      <c r="A79" s="2">
        <v>15</v>
      </c>
      <c r="B79" s="2" t="s">
        <v>2563</v>
      </c>
      <c r="C79" s="60" t="s">
        <v>13170</v>
      </c>
      <c r="D79" s="233" t="s">
        <v>16323</v>
      </c>
      <c r="E79" s="62"/>
      <c r="F79" s="75"/>
      <c r="G79" s="61"/>
      <c r="H79" s="62"/>
      <c r="I79" s="63"/>
      <c r="J79" s="85"/>
      <c r="K79" s="64"/>
      <c r="L79" s="65"/>
      <c r="M79" s="99"/>
      <c r="N79" s="70"/>
      <c r="O79" s="61"/>
      <c r="P79" s="62"/>
      <c r="Q79" s="63"/>
      <c r="R79" s="75"/>
      <c r="S79" s="61"/>
      <c r="T79" s="62"/>
      <c r="U79" s="63"/>
      <c r="V79" s="75"/>
      <c r="W79" s="120">
        <f>ROUND((_15_同援日増２．０*(1+_15・A早朝)),0)</f>
        <v>315</v>
      </c>
      <c r="X79" s="69"/>
    </row>
    <row r="80" spans="1:24" ht="16.5" customHeight="1" x14ac:dyDescent="0.3">
      <c r="A80" s="2">
        <v>15</v>
      </c>
      <c r="B80" s="2" t="s">
        <v>2564</v>
      </c>
      <c r="C80" s="60" t="s">
        <v>13169</v>
      </c>
      <c r="D80" s="1" t="s">
        <v>5983</v>
      </c>
      <c r="E80" s="68"/>
      <c r="F80" s="70"/>
      <c r="G80" s="66"/>
      <c r="H80" s="57"/>
      <c r="I80" s="58"/>
      <c r="J80" s="83" t="s">
        <v>5895</v>
      </c>
      <c r="K80" s="64" t="s">
        <v>1</v>
      </c>
      <c r="L80" s="65">
        <v>1</v>
      </c>
      <c r="M80" s="99"/>
      <c r="N80" s="70"/>
      <c r="O80" s="67"/>
      <c r="P80" s="68"/>
      <c r="Q80" s="76"/>
      <c r="R80" s="70"/>
      <c r="S80" s="67"/>
      <c r="T80" s="68"/>
      <c r="U80" s="76"/>
      <c r="V80" s="70"/>
      <c r="W80" s="120">
        <f>ROUND((ROUND((_15_同援日増２．０*_15・２人),0)*(1+_15・A早朝)),0)</f>
        <v>315</v>
      </c>
      <c r="X80" s="69"/>
    </row>
    <row r="81" spans="1:24" ht="16.5" customHeight="1" x14ac:dyDescent="0.3">
      <c r="A81" s="2">
        <v>15</v>
      </c>
      <c r="B81" s="2" t="s">
        <v>2565</v>
      </c>
      <c r="C81" s="60" t="s">
        <v>13168</v>
      </c>
      <c r="D81" s="1" t="s">
        <v>6448</v>
      </c>
      <c r="E81" s="68"/>
      <c r="F81" s="70"/>
      <c r="G81" s="74" t="s">
        <v>5898</v>
      </c>
      <c r="H81" s="62"/>
      <c r="I81" s="63"/>
      <c r="J81" s="85"/>
      <c r="K81" s="64"/>
      <c r="L81" s="65"/>
      <c r="M81" s="99"/>
      <c r="N81" s="70"/>
      <c r="O81" s="67"/>
      <c r="P81" s="68"/>
      <c r="Q81" s="76"/>
      <c r="R81" s="70"/>
      <c r="S81" s="67"/>
      <c r="T81" s="68"/>
      <c r="U81" s="76"/>
      <c r="V81" s="70"/>
      <c r="W81" s="120">
        <f>ROUND((ROUND((_15_同援日増２．０*_15・基礎２),0)*(1+_15・A早朝)),0)</f>
        <v>284</v>
      </c>
      <c r="X81" s="69"/>
    </row>
    <row r="82" spans="1:24" ht="16.5" customHeight="1" x14ac:dyDescent="0.3">
      <c r="A82" s="2">
        <v>15</v>
      </c>
      <c r="B82" s="2" t="s">
        <v>2566</v>
      </c>
      <c r="C82" s="60" t="s">
        <v>13167</v>
      </c>
      <c r="D82" s="1"/>
      <c r="E82" s="119">
        <v>252</v>
      </c>
      <c r="F82" s="70" t="s">
        <v>0</v>
      </c>
      <c r="G82" s="106" t="s">
        <v>5896</v>
      </c>
      <c r="H82" s="57" t="s">
        <v>1</v>
      </c>
      <c r="I82" s="58">
        <v>0.9</v>
      </c>
      <c r="J82" s="83" t="s">
        <v>5895</v>
      </c>
      <c r="K82" s="64" t="s">
        <v>1</v>
      </c>
      <c r="L82" s="65">
        <v>1</v>
      </c>
      <c r="M82" s="99"/>
      <c r="N82" s="70"/>
      <c r="O82" s="66"/>
      <c r="P82" s="57"/>
      <c r="Q82" s="58"/>
      <c r="R82" s="77"/>
      <c r="S82" s="67"/>
      <c r="T82" s="68"/>
      <c r="U82" s="76"/>
      <c r="V82" s="70"/>
      <c r="W82" s="120">
        <f>ROUND((ROUND((ROUND((_15_同援日増２．０*_15・基礎２),0)*_15・２人),0)*(1+_15・A早朝)),0)</f>
        <v>284</v>
      </c>
      <c r="X82" s="69"/>
    </row>
    <row r="83" spans="1:24" ht="16.5" customHeight="1" x14ac:dyDescent="0.3">
      <c r="A83" s="2">
        <v>15</v>
      </c>
      <c r="B83" s="2" t="s">
        <v>2567</v>
      </c>
      <c r="C83" s="60" t="s">
        <v>13166</v>
      </c>
      <c r="D83" s="1"/>
      <c r="E83" s="68"/>
      <c r="F83" s="70"/>
      <c r="G83" s="61"/>
      <c r="H83" s="62"/>
      <c r="I83" s="63"/>
      <c r="J83" s="85"/>
      <c r="K83" s="64"/>
      <c r="L83" s="65"/>
      <c r="M83" s="99"/>
      <c r="N83" s="70"/>
      <c r="O83" s="74" t="s">
        <v>8085</v>
      </c>
      <c r="P83" s="62"/>
      <c r="Q83" s="63"/>
      <c r="R83" s="75"/>
      <c r="S83" s="67"/>
      <c r="T83" s="68"/>
      <c r="U83" s="76"/>
      <c r="V83" s="70"/>
      <c r="W83" s="120">
        <f>ROUND((ROUND((_15_同援日増２．０*(1+_15・A早朝)),0)*(1+_15・盲ろう)),0)</f>
        <v>394</v>
      </c>
      <c r="X83" s="69"/>
    </row>
    <row r="84" spans="1:24" ht="16.5" customHeight="1" x14ac:dyDescent="0.3">
      <c r="A84" s="2">
        <v>15</v>
      </c>
      <c r="B84" s="2" t="s">
        <v>2568</v>
      </c>
      <c r="C84" s="60" t="s">
        <v>13165</v>
      </c>
      <c r="D84" s="1"/>
      <c r="E84" s="68"/>
      <c r="F84" s="70"/>
      <c r="G84" s="66"/>
      <c r="H84" s="57"/>
      <c r="I84" s="58"/>
      <c r="J84" s="83" t="s">
        <v>5895</v>
      </c>
      <c r="K84" s="64" t="s">
        <v>1</v>
      </c>
      <c r="L84" s="65">
        <v>1</v>
      </c>
      <c r="M84" s="99"/>
      <c r="N84" s="70"/>
      <c r="O84" s="94" t="s">
        <v>8083</v>
      </c>
      <c r="P84" s="68"/>
      <c r="Q84" s="76"/>
      <c r="R84" s="70"/>
      <c r="S84" s="67"/>
      <c r="T84" s="68"/>
      <c r="U84" s="76"/>
      <c r="V84" s="70"/>
      <c r="W84" s="120">
        <f>ROUND((ROUND((ROUND((_15_同援日増２．０*_15・２人),0)*(1+_15・A早朝)),0)*(1+_15・盲ろう)),0)</f>
        <v>394</v>
      </c>
      <c r="X84" s="69"/>
    </row>
    <row r="85" spans="1:24" ht="16.5" customHeight="1" x14ac:dyDescent="0.3">
      <c r="A85" s="2">
        <v>15</v>
      </c>
      <c r="B85" s="2" t="s">
        <v>2569</v>
      </c>
      <c r="C85" s="60" t="s">
        <v>13164</v>
      </c>
      <c r="D85" s="1"/>
      <c r="E85" s="68"/>
      <c r="F85" s="70"/>
      <c r="G85" s="74" t="s">
        <v>5898</v>
      </c>
      <c r="H85" s="62"/>
      <c r="I85" s="63"/>
      <c r="J85" s="85"/>
      <c r="K85" s="64"/>
      <c r="L85" s="65"/>
      <c r="M85" s="99"/>
      <c r="N85" s="70"/>
      <c r="O85" s="67"/>
      <c r="P85" s="68" t="s">
        <v>1</v>
      </c>
      <c r="Q85" s="76">
        <v>0.25</v>
      </c>
      <c r="R85" s="70" t="s">
        <v>422</v>
      </c>
      <c r="S85" s="67"/>
      <c r="T85" s="68"/>
      <c r="U85" s="76"/>
      <c r="V85" s="70"/>
      <c r="W85" s="120">
        <f>ROUND((ROUND((ROUND((_15_同援日増２．０*_15・基礎２),0)*(1+_15・A早朝)),0)*(1+_15・盲ろう)),0)</f>
        <v>355</v>
      </c>
      <c r="X85" s="69"/>
    </row>
    <row r="86" spans="1:24" ht="16.5" customHeight="1" x14ac:dyDescent="0.3">
      <c r="A86" s="2">
        <v>15</v>
      </c>
      <c r="B86" s="2" t="s">
        <v>2570</v>
      </c>
      <c r="C86" s="60" t="s">
        <v>13163</v>
      </c>
      <c r="D86" s="1"/>
      <c r="E86" s="68"/>
      <c r="F86" s="70"/>
      <c r="G86" s="106" t="s">
        <v>5896</v>
      </c>
      <c r="H86" s="57" t="s">
        <v>1</v>
      </c>
      <c r="I86" s="58">
        <v>0.9</v>
      </c>
      <c r="J86" s="83" t="s">
        <v>5895</v>
      </c>
      <c r="K86" s="64" t="s">
        <v>1</v>
      </c>
      <c r="L86" s="65">
        <v>1</v>
      </c>
      <c r="M86" s="99"/>
      <c r="N86" s="70"/>
      <c r="O86" s="66"/>
      <c r="P86" s="57"/>
      <c r="Q86" s="58"/>
      <c r="R86" s="77"/>
      <c r="S86" s="66"/>
      <c r="T86" s="57"/>
      <c r="U86" s="58"/>
      <c r="V86" s="77"/>
      <c r="W86" s="120">
        <f>ROUND((ROUND((ROUND((ROUND((_15_同援日増２．０*_15・基礎２),0)*_15・２人),0)*(1+_15・A早朝)),0)*(1+_15・盲ろう)),0)</f>
        <v>355</v>
      </c>
      <c r="X86" s="69"/>
    </row>
    <row r="87" spans="1:24" ht="16.5" customHeight="1" x14ac:dyDescent="0.3">
      <c r="A87" s="2">
        <v>15</v>
      </c>
      <c r="B87" s="2" t="s">
        <v>2571</v>
      </c>
      <c r="C87" s="60" t="s">
        <v>13162</v>
      </c>
      <c r="D87" s="1"/>
      <c r="E87" s="68"/>
      <c r="F87" s="70"/>
      <c r="G87" s="61"/>
      <c r="H87" s="62"/>
      <c r="I87" s="63"/>
      <c r="J87" s="85"/>
      <c r="K87" s="64"/>
      <c r="L87" s="65"/>
      <c r="M87" s="99"/>
      <c r="N87" s="70"/>
      <c r="O87" s="61"/>
      <c r="P87" s="62"/>
      <c r="Q87" s="63"/>
      <c r="R87" s="75"/>
      <c r="S87" s="61"/>
      <c r="T87" s="62"/>
      <c r="U87" s="63"/>
      <c r="V87" s="75"/>
      <c r="W87" s="120">
        <f>ROUND((ROUND((_15_同援日増２．０*(1+_15・A早朝)),0)*(1+_15・区３)),0)</f>
        <v>378</v>
      </c>
      <c r="X87" s="69"/>
    </row>
    <row r="88" spans="1:24" ht="16.5" customHeight="1" x14ac:dyDescent="0.3">
      <c r="A88" s="2">
        <v>15</v>
      </c>
      <c r="B88" s="2" t="s">
        <v>2572</v>
      </c>
      <c r="C88" s="60" t="s">
        <v>13161</v>
      </c>
      <c r="D88" s="1"/>
      <c r="E88" s="68"/>
      <c r="F88" s="70"/>
      <c r="G88" s="66"/>
      <c r="H88" s="57"/>
      <c r="I88" s="58"/>
      <c r="J88" s="83" t="s">
        <v>5895</v>
      </c>
      <c r="K88" s="64" t="s">
        <v>1</v>
      </c>
      <c r="L88" s="65">
        <v>1</v>
      </c>
      <c r="M88" s="99"/>
      <c r="N88" s="70"/>
      <c r="O88" s="67"/>
      <c r="P88" s="68"/>
      <c r="Q88" s="76"/>
      <c r="R88" s="70"/>
      <c r="S88" s="67"/>
      <c r="T88" s="68"/>
      <c r="U88" s="76"/>
      <c r="V88" s="70"/>
      <c r="W88" s="120">
        <f>ROUND((ROUND((ROUND((_15_同援日増２．０*_15・２人),0)*(1+_15・A早朝)),0)*(1+_15・区３)),0)</f>
        <v>378</v>
      </c>
      <c r="X88" s="69"/>
    </row>
    <row r="89" spans="1:24" ht="16.5" customHeight="1" x14ac:dyDescent="0.3">
      <c r="A89" s="2">
        <v>15</v>
      </c>
      <c r="B89" s="2" t="s">
        <v>2573</v>
      </c>
      <c r="C89" s="60" t="s">
        <v>13160</v>
      </c>
      <c r="D89" s="1"/>
      <c r="E89" s="68"/>
      <c r="F89" s="70"/>
      <c r="G89" s="74" t="s">
        <v>5898</v>
      </c>
      <c r="H89" s="62"/>
      <c r="I89" s="63"/>
      <c r="J89" s="85"/>
      <c r="K89" s="64"/>
      <c r="L89" s="65"/>
      <c r="M89" s="99"/>
      <c r="N89" s="70"/>
      <c r="O89" s="67"/>
      <c r="P89" s="68"/>
      <c r="Q89" s="76"/>
      <c r="R89" s="70"/>
      <c r="S89" s="1" t="s">
        <v>8098</v>
      </c>
      <c r="T89" s="68"/>
      <c r="U89" s="76"/>
      <c r="V89" s="70"/>
      <c r="W89" s="120">
        <f>ROUND((ROUND((ROUND((_15_同援日増２．０*_15・基礎２),0)*(1+_15・A早朝)),0)*(1+_15・区３)),0)</f>
        <v>341</v>
      </c>
      <c r="X89" s="69"/>
    </row>
    <row r="90" spans="1:24" ht="16.5" customHeight="1" x14ac:dyDescent="0.3">
      <c r="A90" s="2">
        <v>15</v>
      </c>
      <c r="B90" s="2" t="s">
        <v>2574</v>
      </c>
      <c r="C90" s="60" t="s">
        <v>13159</v>
      </c>
      <c r="D90" s="1"/>
      <c r="E90" s="68"/>
      <c r="F90" s="70"/>
      <c r="G90" s="106" t="s">
        <v>5896</v>
      </c>
      <c r="H90" s="57" t="s">
        <v>1</v>
      </c>
      <c r="I90" s="58">
        <v>0.9</v>
      </c>
      <c r="J90" s="83" t="s">
        <v>5895</v>
      </c>
      <c r="K90" s="64" t="s">
        <v>1</v>
      </c>
      <c r="L90" s="65">
        <v>1</v>
      </c>
      <c r="M90" s="99"/>
      <c r="N90" s="70"/>
      <c r="O90" s="66"/>
      <c r="P90" s="57"/>
      <c r="Q90" s="58"/>
      <c r="R90" s="77"/>
      <c r="S90" s="1" t="s">
        <v>8087</v>
      </c>
      <c r="T90" s="68"/>
      <c r="U90" s="76"/>
      <c r="V90" s="70"/>
      <c r="W90" s="120">
        <f>ROUND((ROUND((ROUND((ROUND((_15_同援日増２．０*_15・基礎２),0)*_15・２人),0)*(1+_15・A早朝)),0)*(1+_15・区３)),0)</f>
        <v>341</v>
      </c>
      <c r="X90" s="69"/>
    </row>
    <row r="91" spans="1:24" ht="16.5" customHeight="1" x14ac:dyDescent="0.3">
      <c r="A91" s="2">
        <v>15</v>
      </c>
      <c r="B91" s="2" t="s">
        <v>2575</v>
      </c>
      <c r="C91" s="60" t="s">
        <v>13158</v>
      </c>
      <c r="D91" s="1"/>
      <c r="E91" s="68"/>
      <c r="F91" s="70"/>
      <c r="G91" s="61"/>
      <c r="H91" s="62"/>
      <c r="I91" s="63"/>
      <c r="J91" s="85"/>
      <c r="K91" s="64"/>
      <c r="L91" s="65"/>
      <c r="M91" s="99"/>
      <c r="N91" s="70"/>
      <c r="O91" s="74" t="s">
        <v>8085</v>
      </c>
      <c r="P91" s="62"/>
      <c r="Q91" s="63"/>
      <c r="R91" s="75"/>
      <c r="S91" s="67"/>
      <c r="T91" s="68" t="s">
        <v>1</v>
      </c>
      <c r="U91" s="76">
        <v>0.2</v>
      </c>
      <c r="V91" s="70" t="s">
        <v>422</v>
      </c>
      <c r="W91" s="120">
        <f>ROUND((ROUND((ROUND((_15_同援日増２．０*(1+_15・A早朝)),0)*(1+_15・盲ろう)),0)*(1+_15・区３)),0)</f>
        <v>473</v>
      </c>
      <c r="X91" s="69"/>
    </row>
    <row r="92" spans="1:24" ht="16.5" customHeight="1" x14ac:dyDescent="0.3">
      <c r="A92" s="2">
        <v>15</v>
      </c>
      <c r="B92" s="2" t="s">
        <v>2576</v>
      </c>
      <c r="C92" s="60" t="s">
        <v>13157</v>
      </c>
      <c r="D92" s="1"/>
      <c r="E92" s="68"/>
      <c r="F92" s="70"/>
      <c r="G92" s="66"/>
      <c r="H92" s="57"/>
      <c r="I92" s="58"/>
      <c r="J92" s="83" t="s">
        <v>5895</v>
      </c>
      <c r="K92" s="64" t="s">
        <v>1</v>
      </c>
      <c r="L92" s="65">
        <v>1</v>
      </c>
      <c r="M92" s="99"/>
      <c r="N92" s="70"/>
      <c r="O92" s="94" t="s">
        <v>8083</v>
      </c>
      <c r="P92" s="68"/>
      <c r="Q92" s="76"/>
      <c r="R92" s="70"/>
      <c r="S92" s="67"/>
      <c r="T92" s="68"/>
      <c r="U92" s="76"/>
      <c r="V92" s="70"/>
      <c r="W92" s="120">
        <f>ROUND((ROUND((ROUND((ROUND((_15_同援日増２．０*_15・２人),0)*(1+_15・A早朝)),0)*(1+_15・盲ろう)),0)*(1+_15・区３)),0)</f>
        <v>473</v>
      </c>
      <c r="X92" s="69"/>
    </row>
    <row r="93" spans="1:24" ht="16.5" customHeight="1" x14ac:dyDescent="0.3">
      <c r="A93" s="2">
        <v>15</v>
      </c>
      <c r="B93" s="2" t="s">
        <v>2577</v>
      </c>
      <c r="C93" s="60" t="s">
        <v>13156</v>
      </c>
      <c r="D93" s="1"/>
      <c r="E93" s="68"/>
      <c r="F93" s="70"/>
      <c r="G93" s="74" t="s">
        <v>5898</v>
      </c>
      <c r="H93" s="62"/>
      <c r="I93" s="63"/>
      <c r="J93" s="85"/>
      <c r="K93" s="64"/>
      <c r="L93" s="65"/>
      <c r="M93" s="99"/>
      <c r="N93" s="70"/>
      <c r="O93" s="67"/>
      <c r="P93" s="68" t="s">
        <v>1</v>
      </c>
      <c r="Q93" s="76">
        <v>0.25</v>
      </c>
      <c r="R93" s="70" t="s">
        <v>422</v>
      </c>
      <c r="S93" s="67"/>
      <c r="T93" s="68"/>
      <c r="U93" s="76"/>
      <c r="V93" s="70"/>
      <c r="W93" s="120">
        <f>ROUND((ROUND((ROUND((ROUND((_15_同援日増２．０*_15・基礎２),0)*(1+_15・A早朝)),0)*(1+_15・盲ろう)),0)*(1+_15・区３)),0)</f>
        <v>426</v>
      </c>
      <c r="X93" s="69"/>
    </row>
    <row r="94" spans="1:24" ht="16.5" customHeight="1" x14ac:dyDescent="0.3">
      <c r="A94" s="2">
        <v>15</v>
      </c>
      <c r="B94" s="2" t="s">
        <v>2578</v>
      </c>
      <c r="C94" s="60" t="s">
        <v>13155</v>
      </c>
      <c r="D94" s="1"/>
      <c r="E94" s="68"/>
      <c r="F94" s="70"/>
      <c r="G94" s="106" t="s">
        <v>5896</v>
      </c>
      <c r="H94" s="57" t="s">
        <v>1</v>
      </c>
      <c r="I94" s="58">
        <v>0.9</v>
      </c>
      <c r="J94" s="83" t="s">
        <v>5895</v>
      </c>
      <c r="K94" s="64" t="s">
        <v>1</v>
      </c>
      <c r="L94" s="65">
        <v>1</v>
      </c>
      <c r="M94" s="99"/>
      <c r="N94" s="70"/>
      <c r="O94" s="66"/>
      <c r="P94" s="57"/>
      <c r="Q94" s="58"/>
      <c r="R94" s="77"/>
      <c r="S94" s="66"/>
      <c r="T94" s="57"/>
      <c r="U94" s="58"/>
      <c r="V94" s="77"/>
      <c r="W94" s="120">
        <f>ROUND((ROUND((ROUND((ROUND((ROUND((_15_同援日増２．０*_15・基礎２),0)*_15・２人),0)*(1+_15・A早朝)),0)*(1+_15・盲ろう)),0)*(1+_15・区３)),0)</f>
        <v>426</v>
      </c>
      <c r="X94" s="69"/>
    </row>
    <row r="95" spans="1:24" ht="16.5" customHeight="1" x14ac:dyDescent="0.3">
      <c r="A95" s="2">
        <v>15</v>
      </c>
      <c r="B95" s="2" t="s">
        <v>2579</v>
      </c>
      <c r="C95" s="60" t="s">
        <v>13154</v>
      </c>
      <c r="D95" s="1"/>
      <c r="E95" s="68"/>
      <c r="F95" s="70"/>
      <c r="G95" s="61"/>
      <c r="H95" s="62"/>
      <c r="I95" s="63"/>
      <c r="J95" s="85"/>
      <c r="K95" s="64"/>
      <c r="L95" s="65"/>
      <c r="M95" s="99"/>
      <c r="N95" s="70"/>
      <c r="O95" s="61"/>
      <c r="P95" s="62"/>
      <c r="Q95" s="63"/>
      <c r="R95" s="75"/>
      <c r="S95" s="61"/>
      <c r="T95" s="62"/>
      <c r="U95" s="63"/>
      <c r="V95" s="75"/>
      <c r="W95" s="120">
        <f>ROUND((ROUND((_15_同援日増２．０*(1+_15・A早朝)),0)*(1+_15・区４)),0)</f>
        <v>441</v>
      </c>
      <c r="X95" s="69"/>
    </row>
    <row r="96" spans="1:24" ht="16.5" customHeight="1" x14ac:dyDescent="0.3">
      <c r="A96" s="2">
        <v>15</v>
      </c>
      <c r="B96" s="2" t="s">
        <v>2580</v>
      </c>
      <c r="C96" s="60" t="s">
        <v>13153</v>
      </c>
      <c r="D96" s="1"/>
      <c r="E96" s="68"/>
      <c r="F96" s="70"/>
      <c r="G96" s="66"/>
      <c r="H96" s="57"/>
      <c r="I96" s="58"/>
      <c r="J96" s="83" t="s">
        <v>5895</v>
      </c>
      <c r="K96" s="64" t="s">
        <v>1</v>
      </c>
      <c r="L96" s="65">
        <v>1</v>
      </c>
      <c r="M96" s="99"/>
      <c r="N96" s="70"/>
      <c r="O96" s="67"/>
      <c r="P96" s="68"/>
      <c r="Q96" s="76"/>
      <c r="R96" s="70"/>
      <c r="S96" s="67"/>
      <c r="T96" s="68"/>
      <c r="U96" s="76"/>
      <c r="V96" s="70"/>
      <c r="W96" s="120">
        <f>ROUND((ROUND((ROUND((_15_同援日増２．０*_15・２人),0)*(1+_15・A早朝)),0)*(1+_15・区４)),0)</f>
        <v>441</v>
      </c>
      <c r="X96" s="69"/>
    </row>
    <row r="97" spans="1:24" ht="16.5" customHeight="1" x14ac:dyDescent="0.3">
      <c r="A97" s="2">
        <v>15</v>
      </c>
      <c r="B97" s="2" t="s">
        <v>2581</v>
      </c>
      <c r="C97" s="60" t="s">
        <v>13152</v>
      </c>
      <c r="D97" s="1"/>
      <c r="E97" s="68"/>
      <c r="F97" s="70"/>
      <c r="G97" s="74" t="s">
        <v>5898</v>
      </c>
      <c r="H97" s="62"/>
      <c r="I97" s="63"/>
      <c r="J97" s="85"/>
      <c r="K97" s="64"/>
      <c r="L97" s="65"/>
      <c r="M97" s="99"/>
      <c r="N97" s="70"/>
      <c r="O97" s="67"/>
      <c r="P97" s="68"/>
      <c r="Q97" s="76"/>
      <c r="R97" s="70"/>
      <c r="S97" s="1" t="s">
        <v>8089</v>
      </c>
      <c r="T97" s="68"/>
      <c r="U97" s="76"/>
      <c r="V97" s="70"/>
      <c r="W97" s="120">
        <f>ROUND((ROUND((ROUND((_15_同援日増２．０*_15・基礎２),0)*(1+_15・A早朝)),0)*(1+_15・区４)),0)</f>
        <v>398</v>
      </c>
      <c r="X97" s="69"/>
    </row>
    <row r="98" spans="1:24" ht="16.5" customHeight="1" x14ac:dyDescent="0.3">
      <c r="A98" s="2">
        <v>15</v>
      </c>
      <c r="B98" s="2" t="s">
        <v>2582</v>
      </c>
      <c r="C98" s="60" t="s">
        <v>13151</v>
      </c>
      <c r="D98" s="1"/>
      <c r="E98" s="68"/>
      <c r="F98" s="70"/>
      <c r="G98" s="106" t="s">
        <v>5896</v>
      </c>
      <c r="H98" s="57" t="s">
        <v>1</v>
      </c>
      <c r="I98" s="58">
        <v>0.9</v>
      </c>
      <c r="J98" s="83" t="s">
        <v>5895</v>
      </c>
      <c r="K98" s="64" t="s">
        <v>1</v>
      </c>
      <c r="L98" s="65">
        <v>1</v>
      </c>
      <c r="M98" s="99"/>
      <c r="N98" s="70"/>
      <c r="O98" s="66"/>
      <c r="P98" s="57"/>
      <c r="Q98" s="58"/>
      <c r="R98" s="77"/>
      <c r="S98" s="1" t="s">
        <v>8087</v>
      </c>
      <c r="T98" s="68"/>
      <c r="U98" s="76"/>
      <c r="V98" s="70"/>
      <c r="W98" s="120">
        <f>ROUND((ROUND((ROUND((ROUND((_15_同援日増２．０*_15・基礎２),0)*_15・２人),0)*(1+_15・A早朝)),0)*(1+_15・区４)),0)</f>
        <v>398</v>
      </c>
      <c r="X98" s="69"/>
    </row>
    <row r="99" spans="1:24" ht="16.5" customHeight="1" x14ac:dyDescent="0.3">
      <c r="A99" s="2">
        <v>15</v>
      </c>
      <c r="B99" s="2" t="s">
        <v>2583</v>
      </c>
      <c r="C99" s="60" t="s">
        <v>13150</v>
      </c>
      <c r="D99" s="1"/>
      <c r="E99" s="68"/>
      <c r="F99" s="70"/>
      <c r="G99" s="61"/>
      <c r="H99" s="62"/>
      <c r="I99" s="63"/>
      <c r="J99" s="85"/>
      <c r="K99" s="64"/>
      <c r="L99" s="65"/>
      <c r="M99" s="99"/>
      <c r="N99" s="70"/>
      <c r="O99" s="74" t="s">
        <v>8085</v>
      </c>
      <c r="P99" s="62"/>
      <c r="Q99" s="63"/>
      <c r="R99" s="75"/>
      <c r="S99" s="67"/>
      <c r="T99" s="68" t="s">
        <v>1</v>
      </c>
      <c r="U99" s="76">
        <v>0.4</v>
      </c>
      <c r="V99" s="70" t="s">
        <v>422</v>
      </c>
      <c r="W99" s="120">
        <f>ROUND((ROUND((ROUND((_15_同援日増２．０*(1+_15・A早朝)),0)*(1+_15・盲ろう)),0)*(1+_15・区４)),0)</f>
        <v>552</v>
      </c>
      <c r="X99" s="69"/>
    </row>
    <row r="100" spans="1:24" ht="16.5" customHeight="1" x14ac:dyDescent="0.3">
      <c r="A100" s="2">
        <v>15</v>
      </c>
      <c r="B100" s="2" t="s">
        <v>2584</v>
      </c>
      <c r="C100" s="60" t="s">
        <v>13149</v>
      </c>
      <c r="D100" s="1"/>
      <c r="E100" s="68"/>
      <c r="F100" s="70"/>
      <c r="G100" s="66"/>
      <c r="H100" s="57"/>
      <c r="I100" s="58"/>
      <c r="J100" s="83" t="s">
        <v>5895</v>
      </c>
      <c r="K100" s="64" t="s">
        <v>1</v>
      </c>
      <c r="L100" s="65">
        <v>1</v>
      </c>
      <c r="M100" s="99"/>
      <c r="N100" s="70"/>
      <c r="O100" s="94" t="s">
        <v>8083</v>
      </c>
      <c r="P100" s="68"/>
      <c r="Q100" s="76"/>
      <c r="R100" s="70"/>
      <c r="S100" s="67"/>
      <c r="T100" s="68"/>
      <c r="U100" s="76"/>
      <c r="V100" s="70"/>
      <c r="W100" s="120">
        <f>ROUND((ROUND((ROUND((ROUND((_15_同援日増２．０*_15・２人),0)*(1+_15・A早朝)),0)*(1+_15・盲ろう)),0)*(1+_15・区４)),0)</f>
        <v>552</v>
      </c>
      <c r="X100" s="69"/>
    </row>
    <row r="101" spans="1:24" ht="16.5" customHeight="1" x14ac:dyDescent="0.3">
      <c r="A101" s="2">
        <v>15</v>
      </c>
      <c r="B101" s="2" t="s">
        <v>2585</v>
      </c>
      <c r="C101" s="60" t="s">
        <v>13148</v>
      </c>
      <c r="D101" s="1"/>
      <c r="E101" s="68"/>
      <c r="F101" s="70"/>
      <c r="G101" s="74" t="s">
        <v>5898</v>
      </c>
      <c r="H101" s="62"/>
      <c r="I101" s="63"/>
      <c r="J101" s="85"/>
      <c r="K101" s="64"/>
      <c r="L101" s="65"/>
      <c r="M101" s="99"/>
      <c r="N101" s="70"/>
      <c r="O101" s="67"/>
      <c r="P101" s="68" t="s">
        <v>1</v>
      </c>
      <c r="Q101" s="76">
        <v>0.25</v>
      </c>
      <c r="R101" s="70" t="s">
        <v>422</v>
      </c>
      <c r="S101" s="67"/>
      <c r="T101" s="68"/>
      <c r="U101" s="76"/>
      <c r="V101" s="70"/>
      <c r="W101" s="120">
        <f>ROUND((ROUND((ROUND((ROUND((_15_同援日増２．０*_15・基礎２),0)*(1+_15・A早朝)),0)*(1+_15・盲ろう)),0)*(1+_15・区４)),0)</f>
        <v>497</v>
      </c>
      <c r="X101" s="69"/>
    </row>
    <row r="102" spans="1:24" ht="16.5" customHeight="1" x14ac:dyDescent="0.3">
      <c r="A102" s="2">
        <v>15</v>
      </c>
      <c r="B102" s="2" t="s">
        <v>2586</v>
      </c>
      <c r="C102" s="60" t="s">
        <v>13147</v>
      </c>
      <c r="D102" s="81"/>
      <c r="E102" s="57"/>
      <c r="F102" s="77"/>
      <c r="G102" s="106" t="s">
        <v>5896</v>
      </c>
      <c r="H102" s="57" t="s">
        <v>1</v>
      </c>
      <c r="I102" s="58">
        <v>0.9</v>
      </c>
      <c r="J102" s="83" t="s">
        <v>5895</v>
      </c>
      <c r="K102" s="64" t="s">
        <v>1</v>
      </c>
      <c r="L102" s="65">
        <v>1</v>
      </c>
      <c r="M102" s="99"/>
      <c r="N102" s="70"/>
      <c r="O102" s="66"/>
      <c r="P102" s="57"/>
      <c r="Q102" s="58"/>
      <c r="R102" s="77"/>
      <c r="S102" s="66"/>
      <c r="T102" s="57"/>
      <c r="U102" s="58"/>
      <c r="V102" s="77"/>
      <c r="W102" s="120">
        <f>ROUND((ROUND((ROUND((ROUND((ROUND((_15_同援日増２．０*_15・基礎２),0)*_15・２人),0)*(1+_15・A早朝)),0)*(1+_15・盲ろう)),0)*(1+_15・区４)),0)</f>
        <v>497</v>
      </c>
      <c r="X102" s="69"/>
    </row>
    <row r="103" spans="1:24" ht="16.5" customHeight="1" x14ac:dyDescent="0.3">
      <c r="A103" s="2">
        <v>15</v>
      </c>
      <c r="B103" s="2" t="s">
        <v>2587</v>
      </c>
      <c r="C103" s="60" t="s">
        <v>13146</v>
      </c>
      <c r="D103" s="233" t="s">
        <v>16324</v>
      </c>
      <c r="E103" s="62"/>
      <c r="F103" s="75"/>
      <c r="G103" s="61"/>
      <c r="H103" s="62"/>
      <c r="I103" s="63"/>
      <c r="J103" s="85"/>
      <c r="K103" s="64"/>
      <c r="L103" s="65"/>
      <c r="M103" s="99"/>
      <c r="N103" s="70"/>
      <c r="O103" s="61"/>
      <c r="P103" s="62"/>
      <c r="Q103" s="63"/>
      <c r="R103" s="75"/>
      <c r="S103" s="61"/>
      <c r="T103" s="62"/>
      <c r="U103" s="63"/>
      <c r="V103" s="75"/>
      <c r="W103" s="120">
        <f>ROUND((_15_同援日増２．５*(1+_15・A早朝)),0)</f>
        <v>394</v>
      </c>
      <c r="X103" s="69"/>
    </row>
    <row r="104" spans="1:24" ht="16.5" customHeight="1" x14ac:dyDescent="0.3">
      <c r="A104" s="2">
        <v>15</v>
      </c>
      <c r="B104" s="2" t="s">
        <v>2588</v>
      </c>
      <c r="C104" s="60" t="s">
        <v>13145</v>
      </c>
      <c r="D104" s="1" t="s">
        <v>5977</v>
      </c>
      <c r="E104" s="68"/>
      <c r="F104" s="70"/>
      <c r="G104" s="66"/>
      <c r="H104" s="57"/>
      <c r="I104" s="58"/>
      <c r="J104" s="83" t="s">
        <v>5895</v>
      </c>
      <c r="K104" s="64" t="s">
        <v>1</v>
      </c>
      <c r="L104" s="65">
        <v>1</v>
      </c>
      <c r="M104" s="99"/>
      <c r="N104" s="70"/>
      <c r="O104" s="67"/>
      <c r="P104" s="68"/>
      <c r="Q104" s="76"/>
      <c r="R104" s="70"/>
      <c r="S104" s="67"/>
      <c r="T104" s="68"/>
      <c r="U104" s="76"/>
      <c r="V104" s="70"/>
      <c r="W104" s="120">
        <f>ROUND((ROUND((_15_同援日増２．５*_15・２人),0)*(1+_15・A早朝)),0)</f>
        <v>394</v>
      </c>
      <c r="X104" s="69"/>
    </row>
    <row r="105" spans="1:24" ht="16.5" customHeight="1" x14ac:dyDescent="0.3">
      <c r="A105" s="2">
        <v>15</v>
      </c>
      <c r="B105" s="2" t="s">
        <v>2589</v>
      </c>
      <c r="C105" s="60" t="s">
        <v>13144</v>
      </c>
      <c r="D105" s="1" t="s">
        <v>8499</v>
      </c>
      <c r="E105" s="68"/>
      <c r="F105" s="70"/>
      <c r="G105" s="74" t="s">
        <v>5898</v>
      </c>
      <c r="H105" s="62"/>
      <c r="I105" s="63"/>
      <c r="J105" s="85"/>
      <c r="K105" s="64"/>
      <c r="L105" s="65"/>
      <c r="M105" s="99"/>
      <c r="N105" s="70"/>
      <c r="O105" s="67"/>
      <c r="P105" s="68"/>
      <c r="Q105" s="76"/>
      <c r="R105" s="70"/>
      <c r="S105" s="67"/>
      <c r="T105" s="68"/>
      <c r="U105" s="76"/>
      <c r="V105" s="70"/>
      <c r="W105" s="120">
        <f>ROUND((ROUND((_15_同援日増２．５*_15・基礎２),0)*(1+_15・A早朝)),0)</f>
        <v>355</v>
      </c>
      <c r="X105" s="69"/>
    </row>
    <row r="106" spans="1:24" ht="16.5" customHeight="1" x14ac:dyDescent="0.3">
      <c r="A106" s="2">
        <v>15</v>
      </c>
      <c r="B106" s="2" t="s">
        <v>2590</v>
      </c>
      <c r="C106" s="60" t="s">
        <v>13143</v>
      </c>
      <c r="D106" s="1"/>
      <c r="E106" s="119">
        <v>315</v>
      </c>
      <c r="F106" s="70" t="s">
        <v>0</v>
      </c>
      <c r="G106" s="106" t="s">
        <v>5896</v>
      </c>
      <c r="H106" s="57" t="s">
        <v>1</v>
      </c>
      <c r="I106" s="58">
        <v>0.9</v>
      </c>
      <c r="J106" s="83" t="s">
        <v>5895</v>
      </c>
      <c r="K106" s="64" t="s">
        <v>1</v>
      </c>
      <c r="L106" s="65">
        <v>1</v>
      </c>
      <c r="M106" s="99"/>
      <c r="N106" s="70"/>
      <c r="O106" s="66"/>
      <c r="P106" s="57"/>
      <c r="Q106" s="58"/>
      <c r="R106" s="77"/>
      <c r="S106" s="67"/>
      <c r="T106" s="68"/>
      <c r="U106" s="76"/>
      <c r="V106" s="70"/>
      <c r="W106" s="120">
        <f>ROUND((ROUND((ROUND((_15_同援日増２．５*_15・基礎２),0)*_15・２人),0)*(1+_15・A早朝)),0)</f>
        <v>355</v>
      </c>
      <c r="X106" s="69"/>
    </row>
    <row r="107" spans="1:24" ht="16.5" customHeight="1" x14ac:dyDescent="0.3">
      <c r="A107" s="2">
        <v>15</v>
      </c>
      <c r="B107" s="2" t="s">
        <v>2591</v>
      </c>
      <c r="C107" s="60" t="s">
        <v>13142</v>
      </c>
      <c r="D107" s="1"/>
      <c r="E107" s="68"/>
      <c r="F107" s="70"/>
      <c r="G107" s="61"/>
      <c r="H107" s="62"/>
      <c r="I107" s="63"/>
      <c r="J107" s="85"/>
      <c r="K107" s="64"/>
      <c r="L107" s="65"/>
      <c r="M107" s="99"/>
      <c r="N107" s="70"/>
      <c r="O107" s="74" t="s">
        <v>8085</v>
      </c>
      <c r="P107" s="62"/>
      <c r="Q107" s="63"/>
      <c r="R107" s="75"/>
      <c r="S107" s="67"/>
      <c r="T107" s="68"/>
      <c r="U107" s="76"/>
      <c r="V107" s="70"/>
      <c r="W107" s="120">
        <f>ROUND((ROUND((_15_同援日増２．５*(1+_15・A早朝)),0)*(1+_15・盲ろう)),0)</f>
        <v>493</v>
      </c>
      <c r="X107" s="69"/>
    </row>
    <row r="108" spans="1:24" ht="16.5" customHeight="1" x14ac:dyDescent="0.3">
      <c r="A108" s="2">
        <v>15</v>
      </c>
      <c r="B108" s="2" t="s">
        <v>2592</v>
      </c>
      <c r="C108" s="60" t="s">
        <v>13141</v>
      </c>
      <c r="D108" s="1"/>
      <c r="E108" s="68"/>
      <c r="F108" s="70"/>
      <c r="G108" s="66"/>
      <c r="H108" s="57"/>
      <c r="I108" s="58"/>
      <c r="J108" s="83" t="s">
        <v>5895</v>
      </c>
      <c r="K108" s="64" t="s">
        <v>1</v>
      </c>
      <c r="L108" s="65">
        <v>1</v>
      </c>
      <c r="M108" s="99"/>
      <c r="N108" s="70"/>
      <c r="O108" s="94" t="s">
        <v>8083</v>
      </c>
      <c r="P108" s="68"/>
      <c r="Q108" s="76"/>
      <c r="R108" s="70"/>
      <c r="S108" s="67"/>
      <c r="T108" s="68"/>
      <c r="U108" s="76"/>
      <c r="V108" s="70"/>
      <c r="W108" s="120">
        <f>ROUND((ROUND((ROUND((_15_同援日増２．５*_15・２人),0)*(1+_15・A早朝)),0)*(1+_15・盲ろう)),0)</f>
        <v>493</v>
      </c>
      <c r="X108" s="69"/>
    </row>
    <row r="109" spans="1:24" ht="16.5" customHeight="1" x14ac:dyDescent="0.3">
      <c r="A109" s="2">
        <v>15</v>
      </c>
      <c r="B109" s="2" t="s">
        <v>2593</v>
      </c>
      <c r="C109" s="60" t="s">
        <v>13140</v>
      </c>
      <c r="D109" s="1"/>
      <c r="E109" s="68"/>
      <c r="F109" s="70"/>
      <c r="G109" s="74" t="s">
        <v>5898</v>
      </c>
      <c r="H109" s="62"/>
      <c r="I109" s="63"/>
      <c r="J109" s="85"/>
      <c r="K109" s="64"/>
      <c r="L109" s="65"/>
      <c r="M109" s="99"/>
      <c r="N109" s="70"/>
      <c r="O109" s="67"/>
      <c r="P109" s="68" t="s">
        <v>1</v>
      </c>
      <c r="Q109" s="76">
        <v>0.25</v>
      </c>
      <c r="R109" s="70" t="s">
        <v>422</v>
      </c>
      <c r="S109" s="67"/>
      <c r="T109" s="68"/>
      <c r="U109" s="76"/>
      <c r="V109" s="70"/>
      <c r="W109" s="120">
        <f>ROUND((ROUND((ROUND((_15_同援日増２．５*_15・基礎２),0)*(1+_15・A早朝)),0)*(1+_15・盲ろう)),0)</f>
        <v>444</v>
      </c>
      <c r="X109" s="69"/>
    </row>
    <row r="110" spans="1:24" ht="16.5" customHeight="1" x14ac:dyDescent="0.3">
      <c r="A110" s="2">
        <v>15</v>
      </c>
      <c r="B110" s="2" t="s">
        <v>2594</v>
      </c>
      <c r="C110" s="60" t="s">
        <v>13139</v>
      </c>
      <c r="D110" s="1"/>
      <c r="E110" s="68"/>
      <c r="F110" s="70"/>
      <c r="G110" s="106" t="s">
        <v>5896</v>
      </c>
      <c r="H110" s="57" t="s">
        <v>1</v>
      </c>
      <c r="I110" s="58">
        <v>0.9</v>
      </c>
      <c r="J110" s="83" t="s">
        <v>5895</v>
      </c>
      <c r="K110" s="64" t="s">
        <v>1</v>
      </c>
      <c r="L110" s="65">
        <v>1</v>
      </c>
      <c r="M110" s="99"/>
      <c r="N110" s="70"/>
      <c r="O110" s="66"/>
      <c r="P110" s="57"/>
      <c r="Q110" s="58"/>
      <c r="R110" s="77"/>
      <c r="S110" s="66"/>
      <c r="T110" s="57"/>
      <c r="U110" s="58"/>
      <c r="V110" s="77"/>
      <c r="W110" s="120">
        <f>ROUND((ROUND((ROUND((ROUND((_15_同援日増２．５*_15・基礎２),0)*_15・２人),0)*(1+_15・A早朝)),0)*(1+_15・盲ろう)),0)</f>
        <v>444</v>
      </c>
      <c r="X110" s="69"/>
    </row>
    <row r="111" spans="1:24" ht="16.5" customHeight="1" x14ac:dyDescent="0.3">
      <c r="A111" s="2">
        <v>15</v>
      </c>
      <c r="B111" s="2" t="s">
        <v>2595</v>
      </c>
      <c r="C111" s="60" t="s">
        <v>13138</v>
      </c>
      <c r="D111" s="1"/>
      <c r="E111" s="68"/>
      <c r="F111" s="70"/>
      <c r="G111" s="61"/>
      <c r="H111" s="62"/>
      <c r="I111" s="63"/>
      <c r="J111" s="85"/>
      <c r="K111" s="64"/>
      <c r="L111" s="65"/>
      <c r="M111" s="99"/>
      <c r="N111" s="70"/>
      <c r="O111" s="61"/>
      <c r="P111" s="62"/>
      <c r="Q111" s="63"/>
      <c r="R111" s="75"/>
      <c r="S111" s="61"/>
      <c r="T111" s="62"/>
      <c r="U111" s="63"/>
      <c r="V111" s="75"/>
      <c r="W111" s="120">
        <f>ROUND((ROUND((_15_同援日増２．５*(1+_15・A早朝)),0)*(1+_15・区３)),0)</f>
        <v>473</v>
      </c>
      <c r="X111" s="69"/>
    </row>
    <row r="112" spans="1:24" ht="16.5" customHeight="1" x14ac:dyDescent="0.3">
      <c r="A112" s="2">
        <v>15</v>
      </c>
      <c r="B112" s="2" t="s">
        <v>2596</v>
      </c>
      <c r="C112" s="60" t="s">
        <v>13137</v>
      </c>
      <c r="D112" s="1"/>
      <c r="E112" s="68"/>
      <c r="F112" s="70"/>
      <c r="G112" s="66"/>
      <c r="H112" s="57"/>
      <c r="I112" s="58"/>
      <c r="J112" s="83" t="s">
        <v>5895</v>
      </c>
      <c r="K112" s="64" t="s">
        <v>1</v>
      </c>
      <c r="L112" s="65">
        <v>1</v>
      </c>
      <c r="M112" s="99"/>
      <c r="N112" s="70"/>
      <c r="O112" s="67"/>
      <c r="P112" s="68"/>
      <c r="Q112" s="76"/>
      <c r="R112" s="70"/>
      <c r="S112" s="67"/>
      <c r="T112" s="68"/>
      <c r="U112" s="76"/>
      <c r="V112" s="70"/>
      <c r="W112" s="120">
        <f>ROUND((ROUND((ROUND((_15_同援日増２．５*_15・２人),0)*(1+_15・A早朝)),0)*(1+_15・区３)),0)</f>
        <v>473</v>
      </c>
      <c r="X112" s="69"/>
    </row>
    <row r="113" spans="1:24" ht="16.5" customHeight="1" x14ac:dyDescent="0.3">
      <c r="A113" s="2">
        <v>15</v>
      </c>
      <c r="B113" s="2" t="s">
        <v>2597</v>
      </c>
      <c r="C113" s="60" t="s">
        <v>13136</v>
      </c>
      <c r="D113" s="1"/>
      <c r="E113" s="68"/>
      <c r="F113" s="70"/>
      <c r="G113" s="74" t="s">
        <v>5898</v>
      </c>
      <c r="H113" s="62"/>
      <c r="I113" s="63"/>
      <c r="J113" s="85"/>
      <c r="K113" s="64"/>
      <c r="L113" s="65"/>
      <c r="M113" s="99"/>
      <c r="N113" s="70"/>
      <c r="O113" s="67"/>
      <c r="P113" s="68"/>
      <c r="Q113" s="76"/>
      <c r="R113" s="70"/>
      <c r="S113" s="1" t="s">
        <v>8098</v>
      </c>
      <c r="T113" s="68"/>
      <c r="U113" s="76"/>
      <c r="V113" s="70"/>
      <c r="W113" s="120">
        <f>ROUND((ROUND((ROUND((_15_同援日増２．５*_15・基礎２),0)*(1+_15・A早朝)),0)*(1+_15・区３)),0)</f>
        <v>426</v>
      </c>
      <c r="X113" s="69"/>
    </row>
    <row r="114" spans="1:24" ht="16.5" customHeight="1" x14ac:dyDescent="0.3">
      <c r="A114" s="2">
        <v>15</v>
      </c>
      <c r="B114" s="2" t="s">
        <v>2598</v>
      </c>
      <c r="C114" s="60" t="s">
        <v>13135</v>
      </c>
      <c r="D114" s="1"/>
      <c r="E114" s="68"/>
      <c r="F114" s="70"/>
      <c r="G114" s="106" t="s">
        <v>5896</v>
      </c>
      <c r="H114" s="57" t="s">
        <v>1</v>
      </c>
      <c r="I114" s="58">
        <v>0.9</v>
      </c>
      <c r="J114" s="83" t="s">
        <v>5895</v>
      </c>
      <c r="K114" s="64" t="s">
        <v>1</v>
      </c>
      <c r="L114" s="65">
        <v>1</v>
      </c>
      <c r="M114" s="99"/>
      <c r="N114" s="70"/>
      <c r="O114" s="66"/>
      <c r="P114" s="57"/>
      <c r="Q114" s="58"/>
      <c r="R114" s="77"/>
      <c r="S114" s="1" t="s">
        <v>8087</v>
      </c>
      <c r="T114" s="68"/>
      <c r="U114" s="76"/>
      <c r="V114" s="70"/>
      <c r="W114" s="120">
        <f>ROUND((ROUND((ROUND((ROUND((_15_同援日増２．５*_15・基礎２),0)*_15・２人),0)*(1+_15・A早朝)),0)*(1+_15・区３)),0)</f>
        <v>426</v>
      </c>
      <c r="X114" s="69"/>
    </row>
    <row r="115" spans="1:24" ht="16.5" customHeight="1" x14ac:dyDescent="0.3">
      <c r="A115" s="2">
        <v>15</v>
      </c>
      <c r="B115" s="2" t="s">
        <v>2599</v>
      </c>
      <c r="C115" s="60" t="s">
        <v>13134</v>
      </c>
      <c r="D115" s="1"/>
      <c r="E115" s="68"/>
      <c r="F115" s="70"/>
      <c r="G115" s="61"/>
      <c r="H115" s="62"/>
      <c r="I115" s="63"/>
      <c r="J115" s="85"/>
      <c r="K115" s="64"/>
      <c r="L115" s="65"/>
      <c r="M115" s="99"/>
      <c r="N115" s="70"/>
      <c r="O115" s="74" t="s">
        <v>8085</v>
      </c>
      <c r="P115" s="62"/>
      <c r="Q115" s="63"/>
      <c r="R115" s="75"/>
      <c r="S115" s="67"/>
      <c r="T115" s="68" t="s">
        <v>1</v>
      </c>
      <c r="U115" s="76">
        <v>0.2</v>
      </c>
      <c r="V115" s="70" t="s">
        <v>422</v>
      </c>
      <c r="W115" s="120">
        <f>ROUND((ROUND((ROUND((_15_同援日増２．５*(1+_15・A早朝)),0)*(1+_15・盲ろう)),0)*(1+_15・区３)),0)</f>
        <v>592</v>
      </c>
      <c r="X115" s="69"/>
    </row>
    <row r="116" spans="1:24" ht="16.5" customHeight="1" x14ac:dyDescent="0.3">
      <c r="A116" s="2">
        <v>15</v>
      </c>
      <c r="B116" s="2" t="s">
        <v>2600</v>
      </c>
      <c r="C116" s="60" t="s">
        <v>13133</v>
      </c>
      <c r="D116" s="1"/>
      <c r="E116" s="68"/>
      <c r="F116" s="70"/>
      <c r="G116" s="66"/>
      <c r="H116" s="57"/>
      <c r="I116" s="58"/>
      <c r="J116" s="83" t="s">
        <v>5895</v>
      </c>
      <c r="K116" s="64" t="s">
        <v>1</v>
      </c>
      <c r="L116" s="65">
        <v>1</v>
      </c>
      <c r="M116" s="99"/>
      <c r="N116" s="70"/>
      <c r="O116" s="94" t="s">
        <v>8083</v>
      </c>
      <c r="P116" s="68"/>
      <c r="Q116" s="76"/>
      <c r="R116" s="70"/>
      <c r="S116" s="67"/>
      <c r="T116" s="68"/>
      <c r="U116" s="76"/>
      <c r="V116" s="70"/>
      <c r="W116" s="120">
        <f>ROUND((ROUND((ROUND((ROUND((_15_同援日増２．５*_15・２人),0)*(1+_15・A早朝)),0)*(1+_15・盲ろう)),0)*(1+_15・区３)),0)</f>
        <v>592</v>
      </c>
      <c r="X116" s="69"/>
    </row>
    <row r="117" spans="1:24" ht="16.5" customHeight="1" x14ac:dyDescent="0.3">
      <c r="A117" s="2">
        <v>15</v>
      </c>
      <c r="B117" s="2" t="s">
        <v>2601</v>
      </c>
      <c r="C117" s="60" t="s">
        <v>13132</v>
      </c>
      <c r="D117" s="1"/>
      <c r="E117" s="68"/>
      <c r="F117" s="70"/>
      <c r="G117" s="74" t="s">
        <v>5898</v>
      </c>
      <c r="H117" s="62"/>
      <c r="I117" s="63"/>
      <c r="J117" s="85"/>
      <c r="K117" s="64"/>
      <c r="L117" s="65"/>
      <c r="M117" s="99"/>
      <c r="N117" s="70"/>
      <c r="O117" s="67"/>
      <c r="P117" s="68" t="s">
        <v>1</v>
      </c>
      <c r="Q117" s="76">
        <v>0.25</v>
      </c>
      <c r="R117" s="70" t="s">
        <v>422</v>
      </c>
      <c r="S117" s="67"/>
      <c r="T117" s="68"/>
      <c r="U117" s="76"/>
      <c r="V117" s="70"/>
      <c r="W117" s="120">
        <f>ROUND((ROUND((ROUND((ROUND((_15_同援日増２．５*_15・基礎２),0)*(1+_15・A早朝)),0)*(1+_15・盲ろう)),0)*(1+_15・区３)),0)</f>
        <v>533</v>
      </c>
      <c r="X117" s="69"/>
    </row>
    <row r="118" spans="1:24" ht="16.5" customHeight="1" x14ac:dyDescent="0.3">
      <c r="A118" s="2">
        <v>15</v>
      </c>
      <c r="B118" s="2" t="s">
        <v>2602</v>
      </c>
      <c r="C118" s="60" t="s">
        <v>13131</v>
      </c>
      <c r="D118" s="1"/>
      <c r="E118" s="68"/>
      <c r="F118" s="70"/>
      <c r="G118" s="106" t="s">
        <v>5896</v>
      </c>
      <c r="H118" s="57" t="s">
        <v>1</v>
      </c>
      <c r="I118" s="58">
        <v>0.9</v>
      </c>
      <c r="J118" s="83" t="s">
        <v>5895</v>
      </c>
      <c r="K118" s="64" t="s">
        <v>1</v>
      </c>
      <c r="L118" s="65">
        <v>1</v>
      </c>
      <c r="M118" s="99"/>
      <c r="N118" s="70"/>
      <c r="O118" s="66"/>
      <c r="P118" s="57"/>
      <c r="Q118" s="58"/>
      <c r="R118" s="77"/>
      <c r="S118" s="66"/>
      <c r="T118" s="57"/>
      <c r="U118" s="58"/>
      <c r="V118" s="77"/>
      <c r="W118" s="120">
        <f>ROUND((ROUND((ROUND((ROUND((ROUND((_15_同援日増２．５*_15・基礎２),0)*_15・２人),0)*(1+_15・A早朝)),0)*(1+_15・盲ろう)),0)*(1+_15・区３)),0)</f>
        <v>533</v>
      </c>
      <c r="X118" s="69"/>
    </row>
    <row r="119" spans="1:24" ht="16.5" customHeight="1" x14ac:dyDescent="0.3">
      <c r="A119" s="2">
        <v>15</v>
      </c>
      <c r="B119" s="2" t="s">
        <v>2603</v>
      </c>
      <c r="C119" s="60" t="s">
        <v>13130</v>
      </c>
      <c r="D119" s="1"/>
      <c r="E119" s="68"/>
      <c r="F119" s="70"/>
      <c r="G119" s="61"/>
      <c r="H119" s="62"/>
      <c r="I119" s="63"/>
      <c r="J119" s="85"/>
      <c r="K119" s="64"/>
      <c r="L119" s="65"/>
      <c r="M119" s="99"/>
      <c r="N119" s="70"/>
      <c r="O119" s="61"/>
      <c r="P119" s="62"/>
      <c r="Q119" s="63"/>
      <c r="R119" s="75"/>
      <c r="S119" s="61"/>
      <c r="T119" s="62"/>
      <c r="U119" s="63"/>
      <c r="V119" s="75"/>
      <c r="W119" s="120">
        <f>ROUND((ROUND((_15_同援日増２．５*(1+_15・A早朝)),0)*(1+_15・区４)),0)</f>
        <v>552</v>
      </c>
      <c r="X119" s="69"/>
    </row>
    <row r="120" spans="1:24" ht="16.5" customHeight="1" x14ac:dyDescent="0.3">
      <c r="A120" s="2">
        <v>15</v>
      </c>
      <c r="B120" s="2" t="s">
        <v>2604</v>
      </c>
      <c r="C120" s="60" t="s">
        <v>13129</v>
      </c>
      <c r="D120" s="1"/>
      <c r="E120" s="68"/>
      <c r="F120" s="70"/>
      <c r="G120" s="66"/>
      <c r="H120" s="57"/>
      <c r="I120" s="58"/>
      <c r="J120" s="83" t="s">
        <v>5895</v>
      </c>
      <c r="K120" s="64" t="s">
        <v>1</v>
      </c>
      <c r="L120" s="65">
        <v>1</v>
      </c>
      <c r="M120" s="99"/>
      <c r="N120" s="70"/>
      <c r="O120" s="67"/>
      <c r="P120" s="68"/>
      <c r="Q120" s="76"/>
      <c r="R120" s="70"/>
      <c r="S120" s="67"/>
      <c r="T120" s="68"/>
      <c r="U120" s="76"/>
      <c r="V120" s="70"/>
      <c r="W120" s="120">
        <f>ROUND((ROUND((ROUND((_15_同援日増２．５*_15・２人),0)*(1+_15・A早朝)),0)*(1+_15・区４)),0)</f>
        <v>552</v>
      </c>
      <c r="X120" s="69"/>
    </row>
    <row r="121" spans="1:24" ht="16.5" customHeight="1" x14ac:dyDescent="0.3">
      <c r="A121" s="2">
        <v>15</v>
      </c>
      <c r="B121" s="2" t="s">
        <v>2605</v>
      </c>
      <c r="C121" s="60" t="s">
        <v>13128</v>
      </c>
      <c r="D121" s="1"/>
      <c r="E121" s="68"/>
      <c r="F121" s="70"/>
      <c r="G121" s="74" t="s">
        <v>5898</v>
      </c>
      <c r="H121" s="62"/>
      <c r="I121" s="63"/>
      <c r="J121" s="85"/>
      <c r="K121" s="64"/>
      <c r="L121" s="65"/>
      <c r="M121" s="99"/>
      <c r="N121" s="70"/>
      <c r="O121" s="67"/>
      <c r="P121" s="68"/>
      <c r="Q121" s="76"/>
      <c r="R121" s="70"/>
      <c r="S121" s="1" t="s">
        <v>8089</v>
      </c>
      <c r="T121" s="68"/>
      <c r="U121" s="76"/>
      <c r="V121" s="70"/>
      <c r="W121" s="120">
        <f>ROUND((ROUND((ROUND((_15_同援日増２．５*_15・基礎２),0)*(1+_15・A早朝)),0)*(1+_15・区４)),0)</f>
        <v>497</v>
      </c>
      <c r="X121" s="69"/>
    </row>
    <row r="122" spans="1:24" ht="16.5" customHeight="1" x14ac:dyDescent="0.3">
      <c r="A122" s="2">
        <v>15</v>
      </c>
      <c r="B122" s="2" t="s">
        <v>2606</v>
      </c>
      <c r="C122" s="60" t="s">
        <v>13127</v>
      </c>
      <c r="D122" s="1"/>
      <c r="E122" s="68"/>
      <c r="F122" s="70"/>
      <c r="G122" s="106" t="s">
        <v>5896</v>
      </c>
      <c r="H122" s="57" t="s">
        <v>1</v>
      </c>
      <c r="I122" s="58">
        <v>0.9</v>
      </c>
      <c r="J122" s="83" t="s">
        <v>5895</v>
      </c>
      <c r="K122" s="64" t="s">
        <v>1</v>
      </c>
      <c r="L122" s="65">
        <v>1</v>
      </c>
      <c r="M122" s="99"/>
      <c r="N122" s="70"/>
      <c r="O122" s="66"/>
      <c r="P122" s="57"/>
      <c r="Q122" s="58"/>
      <c r="R122" s="77"/>
      <c r="S122" s="1" t="s">
        <v>8087</v>
      </c>
      <c r="T122" s="68"/>
      <c r="U122" s="76"/>
      <c r="V122" s="70"/>
      <c r="W122" s="120">
        <f>ROUND((ROUND((ROUND((ROUND((_15_同援日増２．５*_15・基礎２),0)*_15・２人),0)*(1+_15・A早朝)),0)*(1+_15・区４)),0)</f>
        <v>497</v>
      </c>
      <c r="X122" s="69"/>
    </row>
    <row r="123" spans="1:24" ht="16.5" customHeight="1" x14ac:dyDescent="0.3">
      <c r="A123" s="2">
        <v>15</v>
      </c>
      <c r="B123" s="2" t="s">
        <v>2607</v>
      </c>
      <c r="C123" s="60" t="s">
        <v>13126</v>
      </c>
      <c r="D123" s="1"/>
      <c r="E123" s="68"/>
      <c r="F123" s="70"/>
      <c r="G123" s="61"/>
      <c r="H123" s="62"/>
      <c r="I123" s="63"/>
      <c r="J123" s="85"/>
      <c r="K123" s="64"/>
      <c r="L123" s="65"/>
      <c r="M123" s="99"/>
      <c r="N123" s="70"/>
      <c r="O123" s="74" t="s">
        <v>8085</v>
      </c>
      <c r="P123" s="62"/>
      <c r="Q123" s="63"/>
      <c r="R123" s="75"/>
      <c r="S123" s="67"/>
      <c r="T123" s="68" t="s">
        <v>1</v>
      </c>
      <c r="U123" s="76">
        <v>0.4</v>
      </c>
      <c r="V123" s="70" t="s">
        <v>422</v>
      </c>
      <c r="W123" s="120">
        <f>ROUND((ROUND((ROUND((_15_同援日増２．５*(1+_15・A早朝)),0)*(1+_15・盲ろう)),0)*(1+_15・区４)),0)</f>
        <v>690</v>
      </c>
      <c r="X123" s="69"/>
    </row>
    <row r="124" spans="1:24" ht="16.5" customHeight="1" x14ac:dyDescent="0.3">
      <c r="A124" s="2">
        <v>15</v>
      </c>
      <c r="B124" s="2" t="s">
        <v>2608</v>
      </c>
      <c r="C124" s="60" t="s">
        <v>13125</v>
      </c>
      <c r="D124" s="1"/>
      <c r="E124" s="68"/>
      <c r="F124" s="70"/>
      <c r="G124" s="66"/>
      <c r="H124" s="57"/>
      <c r="I124" s="58"/>
      <c r="J124" s="83" t="s">
        <v>5895</v>
      </c>
      <c r="K124" s="64" t="s">
        <v>1</v>
      </c>
      <c r="L124" s="65">
        <v>1</v>
      </c>
      <c r="M124" s="99"/>
      <c r="N124" s="70"/>
      <c r="O124" s="94" t="s">
        <v>8083</v>
      </c>
      <c r="P124" s="68"/>
      <c r="Q124" s="76"/>
      <c r="R124" s="70"/>
      <c r="S124" s="67"/>
      <c r="T124" s="68"/>
      <c r="U124" s="76"/>
      <c r="V124" s="70"/>
      <c r="W124" s="120">
        <f>ROUND((ROUND((ROUND((ROUND((_15_同援日増２．５*_15・２人),0)*(1+_15・A早朝)),0)*(1+_15・盲ろう)),0)*(1+_15・区４)),0)</f>
        <v>690</v>
      </c>
      <c r="X124" s="69"/>
    </row>
    <row r="125" spans="1:24" ht="16.5" customHeight="1" x14ac:dyDescent="0.3">
      <c r="A125" s="2">
        <v>15</v>
      </c>
      <c r="B125" s="2" t="s">
        <v>2609</v>
      </c>
      <c r="C125" s="60" t="s">
        <v>13124</v>
      </c>
      <c r="D125" s="1"/>
      <c r="E125" s="68"/>
      <c r="F125" s="70"/>
      <c r="G125" s="74" t="s">
        <v>5898</v>
      </c>
      <c r="H125" s="62"/>
      <c r="I125" s="63"/>
      <c r="J125" s="85"/>
      <c r="K125" s="64"/>
      <c r="L125" s="65"/>
      <c r="M125" s="99"/>
      <c r="N125" s="70"/>
      <c r="O125" s="67"/>
      <c r="P125" s="68" t="s">
        <v>1</v>
      </c>
      <c r="Q125" s="76">
        <v>0.25</v>
      </c>
      <c r="R125" s="70" t="s">
        <v>422</v>
      </c>
      <c r="S125" s="67"/>
      <c r="T125" s="68"/>
      <c r="U125" s="76"/>
      <c r="V125" s="70"/>
      <c r="W125" s="120">
        <f>ROUND((ROUND((ROUND((ROUND((_15_同援日増２．５*_15・基礎２),0)*(1+_15・A早朝)),0)*(1+_15・盲ろう)),0)*(1+_15・区４)),0)</f>
        <v>622</v>
      </c>
      <c r="X125" s="69"/>
    </row>
    <row r="126" spans="1:24" ht="16.5" customHeight="1" x14ac:dyDescent="0.3">
      <c r="A126" s="2">
        <v>15</v>
      </c>
      <c r="B126" s="2" t="s">
        <v>2610</v>
      </c>
      <c r="C126" s="60" t="s">
        <v>13123</v>
      </c>
      <c r="D126" s="81"/>
      <c r="E126" s="57"/>
      <c r="F126" s="77"/>
      <c r="G126" s="106" t="s">
        <v>5896</v>
      </c>
      <c r="H126" s="57" t="s">
        <v>1</v>
      </c>
      <c r="I126" s="58">
        <v>0.9</v>
      </c>
      <c r="J126" s="83" t="s">
        <v>5895</v>
      </c>
      <c r="K126" s="64" t="s">
        <v>1</v>
      </c>
      <c r="L126" s="65">
        <v>1</v>
      </c>
      <c r="M126" s="101"/>
      <c r="N126" s="77"/>
      <c r="O126" s="66"/>
      <c r="P126" s="57"/>
      <c r="Q126" s="58"/>
      <c r="R126" s="77"/>
      <c r="S126" s="66"/>
      <c r="T126" s="57"/>
      <c r="U126" s="58"/>
      <c r="V126" s="77"/>
      <c r="W126" s="120">
        <f>ROUND((ROUND((ROUND((ROUND((ROUND((_15_同援日増２．５*_15・基礎２),0)*_15・２人),0)*(1+_15・A早朝)),0)*(1+_15・盲ろう)),0)*(1+_15・区４)),0)</f>
        <v>622</v>
      </c>
      <c r="X126" s="71"/>
    </row>
    <row r="127" spans="1:24" ht="16.5" customHeight="1" x14ac:dyDescent="0.3"/>
    <row r="128" spans="1:24" ht="16.5" customHeight="1" x14ac:dyDescent="0.3"/>
    <row r="129" spans="1:24" ht="16.5" customHeight="1" x14ac:dyDescent="0.3">
      <c r="B129" s="229" t="s">
        <v>18197</v>
      </c>
      <c r="C129" s="131"/>
      <c r="D129" s="72"/>
    </row>
    <row r="130" spans="1:24" ht="16.5" customHeight="1" x14ac:dyDescent="0.3">
      <c r="A130" s="50" t="s">
        <v>5864</v>
      </c>
      <c r="B130" s="51"/>
      <c r="C130" s="52" t="s">
        <v>5867</v>
      </c>
      <c r="D130" s="79" t="s">
        <v>5868</v>
      </c>
      <c r="E130" s="53"/>
      <c r="F130" s="53"/>
      <c r="G130" s="53"/>
      <c r="H130" s="53"/>
      <c r="I130" s="54"/>
      <c r="J130" s="53"/>
      <c r="K130" s="53"/>
      <c r="L130" s="54"/>
      <c r="M130" s="54"/>
      <c r="N130" s="53"/>
      <c r="O130" s="53"/>
      <c r="P130" s="53"/>
      <c r="Q130" s="54"/>
      <c r="R130" s="53"/>
      <c r="S130" s="53"/>
      <c r="T130" s="53"/>
      <c r="U130" s="54"/>
      <c r="V130" s="53"/>
      <c r="W130" s="55" t="s">
        <v>5869</v>
      </c>
      <c r="X130" s="55" t="s">
        <v>5871</v>
      </c>
    </row>
    <row r="131" spans="1:24" ht="16.5" customHeight="1" x14ac:dyDescent="0.3">
      <c r="A131" s="2" t="s">
        <v>5865</v>
      </c>
      <c r="B131" s="2" t="s">
        <v>5866</v>
      </c>
      <c r="C131" s="56"/>
      <c r="D131" s="73"/>
      <c r="E131" s="57"/>
      <c r="F131" s="57"/>
      <c r="G131" s="57"/>
      <c r="H131" s="57"/>
      <c r="I131" s="58"/>
      <c r="J131" s="57"/>
      <c r="K131" s="57"/>
      <c r="L131" s="58"/>
      <c r="M131" s="58"/>
      <c r="N131" s="57"/>
      <c r="O131" s="57"/>
      <c r="P131" s="57"/>
      <c r="Q131" s="58"/>
      <c r="R131" s="57"/>
      <c r="S131" s="57"/>
      <c r="T131" s="57"/>
      <c r="U131" s="58"/>
      <c r="V131" s="57"/>
      <c r="W131" s="59" t="s">
        <v>5870</v>
      </c>
      <c r="X131" s="59" t="s">
        <v>0</v>
      </c>
    </row>
    <row r="132" spans="1:24" ht="16.5" customHeight="1" x14ac:dyDescent="0.3">
      <c r="A132" s="2">
        <v>15</v>
      </c>
      <c r="B132" s="2" t="s">
        <v>2611</v>
      </c>
      <c r="C132" s="60" t="s">
        <v>13122</v>
      </c>
      <c r="D132" s="233" t="s">
        <v>18196</v>
      </c>
      <c r="E132" s="62"/>
      <c r="F132" s="75"/>
      <c r="G132" s="61"/>
      <c r="H132" s="62"/>
      <c r="I132" s="63"/>
      <c r="J132" s="85"/>
      <c r="K132" s="64"/>
      <c r="L132" s="65"/>
      <c r="M132" s="98"/>
      <c r="N132" s="75"/>
      <c r="O132" s="61"/>
      <c r="P132" s="62"/>
      <c r="Q132" s="63"/>
      <c r="R132" s="75"/>
      <c r="S132" s="61"/>
      <c r="T132" s="62"/>
      <c r="U132" s="63"/>
      <c r="V132" s="75"/>
      <c r="W132" s="120">
        <f>ROUND((_15_同援日増０．５*(1+_15・A夜間)),0)</f>
        <v>79</v>
      </c>
      <c r="X132" s="52" t="s">
        <v>5863</v>
      </c>
    </row>
    <row r="133" spans="1:24" ht="16.5" customHeight="1" x14ac:dyDescent="0.3">
      <c r="A133" s="2">
        <v>15</v>
      </c>
      <c r="B133" s="2" t="s">
        <v>2612</v>
      </c>
      <c r="C133" s="60" t="s">
        <v>13121</v>
      </c>
      <c r="D133" s="1" t="s">
        <v>7928</v>
      </c>
      <c r="E133" s="68"/>
      <c r="F133" s="70"/>
      <c r="G133" s="66"/>
      <c r="H133" s="57"/>
      <c r="I133" s="58"/>
      <c r="J133" s="83" t="s">
        <v>5895</v>
      </c>
      <c r="K133" s="64" t="s">
        <v>1</v>
      </c>
      <c r="L133" s="65">
        <v>1</v>
      </c>
      <c r="M133" s="99"/>
      <c r="N133" s="70"/>
      <c r="O133" s="67"/>
      <c r="P133" s="68"/>
      <c r="Q133" s="76"/>
      <c r="R133" s="70"/>
      <c r="S133" s="67"/>
      <c r="T133" s="68"/>
      <c r="U133" s="76"/>
      <c r="V133" s="70"/>
      <c r="W133" s="120">
        <f>ROUND((ROUND((_15_同援日増０．５*_15・２人),0)*(1+_15・A夜間)),0)</f>
        <v>79</v>
      </c>
      <c r="X133" s="69"/>
    </row>
    <row r="134" spans="1:24" ht="16.5" customHeight="1" x14ac:dyDescent="0.3">
      <c r="A134" s="2">
        <v>15</v>
      </c>
      <c r="B134" s="2" t="s">
        <v>2613</v>
      </c>
      <c r="C134" s="60" t="s">
        <v>13120</v>
      </c>
      <c r="D134" s="1"/>
      <c r="E134" s="68"/>
      <c r="F134" s="70"/>
      <c r="G134" s="74" t="s">
        <v>16823</v>
      </c>
      <c r="H134" s="62"/>
      <c r="I134" s="63"/>
      <c r="J134" s="85"/>
      <c r="K134" s="64"/>
      <c r="L134" s="65"/>
      <c r="M134" s="99"/>
      <c r="N134" s="70"/>
      <c r="O134" s="67"/>
      <c r="P134" s="68"/>
      <c r="Q134" s="76"/>
      <c r="R134" s="70"/>
      <c r="S134" s="67"/>
      <c r="T134" s="68"/>
      <c r="U134" s="76"/>
      <c r="V134" s="70"/>
      <c r="W134" s="120">
        <f>ROUND((ROUND((_15_同援日増０．５*_15・基礎２),0)*(1+_15・A夜間)),0)</f>
        <v>71</v>
      </c>
      <c r="X134" s="69"/>
    </row>
    <row r="135" spans="1:24" ht="16.5" customHeight="1" x14ac:dyDescent="0.3">
      <c r="A135" s="2">
        <v>15</v>
      </c>
      <c r="B135" s="2" t="s">
        <v>2614</v>
      </c>
      <c r="C135" s="60" t="s">
        <v>13119</v>
      </c>
      <c r="D135" s="1"/>
      <c r="E135" s="119">
        <v>63</v>
      </c>
      <c r="F135" s="70" t="s">
        <v>0</v>
      </c>
      <c r="G135" s="106" t="s">
        <v>16812</v>
      </c>
      <c r="H135" s="57" t="s">
        <v>1</v>
      </c>
      <c r="I135" s="58">
        <v>0.9</v>
      </c>
      <c r="J135" s="83" t="s">
        <v>5895</v>
      </c>
      <c r="K135" s="64" t="s">
        <v>1</v>
      </c>
      <c r="L135" s="65">
        <v>1</v>
      </c>
      <c r="M135" s="99"/>
      <c r="N135" s="70"/>
      <c r="O135" s="66"/>
      <c r="P135" s="57"/>
      <c r="Q135" s="58"/>
      <c r="R135" s="77"/>
      <c r="S135" s="67"/>
      <c r="T135" s="68"/>
      <c r="U135" s="76"/>
      <c r="V135" s="70"/>
      <c r="W135" s="120">
        <f>ROUND((ROUND((ROUND((_15_同援日増０．５*_15・基礎２),0)*_15・２人),0)*(1+_15・A夜間)),0)</f>
        <v>71</v>
      </c>
      <c r="X135" s="69"/>
    </row>
    <row r="136" spans="1:24" ht="16.5" customHeight="1" x14ac:dyDescent="0.3">
      <c r="A136" s="2">
        <v>15</v>
      </c>
      <c r="B136" s="2" t="s">
        <v>2615</v>
      </c>
      <c r="C136" s="60" t="s">
        <v>13118</v>
      </c>
      <c r="D136" s="1"/>
      <c r="E136" s="68"/>
      <c r="F136" s="70"/>
      <c r="G136" s="61"/>
      <c r="H136" s="62"/>
      <c r="I136" s="63"/>
      <c r="J136" s="85"/>
      <c r="K136" s="64"/>
      <c r="L136" s="65"/>
      <c r="M136" s="99"/>
      <c r="N136" s="70"/>
      <c r="O136" s="74" t="s">
        <v>17969</v>
      </c>
      <c r="P136" s="62"/>
      <c r="Q136" s="63"/>
      <c r="R136" s="75"/>
      <c r="S136" s="67"/>
      <c r="T136" s="68"/>
      <c r="U136" s="76"/>
      <c r="V136" s="70"/>
      <c r="W136" s="120">
        <f>ROUND((ROUND((_15_同援日増０．５*(1+_15・A夜間)),0)*(1+_15・盲ろう)),0)</f>
        <v>99</v>
      </c>
      <c r="X136" s="69"/>
    </row>
    <row r="137" spans="1:24" ht="16.5" customHeight="1" x14ac:dyDescent="0.3">
      <c r="A137" s="2">
        <v>15</v>
      </c>
      <c r="B137" s="2" t="s">
        <v>2616</v>
      </c>
      <c r="C137" s="60" t="s">
        <v>13117</v>
      </c>
      <c r="D137" s="1"/>
      <c r="E137" s="68"/>
      <c r="F137" s="70"/>
      <c r="G137" s="66"/>
      <c r="H137" s="57"/>
      <c r="I137" s="58"/>
      <c r="J137" s="83" t="s">
        <v>5895</v>
      </c>
      <c r="K137" s="64" t="s">
        <v>1</v>
      </c>
      <c r="L137" s="65">
        <v>1</v>
      </c>
      <c r="M137" s="99" t="s">
        <v>7743</v>
      </c>
      <c r="N137" s="70"/>
      <c r="O137" s="94" t="s">
        <v>17968</v>
      </c>
      <c r="P137" s="68"/>
      <c r="Q137" s="76"/>
      <c r="R137" s="70"/>
      <c r="S137" s="67"/>
      <c r="T137" s="68"/>
      <c r="U137" s="76"/>
      <c r="V137" s="70"/>
      <c r="W137" s="120">
        <f>ROUND((ROUND((ROUND((_15_同援日増０．５*_15・２人),0)*(1+_15・A夜間)),0)*(1+_15・盲ろう)),0)</f>
        <v>99</v>
      </c>
      <c r="X137" s="69"/>
    </row>
    <row r="138" spans="1:24" ht="16.5" customHeight="1" x14ac:dyDescent="0.3">
      <c r="A138" s="2">
        <v>15</v>
      </c>
      <c r="B138" s="2" t="s">
        <v>2617</v>
      </c>
      <c r="C138" s="60" t="s">
        <v>13116</v>
      </c>
      <c r="D138" s="1"/>
      <c r="E138" s="68"/>
      <c r="F138" s="70"/>
      <c r="G138" s="74" t="s">
        <v>16823</v>
      </c>
      <c r="H138" s="62"/>
      <c r="I138" s="63"/>
      <c r="J138" s="85"/>
      <c r="K138" s="64"/>
      <c r="L138" s="65"/>
      <c r="M138" s="99"/>
      <c r="N138" s="100" t="s">
        <v>8034</v>
      </c>
      <c r="O138" s="67"/>
      <c r="P138" s="68" t="s">
        <v>1</v>
      </c>
      <c r="Q138" s="76">
        <v>0.25</v>
      </c>
      <c r="R138" s="70" t="s">
        <v>422</v>
      </c>
      <c r="S138" s="67"/>
      <c r="T138" s="68"/>
      <c r="U138" s="76"/>
      <c r="V138" s="70"/>
      <c r="W138" s="120">
        <f>ROUND((ROUND((ROUND((_15_同援日増０．５*_15・基礎２),0)*(1+_15・A夜間)),0)*(1+_15・盲ろう)),0)</f>
        <v>89</v>
      </c>
      <c r="X138" s="69"/>
    </row>
    <row r="139" spans="1:24" ht="16.5" customHeight="1" x14ac:dyDescent="0.3">
      <c r="A139" s="2">
        <v>15</v>
      </c>
      <c r="B139" s="2" t="s">
        <v>2618</v>
      </c>
      <c r="C139" s="60" t="s">
        <v>13115</v>
      </c>
      <c r="D139" s="1"/>
      <c r="E139" s="68"/>
      <c r="F139" s="70"/>
      <c r="G139" s="106" t="s">
        <v>16812</v>
      </c>
      <c r="H139" s="57" t="s">
        <v>1</v>
      </c>
      <c r="I139" s="58">
        <v>0.9</v>
      </c>
      <c r="J139" s="83" t="s">
        <v>5895</v>
      </c>
      <c r="K139" s="64" t="s">
        <v>1</v>
      </c>
      <c r="L139" s="65">
        <v>1</v>
      </c>
      <c r="M139" s="99"/>
      <c r="N139" s="70"/>
      <c r="O139" s="66"/>
      <c r="P139" s="57"/>
      <c r="Q139" s="58"/>
      <c r="R139" s="77"/>
      <c r="S139" s="66"/>
      <c r="T139" s="57"/>
      <c r="U139" s="58"/>
      <c r="V139" s="77"/>
      <c r="W139" s="120">
        <f>ROUND((ROUND((ROUND((ROUND((_15_同援日増０．５*_15・基礎２),0)*_15・２人),0)*(1+_15・A夜間)),0)*(1+_15・盲ろう)),0)</f>
        <v>89</v>
      </c>
      <c r="X139" s="69"/>
    </row>
    <row r="140" spans="1:24" ht="16.5" customHeight="1" x14ac:dyDescent="0.3">
      <c r="A140" s="2">
        <v>15</v>
      </c>
      <c r="B140" s="2" t="s">
        <v>2619</v>
      </c>
      <c r="C140" s="60" t="s">
        <v>13114</v>
      </c>
      <c r="D140" s="1"/>
      <c r="E140" s="68"/>
      <c r="F140" s="70"/>
      <c r="G140" s="61"/>
      <c r="H140" s="62"/>
      <c r="I140" s="63"/>
      <c r="J140" s="85"/>
      <c r="K140" s="64"/>
      <c r="L140" s="65"/>
      <c r="M140" s="67" t="s">
        <v>1</v>
      </c>
      <c r="N140" s="93">
        <v>0.25</v>
      </c>
      <c r="O140" s="61"/>
      <c r="P140" s="62"/>
      <c r="Q140" s="63"/>
      <c r="R140" s="75"/>
      <c r="S140" s="61"/>
      <c r="T140" s="62"/>
      <c r="U140" s="63"/>
      <c r="V140" s="75"/>
      <c r="W140" s="120">
        <f>ROUND((ROUND((_15_同援日増０．５*(1+_15・A夜間)),0)*(1+_15・区３)),0)</f>
        <v>95</v>
      </c>
      <c r="X140" s="69"/>
    </row>
    <row r="141" spans="1:24" ht="16.5" customHeight="1" x14ac:dyDescent="0.3">
      <c r="A141" s="2">
        <v>15</v>
      </c>
      <c r="B141" s="2" t="s">
        <v>2620</v>
      </c>
      <c r="C141" s="60" t="s">
        <v>13113</v>
      </c>
      <c r="D141" s="1"/>
      <c r="E141" s="68"/>
      <c r="F141" s="70"/>
      <c r="G141" s="66"/>
      <c r="H141" s="57"/>
      <c r="I141" s="58"/>
      <c r="J141" s="83" t="s">
        <v>5895</v>
      </c>
      <c r="K141" s="64" t="s">
        <v>1</v>
      </c>
      <c r="L141" s="65">
        <v>1</v>
      </c>
      <c r="M141" s="99"/>
      <c r="N141" s="100" t="s">
        <v>422</v>
      </c>
      <c r="O141" s="67"/>
      <c r="P141" s="68"/>
      <c r="Q141" s="76"/>
      <c r="R141" s="70"/>
      <c r="S141" s="67"/>
      <c r="T141" s="68"/>
      <c r="U141" s="76"/>
      <c r="V141" s="70"/>
      <c r="W141" s="120">
        <f>ROUND((ROUND((ROUND((_15_同援日増０．５*_15・２人),0)*(1+_15・A夜間)),0)*(1+_15・区３)),0)</f>
        <v>95</v>
      </c>
      <c r="X141" s="69"/>
    </row>
    <row r="142" spans="1:24" ht="16.5" customHeight="1" x14ac:dyDescent="0.3">
      <c r="A142" s="2">
        <v>15</v>
      </c>
      <c r="B142" s="2" t="s">
        <v>2621</v>
      </c>
      <c r="C142" s="60" t="s">
        <v>13112</v>
      </c>
      <c r="D142" s="1"/>
      <c r="E142" s="68"/>
      <c r="F142" s="70"/>
      <c r="G142" s="74" t="s">
        <v>16823</v>
      </c>
      <c r="H142" s="62"/>
      <c r="I142" s="63"/>
      <c r="J142" s="85"/>
      <c r="K142" s="64"/>
      <c r="L142" s="65"/>
      <c r="M142" s="99"/>
      <c r="N142" s="70"/>
      <c r="O142" s="67"/>
      <c r="P142" s="68"/>
      <c r="Q142" s="76"/>
      <c r="R142" s="70"/>
      <c r="S142" s="1" t="s">
        <v>17974</v>
      </c>
      <c r="T142" s="68"/>
      <c r="U142" s="76"/>
      <c r="V142" s="70"/>
      <c r="W142" s="120">
        <f>ROUND((ROUND((ROUND((_15_同援日増０．５*_15・基礎２),0)*(1+_15・A夜間)),0)*(1+_15・区３)),0)</f>
        <v>85</v>
      </c>
      <c r="X142" s="69"/>
    </row>
    <row r="143" spans="1:24" ht="16.5" customHeight="1" x14ac:dyDescent="0.3">
      <c r="A143" s="2">
        <v>15</v>
      </c>
      <c r="B143" s="2" t="s">
        <v>2622</v>
      </c>
      <c r="C143" s="60" t="s">
        <v>13111</v>
      </c>
      <c r="D143" s="1"/>
      <c r="E143" s="68"/>
      <c r="F143" s="70"/>
      <c r="G143" s="106" t="s">
        <v>16812</v>
      </c>
      <c r="H143" s="57" t="s">
        <v>1</v>
      </c>
      <c r="I143" s="58">
        <v>0.9</v>
      </c>
      <c r="J143" s="83" t="s">
        <v>5895</v>
      </c>
      <c r="K143" s="64" t="s">
        <v>1</v>
      </c>
      <c r="L143" s="65">
        <v>1</v>
      </c>
      <c r="M143" s="99"/>
      <c r="N143" s="70"/>
      <c r="O143" s="66"/>
      <c r="P143" s="57"/>
      <c r="Q143" s="58"/>
      <c r="R143" s="77"/>
      <c r="S143" s="1" t="s">
        <v>17970</v>
      </c>
      <c r="T143" s="68"/>
      <c r="U143" s="76"/>
      <c r="V143" s="70"/>
      <c r="W143" s="120">
        <f>ROUND((ROUND((ROUND((ROUND((_15_同援日増０．５*_15・基礎２),0)*_15・２人),0)*(1+_15・A夜間)),0)*(1+_15・区３)),0)</f>
        <v>85</v>
      </c>
      <c r="X143" s="69"/>
    </row>
    <row r="144" spans="1:24" ht="16.5" customHeight="1" x14ac:dyDescent="0.3">
      <c r="A144" s="2">
        <v>15</v>
      </c>
      <c r="B144" s="2" t="s">
        <v>2623</v>
      </c>
      <c r="C144" s="60" t="s">
        <v>13110</v>
      </c>
      <c r="D144" s="1"/>
      <c r="E144" s="68"/>
      <c r="F144" s="70"/>
      <c r="G144" s="61"/>
      <c r="H144" s="62"/>
      <c r="I144" s="63"/>
      <c r="J144" s="85"/>
      <c r="K144" s="64"/>
      <c r="L144" s="65"/>
      <c r="M144" s="99"/>
      <c r="N144" s="70"/>
      <c r="O144" s="74" t="s">
        <v>17969</v>
      </c>
      <c r="P144" s="62"/>
      <c r="Q144" s="63"/>
      <c r="R144" s="75"/>
      <c r="S144" s="67"/>
      <c r="T144" s="68" t="s">
        <v>1</v>
      </c>
      <c r="U144" s="76">
        <v>0.2</v>
      </c>
      <c r="V144" s="70" t="s">
        <v>422</v>
      </c>
      <c r="W144" s="120">
        <f>ROUND((ROUND((ROUND((_15_同援日増０．５*(1+_15・A夜間)),0)*(1+_15・盲ろう)),0)*(1+_15・区３)),0)</f>
        <v>119</v>
      </c>
      <c r="X144" s="69"/>
    </row>
    <row r="145" spans="1:24" ht="16.5" customHeight="1" x14ac:dyDescent="0.3">
      <c r="A145" s="2">
        <v>15</v>
      </c>
      <c r="B145" s="2" t="s">
        <v>2624</v>
      </c>
      <c r="C145" s="60" t="s">
        <v>13109</v>
      </c>
      <c r="D145" s="1"/>
      <c r="E145" s="68"/>
      <c r="F145" s="70"/>
      <c r="G145" s="66"/>
      <c r="H145" s="57"/>
      <c r="I145" s="58"/>
      <c r="J145" s="83" t="s">
        <v>5895</v>
      </c>
      <c r="K145" s="64" t="s">
        <v>1</v>
      </c>
      <c r="L145" s="65">
        <v>1</v>
      </c>
      <c r="M145" s="99"/>
      <c r="N145" s="70"/>
      <c r="O145" s="94" t="s">
        <v>17968</v>
      </c>
      <c r="P145" s="68"/>
      <c r="Q145" s="76"/>
      <c r="R145" s="70"/>
      <c r="S145" s="67"/>
      <c r="T145" s="68"/>
      <c r="U145" s="76"/>
      <c r="V145" s="70"/>
      <c r="W145" s="120">
        <f>ROUND((ROUND((ROUND((ROUND((_15_同援日増０．５*_15・２人),0)*(1+_15・A夜間)),0)*(1+_15・盲ろう)),0)*(1+_15・区３)),0)</f>
        <v>119</v>
      </c>
      <c r="X145" s="69"/>
    </row>
    <row r="146" spans="1:24" ht="16.5" customHeight="1" x14ac:dyDescent="0.3">
      <c r="A146" s="2">
        <v>15</v>
      </c>
      <c r="B146" s="2" t="s">
        <v>2625</v>
      </c>
      <c r="C146" s="60" t="s">
        <v>13108</v>
      </c>
      <c r="D146" s="1"/>
      <c r="E146" s="68"/>
      <c r="F146" s="70"/>
      <c r="G146" s="74" t="s">
        <v>16823</v>
      </c>
      <c r="H146" s="62"/>
      <c r="I146" s="63"/>
      <c r="J146" s="85"/>
      <c r="K146" s="64"/>
      <c r="L146" s="65"/>
      <c r="M146" s="99"/>
      <c r="N146" s="70"/>
      <c r="O146" s="67"/>
      <c r="P146" s="68" t="s">
        <v>1</v>
      </c>
      <c r="Q146" s="76">
        <v>0.25</v>
      </c>
      <c r="R146" s="70" t="s">
        <v>422</v>
      </c>
      <c r="S146" s="67"/>
      <c r="T146" s="68"/>
      <c r="U146" s="76"/>
      <c r="V146" s="70"/>
      <c r="W146" s="120">
        <f>ROUND((ROUND((ROUND((ROUND((_15_同援日増０．５*_15・基礎２),0)*(1+_15・A夜間)),0)*(1+_15・盲ろう)),0)*(1+_15・区３)),0)</f>
        <v>107</v>
      </c>
      <c r="X146" s="69"/>
    </row>
    <row r="147" spans="1:24" ht="16.5" customHeight="1" x14ac:dyDescent="0.3">
      <c r="A147" s="2">
        <v>15</v>
      </c>
      <c r="B147" s="2" t="s">
        <v>2626</v>
      </c>
      <c r="C147" s="60" t="s">
        <v>13107</v>
      </c>
      <c r="D147" s="1"/>
      <c r="E147" s="68"/>
      <c r="F147" s="70"/>
      <c r="G147" s="106" t="s">
        <v>16812</v>
      </c>
      <c r="H147" s="57" t="s">
        <v>1</v>
      </c>
      <c r="I147" s="58">
        <v>0.9</v>
      </c>
      <c r="J147" s="83" t="s">
        <v>5895</v>
      </c>
      <c r="K147" s="64" t="s">
        <v>1</v>
      </c>
      <c r="L147" s="65">
        <v>1</v>
      </c>
      <c r="M147" s="99"/>
      <c r="N147" s="70"/>
      <c r="O147" s="66"/>
      <c r="P147" s="57"/>
      <c r="Q147" s="58"/>
      <c r="R147" s="77"/>
      <c r="S147" s="66"/>
      <c r="T147" s="57"/>
      <c r="U147" s="58"/>
      <c r="V147" s="77"/>
      <c r="W147" s="120">
        <f>ROUND((ROUND((ROUND((ROUND((ROUND((_15_同援日増０．５*_15・基礎２),0)*_15・２人),0)*(1+_15・A夜間)),0)*(1+_15・盲ろう)),0)*(1+_15・区３)),0)</f>
        <v>107</v>
      </c>
      <c r="X147" s="69"/>
    </row>
    <row r="148" spans="1:24" ht="16.5" customHeight="1" x14ac:dyDescent="0.3">
      <c r="A148" s="2">
        <v>15</v>
      </c>
      <c r="B148" s="2" t="s">
        <v>2627</v>
      </c>
      <c r="C148" s="60" t="s">
        <v>13106</v>
      </c>
      <c r="D148" s="1"/>
      <c r="E148" s="68"/>
      <c r="F148" s="70"/>
      <c r="G148" s="61"/>
      <c r="H148" s="62"/>
      <c r="I148" s="63"/>
      <c r="J148" s="85"/>
      <c r="K148" s="64"/>
      <c r="L148" s="65"/>
      <c r="M148" s="99"/>
      <c r="N148" s="70"/>
      <c r="O148" s="61"/>
      <c r="P148" s="62"/>
      <c r="Q148" s="63"/>
      <c r="R148" s="75"/>
      <c r="S148" s="61"/>
      <c r="T148" s="62"/>
      <c r="U148" s="63"/>
      <c r="V148" s="75"/>
      <c r="W148" s="120">
        <f>ROUND((ROUND((_15_同援日増０．５*(1+_15・A夜間)),0)*(1+_15・区４)),0)</f>
        <v>111</v>
      </c>
      <c r="X148" s="69"/>
    </row>
    <row r="149" spans="1:24" ht="16.5" customHeight="1" x14ac:dyDescent="0.3">
      <c r="A149" s="2">
        <v>15</v>
      </c>
      <c r="B149" s="2" t="s">
        <v>2628</v>
      </c>
      <c r="C149" s="60" t="s">
        <v>13105</v>
      </c>
      <c r="D149" s="1"/>
      <c r="E149" s="68"/>
      <c r="F149" s="70"/>
      <c r="G149" s="66"/>
      <c r="H149" s="57"/>
      <c r="I149" s="58"/>
      <c r="J149" s="83" t="s">
        <v>5895</v>
      </c>
      <c r="K149" s="64" t="s">
        <v>1</v>
      </c>
      <c r="L149" s="65">
        <v>1</v>
      </c>
      <c r="M149" s="99"/>
      <c r="N149" s="70"/>
      <c r="O149" s="67"/>
      <c r="P149" s="68"/>
      <c r="Q149" s="76"/>
      <c r="R149" s="70"/>
      <c r="S149" s="67"/>
      <c r="T149" s="68"/>
      <c r="U149" s="76"/>
      <c r="V149" s="70"/>
      <c r="W149" s="120">
        <f>ROUND((ROUND((ROUND((_15_同援日増０．５*_15・２人),0)*(1+_15・A夜間)),0)*(1+_15・区４)),0)</f>
        <v>111</v>
      </c>
      <c r="X149" s="69"/>
    </row>
    <row r="150" spans="1:24" ht="16.5" customHeight="1" x14ac:dyDescent="0.3">
      <c r="A150" s="2">
        <v>15</v>
      </c>
      <c r="B150" s="2" t="s">
        <v>2629</v>
      </c>
      <c r="C150" s="60" t="s">
        <v>13104</v>
      </c>
      <c r="D150" s="1"/>
      <c r="E150" s="68"/>
      <c r="F150" s="70"/>
      <c r="G150" s="74" t="s">
        <v>16823</v>
      </c>
      <c r="H150" s="62"/>
      <c r="I150" s="63"/>
      <c r="J150" s="85"/>
      <c r="K150" s="64"/>
      <c r="L150" s="65"/>
      <c r="M150" s="99"/>
      <c r="N150" s="70"/>
      <c r="O150" s="67"/>
      <c r="P150" s="68"/>
      <c r="Q150" s="76"/>
      <c r="R150" s="70"/>
      <c r="S150" s="1" t="s">
        <v>17971</v>
      </c>
      <c r="T150" s="68"/>
      <c r="U150" s="76"/>
      <c r="V150" s="70"/>
      <c r="W150" s="120">
        <f>ROUND((ROUND((ROUND((_15_同援日増０．５*_15・基礎２),0)*(1+_15・A夜間)),0)*(1+_15・区４)),0)</f>
        <v>99</v>
      </c>
      <c r="X150" s="69"/>
    </row>
    <row r="151" spans="1:24" ht="16.5" customHeight="1" x14ac:dyDescent="0.3">
      <c r="A151" s="2">
        <v>15</v>
      </c>
      <c r="B151" s="2" t="s">
        <v>2630</v>
      </c>
      <c r="C151" s="60" t="s">
        <v>13103</v>
      </c>
      <c r="D151" s="1"/>
      <c r="E151" s="68"/>
      <c r="F151" s="70"/>
      <c r="G151" s="106" t="s">
        <v>16812</v>
      </c>
      <c r="H151" s="57" t="s">
        <v>1</v>
      </c>
      <c r="I151" s="58">
        <v>0.9</v>
      </c>
      <c r="J151" s="83" t="s">
        <v>5895</v>
      </c>
      <c r="K151" s="64" t="s">
        <v>1</v>
      </c>
      <c r="L151" s="65">
        <v>1</v>
      </c>
      <c r="M151" s="99"/>
      <c r="N151" s="70"/>
      <c r="O151" s="66"/>
      <c r="P151" s="57"/>
      <c r="Q151" s="58"/>
      <c r="R151" s="77"/>
      <c r="S151" s="1" t="s">
        <v>17970</v>
      </c>
      <c r="T151" s="68"/>
      <c r="U151" s="76"/>
      <c r="V151" s="70"/>
      <c r="W151" s="120">
        <f>ROUND((ROUND((ROUND((ROUND((_15_同援日増０．５*_15・基礎２),0)*_15・２人),0)*(1+_15・A夜間)),0)*(1+_15・区４)),0)</f>
        <v>99</v>
      </c>
      <c r="X151" s="69"/>
    </row>
    <row r="152" spans="1:24" ht="16.5" customHeight="1" x14ac:dyDescent="0.3">
      <c r="A152" s="2">
        <v>15</v>
      </c>
      <c r="B152" s="2" t="s">
        <v>2631</v>
      </c>
      <c r="C152" s="60" t="s">
        <v>13102</v>
      </c>
      <c r="D152" s="1"/>
      <c r="E152" s="68"/>
      <c r="F152" s="70"/>
      <c r="G152" s="61"/>
      <c r="H152" s="62"/>
      <c r="I152" s="63"/>
      <c r="J152" s="85"/>
      <c r="K152" s="64"/>
      <c r="L152" s="65"/>
      <c r="M152" s="99"/>
      <c r="N152" s="70"/>
      <c r="O152" s="74" t="s">
        <v>17969</v>
      </c>
      <c r="P152" s="62"/>
      <c r="Q152" s="63"/>
      <c r="R152" s="75"/>
      <c r="S152" s="67"/>
      <c r="T152" s="68" t="s">
        <v>1</v>
      </c>
      <c r="U152" s="76">
        <v>0.4</v>
      </c>
      <c r="V152" s="70" t="s">
        <v>422</v>
      </c>
      <c r="W152" s="120">
        <f>ROUND((ROUND((ROUND((_15_同援日増０．５*(1+_15・A夜間)),0)*(1+_15・盲ろう)),0)*(1+_15・区４)),0)</f>
        <v>139</v>
      </c>
      <c r="X152" s="69"/>
    </row>
    <row r="153" spans="1:24" ht="16.5" customHeight="1" x14ac:dyDescent="0.3">
      <c r="A153" s="2">
        <v>15</v>
      </c>
      <c r="B153" s="2" t="s">
        <v>2632</v>
      </c>
      <c r="C153" s="60" t="s">
        <v>13101</v>
      </c>
      <c r="D153" s="1"/>
      <c r="E153" s="68"/>
      <c r="F153" s="70"/>
      <c r="G153" s="66"/>
      <c r="H153" s="57"/>
      <c r="I153" s="58"/>
      <c r="J153" s="83" t="s">
        <v>5895</v>
      </c>
      <c r="K153" s="64" t="s">
        <v>1</v>
      </c>
      <c r="L153" s="65">
        <v>1</v>
      </c>
      <c r="M153" s="99"/>
      <c r="N153" s="70"/>
      <c r="O153" s="94" t="s">
        <v>17968</v>
      </c>
      <c r="P153" s="68"/>
      <c r="Q153" s="76"/>
      <c r="R153" s="70"/>
      <c r="S153" s="67"/>
      <c r="T153" s="68"/>
      <c r="U153" s="76"/>
      <c r="V153" s="70"/>
      <c r="W153" s="120">
        <f>ROUND((ROUND((ROUND((ROUND((_15_同援日増０．５*_15・２人),0)*(1+_15・A夜間)),0)*(1+_15・盲ろう)),0)*(1+_15・区４)),0)</f>
        <v>139</v>
      </c>
      <c r="X153" s="69"/>
    </row>
    <row r="154" spans="1:24" ht="16.5" customHeight="1" x14ac:dyDescent="0.3">
      <c r="A154" s="2">
        <v>15</v>
      </c>
      <c r="B154" s="2" t="s">
        <v>2633</v>
      </c>
      <c r="C154" s="60" t="s">
        <v>13100</v>
      </c>
      <c r="D154" s="1"/>
      <c r="E154" s="68"/>
      <c r="F154" s="70"/>
      <c r="G154" s="74" t="s">
        <v>16823</v>
      </c>
      <c r="H154" s="62"/>
      <c r="I154" s="63"/>
      <c r="J154" s="85"/>
      <c r="K154" s="64"/>
      <c r="L154" s="65"/>
      <c r="M154" s="99"/>
      <c r="N154" s="70"/>
      <c r="O154" s="67"/>
      <c r="P154" s="68" t="s">
        <v>1</v>
      </c>
      <c r="Q154" s="76">
        <v>0.25</v>
      </c>
      <c r="R154" s="70" t="s">
        <v>422</v>
      </c>
      <c r="S154" s="67"/>
      <c r="T154" s="68"/>
      <c r="U154" s="76"/>
      <c r="V154" s="70"/>
      <c r="W154" s="120">
        <f>ROUND((ROUND((ROUND((ROUND((_15_同援日増０．５*_15・基礎２),0)*(1+_15・A夜間)),0)*(1+_15・盲ろう)),0)*(1+_15・区４)),0)</f>
        <v>125</v>
      </c>
      <c r="X154" s="69"/>
    </row>
    <row r="155" spans="1:24" ht="16.5" customHeight="1" x14ac:dyDescent="0.3">
      <c r="A155" s="2">
        <v>15</v>
      </c>
      <c r="B155" s="2" t="s">
        <v>2634</v>
      </c>
      <c r="C155" s="60" t="s">
        <v>13099</v>
      </c>
      <c r="D155" s="81"/>
      <c r="E155" s="57"/>
      <c r="F155" s="77"/>
      <c r="G155" s="106" t="s">
        <v>16812</v>
      </c>
      <c r="H155" s="57" t="s">
        <v>1</v>
      </c>
      <c r="I155" s="58">
        <v>0.9</v>
      </c>
      <c r="J155" s="83" t="s">
        <v>5895</v>
      </c>
      <c r="K155" s="64" t="s">
        <v>1</v>
      </c>
      <c r="L155" s="65">
        <v>1</v>
      </c>
      <c r="M155" s="99"/>
      <c r="N155" s="70"/>
      <c r="O155" s="66"/>
      <c r="P155" s="57"/>
      <c r="Q155" s="58"/>
      <c r="R155" s="77"/>
      <c r="S155" s="66"/>
      <c r="T155" s="57"/>
      <c r="U155" s="58"/>
      <c r="V155" s="77"/>
      <c r="W155" s="120">
        <f>ROUND((ROUND((ROUND((ROUND((ROUND((_15_同援日増０．５*_15・基礎２),0)*_15・２人),0)*(1+_15・A夜間)),0)*(1+_15・盲ろう)),0)*(1+_15・区４)),0)</f>
        <v>125</v>
      </c>
      <c r="X155" s="69"/>
    </row>
    <row r="156" spans="1:24" ht="16.5" customHeight="1" x14ac:dyDescent="0.3">
      <c r="A156" s="2">
        <v>15</v>
      </c>
      <c r="B156" s="2" t="s">
        <v>2635</v>
      </c>
      <c r="C156" s="60" t="s">
        <v>13098</v>
      </c>
      <c r="D156" s="233" t="s">
        <v>18195</v>
      </c>
      <c r="E156" s="62"/>
      <c r="F156" s="75"/>
      <c r="G156" s="61"/>
      <c r="H156" s="62"/>
      <c r="I156" s="63"/>
      <c r="J156" s="85"/>
      <c r="K156" s="64"/>
      <c r="L156" s="65"/>
      <c r="M156" s="99"/>
      <c r="N156" s="70"/>
      <c r="O156" s="61"/>
      <c r="P156" s="62"/>
      <c r="Q156" s="63"/>
      <c r="R156" s="75"/>
      <c r="S156" s="61"/>
      <c r="T156" s="62"/>
      <c r="U156" s="63"/>
      <c r="V156" s="75"/>
      <c r="W156" s="120">
        <f>ROUND((_15_同援日増１．０*(1+_15・A夜間)),0)</f>
        <v>158</v>
      </c>
      <c r="X156" s="69"/>
    </row>
    <row r="157" spans="1:24" ht="16.5" customHeight="1" x14ac:dyDescent="0.3">
      <c r="A157" s="2">
        <v>15</v>
      </c>
      <c r="B157" s="2" t="s">
        <v>2636</v>
      </c>
      <c r="C157" s="60" t="s">
        <v>13097</v>
      </c>
      <c r="D157" s="1" t="s">
        <v>16874</v>
      </c>
      <c r="E157" s="68"/>
      <c r="F157" s="70"/>
      <c r="G157" s="66"/>
      <c r="H157" s="57"/>
      <c r="I157" s="58"/>
      <c r="J157" s="83" t="s">
        <v>5895</v>
      </c>
      <c r="K157" s="64" t="s">
        <v>1</v>
      </c>
      <c r="L157" s="65">
        <v>1</v>
      </c>
      <c r="M157" s="99"/>
      <c r="N157" s="70"/>
      <c r="O157" s="67"/>
      <c r="P157" s="68"/>
      <c r="Q157" s="76"/>
      <c r="R157" s="70"/>
      <c r="S157" s="67"/>
      <c r="T157" s="68"/>
      <c r="U157" s="76"/>
      <c r="V157" s="70"/>
      <c r="W157" s="120">
        <f>ROUND((ROUND((_15_同援日増１．０*_15・２人),0)*(1+_15・A夜間)),0)</f>
        <v>158</v>
      </c>
      <c r="X157" s="69"/>
    </row>
    <row r="158" spans="1:24" ht="16.5" customHeight="1" x14ac:dyDescent="0.3">
      <c r="A158" s="2">
        <v>15</v>
      </c>
      <c r="B158" s="2" t="s">
        <v>2637</v>
      </c>
      <c r="C158" s="60" t="s">
        <v>13096</v>
      </c>
      <c r="D158" s="1" t="s">
        <v>8572</v>
      </c>
      <c r="E158" s="68"/>
      <c r="F158" s="70"/>
      <c r="G158" s="74" t="s">
        <v>16823</v>
      </c>
      <c r="H158" s="62"/>
      <c r="I158" s="63"/>
      <c r="J158" s="85"/>
      <c r="K158" s="64"/>
      <c r="L158" s="65"/>
      <c r="M158" s="99"/>
      <c r="N158" s="70"/>
      <c r="O158" s="67"/>
      <c r="P158" s="68"/>
      <c r="Q158" s="76"/>
      <c r="R158" s="70"/>
      <c r="S158" s="67"/>
      <c r="T158" s="68"/>
      <c r="U158" s="76"/>
      <c r="V158" s="70"/>
      <c r="W158" s="120">
        <f>ROUND((ROUND((_15_同援日増１．０*_15・基礎２),0)*(1+_15・A夜間)),0)</f>
        <v>141</v>
      </c>
      <c r="X158" s="69"/>
    </row>
    <row r="159" spans="1:24" ht="16.5" customHeight="1" x14ac:dyDescent="0.3">
      <c r="A159" s="2">
        <v>15</v>
      </c>
      <c r="B159" s="2" t="s">
        <v>2638</v>
      </c>
      <c r="C159" s="60" t="s">
        <v>13095</v>
      </c>
      <c r="D159" s="1"/>
      <c r="E159" s="119">
        <v>126</v>
      </c>
      <c r="F159" s="70" t="s">
        <v>0</v>
      </c>
      <c r="G159" s="106" t="s">
        <v>16812</v>
      </c>
      <c r="H159" s="57" t="s">
        <v>1</v>
      </c>
      <c r="I159" s="58">
        <v>0.9</v>
      </c>
      <c r="J159" s="83" t="s">
        <v>5895</v>
      </c>
      <c r="K159" s="64" t="s">
        <v>1</v>
      </c>
      <c r="L159" s="65">
        <v>1</v>
      </c>
      <c r="M159" s="99"/>
      <c r="N159" s="70"/>
      <c r="O159" s="66"/>
      <c r="P159" s="57"/>
      <c r="Q159" s="58"/>
      <c r="R159" s="77"/>
      <c r="S159" s="67"/>
      <c r="T159" s="68"/>
      <c r="U159" s="76"/>
      <c r="V159" s="70"/>
      <c r="W159" s="120">
        <f>ROUND((ROUND((ROUND((_15_同援日増１．０*_15・基礎２),0)*_15・２人),0)*(1+_15・A夜間)),0)</f>
        <v>141</v>
      </c>
      <c r="X159" s="69"/>
    </row>
    <row r="160" spans="1:24" ht="16.5" customHeight="1" x14ac:dyDescent="0.3">
      <c r="A160" s="2">
        <v>15</v>
      </c>
      <c r="B160" s="2" t="s">
        <v>2639</v>
      </c>
      <c r="C160" s="60" t="s">
        <v>13094</v>
      </c>
      <c r="D160" s="1"/>
      <c r="E160" s="68"/>
      <c r="F160" s="70"/>
      <c r="G160" s="61"/>
      <c r="H160" s="62"/>
      <c r="I160" s="63"/>
      <c r="J160" s="85"/>
      <c r="K160" s="64"/>
      <c r="L160" s="65"/>
      <c r="M160" s="99"/>
      <c r="N160" s="70"/>
      <c r="O160" s="74" t="s">
        <v>17969</v>
      </c>
      <c r="P160" s="62"/>
      <c r="Q160" s="63"/>
      <c r="R160" s="75"/>
      <c r="S160" s="67"/>
      <c r="T160" s="68"/>
      <c r="U160" s="76"/>
      <c r="V160" s="70"/>
      <c r="W160" s="120">
        <f>ROUND((ROUND((_15_同援日増１．０*(1+_15・A夜間)),0)*(1+_15・盲ろう)),0)</f>
        <v>198</v>
      </c>
      <c r="X160" s="69"/>
    </row>
    <row r="161" spans="1:24" ht="16.5" customHeight="1" x14ac:dyDescent="0.3">
      <c r="A161" s="2">
        <v>15</v>
      </c>
      <c r="B161" s="2" t="s">
        <v>2640</v>
      </c>
      <c r="C161" s="60" t="s">
        <v>13093</v>
      </c>
      <c r="D161" s="1"/>
      <c r="E161" s="68"/>
      <c r="F161" s="70"/>
      <c r="G161" s="66"/>
      <c r="H161" s="57"/>
      <c r="I161" s="58"/>
      <c r="J161" s="83" t="s">
        <v>5895</v>
      </c>
      <c r="K161" s="64" t="s">
        <v>1</v>
      </c>
      <c r="L161" s="65">
        <v>1</v>
      </c>
      <c r="M161" s="99"/>
      <c r="N161" s="70"/>
      <c r="O161" s="94" t="s">
        <v>17968</v>
      </c>
      <c r="P161" s="68"/>
      <c r="Q161" s="76"/>
      <c r="R161" s="70"/>
      <c r="S161" s="67"/>
      <c r="T161" s="68"/>
      <c r="U161" s="76"/>
      <c r="V161" s="70"/>
      <c r="W161" s="120">
        <f>ROUND((ROUND((ROUND((_15_同援日増１．０*_15・２人),0)*(1+_15・A夜間)),0)*(1+_15・盲ろう)),0)</f>
        <v>198</v>
      </c>
      <c r="X161" s="69"/>
    </row>
    <row r="162" spans="1:24" ht="16.5" customHeight="1" x14ac:dyDescent="0.3">
      <c r="A162" s="2">
        <v>15</v>
      </c>
      <c r="B162" s="2" t="s">
        <v>2641</v>
      </c>
      <c r="C162" s="60" t="s">
        <v>13092</v>
      </c>
      <c r="D162" s="1"/>
      <c r="E162" s="68"/>
      <c r="F162" s="70"/>
      <c r="G162" s="74" t="s">
        <v>16823</v>
      </c>
      <c r="H162" s="62"/>
      <c r="I162" s="63"/>
      <c r="J162" s="85"/>
      <c r="K162" s="64"/>
      <c r="L162" s="65"/>
      <c r="M162" s="99"/>
      <c r="N162" s="70"/>
      <c r="O162" s="67"/>
      <c r="P162" s="68" t="s">
        <v>1</v>
      </c>
      <c r="Q162" s="76">
        <v>0.25</v>
      </c>
      <c r="R162" s="70" t="s">
        <v>422</v>
      </c>
      <c r="S162" s="67"/>
      <c r="T162" s="68"/>
      <c r="U162" s="76"/>
      <c r="V162" s="70"/>
      <c r="W162" s="120">
        <f>ROUND((ROUND((ROUND((_15_同援日増１．０*_15・基礎２),0)*(1+_15・A夜間)),0)*(1+_15・盲ろう)),0)</f>
        <v>176</v>
      </c>
      <c r="X162" s="69"/>
    </row>
    <row r="163" spans="1:24" ht="16.5" customHeight="1" x14ac:dyDescent="0.3">
      <c r="A163" s="2">
        <v>15</v>
      </c>
      <c r="B163" s="2" t="s">
        <v>2642</v>
      </c>
      <c r="C163" s="60" t="s">
        <v>13091</v>
      </c>
      <c r="D163" s="1"/>
      <c r="E163" s="68"/>
      <c r="F163" s="70"/>
      <c r="G163" s="106" t="s">
        <v>16812</v>
      </c>
      <c r="H163" s="57" t="s">
        <v>1</v>
      </c>
      <c r="I163" s="58">
        <v>0.9</v>
      </c>
      <c r="J163" s="83" t="s">
        <v>5895</v>
      </c>
      <c r="K163" s="64" t="s">
        <v>1</v>
      </c>
      <c r="L163" s="65">
        <v>1</v>
      </c>
      <c r="M163" s="99"/>
      <c r="N163" s="70"/>
      <c r="O163" s="66"/>
      <c r="P163" s="57"/>
      <c r="Q163" s="58"/>
      <c r="R163" s="77"/>
      <c r="S163" s="66"/>
      <c r="T163" s="57"/>
      <c r="U163" s="58"/>
      <c r="V163" s="77"/>
      <c r="W163" s="120">
        <f>ROUND((ROUND((ROUND((ROUND((_15_同援日増１．０*_15・基礎２),0)*_15・２人),0)*(1+_15・A夜間)),0)*(1+_15・盲ろう)),0)</f>
        <v>176</v>
      </c>
      <c r="X163" s="69"/>
    </row>
    <row r="164" spans="1:24" ht="16.5" customHeight="1" x14ac:dyDescent="0.3">
      <c r="A164" s="2">
        <v>15</v>
      </c>
      <c r="B164" s="2" t="s">
        <v>2643</v>
      </c>
      <c r="C164" s="60" t="s">
        <v>13090</v>
      </c>
      <c r="D164" s="1"/>
      <c r="E164" s="68"/>
      <c r="F164" s="70"/>
      <c r="G164" s="61"/>
      <c r="H164" s="62"/>
      <c r="I164" s="63"/>
      <c r="J164" s="85"/>
      <c r="K164" s="64"/>
      <c r="L164" s="65"/>
      <c r="M164" s="99"/>
      <c r="N164" s="70"/>
      <c r="O164" s="61"/>
      <c r="P164" s="62"/>
      <c r="Q164" s="63"/>
      <c r="R164" s="75"/>
      <c r="S164" s="61"/>
      <c r="T164" s="62"/>
      <c r="U164" s="63"/>
      <c r="V164" s="75"/>
      <c r="W164" s="120">
        <f>ROUND((ROUND((_15_同援日増１．０*(1+_15・A夜間)),0)*(1+_15・区３)),0)</f>
        <v>190</v>
      </c>
      <c r="X164" s="69"/>
    </row>
    <row r="165" spans="1:24" ht="16.5" customHeight="1" x14ac:dyDescent="0.3">
      <c r="A165" s="2">
        <v>15</v>
      </c>
      <c r="B165" s="2" t="s">
        <v>2644</v>
      </c>
      <c r="C165" s="60" t="s">
        <v>13089</v>
      </c>
      <c r="D165" s="1"/>
      <c r="E165" s="68"/>
      <c r="F165" s="70"/>
      <c r="G165" s="66"/>
      <c r="H165" s="57"/>
      <c r="I165" s="58"/>
      <c r="J165" s="83" t="s">
        <v>5895</v>
      </c>
      <c r="K165" s="64" t="s">
        <v>1</v>
      </c>
      <c r="L165" s="65">
        <v>1</v>
      </c>
      <c r="M165" s="99"/>
      <c r="N165" s="70"/>
      <c r="O165" s="67"/>
      <c r="P165" s="68"/>
      <c r="Q165" s="76"/>
      <c r="R165" s="70"/>
      <c r="S165" s="67"/>
      <c r="T165" s="68"/>
      <c r="U165" s="76"/>
      <c r="V165" s="70"/>
      <c r="W165" s="120">
        <f>ROUND((ROUND((ROUND((_15_同援日増１．０*_15・２人),0)*(1+_15・A夜間)),0)*(1+_15・区３)),0)</f>
        <v>190</v>
      </c>
      <c r="X165" s="69"/>
    </row>
    <row r="166" spans="1:24" ht="16.5" customHeight="1" x14ac:dyDescent="0.3">
      <c r="A166" s="2">
        <v>15</v>
      </c>
      <c r="B166" s="2" t="s">
        <v>2645</v>
      </c>
      <c r="C166" s="60" t="s">
        <v>13088</v>
      </c>
      <c r="D166" s="1"/>
      <c r="E166" s="68"/>
      <c r="F166" s="70"/>
      <c r="G166" s="74" t="s">
        <v>16823</v>
      </c>
      <c r="H166" s="62"/>
      <c r="I166" s="63"/>
      <c r="J166" s="85"/>
      <c r="K166" s="64"/>
      <c r="L166" s="65"/>
      <c r="M166" s="99"/>
      <c r="N166" s="70"/>
      <c r="O166" s="67"/>
      <c r="P166" s="68"/>
      <c r="Q166" s="76"/>
      <c r="R166" s="70"/>
      <c r="S166" s="1" t="s">
        <v>17974</v>
      </c>
      <c r="T166" s="68"/>
      <c r="U166" s="76"/>
      <c r="V166" s="70"/>
      <c r="W166" s="120">
        <f>ROUND((ROUND((ROUND((_15_同援日増１．０*_15・基礎２),0)*(1+_15・A夜間)),0)*(1+_15・区３)),0)</f>
        <v>169</v>
      </c>
      <c r="X166" s="69"/>
    </row>
    <row r="167" spans="1:24" ht="16.5" customHeight="1" x14ac:dyDescent="0.3">
      <c r="A167" s="2">
        <v>15</v>
      </c>
      <c r="B167" s="2" t="s">
        <v>2646</v>
      </c>
      <c r="C167" s="60" t="s">
        <v>13087</v>
      </c>
      <c r="D167" s="1"/>
      <c r="E167" s="68"/>
      <c r="F167" s="70"/>
      <c r="G167" s="106" t="s">
        <v>16812</v>
      </c>
      <c r="H167" s="57" t="s">
        <v>1</v>
      </c>
      <c r="I167" s="58">
        <v>0.9</v>
      </c>
      <c r="J167" s="83" t="s">
        <v>5895</v>
      </c>
      <c r="K167" s="64" t="s">
        <v>1</v>
      </c>
      <c r="L167" s="65">
        <v>1</v>
      </c>
      <c r="M167" s="99"/>
      <c r="N167" s="70"/>
      <c r="O167" s="66"/>
      <c r="P167" s="57"/>
      <c r="Q167" s="58"/>
      <c r="R167" s="77"/>
      <c r="S167" s="1" t="s">
        <v>17970</v>
      </c>
      <c r="T167" s="68"/>
      <c r="U167" s="76"/>
      <c r="V167" s="70"/>
      <c r="W167" s="120">
        <f>ROUND((ROUND((ROUND((ROUND((_15_同援日増１．０*_15・基礎２),0)*_15・２人),0)*(1+_15・A夜間)),0)*(1+_15・区３)),0)</f>
        <v>169</v>
      </c>
      <c r="X167" s="69"/>
    </row>
    <row r="168" spans="1:24" ht="16.5" customHeight="1" x14ac:dyDescent="0.3">
      <c r="A168" s="2">
        <v>15</v>
      </c>
      <c r="B168" s="2" t="s">
        <v>2647</v>
      </c>
      <c r="C168" s="60" t="s">
        <v>13086</v>
      </c>
      <c r="D168" s="1"/>
      <c r="E168" s="68"/>
      <c r="F168" s="70"/>
      <c r="G168" s="61"/>
      <c r="H168" s="62"/>
      <c r="I168" s="63"/>
      <c r="J168" s="85"/>
      <c r="K168" s="64"/>
      <c r="L168" s="65"/>
      <c r="M168" s="99"/>
      <c r="N168" s="70"/>
      <c r="O168" s="74" t="s">
        <v>17969</v>
      </c>
      <c r="P168" s="62"/>
      <c r="Q168" s="63"/>
      <c r="R168" s="75"/>
      <c r="S168" s="67"/>
      <c r="T168" s="68" t="s">
        <v>1</v>
      </c>
      <c r="U168" s="76">
        <v>0.2</v>
      </c>
      <c r="V168" s="70" t="s">
        <v>422</v>
      </c>
      <c r="W168" s="120">
        <f>ROUND((ROUND((ROUND((_15_同援日増１．０*(1+_15・A夜間)),0)*(1+_15・盲ろう)),0)*(1+_15・区３)),0)</f>
        <v>238</v>
      </c>
      <c r="X168" s="69"/>
    </row>
    <row r="169" spans="1:24" ht="16.5" customHeight="1" x14ac:dyDescent="0.3">
      <c r="A169" s="2">
        <v>15</v>
      </c>
      <c r="B169" s="2" t="s">
        <v>2648</v>
      </c>
      <c r="C169" s="60" t="s">
        <v>13085</v>
      </c>
      <c r="D169" s="1"/>
      <c r="E169" s="68"/>
      <c r="F169" s="70"/>
      <c r="G169" s="66"/>
      <c r="H169" s="57"/>
      <c r="I169" s="58"/>
      <c r="J169" s="83" t="s">
        <v>5895</v>
      </c>
      <c r="K169" s="64" t="s">
        <v>1</v>
      </c>
      <c r="L169" s="65">
        <v>1</v>
      </c>
      <c r="M169" s="99"/>
      <c r="N169" s="70"/>
      <c r="O169" s="94" t="s">
        <v>17968</v>
      </c>
      <c r="P169" s="68"/>
      <c r="Q169" s="76"/>
      <c r="R169" s="70"/>
      <c r="S169" s="67"/>
      <c r="T169" s="68"/>
      <c r="U169" s="76"/>
      <c r="V169" s="70"/>
      <c r="W169" s="120">
        <f>ROUND((ROUND((ROUND((ROUND((_15_同援日増１．０*_15・２人),0)*(1+_15・A夜間)),0)*(1+_15・盲ろう)),0)*(1+_15・区３)),0)</f>
        <v>238</v>
      </c>
      <c r="X169" s="69"/>
    </row>
    <row r="170" spans="1:24" ht="16.5" customHeight="1" x14ac:dyDescent="0.3">
      <c r="A170" s="2">
        <v>15</v>
      </c>
      <c r="B170" s="2" t="s">
        <v>2649</v>
      </c>
      <c r="C170" s="60" t="s">
        <v>13084</v>
      </c>
      <c r="D170" s="1"/>
      <c r="E170" s="68"/>
      <c r="F170" s="70"/>
      <c r="G170" s="74" t="s">
        <v>16823</v>
      </c>
      <c r="H170" s="62"/>
      <c r="I170" s="63"/>
      <c r="J170" s="85"/>
      <c r="K170" s="64"/>
      <c r="L170" s="65"/>
      <c r="M170" s="99"/>
      <c r="N170" s="70"/>
      <c r="O170" s="67"/>
      <c r="P170" s="68" t="s">
        <v>1</v>
      </c>
      <c r="Q170" s="76">
        <v>0.25</v>
      </c>
      <c r="R170" s="70" t="s">
        <v>422</v>
      </c>
      <c r="S170" s="67"/>
      <c r="T170" s="68"/>
      <c r="U170" s="76"/>
      <c r="V170" s="70"/>
      <c r="W170" s="120">
        <f>ROUND((ROUND((ROUND((ROUND((_15_同援日増１．０*_15・基礎２),0)*(1+_15・A夜間)),0)*(1+_15・盲ろう)),0)*(1+_15・区３)),0)</f>
        <v>211</v>
      </c>
      <c r="X170" s="69"/>
    </row>
    <row r="171" spans="1:24" ht="16.5" customHeight="1" x14ac:dyDescent="0.3">
      <c r="A171" s="2">
        <v>15</v>
      </c>
      <c r="B171" s="2" t="s">
        <v>2650</v>
      </c>
      <c r="C171" s="60" t="s">
        <v>13083</v>
      </c>
      <c r="D171" s="1"/>
      <c r="E171" s="68"/>
      <c r="F171" s="70"/>
      <c r="G171" s="106" t="s">
        <v>16812</v>
      </c>
      <c r="H171" s="57" t="s">
        <v>1</v>
      </c>
      <c r="I171" s="58">
        <v>0.9</v>
      </c>
      <c r="J171" s="83" t="s">
        <v>5895</v>
      </c>
      <c r="K171" s="64" t="s">
        <v>1</v>
      </c>
      <c r="L171" s="65">
        <v>1</v>
      </c>
      <c r="M171" s="99"/>
      <c r="N171" s="70"/>
      <c r="O171" s="66"/>
      <c r="P171" s="57"/>
      <c r="Q171" s="58"/>
      <c r="R171" s="77"/>
      <c r="S171" s="66"/>
      <c r="T171" s="57"/>
      <c r="U171" s="58"/>
      <c r="V171" s="77"/>
      <c r="W171" s="120">
        <f>ROUND((ROUND((ROUND((ROUND((ROUND((_15_同援日増１．０*_15・基礎２),0)*_15・２人),0)*(1+_15・A夜間)),0)*(1+_15・盲ろう)),0)*(1+_15・区３)),0)</f>
        <v>211</v>
      </c>
      <c r="X171" s="69"/>
    </row>
    <row r="172" spans="1:24" ht="16.5" customHeight="1" x14ac:dyDescent="0.3">
      <c r="A172" s="2">
        <v>15</v>
      </c>
      <c r="B172" s="2" t="s">
        <v>2651</v>
      </c>
      <c r="C172" s="60" t="s">
        <v>13082</v>
      </c>
      <c r="D172" s="1"/>
      <c r="E172" s="68"/>
      <c r="F172" s="70"/>
      <c r="G172" s="61"/>
      <c r="H172" s="62"/>
      <c r="I172" s="63"/>
      <c r="J172" s="85"/>
      <c r="K172" s="64"/>
      <c r="L172" s="65"/>
      <c r="M172" s="99"/>
      <c r="N172" s="70"/>
      <c r="O172" s="61"/>
      <c r="P172" s="62"/>
      <c r="Q172" s="63"/>
      <c r="R172" s="75"/>
      <c r="S172" s="61"/>
      <c r="T172" s="62"/>
      <c r="U172" s="63"/>
      <c r="V172" s="75"/>
      <c r="W172" s="120">
        <f>ROUND((ROUND((_15_同援日増１．０*(1+_15・A夜間)),0)*(1+_15・区４)),0)</f>
        <v>221</v>
      </c>
      <c r="X172" s="69"/>
    </row>
    <row r="173" spans="1:24" ht="16.5" customHeight="1" x14ac:dyDescent="0.3">
      <c r="A173" s="2">
        <v>15</v>
      </c>
      <c r="B173" s="2" t="s">
        <v>2652</v>
      </c>
      <c r="C173" s="60" t="s">
        <v>13081</v>
      </c>
      <c r="D173" s="1"/>
      <c r="E173" s="68"/>
      <c r="F173" s="70"/>
      <c r="G173" s="66"/>
      <c r="H173" s="57"/>
      <c r="I173" s="58"/>
      <c r="J173" s="83" t="s">
        <v>5895</v>
      </c>
      <c r="K173" s="64" t="s">
        <v>1</v>
      </c>
      <c r="L173" s="65">
        <v>1</v>
      </c>
      <c r="M173" s="99"/>
      <c r="N173" s="70"/>
      <c r="O173" s="67"/>
      <c r="P173" s="68"/>
      <c r="Q173" s="76"/>
      <c r="R173" s="70"/>
      <c r="S173" s="67"/>
      <c r="T173" s="68"/>
      <c r="U173" s="76"/>
      <c r="V173" s="70"/>
      <c r="W173" s="120">
        <f>ROUND((ROUND((ROUND((_15_同援日増１．０*_15・２人),0)*(1+_15・A夜間)),0)*(1+_15・区４)),0)</f>
        <v>221</v>
      </c>
      <c r="X173" s="69"/>
    </row>
    <row r="174" spans="1:24" ht="16.5" customHeight="1" x14ac:dyDescent="0.3">
      <c r="A174" s="2">
        <v>15</v>
      </c>
      <c r="B174" s="2" t="s">
        <v>2653</v>
      </c>
      <c r="C174" s="60" t="s">
        <v>13080</v>
      </c>
      <c r="D174" s="1"/>
      <c r="E174" s="68"/>
      <c r="F174" s="70"/>
      <c r="G174" s="74" t="s">
        <v>16823</v>
      </c>
      <c r="H174" s="62"/>
      <c r="I174" s="63"/>
      <c r="J174" s="85"/>
      <c r="K174" s="64"/>
      <c r="L174" s="65"/>
      <c r="M174" s="99"/>
      <c r="N174" s="70"/>
      <c r="O174" s="67"/>
      <c r="P174" s="68"/>
      <c r="Q174" s="76"/>
      <c r="R174" s="70"/>
      <c r="S174" s="1" t="s">
        <v>17971</v>
      </c>
      <c r="T174" s="68"/>
      <c r="U174" s="76"/>
      <c r="V174" s="70"/>
      <c r="W174" s="120">
        <f>ROUND((ROUND((ROUND((_15_同援日増１．０*_15・基礎２),0)*(1+_15・A夜間)),0)*(1+_15・区４)),0)</f>
        <v>197</v>
      </c>
      <c r="X174" s="69"/>
    </row>
    <row r="175" spans="1:24" ht="16.5" customHeight="1" x14ac:dyDescent="0.3">
      <c r="A175" s="2">
        <v>15</v>
      </c>
      <c r="B175" s="2" t="s">
        <v>2654</v>
      </c>
      <c r="C175" s="60" t="s">
        <v>13079</v>
      </c>
      <c r="D175" s="1"/>
      <c r="E175" s="68"/>
      <c r="F175" s="70"/>
      <c r="G175" s="106" t="s">
        <v>16812</v>
      </c>
      <c r="H175" s="57" t="s">
        <v>1</v>
      </c>
      <c r="I175" s="58">
        <v>0.9</v>
      </c>
      <c r="J175" s="83" t="s">
        <v>5895</v>
      </c>
      <c r="K175" s="64" t="s">
        <v>1</v>
      </c>
      <c r="L175" s="65">
        <v>1</v>
      </c>
      <c r="M175" s="99"/>
      <c r="N175" s="70"/>
      <c r="O175" s="66"/>
      <c r="P175" s="57"/>
      <c r="Q175" s="58"/>
      <c r="R175" s="77"/>
      <c r="S175" s="1" t="s">
        <v>17970</v>
      </c>
      <c r="T175" s="68"/>
      <c r="U175" s="76"/>
      <c r="V175" s="70"/>
      <c r="W175" s="120">
        <f>ROUND((ROUND((ROUND((ROUND((_15_同援日増１．０*_15・基礎２),0)*_15・２人),0)*(1+_15・A夜間)),0)*(1+_15・区４)),0)</f>
        <v>197</v>
      </c>
      <c r="X175" s="69"/>
    </row>
    <row r="176" spans="1:24" ht="16.5" customHeight="1" x14ac:dyDescent="0.3">
      <c r="A176" s="2">
        <v>15</v>
      </c>
      <c r="B176" s="2" t="s">
        <v>2655</v>
      </c>
      <c r="C176" s="60" t="s">
        <v>13078</v>
      </c>
      <c r="D176" s="1"/>
      <c r="E176" s="68"/>
      <c r="F176" s="70"/>
      <c r="G176" s="61"/>
      <c r="H176" s="62"/>
      <c r="I176" s="63"/>
      <c r="J176" s="85"/>
      <c r="K176" s="64"/>
      <c r="L176" s="65"/>
      <c r="M176" s="99"/>
      <c r="N176" s="70"/>
      <c r="O176" s="74" t="s">
        <v>17969</v>
      </c>
      <c r="P176" s="62"/>
      <c r="Q176" s="63"/>
      <c r="R176" s="75"/>
      <c r="S176" s="67"/>
      <c r="T176" s="68" t="s">
        <v>1</v>
      </c>
      <c r="U176" s="76">
        <v>0.4</v>
      </c>
      <c r="V176" s="70" t="s">
        <v>422</v>
      </c>
      <c r="W176" s="120">
        <f>ROUND((ROUND((ROUND((_15_同援日増１．０*(1+_15・A夜間)),0)*(1+_15・盲ろう)),0)*(1+_15・区４)),0)</f>
        <v>277</v>
      </c>
      <c r="X176" s="69"/>
    </row>
    <row r="177" spans="1:24" ht="16.5" customHeight="1" x14ac:dyDescent="0.3">
      <c r="A177" s="2">
        <v>15</v>
      </c>
      <c r="B177" s="2" t="s">
        <v>2656</v>
      </c>
      <c r="C177" s="60" t="s">
        <v>13077</v>
      </c>
      <c r="D177" s="1"/>
      <c r="E177" s="68"/>
      <c r="F177" s="70"/>
      <c r="G177" s="66"/>
      <c r="H177" s="57"/>
      <c r="I177" s="58"/>
      <c r="J177" s="83" t="s">
        <v>5895</v>
      </c>
      <c r="K177" s="64" t="s">
        <v>1</v>
      </c>
      <c r="L177" s="65">
        <v>1</v>
      </c>
      <c r="M177" s="99"/>
      <c r="N177" s="70"/>
      <c r="O177" s="94" t="s">
        <v>17968</v>
      </c>
      <c r="P177" s="68"/>
      <c r="Q177" s="76"/>
      <c r="R177" s="70"/>
      <c r="S177" s="67"/>
      <c r="T177" s="68"/>
      <c r="U177" s="76"/>
      <c r="V177" s="70"/>
      <c r="W177" s="120">
        <f>ROUND((ROUND((ROUND((ROUND((_15_同援日増１．０*_15・２人),0)*(1+_15・A夜間)),0)*(1+_15・盲ろう)),0)*(1+_15・区４)),0)</f>
        <v>277</v>
      </c>
      <c r="X177" s="69"/>
    </row>
    <row r="178" spans="1:24" ht="16.5" customHeight="1" x14ac:dyDescent="0.3">
      <c r="A178" s="2">
        <v>15</v>
      </c>
      <c r="B178" s="2" t="s">
        <v>2657</v>
      </c>
      <c r="C178" s="60" t="s">
        <v>13076</v>
      </c>
      <c r="D178" s="1"/>
      <c r="E178" s="68"/>
      <c r="F178" s="70"/>
      <c r="G178" s="74" t="s">
        <v>16823</v>
      </c>
      <c r="H178" s="62"/>
      <c r="I178" s="63"/>
      <c r="J178" s="85"/>
      <c r="K178" s="64"/>
      <c r="L178" s="65"/>
      <c r="M178" s="99"/>
      <c r="N178" s="70"/>
      <c r="O178" s="67"/>
      <c r="P178" s="68" t="s">
        <v>1</v>
      </c>
      <c r="Q178" s="76">
        <v>0.25</v>
      </c>
      <c r="R178" s="70" t="s">
        <v>422</v>
      </c>
      <c r="S178" s="67"/>
      <c r="T178" s="68"/>
      <c r="U178" s="76"/>
      <c r="V178" s="70"/>
      <c r="W178" s="120">
        <f>ROUND((ROUND((ROUND((ROUND((_15_同援日増１．０*_15・基礎２),0)*(1+_15・A夜間)),0)*(1+_15・盲ろう)),0)*(1+_15・区４)),0)</f>
        <v>246</v>
      </c>
      <c r="X178" s="69"/>
    </row>
    <row r="179" spans="1:24" ht="16.5" customHeight="1" x14ac:dyDescent="0.3">
      <c r="A179" s="2">
        <v>15</v>
      </c>
      <c r="B179" s="2" t="s">
        <v>2658</v>
      </c>
      <c r="C179" s="60" t="s">
        <v>13075</v>
      </c>
      <c r="D179" s="81"/>
      <c r="E179" s="57"/>
      <c r="F179" s="77"/>
      <c r="G179" s="106" t="s">
        <v>16812</v>
      </c>
      <c r="H179" s="57" t="s">
        <v>1</v>
      </c>
      <c r="I179" s="58">
        <v>0.9</v>
      </c>
      <c r="J179" s="83" t="s">
        <v>5895</v>
      </c>
      <c r="K179" s="64" t="s">
        <v>1</v>
      </c>
      <c r="L179" s="65">
        <v>1</v>
      </c>
      <c r="M179" s="99"/>
      <c r="N179" s="70"/>
      <c r="O179" s="66"/>
      <c r="P179" s="57"/>
      <c r="Q179" s="58"/>
      <c r="R179" s="77"/>
      <c r="S179" s="66"/>
      <c r="T179" s="57"/>
      <c r="U179" s="58"/>
      <c r="V179" s="77"/>
      <c r="W179" s="120">
        <f>ROUND((ROUND((ROUND((ROUND((ROUND((_15_同援日増１．０*_15・基礎２),0)*_15・２人),0)*(1+_15・A夜間)),0)*(1+_15・盲ろう)),0)*(1+_15・区４)),0)</f>
        <v>246</v>
      </c>
      <c r="X179" s="69"/>
    </row>
    <row r="180" spans="1:24" ht="16.5" customHeight="1" x14ac:dyDescent="0.3">
      <c r="A180" s="2">
        <v>15</v>
      </c>
      <c r="B180" s="2" t="s">
        <v>2659</v>
      </c>
      <c r="C180" s="60" t="s">
        <v>13074</v>
      </c>
      <c r="D180" s="233" t="s">
        <v>18194</v>
      </c>
      <c r="E180" s="62"/>
      <c r="F180" s="75"/>
      <c r="G180" s="61"/>
      <c r="H180" s="62"/>
      <c r="I180" s="63"/>
      <c r="J180" s="85"/>
      <c r="K180" s="64"/>
      <c r="L180" s="65"/>
      <c r="M180" s="99"/>
      <c r="N180" s="70"/>
      <c r="O180" s="61"/>
      <c r="P180" s="62"/>
      <c r="Q180" s="63"/>
      <c r="R180" s="75"/>
      <c r="S180" s="61"/>
      <c r="T180" s="62"/>
      <c r="U180" s="63"/>
      <c r="V180" s="75"/>
      <c r="W180" s="120">
        <f>ROUND((_15_同援日増１．５*(1+_15・A夜間)),0)</f>
        <v>236</v>
      </c>
      <c r="X180" s="69"/>
    </row>
    <row r="181" spans="1:24" ht="16.5" customHeight="1" x14ac:dyDescent="0.3">
      <c r="A181" s="2">
        <v>15</v>
      </c>
      <c r="B181" s="2" t="s">
        <v>2660</v>
      </c>
      <c r="C181" s="60" t="s">
        <v>13073</v>
      </c>
      <c r="D181" s="1" t="s">
        <v>16871</v>
      </c>
      <c r="E181" s="68"/>
      <c r="F181" s="70"/>
      <c r="G181" s="66"/>
      <c r="H181" s="57"/>
      <c r="I181" s="58"/>
      <c r="J181" s="83" t="s">
        <v>5895</v>
      </c>
      <c r="K181" s="64" t="s">
        <v>1</v>
      </c>
      <c r="L181" s="65">
        <v>1</v>
      </c>
      <c r="M181" s="99"/>
      <c r="N181" s="70"/>
      <c r="O181" s="67"/>
      <c r="P181" s="68"/>
      <c r="Q181" s="76"/>
      <c r="R181" s="70"/>
      <c r="S181" s="67"/>
      <c r="T181" s="68"/>
      <c r="U181" s="76"/>
      <c r="V181" s="70"/>
      <c r="W181" s="120">
        <f>ROUND((ROUND((_15_同援日増１．５*_15・２人),0)*(1+_15・A夜間)),0)</f>
        <v>236</v>
      </c>
      <c r="X181" s="69"/>
    </row>
    <row r="182" spans="1:24" ht="16.5" customHeight="1" x14ac:dyDescent="0.3">
      <c r="A182" s="2">
        <v>15</v>
      </c>
      <c r="B182" s="2" t="s">
        <v>2661</v>
      </c>
      <c r="C182" s="60" t="s">
        <v>13072</v>
      </c>
      <c r="D182" s="1" t="s">
        <v>8767</v>
      </c>
      <c r="E182" s="68"/>
      <c r="F182" s="70"/>
      <c r="G182" s="74" t="s">
        <v>16823</v>
      </c>
      <c r="H182" s="62"/>
      <c r="I182" s="63"/>
      <c r="J182" s="85"/>
      <c r="K182" s="64"/>
      <c r="L182" s="65"/>
      <c r="M182" s="99"/>
      <c r="N182" s="70"/>
      <c r="O182" s="67"/>
      <c r="P182" s="68"/>
      <c r="Q182" s="76"/>
      <c r="R182" s="70"/>
      <c r="S182" s="67"/>
      <c r="T182" s="68"/>
      <c r="U182" s="76"/>
      <c r="V182" s="70"/>
      <c r="W182" s="120">
        <f>ROUND((ROUND((_15_同援日増１．５*_15・基礎２),0)*(1+_15・A夜間)),0)</f>
        <v>213</v>
      </c>
      <c r="X182" s="69"/>
    </row>
    <row r="183" spans="1:24" ht="16.5" customHeight="1" x14ac:dyDescent="0.3">
      <c r="A183" s="2">
        <v>15</v>
      </c>
      <c r="B183" s="2" t="s">
        <v>2662</v>
      </c>
      <c r="C183" s="60" t="s">
        <v>13071</v>
      </c>
      <c r="D183" s="1"/>
      <c r="E183" s="119">
        <v>189</v>
      </c>
      <c r="F183" s="70" t="s">
        <v>0</v>
      </c>
      <c r="G183" s="106" t="s">
        <v>16812</v>
      </c>
      <c r="H183" s="57" t="s">
        <v>1</v>
      </c>
      <c r="I183" s="58">
        <v>0.9</v>
      </c>
      <c r="J183" s="83" t="s">
        <v>5895</v>
      </c>
      <c r="K183" s="64" t="s">
        <v>1</v>
      </c>
      <c r="L183" s="65">
        <v>1</v>
      </c>
      <c r="M183" s="99"/>
      <c r="N183" s="70"/>
      <c r="O183" s="66"/>
      <c r="P183" s="57"/>
      <c r="Q183" s="58"/>
      <c r="R183" s="77"/>
      <c r="S183" s="67"/>
      <c r="T183" s="68"/>
      <c r="U183" s="76"/>
      <c r="V183" s="70"/>
      <c r="W183" s="120">
        <f>ROUND((ROUND((ROUND((_15_同援日増１．５*_15・基礎２),0)*_15・２人),0)*(1+_15・A夜間)),0)</f>
        <v>213</v>
      </c>
      <c r="X183" s="69"/>
    </row>
    <row r="184" spans="1:24" ht="16.5" customHeight="1" x14ac:dyDescent="0.3">
      <c r="A184" s="2">
        <v>15</v>
      </c>
      <c r="B184" s="2" t="s">
        <v>2663</v>
      </c>
      <c r="C184" s="60" t="s">
        <v>13070</v>
      </c>
      <c r="D184" s="1"/>
      <c r="E184" s="68"/>
      <c r="F184" s="70"/>
      <c r="G184" s="61"/>
      <c r="H184" s="62"/>
      <c r="I184" s="63"/>
      <c r="J184" s="85"/>
      <c r="K184" s="64"/>
      <c r="L184" s="65"/>
      <c r="M184" s="99"/>
      <c r="N184" s="70"/>
      <c r="O184" s="74" t="s">
        <v>17969</v>
      </c>
      <c r="P184" s="62"/>
      <c r="Q184" s="63"/>
      <c r="R184" s="75"/>
      <c r="S184" s="67"/>
      <c r="T184" s="68"/>
      <c r="U184" s="76"/>
      <c r="V184" s="70"/>
      <c r="W184" s="120">
        <f>ROUND((ROUND((_15_同援日増１．５*(1+_15・A夜間)),0)*(1+_15・盲ろう)),0)</f>
        <v>295</v>
      </c>
      <c r="X184" s="69"/>
    </row>
    <row r="185" spans="1:24" ht="16.5" customHeight="1" x14ac:dyDescent="0.3">
      <c r="A185" s="2">
        <v>15</v>
      </c>
      <c r="B185" s="2" t="s">
        <v>2664</v>
      </c>
      <c r="C185" s="60" t="s">
        <v>13069</v>
      </c>
      <c r="D185" s="1"/>
      <c r="E185" s="68"/>
      <c r="F185" s="70"/>
      <c r="G185" s="66"/>
      <c r="H185" s="57"/>
      <c r="I185" s="58"/>
      <c r="J185" s="83" t="s">
        <v>5895</v>
      </c>
      <c r="K185" s="64" t="s">
        <v>1</v>
      </c>
      <c r="L185" s="65">
        <v>1</v>
      </c>
      <c r="M185" s="99"/>
      <c r="N185" s="70"/>
      <c r="O185" s="94" t="s">
        <v>17968</v>
      </c>
      <c r="P185" s="68"/>
      <c r="Q185" s="76"/>
      <c r="R185" s="70"/>
      <c r="S185" s="67"/>
      <c r="T185" s="68"/>
      <c r="U185" s="76"/>
      <c r="V185" s="70"/>
      <c r="W185" s="120">
        <f>ROUND((ROUND((ROUND((_15_同援日増１．５*_15・２人),0)*(1+_15・A夜間)),0)*(1+_15・盲ろう)),0)</f>
        <v>295</v>
      </c>
      <c r="X185" s="69"/>
    </row>
    <row r="186" spans="1:24" ht="16.5" customHeight="1" x14ac:dyDescent="0.3">
      <c r="A186" s="2">
        <v>15</v>
      </c>
      <c r="B186" s="2" t="s">
        <v>2665</v>
      </c>
      <c r="C186" s="60" t="s">
        <v>13068</v>
      </c>
      <c r="D186" s="1"/>
      <c r="E186" s="68"/>
      <c r="F186" s="70"/>
      <c r="G186" s="74" t="s">
        <v>16823</v>
      </c>
      <c r="H186" s="62"/>
      <c r="I186" s="63"/>
      <c r="J186" s="85"/>
      <c r="K186" s="64"/>
      <c r="L186" s="65"/>
      <c r="M186" s="99"/>
      <c r="N186" s="70"/>
      <c r="O186" s="67"/>
      <c r="P186" s="68" t="s">
        <v>1</v>
      </c>
      <c r="Q186" s="76">
        <v>0.25</v>
      </c>
      <c r="R186" s="70" t="s">
        <v>422</v>
      </c>
      <c r="S186" s="67"/>
      <c r="T186" s="68"/>
      <c r="U186" s="76"/>
      <c r="V186" s="70"/>
      <c r="W186" s="120">
        <f>ROUND((ROUND((ROUND((_15_同援日増１．５*_15・基礎２),0)*(1+_15・A夜間)),0)*(1+_15・盲ろう)),0)</f>
        <v>266</v>
      </c>
      <c r="X186" s="69"/>
    </row>
    <row r="187" spans="1:24" ht="16.5" customHeight="1" x14ac:dyDescent="0.3">
      <c r="A187" s="2">
        <v>15</v>
      </c>
      <c r="B187" s="2" t="s">
        <v>2666</v>
      </c>
      <c r="C187" s="60" t="s">
        <v>13067</v>
      </c>
      <c r="D187" s="1"/>
      <c r="E187" s="68"/>
      <c r="F187" s="70"/>
      <c r="G187" s="106" t="s">
        <v>16812</v>
      </c>
      <c r="H187" s="57" t="s">
        <v>1</v>
      </c>
      <c r="I187" s="58">
        <v>0.9</v>
      </c>
      <c r="J187" s="83" t="s">
        <v>5895</v>
      </c>
      <c r="K187" s="64" t="s">
        <v>1</v>
      </c>
      <c r="L187" s="65">
        <v>1</v>
      </c>
      <c r="M187" s="99"/>
      <c r="N187" s="70"/>
      <c r="O187" s="66"/>
      <c r="P187" s="57"/>
      <c r="Q187" s="58"/>
      <c r="R187" s="77"/>
      <c r="S187" s="66"/>
      <c r="T187" s="57"/>
      <c r="U187" s="58"/>
      <c r="V187" s="77"/>
      <c r="W187" s="120">
        <f>ROUND((ROUND((ROUND((ROUND((_15_同援日増１．５*_15・基礎２),0)*_15・２人),0)*(1+_15・A夜間)),0)*(1+_15・盲ろう)),0)</f>
        <v>266</v>
      </c>
      <c r="X187" s="69"/>
    </row>
    <row r="188" spans="1:24" ht="16.5" customHeight="1" x14ac:dyDescent="0.3">
      <c r="A188" s="2">
        <v>15</v>
      </c>
      <c r="B188" s="2" t="s">
        <v>2667</v>
      </c>
      <c r="C188" s="60" t="s">
        <v>13066</v>
      </c>
      <c r="D188" s="1"/>
      <c r="E188" s="68"/>
      <c r="F188" s="70"/>
      <c r="G188" s="61"/>
      <c r="H188" s="62"/>
      <c r="I188" s="63"/>
      <c r="J188" s="85"/>
      <c r="K188" s="64"/>
      <c r="L188" s="65"/>
      <c r="M188" s="99"/>
      <c r="N188" s="70"/>
      <c r="O188" s="61"/>
      <c r="P188" s="62"/>
      <c r="Q188" s="63"/>
      <c r="R188" s="75"/>
      <c r="S188" s="61"/>
      <c r="T188" s="62"/>
      <c r="U188" s="63"/>
      <c r="V188" s="75"/>
      <c r="W188" s="120">
        <f>ROUND((ROUND((_15_同援日増１．５*(1+_15・A夜間)),0)*(1+_15・区３)),0)</f>
        <v>283</v>
      </c>
      <c r="X188" s="69"/>
    </row>
    <row r="189" spans="1:24" ht="16.5" customHeight="1" x14ac:dyDescent="0.3">
      <c r="A189" s="2">
        <v>15</v>
      </c>
      <c r="B189" s="2" t="s">
        <v>2668</v>
      </c>
      <c r="C189" s="60" t="s">
        <v>13065</v>
      </c>
      <c r="D189" s="1"/>
      <c r="E189" s="68"/>
      <c r="F189" s="70"/>
      <c r="G189" s="66"/>
      <c r="H189" s="57"/>
      <c r="I189" s="58"/>
      <c r="J189" s="83" t="s">
        <v>5895</v>
      </c>
      <c r="K189" s="64" t="s">
        <v>1</v>
      </c>
      <c r="L189" s="65">
        <v>1</v>
      </c>
      <c r="M189" s="99"/>
      <c r="N189" s="70"/>
      <c r="O189" s="67"/>
      <c r="P189" s="68"/>
      <c r="Q189" s="76"/>
      <c r="R189" s="70"/>
      <c r="S189" s="67"/>
      <c r="T189" s="68"/>
      <c r="U189" s="76"/>
      <c r="V189" s="70"/>
      <c r="W189" s="120">
        <f>ROUND((ROUND((ROUND((_15_同援日増１．５*_15・２人),0)*(1+_15・A夜間)),0)*(1+_15・区３)),0)</f>
        <v>283</v>
      </c>
      <c r="X189" s="69"/>
    </row>
    <row r="190" spans="1:24" ht="16.5" customHeight="1" x14ac:dyDescent="0.3">
      <c r="A190" s="2">
        <v>15</v>
      </c>
      <c r="B190" s="2" t="s">
        <v>2669</v>
      </c>
      <c r="C190" s="60" t="s">
        <v>13064</v>
      </c>
      <c r="D190" s="1"/>
      <c r="E190" s="68"/>
      <c r="F190" s="70"/>
      <c r="G190" s="74" t="s">
        <v>16823</v>
      </c>
      <c r="H190" s="62"/>
      <c r="I190" s="63"/>
      <c r="J190" s="85"/>
      <c r="K190" s="64"/>
      <c r="L190" s="65"/>
      <c r="M190" s="99"/>
      <c r="N190" s="70"/>
      <c r="O190" s="67"/>
      <c r="P190" s="68"/>
      <c r="Q190" s="76"/>
      <c r="R190" s="70"/>
      <c r="S190" s="1" t="s">
        <v>17974</v>
      </c>
      <c r="T190" s="68"/>
      <c r="U190" s="76"/>
      <c r="V190" s="70"/>
      <c r="W190" s="120">
        <f>ROUND((ROUND((ROUND((_15_同援日増１．５*_15・基礎２),0)*(1+_15・A夜間)),0)*(1+_15・区３)),0)</f>
        <v>256</v>
      </c>
      <c r="X190" s="69"/>
    </row>
    <row r="191" spans="1:24" ht="16.5" customHeight="1" x14ac:dyDescent="0.3">
      <c r="A191" s="2">
        <v>15</v>
      </c>
      <c r="B191" s="2" t="s">
        <v>2670</v>
      </c>
      <c r="C191" s="60" t="s">
        <v>13063</v>
      </c>
      <c r="D191" s="1"/>
      <c r="E191" s="68"/>
      <c r="F191" s="70"/>
      <c r="G191" s="106" t="s">
        <v>16812</v>
      </c>
      <c r="H191" s="57" t="s">
        <v>1</v>
      </c>
      <c r="I191" s="58">
        <v>0.9</v>
      </c>
      <c r="J191" s="83" t="s">
        <v>5895</v>
      </c>
      <c r="K191" s="64" t="s">
        <v>1</v>
      </c>
      <c r="L191" s="65">
        <v>1</v>
      </c>
      <c r="M191" s="99"/>
      <c r="N191" s="70"/>
      <c r="O191" s="66"/>
      <c r="P191" s="57"/>
      <c r="Q191" s="58"/>
      <c r="R191" s="77"/>
      <c r="S191" s="1" t="s">
        <v>17970</v>
      </c>
      <c r="T191" s="68"/>
      <c r="U191" s="76"/>
      <c r="V191" s="70"/>
      <c r="W191" s="120">
        <f>ROUND((ROUND((ROUND((ROUND((_15_同援日増１．５*_15・基礎２),0)*_15・２人),0)*(1+_15・A夜間)),0)*(1+_15・区３)),0)</f>
        <v>256</v>
      </c>
      <c r="X191" s="69"/>
    </row>
    <row r="192" spans="1:24" ht="16.5" customHeight="1" x14ac:dyDescent="0.3">
      <c r="A192" s="2">
        <v>15</v>
      </c>
      <c r="B192" s="2" t="s">
        <v>2671</v>
      </c>
      <c r="C192" s="60" t="s">
        <v>13062</v>
      </c>
      <c r="D192" s="1"/>
      <c r="E192" s="68"/>
      <c r="F192" s="70"/>
      <c r="G192" s="61"/>
      <c r="H192" s="62"/>
      <c r="I192" s="63"/>
      <c r="J192" s="85"/>
      <c r="K192" s="64"/>
      <c r="L192" s="65"/>
      <c r="M192" s="99"/>
      <c r="N192" s="70"/>
      <c r="O192" s="74" t="s">
        <v>17969</v>
      </c>
      <c r="P192" s="62"/>
      <c r="Q192" s="63"/>
      <c r="R192" s="75"/>
      <c r="S192" s="67"/>
      <c r="T192" s="68" t="s">
        <v>1</v>
      </c>
      <c r="U192" s="76">
        <v>0.2</v>
      </c>
      <c r="V192" s="70" t="s">
        <v>422</v>
      </c>
      <c r="W192" s="120">
        <f>ROUND((ROUND((ROUND((_15_同援日増１．５*(1+_15・A夜間)),0)*(1+_15・盲ろう)),0)*(1+_15・区３)),0)</f>
        <v>354</v>
      </c>
      <c r="X192" s="69"/>
    </row>
    <row r="193" spans="1:24" ht="16.5" customHeight="1" x14ac:dyDescent="0.3">
      <c r="A193" s="2">
        <v>15</v>
      </c>
      <c r="B193" s="2" t="s">
        <v>2672</v>
      </c>
      <c r="C193" s="60" t="s">
        <v>13061</v>
      </c>
      <c r="D193" s="1"/>
      <c r="E193" s="68"/>
      <c r="F193" s="70"/>
      <c r="G193" s="66"/>
      <c r="H193" s="57"/>
      <c r="I193" s="58"/>
      <c r="J193" s="83" t="s">
        <v>5895</v>
      </c>
      <c r="K193" s="64" t="s">
        <v>1</v>
      </c>
      <c r="L193" s="65">
        <v>1</v>
      </c>
      <c r="M193" s="99"/>
      <c r="N193" s="70"/>
      <c r="O193" s="94" t="s">
        <v>17968</v>
      </c>
      <c r="P193" s="68"/>
      <c r="Q193" s="76"/>
      <c r="R193" s="70"/>
      <c r="S193" s="67"/>
      <c r="T193" s="68"/>
      <c r="U193" s="76"/>
      <c r="V193" s="70"/>
      <c r="W193" s="120">
        <f>ROUND((ROUND((ROUND((ROUND((_15_同援日増１．５*_15・２人),0)*(1+_15・A夜間)),0)*(1+_15・盲ろう)),0)*(1+_15・区３)),0)</f>
        <v>354</v>
      </c>
      <c r="X193" s="69"/>
    </row>
    <row r="194" spans="1:24" ht="16.5" customHeight="1" x14ac:dyDescent="0.3">
      <c r="A194" s="2">
        <v>15</v>
      </c>
      <c r="B194" s="2" t="s">
        <v>2673</v>
      </c>
      <c r="C194" s="60" t="s">
        <v>13060</v>
      </c>
      <c r="D194" s="1"/>
      <c r="E194" s="68"/>
      <c r="F194" s="70"/>
      <c r="G194" s="74" t="s">
        <v>16823</v>
      </c>
      <c r="H194" s="62"/>
      <c r="I194" s="63"/>
      <c r="J194" s="85"/>
      <c r="K194" s="64"/>
      <c r="L194" s="65"/>
      <c r="M194" s="99"/>
      <c r="N194" s="70"/>
      <c r="O194" s="67"/>
      <c r="P194" s="68" t="s">
        <v>1</v>
      </c>
      <c r="Q194" s="76">
        <v>0.25</v>
      </c>
      <c r="R194" s="70" t="s">
        <v>422</v>
      </c>
      <c r="S194" s="67"/>
      <c r="T194" s="68"/>
      <c r="U194" s="76"/>
      <c r="V194" s="70"/>
      <c r="W194" s="120">
        <f>ROUND((ROUND((ROUND((ROUND((_15_同援日増１．５*_15・基礎２),0)*(1+_15・A夜間)),0)*(1+_15・盲ろう)),0)*(1+_15・区３)),0)</f>
        <v>319</v>
      </c>
      <c r="X194" s="69"/>
    </row>
    <row r="195" spans="1:24" ht="16.5" customHeight="1" x14ac:dyDescent="0.3">
      <c r="A195" s="2">
        <v>15</v>
      </c>
      <c r="B195" s="2" t="s">
        <v>2674</v>
      </c>
      <c r="C195" s="60" t="s">
        <v>13059</v>
      </c>
      <c r="D195" s="1"/>
      <c r="E195" s="68"/>
      <c r="F195" s="70"/>
      <c r="G195" s="106" t="s">
        <v>16812</v>
      </c>
      <c r="H195" s="57" t="s">
        <v>1</v>
      </c>
      <c r="I195" s="58">
        <v>0.9</v>
      </c>
      <c r="J195" s="83" t="s">
        <v>5895</v>
      </c>
      <c r="K195" s="64" t="s">
        <v>1</v>
      </c>
      <c r="L195" s="65">
        <v>1</v>
      </c>
      <c r="M195" s="99"/>
      <c r="N195" s="70"/>
      <c r="O195" s="66"/>
      <c r="P195" s="57"/>
      <c r="Q195" s="58"/>
      <c r="R195" s="77"/>
      <c r="S195" s="66"/>
      <c r="T195" s="57"/>
      <c r="U195" s="58"/>
      <c r="V195" s="77"/>
      <c r="W195" s="120">
        <f>ROUND((ROUND((ROUND((ROUND((ROUND((_15_同援日増１．５*_15・基礎２),0)*_15・２人),0)*(1+_15・A夜間)),0)*(1+_15・盲ろう)),0)*(1+_15・区３)),0)</f>
        <v>319</v>
      </c>
      <c r="X195" s="69"/>
    </row>
    <row r="196" spans="1:24" ht="16.5" customHeight="1" x14ac:dyDescent="0.3">
      <c r="A196" s="2">
        <v>15</v>
      </c>
      <c r="B196" s="2" t="s">
        <v>2675</v>
      </c>
      <c r="C196" s="60" t="s">
        <v>13058</v>
      </c>
      <c r="D196" s="1"/>
      <c r="E196" s="68"/>
      <c r="F196" s="70"/>
      <c r="G196" s="61"/>
      <c r="H196" s="62"/>
      <c r="I196" s="63"/>
      <c r="J196" s="85"/>
      <c r="K196" s="64"/>
      <c r="L196" s="65"/>
      <c r="M196" s="99"/>
      <c r="N196" s="70"/>
      <c r="O196" s="61"/>
      <c r="P196" s="62"/>
      <c r="Q196" s="63"/>
      <c r="R196" s="75"/>
      <c r="S196" s="61"/>
      <c r="T196" s="62"/>
      <c r="U196" s="63"/>
      <c r="V196" s="75"/>
      <c r="W196" s="120">
        <f>ROUND((ROUND((_15_同援日増１．５*(1+_15・A夜間)),0)*(1+_15・区４)),0)</f>
        <v>330</v>
      </c>
      <c r="X196" s="69"/>
    </row>
    <row r="197" spans="1:24" ht="16.5" customHeight="1" x14ac:dyDescent="0.3">
      <c r="A197" s="2">
        <v>15</v>
      </c>
      <c r="B197" s="2" t="s">
        <v>2676</v>
      </c>
      <c r="C197" s="60" t="s">
        <v>13057</v>
      </c>
      <c r="D197" s="1"/>
      <c r="E197" s="68"/>
      <c r="F197" s="70"/>
      <c r="G197" s="66"/>
      <c r="H197" s="57"/>
      <c r="I197" s="58"/>
      <c r="J197" s="83" t="s">
        <v>5895</v>
      </c>
      <c r="K197" s="64" t="s">
        <v>1</v>
      </c>
      <c r="L197" s="65">
        <v>1</v>
      </c>
      <c r="M197" s="99"/>
      <c r="N197" s="70"/>
      <c r="O197" s="67"/>
      <c r="P197" s="68"/>
      <c r="Q197" s="76"/>
      <c r="R197" s="70"/>
      <c r="S197" s="67"/>
      <c r="T197" s="68"/>
      <c r="U197" s="76"/>
      <c r="V197" s="70"/>
      <c r="W197" s="120">
        <f>ROUND((ROUND((ROUND((_15_同援日増１．５*_15・２人),0)*(1+_15・A夜間)),0)*(1+_15・区４)),0)</f>
        <v>330</v>
      </c>
      <c r="X197" s="69"/>
    </row>
    <row r="198" spans="1:24" ht="16.5" customHeight="1" x14ac:dyDescent="0.3">
      <c r="A198" s="2">
        <v>15</v>
      </c>
      <c r="B198" s="2" t="s">
        <v>2677</v>
      </c>
      <c r="C198" s="60" t="s">
        <v>13056</v>
      </c>
      <c r="D198" s="1"/>
      <c r="E198" s="68"/>
      <c r="F198" s="70"/>
      <c r="G198" s="74" t="s">
        <v>16823</v>
      </c>
      <c r="H198" s="62"/>
      <c r="I198" s="63"/>
      <c r="J198" s="85"/>
      <c r="K198" s="64"/>
      <c r="L198" s="65"/>
      <c r="M198" s="99"/>
      <c r="N198" s="70"/>
      <c r="O198" s="67"/>
      <c r="P198" s="68"/>
      <c r="Q198" s="76"/>
      <c r="R198" s="70"/>
      <c r="S198" s="1" t="s">
        <v>17971</v>
      </c>
      <c r="T198" s="68"/>
      <c r="U198" s="76"/>
      <c r="V198" s="70"/>
      <c r="W198" s="120">
        <f>ROUND((ROUND((ROUND((_15_同援日増１．５*_15・基礎２),0)*(1+_15・A夜間)),0)*(1+_15・区４)),0)</f>
        <v>298</v>
      </c>
      <c r="X198" s="69"/>
    </row>
    <row r="199" spans="1:24" ht="16.5" customHeight="1" x14ac:dyDescent="0.3">
      <c r="A199" s="2">
        <v>15</v>
      </c>
      <c r="B199" s="2" t="s">
        <v>2678</v>
      </c>
      <c r="C199" s="60" t="s">
        <v>13055</v>
      </c>
      <c r="D199" s="1"/>
      <c r="E199" s="68"/>
      <c r="F199" s="70"/>
      <c r="G199" s="106" t="s">
        <v>16812</v>
      </c>
      <c r="H199" s="57" t="s">
        <v>1</v>
      </c>
      <c r="I199" s="58">
        <v>0.9</v>
      </c>
      <c r="J199" s="83" t="s">
        <v>5895</v>
      </c>
      <c r="K199" s="64" t="s">
        <v>1</v>
      </c>
      <c r="L199" s="65">
        <v>1</v>
      </c>
      <c r="M199" s="99"/>
      <c r="N199" s="70"/>
      <c r="O199" s="66"/>
      <c r="P199" s="57"/>
      <c r="Q199" s="58"/>
      <c r="R199" s="77"/>
      <c r="S199" s="1" t="s">
        <v>17970</v>
      </c>
      <c r="T199" s="68"/>
      <c r="U199" s="76"/>
      <c r="V199" s="70"/>
      <c r="W199" s="120">
        <f>ROUND((ROUND((ROUND((ROUND((_15_同援日増１．５*_15・基礎２),0)*_15・２人),0)*(1+_15・A夜間)),0)*(1+_15・区４)),0)</f>
        <v>298</v>
      </c>
      <c r="X199" s="69"/>
    </row>
    <row r="200" spans="1:24" ht="16.5" customHeight="1" x14ac:dyDescent="0.3">
      <c r="A200" s="2">
        <v>15</v>
      </c>
      <c r="B200" s="2" t="s">
        <v>2679</v>
      </c>
      <c r="C200" s="60" t="s">
        <v>13054</v>
      </c>
      <c r="D200" s="1"/>
      <c r="E200" s="68"/>
      <c r="F200" s="70"/>
      <c r="G200" s="61"/>
      <c r="H200" s="62"/>
      <c r="I200" s="63"/>
      <c r="J200" s="85"/>
      <c r="K200" s="64"/>
      <c r="L200" s="65"/>
      <c r="M200" s="99"/>
      <c r="N200" s="70"/>
      <c r="O200" s="74" t="s">
        <v>17969</v>
      </c>
      <c r="P200" s="62"/>
      <c r="Q200" s="63"/>
      <c r="R200" s="75"/>
      <c r="S200" s="67"/>
      <c r="T200" s="68" t="s">
        <v>1</v>
      </c>
      <c r="U200" s="76">
        <v>0.4</v>
      </c>
      <c r="V200" s="70" t="s">
        <v>422</v>
      </c>
      <c r="W200" s="120">
        <f>ROUND((ROUND((ROUND((_15_同援日増１．５*(1+_15・A夜間)),0)*(1+_15・盲ろう)),0)*(1+_15・区４)),0)</f>
        <v>413</v>
      </c>
      <c r="X200" s="69"/>
    </row>
    <row r="201" spans="1:24" ht="16.5" customHeight="1" x14ac:dyDescent="0.3">
      <c r="A201" s="2">
        <v>15</v>
      </c>
      <c r="B201" s="2" t="s">
        <v>2680</v>
      </c>
      <c r="C201" s="60" t="s">
        <v>13053</v>
      </c>
      <c r="D201" s="1"/>
      <c r="E201" s="68"/>
      <c r="F201" s="70"/>
      <c r="G201" s="66"/>
      <c r="H201" s="57"/>
      <c r="I201" s="58"/>
      <c r="J201" s="83" t="s">
        <v>5895</v>
      </c>
      <c r="K201" s="64" t="s">
        <v>1</v>
      </c>
      <c r="L201" s="65">
        <v>1</v>
      </c>
      <c r="M201" s="99"/>
      <c r="N201" s="70"/>
      <c r="O201" s="94" t="s">
        <v>17968</v>
      </c>
      <c r="P201" s="68"/>
      <c r="Q201" s="76"/>
      <c r="R201" s="70"/>
      <c r="S201" s="67"/>
      <c r="T201" s="68"/>
      <c r="U201" s="76"/>
      <c r="V201" s="70"/>
      <c r="W201" s="120">
        <f>ROUND((ROUND((ROUND((ROUND((_15_同援日増１．５*_15・２人),0)*(1+_15・A夜間)),0)*(1+_15・盲ろう)),0)*(1+_15・区４)),0)</f>
        <v>413</v>
      </c>
      <c r="X201" s="69"/>
    </row>
    <row r="202" spans="1:24" ht="16.5" customHeight="1" x14ac:dyDescent="0.3">
      <c r="A202" s="2">
        <v>15</v>
      </c>
      <c r="B202" s="2" t="s">
        <v>2681</v>
      </c>
      <c r="C202" s="60" t="s">
        <v>13052</v>
      </c>
      <c r="D202" s="1"/>
      <c r="E202" s="68"/>
      <c r="F202" s="70"/>
      <c r="G202" s="74" t="s">
        <v>16823</v>
      </c>
      <c r="H202" s="62"/>
      <c r="I202" s="63"/>
      <c r="J202" s="85"/>
      <c r="K202" s="64"/>
      <c r="L202" s="65"/>
      <c r="M202" s="99"/>
      <c r="N202" s="70"/>
      <c r="O202" s="67"/>
      <c r="P202" s="68" t="s">
        <v>1</v>
      </c>
      <c r="Q202" s="76">
        <v>0.25</v>
      </c>
      <c r="R202" s="70" t="s">
        <v>422</v>
      </c>
      <c r="S202" s="67"/>
      <c r="T202" s="68"/>
      <c r="U202" s="76"/>
      <c r="V202" s="70"/>
      <c r="W202" s="120">
        <f>ROUND((ROUND((ROUND((ROUND((_15_同援日増１．５*_15・基礎２),0)*(1+_15・A夜間)),0)*(1+_15・盲ろう)),0)*(1+_15・区４)),0)</f>
        <v>372</v>
      </c>
      <c r="X202" s="69"/>
    </row>
    <row r="203" spans="1:24" ht="16.5" customHeight="1" x14ac:dyDescent="0.3">
      <c r="A203" s="2">
        <v>15</v>
      </c>
      <c r="B203" s="2" t="s">
        <v>2682</v>
      </c>
      <c r="C203" s="60" t="s">
        <v>13051</v>
      </c>
      <c r="D203" s="81"/>
      <c r="E203" s="57"/>
      <c r="F203" s="77"/>
      <c r="G203" s="106" t="s">
        <v>16812</v>
      </c>
      <c r="H203" s="57" t="s">
        <v>1</v>
      </c>
      <c r="I203" s="58">
        <v>0.9</v>
      </c>
      <c r="J203" s="83" t="s">
        <v>5895</v>
      </c>
      <c r="K203" s="64" t="s">
        <v>1</v>
      </c>
      <c r="L203" s="65">
        <v>1</v>
      </c>
      <c r="M203" s="99"/>
      <c r="N203" s="70"/>
      <c r="O203" s="66"/>
      <c r="P203" s="57"/>
      <c r="Q203" s="58"/>
      <c r="R203" s="77"/>
      <c r="S203" s="66"/>
      <c r="T203" s="57"/>
      <c r="U203" s="58"/>
      <c r="V203" s="77"/>
      <c r="W203" s="120">
        <f>ROUND((ROUND((ROUND((ROUND((ROUND((_15_同援日増１．５*_15・基礎２),0)*_15・２人),0)*(1+_15・A夜間)),0)*(1+_15・盲ろう)),0)*(1+_15・区４)),0)</f>
        <v>372</v>
      </c>
      <c r="X203" s="69"/>
    </row>
    <row r="204" spans="1:24" ht="16.5" customHeight="1" x14ac:dyDescent="0.3">
      <c r="A204" s="2">
        <v>15</v>
      </c>
      <c r="B204" s="2" t="s">
        <v>2683</v>
      </c>
      <c r="C204" s="60" t="s">
        <v>13050</v>
      </c>
      <c r="D204" s="233" t="s">
        <v>18193</v>
      </c>
      <c r="E204" s="62"/>
      <c r="F204" s="75"/>
      <c r="G204" s="61"/>
      <c r="H204" s="62"/>
      <c r="I204" s="63"/>
      <c r="J204" s="85"/>
      <c r="K204" s="64"/>
      <c r="L204" s="65"/>
      <c r="M204" s="99"/>
      <c r="N204" s="70"/>
      <c r="O204" s="61"/>
      <c r="P204" s="62"/>
      <c r="Q204" s="63"/>
      <c r="R204" s="75"/>
      <c r="S204" s="61"/>
      <c r="T204" s="62"/>
      <c r="U204" s="63"/>
      <c r="V204" s="75"/>
      <c r="W204" s="120">
        <f>ROUND((_15_同援日増２．０*(1+_15・A夜間)),0)</f>
        <v>315</v>
      </c>
      <c r="X204" s="69"/>
    </row>
    <row r="205" spans="1:24" ht="16.5" customHeight="1" x14ac:dyDescent="0.3">
      <c r="A205" s="2">
        <v>15</v>
      </c>
      <c r="B205" s="2" t="s">
        <v>2684</v>
      </c>
      <c r="C205" s="60" t="s">
        <v>13049</v>
      </c>
      <c r="D205" s="1" t="s">
        <v>17034</v>
      </c>
      <c r="E205" s="68"/>
      <c r="F205" s="70"/>
      <c r="G205" s="66"/>
      <c r="H205" s="57"/>
      <c r="I205" s="58"/>
      <c r="J205" s="83" t="s">
        <v>5895</v>
      </c>
      <c r="K205" s="64" t="s">
        <v>1</v>
      </c>
      <c r="L205" s="65">
        <v>1</v>
      </c>
      <c r="M205" s="99"/>
      <c r="N205" s="70"/>
      <c r="O205" s="67"/>
      <c r="P205" s="68"/>
      <c r="Q205" s="76"/>
      <c r="R205" s="70"/>
      <c r="S205" s="67"/>
      <c r="T205" s="68"/>
      <c r="U205" s="76"/>
      <c r="V205" s="70"/>
      <c r="W205" s="120">
        <f>ROUND((ROUND((_15_同援日増２．０*_15・２人),0)*(1+_15・A夜間)),0)</f>
        <v>315</v>
      </c>
      <c r="X205" s="69"/>
    </row>
    <row r="206" spans="1:24" ht="16.5" customHeight="1" x14ac:dyDescent="0.3">
      <c r="A206" s="2">
        <v>15</v>
      </c>
      <c r="B206" s="2" t="s">
        <v>2685</v>
      </c>
      <c r="C206" s="60" t="s">
        <v>13048</v>
      </c>
      <c r="D206" s="1" t="s">
        <v>6448</v>
      </c>
      <c r="E206" s="68"/>
      <c r="F206" s="70"/>
      <c r="G206" s="74" t="s">
        <v>17026</v>
      </c>
      <c r="H206" s="62"/>
      <c r="I206" s="63"/>
      <c r="J206" s="85"/>
      <c r="K206" s="64"/>
      <c r="L206" s="65"/>
      <c r="M206" s="99"/>
      <c r="N206" s="70"/>
      <c r="O206" s="67"/>
      <c r="P206" s="68"/>
      <c r="Q206" s="76"/>
      <c r="R206" s="70"/>
      <c r="S206" s="67"/>
      <c r="T206" s="68"/>
      <c r="U206" s="76"/>
      <c r="V206" s="70"/>
      <c r="W206" s="120">
        <f>ROUND((ROUND((_15_同援日増２．０*_15・基礎２),0)*(1+_15・A夜間)),0)</f>
        <v>284</v>
      </c>
      <c r="X206" s="69"/>
    </row>
    <row r="207" spans="1:24" ht="16.5" customHeight="1" x14ac:dyDescent="0.3">
      <c r="A207" s="2">
        <v>15</v>
      </c>
      <c r="B207" s="2" t="s">
        <v>2686</v>
      </c>
      <c r="C207" s="60" t="s">
        <v>13047</v>
      </c>
      <c r="D207" s="1"/>
      <c r="E207" s="119">
        <v>252</v>
      </c>
      <c r="F207" s="70" t="s">
        <v>0</v>
      </c>
      <c r="G207" s="106" t="s">
        <v>17025</v>
      </c>
      <c r="H207" s="57" t="s">
        <v>1</v>
      </c>
      <c r="I207" s="58">
        <v>0.9</v>
      </c>
      <c r="J207" s="83" t="s">
        <v>5895</v>
      </c>
      <c r="K207" s="64" t="s">
        <v>1</v>
      </c>
      <c r="L207" s="65">
        <v>1</v>
      </c>
      <c r="M207" s="99"/>
      <c r="N207" s="70"/>
      <c r="O207" s="66"/>
      <c r="P207" s="57"/>
      <c r="Q207" s="58"/>
      <c r="R207" s="77"/>
      <c r="S207" s="67"/>
      <c r="T207" s="68"/>
      <c r="U207" s="76"/>
      <c r="V207" s="70"/>
      <c r="W207" s="120">
        <f>ROUND((ROUND((ROUND((_15_同援日増２．０*_15・基礎２),0)*_15・２人),0)*(1+_15・A夜間)),0)</f>
        <v>284</v>
      </c>
      <c r="X207" s="69"/>
    </row>
    <row r="208" spans="1:24" ht="16.5" customHeight="1" x14ac:dyDescent="0.3">
      <c r="A208" s="2">
        <v>15</v>
      </c>
      <c r="B208" s="2" t="s">
        <v>2687</v>
      </c>
      <c r="C208" s="60" t="s">
        <v>13046</v>
      </c>
      <c r="D208" s="1"/>
      <c r="E208" s="68"/>
      <c r="F208" s="70"/>
      <c r="G208" s="61"/>
      <c r="H208" s="62"/>
      <c r="I208" s="63"/>
      <c r="J208" s="85"/>
      <c r="K208" s="64"/>
      <c r="L208" s="65"/>
      <c r="M208" s="99"/>
      <c r="N208" s="70"/>
      <c r="O208" s="74" t="s">
        <v>18187</v>
      </c>
      <c r="P208" s="62"/>
      <c r="Q208" s="63"/>
      <c r="R208" s="75"/>
      <c r="S208" s="67"/>
      <c r="T208" s="68"/>
      <c r="U208" s="76"/>
      <c r="V208" s="70"/>
      <c r="W208" s="120">
        <f>ROUND((ROUND((_15_同援日増２．０*(1+_15・A夜間)),0)*(1+_15・盲ろう)),0)</f>
        <v>394</v>
      </c>
      <c r="X208" s="69"/>
    </row>
    <row r="209" spans="1:24" ht="16.5" customHeight="1" x14ac:dyDescent="0.3">
      <c r="A209" s="2">
        <v>15</v>
      </c>
      <c r="B209" s="2" t="s">
        <v>2688</v>
      </c>
      <c r="C209" s="60" t="s">
        <v>13045</v>
      </c>
      <c r="D209" s="1"/>
      <c r="E209" s="68"/>
      <c r="F209" s="70"/>
      <c r="G209" s="66"/>
      <c r="H209" s="57"/>
      <c r="I209" s="58"/>
      <c r="J209" s="83" t="s">
        <v>5895</v>
      </c>
      <c r="K209" s="64" t="s">
        <v>1</v>
      </c>
      <c r="L209" s="65">
        <v>1</v>
      </c>
      <c r="M209" s="99"/>
      <c r="N209" s="70"/>
      <c r="O209" s="94" t="s">
        <v>18186</v>
      </c>
      <c r="P209" s="68"/>
      <c r="Q209" s="76"/>
      <c r="R209" s="70"/>
      <c r="S209" s="67"/>
      <c r="T209" s="68"/>
      <c r="U209" s="76"/>
      <c r="V209" s="70"/>
      <c r="W209" s="120">
        <f>ROUND((ROUND((ROUND((_15_同援日増２．０*_15・２人),0)*(1+_15・A夜間)),0)*(1+_15・盲ろう)),0)</f>
        <v>394</v>
      </c>
      <c r="X209" s="69"/>
    </row>
    <row r="210" spans="1:24" ht="16.5" customHeight="1" x14ac:dyDescent="0.3">
      <c r="A210" s="2">
        <v>15</v>
      </c>
      <c r="B210" s="2" t="s">
        <v>2689</v>
      </c>
      <c r="C210" s="60" t="s">
        <v>13044</v>
      </c>
      <c r="D210" s="1"/>
      <c r="E210" s="68"/>
      <c r="F210" s="70"/>
      <c r="G210" s="74" t="s">
        <v>17026</v>
      </c>
      <c r="H210" s="62"/>
      <c r="I210" s="63"/>
      <c r="J210" s="85"/>
      <c r="K210" s="64"/>
      <c r="L210" s="65"/>
      <c r="M210" s="99"/>
      <c r="N210" s="70"/>
      <c r="O210" s="67"/>
      <c r="P210" s="68" t="s">
        <v>1</v>
      </c>
      <c r="Q210" s="76">
        <v>0.25</v>
      </c>
      <c r="R210" s="70" t="s">
        <v>422</v>
      </c>
      <c r="S210" s="67"/>
      <c r="T210" s="68"/>
      <c r="U210" s="76"/>
      <c r="V210" s="70"/>
      <c r="W210" s="120">
        <f>ROUND((ROUND((ROUND((_15_同援日増２．０*_15・基礎２),0)*(1+_15・A夜間)),0)*(1+_15・盲ろう)),0)</f>
        <v>355</v>
      </c>
      <c r="X210" s="69"/>
    </row>
    <row r="211" spans="1:24" ht="16.5" customHeight="1" x14ac:dyDescent="0.3">
      <c r="A211" s="2">
        <v>15</v>
      </c>
      <c r="B211" s="2" t="s">
        <v>2690</v>
      </c>
      <c r="C211" s="60" t="s">
        <v>13043</v>
      </c>
      <c r="D211" s="1"/>
      <c r="E211" s="68"/>
      <c r="F211" s="70"/>
      <c r="G211" s="106" t="s">
        <v>17025</v>
      </c>
      <c r="H211" s="57" t="s">
        <v>1</v>
      </c>
      <c r="I211" s="58">
        <v>0.9</v>
      </c>
      <c r="J211" s="83" t="s">
        <v>5895</v>
      </c>
      <c r="K211" s="64" t="s">
        <v>1</v>
      </c>
      <c r="L211" s="65">
        <v>1</v>
      </c>
      <c r="M211" s="99"/>
      <c r="N211" s="70"/>
      <c r="O211" s="66"/>
      <c r="P211" s="57"/>
      <c r="Q211" s="58"/>
      <c r="R211" s="77"/>
      <c r="S211" s="66"/>
      <c r="T211" s="57"/>
      <c r="U211" s="58"/>
      <c r="V211" s="77"/>
      <c r="W211" s="120">
        <f>ROUND((ROUND((ROUND((ROUND((_15_同援日増２．０*_15・基礎２),0)*_15・２人),0)*(1+_15・A夜間)),0)*(1+_15・盲ろう)),0)</f>
        <v>355</v>
      </c>
      <c r="X211" s="69"/>
    </row>
    <row r="212" spans="1:24" ht="16.5" customHeight="1" x14ac:dyDescent="0.3">
      <c r="A212" s="2">
        <v>15</v>
      </c>
      <c r="B212" s="2" t="s">
        <v>2691</v>
      </c>
      <c r="C212" s="60" t="s">
        <v>13042</v>
      </c>
      <c r="D212" s="1"/>
      <c r="E212" s="68"/>
      <c r="F212" s="70"/>
      <c r="G212" s="61"/>
      <c r="H212" s="62"/>
      <c r="I212" s="63"/>
      <c r="J212" s="85"/>
      <c r="K212" s="64"/>
      <c r="L212" s="65"/>
      <c r="M212" s="99"/>
      <c r="N212" s="70"/>
      <c r="O212" s="61"/>
      <c r="P212" s="62"/>
      <c r="Q212" s="63"/>
      <c r="R212" s="75"/>
      <c r="S212" s="61"/>
      <c r="T212" s="62"/>
      <c r="U212" s="63"/>
      <c r="V212" s="75"/>
      <c r="W212" s="120">
        <f>ROUND((ROUND((_15_同援日増２．０*(1+_15・A夜間)),0)*(1+_15・区３)),0)</f>
        <v>378</v>
      </c>
      <c r="X212" s="69"/>
    </row>
    <row r="213" spans="1:24" ht="16.5" customHeight="1" x14ac:dyDescent="0.3">
      <c r="A213" s="2">
        <v>15</v>
      </c>
      <c r="B213" s="2" t="s">
        <v>2692</v>
      </c>
      <c r="C213" s="60" t="s">
        <v>13041</v>
      </c>
      <c r="D213" s="1"/>
      <c r="E213" s="68"/>
      <c r="F213" s="70"/>
      <c r="G213" s="66"/>
      <c r="H213" s="57"/>
      <c r="I213" s="58"/>
      <c r="J213" s="83" t="s">
        <v>5895</v>
      </c>
      <c r="K213" s="64" t="s">
        <v>1</v>
      </c>
      <c r="L213" s="65">
        <v>1</v>
      </c>
      <c r="M213" s="99"/>
      <c r="N213" s="70"/>
      <c r="O213" s="67"/>
      <c r="P213" s="68"/>
      <c r="Q213" s="76"/>
      <c r="R213" s="70"/>
      <c r="S213" s="67"/>
      <c r="T213" s="68"/>
      <c r="U213" s="76"/>
      <c r="V213" s="70"/>
      <c r="W213" s="120">
        <f>ROUND((ROUND((ROUND((_15_同援日増２．０*_15・２人),0)*(1+_15・A夜間)),0)*(1+_15・区３)),0)</f>
        <v>378</v>
      </c>
      <c r="X213" s="69"/>
    </row>
    <row r="214" spans="1:24" ht="16.5" customHeight="1" x14ac:dyDescent="0.3">
      <c r="A214" s="2">
        <v>15</v>
      </c>
      <c r="B214" s="2" t="s">
        <v>2693</v>
      </c>
      <c r="C214" s="60" t="s">
        <v>13040</v>
      </c>
      <c r="D214" s="1"/>
      <c r="E214" s="68"/>
      <c r="F214" s="70"/>
      <c r="G214" s="74" t="s">
        <v>17026</v>
      </c>
      <c r="H214" s="62"/>
      <c r="I214" s="63"/>
      <c r="J214" s="85"/>
      <c r="K214" s="64"/>
      <c r="L214" s="65"/>
      <c r="M214" s="99"/>
      <c r="N214" s="70"/>
      <c r="O214" s="67"/>
      <c r="P214" s="68"/>
      <c r="Q214" s="76"/>
      <c r="R214" s="70"/>
      <c r="S214" s="1" t="s">
        <v>18190</v>
      </c>
      <c r="T214" s="68"/>
      <c r="U214" s="76"/>
      <c r="V214" s="70"/>
      <c r="W214" s="120">
        <f>ROUND((ROUND((ROUND((_15_同援日増２．０*_15・基礎２),0)*(1+_15・A夜間)),0)*(1+_15・区３)),0)</f>
        <v>341</v>
      </c>
      <c r="X214" s="69"/>
    </row>
    <row r="215" spans="1:24" ht="16.5" customHeight="1" x14ac:dyDescent="0.3">
      <c r="A215" s="2">
        <v>15</v>
      </c>
      <c r="B215" s="2" t="s">
        <v>2694</v>
      </c>
      <c r="C215" s="60" t="s">
        <v>13039</v>
      </c>
      <c r="D215" s="1"/>
      <c r="E215" s="68"/>
      <c r="F215" s="70"/>
      <c r="G215" s="106" t="s">
        <v>17025</v>
      </c>
      <c r="H215" s="57" t="s">
        <v>1</v>
      </c>
      <c r="I215" s="58">
        <v>0.9</v>
      </c>
      <c r="J215" s="83" t="s">
        <v>5895</v>
      </c>
      <c r="K215" s="64" t="s">
        <v>1</v>
      </c>
      <c r="L215" s="65">
        <v>1</v>
      </c>
      <c r="M215" s="99"/>
      <c r="N215" s="70"/>
      <c r="O215" s="66"/>
      <c r="P215" s="57"/>
      <c r="Q215" s="58"/>
      <c r="R215" s="77"/>
      <c r="S215" s="1" t="s">
        <v>18188</v>
      </c>
      <c r="T215" s="68"/>
      <c r="U215" s="76"/>
      <c r="V215" s="70"/>
      <c r="W215" s="120">
        <f>ROUND((ROUND((ROUND((ROUND((_15_同援日増２．０*_15・基礎２),0)*_15・２人),0)*(1+_15・A夜間)),0)*(1+_15・区３)),0)</f>
        <v>341</v>
      </c>
      <c r="X215" s="69"/>
    </row>
    <row r="216" spans="1:24" ht="16.5" customHeight="1" x14ac:dyDescent="0.3">
      <c r="A216" s="2">
        <v>15</v>
      </c>
      <c r="B216" s="2" t="s">
        <v>2695</v>
      </c>
      <c r="C216" s="60" t="s">
        <v>13038</v>
      </c>
      <c r="D216" s="1"/>
      <c r="E216" s="68"/>
      <c r="F216" s="70"/>
      <c r="G216" s="61"/>
      <c r="H216" s="62"/>
      <c r="I216" s="63"/>
      <c r="J216" s="85"/>
      <c r="K216" s="64"/>
      <c r="L216" s="65"/>
      <c r="M216" s="99"/>
      <c r="N216" s="70"/>
      <c r="O216" s="74" t="s">
        <v>18187</v>
      </c>
      <c r="P216" s="62"/>
      <c r="Q216" s="63"/>
      <c r="R216" s="75"/>
      <c r="S216" s="67"/>
      <c r="T216" s="68" t="s">
        <v>1</v>
      </c>
      <c r="U216" s="76">
        <v>0.2</v>
      </c>
      <c r="V216" s="70" t="s">
        <v>422</v>
      </c>
      <c r="W216" s="120">
        <f>ROUND((ROUND((ROUND((_15_同援日増２．０*(1+_15・A夜間)),0)*(1+_15・盲ろう)),0)*(1+_15・区３)),0)</f>
        <v>473</v>
      </c>
      <c r="X216" s="69"/>
    </row>
    <row r="217" spans="1:24" ht="16.5" customHeight="1" x14ac:dyDescent="0.3">
      <c r="A217" s="2">
        <v>15</v>
      </c>
      <c r="B217" s="2" t="s">
        <v>2696</v>
      </c>
      <c r="C217" s="60" t="s">
        <v>13037</v>
      </c>
      <c r="D217" s="1"/>
      <c r="E217" s="68"/>
      <c r="F217" s="70"/>
      <c r="G217" s="66"/>
      <c r="H217" s="57"/>
      <c r="I217" s="58"/>
      <c r="J217" s="83" t="s">
        <v>5895</v>
      </c>
      <c r="K217" s="64" t="s">
        <v>1</v>
      </c>
      <c r="L217" s="65">
        <v>1</v>
      </c>
      <c r="M217" s="99"/>
      <c r="N217" s="70"/>
      <c r="O217" s="94" t="s">
        <v>18186</v>
      </c>
      <c r="P217" s="68"/>
      <c r="Q217" s="76"/>
      <c r="R217" s="70"/>
      <c r="S217" s="67"/>
      <c r="T217" s="68"/>
      <c r="U217" s="76"/>
      <c r="V217" s="70"/>
      <c r="W217" s="120">
        <f>ROUND((ROUND((ROUND((ROUND((_15_同援日増２．０*_15・２人),0)*(1+_15・A夜間)),0)*(1+_15・盲ろう)),0)*(1+_15・区３)),0)</f>
        <v>473</v>
      </c>
      <c r="X217" s="69"/>
    </row>
    <row r="218" spans="1:24" ht="16.5" customHeight="1" x14ac:dyDescent="0.3">
      <c r="A218" s="2">
        <v>15</v>
      </c>
      <c r="B218" s="2" t="s">
        <v>2697</v>
      </c>
      <c r="C218" s="60" t="s">
        <v>13036</v>
      </c>
      <c r="D218" s="1"/>
      <c r="E218" s="68"/>
      <c r="F218" s="70"/>
      <c r="G218" s="74" t="s">
        <v>17026</v>
      </c>
      <c r="H218" s="62"/>
      <c r="I218" s="63"/>
      <c r="J218" s="85"/>
      <c r="K218" s="64"/>
      <c r="L218" s="65"/>
      <c r="M218" s="99"/>
      <c r="N218" s="70"/>
      <c r="O218" s="67"/>
      <c r="P218" s="68" t="s">
        <v>1</v>
      </c>
      <c r="Q218" s="76">
        <v>0.25</v>
      </c>
      <c r="R218" s="70" t="s">
        <v>422</v>
      </c>
      <c r="S218" s="67"/>
      <c r="T218" s="68"/>
      <c r="U218" s="76"/>
      <c r="V218" s="70"/>
      <c r="W218" s="120">
        <f>ROUND((ROUND((ROUND((ROUND((_15_同援日増２．０*_15・基礎２),0)*(1+_15・A夜間)),0)*(1+_15・盲ろう)),0)*(1+_15・区３)),0)</f>
        <v>426</v>
      </c>
      <c r="X218" s="69"/>
    </row>
    <row r="219" spans="1:24" ht="16.5" customHeight="1" x14ac:dyDescent="0.3">
      <c r="A219" s="2">
        <v>15</v>
      </c>
      <c r="B219" s="2" t="s">
        <v>2698</v>
      </c>
      <c r="C219" s="60" t="s">
        <v>13035</v>
      </c>
      <c r="D219" s="1"/>
      <c r="E219" s="68"/>
      <c r="F219" s="70"/>
      <c r="G219" s="106" t="s">
        <v>17025</v>
      </c>
      <c r="H219" s="57" t="s">
        <v>1</v>
      </c>
      <c r="I219" s="58">
        <v>0.9</v>
      </c>
      <c r="J219" s="83" t="s">
        <v>5895</v>
      </c>
      <c r="K219" s="64" t="s">
        <v>1</v>
      </c>
      <c r="L219" s="65">
        <v>1</v>
      </c>
      <c r="M219" s="99"/>
      <c r="N219" s="70"/>
      <c r="O219" s="66"/>
      <c r="P219" s="57"/>
      <c r="Q219" s="58"/>
      <c r="R219" s="77"/>
      <c r="S219" s="66"/>
      <c r="T219" s="57"/>
      <c r="U219" s="58"/>
      <c r="V219" s="77"/>
      <c r="W219" s="120">
        <f>ROUND((ROUND((ROUND((ROUND((ROUND((_15_同援日増２．０*_15・基礎２),0)*_15・２人),0)*(1+_15・A夜間)),0)*(1+_15・盲ろう)),0)*(1+_15・区３)),0)</f>
        <v>426</v>
      </c>
      <c r="X219" s="69"/>
    </row>
    <row r="220" spans="1:24" ht="16.5" customHeight="1" x14ac:dyDescent="0.3">
      <c r="A220" s="2">
        <v>15</v>
      </c>
      <c r="B220" s="2" t="s">
        <v>2699</v>
      </c>
      <c r="C220" s="60" t="s">
        <v>13034</v>
      </c>
      <c r="D220" s="1"/>
      <c r="E220" s="68"/>
      <c r="F220" s="70"/>
      <c r="G220" s="61"/>
      <c r="H220" s="62"/>
      <c r="I220" s="63"/>
      <c r="J220" s="85"/>
      <c r="K220" s="64"/>
      <c r="L220" s="65"/>
      <c r="M220" s="99"/>
      <c r="N220" s="70"/>
      <c r="O220" s="61"/>
      <c r="P220" s="62"/>
      <c r="Q220" s="63"/>
      <c r="R220" s="75"/>
      <c r="S220" s="61"/>
      <c r="T220" s="62"/>
      <c r="U220" s="63"/>
      <c r="V220" s="75"/>
      <c r="W220" s="120">
        <f>ROUND((ROUND((_15_同援日増２．０*(1+_15・A夜間)),0)*(1+_15・区４)),0)</f>
        <v>441</v>
      </c>
      <c r="X220" s="69"/>
    </row>
    <row r="221" spans="1:24" ht="16.5" customHeight="1" x14ac:dyDescent="0.3">
      <c r="A221" s="2">
        <v>15</v>
      </c>
      <c r="B221" s="2" t="s">
        <v>2700</v>
      </c>
      <c r="C221" s="60" t="s">
        <v>13033</v>
      </c>
      <c r="D221" s="1"/>
      <c r="E221" s="68"/>
      <c r="F221" s="70"/>
      <c r="G221" s="66"/>
      <c r="H221" s="57"/>
      <c r="I221" s="58"/>
      <c r="J221" s="83" t="s">
        <v>5895</v>
      </c>
      <c r="K221" s="64" t="s">
        <v>1</v>
      </c>
      <c r="L221" s="65">
        <v>1</v>
      </c>
      <c r="M221" s="99"/>
      <c r="N221" s="70"/>
      <c r="O221" s="67"/>
      <c r="P221" s="68"/>
      <c r="Q221" s="76"/>
      <c r="R221" s="70"/>
      <c r="S221" s="67"/>
      <c r="T221" s="68"/>
      <c r="U221" s="76"/>
      <c r="V221" s="70"/>
      <c r="W221" s="120">
        <f>ROUND((ROUND((ROUND((_15_同援日増２．０*_15・２人),0)*(1+_15・A夜間)),0)*(1+_15・区４)),0)</f>
        <v>441</v>
      </c>
      <c r="X221" s="69"/>
    </row>
    <row r="222" spans="1:24" ht="16.5" customHeight="1" x14ac:dyDescent="0.3">
      <c r="A222" s="2">
        <v>15</v>
      </c>
      <c r="B222" s="2" t="s">
        <v>2701</v>
      </c>
      <c r="C222" s="60" t="s">
        <v>13032</v>
      </c>
      <c r="D222" s="1"/>
      <c r="E222" s="68"/>
      <c r="F222" s="70"/>
      <c r="G222" s="74" t="s">
        <v>17026</v>
      </c>
      <c r="H222" s="62"/>
      <c r="I222" s="63"/>
      <c r="J222" s="85"/>
      <c r="K222" s="64"/>
      <c r="L222" s="65"/>
      <c r="M222" s="99"/>
      <c r="N222" s="70"/>
      <c r="O222" s="67"/>
      <c r="P222" s="68"/>
      <c r="Q222" s="76"/>
      <c r="R222" s="70"/>
      <c r="S222" s="1" t="s">
        <v>18189</v>
      </c>
      <c r="T222" s="68"/>
      <c r="U222" s="76"/>
      <c r="V222" s="70"/>
      <c r="W222" s="120">
        <f>ROUND((ROUND((ROUND((_15_同援日増２．０*_15・基礎２),0)*(1+_15・A夜間)),0)*(1+_15・区４)),0)</f>
        <v>398</v>
      </c>
      <c r="X222" s="69"/>
    </row>
    <row r="223" spans="1:24" ht="16.5" customHeight="1" x14ac:dyDescent="0.3">
      <c r="A223" s="2">
        <v>15</v>
      </c>
      <c r="B223" s="2" t="s">
        <v>2702</v>
      </c>
      <c r="C223" s="60" t="s">
        <v>13031</v>
      </c>
      <c r="D223" s="1"/>
      <c r="E223" s="68"/>
      <c r="F223" s="70"/>
      <c r="G223" s="106" t="s">
        <v>17025</v>
      </c>
      <c r="H223" s="57" t="s">
        <v>1</v>
      </c>
      <c r="I223" s="58">
        <v>0.9</v>
      </c>
      <c r="J223" s="83" t="s">
        <v>5895</v>
      </c>
      <c r="K223" s="64" t="s">
        <v>1</v>
      </c>
      <c r="L223" s="65">
        <v>1</v>
      </c>
      <c r="M223" s="99"/>
      <c r="N223" s="70"/>
      <c r="O223" s="66"/>
      <c r="P223" s="57"/>
      <c r="Q223" s="58"/>
      <c r="R223" s="77"/>
      <c r="S223" s="1" t="s">
        <v>18188</v>
      </c>
      <c r="T223" s="68"/>
      <c r="U223" s="76"/>
      <c r="V223" s="70"/>
      <c r="W223" s="120">
        <f>ROUND((ROUND((ROUND((ROUND((_15_同援日増２．０*_15・基礎２),0)*_15・２人),0)*(1+_15・A夜間)),0)*(1+_15・区４)),0)</f>
        <v>398</v>
      </c>
      <c r="X223" s="69"/>
    </row>
    <row r="224" spans="1:24" ht="16.5" customHeight="1" x14ac:dyDescent="0.3">
      <c r="A224" s="2">
        <v>15</v>
      </c>
      <c r="B224" s="2" t="s">
        <v>2703</v>
      </c>
      <c r="C224" s="60" t="s">
        <v>13030</v>
      </c>
      <c r="D224" s="1"/>
      <c r="E224" s="68"/>
      <c r="F224" s="70"/>
      <c r="G224" s="61"/>
      <c r="H224" s="62"/>
      <c r="I224" s="63"/>
      <c r="J224" s="85"/>
      <c r="K224" s="64"/>
      <c r="L224" s="65"/>
      <c r="M224" s="99"/>
      <c r="N224" s="70"/>
      <c r="O224" s="74" t="s">
        <v>18187</v>
      </c>
      <c r="P224" s="62"/>
      <c r="Q224" s="63"/>
      <c r="R224" s="75"/>
      <c r="S224" s="67"/>
      <c r="T224" s="68" t="s">
        <v>1</v>
      </c>
      <c r="U224" s="76">
        <v>0.4</v>
      </c>
      <c r="V224" s="70" t="s">
        <v>422</v>
      </c>
      <c r="W224" s="120">
        <f>ROUND((ROUND((ROUND((_15_同援日増２．０*(1+_15・A夜間)),0)*(1+_15・盲ろう)),0)*(1+_15・区４)),0)</f>
        <v>552</v>
      </c>
      <c r="X224" s="69"/>
    </row>
    <row r="225" spans="1:24" ht="16.5" customHeight="1" x14ac:dyDescent="0.3">
      <c r="A225" s="2">
        <v>15</v>
      </c>
      <c r="B225" s="2" t="s">
        <v>2704</v>
      </c>
      <c r="C225" s="60" t="s">
        <v>13029</v>
      </c>
      <c r="D225" s="1"/>
      <c r="E225" s="68"/>
      <c r="F225" s="70"/>
      <c r="G225" s="66"/>
      <c r="H225" s="57"/>
      <c r="I225" s="58"/>
      <c r="J225" s="83" t="s">
        <v>5895</v>
      </c>
      <c r="K225" s="64" t="s">
        <v>1</v>
      </c>
      <c r="L225" s="65">
        <v>1</v>
      </c>
      <c r="M225" s="99"/>
      <c r="N225" s="70"/>
      <c r="O225" s="94" t="s">
        <v>18186</v>
      </c>
      <c r="P225" s="68"/>
      <c r="Q225" s="76"/>
      <c r="R225" s="70"/>
      <c r="S225" s="67"/>
      <c r="T225" s="68"/>
      <c r="U225" s="76"/>
      <c r="V225" s="70"/>
      <c r="W225" s="120">
        <f>ROUND((ROUND((ROUND((ROUND((_15_同援日増２．０*_15・２人),0)*(1+_15・A夜間)),0)*(1+_15・盲ろう)),0)*(1+_15・区４)),0)</f>
        <v>552</v>
      </c>
      <c r="X225" s="69"/>
    </row>
    <row r="226" spans="1:24" ht="16.5" customHeight="1" x14ac:dyDescent="0.3">
      <c r="A226" s="2">
        <v>15</v>
      </c>
      <c r="B226" s="2" t="s">
        <v>2705</v>
      </c>
      <c r="C226" s="60" t="s">
        <v>13028</v>
      </c>
      <c r="D226" s="1"/>
      <c r="E226" s="68"/>
      <c r="F226" s="70"/>
      <c r="G226" s="74" t="s">
        <v>17026</v>
      </c>
      <c r="H226" s="62"/>
      <c r="I226" s="63"/>
      <c r="J226" s="85"/>
      <c r="K226" s="64"/>
      <c r="L226" s="65"/>
      <c r="M226" s="99"/>
      <c r="N226" s="70"/>
      <c r="O226" s="67"/>
      <c r="P226" s="68" t="s">
        <v>1</v>
      </c>
      <c r="Q226" s="76">
        <v>0.25</v>
      </c>
      <c r="R226" s="70" t="s">
        <v>422</v>
      </c>
      <c r="S226" s="67"/>
      <c r="T226" s="68"/>
      <c r="U226" s="76"/>
      <c r="V226" s="70"/>
      <c r="W226" s="120">
        <f>ROUND((ROUND((ROUND((ROUND((_15_同援日増２．０*_15・基礎２),0)*(1+_15・A夜間)),0)*(1+_15・盲ろう)),0)*(1+_15・区４)),0)</f>
        <v>497</v>
      </c>
      <c r="X226" s="69"/>
    </row>
    <row r="227" spans="1:24" ht="16.5" customHeight="1" x14ac:dyDescent="0.3">
      <c r="A227" s="2">
        <v>15</v>
      </c>
      <c r="B227" s="2" t="s">
        <v>2706</v>
      </c>
      <c r="C227" s="60" t="s">
        <v>13027</v>
      </c>
      <c r="D227" s="81"/>
      <c r="E227" s="57"/>
      <c r="F227" s="77"/>
      <c r="G227" s="106" t="s">
        <v>17025</v>
      </c>
      <c r="H227" s="57" t="s">
        <v>1</v>
      </c>
      <c r="I227" s="58">
        <v>0.9</v>
      </c>
      <c r="J227" s="83" t="s">
        <v>5895</v>
      </c>
      <c r="K227" s="64" t="s">
        <v>1</v>
      </c>
      <c r="L227" s="65">
        <v>1</v>
      </c>
      <c r="M227" s="99"/>
      <c r="N227" s="70"/>
      <c r="O227" s="66"/>
      <c r="P227" s="57"/>
      <c r="Q227" s="58"/>
      <c r="R227" s="77"/>
      <c r="S227" s="66"/>
      <c r="T227" s="57"/>
      <c r="U227" s="58"/>
      <c r="V227" s="77"/>
      <c r="W227" s="120">
        <f>ROUND((ROUND((ROUND((ROUND((ROUND((_15_同援日増２．０*_15・基礎２),0)*_15・２人),0)*(1+_15・A夜間)),0)*(1+_15・盲ろう)),0)*(1+_15・区４)),0)</f>
        <v>497</v>
      </c>
      <c r="X227" s="69"/>
    </row>
    <row r="228" spans="1:24" ht="16.5" customHeight="1" x14ac:dyDescent="0.3">
      <c r="A228" s="2">
        <v>15</v>
      </c>
      <c r="B228" s="2" t="s">
        <v>2707</v>
      </c>
      <c r="C228" s="60" t="s">
        <v>13026</v>
      </c>
      <c r="D228" s="233" t="s">
        <v>16326</v>
      </c>
      <c r="E228" s="62"/>
      <c r="F228" s="75"/>
      <c r="G228" s="61"/>
      <c r="H228" s="62"/>
      <c r="I228" s="63"/>
      <c r="J228" s="85"/>
      <c r="K228" s="64"/>
      <c r="L228" s="65"/>
      <c r="M228" s="99"/>
      <c r="N228" s="70"/>
      <c r="O228" s="61"/>
      <c r="P228" s="62"/>
      <c r="Q228" s="63"/>
      <c r="R228" s="75"/>
      <c r="S228" s="61"/>
      <c r="T228" s="62"/>
      <c r="U228" s="63"/>
      <c r="V228" s="75"/>
      <c r="W228" s="120">
        <f>ROUND((_15_同援日増２．５*(1+_15・A夜間)),0)</f>
        <v>394</v>
      </c>
      <c r="X228" s="69"/>
    </row>
    <row r="229" spans="1:24" ht="16.5" customHeight="1" x14ac:dyDescent="0.3">
      <c r="A229" s="2">
        <v>15</v>
      </c>
      <c r="B229" s="2" t="s">
        <v>2708</v>
      </c>
      <c r="C229" s="60" t="s">
        <v>13025</v>
      </c>
      <c r="D229" s="1" t="s">
        <v>17028</v>
      </c>
      <c r="E229" s="68"/>
      <c r="F229" s="70"/>
      <c r="G229" s="66"/>
      <c r="H229" s="57"/>
      <c r="I229" s="58"/>
      <c r="J229" s="83" t="s">
        <v>5895</v>
      </c>
      <c r="K229" s="64" t="s">
        <v>1</v>
      </c>
      <c r="L229" s="65">
        <v>1</v>
      </c>
      <c r="M229" s="99"/>
      <c r="N229" s="70"/>
      <c r="O229" s="67"/>
      <c r="P229" s="68"/>
      <c r="Q229" s="76"/>
      <c r="R229" s="70"/>
      <c r="S229" s="67"/>
      <c r="T229" s="68"/>
      <c r="U229" s="76"/>
      <c r="V229" s="70"/>
      <c r="W229" s="120">
        <f>ROUND((ROUND((_15_同援日増２．５*_15・２人),0)*(1+_15・A夜間)),0)</f>
        <v>394</v>
      </c>
      <c r="X229" s="69"/>
    </row>
    <row r="230" spans="1:24" ht="16.5" customHeight="1" x14ac:dyDescent="0.3">
      <c r="A230" s="2">
        <v>15</v>
      </c>
      <c r="B230" s="2" t="s">
        <v>2709</v>
      </c>
      <c r="C230" s="60" t="s">
        <v>13024</v>
      </c>
      <c r="D230" s="1" t="s">
        <v>8499</v>
      </c>
      <c r="E230" s="68"/>
      <c r="F230" s="70"/>
      <c r="G230" s="74" t="s">
        <v>17026</v>
      </c>
      <c r="H230" s="62"/>
      <c r="I230" s="63"/>
      <c r="J230" s="85"/>
      <c r="K230" s="64"/>
      <c r="L230" s="65"/>
      <c r="M230" s="99"/>
      <c r="N230" s="70"/>
      <c r="O230" s="67"/>
      <c r="P230" s="68"/>
      <c r="Q230" s="76"/>
      <c r="R230" s="70"/>
      <c r="S230" s="67"/>
      <c r="T230" s="68"/>
      <c r="U230" s="76"/>
      <c r="V230" s="70"/>
      <c r="W230" s="120">
        <f>ROUND((ROUND((_15_同援日増２．５*_15・基礎２),0)*(1+_15・A夜間)),0)</f>
        <v>355</v>
      </c>
      <c r="X230" s="69"/>
    </row>
    <row r="231" spans="1:24" ht="16.5" customHeight="1" x14ac:dyDescent="0.3">
      <c r="A231" s="2">
        <v>15</v>
      </c>
      <c r="B231" s="2" t="s">
        <v>2710</v>
      </c>
      <c r="C231" s="60" t="s">
        <v>13023</v>
      </c>
      <c r="D231" s="1"/>
      <c r="E231" s="119">
        <v>315</v>
      </c>
      <c r="F231" s="70" t="s">
        <v>0</v>
      </c>
      <c r="G231" s="106" t="s">
        <v>17025</v>
      </c>
      <c r="H231" s="57" t="s">
        <v>1</v>
      </c>
      <c r="I231" s="58">
        <v>0.9</v>
      </c>
      <c r="J231" s="83" t="s">
        <v>5895</v>
      </c>
      <c r="K231" s="64" t="s">
        <v>1</v>
      </c>
      <c r="L231" s="65">
        <v>1</v>
      </c>
      <c r="M231" s="99"/>
      <c r="N231" s="70"/>
      <c r="O231" s="66"/>
      <c r="P231" s="57"/>
      <c r="Q231" s="58"/>
      <c r="R231" s="77"/>
      <c r="S231" s="67"/>
      <c r="T231" s="68"/>
      <c r="U231" s="76"/>
      <c r="V231" s="70"/>
      <c r="W231" s="120">
        <f>ROUND((ROUND((ROUND((_15_同援日増２．５*_15・基礎２),0)*_15・２人),0)*(1+_15・A夜間)),0)</f>
        <v>355</v>
      </c>
      <c r="X231" s="69"/>
    </row>
    <row r="232" spans="1:24" ht="16.5" customHeight="1" x14ac:dyDescent="0.3">
      <c r="A232" s="2">
        <v>15</v>
      </c>
      <c r="B232" s="2" t="s">
        <v>2711</v>
      </c>
      <c r="C232" s="60" t="s">
        <v>13022</v>
      </c>
      <c r="D232" s="1"/>
      <c r="E232" s="68"/>
      <c r="F232" s="70"/>
      <c r="G232" s="61"/>
      <c r="H232" s="62"/>
      <c r="I232" s="63"/>
      <c r="J232" s="85"/>
      <c r="K232" s="64"/>
      <c r="L232" s="65"/>
      <c r="M232" s="99"/>
      <c r="N232" s="70"/>
      <c r="O232" s="74" t="s">
        <v>18187</v>
      </c>
      <c r="P232" s="62"/>
      <c r="Q232" s="63"/>
      <c r="R232" s="75"/>
      <c r="S232" s="67"/>
      <c r="T232" s="68"/>
      <c r="U232" s="76"/>
      <c r="V232" s="70"/>
      <c r="W232" s="120">
        <f>ROUND((ROUND((_15_同援日増２．５*(1+_15・A夜間)),0)*(1+_15・盲ろう)),0)</f>
        <v>493</v>
      </c>
      <c r="X232" s="69"/>
    </row>
    <row r="233" spans="1:24" ht="16.5" customHeight="1" x14ac:dyDescent="0.3">
      <c r="A233" s="2">
        <v>15</v>
      </c>
      <c r="B233" s="2" t="s">
        <v>2712</v>
      </c>
      <c r="C233" s="60" t="s">
        <v>13021</v>
      </c>
      <c r="D233" s="1"/>
      <c r="E233" s="68"/>
      <c r="F233" s="70"/>
      <c r="G233" s="66"/>
      <c r="H233" s="57"/>
      <c r="I233" s="58"/>
      <c r="J233" s="83" t="s">
        <v>5895</v>
      </c>
      <c r="K233" s="64" t="s">
        <v>1</v>
      </c>
      <c r="L233" s="65">
        <v>1</v>
      </c>
      <c r="M233" s="99"/>
      <c r="N233" s="70"/>
      <c r="O233" s="94" t="s">
        <v>18186</v>
      </c>
      <c r="P233" s="68"/>
      <c r="Q233" s="76"/>
      <c r="R233" s="70"/>
      <c r="S233" s="67"/>
      <c r="T233" s="68"/>
      <c r="U233" s="76"/>
      <c r="V233" s="70"/>
      <c r="W233" s="120">
        <f>ROUND((ROUND((ROUND((_15_同援日増２．５*_15・２人),0)*(1+_15・A夜間)),0)*(1+_15・盲ろう)),0)</f>
        <v>493</v>
      </c>
      <c r="X233" s="69"/>
    </row>
    <row r="234" spans="1:24" ht="16.5" customHeight="1" x14ac:dyDescent="0.3">
      <c r="A234" s="2">
        <v>15</v>
      </c>
      <c r="B234" s="2" t="s">
        <v>2713</v>
      </c>
      <c r="C234" s="60" t="s">
        <v>13020</v>
      </c>
      <c r="D234" s="1"/>
      <c r="E234" s="68"/>
      <c r="F234" s="70"/>
      <c r="G234" s="74" t="s">
        <v>17026</v>
      </c>
      <c r="H234" s="62"/>
      <c r="I234" s="63"/>
      <c r="J234" s="85"/>
      <c r="K234" s="64"/>
      <c r="L234" s="65"/>
      <c r="M234" s="99"/>
      <c r="N234" s="70"/>
      <c r="O234" s="67"/>
      <c r="P234" s="68" t="s">
        <v>1</v>
      </c>
      <c r="Q234" s="76">
        <v>0.25</v>
      </c>
      <c r="R234" s="70" t="s">
        <v>422</v>
      </c>
      <c r="S234" s="67"/>
      <c r="T234" s="68"/>
      <c r="U234" s="76"/>
      <c r="V234" s="70"/>
      <c r="W234" s="120">
        <f>ROUND((ROUND((ROUND((_15_同援日増２．５*_15・基礎２),0)*(1+_15・A夜間)),0)*(1+_15・盲ろう)),0)</f>
        <v>444</v>
      </c>
      <c r="X234" s="69"/>
    </row>
    <row r="235" spans="1:24" ht="16.5" customHeight="1" x14ac:dyDescent="0.3">
      <c r="A235" s="2">
        <v>15</v>
      </c>
      <c r="B235" s="2" t="s">
        <v>2714</v>
      </c>
      <c r="C235" s="60" t="s">
        <v>13019</v>
      </c>
      <c r="D235" s="1"/>
      <c r="E235" s="68"/>
      <c r="F235" s="70"/>
      <c r="G235" s="106" t="s">
        <v>17025</v>
      </c>
      <c r="H235" s="57" t="s">
        <v>1</v>
      </c>
      <c r="I235" s="58">
        <v>0.9</v>
      </c>
      <c r="J235" s="83" t="s">
        <v>5895</v>
      </c>
      <c r="K235" s="64" t="s">
        <v>1</v>
      </c>
      <c r="L235" s="65">
        <v>1</v>
      </c>
      <c r="M235" s="99"/>
      <c r="N235" s="70"/>
      <c r="O235" s="66"/>
      <c r="P235" s="57"/>
      <c r="Q235" s="58"/>
      <c r="R235" s="77"/>
      <c r="S235" s="66"/>
      <c r="T235" s="57"/>
      <c r="U235" s="58"/>
      <c r="V235" s="77"/>
      <c r="W235" s="120">
        <f>ROUND((ROUND((ROUND((ROUND((_15_同援日増２．５*_15・基礎２),0)*_15・２人),0)*(1+_15・A夜間)),0)*(1+_15・盲ろう)),0)</f>
        <v>444</v>
      </c>
      <c r="X235" s="69"/>
    </row>
    <row r="236" spans="1:24" ht="16.5" customHeight="1" x14ac:dyDescent="0.3">
      <c r="A236" s="2">
        <v>15</v>
      </c>
      <c r="B236" s="2" t="s">
        <v>2715</v>
      </c>
      <c r="C236" s="60" t="s">
        <v>13018</v>
      </c>
      <c r="D236" s="1"/>
      <c r="E236" s="68"/>
      <c r="F236" s="70"/>
      <c r="G236" s="61"/>
      <c r="H236" s="62"/>
      <c r="I236" s="63"/>
      <c r="J236" s="85"/>
      <c r="K236" s="64"/>
      <c r="L236" s="65"/>
      <c r="M236" s="99"/>
      <c r="N236" s="70"/>
      <c r="O236" s="61"/>
      <c r="P236" s="62"/>
      <c r="Q236" s="63"/>
      <c r="R236" s="75"/>
      <c r="S236" s="61"/>
      <c r="T236" s="62"/>
      <c r="U236" s="63"/>
      <c r="V236" s="75"/>
      <c r="W236" s="120">
        <f>ROUND((ROUND((_15_同援日増２．５*(1+_15・A夜間)),0)*(1+_15・区３)),0)</f>
        <v>473</v>
      </c>
      <c r="X236" s="69"/>
    </row>
    <row r="237" spans="1:24" ht="16.5" customHeight="1" x14ac:dyDescent="0.3">
      <c r="A237" s="2">
        <v>15</v>
      </c>
      <c r="B237" s="2" t="s">
        <v>2716</v>
      </c>
      <c r="C237" s="60" t="s">
        <v>13017</v>
      </c>
      <c r="D237" s="1"/>
      <c r="E237" s="68"/>
      <c r="F237" s="70"/>
      <c r="G237" s="66"/>
      <c r="H237" s="57"/>
      <c r="I237" s="58"/>
      <c r="J237" s="83" t="s">
        <v>5895</v>
      </c>
      <c r="K237" s="64" t="s">
        <v>1</v>
      </c>
      <c r="L237" s="65">
        <v>1</v>
      </c>
      <c r="M237" s="99"/>
      <c r="N237" s="70"/>
      <c r="O237" s="67"/>
      <c r="P237" s="68"/>
      <c r="Q237" s="76"/>
      <c r="R237" s="70"/>
      <c r="S237" s="67"/>
      <c r="T237" s="68"/>
      <c r="U237" s="76"/>
      <c r="V237" s="70"/>
      <c r="W237" s="120">
        <f>ROUND((ROUND((ROUND((_15_同援日増２．５*_15・２人),0)*(1+_15・A夜間)),0)*(1+_15・区３)),0)</f>
        <v>473</v>
      </c>
      <c r="X237" s="69"/>
    </row>
    <row r="238" spans="1:24" ht="16.5" customHeight="1" x14ac:dyDescent="0.3">
      <c r="A238" s="2">
        <v>15</v>
      </c>
      <c r="B238" s="2" t="s">
        <v>2717</v>
      </c>
      <c r="C238" s="60" t="s">
        <v>13016</v>
      </c>
      <c r="D238" s="1"/>
      <c r="E238" s="68"/>
      <c r="F238" s="70"/>
      <c r="G238" s="74" t="s">
        <v>17026</v>
      </c>
      <c r="H238" s="62"/>
      <c r="I238" s="63"/>
      <c r="J238" s="85"/>
      <c r="K238" s="64"/>
      <c r="L238" s="65"/>
      <c r="M238" s="99"/>
      <c r="N238" s="70"/>
      <c r="O238" s="67"/>
      <c r="P238" s="68"/>
      <c r="Q238" s="76"/>
      <c r="R238" s="70"/>
      <c r="S238" s="1" t="s">
        <v>18190</v>
      </c>
      <c r="T238" s="68"/>
      <c r="U238" s="76"/>
      <c r="V238" s="70"/>
      <c r="W238" s="120">
        <f>ROUND((ROUND((ROUND((_15_同援日増２．５*_15・基礎２),0)*(1+_15・A夜間)),0)*(1+_15・区３)),0)</f>
        <v>426</v>
      </c>
      <c r="X238" s="69"/>
    </row>
    <row r="239" spans="1:24" ht="16.5" customHeight="1" x14ac:dyDescent="0.3">
      <c r="A239" s="2">
        <v>15</v>
      </c>
      <c r="B239" s="2" t="s">
        <v>2718</v>
      </c>
      <c r="C239" s="60" t="s">
        <v>13015</v>
      </c>
      <c r="D239" s="1"/>
      <c r="E239" s="68"/>
      <c r="F239" s="70"/>
      <c r="G239" s="106" t="s">
        <v>17025</v>
      </c>
      <c r="H239" s="57" t="s">
        <v>1</v>
      </c>
      <c r="I239" s="58">
        <v>0.9</v>
      </c>
      <c r="J239" s="83" t="s">
        <v>5895</v>
      </c>
      <c r="K239" s="64" t="s">
        <v>1</v>
      </c>
      <c r="L239" s="65">
        <v>1</v>
      </c>
      <c r="M239" s="99"/>
      <c r="N239" s="70"/>
      <c r="O239" s="66"/>
      <c r="P239" s="57"/>
      <c r="Q239" s="58"/>
      <c r="R239" s="77"/>
      <c r="S239" s="1" t="s">
        <v>18188</v>
      </c>
      <c r="T239" s="68"/>
      <c r="U239" s="76"/>
      <c r="V239" s="70"/>
      <c r="W239" s="120">
        <f>ROUND((ROUND((ROUND((ROUND((_15_同援日増２．５*_15・基礎２),0)*_15・２人),0)*(1+_15・A夜間)),0)*(1+_15・区３)),0)</f>
        <v>426</v>
      </c>
      <c r="X239" s="69"/>
    </row>
    <row r="240" spans="1:24" ht="16.5" customHeight="1" x14ac:dyDescent="0.3">
      <c r="A240" s="2">
        <v>15</v>
      </c>
      <c r="B240" s="2" t="s">
        <v>2719</v>
      </c>
      <c r="C240" s="60" t="s">
        <v>13014</v>
      </c>
      <c r="D240" s="1"/>
      <c r="E240" s="68"/>
      <c r="F240" s="70"/>
      <c r="G240" s="61"/>
      <c r="H240" s="62"/>
      <c r="I240" s="63"/>
      <c r="J240" s="85"/>
      <c r="K240" s="64"/>
      <c r="L240" s="65"/>
      <c r="M240" s="99"/>
      <c r="N240" s="70"/>
      <c r="O240" s="74" t="s">
        <v>18187</v>
      </c>
      <c r="P240" s="62"/>
      <c r="Q240" s="63"/>
      <c r="R240" s="75"/>
      <c r="S240" s="67"/>
      <c r="T240" s="68" t="s">
        <v>1</v>
      </c>
      <c r="U240" s="76">
        <v>0.2</v>
      </c>
      <c r="V240" s="70" t="s">
        <v>422</v>
      </c>
      <c r="W240" s="120">
        <f>ROUND((ROUND((ROUND((_15_同援日増２．５*(1+_15・A夜間)),0)*(1+_15・盲ろう)),0)*(1+_15・区３)),0)</f>
        <v>592</v>
      </c>
      <c r="X240" s="69"/>
    </row>
    <row r="241" spans="1:24" ht="16.5" customHeight="1" x14ac:dyDescent="0.3">
      <c r="A241" s="2">
        <v>15</v>
      </c>
      <c r="B241" s="2" t="s">
        <v>2720</v>
      </c>
      <c r="C241" s="60" t="s">
        <v>13013</v>
      </c>
      <c r="D241" s="1"/>
      <c r="E241" s="68"/>
      <c r="F241" s="70"/>
      <c r="G241" s="66"/>
      <c r="H241" s="57"/>
      <c r="I241" s="58"/>
      <c r="J241" s="83" t="s">
        <v>5895</v>
      </c>
      <c r="K241" s="64" t="s">
        <v>1</v>
      </c>
      <c r="L241" s="65">
        <v>1</v>
      </c>
      <c r="M241" s="99"/>
      <c r="N241" s="70"/>
      <c r="O241" s="94" t="s">
        <v>18186</v>
      </c>
      <c r="P241" s="68"/>
      <c r="Q241" s="76"/>
      <c r="R241" s="70"/>
      <c r="S241" s="67"/>
      <c r="T241" s="68"/>
      <c r="U241" s="76"/>
      <c r="V241" s="70"/>
      <c r="W241" s="120">
        <f>ROUND((ROUND((ROUND((ROUND((_15_同援日増２．５*_15・２人),0)*(1+_15・A夜間)),0)*(1+_15・盲ろう)),0)*(1+_15・区３)),0)</f>
        <v>592</v>
      </c>
      <c r="X241" s="69"/>
    </row>
    <row r="242" spans="1:24" ht="16.5" customHeight="1" x14ac:dyDescent="0.3">
      <c r="A242" s="2">
        <v>15</v>
      </c>
      <c r="B242" s="2" t="s">
        <v>2721</v>
      </c>
      <c r="C242" s="60" t="s">
        <v>13012</v>
      </c>
      <c r="D242" s="1"/>
      <c r="E242" s="68"/>
      <c r="F242" s="70"/>
      <c r="G242" s="74" t="s">
        <v>17026</v>
      </c>
      <c r="H242" s="62"/>
      <c r="I242" s="63"/>
      <c r="J242" s="85"/>
      <c r="K242" s="64"/>
      <c r="L242" s="65"/>
      <c r="M242" s="99"/>
      <c r="N242" s="70"/>
      <c r="O242" s="67"/>
      <c r="P242" s="68" t="s">
        <v>1</v>
      </c>
      <c r="Q242" s="76">
        <v>0.25</v>
      </c>
      <c r="R242" s="70" t="s">
        <v>422</v>
      </c>
      <c r="S242" s="67"/>
      <c r="T242" s="68"/>
      <c r="U242" s="76"/>
      <c r="V242" s="70"/>
      <c r="W242" s="120">
        <f>ROUND((ROUND((ROUND((ROUND((_15_同援日増２．５*_15・基礎２),0)*(1+_15・A夜間)),0)*(1+_15・盲ろう)),0)*(1+_15・区３)),0)</f>
        <v>533</v>
      </c>
      <c r="X242" s="69"/>
    </row>
    <row r="243" spans="1:24" ht="16.5" customHeight="1" x14ac:dyDescent="0.3">
      <c r="A243" s="2">
        <v>15</v>
      </c>
      <c r="B243" s="2" t="s">
        <v>2722</v>
      </c>
      <c r="C243" s="60" t="s">
        <v>13011</v>
      </c>
      <c r="D243" s="1"/>
      <c r="E243" s="68"/>
      <c r="F243" s="70"/>
      <c r="G243" s="106" t="s">
        <v>17025</v>
      </c>
      <c r="H243" s="57" t="s">
        <v>1</v>
      </c>
      <c r="I243" s="58">
        <v>0.9</v>
      </c>
      <c r="J243" s="83" t="s">
        <v>5895</v>
      </c>
      <c r="K243" s="64" t="s">
        <v>1</v>
      </c>
      <c r="L243" s="65">
        <v>1</v>
      </c>
      <c r="M243" s="99"/>
      <c r="N243" s="70"/>
      <c r="O243" s="66"/>
      <c r="P243" s="57"/>
      <c r="Q243" s="58"/>
      <c r="R243" s="77"/>
      <c r="S243" s="66"/>
      <c r="T243" s="57"/>
      <c r="U243" s="58"/>
      <c r="V243" s="77"/>
      <c r="W243" s="120">
        <f>ROUND((ROUND((ROUND((ROUND((ROUND((_15_同援日増２．５*_15・基礎２),0)*_15・２人),0)*(1+_15・A夜間)),0)*(1+_15・盲ろう)),0)*(1+_15・区３)),0)</f>
        <v>533</v>
      </c>
      <c r="X243" s="69"/>
    </row>
    <row r="244" spans="1:24" ht="16.5" customHeight="1" x14ac:dyDescent="0.3">
      <c r="A244" s="2">
        <v>15</v>
      </c>
      <c r="B244" s="2" t="s">
        <v>2723</v>
      </c>
      <c r="C244" s="60" t="s">
        <v>13010</v>
      </c>
      <c r="D244" s="1"/>
      <c r="E244" s="68"/>
      <c r="F244" s="70"/>
      <c r="G244" s="61"/>
      <c r="H244" s="62"/>
      <c r="I244" s="63"/>
      <c r="J244" s="85"/>
      <c r="K244" s="64"/>
      <c r="L244" s="65"/>
      <c r="M244" s="99"/>
      <c r="N244" s="70"/>
      <c r="O244" s="61"/>
      <c r="P244" s="62"/>
      <c r="Q244" s="63"/>
      <c r="R244" s="75"/>
      <c r="S244" s="61"/>
      <c r="T244" s="62"/>
      <c r="U244" s="63"/>
      <c r="V244" s="75"/>
      <c r="W244" s="120">
        <f>ROUND((ROUND((_15_同援日増２．５*(1+_15・A夜間)),0)*(1+_15・区４)),0)</f>
        <v>552</v>
      </c>
      <c r="X244" s="69"/>
    </row>
    <row r="245" spans="1:24" ht="16.5" customHeight="1" x14ac:dyDescent="0.3">
      <c r="A245" s="2">
        <v>15</v>
      </c>
      <c r="B245" s="2" t="s">
        <v>2724</v>
      </c>
      <c r="C245" s="60" t="s">
        <v>13009</v>
      </c>
      <c r="D245" s="1"/>
      <c r="E245" s="68"/>
      <c r="F245" s="70"/>
      <c r="G245" s="66"/>
      <c r="H245" s="57"/>
      <c r="I245" s="58"/>
      <c r="J245" s="83" t="s">
        <v>5895</v>
      </c>
      <c r="K245" s="64" t="s">
        <v>1</v>
      </c>
      <c r="L245" s="65">
        <v>1</v>
      </c>
      <c r="M245" s="99"/>
      <c r="N245" s="70"/>
      <c r="O245" s="67"/>
      <c r="P245" s="68"/>
      <c r="Q245" s="76"/>
      <c r="R245" s="70"/>
      <c r="S245" s="67"/>
      <c r="T245" s="68"/>
      <c r="U245" s="76"/>
      <c r="V245" s="70"/>
      <c r="W245" s="120">
        <f>ROUND((ROUND((ROUND((_15_同援日増２．５*_15・２人),0)*(1+_15・A夜間)),0)*(1+_15・区４)),0)</f>
        <v>552</v>
      </c>
      <c r="X245" s="69"/>
    </row>
    <row r="246" spans="1:24" ht="16.5" customHeight="1" x14ac:dyDescent="0.3">
      <c r="A246" s="2">
        <v>15</v>
      </c>
      <c r="B246" s="2" t="s">
        <v>2725</v>
      </c>
      <c r="C246" s="60" t="s">
        <v>13008</v>
      </c>
      <c r="D246" s="1"/>
      <c r="E246" s="68"/>
      <c r="F246" s="70"/>
      <c r="G246" s="74" t="s">
        <v>17026</v>
      </c>
      <c r="H246" s="62"/>
      <c r="I246" s="63"/>
      <c r="J246" s="85"/>
      <c r="K246" s="64"/>
      <c r="L246" s="65"/>
      <c r="M246" s="99"/>
      <c r="N246" s="70"/>
      <c r="O246" s="67"/>
      <c r="P246" s="68"/>
      <c r="Q246" s="76"/>
      <c r="R246" s="70"/>
      <c r="S246" s="1" t="s">
        <v>18189</v>
      </c>
      <c r="T246" s="68"/>
      <c r="U246" s="76"/>
      <c r="V246" s="70"/>
      <c r="W246" s="120">
        <f>ROUND((ROUND((ROUND((_15_同援日増２．５*_15・基礎２),0)*(1+_15・A夜間)),0)*(1+_15・区４)),0)</f>
        <v>497</v>
      </c>
      <c r="X246" s="69"/>
    </row>
    <row r="247" spans="1:24" ht="16.5" customHeight="1" x14ac:dyDescent="0.3">
      <c r="A247" s="2">
        <v>15</v>
      </c>
      <c r="B247" s="2" t="s">
        <v>2726</v>
      </c>
      <c r="C247" s="60" t="s">
        <v>13007</v>
      </c>
      <c r="D247" s="1"/>
      <c r="E247" s="68"/>
      <c r="F247" s="70"/>
      <c r="G247" s="106" t="s">
        <v>17025</v>
      </c>
      <c r="H247" s="57" t="s">
        <v>1</v>
      </c>
      <c r="I247" s="58">
        <v>0.9</v>
      </c>
      <c r="J247" s="83" t="s">
        <v>5895</v>
      </c>
      <c r="K247" s="64" t="s">
        <v>1</v>
      </c>
      <c r="L247" s="65">
        <v>1</v>
      </c>
      <c r="M247" s="99"/>
      <c r="N247" s="70"/>
      <c r="O247" s="66"/>
      <c r="P247" s="57"/>
      <c r="Q247" s="58"/>
      <c r="R247" s="77"/>
      <c r="S247" s="1" t="s">
        <v>18188</v>
      </c>
      <c r="T247" s="68"/>
      <c r="U247" s="76"/>
      <c r="V247" s="70"/>
      <c r="W247" s="120">
        <f>ROUND((ROUND((ROUND((ROUND((_15_同援日増２．５*_15・基礎２),0)*_15・２人),0)*(1+_15・A夜間)),0)*(1+_15・区４)),0)</f>
        <v>497</v>
      </c>
      <c r="X247" s="69"/>
    </row>
    <row r="248" spans="1:24" ht="16.5" customHeight="1" x14ac:dyDescent="0.3">
      <c r="A248" s="2">
        <v>15</v>
      </c>
      <c r="B248" s="2" t="s">
        <v>2727</v>
      </c>
      <c r="C248" s="60" t="s">
        <v>13006</v>
      </c>
      <c r="D248" s="1"/>
      <c r="E248" s="68"/>
      <c r="F248" s="70"/>
      <c r="G248" s="61"/>
      <c r="H248" s="62"/>
      <c r="I248" s="63"/>
      <c r="J248" s="85"/>
      <c r="K248" s="64"/>
      <c r="L248" s="65"/>
      <c r="M248" s="99"/>
      <c r="N248" s="70"/>
      <c r="O248" s="74" t="s">
        <v>18187</v>
      </c>
      <c r="P248" s="62"/>
      <c r="Q248" s="63"/>
      <c r="R248" s="75"/>
      <c r="S248" s="67"/>
      <c r="T248" s="68" t="s">
        <v>1</v>
      </c>
      <c r="U248" s="76">
        <v>0.4</v>
      </c>
      <c r="V248" s="70" t="s">
        <v>422</v>
      </c>
      <c r="W248" s="120">
        <f>ROUND((ROUND((ROUND((_15_同援日増２．５*(1+_15・A夜間)),0)*(1+_15・盲ろう)),0)*(1+_15・区４)),0)</f>
        <v>690</v>
      </c>
      <c r="X248" s="69"/>
    </row>
    <row r="249" spans="1:24" ht="16.5" customHeight="1" x14ac:dyDescent="0.3">
      <c r="A249" s="2">
        <v>15</v>
      </c>
      <c r="B249" s="2" t="s">
        <v>2728</v>
      </c>
      <c r="C249" s="60" t="s">
        <v>13005</v>
      </c>
      <c r="D249" s="1"/>
      <c r="E249" s="68"/>
      <c r="F249" s="70"/>
      <c r="G249" s="66"/>
      <c r="H249" s="57"/>
      <c r="I249" s="58"/>
      <c r="J249" s="83" t="s">
        <v>5895</v>
      </c>
      <c r="K249" s="64" t="s">
        <v>1</v>
      </c>
      <c r="L249" s="65">
        <v>1</v>
      </c>
      <c r="M249" s="99"/>
      <c r="N249" s="70"/>
      <c r="O249" s="94" t="s">
        <v>18186</v>
      </c>
      <c r="P249" s="68"/>
      <c r="Q249" s="76"/>
      <c r="R249" s="70"/>
      <c r="S249" s="67"/>
      <c r="T249" s="68"/>
      <c r="U249" s="76"/>
      <c r="V249" s="70"/>
      <c r="W249" s="120">
        <f>ROUND((ROUND((ROUND((ROUND((_15_同援日増２．５*_15・２人),0)*(1+_15・A夜間)),0)*(1+_15・盲ろう)),0)*(1+_15・区４)),0)</f>
        <v>690</v>
      </c>
      <c r="X249" s="69"/>
    </row>
    <row r="250" spans="1:24" ht="16.5" customHeight="1" x14ac:dyDescent="0.3">
      <c r="A250" s="2">
        <v>15</v>
      </c>
      <c r="B250" s="2" t="s">
        <v>2729</v>
      </c>
      <c r="C250" s="60" t="s">
        <v>13004</v>
      </c>
      <c r="D250" s="1"/>
      <c r="E250" s="68"/>
      <c r="F250" s="70"/>
      <c r="G250" s="74" t="s">
        <v>17026</v>
      </c>
      <c r="H250" s="62"/>
      <c r="I250" s="63"/>
      <c r="J250" s="85"/>
      <c r="K250" s="64"/>
      <c r="L250" s="65"/>
      <c r="M250" s="99"/>
      <c r="N250" s="70"/>
      <c r="O250" s="67"/>
      <c r="P250" s="68" t="s">
        <v>1</v>
      </c>
      <c r="Q250" s="76">
        <v>0.25</v>
      </c>
      <c r="R250" s="70" t="s">
        <v>422</v>
      </c>
      <c r="S250" s="67"/>
      <c r="T250" s="68"/>
      <c r="U250" s="76"/>
      <c r="V250" s="70"/>
      <c r="W250" s="120">
        <f>ROUND((ROUND((ROUND((ROUND((_15_同援日増２．５*_15・基礎２),0)*(1+_15・A夜間)),0)*(1+_15・盲ろう)),0)*(1+_15・区４)),0)</f>
        <v>622</v>
      </c>
      <c r="X250" s="69"/>
    </row>
    <row r="251" spans="1:24" ht="16.5" customHeight="1" x14ac:dyDescent="0.3">
      <c r="A251" s="2">
        <v>15</v>
      </c>
      <c r="B251" s="2" t="s">
        <v>2730</v>
      </c>
      <c r="C251" s="60" t="s">
        <v>13003</v>
      </c>
      <c r="D251" s="81"/>
      <c r="E251" s="57"/>
      <c r="F251" s="77"/>
      <c r="G251" s="106" t="s">
        <v>17025</v>
      </c>
      <c r="H251" s="57" t="s">
        <v>1</v>
      </c>
      <c r="I251" s="58">
        <v>0.9</v>
      </c>
      <c r="J251" s="83" t="s">
        <v>5895</v>
      </c>
      <c r="K251" s="64" t="s">
        <v>1</v>
      </c>
      <c r="L251" s="65">
        <v>1</v>
      </c>
      <c r="M251" s="99"/>
      <c r="N251" s="70"/>
      <c r="O251" s="66"/>
      <c r="P251" s="57"/>
      <c r="Q251" s="58"/>
      <c r="R251" s="77"/>
      <c r="S251" s="66"/>
      <c r="T251" s="57"/>
      <c r="U251" s="58"/>
      <c r="V251" s="77"/>
      <c r="W251" s="120">
        <f>ROUND((ROUND((ROUND((ROUND((ROUND((_15_同援日増２．５*_15・基礎２),0)*_15・２人),0)*(1+_15・A夜間)),0)*(1+_15・盲ろう)),0)*(1+_15・区４)),0)</f>
        <v>622</v>
      </c>
      <c r="X251" s="69"/>
    </row>
    <row r="252" spans="1:24" ht="16.5" customHeight="1" x14ac:dyDescent="0.3">
      <c r="A252" s="2">
        <v>15</v>
      </c>
      <c r="B252" s="2" t="s">
        <v>2731</v>
      </c>
      <c r="C252" s="60" t="s">
        <v>13002</v>
      </c>
      <c r="D252" s="233" t="s">
        <v>16327</v>
      </c>
      <c r="E252" s="62"/>
      <c r="F252" s="75"/>
      <c r="G252" s="61"/>
      <c r="H252" s="62"/>
      <c r="I252" s="63"/>
      <c r="J252" s="85"/>
      <c r="K252" s="64"/>
      <c r="L252" s="65"/>
      <c r="M252" s="99"/>
      <c r="N252" s="70"/>
      <c r="O252" s="61"/>
      <c r="P252" s="62"/>
      <c r="Q252" s="63"/>
      <c r="R252" s="75"/>
      <c r="S252" s="61"/>
      <c r="T252" s="62"/>
      <c r="U252" s="63"/>
      <c r="V252" s="75"/>
      <c r="W252" s="120">
        <f>ROUND((_15_同援日増３．０*(1+_15・A夜間)),0)</f>
        <v>473</v>
      </c>
      <c r="X252" s="69"/>
    </row>
    <row r="253" spans="1:24" ht="16.5" customHeight="1" x14ac:dyDescent="0.3">
      <c r="A253" s="2">
        <v>15</v>
      </c>
      <c r="B253" s="2" t="s">
        <v>2732</v>
      </c>
      <c r="C253" s="60" t="s">
        <v>13001</v>
      </c>
      <c r="D253" s="1" t="s">
        <v>5972</v>
      </c>
      <c r="E253" s="68"/>
      <c r="F253" s="70"/>
      <c r="G253" s="66"/>
      <c r="H253" s="57"/>
      <c r="I253" s="58"/>
      <c r="J253" s="83" t="s">
        <v>5895</v>
      </c>
      <c r="K253" s="64" t="s">
        <v>1</v>
      </c>
      <c r="L253" s="65">
        <v>1</v>
      </c>
      <c r="M253" s="99"/>
      <c r="N253" s="70"/>
      <c r="O253" s="67"/>
      <c r="P253" s="68"/>
      <c r="Q253" s="76"/>
      <c r="R253" s="70"/>
      <c r="S253" s="67"/>
      <c r="T253" s="68"/>
      <c r="U253" s="76"/>
      <c r="V253" s="70"/>
      <c r="W253" s="120">
        <f>ROUND((ROUND((_15_同援日増３．０*_15・２人),0)*(1+_15・A夜間)),0)</f>
        <v>473</v>
      </c>
      <c r="X253" s="69"/>
    </row>
    <row r="254" spans="1:24" ht="16.5" customHeight="1" x14ac:dyDescent="0.3">
      <c r="A254" s="2">
        <v>15</v>
      </c>
      <c r="B254" s="2" t="s">
        <v>2733</v>
      </c>
      <c r="C254" s="60" t="s">
        <v>13000</v>
      </c>
      <c r="D254" s="1" t="s">
        <v>8694</v>
      </c>
      <c r="E254" s="68"/>
      <c r="F254" s="70"/>
      <c r="G254" s="74" t="s">
        <v>5898</v>
      </c>
      <c r="H254" s="62"/>
      <c r="I254" s="63"/>
      <c r="J254" s="85"/>
      <c r="K254" s="64"/>
      <c r="L254" s="65"/>
      <c r="M254" s="99"/>
      <c r="N254" s="70"/>
      <c r="O254" s="67"/>
      <c r="P254" s="68"/>
      <c r="Q254" s="76"/>
      <c r="R254" s="70"/>
      <c r="S254" s="67"/>
      <c r="T254" s="68"/>
      <c r="U254" s="76"/>
      <c r="V254" s="70"/>
      <c r="W254" s="120">
        <f>ROUND((ROUND((_15_同援日増３．０*_15・基礎２),0)*(1+_15・A夜間)),0)</f>
        <v>425</v>
      </c>
      <c r="X254" s="69"/>
    </row>
    <row r="255" spans="1:24" ht="16.5" customHeight="1" x14ac:dyDescent="0.3">
      <c r="A255" s="2">
        <v>15</v>
      </c>
      <c r="B255" s="2" t="s">
        <v>2734</v>
      </c>
      <c r="C255" s="60" t="s">
        <v>12999</v>
      </c>
      <c r="D255" s="1"/>
      <c r="E255" s="119">
        <v>378</v>
      </c>
      <c r="F255" s="70" t="s">
        <v>0</v>
      </c>
      <c r="G255" s="106" t="s">
        <v>17025</v>
      </c>
      <c r="H255" s="57" t="s">
        <v>1</v>
      </c>
      <c r="I255" s="58">
        <v>0.9</v>
      </c>
      <c r="J255" s="83" t="s">
        <v>5895</v>
      </c>
      <c r="K255" s="64" t="s">
        <v>1</v>
      </c>
      <c r="L255" s="65">
        <v>1</v>
      </c>
      <c r="M255" s="99"/>
      <c r="N255" s="70"/>
      <c r="O255" s="66"/>
      <c r="P255" s="57"/>
      <c r="Q255" s="58"/>
      <c r="R255" s="77"/>
      <c r="S255" s="67"/>
      <c r="T255" s="68"/>
      <c r="U255" s="76"/>
      <c r="V255" s="70"/>
      <c r="W255" s="120">
        <f>ROUND((ROUND((ROUND((_15_同援日増３．０*_15・基礎２),0)*_15・２人),0)*(1+_15・A夜間)),0)</f>
        <v>425</v>
      </c>
      <c r="X255" s="69"/>
    </row>
    <row r="256" spans="1:24" ht="16.5" customHeight="1" x14ac:dyDescent="0.3">
      <c r="A256" s="2">
        <v>15</v>
      </c>
      <c r="B256" s="2" t="s">
        <v>2735</v>
      </c>
      <c r="C256" s="60" t="s">
        <v>12998</v>
      </c>
      <c r="D256" s="1"/>
      <c r="E256" s="68"/>
      <c r="F256" s="70"/>
      <c r="G256" s="61"/>
      <c r="H256" s="62"/>
      <c r="I256" s="63"/>
      <c r="J256" s="85"/>
      <c r="K256" s="64"/>
      <c r="L256" s="65"/>
      <c r="M256" s="99"/>
      <c r="N256" s="70"/>
      <c r="O256" s="74" t="s">
        <v>18187</v>
      </c>
      <c r="P256" s="62"/>
      <c r="Q256" s="63"/>
      <c r="R256" s="75"/>
      <c r="S256" s="67"/>
      <c r="T256" s="68"/>
      <c r="U256" s="76"/>
      <c r="V256" s="70"/>
      <c r="W256" s="120">
        <f>ROUND((ROUND((_15_同援日増３．０*(1+_15・A夜間)),0)*(1+_15・盲ろう)),0)</f>
        <v>591</v>
      </c>
      <c r="X256" s="69"/>
    </row>
    <row r="257" spans="1:24" ht="16.5" customHeight="1" x14ac:dyDescent="0.3">
      <c r="A257" s="2">
        <v>15</v>
      </c>
      <c r="B257" s="2" t="s">
        <v>2736</v>
      </c>
      <c r="C257" s="60" t="s">
        <v>12997</v>
      </c>
      <c r="D257" s="1"/>
      <c r="E257" s="68"/>
      <c r="F257" s="70"/>
      <c r="G257" s="66"/>
      <c r="H257" s="57"/>
      <c r="I257" s="58"/>
      <c r="J257" s="83" t="s">
        <v>5895</v>
      </c>
      <c r="K257" s="64" t="s">
        <v>1</v>
      </c>
      <c r="L257" s="65">
        <v>1</v>
      </c>
      <c r="M257" s="99"/>
      <c r="N257" s="70"/>
      <c r="O257" s="94" t="s">
        <v>8083</v>
      </c>
      <c r="P257" s="68"/>
      <c r="Q257" s="76"/>
      <c r="R257" s="70"/>
      <c r="S257" s="67"/>
      <c r="T257" s="68"/>
      <c r="U257" s="76"/>
      <c r="V257" s="70"/>
      <c r="W257" s="120">
        <f>ROUND((ROUND((ROUND((_15_同援日増３．０*_15・２人),0)*(1+_15・A夜間)),0)*(1+_15・盲ろう)),0)</f>
        <v>591</v>
      </c>
      <c r="X257" s="69"/>
    </row>
    <row r="258" spans="1:24" ht="16.5" customHeight="1" x14ac:dyDescent="0.3">
      <c r="A258" s="2">
        <v>15</v>
      </c>
      <c r="B258" s="2" t="s">
        <v>2737</v>
      </c>
      <c r="C258" s="60" t="s">
        <v>12996</v>
      </c>
      <c r="D258" s="1"/>
      <c r="E258" s="68"/>
      <c r="F258" s="70"/>
      <c r="G258" s="74" t="s">
        <v>17026</v>
      </c>
      <c r="H258" s="62"/>
      <c r="I258" s="63"/>
      <c r="J258" s="85"/>
      <c r="K258" s="64"/>
      <c r="L258" s="65"/>
      <c r="M258" s="99"/>
      <c r="N258" s="70"/>
      <c r="O258" s="67"/>
      <c r="P258" s="68" t="s">
        <v>1</v>
      </c>
      <c r="Q258" s="76">
        <v>0.25</v>
      </c>
      <c r="R258" s="70" t="s">
        <v>422</v>
      </c>
      <c r="S258" s="67"/>
      <c r="T258" s="68"/>
      <c r="U258" s="76"/>
      <c r="V258" s="70"/>
      <c r="W258" s="120">
        <f>ROUND((ROUND((ROUND((_15_同援日増３．０*_15・基礎２),0)*(1+_15・A夜間)),0)*(1+_15・盲ろう)),0)</f>
        <v>531</v>
      </c>
      <c r="X258" s="69"/>
    </row>
    <row r="259" spans="1:24" ht="16.5" customHeight="1" x14ac:dyDescent="0.3">
      <c r="A259" s="2">
        <v>15</v>
      </c>
      <c r="B259" s="2" t="s">
        <v>2738</v>
      </c>
      <c r="C259" s="60" t="s">
        <v>12995</v>
      </c>
      <c r="D259" s="1"/>
      <c r="E259" s="68"/>
      <c r="F259" s="70"/>
      <c r="G259" s="106" t="s">
        <v>5896</v>
      </c>
      <c r="H259" s="57" t="s">
        <v>1</v>
      </c>
      <c r="I259" s="58">
        <v>0.9</v>
      </c>
      <c r="J259" s="83" t="s">
        <v>5895</v>
      </c>
      <c r="K259" s="64" t="s">
        <v>1</v>
      </c>
      <c r="L259" s="65">
        <v>1</v>
      </c>
      <c r="M259" s="99"/>
      <c r="N259" s="70"/>
      <c r="O259" s="66"/>
      <c r="P259" s="57"/>
      <c r="Q259" s="58"/>
      <c r="R259" s="77"/>
      <c r="S259" s="66"/>
      <c r="T259" s="57"/>
      <c r="U259" s="58"/>
      <c r="V259" s="77"/>
      <c r="W259" s="120">
        <f>ROUND((ROUND((ROUND((ROUND((_15_同援日増３．０*_15・基礎２),0)*_15・２人),0)*(1+_15・A夜間)),0)*(1+_15・盲ろう)),0)</f>
        <v>531</v>
      </c>
      <c r="X259" s="69"/>
    </row>
    <row r="260" spans="1:24" ht="16.5" customHeight="1" x14ac:dyDescent="0.3">
      <c r="A260" s="2">
        <v>15</v>
      </c>
      <c r="B260" s="2" t="s">
        <v>2739</v>
      </c>
      <c r="C260" s="60" t="s">
        <v>12994</v>
      </c>
      <c r="D260" s="1"/>
      <c r="E260" s="68"/>
      <c r="F260" s="70"/>
      <c r="G260" s="61"/>
      <c r="H260" s="62"/>
      <c r="I260" s="63"/>
      <c r="J260" s="85"/>
      <c r="K260" s="64"/>
      <c r="L260" s="65"/>
      <c r="M260" s="99"/>
      <c r="N260" s="70"/>
      <c r="O260" s="61"/>
      <c r="P260" s="62"/>
      <c r="Q260" s="63"/>
      <c r="R260" s="75"/>
      <c r="S260" s="61"/>
      <c r="T260" s="62"/>
      <c r="U260" s="63"/>
      <c r="V260" s="75"/>
      <c r="W260" s="120">
        <f>ROUND((ROUND((_15_同援日増３．０*(1+_15・A夜間)),0)*(1+_15・区３)),0)</f>
        <v>568</v>
      </c>
      <c r="X260" s="69"/>
    </row>
    <row r="261" spans="1:24" ht="16.5" customHeight="1" x14ac:dyDescent="0.3">
      <c r="A261" s="2">
        <v>15</v>
      </c>
      <c r="B261" s="2" t="s">
        <v>2740</v>
      </c>
      <c r="C261" s="60" t="s">
        <v>12993</v>
      </c>
      <c r="D261" s="1"/>
      <c r="E261" s="68"/>
      <c r="F261" s="70"/>
      <c r="G261" s="66"/>
      <c r="H261" s="57"/>
      <c r="I261" s="58"/>
      <c r="J261" s="83" t="s">
        <v>5895</v>
      </c>
      <c r="K261" s="64" t="s">
        <v>1</v>
      </c>
      <c r="L261" s="65">
        <v>1</v>
      </c>
      <c r="M261" s="99"/>
      <c r="N261" s="70"/>
      <c r="O261" s="67"/>
      <c r="P261" s="68"/>
      <c r="Q261" s="76"/>
      <c r="R261" s="70"/>
      <c r="S261" s="67"/>
      <c r="T261" s="68"/>
      <c r="U261" s="76"/>
      <c r="V261" s="70"/>
      <c r="W261" s="120">
        <f>ROUND((ROUND((ROUND((_15_同援日増３．０*_15・２人),0)*(1+_15・A夜間)),0)*(1+_15・区３)),0)</f>
        <v>568</v>
      </c>
      <c r="X261" s="69"/>
    </row>
    <row r="262" spans="1:24" ht="16.5" customHeight="1" x14ac:dyDescent="0.3">
      <c r="A262" s="2">
        <v>15</v>
      </c>
      <c r="B262" s="2" t="s">
        <v>2741</v>
      </c>
      <c r="C262" s="60" t="s">
        <v>12992</v>
      </c>
      <c r="D262" s="1"/>
      <c r="E262" s="68"/>
      <c r="F262" s="70"/>
      <c r="G262" s="74" t="s">
        <v>5898</v>
      </c>
      <c r="H262" s="62"/>
      <c r="I262" s="63"/>
      <c r="J262" s="85"/>
      <c r="K262" s="64"/>
      <c r="L262" s="65"/>
      <c r="M262" s="99"/>
      <c r="N262" s="70"/>
      <c r="O262" s="67"/>
      <c r="P262" s="68"/>
      <c r="Q262" s="76"/>
      <c r="R262" s="70"/>
      <c r="S262" s="1" t="s">
        <v>8098</v>
      </c>
      <c r="T262" s="68"/>
      <c r="U262" s="76"/>
      <c r="V262" s="70"/>
      <c r="W262" s="120">
        <f>ROUND((ROUND((ROUND((_15_同援日増３．０*_15・基礎２),0)*(1+_15・A夜間)),0)*(1+_15・区３)),0)</f>
        <v>510</v>
      </c>
      <c r="X262" s="69"/>
    </row>
    <row r="263" spans="1:24" ht="16.5" customHeight="1" x14ac:dyDescent="0.3">
      <c r="A263" s="2">
        <v>15</v>
      </c>
      <c r="B263" s="2" t="s">
        <v>2742</v>
      </c>
      <c r="C263" s="60" t="s">
        <v>12991</v>
      </c>
      <c r="D263" s="1"/>
      <c r="E263" s="68"/>
      <c r="F263" s="70"/>
      <c r="G263" s="106" t="s">
        <v>17025</v>
      </c>
      <c r="H263" s="57" t="s">
        <v>1</v>
      </c>
      <c r="I263" s="58">
        <v>0.9</v>
      </c>
      <c r="J263" s="83" t="s">
        <v>5895</v>
      </c>
      <c r="K263" s="64" t="s">
        <v>1</v>
      </c>
      <c r="L263" s="65">
        <v>1</v>
      </c>
      <c r="M263" s="99"/>
      <c r="N263" s="70"/>
      <c r="O263" s="66"/>
      <c r="P263" s="57"/>
      <c r="Q263" s="58"/>
      <c r="R263" s="77"/>
      <c r="S263" s="1" t="s">
        <v>8087</v>
      </c>
      <c r="T263" s="68"/>
      <c r="U263" s="76"/>
      <c r="V263" s="70"/>
      <c r="W263" s="120">
        <f>ROUND((ROUND((ROUND((ROUND((_15_同援日増３．０*_15・基礎２),0)*_15・２人),0)*(1+_15・A夜間)),0)*(1+_15・区３)),0)</f>
        <v>510</v>
      </c>
      <c r="X263" s="69"/>
    </row>
    <row r="264" spans="1:24" ht="16.5" customHeight="1" x14ac:dyDescent="0.3">
      <c r="A264" s="2">
        <v>15</v>
      </c>
      <c r="B264" s="2" t="s">
        <v>2743</v>
      </c>
      <c r="C264" s="60" t="s">
        <v>12990</v>
      </c>
      <c r="D264" s="1"/>
      <c r="E264" s="68"/>
      <c r="F264" s="70"/>
      <c r="G264" s="61"/>
      <c r="H264" s="62"/>
      <c r="I264" s="63"/>
      <c r="J264" s="85"/>
      <c r="K264" s="64"/>
      <c r="L264" s="65"/>
      <c r="M264" s="99"/>
      <c r="N264" s="70"/>
      <c r="O264" s="74" t="s">
        <v>8085</v>
      </c>
      <c r="P264" s="62"/>
      <c r="Q264" s="63"/>
      <c r="R264" s="75"/>
      <c r="S264" s="67"/>
      <c r="T264" s="68" t="s">
        <v>1</v>
      </c>
      <c r="U264" s="76">
        <v>0.2</v>
      </c>
      <c r="V264" s="70" t="s">
        <v>422</v>
      </c>
      <c r="W264" s="120">
        <f>ROUND((ROUND((ROUND((_15_同援日増３．０*(1+_15・A夜間)),0)*(1+_15・盲ろう)),0)*(1+_15・区３)),0)</f>
        <v>709</v>
      </c>
      <c r="X264" s="69"/>
    </row>
    <row r="265" spans="1:24" ht="16.5" customHeight="1" x14ac:dyDescent="0.3">
      <c r="A265" s="2">
        <v>15</v>
      </c>
      <c r="B265" s="2" t="s">
        <v>2744</v>
      </c>
      <c r="C265" s="60" t="s">
        <v>12989</v>
      </c>
      <c r="D265" s="1"/>
      <c r="E265" s="68"/>
      <c r="F265" s="70"/>
      <c r="G265" s="66"/>
      <c r="H265" s="57"/>
      <c r="I265" s="58"/>
      <c r="J265" s="83" t="s">
        <v>5895</v>
      </c>
      <c r="K265" s="64" t="s">
        <v>1</v>
      </c>
      <c r="L265" s="65">
        <v>1</v>
      </c>
      <c r="M265" s="99"/>
      <c r="N265" s="70"/>
      <c r="O265" s="94" t="s">
        <v>8083</v>
      </c>
      <c r="P265" s="68"/>
      <c r="Q265" s="76"/>
      <c r="R265" s="70"/>
      <c r="S265" s="67"/>
      <c r="T265" s="68"/>
      <c r="U265" s="76"/>
      <c r="V265" s="70"/>
      <c r="W265" s="120">
        <f>ROUND((ROUND((ROUND((ROUND((_15_同援日増３．０*_15・２人),0)*(1+_15・A夜間)),0)*(1+_15・盲ろう)),0)*(1+_15・区３)),0)</f>
        <v>709</v>
      </c>
      <c r="X265" s="69"/>
    </row>
    <row r="266" spans="1:24" ht="16.5" customHeight="1" x14ac:dyDescent="0.3">
      <c r="A266" s="2">
        <v>15</v>
      </c>
      <c r="B266" s="2" t="s">
        <v>2745</v>
      </c>
      <c r="C266" s="60" t="s">
        <v>12988</v>
      </c>
      <c r="D266" s="1"/>
      <c r="E266" s="68"/>
      <c r="F266" s="70"/>
      <c r="G266" s="74" t="s">
        <v>5898</v>
      </c>
      <c r="H266" s="62"/>
      <c r="I266" s="63"/>
      <c r="J266" s="85"/>
      <c r="K266" s="64"/>
      <c r="L266" s="65"/>
      <c r="M266" s="99"/>
      <c r="N266" s="70"/>
      <c r="O266" s="67"/>
      <c r="P266" s="68" t="s">
        <v>1</v>
      </c>
      <c r="Q266" s="76">
        <v>0.25</v>
      </c>
      <c r="R266" s="70" t="s">
        <v>422</v>
      </c>
      <c r="S266" s="67"/>
      <c r="T266" s="68"/>
      <c r="U266" s="76"/>
      <c r="V266" s="70"/>
      <c r="W266" s="120">
        <f>ROUND((ROUND((ROUND((ROUND((_15_同援日増３．０*_15・基礎２),0)*(1+_15・A夜間)),0)*(1+_15・盲ろう)),0)*(1+_15・区３)),0)</f>
        <v>637</v>
      </c>
      <c r="X266" s="69"/>
    </row>
    <row r="267" spans="1:24" ht="16.5" customHeight="1" x14ac:dyDescent="0.3">
      <c r="A267" s="2">
        <v>15</v>
      </c>
      <c r="B267" s="2" t="s">
        <v>2746</v>
      </c>
      <c r="C267" s="60" t="s">
        <v>12987</v>
      </c>
      <c r="D267" s="1"/>
      <c r="E267" s="68"/>
      <c r="F267" s="70"/>
      <c r="G267" s="106" t="s">
        <v>5896</v>
      </c>
      <c r="H267" s="57" t="s">
        <v>1</v>
      </c>
      <c r="I267" s="58">
        <v>0.9</v>
      </c>
      <c r="J267" s="83" t="s">
        <v>5895</v>
      </c>
      <c r="K267" s="64" t="s">
        <v>1</v>
      </c>
      <c r="L267" s="65">
        <v>1</v>
      </c>
      <c r="M267" s="99"/>
      <c r="N267" s="70"/>
      <c r="O267" s="66"/>
      <c r="P267" s="57"/>
      <c r="Q267" s="58"/>
      <c r="R267" s="77"/>
      <c r="S267" s="66"/>
      <c r="T267" s="57"/>
      <c r="U267" s="58"/>
      <c r="V267" s="77"/>
      <c r="W267" s="120">
        <f>ROUND((ROUND((ROUND((ROUND((ROUND((_15_同援日増３．０*_15・基礎２),0)*_15・２人),0)*(1+_15・A夜間)),0)*(1+_15・盲ろう)),0)*(1+_15・区３)),0)</f>
        <v>637</v>
      </c>
      <c r="X267" s="69"/>
    </row>
    <row r="268" spans="1:24" ht="16.5" customHeight="1" x14ac:dyDescent="0.3">
      <c r="A268" s="2">
        <v>15</v>
      </c>
      <c r="B268" s="2" t="s">
        <v>2747</v>
      </c>
      <c r="C268" s="60" t="s">
        <v>12986</v>
      </c>
      <c r="D268" s="1"/>
      <c r="E268" s="68"/>
      <c r="F268" s="70"/>
      <c r="G268" s="61"/>
      <c r="H268" s="62"/>
      <c r="I268" s="63"/>
      <c r="J268" s="85"/>
      <c r="K268" s="64"/>
      <c r="L268" s="65"/>
      <c r="M268" s="99"/>
      <c r="N268" s="70"/>
      <c r="O268" s="61"/>
      <c r="P268" s="62"/>
      <c r="Q268" s="63"/>
      <c r="R268" s="75"/>
      <c r="S268" s="61"/>
      <c r="T268" s="62"/>
      <c r="U268" s="63"/>
      <c r="V268" s="75"/>
      <c r="W268" s="120">
        <f>ROUND((ROUND((_15_同援日増３．０*(1+_15・A夜間)),0)*(1+_15・区４)),0)</f>
        <v>662</v>
      </c>
      <c r="X268" s="69"/>
    </row>
    <row r="269" spans="1:24" ht="16.5" customHeight="1" x14ac:dyDescent="0.3">
      <c r="A269" s="2">
        <v>15</v>
      </c>
      <c r="B269" s="2" t="s">
        <v>2748</v>
      </c>
      <c r="C269" s="60" t="s">
        <v>12985</v>
      </c>
      <c r="D269" s="1"/>
      <c r="E269" s="68"/>
      <c r="F269" s="70"/>
      <c r="G269" s="66"/>
      <c r="H269" s="57"/>
      <c r="I269" s="58"/>
      <c r="J269" s="83" t="s">
        <v>5895</v>
      </c>
      <c r="K269" s="64" t="s">
        <v>1</v>
      </c>
      <c r="L269" s="65">
        <v>1</v>
      </c>
      <c r="M269" s="99"/>
      <c r="N269" s="70"/>
      <c r="O269" s="67"/>
      <c r="P269" s="68"/>
      <c r="Q269" s="76"/>
      <c r="R269" s="70"/>
      <c r="S269" s="67"/>
      <c r="T269" s="68"/>
      <c r="U269" s="76"/>
      <c r="V269" s="70"/>
      <c r="W269" s="120">
        <f>ROUND((ROUND((ROUND((_15_同援日増３．０*_15・２人),0)*(1+_15・A夜間)),0)*(1+_15・区４)),0)</f>
        <v>662</v>
      </c>
      <c r="X269" s="69"/>
    </row>
    <row r="270" spans="1:24" ht="16.5" customHeight="1" x14ac:dyDescent="0.3">
      <c r="A270" s="2">
        <v>15</v>
      </c>
      <c r="B270" s="2" t="s">
        <v>2749</v>
      </c>
      <c r="C270" s="60" t="s">
        <v>12984</v>
      </c>
      <c r="D270" s="1"/>
      <c r="E270" s="68"/>
      <c r="F270" s="70"/>
      <c r="G270" s="74" t="s">
        <v>5898</v>
      </c>
      <c r="H270" s="62"/>
      <c r="I270" s="63"/>
      <c r="J270" s="85"/>
      <c r="K270" s="64"/>
      <c r="L270" s="65"/>
      <c r="M270" s="99"/>
      <c r="N270" s="70"/>
      <c r="O270" s="67"/>
      <c r="P270" s="68"/>
      <c r="Q270" s="76"/>
      <c r="R270" s="70"/>
      <c r="S270" s="1" t="s">
        <v>8089</v>
      </c>
      <c r="T270" s="68"/>
      <c r="U270" s="76"/>
      <c r="V270" s="70"/>
      <c r="W270" s="120">
        <f>ROUND((ROUND((ROUND((_15_同援日増３．０*_15・基礎２),0)*(1+_15・A夜間)),0)*(1+_15・区４)),0)</f>
        <v>595</v>
      </c>
      <c r="X270" s="69"/>
    </row>
    <row r="271" spans="1:24" ht="16.5" customHeight="1" x14ac:dyDescent="0.3">
      <c r="A271" s="2">
        <v>15</v>
      </c>
      <c r="B271" s="2" t="s">
        <v>2750</v>
      </c>
      <c r="C271" s="60" t="s">
        <v>12983</v>
      </c>
      <c r="D271" s="1"/>
      <c r="E271" s="68"/>
      <c r="F271" s="70"/>
      <c r="G271" s="106" t="s">
        <v>5896</v>
      </c>
      <c r="H271" s="57" t="s">
        <v>1</v>
      </c>
      <c r="I271" s="58">
        <v>0.9</v>
      </c>
      <c r="J271" s="83" t="s">
        <v>5895</v>
      </c>
      <c r="K271" s="64" t="s">
        <v>1</v>
      </c>
      <c r="L271" s="65">
        <v>1</v>
      </c>
      <c r="M271" s="99"/>
      <c r="N271" s="70"/>
      <c r="O271" s="66"/>
      <c r="P271" s="57"/>
      <c r="Q271" s="58"/>
      <c r="R271" s="77"/>
      <c r="S271" s="1" t="s">
        <v>8087</v>
      </c>
      <c r="T271" s="68"/>
      <c r="U271" s="76"/>
      <c r="V271" s="70"/>
      <c r="W271" s="120">
        <f>ROUND((ROUND((ROUND((ROUND((_15_同援日増３．０*_15・基礎２),0)*_15・２人),0)*(1+_15・A夜間)),0)*(1+_15・区４)),0)</f>
        <v>595</v>
      </c>
      <c r="X271" s="69"/>
    </row>
    <row r="272" spans="1:24" ht="16.5" customHeight="1" x14ac:dyDescent="0.3">
      <c r="A272" s="2">
        <v>15</v>
      </c>
      <c r="B272" s="2" t="s">
        <v>2751</v>
      </c>
      <c r="C272" s="60" t="s">
        <v>12982</v>
      </c>
      <c r="D272" s="1"/>
      <c r="E272" s="68"/>
      <c r="F272" s="70"/>
      <c r="G272" s="61"/>
      <c r="H272" s="62"/>
      <c r="I272" s="63"/>
      <c r="J272" s="85"/>
      <c r="K272" s="64"/>
      <c r="L272" s="65"/>
      <c r="M272" s="99"/>
      <c r="N272" s="70"/>
      <c r="O272" s="74" t="s">
        <v>8085</v>
      </c>
      <c r="P272" s="62"/>
      <c r="Q272" s="63"/>
      <c r="R272" s="75"/>
      <c r="S272" s="67"/>
      <c r="T272" s="68" t="s">
        <v>1</v>
      </c>
      <c r="U272" s="76">
        <v>0.4</v>
      </c>
      <c r="V272" s="70" t="s">
        <v>422</v>
      </c>
      <c r="W272" s="120">
        <f>ROUND((ROUND((ROUND((_15_同援日増３．０*(1+_15・A夜間)),0)*(1+_15・盲ろう)),0)*(1+_15・区４)),0)</f>
        <v>827</v>
      </c>
      <c r="X272" s="69"/>
    </row>
    <row r="273" spans="1:24" ht="16.5" customHeight="1" x14ac:dyDescent="0.3">
      <c r="A273" s="2">
        <v>15</v>
      </c>
      <c r="B273" s="2" t="s">
        <v>2752</v>
      </c>
      <c r="C273" s="60" t="s">
        <v>12981</v>
      </c>
      <c r="D273" s="1"/>
      <c r="E273" s="68"/>
      <c r="F273" s="70"/>
      <c r="G273" s="66"/>
      <c r="H273" s="57"/>
      <c r="I273" s="58"/>
      <c r="J273" s="83" t="s">
        <v>5895</v>
      </c>
      <c r="K273" s="64" t="s">
        <v>1</v>
      </c>
      <c r="L273" s="65">
        <v>1</v>
      </c>
      <c r="M273" s="99"/>
      <c r="N273" s="70"/>
      <c r="O273" s="94" t="s">
        <v>8083</v>
      </c>
      <c r="P273" s="68"/>
      <c r="Q273" s="76"/>
      <c r="R273" s="70"/>
      <c r="S273" s="67"/>
      <c r="T273" s="68"/>
      <c r="U273" s="76"/>
      <c r="V273" s="70"/>
      <c r="W273" s="120">
        <f>ROUND((ROUND((ROUND((ROUND((_15_同援日増３．０*_15・２人),0)*(1+_15・A夜間)),0)*(1+_15・盲ろう)),0)*(1+_15・区４)),0)</f>
        <v>827</v>
      </c>
      <c r="X273" s="69"/>
    </row>
    <row r="274" spans="1:24" ht="16.5" customHeight="1" x14ac:dyDescent="0.3">
      <c r="A274" s="2">
        <v>15</v>
      </c>
      <c r="B274" s="2" t="s">
        <v>2753</v>
      </c>
      <c r="C274" s="60" t="s">
        <v>12980</v>
      </c>
      <c r="D274" s="1"/>
      <c r="E274" s="68"/>
      <c r="F274" s="70"/>
      <c r="G274" s="74" t="s">
        <v>5898</v>
      </c>
      <c r="H274" s="62"/>
      <c r="I274" s="63"/>
      <c r="J274" s="85"/>
      <c r="K274" s="64"/>
      <c r="L274" s="65"/>
      <c r="M274" s="99"/>
      <c r="N274" s="70"/>
      <c r="O274" s="67"/>
      <c r="P274" s="68" t="s">
        <v>1</v>
      </c>
      <c r="Q274" s="76">
        <v>0.25</v>
      </c>
      <c r="R274" s="70" t="s">
        <v>422</v>
      </c>
      <c r="S274" s="67"/>
      <c r="T274" s="68"/>
      <c r="U274" s="76"/>
      <c r="V274" s="70"/>
      <c r="W274" s="120">
        <f>ROUND((ROUND((ROUND((ROUND((_15_同援日増３．０*_15・基礎２),0)*(1+_15・A夜間)),0)*(1+_15・盲ろう)),0)*(1+_15・区４)),0)</f>
        <v>743</v>
      </c>
      <c r="X274" s="69"/>
    </row>
    <row r="275" spans="1:24" ht="16.5" customHeight="1" x14ac:dyDescent="0.3">
      <c r="A275" s="2">
        <v>15</v>
      </c>
      <c r="B275" s="2" t="s">
        <v>2754</v>
      </c>
      <c r="C275" s="60" t="s">
        <v>12979</v>
      </c>
      <c r="D275" s="81"/>
      <c r="E275" s="57"/>
      <c r="F275" s="77"/>
      <c r="G275" s="106" t="s">
        <v>5896</v>
      </c>
      <c r="H275" s="57" t="s">
        <v>1</v>
      </c>
      <c r="I275" s="58">
        <v>0.9</v>
      </c>
      <c r="J275" s="83" t="s">
        <v>5895</v>
      </c>
      <c r="K275" s="64" t="s">
        <v>1</v>
      </c>
      <c r="L275" s="65">
        <v>1</v>
      </c>
      <c r="M275" s="99"/>
      <c r="N275" s="70"/>
      <c r="O275" s="66"/>
      <c r="P275" s="57"/>
      <c r="Q275" s="58"/>
      <c r="R275" s="77"/>
      <c r="S275" s="66"/>
      <c r="T275" s="57"/>
      <c r="U275" s="58"/>
      <c r="V275" s="77"/>
      <c r="W275" s="120">
        <f>ROUND((ROUND((ROUND((ROUND((ROUND((_15_同援日増３．０*_15・基礎２),0)*_15・２人),0)*(1+_15・A夜間)),0)*(1+_15・盲ろう)),0)*(1+_15・区４)),0)</f>
        <v>743</v>
      </c>
      <c r="X275" s="69"/>
    </row>
    <row r="276" spans="1:24" ht="16.5" customHeight="1" x14ac:dyDescent="0.3">
      <c r="A276" s="2">
        <v>15</v>
      </c>
      <c r="B276" s="2" t="s">
        <v>2755</v>
      </c>
      <c r="C276" s="60" t="s">
        <v>12978</v>
      </c>
      <c r="D276" s="233" t="s">
        <v>16328</v>
      </c>
      <c r="E276" s="62"/>
      <c r="F276" s="75"/>
      <c r="G276" s="61"/>
      <c r="H276" s="62"/>
      <c r="I276" s="63"/>
      <c r="J276" s="85"/>
      <c r="K276" s="64"/>
      <c r="L276" s="65"/>
      <c r="M276" s="99"/>
      <c r="N276" s="70"/>
      <c r="O276" s="61"/>
      <c r="P276" s="62"/>
      <c r="Q276" s="63"/>
      <c r="R276" s="75"/>
      <c r="S276" s="61"/>
      <c r="T276" s="62"/>
      <c r="U276" s="63"/>
      <c r="V276" s="75"/>
      <c r="W276" s="120">
        <f>ROUND((_15_同援日増３．５*(1+_15・A夜間)),0)</f>
        <v>551</v>
      </c>
      <c r="X276" s="69"/>
    </row>
    <row r="277" spans="1:24" ht="16.5" customHeight="1" x14ac:dyDescent="0.3">
      <c r="A277" s="2">
        <v>15</v>
      </c>
      <c r="B277" s="2" t="s">
        <v>2756</v>
      </c>
      <c r="C277" s="60" t="s">
        <v>12977</v>
      </c>
      <c r="D277" s="1" t="s">
        <v>17645</v>
      </c>
      <c r="E277" s="68"/>
      <c r="F277" s="70"/>
      <c r="G277" s="66"/>
      <c r="H277" s="57"/>
      <c r="I277" s="58"/>
      <c r="J277" s="83" t="s">
        <v>5895</v>
      </c>
      <c r="K277" s="64" t="s">
        <v>1</v>
      </c>
      <c r="L277" s="65">
        <v>1</v>
      </c>
      <c r="M277" s="99"/>
      <c r="N277" s="70"/>
      <c r="O277" s="67"/>
      <c r="P277" s="68"/>
      <c r="Q277" s="76"/>
      <c r="R277" s="70"/>
      <c r="S277" s="67"/>
      <c r="T277" s="68"/>
      <c r="U277" s="76"/>
      <c r="V277" s="70"/>
      <c r="W277" s="120">
        <f>ROUND((ROUND((_15_同援日増３．５*_15・２人),0)*(1+_15・A夜間)),0)</f>
        <v>551</v>
      </c>
      <c r="X277" s="69"/>
    </row>
    <row r="278" spans="1:24" ht="16.5" customHeight="1" x14ac:dyDescent="0.3">
      <c r="A278" s="2">
        <v>15</v>
      </c>
      <c r="B278" s="2" t="s">
        <v>2757</v>
      </c>
      <c r="C278" s="60" t="s">
        <v>12976</v>
      </c>
      <c r="D278" s="1" t="s">
        <v>8450</v>
      </c>
      <c r="E278" s="68"/>
      <c r="F278" s="70"/>
      <c r="G278" s="74" t="s">
        <v>17026</v>
      </c>
      <c r="H278" s="62"/>
      <c r="I278" s="63"/>
      <c r="J278" s="85"/>
      <c r="K278" s="64"/>
      <c r="L278" s="65"/>
      <c r="M278" s="99"/>
      <c r="N278" s="70"/>
      <c r="O278" s="67"/>
      <c r="P278" s="68"/>
      <c r="Q278" s="76"/>
      <c r="R278" s="70"/>
      <c r="S278" s="67"/>
      <c r="T278" s="68"/>
      <c r="U278" s="76"/>
      <c r="V278" s="70"/>
      <c r="W278" s="120">
        <f>ROUND((ROUND((_15_同援日増３．５*_15・基礎２),0)*(1+_15・A夜間)),0)</f>
        <v>496</v>
      </c>
      <c r="X278" s="69"/>
    </row>
    <row r="279" spans="1:24" ht="16.5" customHeight="1" x14ac:dyDescent="0.3">
      <c r="A279" s="2">
        <v>15</v>
      </c>
      <c r="B279" s="2" t="s">
        <v>2758</v>
      </c>
      <c r="C279" s="60" t="s">
        <v>12975</v>
      </c>
      <c r="D279" s="1"/>
      <c r="E279" s="119">
        <v>441</v>
      </c>
      <c r="F279" s="70" t="s">
        <v>0</v>
      </c>
      <c r="G279" s="106" t="s">
        <v>17025</v>
      </c>
      <c r="H279" s="57" t="s">
        <v>1</v>
      </c>
      <c r="I279" s="58">
        <v>0.9</v>
      </c>
      <c r="J279" s="83" t="s">
        <v>5895</v>
      </c>
      <c r="K279" s="64" t="s">
        <v>1</v>
      </c>
      <c r="L279" s="65">
        <v>1</v>
      </c>
      <c r="M279" s="99"/>
      <c r="N279" s="70"/>
      <c r="O279" s="66"/>
      <c r="P279" s="57"/>
      <c r="Q279" s="58"/>
      <c r="R279" s="77"/>
      <c r="S279" s="67"/>
      <c r="T279" s="68"/>
      <c r="U279" s="76"/>
      <c r="V279" s="70"/>
      <c r="W279" s="120">
        <f>ROUND((ROUND((ROUND((_15_同援日増３．５*_15・基礎２),0)*_15・２人),0)*(1+_15・A夜間)),0)</f>
        <v>496</v>
      </c>
      <c r="X279" s="69"/>
    </row>
    <row r="280" spans="1:24" ht="16.5" customHeight="1" x14ac:dyDescent="0.3">
      <c r="A280" s="2">
        <v>15</v>
      </c>
      <c r="B280" s="2" t="s">
        <v>2759</v>
      </c>
      <c r="C280" s="60" t="s">
        <v>12974</v>
      </c>
      <c r="D280" s="1"/>
      <c r="E280" s="68"/>
      <c r="F280" s="70"/>
      <c r="G280" s="61"/>
      <c r="H280" s="62"/>
      <c r="I280" s="63"/>
      <c r="J280" s="85"/>
      <c r="K280" s="64"/>
      <c r="L280" s="65"/>
      <c r="M280" s="99"/>
      <c r="N280" s="70"/>
      <c r="O280" s="74" t="s">
        <v>8085</v>
      </c>
      <c r="P280" s="62"/>
      <c r="Q280" s="63"/>
      <c r="R280" s="75"/>
      <c r="S280" s="67"/>
      <c r="T280" s="68"/>
      <c r="U280" s="76"/>
      <c r="V280" s="70"/>
      <c r="W280" s="120">
        <f>ROUND((ROUND((_15_同援日増３．５*(1+_15・A夜間)),0)*(1+_15・盲ろう)),0)</f>
        <v>689</v>
      </c>
      <c r="X280" s="69"/>
    </row>
    <row r="281" spans="1:24" ht="16.5" customHeight="1" x14ac:dyDescent="0.3">
      <c r="A281" s="2">
        <v>15</v>
      </c>
      <c r="B281" s="2" t="s">
        <v>2760</v>
      </c>
      <c r="C281" s="60" t="s">
        <v>12973</v>
      </c>
      <c r="D281" s="1"/>
      <c r="E281" s="68"/>
      <c r="F281" s="70"/>
      <c r="G281" s="66"/>
      <c r="H281" s="57"/>
      <c r="I281" s="58"/>
      <c r="J281" s="83" t="s">
        <v>5895</v>
      </c>
      <c r="K281" s="64" t="s">
        <v>1</v>
      </c>
      <c r="L281" s="65">
        <v>1</v>
      </c>
      <c r="M281" s="99"/>
      <c r="N281" s="70"/>
      <c r="O281" s="94" t="s">
        <v>8083</v>
      </c>
      <c r="P281" s="68"/>
      <c r="Q281" s="76"/>
      <c r="R281" s="70"/>
      <c r="S281" s="67"/>
      <c r="T281" s="68"/>
      <c r="U281" s="76"/>
      <c r="V281" s="70"/>
      <c r="W281" s="120">
        <f>ROUND((ROUND((ROUND((_15_同援日増３．５*_15・２人),0)*(1+_15・A夜間)),0)*(1+_15・盲ろう)),0)</f>
        <v>689</v>
      </c>
      <c r="X281" s="69"/>
    </row>
    <row r="282" spans="1:24" ht="16.5" customHeight="1" x14ac:dyDescent="0.3">
      <c r="A282" s="2">
        <v>15</v>
      </c>
      <c r="B282" s="2" t="s">
        <v>2761</v>
      </c>
      <c r="C282" s="60" t="s">
        <v>12972</v>
      </c>
      <c r="D282" s="1"/>
      <c r="E282" s="68"/>
      <c r="F282" s="70"/>
      <c r="G282" s="74" t="s">
        <v>5898</v>
      </c>
      <c r="H282" s="62"/>
      <c r="I282" s="63"/>
      <c r="J282" s="85"/>
      <c r="K282" s="64"/>
      <c r="L282" s="65"/>
      <c r="M282" s="99"/>
      <c r="N282" s="70"/>
      <c r="O282" s="67"/>
      <c r="P282" s="68" t="s">
        <v>1</v>
      </c>
      <c r="Q282" s="76">
        <v>0.25</v>
      </c>
      <c r="R282" s="70" t="s">
        <v>422</v>
      </c>
      <c r="S282" s="67"/>
      <c r="T282" s="68"/>
      <c r="U282" s="76"/>
      <c r="V282" s="70"/>
      <c r="W282" s="120">
        <f>ROUND((ROUND((ROUND((_15_同援日増３．５*_15・基礎２),0)*(1+_15・A夜間)),0)*(1+_15・盲ろう)),0)</f>
        <v>620</v>
      </c>
      <c r="X282" s="69"/>
    </row>
    <row r="283" spans="1:24" ht="16.5" customHeight="1" x14ac:dyDescent="0.3">
      <c r="A283" s="2">
        <v>15</v>
      </c>
      <c r="B283" s="2" t="s">
        <v>2762</v>
      </c>
      <c r="C283" s="60" t="s">
        <v>12971</v>
      </c>
      <c r="D283" s="1"/>
      <c r="E283" s="68"/>
      <c r="F283" s="70"/>
      <c r="G283" s="106" t="s">
        <v>5896</v>
      </c>
      <c r="H283" s="57" t="s">
        <v>1</v>
      </c>
      <c r="I283" s="58">
        <v>0.9</v>
      </c>
      <c r="J283" s="83" t="s">
        <v>5895</v>
      </c>
      <c r="K283" s="64" t="s">
        <v>1</v>
      </c>
      <c r="L283" s="65">
        <v>1</v>
      </c>
      <c r="M283" s="99"/>
      <c r="N283" s="70"/>
      <c r="O283" s="66"/>
      <c r="P283" s="57"/>
      <c r="Q283" s="58"/>
      <c r="R283" s="77"/>
      <c r="S283" s="66"/>
      <c r="T283" s="57"/>
      <c r="U283" s="58"/>
      <c r="V283" s="77"/>
      <c r="W283" s="120">
        <f>ROUND((ROUND((ROUND((ROUND((_15_同援日増３．５*_15・基礎２),0)*_15・２人),0)*(1+_15・A夜間)),0)*(1+_15・盲ろう)),0)</f>
        <v>620</v>
      </c>
      <c r="X283" s="69"/>
    </row>
    <row r="284" spans="1:24" ht="16.5" customHeight="1" x14ac:dyDescent="0.3">
      <c r="A284" s="2">
        <v>15</v>
      </c>
      <c r="B284" s="2" t="s">
        <v>2763</v>
      </c>
      <c r="C284" s="60" t="s">
        <v>12970</v>
      </c>
      <c r="D284" s="1"/>
      <c r="E284" s="68"/>
      <c r="F284" s="70"/>
      <c r="G284" s="61"/>
      <c r="H284" s="62"/>
      <c r="I284" s="63"/>
      <c r="J284" s="85"/>
      <c r="K284" s="64"/>
      <c r="L284" s="65"/>
      <c r="M284" s="99"/>
      <c r="N284" s="70"/>
      <c r="O284" s="61"/>
      <c r="P284" s="62"/>
      <c r="Q284" s="63"/>
      <c r="R284" s="75"/>
      <c r="S284" s="61"/>
      <c r="T284" s="62"/>
      <c r="U284" s="63"/>
      <c r="V284" s="75"/>
      <c r="W284" s="120">
        <f>ROUND((ROUND((_15_同援日増３．５*(1+_15・A夜間)),0)*(1+_15・区３)),0)</f>
        <v>661</v>
      </c>
      <c r="X284" s="69"/>
    </row>
    <row r="285" spans="1:24" ht="16.5" customHeight="1" x14ac:dyDescent="0.3">
      <c r="A285" s="2">
        <v>15</v>
      </c>
      <c r="B285" s="2" t="s">
        <v>2764</v>
      </c>
      <c r="C285" s="60" t="s">
        <v>12969</v>
      </c>
      <c r="D285" s="1"/>
      <c r="E285" s="68"/>
      <c r="F285" s="70"/>
      <c r="G285" s="66"/>
      <c r="H285" s="57"/>
      <c r="I285" s="58"/>
      <c r="J285" s="83" t="s">
        <v>5895</v>
      </c>
      <c r="K285" s="64" t="s">
        <v>1</v>
      </c>
      <c r="L285" s="65">
        <v>1</v>
      </c>
      <c r="M285" s="99"/>
      <c r="N285" s="70"/>
      <c r="O285" s="67"/>
      <c r="P285" s="68"/>
      <c r="Q285" s="76"/>
      <c r="R285" s="70"/>
      <c r="S285" s="67"/>
      <c r="T285" s="68"/>
      <c r="U285" s="76"/>
      <c r="V285" s="70"/>
      <c r="W285" s="120">
        <f>ROUND((ROUND((ROUND((_15_同援日増３．５*_15・２人),0)*(1+_15・A夜間)),0)*(1+_15・区３)),0)</f>
        <v>661</v>
      </c>
      <c r="X285" s="69"/>
    </row>
    <row r="286" spans="1:24" ht="16.5" customHeight="1" x14ac:dyDescent="0.3">
      <c r="A286" s="2">
        <v>15</v>
      </c>
      <c r="B286" s="2" t="s">
        <v>2765</v>
      </c>
      <c r="C286" s="60" t="s">
        <v>12968</v>
      </c>
      <c r="D286" s="1"/>
      <c r="E286" s="68"/>
      <c r="F286" s="70"/>
      <c r="G286" s="74" t="s">
        <v>5898</v>
      </c>
      <c r="H286" s="62"/>
      <c r="I286" s="63"/>
      <c r="J286" s="85"/>
      <c r="K286" s="64"/>
      <c r="L286" s="65"/>
      <c r="M286" s="99"/>
      <c r="N286" s="70"/>
      <c r="O286" s="67"/>
      <c r="P286" s="68"/>
      <c r="Q286" s="76"/>
      <c r="R286" s="70"/>
      <c r="S286" s="1" t="s">
        <v>8098</v>
      </c>
      <c r="T286" s="68"/>
      <c r="U286" s="76"/>
      <c r="V286" s="70"/>
      <c r="W286" s="120">
        <f>ROUND((ROUND((ROUND((_15_同援日増３．５*_15・基礎２),0)*(1+_15・A夜間)),0)*(1+_15・区３)),0)</f>
        <v>595</v>
      </c>
      <c r="X286" s="69"/>
    </row>
    <row r="287" spans="1:24" ht="16.5" customHeight="1" x14ac:dyDescent="0.3">
      <c r="A287" s="2">
        <v>15</v>
      </c>
      <c r="B287" s="2" t="s">
        <v>2766</v>
      </c>
      <c r="C287" s="60" t="s">
        <v>12967</v>
      </c>
      <c r="D287" s="1"/>
      <c r="E287" s="68"/>
      <c r="F287" s="70"/>
      <c r="G287" s="106" t="s">
        <v>5896</v>
      </c>
      <c r="H287" s="57" t="s">
        <v>1</v>
      </c>
      <c r="I287" s="58">
        <v>0.9</v>
      </c>
      <c r="J287" s="83" t="s">
        <v>5895</v>
      </c>
      <c r="K287" s="64" t="s">
        <v>1</v>
      </c>
      <c r="L287" s="65">
        <v>1</v>
      </c>
      <c r="M287" s="99"/>
      <c r="N287" s="70"/>
      <c r="O287" s="66"/>
      <c r="P287" s="57"/>
      <c r="Q287" s="58"/>
      <c r="R287" s="77"/>
      <c r="S287" s="1" t="s">
        <v>18188</v>
      </c>
      <c r="T287" s="68"/>
      <c r="U287" s="76"/>
      <c r="V287" s="70"/>
      <c r="W287" s="120">
        <f>ROUND((ROUND((ROUND((ROUND((_15_同援日増３．５*_15・基礎２),0)*_15・２人),0)*(1+_15・A夜間)),0)*(1+_15・区３)),0)</f>
        <v>595</v>
      </c>
      <c r="X287" s="69"/>
    </row>
    <row r="288" spans="1:24" ht="16.5" customHeight="1" x14ac:dyDescent="0.3">
      <c r="A288" s="2">
        <v>15</v>
      </c>
      <c r="B288" s="2" t="s">
        <v>2767</v>
      </c>
      <c r="C288" s="60" t="s">
        <v>12966</v>
      </c>
      <c r="D288" s="1"/>
      <c r="E288" s="68"/>
      <c r="F288" s="70"/>
      <c r="G288" s="61"/>
      <c r="H288" s="62"/>
      <c r="I288" s="63"/>
      <c r="J288" s="85"/>
      <c r="K288" s="64"/>
      <c r="L288" s="65"/>
      <c r="M288" s="99"/>
      <c r="N288" s="70"/>
      <c r="O288" s="74" t="s">
        <v>8085</v>
      </c>
      <c r="P288" s="62"/>
      <c r="Q288" s="63"/>
      <c r="R288" s="75"/>
      <c r="S288" s="67"/>
      <c r="T288" s="68" t="s">
        <v>1</v>
      </c>
      <c r="U288" s="76">
        <v>0.2</v>
      </c>
      <c r="V288" s="70" t="s">
        <v>422</v>
      </c>
      <c r="W288" s="120">
        <f>ROUND((ROUND((ROUND((_15_同援日増３．５*(1+_15・A夜間)),0)*(1+_15・盲ろう)),0)*(1+_15・区３)),0)</f>
        <v>827</v>
      </c>
      <c r="X288" s="69"/>
    </row>
    <row r="289" spans="1:24" ht="16.5" customHeight="1" x14ac:dyDescent="0.3">
      <c r="A289" s="2">
        <v>15</v>
      </c>
      <c r="B289" s="2" t="s">
        <v>2768</v>
      </c>
      <c r="C289" s="60" t="s">
        <v>12965</v>
      </c>
      <c r="D289" s="1"/>
      <c r="E289" s="68"/>
      <c r="F289" s="70"/>
      <c r="G289" s="66"/>
      <c r="H289" s="57"/>
      <c r="I289" s="58"/>
      <c r="J289" s="83" t="s">
        <v>5895</v>
      </c>
      <c r="K289" s="64" t="s">
        <v>1</v>
      </c>
      <c r="L289" s="65">
        <v>1</v>
      </c>
      <c r="M289" s="99"/>
      <c r="N289" s="70"/>
      <c r="O289" s="94" t="s">
        <v>18186</v>
      </c>
      <c r="P289" s="68"/>
      <c r="Q289" s="76"/>
      <c r="R289" s="70"/>
      <c r="S289" s="67"/>
      <c r="T289" s="68"/>
      <c r="U289" s="76"/>
      <c r="V289" s="70"/>
      <c r="W289" s="120">
        <f>ROUND((ROUND((ROUND((ROUND((_15_同援日増３．５*_15・２人),0)*(1+_15・A夜間)),0)*(1+_15・盲ろう)),0)*(1+_15・区３)),0)</f>
        <v>827</v>
      </c>
      <c r="X289" s="69"/>
    </row>
    <row r="290" spans="1:24" ht="16.5" customHeight="1" x14ac:dyDescent="0.3">
      <c r="A290" s="2">
        <v>15</v>
      </c>
      <c r="B290" s="2" t="s">
        <v>2769</v>
      </c>
      <c r="C290" s="60" t="s">
        <v>12964</v>
      </c>
      <c r="D290" s="1"/>
      <c r="E290" s="68"/>
      <c r="F290" s="70"/>
      <c r="G290" s="74" t="s">
        <v>17026</v>
      </c>
      <c r="H290" s="62"/>
      <c r="I290" s="63"/>
      <c r="J290" s="85"/>
      <c r="K290" s="64"/>
      <c r="L290" s="65"/>
      <c r="M290" s="99"/>
      <c r="N290" s="70"/>
      <c r="O290" s="67"/>
      <c r="P290" s="68" t="s">
        <v>1</v>
      </c>
      <c r="Q290" s="76">
        <v>0.25</v>
      </c>
      <c r="R290" s="70" t="s">
        <v>422</v>
      </c>
      <c r="S290" s="67"/>
      <c r="T290" s="68"/>
      <c r="U290" s="76"/>
      <c r="V290" s="70"/>
      <c r="W290" s="120">
        <f>ROUND((ROUND((ROUND((ROUND((_15_同援日増３．５*_15・基礎２),0)*(1+_15・A夜間)),0)*(1+_15・盲ろう)),0)*(1+_15・区３)),0)</f>
        <v>744</v>
      </c>
      <c r="X290" s="69"/>
    </row>
    <row r="291" spans="1:24" ht="16.5" customHeight="1" x14ac:dyDescent="0.3">
      <c r="A291" s="2">
        <v>15</v>
      </c>
      <c r="B291" s="2" t="s">
        <v>2770</v>
      </c>
      <c r="C291" s="60" t="s">
        <v>12963</v>
      </c>
      <c r="D291" s="1"/>
      <c r="E291" s="68"/>
      <c r="F291" s="70"/>
      <c r="G291" s="106" t="s">
        <v>5896</v>
      </c>
      <c r="H291" s="57" t="s">
        <v>1</v>
      </c>
      <c r="I291" s="58">
        <v>0.9</v>
      </c>
      <c r="J291" s="83" t="s">
        <v>5895</v>
      </c>
      <c r="K291" s="64" t="s">
        <v>1</v>
      </c>
      <c r="L291" s="65">
        <v>1</v>
      </c>
      <c r="M291" s="99"/>
      <c r="N291" s="70"/>
      <c r="O291" s="66"/>
      <c r="P291" s="57"/>
      <c r="Q291" s="58"/>
      <c r="R291" s="77"/>
      <c r="S291" s="66"/>
      <c r="T291" s="57"/>
      <c r="U291" s="58"/>
      <c r="V291" s="77"/>
      <c r="W291" s="120">
        <f>ROUND((ROUND((ROUND((ROUND((ROUND((_15_同援日増３．５*_15・基礎２),0)*_15・２人),0)*(1+_15・A夜間)),0)*(1+_15・盲ろう)),0)*(1+_15・区３)),0)</f>
        <v>744</v>
      </c>
      <c r="X291" s="69"/>
    </row>
    <row r="292" spans="1:24" ht="16.5" customHeight="1" x14ac:dyDescent="0.3">
      <c r="A292" s="2">
        <v>15</v>
      </c>
      <c r="B292" s="2" t="s">
        <v>2771</v>
      </c>
      <c r="C292" s="60" t="s">
        <v>12962</v>
      </c>
      <c r="D292" s="1"/>
      <c r="E292" s="68"/>
      <c r="F292" s="70"/>
      <c r="G292" s="61"/>
      <c r="H292" s="62"/>
      <c r="I292" s="63"/>
      <c r="J292" s="85"/>
      <c r="K292" s="64"/>
      <c r="L292" s="65"/>
      <c r="M292" s="99"/>
      <c r="N292" s="70"/>
      <c r="O292" s="61"/>
      <c r="P292" s="62"/>
      <c r="Q292" s="63"/>
      <c r="R292" s="75"/>
      <c r="S292" s="61"/>
      <c r="T292" s="62"/>
      <c r="U292" s="63"/>
      <c r="V292" s="75"/>
      <c r="W292" s="120">
        <f>ROUND((ROUND((_15_同援日増３．５*(1+_15・A夜間)),0)*(1+_15・区４)),0)</f>
        <v>771</v>
      </c>
      <c r="X292" s="69"/>
    </row>
    <row r="293" spans="1:24" ht="16.5" customHeight="1" x14ac:dyDescent="0.3">
      <c r="A293" s="2">
        <v>15</v>
      </c>
      <c r="B293" s="2" t="s">
        <v>2772</v>
      </c>
      <c r="C293" s="60" t="s">
        <v>12961</v>
      </c>
      <c r="D293" s="1"/>
      <c r="E293" s="68"/>
      <c r="F293" s="70"/>
      <c r="G293" s="66"/>
      <c r="H293" s="57"/>
      <c r="I293" s="58"/>
      <c r="J293" s="83" t="s">
        <v>5895</v>
      </c>
      <c r="K293" s="64" t="s">
        <v>1</v>
      </c>
      <c r="L293" s="65">
        <v>1</v>
      </c>
      <c r="M293" s="99"/>
      <c r="N293" s="70"/>
      <c r="O293" s="67"/>
      <c r="P293" s="68"/>
      <c r="Q293" s="76"/>
      <c r="R293" s="70"/>
      <c r="S293" s="67"/>
      <c r="T293" s="68"/>
      <c r="U293" s="76"/>
      <c r="V293" s="70"/>
      <c r="W293" s="120">
        <f>ROUND((ROUND((ROUND((_15_同援日増３．５*_15・２人),0)*(1+_15・A夜間)),0)*(1+_15・区４)),0)</f>
        <v>771</v>
      </c>
      <c r="X293" s="69"/>
    </row>
    <row r="294" spans="1:24" ht="16.5" customHeight="1" x14ac:dyDescent="0.3">
      <c r="A294" s="2">
        <v>15</v>
      </c>
      <c r="B294" s="2" t="s">
        <v>2773</v>
      </c>
      <c r="C294" s="60" t="s">
        <v>12960</v>
      </c>
      <c r="D294" s="1"/>
      <c r="E294" s="68"/>
      <c r="F294" s="70"/>
      <c r="G294" s="74" t="s">
        <v>5898</v>
      </c>
      <c r="H294" s="62"/>
      <c r="I294" s="63"/>
      <c r="J294" s="85"/>
      <c r="K294" s="64"/>
      <c r="L294" s="65"/>
      <c r="M294" s="99"/>
      <c r="N294" s="70"/>
      <c r="O294" s="67"/>
      <c r="P294" s="68"/>
      <c r="Q294" s="76"/>
      <c r="R294" s="70"/>
      <c r="S294" s="1" t="s">
        <v>8089</v>
      </c>
      <c r="T294" s="68"/>
      <c r="U294" s="76"/>
      <c r="V294" s="70"/>
      <c r="W294" s="120">
        <f>ROUND((ROUND((ROUND((_15_同援日増３．５*_15・基礎２),0)*(1+_15・A夜間)),0)*(1+_15・区４)),0)</f>
        <v>694</v>
      </c>
      <c r="X294" s="69"/>
    </row>
    <row r="295" spans="1:24" ht="16.5" customHeight="1" x14ac:dyDescent="0.3">
      <c r="A295" s="2">
        <v>15</v>
      </c>
      <c r="B295" s="2" t="s">
        <v>2774</v>
      </c>
      <c r="C295" s="60" t="s">
        <v>12959</v>
      </c>
      <c r="D295" s="1"/>
      <c r="E295" s="68"/>
      <c r="F295" s="70"/>
      <c r="G295" s="106" t="s">
        <v>17025</v>
      </c>
      <c r="H295" s="57" t="s">
        <v>1</v>
      </c>
      <c r="I295" s="58">
        <v>0.9</v>
      </c>
      <c r="J295" s="83" t="s">
        <v>5895</v>
      </c>
      <c r="K295" s="64" t="s">
        <v>1</v>
      </c>
      <c r="L295" s="65">
        <v>1</v>
      </c>
      <c r="M295" s="99"/>
      <c r="N295" s="70"/>
      <c r="O295" s="66"/>
      <c r="P295" s="57"/>
      <c r="Q295" s="58"/>
      <c r="R295" s="77"/>
      <c r="S295" s="1" t="s">
        <v>18188</v>
      </c>
      <c r="T295" s="68"/>
      <c r="U295" s="76"/>
      <c r="V295" s="70"/>
      <c r="W295" s="120">
        <f>ROUND((ROUND((ROUND((ROUND((_15_同援日増３．５*_15・基礎２),0)*_15・２人),0)*(1+_15・A夜間)),0)*(1+_15・区４)),0)</f>
        <v>694</v>
      </c>
      <c r="X295" s="69"/>
    </row>
    <row r="296" spans="1:24" ht="16.5" customHeight="1" x14ac:dyDescent="0.3">
      <c r="A296" s="2">
        <v>15</v>
      </c>
      <c r="B296" s="2" t="s">
        <v>2775</v>
      </c>
      <c r="C296" s="60" t="s">
        <v>12958</v>
      </c>
      <c r="D296" s="1"/>
      <c r="E296" s="68"/>
      <c r="F296" s="70"/>
      <c r="G296" s="61"/>
      <c r="H296" s="62"/>
      <c r="I296" s="63"/>
      <c r="J296" s="85"/>
      <c r="K296" s="64"/>
      <c r="L296" s="65"/>
      <c r="M296" s="99"/>
      <c r="N296" s="70"/>
      <c r="O296" s="74" t="s">
        <v>18187</v>
      </c>
      <c r="P296" s="62"/>
      <c r="Q296" s="63"/>
      <c r="R296" s="75"/>
      <c r="S296" s="67"/>
      <c r="T296" s="68" t="s">
        <v>1</v>
      </c>
      <c r="U296" s="76">
        <v>0.4</v>
      </c>
      <c r="V296" s="70" t="s">
        <v>422</v>
      </c>
      <c r="W296" s="120">
        <f>ROUND((ROUND((ROUND((_15_同援日増３．５*(1+_15・A夜間)),0)*(1+_15・盲ろう)),0)*(1+_15・区４)),0)</f>
        <v>965</v>
      </c>
      <c r="X296" s="69"/>
    </row>
    <row r="297" spans="1:24" ht="16.5" customHeight="1" x14ac:dyDescent="0.3">
      <c r="A297" s="2">
        <v>15</v>
      </c>
      <c r="B297" s="2" t="s">
        <v>2776</v>
      </c>
      <c r="C297" s="60" t="s">
        <v>12957</v>
      </c>
      <c r="D297" s="1"/>
      <c r="E297" s="68"/>
      <c r="F297" s="70"/>
      <c r="G297" s="66"/>
      <c r="H297" s="57"/>
      <c r="I297" s="58"/>
      <c r="J297" s="83" t="s">
        <v>5895</v>
      </c>
      <c r="K297" s="64" t="s">
        <v>1</v>
      </c>
      <c r="L297" s="65">
        <v>1</v>
      </c>
      <c r="M297" s="99"/>
      <c r="N297" s="70"/>
      <c r="O297" s="94" t="s">
        <v>18186</v>
      </c>
      <c r="P297" s="68"/>
      <c r="Q297" s="76"/>
      <c r="R297" s="70"/>
      <c r="S297" s="67"/>
      <c r="T297" s="68"/>
      <c r="U297" s="76"/>
      <c r="V297" s="70"/>
      <c r="W297" s="120">
        <f>ROUND((ROUND((ROUND((ROUND((_15_同援日増３．５*_15・２人),0)*(1+_15・A夜間)),0)*(1+_15・盲ろう)),0)*(1+_15・区４)),0)</f>
        <v>965</v>
      </c>
      <c r="X297" s="69"/>
    </row>
    <row r="298" spans="1:24" ht="16.5" customHeight="1" x14ac:dyDescent="0.3">
      <c r="A298" s="2">
        <v>15</v>
      </c>
      <c r="B298" s="2" t="s">
        <v>2777</v>
      </c>
      <c r="C298" s="60" t="s">
        <v>12956</v>
      </c>
      <c r="D298" s="1"/>
      <c r="E298" s="68"/>
      <c r="F298" s="70"/>
      <c r="G298" s="74" t="s">
        <v>17026</v>
      </c>
      <c r="H298" s="62"/>
      <c r="I298" s="63"/>
      <c r="J298" s="85"/>
      <c r="K298" s="64"/>
      <c r="L298" s="65"/>
      <c r="M298" s="99"/>
      <c r="N298" s="70"/>
      <c r="O298" s="67"/>
      <c r="P298" s="68" t="s">
        <v>1</v>
      </c>
      <c r="Q298" s="76">
        <v>0.25</v>
      </c>
      <c r="R298" s="70" t="s">
        <v>422</v>
      </c>
      <c r="S298" s="67"/>
      <c r="T298" s="68"/>
      <c r="U298" s="76"/>
      <c r="V298" s="70"/>
      <c r="W298" s="120">
        <f>ROUND((ROUND((ROUND((ROUND((_15_同援日増３．５*_15・基礎２),0)*(1+_15・A夜間)),0)*(1+_15・盲ろう)),0)*(1+_15・区４)),0)</f>
        <v>868</v>
      </c>
      <c r="X298" s="69"/>
    </row>
    <row r="299" spans="1:24" ht="16.5" customHeight="1" x14ac:dyDescent="0.3">
      <c r="A299" s="2">
        <v>15</v>
      </c>
      <c r="B299" s="2" t="s">
        <v>2778</v>
      </c>
      <c r="C299" s="60" t="s">
        <v>12955</v>
      </c>
      <c r="D299" s="81"/>
      <c r="E299" s="57"/>
      <c r="F299" s="77"/>
      <c r="G299" s="106" t="s">
        <v>17025</v>
      </c>
      <c r="H299" s="57" t="s">
        <v>1</v>
      </c>
      <c r="I299" s="58">
        <v>0.9</v>
      </c>
      <c r="J299" s="83" t="s">
        <v>5895</v>
      </c>
      <c r="K299" s="64" t="s">
        <v>1</v>
      </c>
      <c r="L299" s="65">
        <v>1</v>
      </c>
      <c r="M299" s="99"/>
      <c r="N299" s="70"/>
      <c r="O299" s="66"/>
      <c r="P299" s="57"/>
      <c r="Q299" s="58"/>
      <c r="R299" s="77"/>
      <c r="S299" s="66"/>
      <c r="T299" s="57"/>
      <c r="U299" s="58"/>
      <c r="V299" s="77"/>
      <c r="W299" s="120">
        <f>ROUND((ROUND((ROUND((ROUND((ROUND((_15_同援日増３．５*_15・基礎２),0)*_15・２人),0)*(1+_15・A夜間)),0)*(1+_15・盲ろう)),0)*(1+_15・区４)),0)</f>
        <v>868</v>
      </c>
      <c r="X299" s="69"/>
    </row>
    <row r="300" spans="1:24" ht="16.5" customHeight="1" x14ac:dyDescent="0.3">
      <c r="A300" s="2">
        <v>15</v>
      </c>
      <c r="B300" s="2" t="s">
        <v>2779</v>
      </c>
      <c r="C300" s="60" t="s">
        <v>12954</v>
      </c>
      <c r="D300" s="233" t="s">
        <v>18192</v>
      </c>
      <c r="E300" s="62"/>
      <c r="F300" s="75"/>
      <c r="G300" s="61"/>
      <c r="H300" s="62"/>
      <c r="I300" s="63"/>
      <c r="J300" s="85"/>
      <c r="K300" s="64"/>
      <c r="L300" s="65"/>
      <c r="M300" s="99"/>
      <c r="N300" s="70"/>
      <c r="O300" s="61"/>
      <c r="P300" s="62"/>
      <c r="Q300" s="63"/>
      <c r="R300" s="75"/>
      <c r="S300" s="61"/>
      <c r="T300" s="62"/>
      <c r="U300" s="63"/>
      <c r="V300" s="75"/>
      <c r="W300" s="120">
        <f>ROUND((_15_同援日増４．０*(1+_15・A夜間)),0)</f>
        <v>630</v>
      </c>
      <c r="X300" s="69"/>
    </row>
    <row r="301" spans="1:24" ht="16.5" customHeight="1" x14ac:dyDescent="0.3">
      <c r="A301" s="2">
        <v>15</v>
      </c>
      <c r="B301" s="2" t="s">
        <v>2780</v>
      </c>
      <c r="C301" s="60" t="s">
        <v>12953</v>
      </c>
      <c r="D301" s="1" t="s">
        <v>17642</v>
      </c>
      <c r="E301" s="68"/>
      <c r="F301" s="70"/>
      <c r="G301" s="66"/>
      <c r="H301" s="57"/>
      <c r="I301" s="58"/>
      <c r="J301" s="83" t="s">
        <v>5895</v>
      </c>
      <c r="K301" s="64" t="s">
        <v>1</v>
      </c>
      <c r="L301" s="65">
        <v>1</v>
      </c>
      <c r="M301" s="99"/>
      <c r="N301" s="70"/>
      <c r="O301" s="67"/>
      <c r="P301" s="68"/>
      <c r="Q301" s="76"/>
      <c r="R301" s="70"/>
      <c r="S301" s="67"/>
      <c r="T301" s="68"/>
      <c r="U301" s="76"/>
      <c r="V301" s="70"/>
      <c r="W301" s="120">
        <f>ROUND((ROUND((_15_同援日増４．０*_15・２人),0)*(1+_15・A夜間)),0)</f>
        <v>630</v>
      </c>
      <c r="X301" s="69"/>
    </row>
    <row r="302" spans="1:24" ht="16.5" customHeight="1" x14ac:dyDescent="0.3">
      <c r="A302" s="2">
        <v>15</v>
      </c>
      <c r="B302" s="2" t="s">
        <v>2781</v>
      </c>
      <c r="C302" s="60" t="s">
        <v>12952</v>
      </c>
      <c r="D302" s="1" t="s">
        <v>8425</v>
      </c>
      <c r="E302" s="68"/>
      <c r="F302" s="70"/>
      <c r="G302" s="74" t="s">
        <v>17026</v>
      </c>
      <c r="H302" s="62"/>
      <c r="I302" s="63"/>
      <c r="J302" s="85"/>
      <c r="K302" s="64"/>
      <c r="L302" s="65"/>
      <c r="M302" s="99"/>
      <c r="N302" s="70"/>
      <c r="O302" s="67"/>
      <c r="P302" s="68"/>
      <c r="Q302" s="76"/>
      <c r="R302" s="70"/>
      <c r="S302" s="67"/>
      <c r="T302" s="68"/>
      <c r="U302" s="76"/>
      <c r="V302" s="70"/>
      <c r="W302" s="120">
        <f>ROUND((ROUND((_15_同援日増４．０*_15・基礎２),0)*(1+_15・A夜間)),0)</f>
        <v>568</v>
      </c>
      <c r="X302" s="69"/>
    </row>
    <row r="303" spans="1:24" ht="16.5" customHeight="1" x14ac:dyDescent="0.3">
      <c r="A303" s="2">
        <v>15</v>
      </c>
      <c r="B303" s="2" t="s">
        <v>2782</v>
      </c>
      <c r="C303" s="60" t="s">
        <v>12951</v>
      </c>
      <c r="D303" s="1"/>
      <c r="E303" s="119">
        <v>504</v>
      </c>
      <c r="F303" s="70" t="s">
        <v>0</v>
      </c>
      <c r="G303" s="106" t="s">
        <v>17025</v>
      </c>
      <c r="H303" s="57" t="s">
        <v>1</v>
      </c>
      <c r="I303" s="58">
        <v>0.9</v>
      </c>
      <c r="J303" s="83" t="s">
        <v>5895</v>
      </c>
      <c r="K303" s="64" t="s">
        <v>1</v>
      </c>
      <c r="L303" s="65">
        <v>1</v>
      </c>
      <c r="M303" s="99"/>
      <c r="N303" s="70"/>
      <c r="O303" s="66"/>
      <c r="P303" s="57"/>
      <c r="Q303" s="58"/>
      <c r="R303" s="77"/>
      <c r="S303" s="67"/>
      <c r="T303" s="68"/>
      <c r="U303" s="76"/>
      <c r="V303" s="70"/>
      <c r="W303" s="120">
        <f>ROUND((ROUND((ROUND((_15_同援日増４．０*_15・基礎２),0)*_15・２人),0)*(1+_15・A夜間)),0)</f>
        <v>568</v>
      </c>
      <c r="X303" s="69"/>
    </row>
    <row r="304" spans="1:24" ht="16.5" customHeight="1" x14ac:dyDescent="0.3">
      <c r="A304" s="2">
        <v>15</v>
      </c>
      <c r="B304" s="2" t="s">
        <v>2783</v>
      </c>
      <c r="C304" s="60" t="s">
        <v>12950</v>
      </c>
      <c r="D304" s="1"/>
      <c r="E304" s="68"/>
      <c r="F304" s="70"/>
      <c r="G304" s="61"/>
      <c r="H304" s="62"/>
      <c r="I304" s="63"/>
      <c r="J304" s="85"/>
      <c r="K304" s="64"/>
      <c r="L304" s="65"/>
      <c r="M304" s="99"/>
      <c r="N304" s="70"/>
      <c r="O304" s="74" t="s">
        <v>18187</v>
      </c>
      <c r="P304" s="62"/>
      <c r="Q304" s="63"/>
      <c r="R304" s="75"/>
      <c r="S304" s="67"/>
      <c r="T304" s="68"/>
      <c r="U304" s="76"/>
      <c r="V304" s="70"/>
      <c r="W304" s="120">
        <f>ROUND((ROUND((_15_同援日増４．０*(1+_15・A夜間)),0)*(1+_15・盲ろう)),0)</f>
        <v>788</v>
      </c>
      <c r="X304" s="69"/>
    </row>
    <row r="305" spans="1:24" ht="16.5" customHeight="1" x14ac:dyDescent="0.3">
      <c r="A305" s="2">
        <v>15</v>
      </c>
      <c r="B305" s="2" t="s">
        <v>2784</v>
      </c>
      <c r="C305" s="60" t="s">
        <v>12949</v>
      </c>
      <c r="D305" s="1"/>
      <c r="E305" s="68"/>
      <c r="F305" s="70"/>
      <c r="G305" s="66"/>
      <c r="H305" s="57"/>
      <c r="I305" s="58"/>
      <c r="J305" s="83" t="s">
        <v>5895</v>
      </c>
      <c r="K305" s="64" t="s">
        <v>1</v>
      </c>
      <c r="L305" s="65">
        <v>1</v>
      </c>
      <c r="M305" s="99"/>
      <c r="N305" s="70"/>
      <c r="O305" s="94" t="s">
        <v>18186</v>
      </c>
      <c r="P305" s="68"/>
      <c r="Q305" s="76"/>
      <c r="R305" s="70"/>
      <c r="S305" s="67"/>
      <c r="T305" s="68"/>
      <c r="U305" s="76"/>
      <c r="V305" s="70"/>
      <c r="W305" s="120">
        <f>ROUND((ROUND((ROUND((_15_同援日増４．０*_15・２人),0)*(1+_15・A夜間)),0)*(1+_15・盲ろう)),0)</f>
        <v>788</v>
      </c>
      <c r="X305" s="69"/>
    </row>
    <row r="306" spans="1:24" ht="16.5" customHeight="1" x14ac:dyDescent="0.3">
      <c r="A306" s="2">
        <v>15</v>
      </c>
      <c r="B306" s="2" t="s">
        <v>2785</v>
      </c>
      <c r="C306" s="60" t="s">
        <v>12948</v>
      </c>
      <c r="D306" s="1"/>
      <c r="E306" s="68"/>
      <c r="F306" s="70"/>
      <c r="G306" s="74" t="s">
        <v>17026</v>
      </c>
      <c r="H306" s="62"/>
      <c r="I306" s="63"/>
      <c r="J306" s="85"/>
      <c r="K306" s="64"/>
      <c r="L306" s="65"/>
      <c r="M306" s="99"/>
      <c r="N306" s="70"/>
      <c r="O306" s="67"/>
      <c r="P306" s="68" t="s">
        <v>1</v>
      </c>
      <c r="Q306" s="76">
        <v>0.25</v>
      </c>
      <c r="R306" s="70" t="s">
        <v>422</v>
      </c>
      <c r="S306" s="67"/>
      <c r="T306" s="68"/>
      <c r="U306" s="76"/>
      <c r="V306" s="70"/>
      <c r="W306" s="120">
        <f>ROUND((ROUND((ROUND((_15_同援日増４．０*_15・基礎２),0)*(1+_15・A夜間)),0)*(1+_15・盲ろう)),0)</f>
        <v>710</v>
      </c>
      <c r="X306" s="69"/>
    </row>
    <row r="307" spans="1:24" ht="16.5" customHeight="1" x14ac:dyDescent="0.3">
      <c r="A307" s="2">
        <v>15</v>
      </c>
      <c r="B307" s="2" t="s">
        <v>2786</v>
      </c>
      <c r="C307" s="60" t="s">
        <v>12947</v>
      </c>
      <c r="D307" s="1"/>
      <c r="E307" s="68"/>
      <c r="F307" s="70"/>
      <c r="G307" s="106" t="s">
        <v>17025</v>
      </c>
      <c r="H307" s="57" t="s">
        <v>1</v>
      </c>
      <c r="I307" s="58">
        <v>0.9</v>
      </c>
      <c r="J307" s="83" t="s">
        <v>5895</v>
      </c>
      <c r="K307" s="64" t="s">
        <v>1</v>
      </c>
      <c r="L307" s="65">
        <v>1</v>
      </c>
      <c r="M307" s="99"/>
      <c r="N307" s="70"/>
      <c r="O307" s="66"/>
      <c r="P307" s="57"/>
      <c r="Q307" s="58"/>
      <c r="R307" s="77"/>
      <c r="S307" s="66"/>
      <c r="T307" s="57"/>
      <c r="U307" s="58"/>
      <c r="V307" s="77"/>
      <c r="W307" s="120">
        <f>ROUND((ROUND((ROUND((ROUND((_15_同援日増４．０*_15・基礎２),0)*_15・２人),0)*(1+_15・A夜間)),0)*(1+_15・盲ろう)),0)</f>
        <v>710</v>
      </c>
      <c r="X307" s="69"/>
    </row>
    <row r="308" spans="1:24" ht="16.5" customHeight="1" x14ac:dyDescent="0.3">
      <c r="A308" s="2">
        <v>15</v>
      </c>
      <c r="B308" s="2" t="s">
        <v>2787</v>
      </c>
      <c r="C308" s="60" t="s">
        <v>12946</v>
      </c>
      <c r="D308" s="1"/>
      <c r="E308" s="68"/>
      <c r="F308" s="70"/>
      <c r="G308" s="61"/>
      <c r="H308" s="62"/>
      <c r="I308" s="63"/>
      <c r="J308" s="85"/>
      <c r="K308" s="64"/>
      <c r="L308" s="65"/>
      <c r="M308" s="99"/>
      <c r="N308" s="70"/>
      <c r="O308" s="61"/>
      <c r="P308" s="62"/>
      <c r="Q308" s="63"/>
      <c r="R308" s="75"/>
      <c r="S308" s="61"/>
      <c r="T308" s="62"/>
      <c r="U308" s="63"/>
      <c r="V308" s="75"/>
      <c r="W308" s="120">
        <f>ROUND((ROUND((_15_同援日増４．０*(1+_15・A夜間)),0)*(1+_15・区３)),0)</f>
        <v>756</v>
      </c>
      <c r="X308" s="69"/>
    </row>
    <row r="309" spans="1:24" ht="16.5" customHeight="1" x14ac:dyDescent="0.3">
      <c r="A309" s="2">
        <v>15</v>
      </c>
      <c r="B309" s="2" t="s">
        <v>2788</v>
      </c>
      <c r="C309" s="60" t="s">
        <v>12945</v>
      </c>
      <c r="D309" s="1"/>
      <c r="E309" s="68"/>
      <c r="F309" s="70"/>
      <c r="G309" s="66"/>
      <c r="H309" s="57"/>
      <c r="I309" s="58"/>
      <c r="J309" s="83" t="s">
        <v>5895</v>
      </c>
      <c r="K309" s="64" t="s">
        <v>1</v>
      </c>
      <c r="L309" s="65">
        <v>1</v>
      </c>
      <c r="M309" s="99"/>
      <c r="N309" s="70"/>
      <c r="O309" s="67"/>
      <c r="P309" s="68"/>
      <c r="Q309" s="76"/>
      <c r="R309" s="70"/>
      <c r="S309" s="67"/>
      <c r="T309" s="68"/>
      <c r="U309" s="76"/>
      <c r="V309" s="70"/>
      <c r="W309" s="120">
        <f>ROUND((ROUND((ROUND((_15_同援日増４．０*_15・２人),0)*(1+_15・A夜間)),0)*(1+_15・区３)),0)</f>
        <v>756</v>
      </c>
      <c r="X309" s="69"/>
    </row>
    <row r="310" spans="1:24" ht="16.5" customHeight="1" x14ac:dyDescent="0.3">
      <c r="A310" s="2">
        <v>15</v>
      </c>
      <c r="B310" s="2" t="s">
        <v>2789</v>
      </c>
      <c r="C310" s="60" t="s">
        <v>12944</v>
      </c>
      <c r="D310" s="1"/>
      <c r="E310" s="68"/>
      <c r="F310" s="70"/>
      <c r="G310" s="74" t="s">
        <v>5898</v>
      </c>
      <c r="H310" s="62"/>
      <c r="I310" s="63"/>
      <c r="J310" s="85"/>
      <c r="K310" s="64"/>
      <c r="L310" s="65"/>
      <c r="M310" s="99"/>
      <c r="N310" s="70"/>
      <c r="O310" s="67"/>
      <c r="P310" s="68"/>
      <c r="Q310" s="76"/>
      <c r="R310" s="70"/>
      <c r="S310" s="1" t="s">
        <v>8098</v>
      </c>
      <c r="T310" s="68"/>
      <c r="U310" s="76"/>
      <c r="V310" s="70"/>
      <c r="W310" s="120">
        <f>ROUND((ROUND((ROUND((_15_同援日増４．０*_15・基礎２),0)*(1+_15・A夜間)),0)*(1+_15・区３)),0)</f>
        <v>682</v>
      </c>
      <c r="X310" s="69"/>
    </row>
    <row r="311" spans="1:24" ht="16.5" customHeight="1" x14ac:dyDescent="0.3">
      <c r="A311" s="2">
        <v>15</v>
      </c>
      <c r="B311" s="2" t="s">
        <v>2790</v>
      </c>
      <c r="C311" s="60" t="s">
        <v>12943</v>
      </c>
      <c r="D311" s="1"/>
      <c r="E311" s="68"/>
      <c r="F311" s="70"/>
      <c r="G311" s="106" t="s">
        <v>17025</v>
      </c>
      <c r="H311" s="57" t="s">
        <v>1</v>
      </c>
      <c r="I311" s="58">
        <v>0.9</v>
      </c>
      <c r="J311" s="83" t="s">
        <v>5895</v>
      </c>
      <c r="K311" s="64" t="s">
        <v>1</v>
      </c>
      <c r="L311" s="65">
        <v>1</v>
      </c>
      <c r="M311" s="99"/>
      <c r="N311" s="70"/>
      <c r="O311" s="66"/>
      <c r="P311" s="57"/>
      <c r="Q311" s="58"/>
      <c r="R311" s="77"/>
      <c r="S311" s="1" t="s">
        <v>8087</v>
      </c>
      <c r="T311" s="68"/>
      <c r="U311" s="76"/>
      <c r="V311" s="70"/>
      <c r="W311" s="120">
        <f>ROUND((ROUND((ROUND((ROUND((_15_同援日増４．０*_15・基礎２),0)*_15・２人),0)*(1+_15・A夜間)),0)*(1+_15・区３)),0)</f>
        <v>682</v>
      </c>
      <c r="X311" s="69"/>
    </row>
    <row r="312" spans="1:24" ht="16.5" customHeight="1" x14ac:dyDescent="0.3">
      <c r="A312" s="2">
        <v>15</v>
      </c>
      <c r="B312" s="2" t="s">
        <v>2791</v>
      </c>
      <c r="C312" s="60" t="s">
        <v>12942</v>
      </c>
      <c r="D312" s="1"/>
      <c r="E312" s="68"/>
      <c r="F312" s="70"/>
      <c r="G312" s="61"/>
      <c r="H312" s="62"/>
      <c r="I312" s="63"/>
      <c r="J312" s="85"/>
      <c r="K312" s="64"/>
      <c r="L312" s="65"/>
      <c r="M312" s="99"/>
      <c r="N312" s="70"/>
      <c r="O312" s="74" t="s">
        <v>18187</v>
      </c>
      <c r="P312" s="62"/>
      <c r="Q312" s="63"/>
      <c r="R312" s="75"/>
      <c r="S312" s="67"/>
      <c r="T312" s="68" t="s">
        <v>1</v>
      </c>
      <c r="U312" s="76">
        <v>0.2</v>
      </c>
      <c r="V312" s="70" t="s">
        <v>422</v>
      </c>
      <c r="W312" s="120">
        <f>ROUND((ROUND((ROUND((_15_同援日増４．０*(1+_15・A夜間)),0)*(1+_15・盲ろう)),0)*(1+_15・区３)),0)</f>
        <v>946</v>
      </c>
      <c r="X312" s="69"/>
    </row>
    <row r="313" spans="1:24" ht="16.5" customHeight="1" x14ac:dyDescent="0.3">
      <c r="A313" s="2">
        <v>15</v>
      </c>
      <c r="B313" s="2" t="s">
        <v>2792</v>
      </c>
      <c r="C313" s="60" t="s">
        <v>12941</v>
      </c>
      <c r="D313" s="1"/>
      <c r="E313" s="68"/>
      <c r="F313" s="70"/>
      <c r="G313" s="66"/>
      <c r="H313" s="57"/>
      <c r="I313" s="58"/>
      <c r="J313" s="83" t="s">
        <v>5895</v>
      </c>
      <c r="K313" s="64" t="s">
        <v>1</v>
      </c>
      <c r="L313" s="65">
        <v>1</v>
      </c>
      <c r="M313" s="99"/>
      <c r="N313" s="70"/>
      <c r="O313" s="94" t="s">
        <v>8083</v>
      </c>
      <c r="P313" s="68"/>
      <c r="Q313" s="76"/>
      <c r="R313" s="70"/>
      <c r="S313" s="67"/>
      <c r="T313" s="68"/>
      <c r="U313" s="76"/>
      <c r="V313" s="70"/>
      <c r="W313" s="120">
        <f>ROUND((ROUND((ROUND((ROUND((_15_同援日増４．０*_15・２人),0)*(1+_15・A夜間)),0)*(1+_15・盲ろう)),0)*(1+_15・区３)),0)</f>
        <v>946</v>
      </c>
      <c r="X313" s="69"/>
    </row>
    <row r="314" spans="1:24" ht="16.5" customHeight="1" x14ac:dyDescent="0.3">
      <c r="A314" s="2">
        <v>15</v>
      </c>
      <c r="B314" s="2" t="s">
        <v>2793</v>
      </c>
      <c r="C314" s="60" t="s">
        <v>12940</v>
      </c>
      <c r="D314" s="1"/>
      <c r="E314" s="68"/>
      <c r="F314" s="70"/>
      <c r="G314" s="74" t="s">
        <v>5898</v>
      </c>
      <c r="H314" s="62"/>
      <c r="I314" s="63"/>
      <c r="J314" s="85"/>
      <c r="K314" s="64"/>
      <c r="L314" s="65"/>
      <c r="M314" s="99"/>
      <c r="N314" s="70"/>
      <c r="O314" s="67"/>
      <c r="P314" s="68" t="s">
        <v>1</v>
      </c>
      <c r="Q314" s="76">
        <v>0.25</v>
      </c>
      <c r="R314" s="70" t="s">
        <v>422</v>
      </c>
      <c r="S314" s="67"/>
      <c r="T314" s="68"/>
      <c r="U314" s="76"/>
      <c r="V314" s="70"/>
      <c r="W314" s="120">
        <f>ROUND((ROUND((ROUND((ROUND((_15_同援日増４．０*_15・基礎２),0)*(1+_15・A夜間)),0)*(1+_15・盲ろう)),0)*(1+_15・区３)),0)</f>
        <v>852</v>
      </c>
      <c r="X314" s="69"/>
    </row>
    <row r="315" spans="1:24" ht="16.5" customHeight="1" x14ac:dyDescent="0.3">
      <c r="A315" s="2">
        <v>15</v>
      </c>
      <c r="B315" s="2" t="s">
        <v>2794</v>
      </c>
      <c r="C315" s="60" t="s">
        <v>12939</v>
      </c>
      <c r="D315" s="1"/>
      <c r="E315" s="68"/>
      <c r="F315" s="70"/>
      <c r="G315" s="106" t="s">
        <v>5896</v>
      </c>
      <c r="H315" s="57" t="s">
        <v>1</v>
      </c>
      <c r="I315" s="58">
        <v>0.9</v>
      </c>
      <c r="J315" s="83" t="s">
        <v>5895</v>
      </c>
      <c r="K315" s="64" t="s">
        <v>1</v>
      </c>
      <c r="L315" s="65">
        <v>1</v>
      </c>
      <c r="M315" s="99"/>
      <c r="N315" s="70"/>
      <c r="O315" s="66"/>
      <c r="P315" s="57"/>
      <c r="Q315" s="58"/>
      <c r="R315" s="77"/>
      <c r="S315" s="66"/>
      <c r="T315" s="57"/>
      <c r="U315" s="58"/>
      <c r="V315" s="77"/>
      <c r="W315" s="120">
        <f>ROUND((ROUND((ROUND((ROUND((ROUND((_15_同援日増４．０*_15・基礎２),0)*_15・２人),0)*(1+_15・A夜間)),0)*(1+_15・盲ろう)),0)*(1+_15・区３)),0)</f>
        <v>852</v>
      </c>
      <c r="X315" s="69"/>
    </row>
    <row r="316" spans="1:24" ht="16.5" customHeight="1" x14ac:dyDescent="0.3">
      <c r="A316" s="2">
        <v>15</v>
      </c>
      <c r="B316" s="2" t="s">
        <v>2795</v>
      </c>
      <c r="C316" s="60" t="s">
        <v>12938</v>
      </c>
      <c r="D316" s="1"/>
      <c r="E316" s="68"/>
      <c r="F316" s="70"/>
      <c r="G316" s="61"/>
      <c r="H316" s="62"/>
      <c r="I316" s="63"/>
      <c r="J316" s="85"/>
      <c r="K316" s="64"/>
      <c r="L316" s="65"/>
      <c r="M316" s="99"/>
      <c r="N316" s="70"/>
      <c r="O316" s="61"/>
      <c r="P316" s="62"/>
      <c r="Q316" s="63"/>
      <c r="R316" s="75"/>
      <c r="S316" s="61"/>
      <c r="T316" s="62"/>
      <c r="U316" s="63"/>
      <c r="V316" s="75"/>
      <c r="W316" s="120">
        <f>ROUND((ROUND((_15_同援日増４．０*(1+_15・A夜間)),0)*(1+_15・区４)),0)</f>
        <v>882</v>
      </c>
      <c r="X316" s="69"/>
    </row>
    <row r="317" spans="1:24" ht="16.5" customHeight="1" x14ac:dyDescent="0.3">
      <c r="A317" s="2">
        <v>15</v>
      </c>
      <c r="B317" s="2" t="s">
        <v>2796</v>
      </c>
      <c r="C317" s="60" t="s">
        <v>12937</v>
      </c>
      <c r="D317" s="1"/>
      <c r="E317" s="68"/>
      <c r="F317" s="70"/>
      <c r="G317" s="66"/>
      <c r="H317" s="57"/>
      <c r="I317" s="58"/>
      <c r="J317" s="83" t="s">
        <v>5895</v>
      </c>
      <c r="K317" s="64" t="s">
        <v>1</v>
      </c>
      <c r="L317" s="65">
        <v>1</v>
      </c>
      <c r="M317" s="99"/>
      <c r="N317" s="70"/>
      <c r="O317" s="67"/>
      <c r="P317" s="68"/>
      <c r="Q317" s="76"/>
      <c r="R317" s="70"/>
      <c r="S317" s="67"/>
      <c r="T317" s="68"/>
      <c r="U317" s="76"/>
      <c r="V317" s="70"/>
      <c r="W317" s="120">
        <f>ROUND((ROUND((ROUND((_15_同援日増４．０*_15・２人),0)*(1+_15・A夜間)),0)*(1+_15・区４)),0)</f>
        <v>882</v>
      </c>
      <c r="X317" s="69"/>
    </row>
    <row r="318" spans="1:24" ht="16.5" customHeight="1" x14ac:dyDescent="0.3">
      <c r="A318" s="2">
        <v>15</v>
      </c>
      <c r="B318" s="2" t="s">
        <v>2797</v>
      </c>
      <c r="C318" s="60" t="s">
        <v>12936</v>
      </c>
      <c r="D318" s="1"/>
      <c r="E318" s="68"/>
      <c r="F318" s="70"/>
      <c r="G318" s="74" t="s">
        <v>17026</v>
      </c>
      <c r="H318" s="62"/>
      <c r="I318" s="63"/>
      <c r="J318" s="85"/>
      <c r="K318" s="64"/>
      <c r="L318" s="65"/>
      <c r="M318" s="99"/>
      <c r="N318" s="70"/>
      <c r="O318" s="67"/>
      <c r="P318" s="68"/>
      <c r="Q318" s="76"/>
      <c r="R318" s="70"/>
      <c r="S318" s="1" t="s">
        <v>18189</v>
      </c>
      <c r="T318" s="68"/>
      <c r="U318" s="76"/>
      <c r="V318" s="70"/>
      <c r="W318" s="120">
        <f>ROUND((ROUND((ROUND((_15_同援日増４．０*_15・基礎２),0)*(1+_15・A夜間)),0)*(1+_15・区４)),0)</f>
        <v>795</v>
      </c>
      <c r="X318" s="69"/>
    </row>
    <row r="319" spans="1:24" ht="16.5" customHeight="1" x14ac:dyDescent="0.3">
      <c r="A319" s="2">
        <v>15</v>
      </c>
      <c r="B319" s="2" t="s">
        <v>2798</v>
      </c>
      <c r="C319" s="60" t="s">
        <v>12935</v>
      </c>
      <c r="D319" s="1"/>
      <c r="E319" s="68"/>
      <c r="F319" s="70"/>
      <c r="G319" s="106" t="s">
        <v>17025</v>
      </c>
      <c r="H319" s="57" t="s">
        <v>1</v>
      </c>
      <c r="I319" s="58">
        <v>0.9</v>
      </c>
      <c r="J319" s="83" t="s">
        <v>5895</v>
      </c>
      <c r="K319" s="64" t="s">
        <v>1</v>
      </c>
      <c r="L319" s="65">
        <v>1</v>
      </c>
      <c r="M319" s="99"/>
      <c r="N319" s="70"/>
      <c r="O319" s="66"/>
      <c r="P319" s="57"/>
      <c r="Q319" s="58"/>
      <c r="R319" s="77"/>
      <c r="S319" s="1" t="s">
        <v>18188</v>
      </c>
      <c r="T319" s="68"/>
      <c r="U319" s="76"/>
      <c r="V319" s="70"/>
      <c r="W319" s="120">
        <f>ROUND((ROUND((ROUND((ROUND((_15_同援日増４．０*_15・基礎２),0)*_15・２人),0)*(1+_15・A夜間)),0)*(1+_15・区４)),0)</f>
        <v>795</v>
      </c>
      <c r="X319" s="69"/>
    </row>
    <row r="320" spans="1:24" ht="16.5" customHeight="1" x14ac:dyDescent="0.3">
      <c r="A320" s="2">
        <v>15</v>
      </c>
      <c r="B320" s="2" t="s">
        <v>2799</v>
      </c>
      <c r="C320" s="60" t="s">
        <v>12934</v>
      </c>
      <c r="D320" s="1"/>
      <c r="E320" s="68"/>
      <c r="F320" s="70"/>
      <c r="G320" s="61"/>
      <c r="H320" s="62"/>
      <c r="I320" s="63"/>
      <c r="J320" s="85"/>
      <c r="K320" s="64"/>
      <c r="L320" s="65"/>
      <c r="M320" s="99"/>
      <c r="N320" s="70"/>
      <c r="O320" s="74" t="s">
        <v>8085</v>
      </c>
      <c r="P320" s="62"/>
      <c r="Q320" s="63"/>
      <c r="R320" s="75"/>
      <c r="S320" s="67"/>
      <c r="T320" s="68" t="s">
        <v>1</v>
      </c>
      <c r="U320" s="76">
        <v>0.4</v>
      </c>
      <c r="V320" s="70" t="s">
        <v>422</v>
      </c>
      <c r="W320" s="120">
        <f>ROUND((ROUND((ROUND((_15_同援日増４．０*(1+_15・A夜間)),0)*(1+_15・盲ろう)),0)*(1+_15・区４)),0)</f>
        <v>1103</v>
      </c>
      <c r="X320" s="69"/>
    </row>
    <row r="321" spans="1:24" ht="16.5" customHeight="1" x14ac:dyDescent="0.3">
      <c r="A321" s="2">
        <v>15</v>
      </c>
      <c r="B321" s="2" t="s">
        <v>2800</v>
      </c>
      <c r="C321" s="60" t="s">
        <v>12933</v>
      </c>
      <c r="D321" s="1"/>
      <c r="E321" s="68"/>
      <c r="F321" s="70"/>
      <c r="G321" s="66"/>
      <c r="H321" s="57"/>
      <c r="I321" s="58"/>
      <c r="J321" s="83" t="s">
        <v>5895</v>
      </c>
      <c r="K321" s="64" t="s">
        <v>1</v>
      </c>
      <c r="L321" s="65">
        <v>1</v>
      </c>
      <c r="M321" s="99"/>
      <c r="N321" s="70"/>
      <c r="O321" s="94" t="s">
        <v>18186</v>
      </c>
      <c r="P321" s="68"/>
      <c r="Q321" s="76"/>
      <c r="R321" s="70"/>
      <c r="S321" s="67"/>
      <c r="T321" s="68"/>
      <c r="U321" s="76"/>
      <c r="V321" s="70"/>
      <c r="W321" s="120">
        <f>ROUND((ROUND((ROUND((ROUND((_15_同援日増４．０*_15・２人),0)*(1+_15・A夜間)),0)*(1+_15・盲ろう)),0)*(1+_15・区４)),0)</f>
        <v>1103</v>
      </c>
      <c r="X321" s="69"/>
    </row>
    <row r="322" spans="1:24" ht="16.5" customHeight="1" x14ac:dyDescent="0.3">
      <c r="A322" s="2">
        <v>15</v>
      </c>
      <c r="B322" s="2" t="s">
        <v>2801</v>
      </c>
      <c r="C322" s="60" t="s">
        <v>12932</v>
      </c>
      <c r="D322" s="1"/>
      <c r="E322" s="68"/>
      <c r="F322" s="70"/>
      <c r="G322" s="74" t="s">
        <v>5898</v>
      </c>
      <c r="H322" s="62"/>
      <c r="I322" s="63"/>
      <c r="J322" s="85"/>
      <c r="K322" s="64"/>
      <c r="L322" s="65"/>
      <c r="M322" s="99"/>
      <c r="N322" s="70"/>
      <c r="O322" s="67"/>
      <c r="P322" s="68" t="s">
        <v>1</v>
      </c>
      <c r="Q322" s="76">
        <v>0.25</v>
      </c>
      <c r="R322" s="70" t="s">
        <v>422</v>
      </c>
      <c r="S322" s="67"/>
      <c r="T322" s="68"/>
      <c r="U322" s="76"/>
      <c r="V322" s="70"/>
      <c r="W322" s="120">
        <f>ROUND((ROUND((ROUND((ROUND((_15_同援日増４．０*_15・基礎２),0)*(1+_15・A夜間)),0)*(1+_15・盲ろう)),0)*(1+_15・区４)),0)</f>
        <v>994</v>
      </c>
      <c r="X322" s="69"/>
    </row>
    <row r="323" spans="1:24" ht="16.5" customHeight="1" x14ac:dyDescent="0.3">
      <c r="A323" s="2">
        <v>15</v>
      </c>
      <c r="B323" s="2" t="s">
        <v>2802</v>
      </c>
      <c r="C323" s="60" t="s">
        <v>12931</v>
      </c>
      <c r="D323" s="81"/>
      <c r="E323" s="57"/>
      <c r="F323" s="77"/>
      <c r="G323" s="106" t="s">
        <v>17025</v>
      </c>
      <c r="H323" s="57" t="s">
        <v>1</v>
      </c>
      <c r="I323" s="58">
        <v>0.9</v>
      </c>
      <c r="J323" s="83" t="s">
        <v>5895</v>
      </c>
      <c r="K323" s="64" t="s">
        <v>1</v>
      </c>
      <c r="L323" s="65">
        <v>1</v>
      </c>
      <c r="M323" s="99"/>
      <c r="N323" s="70"/>
      <c r="O323" s="66"/>
      <c r="P323" s="57"/>
      <c r="Q323" s="58"/>
      <c r="R323" s="77"/>
      <c r="S323" s="66"/>
      <c r="T323" s="57"/>
      <c r="U323" s="58"/>
      <c r="V323" s="77"/>
      <c r="W323" s="120">
        <f>ROUND((ROUND((ROUND((ROUND((ROUND((_15_同援日増４．０*_15・基礎２),0)*_15・２人),0)*(1+_15・A夜間)),0)*(1+_15・盲ろう)),0)*(1+_15・区４)),0)</f>
        <v>994</v>
      </c>
      <c r="X323" s="69"/>
    </row>
    <row r="324" spans="1:24" ht="16.5" customHeight="1" x14ac:dyDescent="0.3">
      <c r="A324" s="2">
        <v>15</v>
      </c>
      <c r="B324" s="2" t="s">
        <v>2803</v>
      </c>
      <c r="C324" s="60" t="s">
        <v>12930</v>
      </c>
      <c r="D324" s="233" t="s">
        <v>18191</v>
      </c>
      <c r="E324" s="62"/>
      <c r="F324" s="75"/>
      <c r="G324" s="61"/>
      <c r="H324" s="62"/>
      <c r="I324" s="63"/>
      <c r="J324" s="85"/>
      <c r="K324" s="64"/>
      <c r="L324" s="65"/>
      <c r="M324" s="99"/>
      <c r="N324" s="70"/>
      <c r="O324" s="61"/>
      <c r="P324" s="62"/>
      <c r="Q324" s="63"/>
      <c r="R324" s="75"/>
      <c r="S324" s="61"/>
      <c r="T324" s="62"/>
      <c r="U324" s="63"/>
      <c r="V324" s="75"/>
      <c r="W324" s="120">
        <f>ROUND((_15_同援日増４．５*(1+_15・A夜間)),0)</f>
        <v>709</v>
      </c>
      <c r="X324" s="69"/>
    </row>
    <row r="325" spans="1:24" ht="16.5" customHeight="1" x14ac:dyDescent="0.3">
      <c r="A325" s="2">
        <v>15</v>
      </c>
      <c r="B325" s="2" t="s">
        <v>2804</v>
      </c>
      <c r="C325" s="60" t="s">
        <v>12929</v>
      </c>
      <c r="D325" s="1" t="s">
        <v>17639</v>
      </c>
      <c r="E325" s="68"/>
      <c r="F325" s="70"/>
      <c r="G325" s="66"/>
      <c r="H325" s="57"/>
      <c r="I325" s="58"/>
      <c r="J325" s="83" t="s">
        <v>5895</v>
      </c>
      <c r="K325" s="64" t="s">
        <v>1</v>
      </c>
      <c r="L325" s="65">
        <v>1</v>
      </c>
      <c r="M325" s="99"/>
      <c r="N325" s="70"/>
      <c r="O325" s="67"/>
      <c r="P325" s="68"/>
      <c r="Q325" s="76"/>
      <c r="R325" s="70"/>
      <c r="S325" s="67"/>
      <c r="T325" s="68"/>
      <c r="U325" s="76"/>
      <c r="V325" s="70"/>
      <c r="W325" s="120">
        <f>ROUND((ROUND((_15_同援日増４．５*_15・２人),0)*(1+_15・A夜間)),0)</f>
        <v>709</v>
      </c>
      <c r="X325" s="69"/>
    </row>
    <row r="326" spans="1:24" ht="16.5" customHeight="1" x14ac:dyDescent="0.3">
      <c r="A326" s="2">
        <v>15</v>
      </c>
      <c r="B326" s="2" t="s">
        <v>2805</v>
      </c>
      <c r="C326" s="60" t="s">
        <v>12928</v>
      </c>
      <c r="D326" s="1" t="s">
        <v>8621</v>
      </c>
      <c r="E326" s="68"/>
      <c r="F326" s="70"/>
      <c r="G326" s="74" t="s">
        <v>17026</v>
      </c>
      <c r="H326" s="62"/>
      <c r="I326" s="63"/>
      <c r="J326" s="85"/>
      <c r="K326" s="64"/>
      <c r="L326" s="65"/>
      <c r="M326" s="99"/>
      <c r="N326" s="70"/>
      <c r="O326" s="67"/>
      <c r="P326" s="68"/>
      <c r="Q326" s="76"/>
      <c r="R326" s="70"/>
      <c r="S326" s="67"/>
      <c r="T326" s="68"/>
      <c r="U326" s="76"/>
      <c r="V326" s="70"/>
      <c r="W326" s="120">
        <f>ROUND((ROUND((_15_同援日増４．５*_15・基礎２),0)*(1+_15・A夜間)),0)</f>
        <v>638</v>
      </c>
      <c r="X326" s="69"/>
    </row>
    <row r="327" spans="1:24" ht="16.5" customHeight="1" x14ac:dyDescent="0.3">
      <c r="A327" s="2">
        <v>15</v>
      </c>
      <c r="B327" s="2" t="s">
        <v>2806</v>
      </c>
      <c r="C327" s="60" t="s">
        <v>12927</v>
      </c>
      <c r="D327" s="1"/>
      <c r="E327" s="119">
        <v>567</v>
      </c>
      <c r="F327" s="70" t="s">
        <v>0</v>
      </c>
      <c r="G327" s="106" t="s">
        <v>17025</v>
      </c>
      <c r="H327" s="57" t="s">
        <v>1</v>
      </c>
      <c r="I327" s="58">
        <v>0.9</v>
      </c>
      <c r="J327" s="83" t="s">
        <v>5895</v>
      </c>
      <c r="K327" s="64" t="s">
        <v>1</v>
      </c>
      <c r="L327" s="65">
        <v>1</v>
      </c>
      <c r="M327" s="99"/>
      <c r="N327" s="70"/>
      <c r="O327" s="66"/>
      <c r="P327" s="57"/>
      <c r="Q327" s="58"/>
      <c r="R327" s="77"/>
      <c r="S327" s="67"/>
      <c r="T327" s="68"/>
      <c r="U327" s="76"/>
      <c r="V327" s="70"/>
      <c r="W327" s="120">
        <f>ROUND((ROUND((ROUND((_15_同援日増４．５*_15・基礎２),0)*_15・２人),0)*(1+_15・A夜間)),0)</f>
        <v>638</v>
      </c>
      <c r="X327" s="69"/>
    </row>
    <row r="328" spans="1:24" ht="16.5" customHeight="1" x14ac:dyDescent="0.3">
      <c r="A328" s="2">
        <v>15</v>
      </c>
      <c r="B328" s="2" t="s">
        <v>2807</v>
      </c>
      <c r="C328" s="60" t="s">
        <v>12926</v>
      </c>
      <c r="D328" s="1"/>
      <c r="E328" s="68"/>
      <c r="F328" s="70"/>
      <c r="G328" s="61"/>
      <c r="H328" s="62"/>
      <c r="I328" s="63"/>
      <c r="J328" s="85"/>
      <c r="K328" s="64"/>
      <c r="L328" s="65"/>
      <c r="M328" s="99"/>
      <c r="N328" s="70"/>
      <c r="O328" s="74" t="s">
        <v>18187</v>
      </c>
      <c r="P328" s="62"/>
      <c r="Q328" s="63"/>
      <c r="R328" s="75"/>
      <c r="S328" s="67"/>
      <c r="T328" s="68"/>
      <c r="U328" s="76"/>
      <c r="V328" s="70"/>
      <c r="W328" s="120">
        <f>ROUND((ROUND((_15_同援日増４．５*(1+_15・A夜間)),0)*(1+_15・盲ろう)),0)</f>
        <v>886</v>
      </c>
      <c r="X328" s="69"/>
    </row>
    <row r="329" spans="1:24" ht="16.5" customHeight="1" x14ac:dyDescent="0.3">
      <c r="A329" s="2">
        <v>15</v>
      </c>
      <c r="B329" s="2" t="s">
        <v>2808</v>
      </c>
      <c r="C329" s="60" t="s">
        <v>12925</v>
      </c>
      <c r="D329" s="1"/>
      <c r="E329" s="68"/>
      <c r="F329" s="70"/>
      <c r="G329" s="66"/>
      <c r="H329" s="57"/>
      <c r="I329" s="58"/>
      <c r="J329" s="83" t="s">
        <v>5895</v>
      </c>
      <c r="K329" s="64" t="s">
        <v>1</v>
      </c>
      <c r="L329" s="65">
        <v>1</v>
      </c>
      <c r="M329" s="99"/>
      <c r="N329" s="70"/>
      <c r="O329" s="94" t="s">
        <v>18186</v>
      </c>
      <c r="P329" s="68"/>
      <c r="Q329" s="76"/>
      <c r="R329" s="70"/>
      <c r="S329" s="67"/>
      <c r="T329" s="68"/>
      <c r="U329" s="76"/>
      <c r="V329" s="70"/>
      <c r="W329" s="120">
        <f>ROUND((ROUND((ROUND((_15_同援日増４．５*_15・２人),0)*(1+_15・A夜間)),0)*(1+_15・盲ろう)),0)</f>
        <v>886</v>
      </c>
      <c r="X329" s="69"/>
    </row>
    <row r="330" spans="1:24" ht="16.5" customHeight="1" x14ac:dyDescent="0.3">
      <c r="A330" s="2">
        <v>15</v>
      </c>
      <c r="B330" s="2" t="s">
        <v>2809</v>
      </c>
      <c r="C330" s="60" t="s">
        <v>12924</v>
      </c>
      <c r="D330" s="1"/>
      <c r="E330" s="68"/>
      <c r="F330" s="70"/>
      <c r="G330" s="74" t="s">
        <v>17026</v>
      </c>
      <c r="H330" s="62"/>
      <c r="I330" s="63"/>
      <c r="J330" s="85"/>
      <c r="K330" s="64"/>
      <c r="L330" s="65"/>
      <c r="M330" s="99"/>
      <c r="N330" s="70"/>
      <c r="O330" s="67"/>
      <c r="P330" s="68" t="s">
        <v>1</v>
      </c>
      <c r="Q330" s="76">
        <v>0.25</v>
      </c>
      <c r="R330" s="70" t="s">
        <v>422</v>
      </c>
      <c r="S330" s="67"/>
      <c r="T330" s="68"/>
      <c r="U330" s="76"/>
      <c r="V330" s="70"/>
      <c r="W330" s="120">
        <f>ROUND((ROUND((ROUND((_15_同援日増４．５*_15・基礎２),0)*(1+_15・A夜間)),0)*(1+_15・盲ろう)),0)</f>
        <v>798</v>
      </c>
      <c r="X330" s="69"/>
    </row>
    <row r="331" spans="1:24" ht="16.5" customHeight="1" x14ac:dyDescent="0.3">
      <c r="A331" s="2">
        <v>15</v>
      </c>
      <c r="B331" s="2" t="s">
        <v>2810</v>
      </c>
      <c r="C331" s="60" t="s">
        <v>12923</v>
      </c>
      <c r="D331" s="1"/>
      <c r="E331" s="68"/>
      <c r="F331" s="70"/>
      <c r="G331" s="106" t="s">
        <v>17025</v>
      </c>
      <c r="H331" s="57" t="s">
        <v>1</v>
      </c>
      <c r="I331" s="58">
        <v>0.9</v>
      </c>
      <c r="J331" s="83" t="s">
        <v>5895</v>
      </c>
      <c r="K331" s="64" t="s">
        <v>1</v>
      </c>
      <c r="L331" s="65">
        <v>1</v>
      </c>
      <c r="M331" s="99"/>
      <c r="N331" s="70"/>
      <c r="O331" s="66"/>
      <c r="P331" s="57"/>
      <c r="Q331" s="58"/>
      <c r="R331" s="77"/>
      <c r="S331" s="66"/>
      <c r="T331" s="57"/>
      <c r="U331" s="58"/>
      <c r="V331" s="77"/>
      <c r="W331" s="120">
        <f>ROUND((ROUND((ROUND((ROUND((_15_同援日増４．５*_15・基礎２),0)*_15・２人),0)*(1+_15・A夜間)),0)*(1+_15・盲ろう)),0)</f>
        <v>798</v>
      </c>
      <c r="X331" s="69"/>
    </row>
    <row r="332" spans="1:24" ht="16.5" customHeight="1" x14ac:dyDescent="0.3">
      <c r="A332" s="2">
        <v>15</v>
      </c>
      <c r="B332" s="2" t="s">
        <v>2811</v>
      </c>
      <c r="C332" s="60" t="s">
        <v>12922</v>
      </c>
      <c r="D332" s="1"/>
      <c r="E332" s="68"/>
      <c r="F332" s="70"/>
      <c r="G332" s="61"/>
      <c r="H332" s="62"/>
      <c r="I332" s="63"/>
      <c r="J332" s="85"/>
      <c r="K332" s="64"/>
      <c r="L332" s="65"/>
      <c r="M332" s="99"/>
      <c r="N332" s="70"/>
      <c r="O332" s="61"/>
      <c r="P332" s="62"/>
      <c r="Q332" s="63"/>
      <c r="R332" s="75"/>
      <c r="S332" s="61"/>
      <c r="T332" s="62"/>
      <c r="U332" s="63"/>
      <c r="V332" s="75"/>
      <c r="W332" s="120">
        <f>ROUND((ROUND((_15_同援日増４．５*(1+_15・A夜間)),0)*(1+_15・区３)),0)</f>
        <v>851</v>
      </c>
      <c r="X332" s="69"/>
    </row>
    <row r="333" spans="1:24" ht="16.5" customHeight="1" x14ac:dyDescent="0.3">
      <c r="A333" s="2">
        <v>15</v>
      </c>
      <c r="B333" s="2" t="s">
        <v>2812</v>
      </c>
      <c r="C333" s="60" t="s">
        <v>12921</v>
      </c>
      <c r="D333" s="1"/>
      <c r="E333" s="68"/>
      <c r="F333" s="70"/>
      <c r="G333" s="66"/>
      <c r="H333" s="57"/>
      <c r="I333" s="58"/>
      <c r="J333" s="83" t="s">
        <v>5895</v>
      </c>
      <c r="K333" s="64" t="s">
        <v>1</v>
      </c>
      <c r="L333" s="65">
        <v>1</v>
      </c>
      <c r="M333" s="99"/>
      <c r="N333" s="70"/>
      <c r="O333" s="67"/>
      <c r="P333" s="68"/>
      <c r="Q333" s="76"/>
      <c r="R333" s="70"/>
      <c r="S333" s="67"/>
      <c r="T333" s="68"/>
      <c r="U333" s="76"/>
      <c r="V333" s="70"/>
      <c r="W333" s="120">
        <f>ROUND((ROUND((ROUND((_15_同援日増４．５*_15・２人),0)*(1+_15・A夜間)),0)*(1+_15・区３)),0)</f>
        <v>851</v>
      </c>
      <c r="X333" s="69"/>
    </row>
    <row r="334" spans="1:24" ht="16.5" customHeight="1" x14ac:dyDescent="0.3">
      <c r="A334" s="2">
        <v>15</v>
      </c>
      <c r="B334" s="2" t="s">
        <v>2813</v>
      </c>
      <c r="C334" s="60" t="s">
        <v>12920</v>
      </c>
      <c r="D334" s="1"/>
      <c r="E334" s="68"/>
      <c r="F334" s="70"/>
      <c r="G334" s="74" t="s">
        <v>17026</v>
      </c>
      <c r="H334" s="62"/>
      <c r="I334" s="63"/>
      <c r="J334" s="85"/>
      <c r="K334" s="64"/>
      <c r="L334" s="65"/>
      <c r="M334" s="99"/>
      <c r="N334" s="70"/>
      <c r="O334" s="67"/>
      <c r="P334" s="68"/>
      <c r="Q334" s="76"/>
      <c r="R334" s="70"/>
      <c r="S334" s="1" t="s">
        <v>18190</v>
      </c>
      <c r="T334" s="68"/>
      <c r="U334" s="76"/>
      <c r="V334" s="70"/>
      <c r="W334" s="120">
        <f>ROUND((ROUND((ROUND((_15_同援日増４．５*_15・基礎２),0)*(1+_15・A夜間)),0)*(1+_15・区３)),0)</f>
        <v>766</v>
      </c>
      <c r="X334" s="69"/>
    </row>
    <row r="335" spans="1:24" ht="16.5" customHeight="1" x14ac:dyDescent="0.3">
      <c r="A335" s="2">
        <v>15</v>
      </c>
      <c r="B335" s="2" t="s">
        <v>2814</v>
      </c>
      <c r="C335" s="60" t="s">
        <v>12919</v>
      </c>
      <c r="D335" s="1"/>
      <c r="E335" s="68"/>
      <c r="F335" s="70"/>
      <c r="G335" s="106" t="s">
        <v>17025</v>
      </c>
      <c r="H335" s="57" t="s">
        <v>1</v>
      </c>
      <c r="I335" s="58">
        <v>0.9</v>
      </c>
      <c r="J335" s="83" t="s">
        <v>5895</v>
      </c>
      <c r="K335" s="64" t="s">
        <v>1</v>
      </c>
      <c r="L335" s="65">
        <v>1</v>
      </c>
      <c r="M335" s="99"/>
      <c r="N335" s="70"/>
      <c r="O335" s="66"/>
      <c r="P335" s="57"/>
      <c r="Q335" s="58"/>
      <c r="R335" s="77"/>
      <c r="S335" s="1" t="s">
        <v>18188</v>
      </c>
      <c r="T335" s="68"/>
      <c r="U335" s="76"/>
      <c r="V335" s="70"/>
      <c r="W335" s="120">
        <f>ROUND((ROUND((ROUND((ROUND((_15_同援日増４．５*_15・基礎２),0)*_15・２人),0)*(1+_15・A夜間)),0)*(1+_15・区３)),0)</f>
        <v>766</v>
      </c>
      <c r="X335" s="69"/>
    </row>
    <row r="336" spans="1:24" ht="16.5" customHeight="1" x14ac:dyDescent="0.3">
      <c r="A336" s="2">
        <v>15</v>
      </c>
      <c r="B336" s="2" t="s">
        <v>2815</v>
      </c>
      <c r="C336" s="60" t="s">
        <v>12918</v>
      </c>
      <c r="D336" s="1"/>
      <c r="E336" s="68"/>
      <c r="F336" s="70"/>
      <c r="G336" s="61"/>
      <c r="H336" s="62"/>
      <c r="I336" s="63"/>
      <c r="J336" s="85"/>
      <c r="K336" s="64"/>
      <c r="L336" s="65"/>
      <c r="M336" s="99"/>
      <c r="N336" s="70"/>
      <c r="O336" s="74" t="s">
        <v>18187</v>
      </c>
      <c r="P336" s="62"/>
      <c r="Q336" s="63"/>
      <c r="R336" s="75"/>
      <c r="S336" s="67"/>
      <c r="T336" s="68" t="s">
        <v>1</v>
      </c>
      <c r="U336" s="76">
        <v>0.2</v>
      </c>
      <c r="V336" s="70" t="s">
        <v>422</v>
      </c>
      <c r="W336" s="120">
        <f>ROUND((ROUND((ROUND((_15_同援日増４．５*(1+_15・A夜間)),0)*(1+_15・盲ろう)),0)*(1+_15・区３)),0)</f>
        <v>1063</v>
      </c>
      <c r="X336" s="69"/>
    </row>
    <row r="337" spans="1:24" ht="16.5" customHeight="1" x14ac:dyDescent="0.3">
      <c r="A337" s="2">
        <v>15</v>
      </c>
      <c r="B337" s="2" t="s">
        <v>2816</v>
      </c>
      <c r="C337" s="60" t="s">
        <v>12917</v>
      </c>
      <c r="D337" s="1"/>
      <c r="E337" s="68"/>
      <c r="F337" s="70"/>
      <c r="G337" s="66"/>
      <c r="H337" s="57"/>
      <c r="I337" s="58"/>
      <c r="J337" s="83" t="s">
        <v>5895</v>
      </c>
      <c r="K337" s="64" t="s">
        <v>1</v>
      </c>
      <c r="L337" s="65">
        <v>1</v>
      </c>
      <c r="M337" s="99"/>
      <c r="N337" s="70"/>
      <c r="O337" s="94" t="s">
        <v>18186</v>
      </c>
      <c r="P337" s="68"/>
      <c r="Q337" s="76"/>
      <c r="R337" s="70"/>
      <c r="S337" s="67"/>
      <c r="T337" s="68"/>
      <c r="U337" s="76"/>
      <c r="V337" s="70"/>
      <c r="W337" s="120">
        <f>ROUND((ROUND((ROUND((ROUND((_15_同援日増４．５*_15・２人),0)*(1+_15・A夜間)),0)*(1+_15・盲ろう)),0)*(1+_15・区３)),0)</f>
        <v>1063</v>
      </c>
      <c r="X337" s="69"/>
    </row>
    <row r="338" spans="1:24" ht="16.5" customHeight="1" x14ac:dyDescent="0.3">
      <c r="A338" s="2">
        <v>15</v>
      </c>
      <c r="B338" s="2" t="s">
        <v>2817</v>
      </c>
      <c r="C338" s="60" t="s">
        <v>12916</v>
      </c>
      <c r="D338" s="1"/>
      <c r="E338" s="68"/>
      <c r="F338" s="70"/>
      <c r="G338" s="74" t="s">
        <v>17026</v>
      </c>
      <c r="H338" s="62"/>
      <c r="I338" s="63"/>
      <c r="J338" s="85"/>
      <c r="K338" s="64"/>
      <c r="L338" s="65"/>
      <c r="M338" s="99"/>
      <c r="N338" s="70"/>
      <c r="O338" s="67"/>
      <c r="P338" s="68" t="s">
        <v>1</v>
      </c>
      <c r="Q338" s="76">
        <v>0.25</v>
      </c>
      <c r="R338" s="70" t="s">
        <v>422</v>
      </c>
      <c r="S338" s="67"/>
      <c r="T338" s="68"/>
      <c r="U338" s="76"/>
      <c r="V338" s="70"/>
      <c r="W338" s="120">
        <f>ROUND((ROUND((ROUND((ROUND((_15_同援日増４．５*_15・基礎２),0)*(1+_15・A夜間)),0)*(1+_15・盲ろう)),0)*(1+_15・区３)),0)</f>
        <v>958</v>
      </c>
      <c r="X338" s="69"/>
    </row>
    <row r="339" spans="1:24" ht="16.5" customHeight="1" x14ac:dyDescent="0.3">
      <c r="A339" s="2">
        <v>15</v>
      </c>
      <c r="B339" s="2" t="s">
        <v>2818</v>
      </c>
      <c r="C339" s="60" t="s">
        <v>12915</v>
      </c>
      <c r="D339" s="1"/>
      <c r="E339" s="68"/>
      <c r="F339" s="70"/>
      <c r="G339" s="106" t="s">
        <v>17025</v>
      </c>
      <c r="H339" s="57" t="s">
        <v>1</v>
      </c>
      <c r="I339" s="58">
        <v>0.9</v>
      </c>
      <c r="J339" s="83" t="s">
        <v>5895</v>
      </c>
      <c r="K339" s="64" t="s">
        <v>1</v>
      </c>
      <c r="L339" s="65">
        <v>1</v>
      </c>
      <c r="M339" s="99"/>
      <c r="N339" s="70"/>
      <c r="O339" s="66"/>
      <c r="P339" s="57"/>
      <c r="Q339" s="58"/>
      <c r="R339" s="77"/>
      <c r="S339" s="66"/>
      <c r="T339" s="57"/>
      <c r="U339" s="58"/>
      <c r="V339" s="77"/>
      <c r="W339" s="120">
        <f>ROUND((ROUND((ROUND((ROUND((ROUND((_15_同援日増４．５*_15・基礎２),0)*_15・２人),0)*(1+_15・A夜間)),0)*(1+_15・盲ろう)),0)*(1+_15・区３)),0)</f>
        <v>958</v>
      </c>
      <c r="X339" s="69"/>
    </row>
    <row r="340" spans="1:24" ht="16.5" customHeight="1" x14ac:dyDescent="0.3">
      <c r="A340" s="2">
        <v>15</v>
      </c>
      <c r="B340" s="2" t="s">
        <v>2819</v>
      </c>
      <c r="C340" s="60" t="s">
        <v>12914</v>
      </c>
      <c r="D340" s="1"/>
      <c r="E340" s="68"/>
      <c r="F340" s="70"/>
      <c r="G340" s="61"/>
      <c r="H340" s="62"/>
      <c r="I340" s="63"/>
      <c r="J340" s="85"/>
      <c r="K340" s="64"/>
      <c r="L340" s="65"/>
      <c r="M340" s="99"/>
      <c r="N340" s="70"/>
      <c r="O340" s="61"/>
      <c r="P340" s="62"/>
      <c r="Q340" s="63"/>
      <c r="R340" s="75"/>
      <c r="S340" s="61"/>
      <c r="T340" s="62"/>
      <c r="U340" s="63"/>
      <c r="V340" s="75"/>
      <c r="W340" s="120">
        <f>ROUND((ROUND((_15_同援日増４．５*(1+_15・A夜間)),0)*(1+_15・区４)),0)</f>
        <v>993</v>
      </c>
      <c r="X340" s="69"/>
    </row>
    <row r="341" spans="1:24" ht="16.5" customHeight="1" x14ac:dyDescent="0.3">
      <c r="A341" s="2">
        <v>15</v>
      </c>
      <c r="B341" s="2" t="s">
        <v>2820</v>
      </c>
      <c r="C341" s="60" t="s">
        <v>12913</v>
      </c>
      <c r="D341" s="1"/>
      <c r="E341" s="68"/>
      <c r="F341" s="70"/>
      <c r="G341" s="66"/>
      <c r="H341" s="57"/>
      <c r="I341" s="58"/>
      <c r="J341" s="83" t="s">
        <v>5895</v>
      </c>
      <c r="K341" s="64" t="s">
        <v>1</v>
      </c>
      <c r="L341" s="65">
        <v>1</v>
      </c>
      <c r="M341" s="99"/>
      <c r="N341" s="70"/>
      <c r="O341" s="67"/>
      <c r="P341" s="68"/>
      <c r="Q341" s="76"/>
      <c r="R341" s="70"/>
      <c r="S341" s="67"/>
      <c r="T341" s="68"/>
      <c r="U341" s="76"/>
      <c r="V341" s="70"/>
      <c r="W341" s="120">
        <f>ROUND((ROUND((ROUND((_15_同援日増４．５*_15・２人),0)*(1+_15・A夜間)),0)*(1+_15・区４)),0)</f>
        <v>993</v>
      </c>
      <c r="X341" s="69"/>
    </row>
    <row r="342" spans="1:24" ht="16.5" customHeight="1" x14ac:dyDescent="0.3">
      <c r="A342" s="2">
        <v>15</v>
      </c>
      <c r="B342" s="2" t="s">
        <v>2821</v>
      </c>
      <c r="C342" s="60" t="s">
        <v>12912</v>
      </c>
      <c r="D342" s="1"/>
      <c r="E342" s="68"/>
      <c r="F342" s="70"/>
      <c r="G342" s="74" t="s">
        <v>17026</v>
      </c>
      <c r="H342" s="62"/>
      <c r="I342" s="63"/>
      <c r="J342" s="85"/>
      <c r="K342" s="64"/>
      <c r="L342" s="65"/>
      <c r="M342" s="99"/>
      <c r="N342" s="70"/>
      <c r="O342" s="67"/>
      <c r="P342" s="68"/>
      <c r="Q342" s="76"/>
      <c r="R342" s="70"/>
      <c r="S342" s="1" t="s">
        <v>18189</v>
      </c>
      <c r="T342" s="68"/>
      <c r="U342" s="76"/>
      <c r="V342" s="70"/>
      <c r="W342" s="120">
        <f>ROUND((ROUND((ROUND((_15_同援日増４．５*_15・基礎２),0)*(1+_15・A夜間)),0)*(1+_15・区４)),0)</f>
        <v>893</v>
      </c>
      <c r="X342" s="69"/>
    </row>
    <row r="343" spans="1:24" ht="16.5" customHeight="1" x14ac:dyDescent="0.3">
      <c r="A343" s="2">
        <v>15</v>
      </c>
      <c r="B343" s="2" t="s">
        <v>2822</v>
      </c>
      <c r="C343" s="60" t="s">
        <v>12911</v>
      </c>
      <c r="D343" s="1"/>
      <c r="E343" s="68"/>
      <c r="F343" s="70"/>
      <c r="G343" s="106" t="s">
        <v>17025</v>
      </c>
      <c r="H343" s="57" t="s">
        <v>1</v>
      </c>
      <c r="I343" s="58">
        <v>0.9</v>
      </c>
      <c r="J343" s="83" t="s">
        <v>5895</v>
      </c>
      <c r="K343" s="64" t="s">
        <v>1</v>
      </c>
      <c r="L343" s="65">
        <v>1</v>
      </c>
      <c r="M343" s="99"/>
      <c r="N343" s="70"/>
      <c r="O343" s="66"/>
      <c r="P343" s="57"/>
      <c r="Q343" s="58"/>
      <c r="R343" s="77"/>
      <c r="S343" s="1" t="s">
        <v>18188</v>
      </c>
      <c r="T343" s="68"/>
      <c r="U343" s="76"/>
      <c r="V343" s="70"/>
      <c r="W343" s="120">
        <f>ROUND((ROUND((ROUND((ROUND((_15_同援日増４．５*_15・基礎２),0)*_15・２人),0)*(1+_15・A夜間)),0)*(1+_15・区４)),0)</f>
        <v>893</v>
      </c>
      <c r="X343" s="69"/>
    </row>
    <row r="344" spans="1:24" ht="16.5" customHeight="1" x14ac:dyDescent="0.3">
      <c r="A344" s="2">
        <v>15</v>
      </c>
      <c r="B344" s="2" t="s">
        <v>2823</v>
      </c>
      <c r="C344" s="60" t="s">
        <v>12910</v>
      </c>
      <c r="D344" s="1"/>
      <c r="E344" s="68"/>
      <c r="F344" s="70"/>
      <c r="G344" s="61"/>
      <c r="H344" s="62"/>
      <c r="I344" s="63"/>
      <c r="J344" s="85"/>
      <c r="K344" s="64"/>
      <c r="L344" s="65"/>
      <c r="M344" s="99"/>
      <c r="N344" s="70"/>
      <c r="O344" s="74" t="s">
        <v>18187</v>
      </c>
      <c r="P344" s="62"/>
      <c r="Q344" s="63"/>
      <c r="R344" s="75"/>
      <c r="S344" s="67"/>
      <c r="T344" s="68" t="s">
        <v>1</v>
      </c>
      <c r="U344" s="76">
        <v>0.4</v>
      </c>
      <c r="V344" s="70" t="s">
        <v>422</v>
      </c>
      <c r="W344" s="120">
        <f>ROUND((ROUND((ROUND((_15_同援日増４．５*(1+_15・A夜間)),0)*(1+_15・盲ろう)),0)*(1+_15・区４)),0)</f>
        <v>1240</v>
      </c>
      <c r="X344" s="69"/>
    </row>
    <row r="345" spans="1:24" ht="16.5" customHeight="1" x14ac:dyDescent="0.3">
      <c r="A345" s="2">
        <v>15</v>
      </c>
      <c r="B345" s="2" t="s">
        <v>2824</v>
      </c>
      <c r="C345" s="60" t="s">
        <v>12909</v>
      </c>
      <c r="D345" s="1"/>
      <c r="E345" s="68"/>
      <c r="F345" s="70"/>
      <c r="G345" s="66"/>
      <c r="H345" s="57"/>
      <c r="I345" s="58"/>
      <c r="J345" s="83" t="s">
        <v>5895</v>
      </c>
      <c r="K345" s="64" t="s">
        <v>1</v>
      </c>
      <c r="L345" s="65">
        <v>1</v>
      </c>
      <c r="M345" s="99"/>
      <c r="N345" s="70"/>
      <c r="O345" s="94" t="s">
        <v>18186</v>
      </c>
      <c r="P345" s="68"/>
      <c r="Q345" s="76"/>
      <c r="R345" s="70"/>
      <c r="S345" s="67"/>
      <c r="T345" s="68"/>
      <c r="U345" s="76"/>
      <c r="V345" s="70"/>
      <c r="W345" s="120">
        <f>ROUND((ROUND((ROUND((ROUND((_15_同援日増４．５*_15・２人),0)*(1+_15・A夜間)),0)*(1+_15・盲ろう)),0)*(1+_15・区４)),0)</f>
        <v>1240</v>
      </c>
      <c r="X345" s="69"/>
    </row>
    <row r="346" spans="1:24" ht="16.5" customHeight="1" x14ac:dyDescent="0.3">
      <c r="A346" s="2">
        <v>15</v>
      </c>
      <c r="B346" s="2" t="s">
        <v>2825</v>
      </c>
      <c r="C346" s="60" t="s">
        <v>12908</v>
      </c>
      <c r="D346" s="1"/>
      <c r="E346" s="68"/>
      <c r="F346" s="70"/>
      <c r="G346" s="74" t="s">
        <v>17026</v>
      </c>
      <c r="H346" s="62"/>
      <c r="I346" s="63"/>
      <c r="J346" s="85"/>
      <c r="K346" s="64"/>
      <c r="L346" s="65"/>
      <c r="M346" s="99"/>
      <c r="N346" s="70"/>
      <c r="O346" s="67"/>
      <c r="P346" s="68" t="s">
        <v>1</v>
      </c>
      <c r="Q346" s="76">
        <v>0.25</v>
      </c>
      <c r="R346" s="70" t="s">
        <v>422</v>
      </c>
      <c r="S346" s="67"/>
      <c r="T346" s="68"/>
      <c r="U346" s="76"/>
      <c r="V346" s="70"/>
      <c r="W346" s="120">
        <f>ROUND((ROUND((ROUND((ROUND((_15_同援日増４．５*_15・基礎２),0)*(1+_15・A夜間)),0)*(1+_15・盲ろう)),0)*(1+_15・区４)),0)</f>
        <v>1117</v>
      </c>
      <c r="X346" s="69"/>
    </row>
    <row r="347" spans="1:24" ht="16.5" customHeight="1" x14ac:dyDescent="0.3">
      <c r="A347" s="2">
        <v>15</v>
      </c>
      <c r="B347" s="2" t="s">
        <v>2826</v>
      </c>
      <c r="C347" s="60" t="s">
        <v>12907</v>
      </c>
      <c r="D347" s="81"/>
      <c r="E347" s="57"/>
      <c r="F347" s="77"/>
      <c r="G347" s="106" t="s">
        <v>17025</v>
      </c>
      <c r="H347" s="57" t="s">
        <v>1</v>
      </c>
      <c r="I347" s="58">
        <v>0.9</v>
      </c>
      <c r="J347" s="83" t="s">
        <v>5895</v>
      </c>
      <c r="K347" s="64" t="s">
        <v>1</v>
      </c>
      <c r="L347" s="65">
        <v>1</v>
      </c>
      <c r="M347" s="101"/>
      <c r="N347" s="77"/>
      <c r="O347" s="66"/>
      <c r="P347" s="57"/>
      <c r="Q347" s="58"/>
      <c r="R347" s="77"/>
      <c r="S347" s="66"/>
      <c r="T347" s="57"/>
      <c r="U347" s="58"/>
      <c r="V347" s="77"/>
      <c r="W347" s="120">
        <f>ROUND((ROUND((ROUND((ROUND((ROUND((_15_同援日増４．５*_15・基礎２),0)*_15・２人),0)*(1+_15・A夜間)),0)*(1+_15・盲ろう)),0)*(1+_15・区４)),0)</f>
        <v>1117</v>
      </c>
      <c r="X347" s="71"/>
    </row>
    <row r="348" spans="1:24" ht="16.5" customHeight="1" x14ac:dyDescent="0.3"/>
    <row r="349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3" manualBreakCount="3">
    <brk id="110" max="16383" man="1"/>
    <brk id="211" max="16383" man="1"/>
    <brk id="31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0000"/>
    <pageSetUpPr fitToPage="1"/>
  </sheetPr>
  <dimension ref="A1:X320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3.1015625" style="45" bestFit="1" customWidth="1"/>
    <col min="5" max="5" width="4.1015625" style="46" bestFit="1" customWidth="1"/>
    <col min="6" max="6" width="4.734375" style="46" bestFit="1" customWidth="1"/>
    <col min="7" max="7" width="14.62890625" style="46" customWidth="1"/>
    <col min="8" max="8" width="3.1015625" style="46" bestFit="1" customWidth="1"/>
    <col min="9" max="9" width="4.1015625" style="47" bestFit="1" customWidth="1"/>
    <col min="10" max="10" width="26.62890625" style="46" bestFit="1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10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18210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 t="s">
        <v>2827</v>
      </c>
      <c r="C7" s="60" t="s">
        <v>13554</v>
      </c>
      <c r="D7" s="233" t="s">
        <v>18209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ROUND((_15_同援日増０．５*(1+_15・A深夜)),0)</f>
        <v>95</v>
      </c>
      <c r="X7" s="52" t="s">
        <v>5863</v>
      </c>
    </row>
    <row r="8" spans="1:24" ht="16.5" customHeight="1" x14ac:dyDescent="0.3">
      <c r="A8" s="2">
        <v>15</v>
      </c>
      <c r="B8" s="2" t="s">
        <v>2828</v>
      </c>
      <c r="C8" s="60" t="s">
        <v>13553</v>
      </c>
      <c r="D8" s="1" t="s">
        <v>7928</v>
      </c>
      <c r="E8" s="68"/>
      <c r="F8" s="70"/>
      <c r="G8" s="66"/>
      <c r="H8" s="57"/>
      <c r="I8" s="58"/>
      <c r="J8" s="83" t="s">
        <v>5895</v>
      </c>
      <c r="K8" s="64" t="s">
        <v>1</v>
      </c>
      <c r="L8" s="65">
        <v>1</v>
      </c>
      <c r="M8" s="99"/>
      <c r="N8" s="70"/>
      <c r="O8" s="67"/>
      <c r="P8" s="68"/>
      <c r="Q8" s="76"/>
      <c r="R8" s="70"/>
      <c r="S8" s="67"/>
      <c r="T8" s="68"/>
      <c r="U8" s="76"/>
      <c r="V8" s="70"/>
      <c r="W8" s="120">
        <f>ROUND((ROUND((_15_同援日増０．５*_15・２人),0)*(1+_15・A深夜)),0)</f>
        <v>95</v>
      </c>
      <c r="X8" s="69"/>
    </row>
    <row r="9" spans="1:24" ht="16.5" customHeight="1" x14ac:dyDescent="0.3">
      <c r="A9" s="2">
        <v>15</v>
      </c>
      <c r="B9" s="2" t="s">
        <v>2829</v>
      </c>
      <c r="C9" s="60" t="s">
        <v>13552</v>
      </c>
      <c r="D9" s="1"/>
      <c r="E9" s="68"/>
      <c r="F9" s="70"/>
      <c r="G9" s="74" t="s">
        <v>17747</v>
      </c>
      <c r="H9" s="62"/>
      <c r="I9" s="63"/>
      <c r="J9" s="85"/>
      <c r="K9" s="64"/>
      <c r="L9" s="65"/>
      <c r="M9" s="99"/>
      <c r="N9" s="70"/>
      <c r="O9" s="67"/>
      <c r="P9" s="68"/>
      <c r="Q9" s="76"/>
      <c r="R9" s="70"/>
      <c r="S9" s="67"/>
      <c r="T9" s="68"/>
      <c r="U9" s="76"/>
      <c r="V9" s="70"/>
      <c r="W9" s="120">
        <f>ROUND((ROUND((_15_同援日増０．５*_15・基礎２),0)*(1+_15・A深夜)),0)</f>
        <v>86</v>
      </c>
      <c r="X9" s="69"/>
    </row>
    <row r="10" spans="1:24" ht="16.5" customHeight="1" x14ac:dyDescent="0.3">
      <c r="A10" s="2">
        <v>15</v>
      </c>
      <c r="B10" s="2" t="s">
        <v>2830</v>
      </c>
      <c r="C10" s="60" t="s">
        <v>13551</v>
      </c>
      <c r="D10" s="1"/>
      <c r="E10" s="119">
        <v>63</v>
      </c>
      <c r="F10" s="70" t="s">
        <v>0</v>
      </c>
      <c r="G10" s="106" t="s">
        <v>17420</v>
      </c>
      <c r="H10" s="57" t="s">
        <v>1</v>
      </c>
      <c r="I10" s="58">
        <v>0.9</v>
      </c>
      <c r="J10" s="83" t="s">
        <v>5895</v>
      </c>
      <c r="K10" s="64" t="s">
        <v>1</v>
      </c>
      <c r="L10" s="65">
        <v>1</v>
      </c>
      <c r="M10" s="99"/>
      <c r="N10" s="70"/>
      <c r="O10" s="66"/>
      <c r="P10" s="57"/>
      <c r="Q10" s="58"/>
      <c r="R10" s="77"/>
      <c r="S10" s="67"/>
      <c r="T10" s="68"/>
      <c r="U10" s="76"/>
      <c r="V10" s="70"/>
      <c r="W10" s="120">
        <f>ROUND((ROUND((ROUND((_15_同援日増０．５*_15・基礎２),0)*_15・２人),0)*(1+_15・A深夜)),0)</f>
        <v>86</v>
      </c>
      <c r="X10" s="69"/>
    </row>
    <row r="11" spans="1:24" ht="16.5" customHeight="1" x14ac:dyDescent="0.3">
      <c r="A11" s="2">
        <v>15</v>
      </c>
      <c r="B11" s="2" t="s">
        <v>2831</v>
      </c>
      <c r="C11" s="60" t="s">
        <v>13550</v>
      </c>
      <c r="D11" s="1"/>
      <c r="E11" s="68"/>
      <c r="F11" s="70"/>
      <c r="G11" s="61"/>
      <c r="H11" s="62"/>
      <c r="I11" s="63"/>
      <c r="J11" s="85"/>
      <c r="K11" s="64"/>
      <c r="L11" s="65"/>
      <c r="M11" s="99"/>
      <c r="N11" s="70"/>
      <c r="O11" s="74" t="s">
        <v>17933</v>
      </c>
      <c r="P11" s="62"/>
      <c r="Q11" s="63"/>
      <c r="R11" s="75"/>
      <c r="S11" s="67"/>
      <c r="T11" s="68"/>
      <c r="U11" s="76"/>
      <c r="V11" s="70"/>
      <c r="W11" s="120">
        <f>ROUND((ROUND((_15_同援日増０．５*(1+_15・A深夜)),0)*(1+_15・盲ろう)),0)</f>
        <v>119</v>
      </c>
      <c r="X11" s="69"/>
    </row>
    <row r="12" spans="1:24" ht="16.5" customHeight="1" x14ac:dyDescent="0.3">
      <c r="A12" s="2">
        <v>15</v>
      </c>
      <c r="B12" s="2" t="s">
        <v>2832</v>
      </c>
      <c r="C12" s="60" t="s">
        <v>13549</v>
      </c>
      <c r="D12" s="1"/>
      <c r="E12" s="68"/>
      <c r="F12" s="70"/>
      <c r="G12" s="66"/>
      <c r="H12" s="57"/>
      <c r="I12" s="58"/>
      <c r="J12" s="83" t="s">
        <v>5895</v>
      </c>
      <c r="K12" s="64" t="s">
        <v>1</v>
      </c>
      <c r="L12" s="65">
        <v>1</v>
      </c>
      <c r="M12" s="99" t="s">
        <v>7920</v>
      </c>
      <c r="N12" s="70"/>
      <c r="O12" s="94" t="s">
        <v>17932</v>
      </c>
      <c r="P12" s="68"/>
      <c r="Q12" s="76"/>
      <c r="R12" s="70"/>
      <c r="S12" s="67"/>
      <c r="T12" s="68"/>
      <c r="U12" s="76"/>
      <c r="V12" s="70"/>
      <c r="W12" s="120">
        <f>ROUND((ROUND((ROUND((_15_同援日増０．５*_15・２人),0)*(1+_15・A深夜)),0)*(1+_15・盲ろう)),0)</f>
        <v>119</v>
      </c>
      <c r="X12" s="69"/>
    </row>
    <row r="13" spans="1:24" ht="16.5" customHeight="1" x14ac:dyDescent="0.3">
      <c r="A13" s="2">
        <v>15</v>
      </c>
      <c r="B13" s="2" t="s">
        <v>2833</v>
      </c>
      <c r="C13" s="60" t="s">
        <v>13548</v>
      </c>
      <c r="D13" s="1"/>
      <c r="E13" s="68"/>
      <c r="F13" s="70"/>
      <c r="G13" s="74" t="s">
        <v>17747</v>
      </c>
      <c r="H13" s="62"/>
      <c r="I13" s="63"/>
      <c r="J13" s="85"/>
      <c r="K13" s="64"/>
      <c r="L13" s="65"/>
      <c r="M13" s="99"/>
      <c r="N13" s="109" t="s">
        <v>8034</v>
      </c>
      <c r="O13" s="67"/>
      <c r="P13" s="68" t="s">
        <v>1</v>
      </c>
      <c r="Q13" s="76">
        <v>0.25</v>
      </c>
      <c r="R13" s="70" t="s">
        <v>422</v>
      </c>
      <c r="S13" s="67"/>
      <c r="T13" s="68"/>
      <c r="U13" s="76"/>
      <c r="V13" s="70"/>
      <c r="W13" s="120">
        <f>ROUND((ROUND((ROUND((_15_同援日増０．５*_15・基礎２),0)*(1+_15・A深夜)),0)*(1+_15・盲ろう)),0)</f>
        <v>108</v>
      </c>
      <c r="X13" s="69"/>
    </row>
    <row r="14" spans="1:24" ht="16.5" customHeight="1" x14ac:dyDescent="0.3">
      <c r="A14" s="2">
        <v>15</v>
      </c>
      <c r="B14" s="2" t="s">
        <v>2834</v>
      </c>
      <c r="C14" s="60" t="s">
        <v>13547</v>
      </c>
      <c r="D14" s="1"/>
      <c r="E14" s="68"/>
      <c r="F14" s="70"/>
      <c r="G14" s="106" t="s">
        <v>17420</v>
      </c>
      <c r="H14" s="57" t="s">
        <v>1</v>
      </c>
      <c r="I14" s="58">
        <v>0.9</v>
      </c>
      <c r="J14" s="83" t="s">
        <v>5895</v>
      </c>
      <c r="K14" s="64" t="s">
        <v>1</v>
      </c>
      <c r="L14" s="65">
        <v>1</v>
      </c>
      <c r="M14" s="99"/>
      <c r="N14" s="70"/>
      <c r="O14" s="66"/>
      <c r="P14" s="57"/>
      <c r="Q14" s="58"/>
      <c r="R14" s="77"/>
      <c r="S14" s="66"/>
      <c r="T14" s="57"/>
      <c r="U14" s="58"/>
      <c r="V14" s="77"/>
      <c r="W14" s="120">
        <f>ROUND((ROUND((ROUND((ROUND((_15_同援日増０．５*_15・基礎２),0)*_15・２人),0)*(1+_15・A深夜)),0)*(1+_15・盲ろう)),0)</f>
        <v>108</v>
      </c>
      <c r="X14" s="69"/>
    </row>
    <row r="15" spans="1:24" ht="16.5" customHeight="1" x14ac:dyDescent="0.3">
      <c r="A15" s="2">
        <v>15</v>
      </c>
      <c r="B15" s="2" t="s">
        <v>2835</v>
      </c>
      <c r="C15" s="60" t="s">
        <v>13546</v>
      </c>
      <c r="D15" s="1"/>
      <c r="E15" s="68"/>
      <c r="F15" s="70"/>
      <c r="G15" s="61"/>
      <c r="H15" s="62"/>
      <c r="I15" s="63"/>
      <c r="J15" s="85"/>
      <c r="K15" s="64"/>
      <c r="L15" s="65"/>
      <c r="M15" s="67" t="s">
        <v>1</v>
      </c>
      <c r="N15" s="93">
        <v>0.5</v>
      </c>
      <c r="O15" s="61"/>
      <c r="P15" s="62"/>
      <c r="Q15" s="63"/>
      <c r="R15" s="75"/>
      <c r="S15" s="61"/>
      <c r="T15" s="62"/>
      <c r="U15" s="63"/>
      <c r="V15" s="75"/>
      <c r="W15" s="120">
        <f>ROUND((ROUND((_15_同援日増０．５*(1+_15・A深夜)),0)*(1+_15・区３)),0)</f>
        <v>114</v>
      </c>
      <c r="X15" s="69"/>
    </row>
    <row r="16" spans="1:24" ht="16.5" customHeight="1" x14ac:dyDescent="0.3">
      <c r="A16" s="2">
        <v>15</v>
      </c>
      <c r="B16" s="2" t="s">
        <v>2836</v>
      </c>
      <c r="C16" s="60" t="s">
        <v>13545</v>
      </c>
      <c r="D16" s="1"/>
      <c r="E16" s="68"/>
      <c r="F16" s="70"/>
      <c r="G16" s="66"/>
      <c r="H16" s="57"/>
      <c r="I16" s="58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7"/>
      <c r="P16" s="68"/>
      <c r="Q16" s="76"/>
      <c r="R16" s="70"/>
      <c r="S16" s="67"/>
      <c r="T16" s="68"/>
      <c r="U16" s="76"/>
      <c r="V16" s="70"/>
      <c r="W16" s="120">
        <f>ROUND((ROUND((ROUND((_15_同援日増０．５*_15・２人),0)*(1+_15・A深夜)),0)*(1+_15・区３)),0)</f>
        <v>114</v>
      </c>
      <c r="X16" s="69"/>
    </row>
    <row r="17" spans="1:24" ht="16.5" customHeight="1" x14ac:dyDescent="0.3">
      <c r="A17" s="2">
        <v>15</v>
      </c>
      <c r="B17" s="2" t="s">
        <v>2837</v>
      </c>
      <c r="C17" s="60" t="s">
        <v>13544</v>
      </c>
      <c r="D17" s="1"/>
      <c r="E17" s="68"/>
      <c r="F17" s="70"/>
      <c r="G17" s="74" t="s">
        <v>17747</v>
      </c>
      <c r="H17" s="62"/>
      <c r="I17" s="63"/>
      <c r="J17" s="85"/>
      <c r="K17" s="64"/>
      <c r="L17" s="65"/>
      <c r="M17" s="99"/>
      <c r="N17" s="70"/>
      <c r="O17" s="67"/>
      <c r="P17" s="68"/>
      <c r="Q17" s="76"/>
      <c r="R17" s="70"/>
      <c r="S17" s="1" t="s">
        <v>17936</v>
      </c>
      <c r="T17" s="68"/>
      <c r="U17" s="76"/>
      <c r="V17" s="70"/>
      <c r="W17" s="120">
        <f>ROUND((ROUND((ROUND((_15_同援日増０．５*_15・基礎２),0)*(1+_15・A深夜)),0)*(1+_15・区３)),0)</f>
        <v>103</v>
      </c>
      <c r="X17" s="69"/>
    </row>
    <row r="18" spans="1:24" ht="16.5" customHeight="1" x14ac:dyDescent="0.3">
      <c r="A18" s="2">
        <v>15</v>
      </c>
      <c r="B18" s="2" t="s">
        <v>2838</v>
      </c>
      <c r="C18" s="60" t="s">
        <v>13543</v>
      </c>
      <c r="D18" s="1"/>
      <c r="E18" s="68"/>
      <c r="F18" s="70"/>
      <c r="G18" s="106" t="s">
        <v>17420</v>
      </c>
      <c r="H18" s="57" t="s">
        <v>1</v>
      </c>
      <c r="I18" s="58">
        <v>0.9</v>
      </c>
      <c r="J18" s="83" t="s">
        <v>5895</v>
      </c>
      <c r="K18" s="64" t="s">
        <v>1</v>
      </c>
      <c r="L18" s="65">
        <v>1</v>
      </c>
      <c r="M18" s="99"/>
      <c r="N18" s="70"/>
      <c r="O18" s="66"/>
      <c r="P18" s="57"/>
      <c r="Q18" s="58"/>
      <c r="R18" s="77"/>
      <c r="S18" s="1" t="s">
        <v>17934</v>
      </c>
      <c r="T18" s="68"/>
      <c r="U18" s="76"/>
      <c r="V18" s="70"/>
      <c r="W18" s="120">
        <f>ROUND((ROUND((ROUND((ROUND((_15_同援日増０．５*_15・基礎２),0)*_15・２人),0)*(1+_15・A深夜)),0)*(1+_15・区３)),0)</f>
        <v>103</v>
      </c>
      <c r="X18" s="69"/>
    </row>
    <row r="19" spans="1:24" ht="16.5" customHeight="1" x14ac:dyDescent="0.3">
      <c r="A19" s="2">
        <v>15</v>
      </c>
      <c r="B19" s="2" t="s">
        <v>2839</v>
      </c>
      <c r="C19" s="60" t="s">
        <v>13542</v>
      </c>
      <c r="D19" s="1"/>
      <c r="E19" s="68"/>
      <c r="F19" s="70"/>
      <c r="G19" s="61"/>
      <c r="H19" s="62"/>
      <c r="I19" s="63"/>
      <c r="J19" s="85"/>
      <c r="K19" s="64"/>
      <c r="L19" s="65"/>
      <c r="M19" s="99"/>
      <c r="N19" s="70"/>
      <c r="O19" s="74" t="s">
        <v>17933</v>
      </c>
      <c r="P19" s="62"/>
      <c r="Q19" s="63"/>
      <c r="R19" s="75"/>
      <c r="S19" s="67"/>
      <c r="T19" s="68" t="s">
        <v>1</v>
      </c>
      <c r="U19" s="76">
        <v>0.2</v>
      </c>
      <c r="V19" s="70" t="s">
        <v>422</v>
      </c>
      <c r="W19" s="120">
        <f>ROUND((ROUND((ROUND((_15_同援日増０．５*(1+_15・A深夜)),0)*(1+_15・盲ろう)),0)*(1+_15・区３)),0)</f>
        <v>143</v>
      </c>
      <c r="X19" s="69"/>
    </row>
    <row r="20" spans="1:24" ht="16.5" customHeight="1" x14ac:dyDescent="0.3">
      <c r="A20" s="2">
        <v>15</v>
      </c>
      <c r="B20" s="2" t="s">
        <v>2840</v>
      </c>
      <c r="C20" s="60" t="s">
        <v>13541</v>
      </c>
      <c r="D20" s="1"/>
      <c r="E20" s="68"/>
      <c r="F20" s="70"/>
      <c r="G20" s="66"/>
      <c r="H20" s="57"/>
      <c r="I20" s="58"/>
      <c r="J20" s="83" t="s">
        <v>5895</v>
      </c>
      <c r="K20" s="64" t="s">
        <v>1</v>
      </c>
      <c r="L20" s="65">
        <v>1</v>
      </c>
      <c r="M20" s="99"/>
      <c r="N20" s="70"/>
      <c r="O20" s="94" t="s">
        <v>17932</v>
      </c>
      <c r="P20" s="68"/>
      <c r="Q20" s="76"/>
      <c r="R20" s="70"/>
      <c r="S20" s="67"/>
      <c r="T20" s="68"/>
      <c r="U20" s="76"/>
      <c r="V20" s="70"/>
      <c r="W20" s="120">
        <f>ROUND((ROUND((ROUND((ROUND((_15_同援日増０．５*_15・２人),0)*(1+_15・A深夜)),0)*(1+_15・盲ろう)),0)*(1+_15・区３)),0)</f>
        <v>143</v>
      </c>
      <c r="X20" s="69"/>
    </row>
    <row r="21" spans="1:24" ht="16.5" customHeight="1" x14ac:dyDescent="0.3">
      <c r="A21" s="2">
        <v>15</v>
      </c>
      <c r="B21" s="2" t="s">
        <v>2841</v>
      </c>
      <c r="C21" s="60" t="s">
        <v>13540</v>
      </c>
      <c r="D21" s="1"/>
      <c r="E21" s="68"/>
      <c r="F21" s="70"/>
      <c r="G21" s="74" t="s">
        <v>17747</v>
      </c>
      <c r="H21" s="62"/>
      <c r="I21" s="63"/>
      <c r="J21" s="85"/>
      <c r="K21" s="64"/>
      <c r="L21" s="65"/>
      <c r="M21" s="99"/>
      <c r="N21" s="70"/>
      <c r="O21" s="67"/>
      <c r="P21" s="68" t="s">
        <v>1</v>
      </c>
      <c r="Q21" s="76">
        <v>0.25</v>
      </c>
      <c r="R21" s="70" t="s">
        <v>422</v>
      </c>
      <c r="S21" s="67"/>
      <c r="T21" s="68"/>
      <c r="U21" s="76"/>
      <c r="V21" s="70"/>
      <c r="W21" s="120">
        <f>ROUND((ROUND((ROUND((ROUND((_15_同援日増０．５*_15・基礎２),0)*(1+_15・A深夜)),0)*(1+_15・盲ろう)),0)*(1+_15・区３)),0)</f>
        <v>130</v>
      </c>
      <c r="X21" s="69"/>
    </row>
    <row r="22" spans="1:24" ht="16.5" customHeight="1" x14ac:dyDescent="0.3">
      <c r="A22" s="2">
        <v>15</v>
      </c>
      <c r="B22" s="2" t="s">
        <v>2842</v>
      </c>
      <c r="C22" s="60" t="s">
        <v>13539</v>
      </c>
      <c r="D22" s="1"/>
      <c r="E22" s="68"/>
      <c r="F22" s="70"/>
      <c r="G22" s="106" t="s">
        <v>17420</v>
      </c>
      <c r="H22" s="57" t="s">
        <v>1</v>
      </c>
      <c r="I22" s="58">
        <v>0.9</v>
      </c>
      <c r="J22" s="83" t="s">
        <v>5895</v>
      </c>
      <c r="K22" s="64" t="s">
        <v>1</v>
      </c>
      <c r="L22" s="65">
        <v>1</v>
      </c>
      <c r="M22" s="99"/>
      <c r="N22" s="70"/>
      <c r="O22" s="66"/>
      <c r="P22" s="57"/>
      <c r="Q22" s="58"/>
      <c r="R22" s="77"/>
      <c r="S22" s="66"/>
      <c r="T22" s="57"/>
      <c r="U22" s="58"/>
      <c r="V22" s="77"/>
      <c r="W22" s="120">
        <f>ROUND((ROUND((ROUND((ROUND((ROUND((_15_同援日増０．５*_15・基礎２),0)*_15・２人),0)*(1+_15・A深夜)),0)*(1+_15・盲ろう)),0)*(1+_15・区３)),0)</f>
        <v>130</v>
      </c>
      <c r="X22" s="69"/>
    </row>
    <row r="23" spans="1:24" ht="16.5" customHeight="1" x14ac:dyDescent="0.3">
      <c r="A23" s="2">
        <v>15</v>
      </c>
      <c r="B23" s="2" t="s">
        <v>2843</v>
      </c>
      <c r="C23" s="60" t="s">
        <v>13538</v>
      </c>
      <c r="D23" s="1"/>
      <c r="E23" s="68"/>
      <c r="F23" s="70"/>
      <c r="G23" s="61"/>
      <c r="H23" s="62"/>
      <c r="I23" s="63"/>
      <c r="J23" s="85"/>
      <c r="K23" s="64"/>
      <c r="L23" s="65"/>
      <c r="M23" s="99"/>
      <c r="N23" s="70"/>
      <c r="O23" s="61"/>
      <c r="P23" s="62"/>
      <c r="Q23" s="63"/>
      <c r="R23" s="75"/>
      <c r="S23" s="61"/>
      <c r="T23" s="62"/>
      <c r="U23" s="63"/>
      <c r="V23" s="75"/>
      <c r="W23" s="120">
        <f>ROUND((ROUND((_15_同援日増０．５*(1+_15・A深夜)),0)*(1+_15・区４)),0)</f>
        <v>133</v>
      </c>
      <c r="X23" s="69"/>
    </row>
    <row r="24" spans="1:24" ht="16.5" customHeight="1" x14ac:dyDescent="0.3">
      <c r="A24" s="2">
        <v>15</v>
      </c>
      <c r="B24" s="2" t="s">
        <v>2844</v>
      </c>
      <c r="C24" s="60" t="s">
        <v>13537</v>
      </c>
      <c r="D24" s="1"/>
      <c r="E24" s="68"/>
      <c r="F24" s="70"/>
      <c r="G24" s="66"/>
      <c r="H24" s="57"/>
      <c r="I24" s="58"/>
      <c r="J24" s="83" t="s">
        <v>5895</v>
      </c>
      <c r="K24" s="64" t="s">
        <v>1</v>
      </c>
      <c r="L24" s="65">
        <v>1</v>
      </c>
      <c r="M24" s="99"/>
      <c r="N24" s="70"/>
      <c r="O24" s="67"/>
      <c r="P24" s="68"/>
      <c r="Q24" s="76"/>
      <c r="R24" s="70"/>
      <c r="S24" s="67"/>
      <c r="T24" s="68"/>
      <c r="U24" s="76"/>
      <c r="V24" s="70"/>
      <c r="W24" s="120">
        <f>ROUND((ROUND((ROUND((_15_同援日増０．５*_15・２人),0)*(1+_15・A深夜)),0)*(1+_15・区４)),0)</f>
        <v>133</v>
      </c>
      <c r="X24" s="69"/>
    </row>
    <row r="25" spans="1:24" ht="16.5" customHeight="1" x14ac:dyDescent="0.3">
      <c r="A25" s="2">
        <v>15</v>
      </c>
      <c r="B25" s="2" t="s">
        <v>2845</v>
      </c>
      <c r="C25" s="60" t="s">
        <v>13536</v>
      </c>
      <c r="D25" s="1"/>
      <c r="E25" s="68"/>
      <c r="F25" s="70"/>
      <c r="G25" s="74" t="s">
        <v>17747</v>
      </c>
      <c r="H25" s="62"/>
      <c r="I25" s="63"/>
      <c r="J25" s="85"/>
      <c r="K25" s="64"/>
      <c r="L25" s="65"/>
      <c r="M25" s="99"/>
      <c r="N25" s="70"/>
      <c r="O25" s="67"/>
      <c r="P25" s="68"/>
      <c r="Q25" s="76"/>
      <c r="R25" s="70"/>
      <c r="S25" s="1" t="s">
        <v>17935</v>
      </c>
      <c r="T25" s="68"/>
      <c r="U25" s="76"/>
      <c r="V25" s="70"/>
      <c r="W25" s="120">
        <f>ROUND((ROUND((ROUND((_15_同援日増０．５*_15・基礎２),0)*(1+_15・A深夜)),0)*(1+_15・区４)),0)</f>
        <v>120</v>
      </c>
      <c r="X25" s="69"/>
    </row>
    <row r="26" spans="1:24" ht="16.5" customHeight="1" x14ac:dyDescent="0.3">
      <c r="A26" s="2">
        <v>15</v>
      </c>
      <c r="B26" s="2" t="s">
        <v>2846</v>
      </c>
      <c r="C26" s="60" t="s">
        <v>13535</v>
      </c>
      <c r="D26" s="1"/>
      <c r="E26" s="68"/>
      <c r="F26" s="70"/>
      <c r="G26" s="106" t="s">
        <v>17420</v>
      </c>
      <c r="H26" s="57" t="s">
        <v>1</v>
      </c>
      <c r="I26" s="58">
        <v>0.9</v>
      </c>
      <c r="J26" s="83" t="s">
        <v>5895</v>
      </c>
      <c r="K26" s="64" t="s">
        <v>1</v>
      </c>
      <c r="L26" s="65">
        <v>1</v>
      </c>
      <c r="M26" s="99"/>
      <c r="N26" s="70"/>
      <c r="O26" s="66"/>
      <c r="P26" s="57"/>
      <c r="Q26" s="58"/>
      <c r="R26" s="77"/>
      <c r="S26" s="1" t="s">
        <v>17934</v>
      </c>
      <c r="T26" s="68"/>
      <c r="U26" s="76"/>
      <c r="V26" s="70"/>
      <c r="W26" s="120">
        <f>ROUND((ROUND((ROUND((ROUND((_15_同援日増０．５*_15・基礎２),0)*_15・２人),0)*(1+_15・A深夜)),0)*(1+_15・区４)),0)</f>
        <v>120</v>
      </c>
      <c r="X26" s="69"/>
    </row>
    <row r="27" spans="1:24" ht="16.5" customHeight="1" x14ac:dyDescent="0.3">
      <c r="A27" s="2">
        <v>15</v>
      </c>
      <c r="B27" s="2" t="s">
        <v>2847</v>
      </c>
      <c r="C27" s="60" t="s">
        <v>13534</v>
      </c>
      <c r="D27" s="1"/>
      <c r="E27" s="68"/>
      <c r="F27" s="70"/>
      <c r="G27" s="61"/>
      <c r="H27" s="62"/>
      <c r="I27" s="63"/>
      <c r="J27" s="85"/>
      <c r="K27" s="64"/>
      <c r="L27" s="65"/>
      <c r="M27" s="99"/>
      <c r="N27" s="70"/>
      <c r="O27" s="74" t="s">
        <v>17933</v>
      </c>
      <c r="P27" s="62"/>
      <c r="Q27" s="63"/>
      <c r="R27" s="75"/>
      <c r="S27" s="67"/>
      <c r="T27" s="68" t="s">
        <v>1</v>
      </c>
      <c r="U27" s="76">
        <v>0.4</v>
      </c>
      <c r="V27" s="70" t="s">
        <v>422</v>
      </c>
      <c r="W27" s="120">
        <f>ROUND((ROUND((ROUND((_15_同援日増０．５*(1+_15・A深夜)),0)*(1+_15・盲ろう)),0)*(1+_15・区４)),0)</f>
        <v>167</v>
      </c>
      <c r="X27" s="69"/>
    </row>
    <row r="28" spans="1:24" ht="16.5" customHeight="1" x14ac:dyDescent="0.3">
      <c r="A28" s="2">
        <v>15</v>
      </c>
      <c r="B28" s="2" t="s">
        <v>2848</v>
      </c>
      <c r="C28" s="60" t="s">
        <v>13533</v>
      </c>
      <c r="D28" s="1"/>
      <c r="E28" s="68"/>
      <c r="F28" s="70"/>
      <c r="G28" s="66"/>
      <c r="H28" s="57"/>
      <c r="I28" s="58"/>
      <c r="J28" s="83" t="s">
        <v>5895</v>
      </c>
      <c r="K28" s="64" t="s">
        <v>1</v>
      </c>
      <c r="L28" s="65">
        <v>1</v>
      </c>
      <c r="M28" s="99"/>
      <c r="N28" s="70"/>
      <c r="O28" s="94" t="s">
        <v>17932</v>
      </c>
      <c r="P28" s="68"/>
      <c r="Q28" s="76"/>
      <c r="R28" s="70"/>
      <c r="S28" s="67"/>
      <c r="T28" s="68"/>
      <c r="U28" s="76"/>
      <c r="V28" s="70"/>
      <c r="W28" s="120">
        <f>ROUND((ROUND((ROUND((ROUND((_15_同援日増０．５*_15・２人),0)*(1+_15・A深夜)),0)*(1+_15・盲ろう)),0)*(1+_15・区４)),0)</f>
        <v>167</v>
      </c>
      <c r="X28" s="69"/>
    </row>
    <row r="29" spans="1:24" ht="16.5" customHeight="1" x14ac:dyDescent="0.3">
      <c r="A29" s="2">
        <v>15</v>
      </c>
      <c r="B29" s="2" t="s">
        <v>2849</v>
      </c>
      <c r="C29" s="60" t="s">
        <v>13532</v>
      </c>
      <c r="D29" s="1"/>
      <c r="E29" s="68"/>
      <c r="F29" s="70"/>
      <c r="G29" s="74" t="s">
        <v>17747</v>
      </c>
      <c r="H29" s="62"/>
      <c r="I29" s="63"/>
      <c r="J29" s="85"/>
      <c r="K29" s="64"/>
      <c r="L29" s="65"/>
      <c r="M29" s="99"/>
      <c r="N29" s="70"/>
      <c r="O29" s="67"/>
      <c r="P29" s="68" t="s">
        <v>1</v>
      </c>
      <c r="Q29" s="76">
        <v>0.25</v>
      </c>
      <c r="R29" s="70" t="s">
        <v>422</v>
      </c>
      <c r="S29" s="67"/>
      <c r="T29" s="68"/>
      <c r="U29" s="76"/>
      <c r="V29" s="70"/>
      <c r="W29" s="120">
        <f>ROUND((ROUND((ROUND((ROUND((_15_同援日増０．５*_15・基礎２),0)*(1+_15・A深夜)),0)*(1+_15・盲ろう)),0)*(1+_15・区４)),0)</f>
        <v>151</v>
      </c>
      <c r="X29" s="69"/>
    </row>
    <row r="30" spans="1:24" ht="16.5" customHeight="1" x14ac:dyDescent="0.3">
      <c r="A30" s="2">
        <v>15</v>
      </c>
      <c r="B30" s="2" t="s">
        <v>2850</v>
      </c>
      <c r="C30" s="60" t="s">
        <v>13531</v>
      </c>
      <c r="D30" s="81"/>
      <c r="E30" s="57"/>
      <c r="F30" s="77"/>
      <c r="G30" s="106" t="s">
        <v>17420</v>
      </c>
      <c r="H30" s="57" t="s">
        <v>1</v>
      </c>
      <c r="I30" s="58">
        <v>0.9</v>
      </c>
      <c r="J30" s="83" t="s">
        <v>5895</v>
      </c>
      <c r="K30" s="64" t="s">
        <v>1</v>
      </c>
      <c r="L30" s="65">
        <v>1</v>
      </c>
      <c r="M30" s="99"/>
      <c r="N30" s="70"/>
      <c r="O30" s="66"/>
      <c r="P30" s="57"/>
      <c r="Q30" s="58"/>
      <c r="R30" s="77"/>
      <c r="S30" s="66"/>
      <c r="T30" s="57"/>
      <c r="U30" s="58"/>
      <c r="V30" s="77"/>
      <c r="W30" s="120">
        <f>ROUND((ROUND((ROUND((ROUND((ROUND((_15_同援日増０．５*_15・基礎２),0)*_15・２人),0)*(1+_15・A深夜)),0)*(1+_15・盲ろう)),0)*(1+_15・区４)),0)</f>
        <v>151</v>
      </c>
      <c r="X30" s="69"/>
    </row>
    <row r="31" spans="1:24" ht="16.5" customHeight="1" x14ac:dyDescent="0.3">
      <c r="A31" s="2">
        <v>15</v>
      </c>
      <c r="B31" s="2" t="s">
        <v>2851</v>
      </c>
      <c r="C31" s="60" t="s">
        <v>13530</v>
      </c>
      <c r="D31" s="233" t="s">
        <v>16329</v>
      </c>
      <c r="E31" s="62"/>
      <c r="F31" s="75"/>
      <c r="G31" s="61"/>
      <c r="H31" s="62"/>
      <c r="I31" s="63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120">
        <f>ROUND((_15_同援日増１．０*(1+_15・A深夜)),0)</f>
        <v>189</v>
      </c>
      <c r="X31" s="69"/>
    </row>
    <row r="32" spans="1:24" ht="16.5" customHeight="1" x14ac:dyDescent="0.3">
      <c r="A32" s="2">
        <v>15</v>
      </c>
      <c r="B32" s="2" t="s">
        <v>2852</v>
      </c>
      <c r="C32" s="60" t="s">
        <v>13529</v>
      </c>
      <c r="D32" s="1" t="s">
        <v>5993</v>
      </c>
      <c r="E32" s="68"/>
      <c r="F32" s="70"/>
      <c r="G32" s="66"/>
      <c r="H32" s="57"/>
      <c r="I32" s="58"/>
      <c r="J32" s="83" t="s">
        <v>5895</v>
      </c>
      <c r="K32" s="64" t="s">
        <v>1</v>
      </c>
      <c r="L32" s="65">
        <v>1</v>
      </c>
      <c r="M32" s="99"/>
      <c r="N32" s="70"/>
      <c r="O32" s="67"/>
      <c r="P32" s="68"/>
      <c r="Q32" s="76"/>
      <c r="R32" s="70"/>
      <c r="S32" s="67"/>
      <c r="T32" s="68"/>
      <c r="U32" s="76"/>
      <c r="V32" s="70"/>
      <c r="W32" s="120">
        <f>ROUND((ROUND((_15_同援日増１．０*_15・２人),0)*(1+_15・A深夜)),0)</f>
        <v>189</v>
      </c>
      <c r="X32" s="69"/>
    </row>
    <row r="33" spans="1:24" ht="16.5" customHeight="1" x14ac:dyDescent="0.3">
      <c r="A33" s="2">
        <v>15</v>
      </c>
      <c r="B33" s="2" t="s">
        <v>2853</v>
      </c>
      <c r="C33" s="60" t="s">
        <v>13528</v>
      </c>
      <c r="D33" s="1" t="s">
        <v>8572</v>
      </c>
      <c r="E33" s="68"/>
      <c r="F33" s="70"/>
      <c r="G33" s="74" t="s">
        <v>17747</v>
      </c>
      <c r="H33" s="62"/>
      <c r="I33" s="63"/>
      <c r="J33" s="85"/>
      <c r="K33" s="64"/>
      <c r="L33" s="65"/>
      <c r="M33" s="99"/>
      <c r="N33" s="70"/>
      <c r="O33" s="67"/>
      <c r="P33" s="68"/>
      <c r="Q33" s="76"/>
      <c r="R33" s="70"/>
      <c r="S33" s="67"/>
      <c r="T33" s="68"/>
      <c r="U33" s="76"/>
      <c r="V33" s="70"/>
      <c r="W33" s="120">
        <f>ROUND((ROUND((_15_同援日増１．０*_15・基礎２),0)*(1+_15・A深夜)),0)</f>
        <v>170</v>
      </c>
      <c r="X33" s="69"/>
    </row>
    <row r="34" spans="1:24" ht="16.5" customHeight="1" x14ac:dyDescent="0.3">
      <c r="A34" s="2">
        <v>15</v>
      </c>
      <c r="B34" s="2" t="s">
        <v>2854</v>
      </c>
      <c r="C34" s="60" t="s">
        <v>13527</v>
      </c>
      <c r="D34" s="1"/>
      <c r="E34" s="119">
        <v>126</v>
      </c>
      <c r="F34" s="70" t="s">
        <v>0</v>
      </c>
      <c r="G34" s="106" t="s">
        <v>17420</v>
      </c>
      <c r="H34" s="57" t="s">
        <v>1</v>
      </c>
      <c r="I34" s="58">
        <v>0.9</v>
      </c>
      <c r="J34" s="83" t="s">
        <v>5895</v>
      </c>
      <c r="K34" s="64" t="s">
        <v>1</v>
      </c>
      <c r="L34" s="65">
        <v>1</v>
      </c>
      <c r="M34" s="99"/>
      <c r="N34" s="70"/>
      <c r="O34" s="66"/>
      <c r="P34" s="57"/>
      <c r="Q34" s="58"/>
      <c r="R34" s="77"/>
      <c r="S34" s="67"/>
      <c r="T34" s="68"/>
      <c r="U34" s="76"/>
      <c r="V34" s="70"/>
      <c r="W34" s="120">
        <f>ROUND((ROUND((ROUND((_15_同援日増１．０*_15・基礎２),0)*_15・２人),0)*(1+_15・A深夜)),0)</f>
        <v>170</v>
      </c>
      <c r="X34" s="69"/>
    </row>
    <row r="35" spans="1:24" ht="16.5" customHeight="1" x14ac:dyDescent="0.3">
      <c r="A35" s="2">
        <v>15</v>
      </c>
      <c r="B35" s="2" t="s">
        <v>2855</v>
      </c>
      <c r="C35" s="60" t="s">
        <v>13526</v>
      </c>
      <c r="D35" s="1"/>
      <c r="E35" s="68"/>
      <c r="F35" s="70"/>
      <c r="G35" s="61"/>
      <c r="H35" s="62"/>
      <c r="I35" s="63"/>
      <c r="J35" s="85"/>
      <c r="K35" s="64"/>
      <c r="L35" s="65"/>
      <c r="M35" s="99"/>
      <c r="N35" s="70"/>
      <c r="O35" s="74" t="s">
        <v>17933</v>
      </c>
      <c r="P35" s="62"/>
      <c r="Q35" s="63"/>
      <c r="R35" s="75"/>
      <c r="S35" s="67"/>
      <c r="T35" s="68"/>
      <c r="U35" s="76"/>
      <c r="V35" s="70"/>
      <c r="W35" s="120">
        <f>ROUND((ROUND((_15_同援日増１．０*(1+_15・A深夜)),0)*(1+_15・盲ろう)),0)</f>
        <v>236</v>
      </c>
      <c r="X35" s="69"/>
    </row>
    <row r="36" spans="1:24" ht="16.5" customHeight="1" x14ac:dyDescent="0.3">
      <c r="A36" s="2">
        <v>15</v>
      </c>
      <c r="B36" s="2" t="s">
        <v>2856</v>
      </c>
      <c r="C36" s="60" t="s">
        <v>13525</v>
      </c>
      <c r="D36" s="1"/>
      <c r="E36" s="68"/>
      <c r="F36" s="70"/>
      <c r="G36" s="66"/>
      <c r="H36" s="57"/>
      <c r="I36" s="58"/>
      <c r="J36" s="83" t="s">
        <v>5895</v>
      </c>
      <c r="K36" s="64" t="s">
        <v>1</v>
      </c>
      <c r="L36" s="65">
        <v>1</v>
      </c>
      <c r="M36" s="99"/>
      <c r="N36" s="70"/>
      <c r="O36" s="94" t="s">
        <v>17932</v>
      </c>
      <c r="P36" s="68"/>
      <c r="Q36" s="76"/>
      <c r="R36" s="70"/>
      <c r="S36" s="67"/>
      <c r="T36" s="68"/>
      <c r="U36" s="76"/>
      <c r="V36" s="70"/>
      <c r="W36" s="120">
        <f>ROUND((ROUND((ROUND((_15_同援日増１．０*_15・２人),0)*(1+_15・A深夜)),0)*(1+_15・盲ろう)),0)</f>
        <v>236</v>
      </c>
      <c r="X36" s="69"/>
    </row>
    <row r="37" spans="1:24" ht="16.5" customHeight="1" x14ac:dyDescent="0.3">
      <c r="A37" s="2">
        <v>15</v>
      </c>
      <c r="B37" s="2" t="s">
        <v>2857</v>
      </c>
      <c r="C37" s="60" t="s">
        <v>13524</v>
      </c>
      <c r="D37" s="1"/>
      <c r="E37" s="68"/>
      <c r="F37" s="70"/>
      <c r="G37" s="74" t="s">
        <v>5898</v>
      </c>
      <c r="H37" s="62"/>
      <c r="I37" s="63"/>
      <c r="J37" s="85"/>
      <c r="K37" s="64"/>
      <c r="L37" s="65"/>
      <c r="M37" s="99"/>
      <c r="N37" s="70"/>
      <c r="O37" s="67"/>
      <c r="P37" s="68" t="s">
        <v>1</v>
      </c>
      <c r="Q37" s="76">
        <v>0.25</v>
      </c>
      <c r="R37" s="70" t="s">
        <v>422</v>
      </c>
      <c r="S37" s="67"/>
      <c r="T37" s="68"/>
      <c r="U37" s="76"/>
      <c r="V37" s="70"/>
      <c r="W37" s="120">
        <f>ROUND((ROUND((ROUND((_15_同援日増１．０*_15・基礎２),0)*(1+_15・A深夜)),0)*(1+_15・盲ろう)),0)</f>
        <v>213</v>
      </c>
      <c r="X37" s="69"/>
    </row>
    <row r="38" spans="1:24" ht="16.5" customHeight="1" x14ac:dyDescent="0.3">
      <c r="A38" s="2">
        <v>15</v>
      </c>
      <c r="B38" s="2" t="s">
        <v>2858</v>
      </c>
      <c r="C38" s="60" t="s">
        <v>13523</v>
      </c>
      <c r="D38" s="1"/>
      <c r="E38" s="68"/>
      <c r="F38" s="70"/>
      <c r="G38" s="106" t="s">
        <v>5896</v>
      </c>
      <c r="H38" s="57" t="s">
        <v>1</v>
      </c>
      <c r="I38" s="58">
        <v>0.9</v>
      </c>
      <c r="J38" s="83" t="s">
        <v>5895</v>
      </c>
      <c r="K38" s="64" t="s">
        <v>1</v>
      </c>
      <c r="L38" s="65">
        <v>1</v>
      </c>
      <c r="M38" s="99"/>
      <c r="N38" s="70"/>
      <c r="O38" s="66"/>
      <c r="P38" s="57"/>
      <c r="Q38" s="58"/>
      <c r="R38" s="77"/>
      <c r="S38" s="66"/>
      <c r="T38" s="57"/>
      <c r="U38" s="58"/>
      <c r="V38" s="77"/>
      <c r="W38" s="120">
        <f>ROUND((ROUND((ROUND((ROUND((_15_同援日増１．０*_15・基礎２),0)*_15・２人),0)*(1+_15・A深夜)),0)*(1+_15・盲ろう)),0)</f>
        <v>213</v>
      </c>
      <c r="X38" s="69"/>
    </row>
    <row r="39" spans="1:24" ht="16.5" customHeight="1" x14ac:dyDescent="0.3">
      <c r="A39" s="2">
        <v>15</v>
      </c>
      <c r="B39" s="2" t="s">
        <v>2859</v>
      </c>
      <c r="C39" s="60" t="s">
        <v>13522</v>
      </c>
      <c r="D39" s="1"/>
      <c r="E39" s="68"/>
      <c r="F39" s="70"/>
      <c r="G39" s="61"/>
      <c r="H39" s="62"/>
      <c r="I39" s="63"/>
      <c r="J39" s="85"/>
      <c r="K39" s="64"/>
      <c r="L39" s="65"/>
      <c r="M39" s="99"/>
      <c r="N39" s="70"/>
      <c r="O39" s="61"/>
      <c r="P39" s="62"/>
      <c r="Q39" s="63"/>
      <c r="R39" s="75"/>
      <c r="S39" s="61"/>
      <c r="T39" s="62"/>
      <c r="U39" s="63"/>
      <c r="V39" s="75"/>
      <c r="W39" s="120">
        <f>ROUND((ROUND((_15_同援日増１．０*(1+_15・A深夜)),0)*(1+_15・区３)),0)</f>
        <v>227</v>
      </c>
      <c r="X39" s="69"/>
    </row>
    <row r="40" spans="1:24" ht="16.5" customHeight="1" x14ac:dyDescent="0.3">
      <c r="A40" s="2">
        <v>15</v>
      </c>
      <c r="B40" s="2" t="s">
        <v>2860</v>
      </c>
      <c r="C40" s="60" t="s">
        <v>13521</v>
      </c>
      <c r="D40" s="1"/>
      <c r="E40" s="68"/>
      <c r="F40" s="70"/>
      <c r="G40" s="66"/>
      <c r="H40" s="57"/>
      <c r="I40" s="58"/>
      <c r="J40" s="83" t="s">
        <v>5895</v>
      </c>
      <c r="K40" s="64" t="s">
        <v>1</v>
      </c>
      <c r="L40" s="65">
        <v>1</v>
      </c>
      <c r="M40" s="99"/>
      <c r="N40" s="70"/>
      <c r="O40" s="67"/>
      <c r="P40" s="68"/>
      <c r="Q40" s="76"/>
      <c r="R40" s="70"/>
      <c r="S40" s="67"/>
      <c r="T40" s="68"/>
      <c r="U40" s="76"/>
      <c r="V40" s="70"/>
      <c r="W40" s="120">
        <f>ROUND((ROUND((ROUND((_15_同援日増１．０*_15・２人),0)*(1+_15・A深夜)),0)*(1+_15・区３)),0)</f>
        <v>227</v>
      </c>
      <c r="X40" s="69"/>
    </row>
    <row r="41" spans="1:24" ht="16.5" customHeight="1" x14ac:dyDescent="0.3">
      <c r="A41" s="2">
        <v>15</v>
      </c>
      <c r="B41" s="2" t="s">
        <v>2861</v>
      </c>
      <c r="C41" s="60" t="s">
        <v>13520</v>
      </c>
      <c r="D41" s="1"/>
      <c r="E41" s="68"/>
      <c r="F41" s="70"/>
      <c r="G41" s="74" t="s">
        <v>17747</v>
      </c>
      <c r="H41" s="62"/>
      <c r="I41" s="63"/>
      <c r="J41" s="85"/>
      <c r="K41" s="64"/>
      <c r="L41" s="65"/>
      <c r="M41" s="99"/>
      <c r="N41" s="70"/>
      <c r="O41" s="67"/>
      <c r="P41" s="68"/>
      <c r="Q41" s="76"/>
      <c r="R41" s="70"/>
      <c r="S41" s="1" t="s">
        <v>17936</v>
      </c>
      <c r="T41" s="68"/>
      <c r="U41" s="76"/>
      <c r="V41" s="70"/>
      <c r="W41" s="120">
        <f>ROUND((ROUND((ROUND((_15_同援日増１．０*_15・基礎２),0)*(1+_15・A深夜)),0)*(1+_15・区３)),0)</f>
        <v>204</v>
      </c>
      <c r="X41" s="69"/>
    </row>
    <row r="42" spans="1:24" ht="16.5" customHeight="1" x14ac:dyDescent="0.3">
      <c r="A42" s="2">
        <v>15</v>
      </c>
      <c r="B42" s="2" t="s">
        <v>2862</v>
      </c>
      <c r="C42" s="60" t="s">
        <v>13519</v>
      </c>
      <c r="D42" s="1"/>
      <c r="E42" s="68"/>
      <c r="F42" s="70"/>
      <c r="G42" s="106" t="s">
        <v>17420</v>
      </c>
      <c r="H42" s="57" t="s">
        <v>1</v>
      </c>
      <c r="I42" s="58">
        <v>0.9</v>
      </c>
      <c r="J42" s="83" t="s">
        <v>5895</v>
      </c>
      <c r="K42" s="64" t="s">
        <v>1</v>
      </c>
      <c r="L42" s="65">
        <v>1</v>
      </c>
      <c r="M42" s="99"/>
      <c r="N42" s="70"/>
      <c r="O42" s="66"/>
      <c r="P42" s="57"/>
      <c r="Q42" s="58"/>
      <c r="R42" s="77"/>
      <c r="S42" s="1" t="s">
        <v>17934</v>
      </c>
      <c r="T42" s="68"/>
      <c r="U42" s="76"/>
      <c r="V42" s="70"/>
      <c r="W42" s="120">
        <f>ROUND((ROUND((ROUND((ROUND((_15_同援日増１．０*_15・基礎２),0)*_15・２人),0)*(1+_15・A深夜)),0)*(1+_15・区３)),0)</f>
        <v>204</v>
      </c>
      <c r="X42" s="69"/>
    </row>
    <row r="43" spans="1:24" ht="16.5" customHeight="1" x14ac:dyDescent="0.3">
      <c r="A43" s="2">
        <v>15</v>
      </c>
      <c r="B43" s="2" t="s">
        <v>2863</v>
      </c>
      <c r="C43" s="60" t="s">
        <v>13518</v>
      </c>
      <c r="D43" s="1"/>
      <c r="E43" s="68"/>
      <c r="F43" s="70"/>
      <c r="G43" s="61"/>
      <c r="H43" s="62"/>
      <c r="I43" s="63"/>
      <c r="J43" s="85"/>
      <c r="K43" s="64"/>
      <c r="L43" s="65"/>
      <c r="M43" s="99"/>
      <c r="N43" s="70"/>
      <c r="O43" s="74" t="s">
        <v>17933</v>
      </c>
      <c r="P43" s="62"/>
      <c r="Q43" s="63"/>
      <c r="R43" s="75"/>
      <c r="S43" s="67"/>
      <c r="T43" s="68" t="s">
        <v>1</v>
      </c>
      <c r="U43" s="76">
        <v>0.2</v>
      </c>
      <c r="V43" s="70" t="s">
        <v>422</v>
      </c>
      <c r="W43" s="120">
        <f>ROUND((ROUND((ROUND((_15_同援日増１．０*(1+_15・A深夜)),0)*(1+_15・盲ろう)),0)*(1+_15・区３)),0)</f>
        <v>283</v>
      </c>
      <c r="X43" s="69"/>
    </row>
    <row r="44" spans="1:24" ht="16.5" customHeight="1" x14ac:dyDescent="0.3">
      <c r="A44" s="2">
        <v>15</v>
      </c>
      <c r="B44" s="2" t="s">
        <v>2864</v>
      </c>
      <c r="C44" s="60" t="s">
        <v>13517</v>
      </c>
      <c r="D44" s="1"/>
      <c r="E44" s="68"/>
      <c r="F44" s="70"/>
      <c r="G44" s="66"/>
      <c r="H44" s="57"/>
      <c r="I44" s="58"/>
      <c r="J44" s="83" t="s">
        <v>5895</v>
      </c>
      <c r="K44" s="64" t="s">
        <v>1</v>
      </c>
      <c r="L44" s="65">
        <v>1</v>
      </c>
      <c r="M44" s="99"/>
      <c r="N44" s="70"/>
      <c r="O44" s="94" t="s">
        <v>8083</v>
      </c>
      <c r="P44" s="68"/>
      <c r="Q44" s="76"/>
      <c r="R44" s="70"/>
      <c r="S44" s="67"/>
      <c r="T44" s="68"/>
      <c r="U44" s="76"/>
      <c r="V44" s="70"/>
      <c r="W44" s="120">
        <f>ROUND((ROUND((ROUND((ROUND((_15_同援日増１．０*_15・２人),0)*(1+_15・A深夜)),0)*(1+_15・盲ろう)),0)*(1+_15・区３)),0)</f>
        <v>283</v>
      </c>
      <c r="X44" s="69"/>
    </row>
    <row r="45" spans="1:24" ht="16.5" customHeight="1" x14ac:dyDescent="0.3">
      <c r="A45" s="2">
        <v>15</v>
      </c>
      <c r="B45" s="2" t="s">
        <v>2865</v>
      </c>
      <c r="C45" s="60" t="s">
        <v>13516</v>
      </c>
      <c r="D45" s="1"/>
      <c r="E45" s="68"/>
      <c r="F45" s="70"/>
      <c r="G45" s="74" t="s">
        <v>17747</v>
      </c>
      <c r="H45" s="62"/>
      <c r="I45" s="63"/>
      <c r="J45" s="85"/>
      <c r="K45" s="64"/>
      <c r="L45" s="65"/>
      <c r="M45" s="99"/>
      <c r="N45" s="70"/>
      <c r="O45" s="67"/>
      <c r="P45" s="68" t="s">
        <v>1</v>
      </c>
      <c r="Q45" s="76">
        <v>0.25</v>
      </c>
      <c r="R45" s="70" t="s">
        <v>422</v>
      </c>
      <c r="S45" s="67"/>
      <c r="T45" s="68"/>
      <c r="U45" s="76"/>
      <c r="V45" s="70"/>
      <c r="W45" s="120">
        <f>ROUND((ROUND((ROUND((ROUND((_15_同援日増１．０*_15・基礎２),0)*(1+_15・A深夜)),0)*(1+_15・盲ろう)),0)*(1+_15・区３)),0)</f>
        <v>256</v>
      </c>
      <c r="X45" s="69"/>
    </row>
    <row r="46" spans="1:24" ht="16.5" customHeight="1" x14ac:dyDescent="0.3">
      <c r="A46" s="2">
        <v>15</v>
      </c>
      <c r="B46" s="2" t="s">
        <v>2866</v>
      </c>
      <c r="C46" s="60" t="s">
        <v>13515</v>
      </c>
      <c r="D46" s="1"/>
      <c r="E46" s="68"/>
      <c r="F46" s="70"/>
      <c r="G46" s="106" t="s">
        <v>5896</v>
      </c>
      <c r="H46" s="57" t="s">
        <v>1</v>
      </c>
      <c r="I46" s="58">
        <v>0.9</v>
      </c>
      <c r="J46" s="83" t="s">
        <v>5895</v>
      </c>
      <c r="K46" s="64" t="s">
        <v>1</v>
      </c>
      <c r="L46" s="65">
        <v>1</v>
      </c>
      <c r="M46" s="99"/>
      <c r="N46" s="70"/>
      <c r="O46" s="66"/>
      <c r="P46" s="57"/>
      <c r="Q46" s="58"/>
      <c r="R46" s="77"/>
      <c r="S46" s="66"/>
      <c r="T46" s="57"/>
      <c r="U46" s="58"/>
      <c r="V46" s="77"/>
      <c r="W46" s="120">
        <f>ROUND((ROUND((ROUND((ROUND((ROUND((_15_同援日増１．０*_15・基礎２),0)*_15・２人),0)*(1+_15・A深夜)),0)*(1+_15・盲ろう)),0)*(1+_15・区３)),0)</f>
        <v>256</v>
      </c>
      <c r="X46" s="69"/>
    </row>
    <row r="47" spans="1:24" ht="16.5" customHeight="1" x14ac:dyDescent="0.3">
      <c r="A47" s="2">
        <v>15</v>
      </c>
      <c r="B47" s="2" t="s">
        <v>2867</v>
      </c>
      <c r="C47" s="60" t="s">
        <v>13514</v>
      </c>
      <c r="D47" s="1"/>
      <c r="E47" s="68"/>
      <c r="F47" s="70"/>
      <c r="G47" s="61"/>
      <c r="H47" s="62"/>
      <c r="I47" s="63"/>
      <c r="J47" s="85"/>
      <c r="K47" s="64"/>
      <c r="L47" s="65"/>
      <c r="M47" s="99"/>
      <c r="N47" s="70"/>
      <c r="O47" s="61"/>
      <c r="P47" s="62"/>
      <c r="Q47" s="63"/>
      <c r="R47" s="75"/>
      <c r="S47" s="61"/>
      <c r="T47" s="62"/>
      <c r="U47" s="63"/>
      <c r="V47" s="75"/>
      <c r="W47" s="120">
        <f>ROUND((ROUND((_15_同援日増１．０*(1+_15・A深夜)),0)*(1+_15・区４)),0)</f>
        <v>265</v>
      </c>
      <c r="X47" s="69"/>
    </row>
    <row r="48" spans="1:24" ht="16.5" customHeight="1" x14ac:dyDescent="0.3">
      <c r="A48" s="2">
        <v>15</v>
      </c>
      <c r="B48" s="2" t="s">
        <v>2868</v>
      </c>
      <c r="C48" s="60" t="s">
        <v>13513</v>
      </c>
      <c r="D48" s="1"/>
      <c r="E48" s="68"/>
      <c r="F48" s="70"/>
      <c r="G48" s="66"/>
      <c r="H48" s="57"/>
      <c r="I48" s="58"/>
      <c r="J48" s="83" t="s">
        <v>5895</v>
      </c>
      <c r="K48" s="64" t="s">
        <v>1</v>
      </c>
      <c r="L48" s="65">
        <v>1</v>
      </c>
      <c r="M48" s="99"/>
      <c r="N48" s="70"/>
      <c r="O48" s="67"/>
      <c r="P48" s="68"/>
      <c r="Q48" s="76"/>
      <c r="R48" s="70"/>
      <c r="S48" s="67"/>
      <c r="T48" s="68"/>
      <c r="U48" s="76"/>
      <c r="V48" s="70"/>
      <c r="W48" s="120">
        <f>ROUND((ROUND((ROUND((_15_同援日増１．０*_15・２人),0)*(1+_15・A深夜)),0)*(1+_15・区４)),0)</f>
        <v>265</v>
      </c>
      <c r="X48" s="69"/>
    </row>
    <row r="49" spans="1:24" ht="16.5" customHeight="1" x14ac:dyDescent="0.3">
      <c r="A49" s="2">
        <v>15</v>
      </c>
      <c r="B49" s="2" t="s">
        <v>2869</v>
      </c>
      <c r="C49" s="60" t="s">
        <v>13512</v>
      </c>
      <c r="D49" s="1"/>
      <c r="E49" s="68"/>
      <c r="F49" s="70"/>
      <c r="G49" s="74" t="s">
        <v>5898</v>
      </c>
      <c r="H49" s="62"/>
      <c r="I49" s="63"/>
      <c r="J49" s="85"/>
      <c r="K49" s="64"/>
      <c r="L49" s="65"/>
      <c r="M49" s="99"/>
      <c r="N49" s="70"/>
      <c r="O49" s="67"/>
      <c r="P49" s="68"/>
      <c r="Q49" s="76"/>
      <c r="R49" s="70"/>
      <c r="S49" s="1" t="s">
        <v>17935</v>
      </c>
      <c r="T49" s="68"/>
      <c r="U49" s="76"/>
      <c r="V49" s="70"/>
      <c r="W49" s="120">
        <f>ROUND((ROUND((ROUND((_15_同援日増１．０*_15・基礎２),0)*(1+_15・A深夜)),0)*(1+_15・区４)),0)</f>
        <v>238</v>
      </c>
      <c r="X49" s="69"/>
    </row>
    <row r="50" spans="1:24" ht="16.5" customHeight="1" x14ac:dyDescent="0.3">
      <c r="A50" s="2">
        <v>15</v>
      </c>
      <c r="B50" s="2" t="s">
        <v>2870</v>
      </c>
      <c r="C50" s="60" t="s">
        <v>13511</v>
      </c>
      <c r="D50" s="1"/>
      <c r="E50" s="68"/>
      <c r="F50" s="70"/>
      <c r="G50" s="106" t="s">
        <v>17420</v>
      </c>
      <c r="H50" s="57" t="s">
        <v>1</v>
      </c>
      <c r="I50" s="58">
        <v>0.9</v>
      </c>
      <c r="J50" s="83" t="s">
        <v>5895</v>
      </c>
      <c r="K50" s="64" t="s">
        <v>1</v>
      </c>
      <c r="L50" s="65">
        <v>1</v>
      </c>
      <c r="M50" s="99"/>
      <c r="N50" s="70"/>
      <c r="O50" s="66"/>
      <c r="P50" s="57"/>
      <c r="Q50" s="58"/>
      <c r="R50" s="77"/>
      <c r="S50" s="1" t="s">
        <v>17934</v>
      </c>
      <c r="T50" s="68"/>
      <c r="U50" s="76"/>
      <c r="V50" s="70"/>
      <c r="W50" s="120">
        <f>ROUND((ROUND((ROUND((ROUND((_15_同援日増１．０*_15・基礎２),0)*_15・２人),0)*(1+_15・A深夜)),0)*(1+_15・区４)),0)</f>
        <v>238</v>
      </c>
      <c r="X50" s="69"/>
    </row>
    <row r="51" spans="1:24" ht="16.5" customHeight="1" x14ac:dyDescent="0.3">
      <c r="A51" s="2">
        <v>15</v>
      </c>
      <c r="B51" s="2" t="s">
        <v>2871</v>
      </c>
      <c r="C51" s="60" t="s">
        <v>13510</v>
      </c>
      <c r="D51" s="1"/>
      <c r="E51" s="68"/>
      <c r="F51" s="70"/>
      <c r="G51" s="61"/>
      <c r="H51" s="62"/>
      <c r="I51" s="63"/>
      <c r="J51" s="85"/>
      <c r="K51" s="64"/>
      <c r="L51" s="65"/>
      <c r="M51" s="99"/>
      <c r="N51" s="70"/>
      <c r="O51" s="74" t="s">
        <v>17933</v>
      </c>
      <c r="P51" s="62"/>
      <c r="Q51" s="63"/>
      <c r="R51" s="75"/>
      <c r="S51" s="67"/>
      <c r="T51" s="68" t="s">
        <v>1</v>
      </c>
      <c r="U51" s="76">
        <v>0.4</v>
      </c>
      <c r="V51" s="70" t="s">
        <v>422</v>
      </c>
      <c r="W51" s="120">
        <f>ROUND((ROUND((ROUND((_15_同援日増１．０*(1+_15・A深夜)),0)*(1+_15・盲ろう)),0)*(1+_15・区４)),0)</f>
        <v>330</v>
      </c>
      <c r="X51" s="69"/>
    </row>
    <row r="52" spans="1:24" ht="16.5" customHeight="1" x14ac:dyDescent="0.3">
      <c r="A52" s="2">
        <v>15</v>
      </c>
      <c r="B52" s="2" t="s">
        <v>2872</v>
      </c>
      <c r="C52" s="60" t="s">
        <v>13509</v>
      </c>
      <c r="D52" s="1"/>
      <c r="E52" s="68"/>
      <c r="F52" s="70"/>
      <c r="G52" s="66"/>
      <c r="H52" s="57"/>
      <c r="I52" s="58"/>
      <c r="J52" s="83" t="s">
        <v>5895</v>
      </c>
      <c r="K52" s="64" t="s">
        <v>1</v>
      </c>
      <c r="L52" s="65">
        <v>1</v>
      </c>
      <c r="M52" s="99"/>
      <c r="N52" s="70"/>
      <c r="O52" s="94" t="s">
        <v>17932</v>
      </c>
      <c r="P52" s="68"/>
      <c r="Q52" s="76"/>
      <c r="R52" s="70"/>
      <c r="S52" s="67"/>
      <c r="T52" s="68"/>
      <c r="U52" s="76"/>
      <c r="V52" s="70"/>
      <c r="W52" s="120">
        <f>ROUND((ROUND((ROUND((ROUND((_15_同援日増１．０*_15・２人),0)*(1+_15・A深夜)),0)*(1+_15・盲ろう)),0)*(1+_15・区４)),0)</f>
        <v>330</v>
      </c>
      <c r="X52" s="69"/>
    </row>
    <row r="53" spans="1:24" ht="16.5" customHeight="1" x14ac:dyDescent="0.3">
      <c r="A53" s="2">
        <v>15</v>
      </c>
      <c r="B53" s="2" t="s">
        <v>2873</v>
      </c>
      <c r="C53" s="60" t="s">
        <v>13508</v>
      </c>
      <c r="D53" s="1"/>
      <c r="E53" s="68"/>
      <c r="F53" s="70"/>
      <c r="G53" s="74" t="s">
        <v>17747</v>
      </c>
      <c r="H53" s="62"/>
      <c r="I53" s="63"/>
      <c r="J53" s="85"/>
      <c r="K53" s="64"/>
      <c r="L53" s="65"/>
      <c r="M53" s="99"/>
      <c r="N53" s="70"/>
      <c r="O53" s="67"/>
      <c r="P53" s="68" t="s">
        <v>1</v>
      </c>
      <c r="Q53" s="76">
        <v>0.25</v>
      </c>
      <c r="R53" s="70" t="s">
        <v>422</v>
      </c>
      <c r="S53" s="67"/>
      <c r="T53" s="68"/>
      <c r="U53" s="76"/>
      <c r="V53" s="70"/>
      <c r="W53" s="120">
        <f>ROUND((ROUND((ROUND((ROUND((_15_同援日増１．０*_15・基礎２),0)*(1+_15・A深夜)),0)*(1+_15・盲ろう)),0)*(1+_15・区４)),0)</f>
        <v>298</v>
      </c>
      <c r="X53" s="69"/>
    </row>
    <row r="54" spans="1:24" ht="16.5" customHeight="1" x14ac:dyDescent="0.3">
      <c r="A54" s="2">
        <v>15</v>
      </c>
      <c r="B54" s="2" t="s">
        <v>2874</v>
      </c>
      <c r="C54" s="60" t="s">
        <v>13507</v>
      </c>
      <c r="D54" s="81"/>
      <c r="E54" s="57"/>
      <c r="F54" s="77"/>
      <c r="G54" s="106" t="s">
        <v>17420</v>
      </c>
      <c r="H54" s="57" t="s">
        <v>1</v>
      </c>
      <c r="I54" s="58">
        <v>0.9</v>
      </c>
      <c r="J54" s="83" t="s">
        <v>5895</v>
      </c>
      <c r="K54" s="64" t="s">
        <v>1</v>
      </c>
      <c r="L54" s="65">
        <v>1</v>
      </c>
      <c r="M54" s="99"/>
      <c r="N54" s="70"/>
      <c r="O54" s="66"/>
      <c r="P54" s="57"/>
      <c r="Q54" s="58"/>
      <c r="R54" s="77"/>
      <c r="S54" s="66"/>
      <c r="T54" s="57"/>
      <c r="U54" s="58"/>
      <c r="V54" s="77"/>
      <c r="W54" s="120">
        <f>ROUND((ROUND((ROUND((ROUND((ROUND((_15_同援日増１．０*_15・基礎２),0)*_15・２人),0)*(1+_15・A深夜)),0)*(1+_15・盲ろう)),0)*(1+_15・区４)),0)</f>
        <v>298</v>
      </c>
      <c r="X54" s="69"/>
    </row>
    <row r="55" spans="1:24" ht="16.5" customHeight="1" x14ac:dyDescent="0.3">
      <c r="A55" s="2">
        <v>15</v>
      </c>
      <c r="B55" s="2" t="s">
        <v>2875</v>
      </c>
      <c r="C55" s="60" t="s">
        <v>13506</v>
      </c>
      <c r="D55" s="233" t="s">
        <v>18208</v>
      </c>
      <c r="E55" s="62"/>
      <c r="F55" s="75"/>
      <c r="G55" s="61"/>
      <c r="H55" s="62"/>
      <c r="I55" s="63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120">
        <f>ROUND((_15_同援日増１．５*(1+_15・A深夜)),0)</f>
        <v>284</v>
      </c>
      <c r="X55" s="69"/>
    </row>
    <row r="56" spans="1:24" ht="16.5" customHeight="1" x14ac:dyDescent="0.3">
      <c r="A56" s="2">
        <v>15</v>
      </c>
      <c r="B56" s="2" t="s">
        <v>2876</v>
      </c>
      <c r="C56" s="60" t="s">
        <v>13505</v>
      </c>
      <c r="D56" s="1" t="s">
        <v>5987</v>
      </c>
      <c r="E56" s="68"/>
      <c r="F56" s="70"/>
      <c r="G56" s="66"/>
      <c r="H56" s="57"/>
      <c r="I56" s="58"/>
      <c r="J56" s="83" t="s">
        <v>5895</v>
      </c>
      <c r="K56" s="64" t="s">
        <v>1</v>
      </c>
      <c r="L56" s="65">
        <v>1</v>
      </c>
      <c r="M56" s="99"/>
      <c r="N56" s="70"/>
      <c r="O56" s="67"/>
      <c r="P56" s="68"/>
      <c r="Q56" s="76"/>
      <c r="R56" s="70"/>
      <c r="S56" s="67"/>
      <c r="T56" s="68"/>
      <c r="U56" s="76"/>
      <c r="V56" s="70"/>
      <c r="W56" s="120">
        <f>ROUND((ROUND((_15_同援日増１．５*_15・２人),0)*(1+_15・A深夜)),0)</f>
        <v>284</v>
      </c>
      <c r="X56" s="69"/>
    </row>
    <row r="57" spans="1:24" ht="16.5" customHeight="1" x14ac:dyDescent="0.3">
      <c r="A57" s="2">
        <v>15</v>
      </c>
      <c r="B57" s="2" t="s">
        <v>2877</v>
      </c>
      <c r="C57" s="60" t="s">
        <v>13504</v>
      </c>
      <c r="D57" s="1" t="s">
        <v>8767</v>
      </c>
      <c r="E57" s="68"/>
      <c r="F57" s="70"/>
      <c r="G57" s="74" t="s">
        <v>17747</v>
      </c>
      <c r="H57" s="62"/>
      <c r="I57" s="63"/>
      <c r="J57" s="85"/>
      <c r="K57" s="64"/>
      <c r="L57" s="65"/>
      <c r="M57" s="99"/>
      <c r="N57" s="70"/>
      <c r="O57" s="67"/>
      <c r="P57" s="68"/>
      <c r="Q57" s="76"/>
      <c r="R57" s="70"/>
      <c r="S57" s="67"/>
      <c r="T57" s="68"/>
      <c r="U57" s="76"/>
      <c r="V57" s="70"/>
      <c r="W57" s="120">
        <f>ROUND((ROUND((_15_同援日増１．５*_15・基礎２),0)*(1+_15・A深夜)),0)</f>
        <v>255</v>
      </c>
      <c r="X57" s="69"/>
    </row>
    <row r="58" spans="1:24" ht="16.5" customHeight="1" x14ac:dyDescent="0.3">
      <c r="A58" s="2">
        <v>15</v>
      </c>
      <c r="B58" s="2" t="s">
        <v>2878</v>
      </c>
      <c r="C58" s="60" t="s">
        <v>13503</v>
      </c>
      <c r="D58" s="1"/>
      <c r="E58" s="119">
        <v>189</v>
      </c>
      <c r="F58" s="70" t="s">
        <v>0</v>
      </c>
      <c r="G58" s="106" t="s">
        <v>17420</v>
      </c>
      <c r="H58" s="57" t="s">
        <v>1</v>
      </c>
      <c r="I58" s="58">
        <v>0.9</v>
      </c>
      <c r="J58" s="83" t="s">
        <v>5895</v>
      </c>
      <c r="K58" s="64" t="s">
        <v>1</v>
      </c>
      <c r="L58" s="65">
        <v>1</v>
      </c>
      <c r="M58" s="99"/>
      <c r="N58" s="70"/>
      <c r="O58" s="66"/>
      <c r="P58" s="57"/>
      <c r="Q58" s="58"/>
      <c r="R58" s="77"/>
      <c r="S58" s="67"/>
      <c r="T58" s="68"/>
      <c r="U58" s="76"/>
      <c r="V58" s="70"/>
      <c r="W58" s="120">
        <f>ROUND((ROUND((ROUND((_15_同援日増１．５*_15・基礎２),0)*_15・２人),0)*(1+_15・A深夜)),0)</f>
        <v>255</v>
      </c>
      <c r="X58" s="69"/>
    </row>
    <row r="59" spans="1:24" ht="16.5" customHeight="1" x14ac:dyDescent="0.3">
      <c r="A59" s="2">
        <v>15</v>
      </c>
      <c r="B59" s="2" t="s">
        <v>2879</v>
      </c>
      <c r="C59" s="60" t="s">
        <v>13502</v>
      </c>
      <c r="D59" s="1"/>
      <c r="E59" s="68"/>
      <c r="F59" s="70"/>
      <c r="G59" s="61"/>
      <c r="H59" s="62"/>
      <c r="I59" s="63"/>
      <c r="J59" s="85"/>
      <c r="K59" s="64"/>
      <c r="L59" s="65"/>
      <c r="M59" s="99"/>
      <c r="N59" s="70"/>
      <c r="O59" s="74" t="s">
        <v>17933</v>
      </c>
      <c r="P59" s="62"/>
      <c r="Q59" s="63"/>
      <c r="R59" s="75"/>
      <c r="S59" s="67"/>
      <c r="T59" s="68"/>
      <c r="U59" s="76"/>
      <c r="V59" s="70"/>
      <c r="W59" s="120">
        <f>ROUND((ROUND((_15_同援日増１．５*(1+_15・A深夜)),0)*(1+_15・盲ろう)),0)</f>
        <v>355</v>
      </c>
      <c r="X59" s="69"/>
    </row>
    <row r="60" spans="1:24" ht="16.5" customHeight="1" x14ac:dyDescent="0.3">
      <c r="A60" s="2">
        <v>15</v>
      </c>
      <c r="B60" s="2" t="s">
        <v>2880</v>
      </c>
      <c r="C60" s="60" t="s">
        <v>13501</v>
      </c>
      <c r="D60" s="1"/>
      <c r="E60" s="68"/>
      <c r="F60" s="70"/>
      <c r="G60" s="66"/>
      <c r="H60" s="57"/>
      <c r="I60" s="58"/>
      <c r="J60" s="83" t="s">
        <v>5895</v>
      </c>
      <c r="K60" s="64" t="s">
        <v>1</v>
      </c>
      <c r="L60" s="65">
        <v>1</v>
      </c>
      <c r="M60" s="99"/>
      <c r="N60" s="70"/>
      <c r="O60" s="94" t="s">
        <v>17932</v>
      </c>
      <c r="P60" s="68"/>
      <c r="Q60" s="76"/>
      <c r="R60" s="70"/>
      <c r="S60" s="67"/>
      <c r="T60" s="68"/>
      <c r="U60" s="76"/>
      <c r="V60" s="70"/>
      <c r="W60" s="120">
        <f>ROUND((ROUND((ROUND((_15_同援日増１．５*_15・２人),0)*(1+_15・A深夜)),0)*(1+_15・盲ろう)),0)</f>
        <v>355</v>
      </c>
      <c r="X60" s="69"/>
    </row>
    <row r="61" spans="1:24" ht="16.5" customHeight="1" x14ac:dyDescent="0.3">
      <c r="A61" s="2">
        <v>15</v>
      </c>
      <c r="B61" s="2" t="s">
        <v>2881</v>
      </c>
      <c r="C61" s="60" t="s">
        <v>13500</v>
      </c>
      <c r="D61" s="1"/>
      <c r="E61" s="68"/>
      <c r="F61" s="70"/>
      <c r="G61" s="74" t="s">
        <v>17747</v>
      </c>
      <c r="H61" s="62"/>
      <c r="I61" s="63"/>
      <c r="J61" s="85"/>
      <c r="K61" s="64"/>
      <c r="L61" s="65"/>
      <c r="M61" s="99"/>
      <c r="N61" s="70"/>
      <c r="O61" s="67"/>
      <c r="P61" s="68" t="s">
        <v>1</v>
      </c>
      <c r="Q61" s="76">
        <v>0.25</v>
      </c>
      <c r="R61" s="70" t="s">
        <v>422</v>
      </c>
      <c r="S61" s="67"/>
      <c r="T61" s="68"/>
      <c r="U61" s="76"/>
      <c r="V61" s="70"/>
      <c r="W61" s="120">
        <f>ROUND((ROUND((ROUND((_15_同援日増１．５*_15・基礎２),0)*(1+_15・A深夜)),0)*(1+_15・盲ろう)),0)</f>
        <v>319</v>
      </c>
      <c r="X61" s="69"/>
    </row>
    <row r="62" spans="1:24" ht="16.5" customHeight="1" x14ac:dyDescent="0.3">
      <c r="A62" s="2">
        <v>15</v>
      </c>
      <c r="B62" s="2" t="s">
        <v>2882</v>
      </c>
      <c r="C62" s="60" t="s">
        <v>13499</v>
      </c>
      <c r="D62" s="1"/>
      <c r="E62" s="68"/>
      <c r="F62" s="70"/>
      <c r="G62" s="106" t="s">
        <v>5896</v>
      </c>
      <c r="H62" s="57" t="s">
        <v>1</v>
      </c>
      <c r="I62" s="58">
        <v>0.9</v>
      </c>
      <c r="J62" s="83" t="s">
        <v>5895</v>
      </c>
      <c r="K62" s="64" t="s">
        <v>1</v>
      </c>
      <c r="L62" s="65">
        <v>1</v>
      </c>
      <c r="M62" s="99"/>
      <c r="N62" s="70"/>
      <c r="O62" s="66"/>
      <c r="P62" s="57"/>
      <c r="Q62" s="58"/>
      <c r="R62" s="77"/>
      <c r="S62" s="66"/>
      <c r="T62" s="57"/>
      <c r="U62" s="58"/>
      <c r="V62" s="77"/>
      <c r="W62" s="120">
        <f>ROUND((ROUND((ROUND((ROUND((_15_同援日増１．５*_15・基礎２),0)*_15・２人),0)*(1+_15・A深夜)),0)*(1+_15・盲ろう)),0)</f>
        <v>319</v>
      </c>
      <c r="X62" s="69"/>
    </row>
    <row r="63" spans="1:24" ht="16.5" customHeight="1" x14ac:dyDescent="0.3">
      <c r="A63" s="2">
        <v>15</v>
      </c>
      <c r="B63" s="2" t="s">
        <v>2883</v>
      </c>
      <c r="C63" s="60" t="s">
        <v>13498</v>
      </c>
      <c r="D63" s="1"/>
      <c r="E63" s="68"/>
      <c r="F63" s="70"/>
      <c r="G63" s="61"/>
      <c r="H63" s="62"/>
      <c r="I63" s="63"/>
      <c r="J63" s="85"/>
      <c r="K63" s="64"/>
      <c r="L63" s="65"/>
      <c r="M63" s="99"/>
      <c r="N63" s="70"/>
      <c r="O63" s="61"/>
      <c r="P63" s="62"/>
      <c r="Q63" s="63"/>
      <c r="R63" s="75"/>
      <c r="S63" s="61"/>
      <c r="T63" s="62"/>
      <c r="U63" s="63"/>
      <c r="V63" s="75"/>
      <c r="W63" s="120">
        <f>ROUND((ROUND((_15_同援日増１．５*(1+_15・A深夜)),0)*(1+_15・区３)),0)</f>
        <v>341</v>
      </c>
      <c r="X63" s="69"/>
    </row>
    <row r="64" spans="1:24" ht="16.5" customHeight="1" x14ac:dyDescent="0.3">
      <c r="A64" s="2">
        <v>15</v>
      </c>
      <c r="B64" s="2" t="s">
        <v>2884</v>
      </c>
      <c r="C64" s="60" t="s">
        <v>13497</v>
      </c>
      <c r="D64" s="1"/>
      <c r="E64" s="68"/>
      <c r="F64" s="70"/>
      <c r="G64" s="66"/>
      <c r="H64" s="57"/>
      <c r="I64" s="58"/>
      <c r="J64" s="83" t="s">
        <v>5895</v>
      </c>
      <c r="K64" s="64" t="s">
        <v>1</v>
      </c>
      <c r="L64" s="65">
        <v>1</v>
      </c>
      <c r="M64" s="99"/>
      <c r="N64" s="70"/>
      <c r="O64" s="67"/>
      <c r="P64" s="68"/>
      <c r="Q64" s="76"/>
      <c r="R64" s="70"/>
      <c r="S64" s="67"/>
      <c r="T64" s="68"/>
      <c r="U64" s="76"/>
      <c r="V64" s="70"/>
      <c r="W64" s="120">
        <f>ROUND((ROUND((ROUND((_15_同援日増１．５*_15・２人),0)*(1+_15・A深夜)),0)*(1+_15・区３)),0)</f>
        <v>341</v>
      </c>
      <c r="X64" s="69"/>
    </row>
    <row r="65" spans="1:24" ht="16.5" customHeight="1" x14ac:dyDescent="0.3">
      <c r="A65" s="2">
        <v>15</v>
      </c>
      <c r="B65" s="2" t="s">
        <v>2885</v>
      </c>
      <c r="C65" s="60" t="s">
        <v>13496</v>
      </c>
      <c r="D65" s="1"/>
      <c r="E65" s="68"/>
      <c r="F65" s="70"/>
      <c r="G65" s="74" t="s">
        <v>17747</v>
      </c>
      <c r="H65" s="62"/>
      <c r="I65" s="63"/>
      <c r="J65" s="85"/>
      <c r="K65" s="64"/>
      <c r="L65" s="65"/>
      <c r="M65" s="99"/>
      <c r="N65" s="70"/>
      <c r="O65" s="67"/>
      <c r="P65" s="68"/>
      <c r="Q65" s="76"/>
      <c r="R65" s="70"/>
      <c r="S65" s="1" t="s">
        <v>17936</v>
      </c>
      <c r="T65" s="68"/>
      <c r="U65" s="76"/>
      <c r="V65" s="70"/>
      <c r="W65" s="120">
        <f>ROUND((ROUND((ROUND((_15_同援日増１．５*_15・基礎２),0)*(1+_15・A深夜)),0)*(1+_15・区３)),0)</f>
        <v>306</v>
      </c>
      <c r="X65" s="69"/>
    </row>
    <row r="66" spans="1:24" ht="16.5" customHeight="1" x14ac:dyDescent="0.3">
      <c r="A66" s="2">
        <v>15</v>
      </c>
      <c r="B66" s="2" t="s">
        <v>2886</v>
      </c>
      <c r="C66" s="60" t="s">
        <v>13495</v>
      </c>
      <c r="D66" s="1"/>
      <c r="E66" s="68"/>
      <c r="F66" s="70"/>
      <c r="G66" s="106" t="s">
        <v>17420</v>
      </c>
      <c r="H66" s="57" t="s">
        <v>1</v>
      </c>
      <c r="I66" s="58">
        <v>0.9</v>
      </c>
      <c r="J66" s="83" t="s">
        <v>5895</v>
      </c>
      <c r="K66" s="64" t="s">
        <v>1</v>
      </c>
      <c r="L66" s="65">
        <v>1</v>
      </c>
      <c r="M66" s="99"/>
      <c r="N66" s="70"/>
      <c r="O66" s="66"/>
      <c r="P66" s="57"/>
      <c r="Q66" s="58"/>
      <c r="R66" s="77"/>
      <c r="S66" s="1" t="s">
        <v>17934</v>
      </c>
      <c r="T66" s="68"/>
      <c r="U66" s="76"/>
      <c r="V66" s="70"/>
      <c r="W66" s="120">
        <f>ROUND((ROUND((ROUND((ROUND((_15_同援日増１．５*_15・基礎２),0)*_15・２人),0)*(1+_15・A深夜)),0)*(1+_15・区３)),0)</f>
        <v>306</v>
      </c>
      <c r="X66" s="69"/>
    </row>
    <row r="67" spans="1:24" ht="16.5" customHeight="1" x14ac:dyDescent="0.3">
      <c r="A67" s="2">
        <v>15</v>
      </c>
      <c r="B67" s="2" t="s">
        <v>2887</v>
      </c>
      <c r="C67" s="60" t="s">
        <v>13494</v>
      </c>
      <c r="D67" s="1"/>
      <c r="E67" s="68"/>
      <c r="F67" s="70"/>
      <c r="G67" s="61"/>
      <c r="H67" s="62"/>
      <c r="I67" s="63"/>
      <c r="J67" s="85"/>
      <c r="K67" s="64"/>
      <c r="L67" s="65"/>
      <c r="M67" s="99"/>
      <c r="N67" s="70"/>
      <c r="O67" s="74" t="s">
        <v>17933</v>
      </c>
      <c r="P67" s="62"/>
      <c r="Q67" s="63"/>
      <c r="R67" s="75"/>
      <c r="S67" s="67"/>
      <c r="T67" s="68" t="s">
        <v>1</v>
      </c>
      <c r="U67" s="76">
        <v>0.2</v>
      </c>
      <c r="V67" s="70" t="s">
        <v>422</v>
      </c>
      <c r="W67" s="120">
        <f>ROUND((ROUND((ROUND((_15_同援日増１．５*(1+_15・A深夜)),0)*(1+_15・盲ろう)),0)*(1+_15・区３)),0)</f>
        <v>426</v>
      </c>
      <c r="X67" s="69"/>
    </row>
    <row r="68" spans="1:24" ht="16.5" customHeight="1" x14ac:dyDescent="0.3">
      <c r="A68" s="2">
        <v>15</v>
      </c>
      <c r="B68" s="2" t="s">
        <v>2888</v>
      </c>
      <c r="C68" s="60" t="s">
        <v>13493</v>
      </c>
      <c r="D68" s="1"/>
      <c r="E68" s="68"/>
      <c r="F68" s="70"/>
      <c r="G68" s="66"/>
      <c r="H68" s="57"/>
      <c r="I68" s="58"/>
      <c r="J68" s="83" t="s">
        <v>5895</v>
      </c>
      <c r="K68" s="64" t="s">
        <v>1</v>
      </c>
      <c r="L68" s="65">
        <v>1</v>
      </c>
      <c r="M68" s="99"/>
      <c r="N68" s="70"/>
      <c r="O68" s="94" t="s">
        <v>8083</v>
      </c>
      <c r="P68" s="68"/>
      <c r="Q68" s="76"/>
      <c r="R68" s="70"/>
      <c r="S68" s="67"/>
      <c r="T68" s="68"/>
      <c r="U68" s="76"/>
      <c r="V68" s="70"/>
      <c r="W68" s="120">
        <f>ROUND((ROUND((ROUND((ROUND((_15_同援日増１．５*_15・２人),0)*(1+_15・A深夜)),0)*(1+_15・盲ろう)),0)*(1+_15・区３)),0)</f>
        <v>426</v>
      </c>
      <c r="X68" s="69"/>
    </row>
    <row r="69" spans="1:24" ht="16.5" customHeight="1" x14ac:dyDescent="0.3">
      <c r="A69" s="2">
        <v>15</v>
      </c>
      <c r="B69" s="2" t="s">
        <v>2889</v>
      </c>
      <c r="C69" s="60" t="s">
        <v>13492</v>
      </c>
      <c r="D69" s="1"/>
      <c r="E69" s="68"/>
      <c r="F69" s="70"/>
      <c r="G69" s="74" t="s">
        <v>5898</v>
      </c>
      <c r="H69" s="62"/>
      <c r="I69" s="63"/>
      <c r="J69" s="85"/>
      <c r="K69" s="64"/>
      <c r="L69" s="65"/>
      <c r="M69" s="99"/>
      <c r="N69" s="70"/>
      <c r="O69" s="67"/>
      <c r="P69" s="68" t="s">
        <v>1</v>
      </c>
      <c r="Q69" s="76">
        <v>0.25</v>
      </c>
      <c r="R69" s="70" t="s">
        <v>422</v>
      </c>
      <c r="S69" s="67"/>
      <c r="T69" s="68"/>
      <c r="U69" s="76"/>
      <c r="V69" s="70"/>
      <c r="W69" s="120">
        <f>ROUND((ROUND((ROUND((ROUND((_15_同援日増１．５*_15・基礎２),0)*(1+_15・A深夜)),0)*(1+_15・盲ろう)),0)*(1+_15・区３)),0)</f>
        <v>383</v>
      </c>
      <c r="X69" s="69"/>
    </row>
    <row r="70" spans="1:24" ht="16.5" customHeight="1" x14ac:dyDescent="0.3">
      <c r="A70" s="2">
        <v>15</v>
      </c>
      <c r="B70" s="2" t="s">
        <v>2890</v>
      </c>
      <c r="C70" s="60" t="s">
        <v>13491</v>
      </c>
      <c r="D70" s="1"/>
      <c r="E70" s="68"/>
      <c r="F70" s="70"/>
      <c r="G70" s="106" t="s">
        <v>17420</v>
      </c>
      <c r="H70" s="57" t="s">
        <v>1</v>
      </c>
      <c r="I70" s="58">
        <v>0.9</v>
      </c>
      <c r="J70" s="83" t="s">
        <v>5895</v>
      </c>
      <c r="K70" s="64" t="s">
        <v>1</v>
      </c>
      <c r="L70" s="65">
        <v>1</v>
      </c>
      <c r="M70" s="99"/>
      <c r="N70" s="70"/>
      <c r="O70" s="66"/>
      <c r="P70" s="57"/>
      <c r="Q70" s="58"/>
      <c r="R70" s="77"/>
      <c r="S70" s="66"/>
      <c r="T70" s="57"/>
      <c r="U70" s="58"/>
      <c r="V70" s="77"/>
      <c r="W70" s="120">
        <f>ROUND((ROUND((ROUND((ROUND((ROUND((_15_同援日増１．５*_15・基礎２),0)*_15・２人),0)*(1+_15・A深夜)),0)*(1+_15・盲ろう)),0)*(1+_15・区３)),0)</f>
        <v>383</v>
      </c>
      <c r="X70" s="69"/>
    </row>
    <row r="71" spans="1:24" ht="16.5" customHeight="1" x14ac:dyDescent="0.3">
      <c r="A71" s="2">
        <v>15</v>
      </c>
      <c r="B71" s="2" t="s">
        <v>2891</v>
      </c>
      <c r="C71" s="60" t="s">
        <v>13490</v>
      </c>
      <c r="D71" s="1"/>
      <c r="E71" s="68"/>
      <c r="F71" s="70"/>
      <c r="G71" s="61"/>
      <c r="H71" s="62"/>
      <c r="I71" s="63"/>
      <c r="J71" s="85"/>
      <c r="K71" s="64"/>
      <c r="L71" s="65"/>
      <c r="M71" s="99"/>
      <c r="N71" s="70"/>
      <c r="O71" s="61"/>
      <c r="P71" s="62"/>
      <c r="Q71" s="63"/>
      <c r="R71" s="75"/>
      <c r="S71" s="61"/>
      <c r="T71" s="62"/>
      <c r="U71" s="63"/>
      <c r="V71" s="75"/>
      <c r="W71" s="120">
        <f>ROUND((ROUND((_15_同援日増１．５*(1+_15・A深夜)),0)*(1+_15・区４)),0)</f>
        <v>398</v>
      </c>
      <c r="X71" s="69"/>
    </row>
    <row r="72" spans="1:24" ht="16.5" customHeight="1" x14ac:dyDescent="0.3">
      <c r="A72" s="2">
        <v>15</v>
      </c>
      <c r="B72" s="2" t="s">
        <v>2892</v>
      </c>
      <c r="C72" s="60" t="s">
        <v>13489</v>
      </c>
      <c r="D72" s="1"/>
      <c r="E72" s="68"/>
      <c r="F72" s="70"/>
      <c r="G72" s="66"/>
      <c r="H72" s="57"/>
      <c r="I72" s="58"/>
      <c r="J72" s="83" t="s">
        <v>5895</v>
      </c>
      <c r="K72" s="64" t="s">
        <v>1</v>
      </c>
      <c r="L72" s="65">
        <v>1</v>
      </c>
      <c r="M72" s="99"/>
      <c r="N72" s="70"/>
      <c r="O72" s="67"/>
      <c r="P72" s="68"/>
      <c r="Q72" s="76"/>
      <c r="R72" s="70"/>
      <c r="S72" s="67"/>
      <c r="T72" s="68"/>
      <c r="U72" s="76"/>
      <c r="V72" s="70"/>
      <c r="W72" s="120">
        <f>ROUND((ROUND((ROUND((_15_同援日増１．５*_15・２人),0)*(1+_15・A深夜)),0)*(1+_15・区４)),0)</f>
        <v>398</v>
      </c>
      <c r="X72" s="69"/>
    </row>
    <row r="73" spans="1:24" ht="16.5" customHeight="1" x14ac:dyDescent="0.3">
      <c r="A73" s="2">
        <v>15</v>
      </c>
      <c r="B73" s="2" t="s">
        <v>2893</v>
      </c>
      <c r="C73" s="60" t="s">
        <v>13488</v>
      </c>
      <c r="D73" s="1"/>
      <c r="E73" s="68"/>
      <c r="F73" s="70"/>
      <c r="G73" s="74" t="s">
        <v>17747</v>
      </c>
      <c r="H73" s="62"/>
      <c r="I73" s="63"/>
      <c r="J73" s="85"/>
      <c r="K73" s="64"/>
      <c r="L73" s="65"/>
      <c r="M73" s="99"/>
      <c r="N73" s="70"/>
      <c r="O73" s="67"/>
      <c r="P73" s="68"/>
      <c r="Q73" s="76"/>
      <c r="R73" s="70"/>
      <c r="S73" s="1" t="s">
        <v>17935</v>
      </c>
      <c r="T73" s="68"/>
      <c r="U73" s="76"/>
      <c r="V73" s="70"/>
      <c r="W73" s="120">
        <f>ROUND((ROUND((ROUND((_15_同援日増１．５*_15・基礎２),0)*(1+_15・A深夜)),0)*(1+_15・区４)),0)</f>
        <v>357</v>
      </c>
      <c r="X73" s="69"/>
    </row>
    <row r="74" spans="1:24" ht="16.5" customHeight="1" x14ac:dyDescent="0.3">
      <c r="A74" s="2">
        <v>15</v>
      </c>
      <c r="B74" s="2" t="s">
        <v>2894</v>
      </c>
      <c r="C74" s="60" t="s">
        <v>13487</v>
      </c>
      <c r="D74" s="1"/>
      <c r="E74" s="68"/>
      <c r="F74" s="70"/>
      <c r="G74" s="106" t="s">
        <v>17420</v>
      </c>
      <c r="H74" s="57" t="s">
        <v>1</v>
      </c>
      <c r="I74" s="58">
        <v>0.9</v>
      </c>
      <c r="J74" s="83" t="s">
        <v>5895</v>
      </c>
      <c r="K74" s="64" t="s">
        <v>1</v>
      </c>
      <c r="L74" s="65">
        <v>1</v>
      </c>
      <c r="M74" s="99"/>
      <c r="N74" s="70"/>
      <c r="O74" s="66"/>
      <c r="P74" s="57"/>
      <c r="Q74" s="58"/>
      <c r="R74" s="77"/>
      <c r="S74" s="1" t="s">
        <v>8087</v>
      </c>
      <c r="T74" s="68"/>
      <c r="U74" s="76"/>
      <c r="V74" s="70"/>
      <c r="W74" s="120">
        <f>ROUND((ROUND((ROUND((ROUND((_15_同援日増１．５*_15・基礎２),0)*_15・２人),0)*(1+_15・A深夜)),0)*(1+_15・区４)),0)</f>
        <v>357</v>
      </c>
      <c r="X74" s="69"/>
    </row>
    <row r="75" spans="1:24" ht="16.5" customHeight="1" x14ac:dyDescent="0.3">
      <c r="A75" s="2">
        <v>15</v>
      </c>
      <c r="B75" s="2" t="s">
        <v>2895</v>
      </c>
      <c r="C75" s="60" t="s">
        <v>13486</v>
      </c>
      <c r="D75" s="1"/>
      <c r="E75" s="68"/>
      <c r="F75" s="70"/>
      <c r="G75" s="61"/>
      <c r="H75" s="62"/>
      <c r="I75" s="63"/>
      <c r="J75" s="85"/>
      <c r="K75" s="64"/>
      <c r="L75" s="65"/>
      <c r="M75" s="99"/>
      <c r="N75" s="70"/>
      <c r="O75" s="74" t="s">
        <v>17933</v>
      </c>
      <c r="P75" s="62"/>
      <c r="Q75" s="63"/>
      <c r="R75" s="75"/>
      <c r="S75" s="67"/>
      <c r="T75" s="68" t="s">
        <v>1</v>
      </c>
      <c r="U75" s="76">
        <v>0.4</v>
      </c>
      <c r="V75" s="70" t="s">
        <v>422</v>
      </c>
      <c r="W75" s="120">
        <f>ROUND((ROUND((ROUND((_15_同援日増１．５*(1+_15・A深夜)),0)*(1+_15・盲ろう)),0)*(1+_15・区４)),0)</f>
        <v>497</v>
      </c>
      <c r="X75" s="69"/>
    </row>
    <row r="76" spans="1:24" ht="16.5" customHeight="1" x14ac:dyDescent="0.3">
      <c r="A76" s="2">
        <v>15</v>
      </c>
      <c r="B76" s="2" t="s">
        <v>2896</v>
      </c>
      <c r="C76" s="60" t="s">
        <v>13485</v>
      </c>
      <c r="D76" s="1"/>
      <c r="E76" s="68"/>
      <c r="F76" s="70"/>
      <c r="G76" s="66"/>
      <c r="H76" s="57"/>
      <c r="I76" s="58"/>
      <c r="J76" s="83" t="s">
        <v>5895</v>
      </c>
      <c r="K76" s="64" t="s">
        <v>1</v>
      </c>
      <c r="L76" s="65">
        <v>1</v>
      </c>
      <c r="M76" s="99"/>
      <c r="N76" s="70"/>
      <c r="O76" s="94" t="s">
        <v>17932</v>
      </c>
      <c r="P76" s="68"/>
      <c r="Q76" s="76"/>
      <c r="R76" s="70"/>
      <c r="S76" s="67"/>
      <c r="T76" s="68"/>
      <c r="U76" s="76"/>
      <c r="V76" s="70"/>
      <c r="W76" s="120">
        <f>ROUND((ROUND((ROUND((ROUND((_15_同援日増１．５*_15・２人),0)*(1+_15・A深夜)),0)*(1+_15・盲ろう)),0)*(1+_15・区４)),0)</f>
        <v>497</v>
      </c>
      <c r="X76" s="69"/>
    </row>
    <row r="77" spans="1:24" ht="16.5" customHeight="1" x14ac:dyDescent="0.3">
      <c r="A77" s="2">
        <v>15</v>
      </c>
      <c r="B77" s="2" t="s">
        <v>2897</v>
      </c>
      <c r="C77" s="60" t="s">
        <v>13484</v>
      </c>
      <c r="D77" s="1"/>
      <c r="E77" s="68"/>
      <c r="F77" s="70"/>
      <c r="G77" s="74" t="s">
        <v>17747</v>
      </c>
      <c r="H77" s="62"/>
      <c r="I77" s="63"/>
      <c r="J77" s="85"/>
      <c r="K77" s="64"/>
      <c r="L77" s="65"/>
      <c r="M77" s="99"/>
      <c r="N77" s="70"/>
      <c r="O77" s="67"/>
      <c r="P77" s="68" t="s">
        <v>1</v>
      </c>
      <c r="Q77" s="76">
        <v>0.25</v>
      </c>
      <c r="R77" s="70" t="s">
        <v>422</v>
      </c>
      <c r="S77" s="67"/>
      <c r="T77" s="68"/>
      <c r="U77" s="76"/>
      <c r="V77" s="70"/>
      <c r="W77" s="120">
        <f>ROUND((ROUND((ROUND((ROUND((_15_同援日増１．５*_15・基礎２),0)*(1+_15・A深夜)),0)*(1+_15・盲ろう)),0)*(1+_15・区４)),0)</f>
        <v>447</v>
      </c>
      <c r="X77" s="69"/>
    </row>
    <row r="78" spans="1:24" ht="16.5" customHeight="1" x14ac:dyDescent="0.3">
      <c r="A78" s="2">
        <v>15</v>
      </c>
      <c r="B78" s="2" t="s">
        <v>2898</v>
      </c>
      <c r="C78" s="60" t="s">
        <v>13483</v>
      </c>
      <c r="D78" s="81"/>
      <c r="E78" s="57"/>
      <c r="F78" s="77"/>
      <c r="G78" s="106" t="s">
        <v>5896</v>
      </c>
      <c r="H78" s="57" t="s">
        <v>1</v>
      </c>
      <c r="I78" s="58">
        <v>0.9</v>
      </c>
      <c r="J78" s="83" t="s">
        <v>5895</v>
      </c>
      <c r="K78" s="64" t="s">
        <v>1</v>
      </c>
      <c r="L78" s="65">
        <v>1</v>
      </c>
      <c r="M78" s="99"/>
      <c r="N78" s="70"/>
      <c r="O78" s="66"/>
      <c r="P78" s="57"/>
      <c r="Q78" s="58"/>
      <c r="R78" s="77"/>
      <c r="S78" s="66"/>
      <c r="T78" s="57"/>
      <c r="U78" s="58"/>
      <c r="V78" s="77"/>
      <c r="W78" s="120">
        <f>ROUND((ROUND((ROUND((ROUND((ROUND((_15_同援日増１．５*_15・基礎２),0)*_15・２人),0)*(1+_15・A深夜)),0)*(1+_15・盲ろう)),0)*(1+_15・区４)),0)</f>
        <v>447</v>
      </c>
      <c r="X78" s="69"/>
    </row>
    <row r="79" spans="1:24" ht="16.5" customHeight="1" x14ac:dyDescent="0.3">
      <c r="A79" s="2">
        <v>15</v>
      </c>
      <c r="B79" s="2" t="s">
        <v>2899</v>
      </c>
      <c r="C79" s="60" t="s">
        <v>13482</v>
      </c>
      <c r="D79" s="233" t="s">
        <v>18207</v>
      </c>
      <c r="E79" s="62"/>
      <c r="F79" s="75"/>
      <c r="G79" s="61"/>
      <c r="H79" s="62"/>
      <c r="I79" s="63"/>
      <c r="J79" s="85"/>
      <c r="K79" s="64"/>
      <c r="L79" s="65"/>
      <c r="M79" s="99"/>
      <c r="N79" s="70"/>
      <c r="O79" s="61"/>
      <c r="P79" s="62"/>
      <c r="Q79" s="63"/>
      <c r="R79" s="75"/>
      <c r="S79" s="61"/>
      <c r="T79" s="62"/>
      <c r="U79" s="63"/>
      <c r="V79" s="75"/>
      <c r="W79" s="120">
        <f>ROUND((_15_同援日増２．０*(1+_15・A深夜)),0)</f>
        <v>378</v>
      </c>
      <c r="X79" s="69"/>
    </row>
    <row r="80" spans="1:24" ht="16.5" customHeight="1" x14ac:dyDescent="0.3">
      <c r="A80" s="2">
        <v>15</v>
      </c>
      <c r="B80" s="2" t="s">
        <v>2900</v>
      </c>
      <c r="C80" s="60" t="s">
        <v>13481</v>
      </c>
      <c r="D80" s="94" t="s">
        <v>17404</v>
      </c>
      <c r="E80" s="68"/>
      <c r="F80" s="70"/>
      <c r="G80" s="66"/>
      <c r="H80" s="57"/>
      <c r="I80" s="58"/>
      <c r="J80" s="83" t="s">
        <v>5895</v>
      </c>
      <c r="K80" s="64" t="s">
        <v>1</v>
      </c>
      <c r="L80" s="65">
        <v>1</v>
      </c>
      <c r="M80" s="99"/>
      <c r="N80" s="70"/>
      <c r="O80" s="67"/>
      <c r="P80" s="68"/>
      <c r="Q80" s="76"/>
      <c r="R80" s="70"/>
      <c r="S80" s="67"/>
      <c r="T80" s="68"/>
      <c r="U80" s="76"/>
      <c r="V80" s="70"/>
      <c r="W80" s="120">
        <f>ROUND((ROUND((_15_同援日増２．０*_15・２人),0)*(1+_15・A深夜)),0)</f>
        <v>378</v>
      </c>
      <c r="X80" s="69"/>
    </row>
    <row r="81" spans="1:24" ht="16.5" customHeight="1" x14ac:dyDescent="0.3">
      <c r="A81" s="2">
        <v>15</v>
      </c>
      <c r="B81" s="2" t="s">
        <v>2901</v>
      </c>
      <c r="C81" s="60" t="s">
        <v>13480</v>
      </c>
      <c r="D81" s="1" t="s">
        <v>6448</v>
      </c>
      <c r="E81" s="68"/>
      <c r="F81" s="70"/>
      <c r="G81" s="74" t="s">
        <v>5898</v>
      </c>
      <c r="H81" s="62"/>
      <c r="I81" s="63"/>
      <c r="J81" s="85"/>
      <c r="K81" s="64"/>
      <c r="L81" s="65"/>
      <c r="M81" s="99"/>
      <c r="N81" s="70"/>
      <c r="O81" s="67"/>
      <c r="P81" s="68"/>
      <c r="Q81" s="76"/>
      <c r="R81" s="70"/>
      <c r="S81" s="67"/>
      <c r="T81" s="68"/>
      <c r="U81" s="76"/>
      <c r="V81" s="70"/>
      <c r="W81" s="120">
        <f>ROUND((ROUND((_15_同援日増２．０*_15・基礎２),0)*(1+_15・A深夜)),0)</f>
        <v>341</v>
      </c>
      <c r="X81" s="69"/>
    </row>
    <row r="82" spans="1:24" ht="16.5" customHeight="1" x14ac:dyDescent="0.3">
      <c r="A82" s="2">
        <v>15</v>
      </c>
      <c r="B82" s="2" t="s">
        <v>2902</v>
      </c>
      <c r="C82" s="60" t="s">
        <v>13479</v>
      </c>
      <c r="D82" s="1"/>
      <c r="E82" s="119">
        <v>252</v>
      </c>
      <c r="F82" s="70" t="s">
        <v>0</v>
      </c>
      <c r="G82" s="106" t="s">
        <v>17420</v>
      </c>
      <c r="H82" s="57" t="s">
        <v>1</v>
      </c>
      <c r="I82" s="58">
        <v>0.9</v>
      </c>
      <c r="J82" s="83" t="s">
        <v>5895</v>
      </c>
      <c r="K82" s="64" t="s">
        <v>1</v>
      </c>
      <c r="L82" s="65">
        <v>1</v>
      </c>
      <c r="M82" s="99"/>
      <c r="N82" s="70"/>
      <c r="O82" s="66"/>
      <c r="P82" s="57"/>
      <c r="Q82" s="58"/>
      <c r="R82" s="77"/>
      <c r="S82" s="67"/>
      <c r="T82" s="68"/>
      <c r="U82" s="76"/>
      <c r="V82" s="70"/>
      <c r="W82" s="120">
        <f>ROUND((ROUND((ROUND((_15_同援日増２．０*_15・基礎２),0)*_15・２人),0)*(1+_15・A深夜)),0)</f>
        <v>341</v>
      </c>
      <c r="X82" s="69"/>
    </row>
    <row r="83" spans="1:24" ht="16.5" customHeight="1" x14ac:dyDescent="0.3">
      <c r="A83" s="2">
        <v>15</v>
      </c>
      <c r="B83" s="2" t="s">
        <v>2903</v>
      </c>
      <c r="C83" s="60" t="s">
        <v>13478</v>
      </c>
      <c r="D83" s="1"/>
      <c r="E83" s="68"/>
      <c r="F83" s="70"/>
      <c r="G83" s="61"/>
      <c r="H83" s="62"/>
      <c r="I83" s="63"/>
      <c r="J83" s="85"/>
      <c r="K83" s="64"/>
      <c r="L83" s="65"/>
      <c r="M83" s="99"/>
      <c r="N83" s="70"/>
      <c r="O83" s="74" t="s">
        <v>17933</v>
      </c>
      <c r="P83" s="62"/>
      <c r="Q83" s="63"/>
      <c r="R83" s="75"/>
      <c r="S83" s="67"/>
      <c r="T83" s="68"/>
      <c r="U83" s="76"/>
      <c r="V83" s="70"/>
      <c r="W83" s="120">
        <f>ROUND((ROUND((_15_同援日増２．０*(1+_15・A深夜)),0)*(1+_15・盲ろう)),0)</f>
        <v>473</v>
      </c>
      <c r="X83" s="69"/>
    </row>
    <row r="84" spans="1:24" ht="16.5" customHeight="1" x14ac:dyDescent="0.3">
      <c r="A84" s="2">
        <v>15</v>
      </c>
      <c r="B84" s="2" t="s">
        <v>2904</v>
      </c>
      <c r="C84" s="60" t="s">
        <v>13477</v>
      </c>
      <c r="D84" s="1"/>
      <c r="E84" s="68"/>
      <c r="F84" s="70"/>
      <c r="G84" s="66"/>
      <c r="H84" s="57"/>
      <c r="I84" s="58"/>
      <c r="J84" s="83" t="s">
        <v>5895</v>
      </c>
      <c r="K84" s="64" t="s">
        <v>1</v>
      </c>
      <c r="L84" s="65">
        <v>1</v>
      </c>
      <c r="M84" s="99"/>
      <c r="N84" s="70"/>
      <c r="O84" s="94" t="s">
        <v>17932</v>
      </c>
      <c r="P84" s="68"/>
      <c r="Q84" s="76"/>
      <c r="R84" s="70"/>
      <c r="S84" s="67"/>
      <c r="T84" s="68"/>
      <c r="U84" s="76"/>
      <c r="V84" s="70"/>
      <c r="W84" s="120">
        <f>ROUND((ROUND((ROUND((_15_同援日増２．０*_15・２人),0)*(1+_15・A深夜)),0)*(1+_15・盲ろう)),0)</f>
        <v>473</v>
      </c>
      <c r="X84" s="69"/>
    </row>
    <row r="85" spans="1:24" ht="16.5" customHeight="1" x14ac:dyDescent="0.3">
      <c r="A85" s="2">
        <v>15</v>
      </c>
      <c r="B85" s="2" t="s">
        <v>2905</v>
      </c>
      <c r="C85" s="60" t="s">
        <v>13476</v>
      </c>
      <c r="D85" s="1"/>
      <c r="E85" s="68"/>
      <c r="F85" s="70"/>
      <c r="G85" s="74" t="s">
        <v>17747</v>
      </c>
      <c r="H85" s="62"/>
      <c r="I85" s="63"/>
      <c r="J85" s="85"/>
      <c r="K85" s="64"/>
      <c r="L85" s="65"/>
      <c r="M85" s="99"/>
      <c r="N85" s="70"/>
      <c r="O85" s="67"/>
      <c r="P85" s="68" t="s">
        <v>1</v>
      </c>
      <c r="Q85" s="76">
        <v>0.25</v>
      </c>
      <c r="R85" s="70" t="s">
        <v>422</v>
      </c>
      <c r="S85" s="67"/>
      <c r="T85" s="68"/>
      <c r="U85" s="76"/>
      <c r="V85" s="70"/>
      <c r="W85" s="120">
        <f>ROUND((ROUND((ROUND((_15_同援日増２．０*_15・基礎２),0)*(1+_15・A深夜)),0)*(1+_15・盲ろう)),0)</f>
        <v>426</v>
      </c>
      <c r="X85" s="69"/>
    </row>
    <row r="86" spans="1:24" ht="16.5" customHeight="1" x14ac:dyDescent="0.3">
      <c r="A86" s="2">
        <v>15</v>
      </c>
      <c r="B86" s="2" t="s">
        <v>2906</v>
      </c>
      <c r="C86" s="60" t="s">
        <v>13475</v>
      </c>
      <c r="D86" s="1"/>
      <c r="E86" s="68"/>
      <c r="F86" s="70"/>
      <c r="G86" s="106" t="s">
        <v>17420</v>
      </c>
      <c r="H86" s="57" t="s">
        <v>1</v>
      </c>
      <c r="I86" s="58">
        <v>0.9</v>
      </c>
      <c r="J86" s="83" t="s">
        <v>5895</v>
      </c>
      <c r="K86" s="64" t="s">
        <v>1</v>
      </c>
      <c r="L86" s="65">
        <v>1</v>
      </c>
      <c r="M86" s="99"/>
      <c r="N86" s="70"/>
      <c r="O86" s="66"/>
      <c r="P86" s="57"/>
      <c r="Q86" s="58"/>
      <c r="R86" s="77"/>
      <c r="S86" s="66"/>
      <c r="T86" s="57"/>
      <c r="U86" s="58"/>
      <c r="V86" s="77"/>
      <c r="W86" s="120">
        <f>ROUND((ROUND((ROUND((ROUND((_15_同援日増２．０*_15・基礎２),0)*_15・２人),0)*(1+_15・A深夜)),0)*(1+_15・盲ろう)),0)</f>
        <v>426</v>
      </c>
      <c r="X86" s="69"/>
    </row>
    <row r="87" spans="1:24" ht="16.5" customHeight="1" x14ac:dyDescent="0.3">
      <c r="A87" s="2">
        <v>15</v>
      </c>
      <c r="B87" s="2" t="s">
        <v>2907</v>
      </c>
      <c r="C87" s="60" t="s">
        <v>13474</v>
      </c>
      <c r="D87" s="1"/>
      <c r="E87" s="68"/>
      <c r="F87" s="70"/>
      <c r="G87" s="61"/>
      <c r="H87" s="62"/>
      <c r="I87" s="63"/>
      <c r="J87" s="85"/>
      <c r="K87" s="64"/>
      <c r="L87" s="65"/>
      <c r="M87" s="99"/>
      <c r="N87" s="70"/>
      <c r="O87" s="61"/>
      <c r="P87" s="62"/>
      <c r="Q87" s="63"/>
      <c r="R87" s="75"/>
      <c r="S87" s="61"/>
      <c r="T87" s="62"/>
      <c r="U87" s="63"/>
      <c r="V87" s="75"/>
      <c r="W87" s="120">
        <f>ROUND((ROUND((_15_同援日増２．０*(1+_15・A深夜)),0)*(1+_15・区３)),0)</f>
        <v>454</v>
      </c>
      <c r="X87" s="69"/>
    </row>
    <row r="88" spans="1:24" ht="16.5" customHeight="1" x14ac:dyDescent="0.3">
      <c r="A88" s="2">
        <v>15</v>
      </c>
      <c r="B88" s="2" t="s">
        <v>2908</v>
      </c>
      <c r="C88" s="60" t="s">
        <v>13473</v>
      </c>
      <c r="D88" s="1"/>
      <c r="E88" s="68"/>
      <c r="F88" s="70"/>
      <c r="G88" s="66"/>
      <c r="H88" s="57"/>
      <c r="I88" s="58"/>
      <c r="J88" s="83" t="s">
        <v>5895</v>
      </c>
      <c r="K88" s="64" t="s">
        <v>1</v>
      </c>
      <c r="L88" s="65">
        <v>1</v>
      </c>
      <c r="M88" s="99"/>
      <c r="N88" s="70"/>
      <c r="O88" s="67"/>
      <c r="P88" s="68"/>
      <c r="Q88" s="76"/>
      <c r="R88" s="70"/>
      <c r="S88" s="67"/>
      <c r="T88" s="68"/>
      <c r="U88" s="76"/>
      <c r="V88" s="70"/>
      <c r="W88" s="120">
        <f>ROUND((ROUND((ROUND((_15_同援日増２．０*_15・２人),0)*(1+_15・A深夜)),0)*(1+_15・区３)),0)</f>
        <v>454</v>
      </c>
      <c r="X88" s="69"/>
    </row>
    <row r="89" spans="1:24" ht="16.5" customHeight="1" x14ac:dyDescent="0.3">
      <c r="A89" s="2">
        <v>15</v>
      </c>
      <c r="B89" s="2" t="s">
        <v>2909</v>
      </c>
      <c r="C89" s="60" t="s">
        <v>13472</v>
      </c>
      <c r="D89" s="1"/>
      <c r="E89" s="68"/>
      <c r="F89" s="70"/>
      <c r="G89" s="74" t="s">
        <v>5898</v>
      </c>
      <c r="H89" s="62"/>
      <c r="I89" s="63"/>
      <c r="J89" s="85"/>
      <c r="K89" s="64"/>
      <c r="L89" s="65"/>
      <c r="M89" s="99"/>
      <c r="N89" s="70"/>
      <c r="O89" s="67"/>
      <c r="P89" s="68"/>
      <c r="Q89" s="76"/>
      <c r="R89" s="70"/>
      <c r="S89" s="1" t="s">
        <v>17936</v>
      </c>
      <c r="T89" s="68"/>
      <c r="U89" s="76"/>
      <c r="V89" s="70"/>
      <c r="W89" s="120">
        <f>ROUND((ROUND((ROUND((_15_同援日増２．０*_15・基礎２),0)*(1+_15・A深夜)),0)*(1+_15・区３)),0)</f>
        <v>409</v>
      </c>
      <c r="X89" s="69"/>
    </row>
    <row r="90" spans="1:24" ht="16.5" customHeight="1" x14ac:dyDescent="0.3">
      <c r="A90" s="2">
        <v>15</v>
      </c>
      <c r="B90" s="2" t="s">
        <v>2910</v>
      </c>
      <c r="C90" s="60" t="s">
        <v>13471</v>
      </c>
      <c r="D90" s="1"/>
      <c r="E90" s="68"/>
      <c r="F90" s="70"/>
      <c r="G90" s="106" t="s">
        <v>17420</v>
      </c>
      <c r="H90" s="57" t="s">
        <v>1</v>
      </c>
      <c r="I90" s="58">
        <v>0.9</v>
      </c>
      <c r="J90" s="83" t="s">
        <v>5895</v>
      </c>
      <c r="K90" s="64" t="s">
        <v>1</v>
      </c>
      <c r="L90" s="65">
        <v>1</v>
      </c>
      <c r="M90" s="99"/>
      <c r="N90" s="70"/>
      <c r="O90" s="66"/>
      <c r="P90" s="57"/>
      <c r="Q90" s="58"/>
      <c r="R90" s="77"/>
      <c r="S90" s="1" t="s">
        <v>17934</v>
      </c>
      <c r="T90" s="68"/>
      <c r="U90" s="76"/>
      <c r="V90" s="70"/>
      <c r="W90" s="120">
        <f>ROUND((ROUND((ROUND((ROUND((_15_同援日増２．０*_15・基礎２),0)*_15・２人),0)*(1+_15・A深夜)),0)*(1+_15・区３)),0)</f>
        <v>409</v>
      </c>
      <c r="X90" s="69"/>
    </row>
    <row r="91" spans="1:24" ht="16.5" customHeight="1" x14ac:dyDescent="0.3">
      <c r="A91" s="2">
        <v>15</v>
      </c>
      <c r="B91" s="2" t="s">
        <v>2911</v>
      </c>
      <c r="C91" s="60" t="s">
        <v>13470</v>
      </c>
      <c r="D91" s="1"/>
      <c r="E91" s="68"/>
      <c r="F91" s="70"/>
      <c r="G91" s="61"/>
      <c r="H91" s="62"/>
      <c r="I91" s="63"/>
      <c r="J91" s="85"/>
      <c r="K91" s="64"/>
      <c r="L91" s="65"/>
      <c r="M91" s="99"/>
      <c r="N91" s="70"/>
      <c r="O91" s="74" t="s">
        <v>17933</v>
      </c>
      <c r="P91" s="62"/>
      <c r="Q91" s="63"/>
      <c r="R91" s="75"/>
      <c r="S91" s="67"/>
      <c r="T91" s="68" t="s">
        <v>1</v>
      </c>
      <c r="U91" s="76">
        <v>0.2</v>
      </c>
      <c r="V91" s="70" t="s">
        <v>422</v>
      </c>
      <c r="W91" s="120">
        <f>ROUND((ROUND((ROUND((_15_同援日増２．０*(1+_15・A深夜)),0)*(1+_15・盲ろう)),0)*(1+_15・区３)),0)</f>
        <v>568</v>
      </c>
      <c r="X91" s="69"/>
    </row>
    <row r="92" spans="1:24" ht="16.5" customHeight="1" x14ac:dyDescent="0.3">
      <c r="A92" s="2">
        <v>15</v>
      </c>
      <c r="B92" s="2" t="s">
        <v>2912</v>
      </c>
      <c r="C92" s="60" t="s">
        <v>13469</v>
      </c>
      <c r="D92" s="1"/>
      <c r="E92" s="68"/>
      <c r="F92" s="70"/>
      <c r="G92" s="66"/>
      <c r="H92" s="57"/>
      <c r="I92" s="58"/>
      <c r="J92" s="83" t="s">
        <v>5895</v>
      </c>
      <c r="K92" s="64" t="s">
        <v>1</v>
      </c>
      <c r="L92" s="65">
        <v>1</v>
      </c>
      <c r="M92" s="99"/>
      <c r="N92" s="70"/>
      <c r="O92" s="94" t="s">
        <v>17932</v>
      </c>
      <c r="P92" s="68"/>
      <c r="Q92" s="76"/>
      <c r="R92" s="70"/>
      <c r="S92" s="67"/>
      <c r="T92" s="68"/>
      <c r="U92" s="76"/>
      <c r="V92" s="70"/>
      <c r="W92" s="120">
        <f>ROUND((ROUND((ROUND((ROUND((_15_同援日増２．０*_15・２人),0)*(1+_15・A深夜)),0)*(1+_15・盲ろう)),0)*(1+_15・区３)),0)</f>
        <v>568</v>
      </c>
      <c r="X92" s="69"/>
    </row>
    <row r="93" spans="1:24" ht="16.5" customHeight="1" x14ac:dyDescent="0.3">
      <c r="A93" s="2">
        <v>15</v>
      </c>
      <c r="B93" s="2" t="s">
        <v>2913</v>
      </c>
      <c r="C93" s="60" t="s">
        <v>13468</v>
      </c>
      <c r="D93" s="1"/>
      <c r="E93" s="68"/>
      <c r="F93" s="70"/>
      <c r="G93" s="74" t="s">
        <v>17747</v>
      </c>
      <c r="H93" s="62"/>
      <c r="I93" s="63"/>
      <c r="J93" s="85"/>
      <c r="K93" s="64"/>
      <c r="L93" s="65"/>
      <c r="M93" s="99"/>
      <c r="N93" s="70"/>
      <c r="O93" s="67"/>
      <c r="P93" s="68" t="s">
        <v>1</v>
      </c>
      <c r="Q93" s="76">
        <v>0.25</v>
      </c>
      <c r="R93" s="70" t="s">
        <v>422</v>
      </c>
      <c r="S93" s="67"/>
      <c r="T93" s="68"/>
      <c r="U93" s="76"/>
      <c r="V93" s="70"/>
      <c r="W93" s="120">
        <f>ROUND((ROUND((ROUND((ROUND((_15_同援日増２．０*_15・基礎２),0)*(1+_15・A深夜)),0)*(1+_15・盲ろう)),0)*(1+_15・区３)),0)</f>
        <v>511</v>
      </c>
      <c r="X93" s="69"/>
    </row>
    <row r="94" spans="1:24" ht="16.5" customHeight="1" x14ac:dyDescent="0.3">
      <c r="A94" s="2">
        <v>15</v>
      </c>
      <c r="B94" s="2" t="s">
        <v>2914</v>
      </c>
      <c r="C94" s="60" t="s">
        <v>13467</v>
      </c>
      <c r="D94" s="1"/>
      <c r="E94" s="68"/>
      <c r="F94" s="70"/>
      <c r="G94" s="106" t="s">
        <v>17420</v>
      </c>
      <c r="H94" s="57" t="s">
        <v>1</v>
      </c>
      <c r="I94" s="58">
        <v>0.9</v>
      </c>
      <c r="J94" s="83" t="s">
        <v>5895</v>
      </c>
      <c r="K94" s="64" t="s">
        <v>1</v>
      </c>
      <c r="L94" s="65">
        <v>1</v>
      </c>
      <c r="M94" s="99"/>
      <c r="N94" s="70"/>
      <c r="O94" s="66"/>
      <c r="P94" s="57"/>
      <c r="Q94" s="58"/>
      <c r="R94" s="77"/>
      <c r="S94" s="66"/>
      <c r="T94" s="57"/>
      <c r="U94" s="58"/>
      <c r="V94" s="77"/>
      <c r="W94" s="120">
        <f>ROUND((ROUND((ROUND((ROUND((ROUND((_15_同援日増２．０*_15・基礎２),0)*_15・２人),0)*(1+_15・A深夜)),0)*(1+_15・盲ろう)),0)*(1+_15・区３)),0)</f>
        <v>511</v>
      </c>
      <c r="X94" s="69"/>
    </row>
    <row r="95" spans="1:24" ht="16.5" customHeight="1" x14ac:dyDescent="0.3">
      <c r="A95" s="2">
        <v>15</v>
      </c>
      <c r="B95" s="2" t="s">
        <v>2915</v>
      </c>
      <c r="C95" s="60" t="s">
        <v>13466</v>
      </c>
      <c r="D95" s="1"/>
      <c r="E95" s="68"/>
      <c r="F95" s="70"/>
      <c r="G95" s="61"/>
      <c r="H95" s="62"/>
      <c r="I95" s="63"/>
      <c r="J95" s="85"/>
      <c r="K95" s="64"/>
      <c r="L95" s="65"/>
      <c r="M95" s="99"/>
      <c r="N95" s="70"/>
      <c r="O95" s="61"/>
      <c r="P95" s="62"/>
      <c r="Q95" s="63"/>
      <c r="R95" s="75"/>
      <c r="S95" s="61"/>
      <c r="T95" s="62"/>
      <c r="U95" s="63"/>
      <c r="V95" s="75"/>
      <c r="W95" s="120">
        <f>ROUND((ROUND((_15_同援日増２．０*(1+_15・A深夜)),0)*(1+_15・区４)),0)</f>
        <v>529</v>
      </c>
      <c r="X95" s="69"/>
    </row>
    <row r="96" spans="1:24" ht="16.5" customHeight="1" x14ac:dyDescent="0.3">
      <c r="A96" s="2">
        <v>15</v>
      </c>
      <c r="B96" s="2" t="s">
        <v>2916</v>
      </c>
      <c r="C96" s="60" t="s">
        <v>13465</v>
      </c>
      <c r="D96" s="1"/>
      <c r="E96" s="68"/>
      <c r="F96" s="70"/>
      <c r="G96" s="66"/>
      <c r="H96" s="57"/>
      <c r="I96" s="58"/>
      <c r="J96" s="83" t="s">
        <v>5895</v>
      </c>
      <c r="K96" s="64" t="s">
        <v>1</v>
      </c>
      <c r="L96" s="65">
        <v>1</v>
      </c>
      <c r="M96" s="99"/>
      <c r="N96" s="70"/>
      <c r="O96" s="67"/>
      <c r="P96" s="68"/>
      <c r="Q96" s="76"/>
      <c r="R96" s="70"/>
      <c r="S96" s="67"/>
      <c r="T96" s="68"/>
      <c r="U96" s="76"/>
      <c r="V96" s="70"/>
      <c r="W96" s="120">
        <f>ROUND((ROUND((ROUND((_15_同援日増２．０*_15・２人),0)*(1+_15・A深夜)),0)*(1+_15・区４)),0)</f>
        <v>529</v>
      </c>
      <c r="X96" s="69"/>
    </row>
    <row r="97" spans="1:24" ht="16.5" customHeight="1" x14ac:dyDescent="0.3">
      <c r="A97" s="2">
        <v>15</v>
      </c>
      <c r="B97" s="2" t="s">
        <v>2917</v>
      </c>
      <c r="C97" s="60" t="s">
        <v>13464</v>
      </c>
      <c r="D97" s="1"/>
      <c r="E97" s="68"/>
      <c r="F97" s="70"/>
      <c r="G97" s="74" t="s">
        <v>17747</v>
      </c>
      <c r="H97" s="62"/>
      <c r="I97" s="63"/>
      <c r="J97" s="85"/>
      <c r="K97" s="64"/>
      <c r="L97" s="65"/>
      <c r="M97" s="99"/>
      <c r="N97" s="70"/>
      <c r="O97" s="67"/>
      <c r="P97" s="68"/>
      <c r="Q97" s="76"/>
      <c r="R97" s="70"/>
      <c r="S97" s="1" t="s">
        <v>17935</v>
      </c>
      <c r="T97" s="68"/>
      <c r="U97" s="76"/>
      <c r="V97" s="70"/>
      <c r="W97" s="120">
        <f>ROUND((ROUND((ROUND((_15_同援日増２．０*_15・基礎２),0)*(1+_15・A深夜)),0)*(1+_15・区４)),0)</f>
        <v>477</v>
      </c>
      <c r="X97" s="69"/>
    </row>
    <row r="98" spans="1:24" ht="16.5" customHeight="1" x14ac:dyDescent="0.3">
      <c r="A98" s="2">
        <v>15</v>
      </c>
      <c r="B98" s="2" t="s">
        <v>2918</v>
      </c>
      <c r="C98" s="60" t="s">
        <v>13463</v>
      </c>
      <c r="D98" s="1"/>
      <c r="E98" s="68"/>
      <c r="F98" s="70"/>
      <c r="G98" s="106" t="s">
        <v>17420</v>
      </c>
      <c r="H98" s="57" t="s">
        <v>1</v>
      </c>
      <c r="I98" s="58">
        <v>0.9</v>
      </c>
      <c r="J98" s="83" t="s">
        <v>5895</v>
      </c>
      <c r="K98" s="64" t="s">
        <v>1</v>
      </c>
      <c r="L98" s="65">
        <v>1</v>
      </c>
      <c r="M98" s="99"/>
      <c r="N98" s="70"/>
      <c r="O98" s="66"/>
      <c r="P98" s="57"/>
      <c r="Q98" s="58"/>
      <c r="R98" s="77"/>
      <c r="S98" s="1" t="s">
        <v>17934</v>
      </c>
      <c r="T98" s="68"/>
      <c r="U98" s="76"/>
      <c r="V98" s="70"/>
      <c r="W98" s="120">
        <f>ROUND((ROUND((ROUND((ROUND((_15_同援日増２．０*_15・基礎２),0)*_15・２人),0)*(1+_15・A深夜)),0)*(1+_15・区４)),0)</f>
        <v>477</v>
      </c>
      <c r="X98" s="69"/>
    </row>
    <row r="99" spans="1:24" ht="16.5" customHeight="1" x14ac:dyDescent="0.3">
      <c r="A99" s="2">
        <v>15</v>
      </c>
      <c r="B99" s="2" t="s">
        <v>2919</v>
      </c>
      <c r="C99" s="60" t="s">
        <v>13462</v>
      </c>
      <c r="D99" s="1"/>
      <c r="E99" s="68"/>
      <c r="F99" s="70"/>
      <c r="G99" s="61"/>
      <c r="H99" s="62"/>
      <c r="I99" s="63"/>
      <c r="J99" s="85"/>
      <c r="K99" s="64"/>
      <c r="L99" s="65"/>
      <c r="M99" s="99"/>
      <c r="N99" s="70"/>
      <c r="O99" s="74" t="s">
        <v>17933</v>
      </c>
      <c r="P99" s="62"/>
      <c r="Q99" s="63"/>
      <c r="R99" s="75"/>
      <c r="S99" s="67"/>
      <c r="T99" s="68" t="s">
        <v>1</v>
      </c>
      <c r="U99" s="76">
        <v>0.4</v>
      </c>
      <c r="V99" s="70" t="s">
        <v>422</v>
      </c>
      <c r="W99" s="120">
        <f>ROUND((ROUND((ROUND((_15_同援日増２．０*(1+_15・A深夜)),0)*(1+_15・盲ろう)),0)*(1+_15・区４)),0)</f>
        <v>662</v>
      </c>
      <c r="X99" s="69"/>
    </row>
    <row r="100" spans="1:24" ht="16.5" customHeight="1" x14ac:dyDescent="0.3">
      <c r="A100" s="2">
        <v>15</v>
      </c>
      <c r="B100" s="2" t="s">
        <v>2920</v>
      </c>
      <c r="C100" s="60" t="s">
        <v>13461</v>
      </c>
      <c r="D100" s="1"/>
      <c r="E100" s="68"/>
      <c r="F100" s="70"/>
      <c r="G100" s="66"/>
      <c r="H100" s="57"/>
      <c r="I100" s="58"/>
      <c r="J100" s="83" t="s">
        <v>5895</v>
      </c>
      <c r="K100" s="64" t="s">
        <v>1</v>
      </c>
      <c r="L100" s="65">
        <v>1</v>
      </c>
      <c r="M100" s="99"/>
      <c r="N100" s="70"/>
      <c r="O100" s="94" t="s">
        <v>17932</v>
      </c>
      <c r="P100" s="68"/>
      <c r="Q100" s="76"/>
      <c r="R100" s="70"/>
      <c r="S100" s="67"/>
      <c r="T100" s="68"/>
      <c r="U100" s="76"/>
      <c r="V100" s="70"/>
      <c r="W100" s="120">
        <f>ROUND((ROUND((ROUND((ROUND((_15_同援日増２．０*_15・２人),0)*(1+_15・A深夜)),0)*(1+_15・盲ろう)),0)*(1+_15・区４)),0)</f>
        <v>662</v>
      </c>
      <c r="X100" s="69"/>
    </row>
    <row r="101" spans="1:24" ht="16.5" customHeight="1" x14ac:dyDescent="0.3">
      <c r="A101" s="2">
        <v>15</v>
      </c>
      <c r="B101" s="2" t="s">
        <v>2921</v>
      </c>
      <c r="C101" s="60" t="s">
        <v>13460</v>
      </c>
      <c r="D101" s="1"/>
      <c r="E101" s="68"/>
      <c r="F101" s="70"/>
      <c r="G101" s="74" t="s">
        <v>17747</v>
      </c>
      <c r="H101" s="62"/>
      <c r="I101" s="63"/>
      <c r="J101" s="85"/>
      <c r="K101" s="64"/>
      <c r="L101" s="65"/>
      <c r="M101" s="99"/>
      <c r="N101" s="70"/>
      <c r="O101" s="67"/>
      <c r="P101" s="68" t="s">
        <v>1</v>
      </c>
      <c r="Q101" s="76">
        <v>0.25</v>
      </c>
      <c r="R101" s="70" t="s">
        <v>422</v>
      </c>
      <c r="S101" s="67"/>
      <c r="T101" s="68"/>
      <c r="U101" s="76"/>
      <c r="V101" s="70"/>
      <c r="W101" s="120">
        <f>ROUND((ROUND((ROUND((ROUND((_15_同援日増２．０*_15・基礎２),0)*(1+_15・A深夜)),0)*(1+_15・盲ろう)),0)*(1+_15・区４)),0)</f>
        <v>596</v>
      </c>
      <c r="X101" s="69"/>
    </row>
    <row r="102" spans="1:24" ht="16.5" customHeight="1" x14ac:dyDescent="0.3">
      <c r="A102" s="2">
        <v>15</v>
      </c>
      <c r="B102" s="2" t="s">
        <v>2922</v>
      </c>
      <c r="C102" s="60" t="s">
        <v>13459</v>
      </c>
      <c r="D102" s="81"/>
      <c r="E102" s="57"/>
      <c r="F102" s="77"/>
      <c r="G102" s="106" t="s">
        <v>5896</v>
      </c>
      <c r="H102" s="57" t="s">
        <v>1</v>
      </c>
      <c r="I102" s="58">
        <v>0.9</v>
      </c>
      <c r="J102" s="83" t="s">
        <v>5895</v>
      </c>
      <c r="K102" s="64" t="s">
        <v>1</v>
      </c>
      <c r="L102" s="65">
        <v>1</v>
      </c>
      <c r="M102" s="99"/>
      <c r="N102" s="70"/>
      <c r="O102" s="66"/>
      <c r="P102" s="57"/>
      <c r="Q102" s="58"/>
      <c r="R102" s="77"/>
      <c r="S102" s="66"/>
      <c r="T102" s="57"/>
      <c r="U102" s="58"/>
      <c r="V102" s="77"/>
      <c r="W102" s="120">
        <f>ROUND((ROUND((ROUND((ROUND((ROUND((_15_同援日増２．０*_15・基礎２),0)*_15・２人),0)*(1+_15・A深夜)),0)*(1+_15・盲ろう)),0)*(1+_15・区４)),0)</f>
        <v>596</v>
      </c>
      <c r="X102" s="69"/>
    </row>
    <row r="103" spans="1:24" ht="16.5" customHeight="1" x14ac:dyDescent="0.3">
      <c r="A103" s="2">
        <v>15</v>
      </c>
      <c r="B103" s="2" t="s">
        <v>2923</v>
      </c>
      <c r="C103" s="60" t="s">
        <v>13458</v>
      </c>
      <c r="D103" s="233" t="s">
        <v>18206</v>
      </c>
      <c r="E103" s="62"/>
      <c r="F103" s="75"/>
      <c r="G103" s="61"/>
      <c r="H103" s="62"/>
      <c r="I103" s="63"/>
      <c r="J103" s="85"/>
      <c r="K103" s="64"/>
      <c r="L103" s="65"/>
      <c r="M103" s="99"/>
      <c r="N103" s="70"/>
      <c r="O103" s="61"/>
      <c r="P103" s="62"/>
      <c r="Q103" s="63"/>
      <c r="R103" s="75"/>
      <c r="S103" s="61"/>
      <c r="T103" s="62"/>
      <c r="U103" s="63"/>
      <c r="V103" s="75"/>
      <c r="W103" s="120">
        <f>ROUND((_15_同援日増２．５*(1+_15・A深夜)),0)</f>
        <v>473</v>
      </c>
      <c r="X103" s="69"/>
    </row>
    <row r="104" spans="1:24" ht="16.5" customHeight="1" x14ac:dyDescent="0.3">
      <c r="A104" s="2">
        <v>15</v>
      </c>
      <c r="B104" s="2" t="s">
        <v>2924</v>
      </c>
      <c r="C104" s="60" t="s">
        <v>13457</v>
      </c>
      <c r="D104" s="1" t="s">
        <v>17773</v>
      </c>
      <c r="E104" s="68"/>
      <c r="F104" s="70"/>
      <c r="G104" s="66"/>
      <c r="H104" s="57"/>
      <c r="I104" s="58"/>
      <c r="J104" s="83" t="s">
        <v>5895</v>
      </c>
      <c r="K104" s="64" t="s">
        <v>1</v>
      </c>
      <c r="L104" s="65">
        <v>1</v>
      </c>
      <c r="M104" s="99"/>
      <c r="N104" s="70"/>
      <c r="O104" s="67"/>
      <c r="P104" s="68"/>
      <c r="Q104" s="76"/>
      <c r="R104" s="70"/>
      <c r="S104" s="67"/>
      <c r="T104" s="68"/>
      <c r="U104" s="76"/>
      <c r="V104" s="70"/>
      <c r="W104" s="120">
        <f>ROUND((ROUND((_15_同援日増２．５*_15・２人),0)*(1+_15・A深夜)),0)</f>
        <v>473</v>
      </c>
      <c r="X104" s="69"/>
    </row>
    <row r="105" spans="1:24" ht="16.5" customHeight="1" x14ac:dyDescent="0.3">
      <c r="A105" s="2">
        <v>15</v>
      </c>
      <c r="B105" s="2" t="s">
        <v>2925</v>
      </c>
      <c r="C105" s="60" t="s">
        <v>13456</v>
      </c>
      <c r="D105" s="1" t="s">
        <v>8499</v>
      </c>
      <c r="E105" s="68"/>
      <c r="F105" s="70"/>
      <c r="G105" s="74" t="s">
        <v>17747</v>
      </c>
      <c r="H105" s="62"/>
      <c r="I105" s="63"/>
      <c r="J105" s="85"/>
      <c r="K105" s="64"/>
      <c r="L105" s="65"/>
      <c r="M105" s="99"/>
      <c r="N105" s="70"/>
      <c r="O105" s="67"/>
      <c r="P105" s="68"/>
      <c r="Q105" s="76"/>
      <c r="R105" s="70"/>
      <c r="S105" s="67"/>
      <c r="T105" s="68"/>
      <c r="U105" s="76"/>
      <c r="V105" s="70"/>
      <c r="W105" s="120">
        <f>ROUND((ROUND((_15_同援日増２．５*_15・基礎２),0)*(1+_15・A深夜)),0)</f>
        <v>426</v>
      </c>
      <c r="X105" s="69"/>
    </row>
    <row r="106" spans="1:24" ht="16.5" customHeight="1" x14ac:dyDescent="0.3">
      <c r="A106" s="2">
        <v>15</v>
      </c>
      <c r="B106" s="2" t="s">
        <v>2926</v>
      </c>
      <c r="C106" s="60" t="s">
        <v>13455</v>
      </c>
      <c r="D106" s="1"/>
      <c r="E106" s="119">
        <v>315</v>
      </c>
      <c r="F106" s="70" t="s">
        <v>0</v>
      </c>
      <c r="G106" s="106" t="s">
        <v>17420</v>
      </c>
      <c r="H106" s="57" t="s">
        <v>1</v>
      </c>
      <c r="I106" s="58">
        <v>0.9</v>
      </c>
      <c r="J106" s="83" t="s">
        <v>5895</v>
      </c>
      <c r="K106" s="64" t="s">
        <v>1</v>
      </c>
      <c r="L106" s="65">
        <v>1</v>
      </c>
      <c r="M106" s="99"/>
      <c r="N106" s="70"/>
      <c r="O106" s="66"/>
      <c r="P106" s="57"/>
      <c r="Q106" s="58"/>
      <c r="R106" s="77"/>
      <c r="S106" s="67"/>
      <c r="T106" s="68"/>
      <c r="U106" s="76"/>
      <c r="V106" s="70"/>
      <c r="W106" s="120">
        <f>ROUND((ROUND((ROUND((_15_同援日増２．５*_15・基礎２),0)*_15・２人),0)*(1+_15・A深夜)),0)</f>
        <v>426</v>
      </c>
      <c r="X106" s="69"/>
    </row>
    <row r="107" spans="1:24" ht="16.5" customHeight="1" x14ac:dyDescent="0.3">
      <c r="A107" s="2">
        <v>15</v>
      </c>
      <c r="B107" s="2" t="s">
        <v>2927</v>
      </c>
      <c r="C107" s="60" t="s">
        <v>13454</v>
      </c>
      <c r="D107" s="1"/>
      <c r="E107" s="68"/>
      <c r="F107" s="70"/>
      <c r="G107" s="61"/>
      <c r="H107" s="62"/>
      <c r="I107" s="63"/>
      <c r="J107" s="85"/>
      <c r="K107" s="64"/>
      <c r="L107" s="65"/>
      <c r="M107" s="99"/>
      <c r="N107" s="70"/>
      <c r="O107" s="74" t="s">
        <v>17933</v>
      </c>
      <c r="P107" s="62"/>
      <c r="Q107" s="63"/>
      <c r="R107" s="75"/>
      <c r="S107" s="67"/>
      <c r="T107" s="68"/>
      <c r="U107" s="76"/>
      <c r="V107" s="70"/>
      <c r="W107" s="120">
        <f>ROUND((ROUND((_15_同援日増２．５*(1+_15・A深夜)),0)*(1+_15・盲ろう)),0)</f>
        <v>591</v>
      </c>
      <c r="X107" s="69"/>
    </row>
    <row r="108" spans="1:24" ht="16.5" customHeight="1" x14ac:dyDescent="0.3">
      <c r="A108" s="2">
        <v>15</v>
      </c>
      <c r="B108" s="2" t="s">
        <v>2928</v>
      </c>
      <c r="C108" s="60" t="s">
        <v>13453</v>
      </c>
      <c r="D108" s="1"/>
      <c r="E108" s="68"/>
      <c r="F108" s="70"/>
      <c r="G108" s="66"/>
      <c r="H108" s="57"/>
      <c r="I108" s="58"/>
      <c r="J108" s="83" t="s">
        <v>5895</v>
      </c>
      <c r="K108" s="64" t="s">
        <v>1</v>
      </c>
      <c r="L108" s="65">
        <v>1</v>
      </c>
      <c r="M108" s="99"/>
      <c r="N108" s="70"/>
      <c r="O108" s="94" t="s">
        <v>17932</v>
      </c>
      <c r="P108" s="68"/>
      <c r="Q108" s="76"/>
      <c r="R108" s="70"/>
      <c r="S108" s="67"/>
      <c r="T108" s="68"/>
      <c r="U108" s="76"/>
      <c r="V108" s="70"/>
      <c r="W108" s="120">
        <f>ROUND((ROUND((ROUND((_15_同援日増２．５*_15・２人),0)*(1+_15・A深夜)),0)*(1+_15・盲ろう)),0)</f>
        <v>591</v>
      </c>
      <c r="X108" s="69"/>
    </row>
    <row r="109" spans="1:24" ht="16.5" customHeight="1" x14ac:dyDescent="0.3">
      <c r="A109" s="2">
        <v>15</v>
      </c>
      <c r="B109" s="2" t="s">
        <v>2929</v>
      </c>
      <c r="C109" s="60" t="s">
        <v>13452</v>
      </c>
      <c r="D109" s="1"/>
      <c r="E109" s="68"/>
      <c r="F109" s="70"/>
      <c r="G109" s="74" t="s">
        <v>17747</v>
      </c>
      <c r="H109" s="62"/>
      <c r="I109" s="63"/>
      <c r="J109" s="85"/>
      <c r="K109" s="64"/>
      <c r="L109" s="65"/>
      <c r="M109" s="99"/>
      <c r="N109" s="70"/>
      <c r="O109" s="67"/>
      <c r="P109" s="68" t="s">
        <v>1</v>
      </c>
      <c r="Q109" s="76">
        <v>0.25</v>
      </c>
      <c r="R109" s="70" t="s">
        <v>422</v>
      </c>
      <c r="S109" s="67"/>
      <c r="T109" s="68"/>
      <c r="U109" s="76"/>
      <c r="V109" s="70"/>
      <c r="W109" s="120">
        <f>ROUND((ROUND((ROUND((_15_同援日増２．５*_15・基礎２),0)*(1+_15・A深夜)),0)*(1+_15・盲ろう)),0)</f>
        <v>533</v>
      </c>
      <c r="X109" s="69"/>
    </row>
    <row r="110" spans="1:24" ht="16.5" customHeight="1" x14ac:dyDescent="0.3">
      <c r="A110" s="2">
        <v>15</v>
      </c>
      <c r="B110" s="2" t="s">
        <v>2930</v>
      </c>
      <c r="C110" s="60" t="s">
        <v>13451</v>
      </c>
      <c r="D110" s="1"/>
      <c r="E110" s="68"/>
      <c r="F110" s="70"/>
      <c r="G110" s="106" t="s">
        <v>17420</v>
      </c>
      <c r="H110" s="57" t="s">
        <v>1</v>
      </c>
      <c r="I110" s="58">
        <v>0.9</v>
      </c>
      <c r="J110" s="83" t="s">
        <v>5895</v>
      </c>
      <c r="K110" s="64" t="s">
        <v>1</v>
      </c>
      <c r="L110" s="65">
        <v>1</v>
      </c>
      <c r="M110" s="99"/>
      <c r="N110" s="70"/>
      <c r="O110" s="66"/>
      <c r="P110" s="57"/>
      <c r="Q110" s="58"/>
      <c r="R110" s="77"/>
      <c r="S110" s="66"/>
      <c r="T110" s="57"/>
      <c r="U110" s="58"/>
      <c r="V110" s="77"/>
      <c r="W110" s="120">
        <f>ROUND((ROUND((ROUND((ROUND((_15_同援日増２．５*_15・基礎２),0)*_15・２人),0)*(1+_15・A深夜)),0)*(1+_15・盲ろう)),0)</f>
        <v>533</v>
      </c>
      <c r="X110" s="69"/>
    </row>
    <row r="111" spans="1:24" ht="16.5" customHeight="1" x14ac:dyDescent="0.3">
      <c r="A111" s="2">
        <v>15</v>
      </c>
      <c r="B111" s="2" t="s">
        <v>2931</v>
      </c>
      <c r="C111" s="60" t="s">
        <v>13450</v>
      </c>
      <c r="D111" s="1"/>
      <c r="E111" s="68"/>
      <c r="F111" s="70"/>
      <c r="G111" s="61"/>
      <c r="H111" s="62"/>
      <c r="I111" s="63"/>
      <c r="J111" s="85"/>
      <c r="K111" s="64"/>
      <c r="L111" s="65"/>
      <c r="M111" s="99"/>
      <c r="N111" s="70"/>
      <c r="O111" s="61"/>
      <c r="P111" s="62"/>
      <c r="Q111" s="63"/>
      <c r="R111" s="75"/>
      <c r="S111" s="61"/>
      <c r="T111" s="62"/>
      <c r="U111" s="63"/>
      <c r="V111" s="75"/>
      <c r="W111" s="120">
        <f>ROUND((ROUND((_15_同援日増２．５*(1+_15・A深夜)),0)*(1+_15・区３)),0)</f>
        <v>568</v>
      </c>
      <c r="X111" s="69"/>
    </row>
    <row r="112" spans="1:24" ht="16.5" customHeight="1" x14ac:dyDescent="0.3">
      <c r="A112" s="2">
        <v>15</v>
      </c>
      <c r="B112" s="2" t="s">
        <v>2932</v>
      </c>
      <c r="C112" s="60" t="s">
        <v>13449</v>
      </c>
      <c r="D112" s="1"/>
      <c r="E112" s="68"/>
      <c r="F112" s="70"/>
      <c r="G112" s="66"/>
      <c r="H112" s="57"/>
      <c r="I112" s="58"/>
      <c r="J112" s="83" t="s">
        <v>5895</v>
      </c>
      <c r="K112" s="64" t="s">
        <v>1</v>
      </c>
      <c r="L112" s="65">
        <v>1</v>
      </c>
      <c r="M112" s="99"/>
      <c r="N112" s="70"/>
      <c r="O112" s="67"/>
      <c r="P112" s="68"/>
      <c r="Q112" s="76"/>
      <c r="R112" s="70"/>
      <c r="S112" s="67"/>
      <c r="T112" s="68"/>
      <c r="U112" s="76"/>
      <c r="V112" s="70"/>
      <c r="W112" s="120">
        <f>ROUND((ROUND((ROUND((_15_同援日増２．５*_15・２人),0)*(1+_15・A深夜)),0)*(1+_15・区３)),0)</f>
        <v>568</v>
      </c>
      <c r="X112" s="69"/>
    </row>
    <row r="113" spans="1:24" ht="16.5" customHeight="1" x14ac:dyDescent="0.3">
      <c r="A113" s="2">
        <v>15</v>
      </c>
      <c r="B113" s="2" t="s">
        <v>2933</v>
      </c>
      <c r="C113" s="60" t="s">
        <v>13448</v>
      </c>
      <c r="D113" s="1"/>
      <c r="E113" s="68"/>
      <c r="F113" s="70"/>
      <c r="G113" s="74" t="s">
        <v>17747</v>
      </c>
      <c r="H113" s="62"/>
      <c r="I113" s="63"/>
      <c r="J113" s="85"/>
      <c r="K113" s="64"/>
      <c r="L113" s="65"/>
      <c r="M113" s="99"/>
      <c r="N113" s="70"/>
      <c r="O113" s="67"/>
      <c r="P113" s="68"/>
      <c r="Q113" s="76"/>
      <c r="R113" s="70"/>
      <c r="S113" s="1" t="s">
        <v>17936</v>
      </c>
      <c r="T113" s="68"/>
      <c r="U113" s="76"/>
      <c r="V113" s="70"/>
      <c r="W113" s="120">
        <f>ROUND((ROUND((ROUND((_15_同援日増２．５*_15・基礎２),0)*(1+_15・A深夜)),0)*(1+_15・区３)),0)</f>
        <v>511</v>
      </c>
      <c r="X113" s="69"/>
    </row>
    <row r="114" spans="1:24" ht="16.5" customHeight="1" x14ac:dyDescent="0.3">
      <c r="A114" s="2">
        <v>15</v>
      </c>
      <c r="B114" s="2" t="s">
        <v>2934</v>
      </c>
      <c r="C114" s="60" t="s">
        <v>13447</v>
      </c>
      <c r="D114" s="1"/>
      <c r="E114" s="68"/>
      <c r="F114" s="70"/>
      <c r="G114" s="106" t="s">
        <v>17420</v>
      </c>
      <c r="H114" s="57" t="s">
        <v>1</v>
      </c>
      <c r="I114" s="58">
        <v>0.9</v>
      </c>
      <c r="J114" s="83" t="s">
        <v>5895</v>
      </c>
      <c r="K114" s="64" t="s">
        <v>1</v>
      </c>
      <c r="L114" s="65">
        <v>1</v>
      </c>
      <c r="M114" s="99"/>
      <c r="N114" s="70"/>
      <c r="O114" s="66"/>
      <c r="P114" s="57"/>
      <c r="Q114" s="58"/>
      <c r="R114" s="77"/>
      <c r="S114" s="1" t="s">
        <v>17934</v>
      </c>
      <c r="T114" s="68"/>
      <c r="U114" s="76"/>
      <c r="V114" s="70"/>
      <c r="W114" s="120">
        <f>ROUND((ROUND((ROUND((ROUND((_15_同援日増２．５*_15・基礎２),0)*_15・２人),0)*(1+_15・A深夜)),0)*(1+_15・区３)),0)</f>
        <v>511</v>
      </c>
      <c r="X114" s="69"/>
    </row>
    <row r="115" spans="1:24" ht="16.5" customHeight="1" x14ac:dyDescent="0.3">
      <c r="A115" s="2">
        <v>15</v>
      </c>
      <c r="B115" s="2" t="s">
        <v>2935</v>
      </c>
      <c r="C115" s="60" t="s">
        <v>13446</v>
      </c>
      <c r="D115" s="1"/>
      <c r="E115" s="68"/>
      <c r="F115" s="70"/>
      <c r="G115" s="61"/>
      <c r="H115" s="62"/>
      <c r="I115" s="63"/>
      <c r="J115" s="85"/>
      <c r="K115" s="64"/>
      <c r="L115" s="65"/>
      <c r="M115" s="99"/>
      <c r="N115" s="70"/>
      <c r="O115" s="74" t="s">
        <v>17933</v>
      </c>
      <c r="P115" s="62"/>
      <c r="Q115" s="63"/>
      <c r="R115" s="75"/>
      <c r="S115" s="67"/>
      <c r="T115" s="68" t="s">
        <v>1</v>
      </c>
      <c r="U115" s="76">
        <v>0.2</v>
      </c>
      <c r="V115" s="70" t="s">
        <v>422</v>
      </c>
      <c r="W115" s="120">
        <f>ROUND((ROUND((ROUND((_15_同援日増２．５*(1+_15・A深夜)),0)*(1+_15・盲ろう)),0)*(1+_15・区３)),0)</f>
        <v>709</v>
      </c>
      <c r="X115" s="69"/>
    </row>
    <row r="116" spans="1:24" ht="16.5" customHeight="1" x14ac:dyDescent="0.3">
      <c r="A116" s="2">
        <v>15</v>
      </c>
      <c r="B116" s="2" t="s">
        <v>2936</v>
      </c>
      <c r="C116" s="60" t="s">
        <v>13445</v>
      </c>
      <c r="D116" s="1"/>
      <c r="E116" s="68"/>
      <c r="F116" s="70"/>
      <c r="G116" s="66"/>
      <c r="H116" s="57"/>
      <c r="I116" s="58"/>
      <c r="J116" s="83" t="s">
        <v>5895</v>
      </c>
      <c r="K116" s="64" t="s">
        <v>1</v>
      </c>
      <c r="L116" s="65">
        <v>1</v>
      </c>
      <c r="M116" s="99"/>
      <c r="N116" s="70"/>
      <c r="O116" s="94" t="s">
        <v>17932</v>
      </c>
      <c r="P116" s="68"/>
      <c r="Q116" s="76"/>
      <c r="R116" s="70"/>
      <c r="S116" s="67"/>
      <c r="T116" s="68"/>
      <c r="U116" s="76"/>
      <c r="V116" s="70"/>
      <c r="W116" s="120">
        <f>ROUND((ROUND((ROUND((ROUND((_15_同援日増２．５*_15・２人),0)*(1+_15・A深夜)),0)*(1+_15・盲ろう)),0)*(1+_15・区３)),0)</f>
        <v>709</v>
      </c>
      <c r="X116" s="69"/>
    </row>
    <row r="117" spans="1:24" ht="16.5" customHeight="1" x14ac:dyDescent="0.3">
      <c r="A117" s="2">
        <v>15</v>
      </c>
      <c r="B117" s="2" t="s">
        <v>2937</v>
      </c>
      <c r="C117" s="60" t="s">
        <v>13444</v>
      </c>
      <c r="D117" s="1"/>
      <c r="E117" s="68"/>
      <c r="F117" s="70"/>
      <c r="G117" s="74" t="s">
        <v>17747</v>
      </c>
      <c r="H117" s="62"/>
      <c r="I117" s="63"/>
      <c r="J117" s="85"/>
      <c r="K117" s="64"/>
      <c r="L117" s="65"/>
      <c r="M117" s="99"/>
      <c r="N117" s="70"/>
      <c r="O117" s="67"/>
      <c r="P117" s="68" t="s">
        <v>1</v>
      </c>
      <c r="Q117" s="76">
        <v>0.25</v>
      </c>
      <c r="R117" s="70" t="s">
        <v>422</v>
      </c>
      <c r="S117" s="67"/>
      <c r="T117" s="68"/>
      <c r="U117" s="76"/>
      <c r="V117" s="70"/>
      <c r="W117" s="120">
        <f>ROUND((ROUND((ROUND((ROUND((_15_同援日増２．５*_15・基礎２),0)*(1+_15・A深夜)),0)*(1+_15・盲ろう)),0)*(1+_15・区３)),0)</f>
        <v>640</v>
      </c>
      <c r="X117" s="69"/>
    </row>
    <row r="118" spans="1:24" ht="16.5" customHeight="1" x14ac:dyDescent="0.3">
      <c r="A118" s="2">
        <v>15</v>
      </c>
      <c r="B118" s="2" t="s">
        <v>2938</v>
      </c>
      <c r="C118" s="60" t="s">
        <v>13443</v>
      </c>
      <c r="D118" s="1"/>
      <c r="E118" s="68"/>
      <c r="F118" s="70"/>
      <c r="G118" s="106" t="s">
        <v>17420</v>
      </c>
      <c r="H118" s="57" t="s">
        <v>1</v>
      </c>
      <c r="I118" s="58">
        <v>0.9</v>
      </c>
      <c r="J118" s="83" t="s">
        <v>5895</v>
      </c>
      <c r="K118" s="64" t="s">
        <v>1</v>
      </c>
      <c r="L118" s="65">
        <v>1</v>
      </c>
      <c r="M118" s="99"/>
      <c r="N118" s="70"/>
      <c r="O118" s="66"/>
      <c r="P118" s="57"/>
      <c r="Q118" s="58"/>
      <c r="R118" s="77"/>
      <c r="S118" s="66"/>
      <c r="T118" s="57"/>
      <c r="U118" s="58"/>
      <c r="V118" s="77"/>
      <c r="W118" s="120">
        <f>ROUND((ROUND((ROUND((ROUND((ROUND((_15_同援日増２．５*_15・基礎２),0)*_15・２人),0)*(1+_15・A深夜)),0)*(1+_15・盲ろう)),0)*(1+_15・区３)),0)</f>
        <v>640</v>
      </c>
      <c r="X118" s="69"/>
    </row>
    <row r="119" spans="1:24" ht="16.5" customHeight="1" x14ac:dyDescent="0.3">
      <c r="A119" s="2">
        <v>15</v>
      </c>
      <c r="B119" s="2" t="s">
        <v>2939</v>
      </c>
      <c r="C119" s="60" t="s">
        <v>13442</v>
      </c>
      <c r="D119" s="1"/>
      <c r="E119" s="68"/>
      <c r="F119" s="70"/>
      <c r="G119" s="61"/>
      <c r="H119" s="62"/>
      <c r="I119" s="63"/>
      <c r="J119" s="85"/>
      <c r="K119" s="64"/>
      <c r="L119" s="65"/>
      <c r="M119" s="99"/>
      <c r="N119" s="70"/>
      <c r="O119" s="61"/>
      <c r="P119" s="62"/>
      <c r="Q119" s="63"/>
      <c r="R119" s="75"/>
      <c r="S119" s="61"/>
      <c r="T119" s="62"/>
      <c r="U119" s="63"/>
      <c r="V119" s="75"/>
      <c r="W119" s="120">
        <f>ROUND((ROUND((_15_同援日増２．５*(1+_15・A深夜)),0)*(1+_15・区４)),0)</f>
        <v>662</v>
      </c>
      <c r="X119" s="69"/>
    </row>
    <row r="120" spans="1:24" ht="16.5" customHeight="1" x14ac:dyDescent="0.3">
      <c r="A120" s="2">
        <v>15</v>
      </c>
      <c r="B120" s="2" t="s">
        <v>2940</v>
      </c>
      <c r="C120" s="60" t="s">
        <v>13441</v>
      </c>
      <c r="D120" s="1"/>
      <c r="E120" s="68"/>
      <c r="F120" s="70"/>
      <c r="G120" s="66"/>
      <c r="H120" s="57"/>
      <c r="I120" s="58"/>
      <c r="J120" s="83" t="s">
        <v>5895</v>
      </c>
      <c r="K120" s="64" t="s">
        <v>1</v>
      </c>
      <c r="L120" s="65">
        <v>1</v>
      </c>
      <c r="M120" s="99"/>
      <c r="N120" s="70"/>
      <c r="O120" s="67"/>
      <c r="P120" s="68"/>
      <c r="Q120" s="76"/>
      <c r="R120" s="70"/>
      <c r="S120" s="67"/>
      <c r="T120" s="68"/>
      <c r="U120" s="76"/>
      <c r="V120" s="70"/>
      <c r="W120" s="120">
        <f>ROUND((ROUND((ROUND((_15_同援日増２．５*_15・２人),0)*(1+_15・A深夜)),0)*(1+_15・区４)),0)</f>
        <v>662</v>
      </c>
      <c r="X120" s="69"/>
    </row>
    <row r="121" spans="1:24" ht="16.5" customHeight="1" x14ac:dyDescent="0.3">
      <c r="A121" s="2">
        <v>15</v>
      </c>
      <c r="B121" s="2" t="s">
        <v>2941</v>
      </c>
      <c r="C121" s="60" t="s">
        <v>13440</v>
      </c>
      <c r="D121" s="1"/>
      <c r="E121" s="68"/>
      <c r="F121" s="70"/>
      <c r="G121" s="74" t="s">
        <v>17747</v>
      </c>
      <c r="H121" s="62"/>
      <c r="I121" s="63"/>
      <c r="J121" s="85"/>
      <c r="K121" s="64"/>
      <c r="L121" s="65"/>
      <c r="M121" s="99"/>
      <c r="N121" s="70"/>
      <c r="O121" s="67"/>
      <c r="P121" s="68"/>
      <c r="Q121" s="76"/>
      <c r="R121" s="70"/>
      <c r="S121" s="1" t="s">
        <v>17935</v>
      </c>
      <c r="T121" s="68"/>
      <c r="U121" s="76"/>
      <c r="V121" s="70"/>
      <c r="W121" s="120">
        <f>ROUND((ROUND((ROUND((_15_同援日増２．５*_15・基礎２),0)*(1+_15・A深夜)),0)*(1+_15・区４)),0)</f>
        <v>596</v>
      </c>
      <c r="X121" s="69"/>
    </row>
    <row r="122" spans="1:24" ht="16.5" customHeight="1" x14ac:dyDescent="0.3">
      <c r="A122" s="2">
        <v>15</v>
      </c>
      <c r="B122" s="2" t="s">
        <v>2942</v>
      </c>
      <c r="C122" s="60" t="s">
        <v>13439</v>
      </c>
      <c r="D122" s="1"/>
      <c r="E122" s="68"/>
      <c r="F122" s="70"/>
      <c r="G122" s="106" t="s">
        <v>5896</v>
      </c>
      <c r="H122" s="57" t="s">
        <v>1</v>
      </c>
      <c r="I122" s="58">
        <v>0.9</v>
      </c>
      <c r="J122" s="83" t="s">
        <v>5895</v>
      </c>
      <c r="K122" s="64" t="s">
        <v>1</v>
      </c>
      <c r="L122" s="65">
        <v>1</v>
      </c>
      <c r="M122" s="99"/>
      <c r="N122" s="70"/>
      <c r="O122" s="66"/>
      <c r="P122" s="57"/>
      <c r="Q122" s="58"/>
      <c r="R122" s="77"/>
      <c r="S122" s="1" t="s">
        <v>17934</v>
      </c>
      <c r="T122" s="68"/>
      <c r="U122" s="76"/>
      <c r="V122" s="70"/>
      <c r="W122" s="120">
        <f>ROUND((ROUND((ROUND((ROUND((_15_同援日増２．５*_15・基礎２),0)*_15・２人),0)*(1+_15・A深夜)),0)*(1+_15・区４)),0)</f>
        <v>596</v>
      </c>
      <c r="X122" s="69"/>
    </row>
    <row r="123" spans="1:24" ht="16.5" customHeight="1" x14ac:dyDescent="0.3">
      <c r="A123" s="2">
        <v>15</v>
      </c>
      <c r="B123" s="2" t="s">
        <v>2943</v>
      </c>
      <c r="C123" s="60" t="s">
        <v>13438</v>
      </c>
      <c r="D123" s="1"/>
      <c r="E123" s="68"/>
      <c r="F123" s="70"/>
      <c r="G123" s="61"/>
      <c r="H123" s="62"/>
      <c r="I123" s="63"/>
      <c r="J123" s="85"/>
      <c r="K123" s="64"/>
      <c r="L123" s="65"/>
      <c r="M123" s="99"/>
      <c r="N123" s="70"/>
      <c r="O123" s="74" t="s">
        <v>17933</v>
      </c>
      <c r="P123" s="62"/>
      <c r="Q123" s="63"/>
      <c r="R123" s="75"/>
      <c r="S123" s="67"/>
      <c r="T123" s="68" t="s">
        <v>1</v>
      </c>
      <c r="U123" s="76">
        <v>0.4</v>
      </c>
      <c r="V123" s="70" t="s">
        <v>422</v>
      </c>
      <c r="W123" s="120">
        <f>ROUND((ROUND((ROUND((_15_同援日増２．５*(1+_15・A深夜)),0)*(1+_15・盲ろう)),0)*(1+_15・区４)),0)</f>
        <v>827</v>
      </c>
      <c r="X123" s="69"/>
    </row>
    <row r="124" spans="1:24" ht="16.5" customHeight="1" x14ac:dyDescent="0.3">
      <c r="A124" s="2">
        <v>15</v>
      </c>
      <c r="B124" s="2" t="s">
        <v>2944</v>
      </c>
      <c r="C124" s="60" t="s">
        <v>13437</v>
      </c>
      <c r="D124" s="1"/>
      <c r="E124" s="68"/>
      <c r="F124" s="70"/>
      <c r="G124" s="66"/>
      <c r="H124" s="57"/>
      <c r="I124" s="58"/>
      <c r="J124" s="83" t="s">
        <v>5895</v>
      </c>
      <c r="K124" s="64" t="s">
        <v>1</v>
      </c>
      <c r="L124" s="65">
        <v>1</v>
      </c>
      <c r="M124" s="99"/>
      <c r="N124" s="70"/>
      <c r="O124" s="94" t="s">
        <v>17932</v>
      </c>
      <c r="P124" s="68"/>
      <c r="Q124" s="76"/>
      <c r="R124" s="70"/>
      <c r="S124" s="67"/>
      <c r="T124" s="68"/>
      <c r="U124" s="76"/>
      <c r="V124" s="70"/>
      <c r="W124" s="120">
        <f>ROUND((ROUND((ROUND((ROUND((_15_同援日増２．５*_15・２人),0)*(1+_15・A深夜)),0)*(1+_15・盲ろう)),0)*(1+_15・区４)),0)</f>
        <v>827</v>
      </c>
      <c r="X124" s="69"/>
    </row>
    <row r="125" spans="1:24" ht="16.5" customHeight="1" x14ac:dyDescent="0.3">
      <c r="A125" s="2">
        <v>15</v>
      </c>
      <c r="B125" s="2" t="s">
        <v>2945</v>
      </c>
      <c r="C125" s="60" t="s">
        <v>13436</v>
      </c>
      <c r="D125" s="1"/>
      <c r="E125" s="68"/>
      <c r="F125" s="70"/>
      <c r="G125" s="74" t="s">
        <v>17747</v>
      </c>
      <c r="H125" s="62"/>
      <c r="I125" s="63"/>
      <c r="J125" s="85"/>
      <c r="K125" s="64"/>
      <c r="L125" s="65"/>
      <c r="M125" s="99"/>
      <c r="N125" s="70"/>
      <c r="O125" s="67"/>
      <c r="P125" s="68" t="s">
        <v>1</v>
      </c>
      <c r="Q125" s="76">
        <v>0.25</v>
      </c>
      <c r="R125" s="70" t="s">
        <v>422</v>
      </c>
      <c r="S125" s="67"/>
      <c r="T125" s="68"/>
      <c r="U125" s="76"/>
      <c r="V125" s="70"/>
      <c r="W125" s="120">
        <f>ROUND((ROUND((ROUND((ROUND((_15_同援日増２．５*_15・基礎２),0)*(1+_15・A深夜)),0)*(1+_15・盲ろう)),0)*(1+_15・区４)),0)</f>
        <v>746</v>
      </c>
      <c r="X125" s="69"/>
    </row>
    <row r="126" spans="1:24" ht="16.5" customHeight="1" x14ac:dyDescent="0.3">
      <c r="A126" s="2">
        <v>15</v>
      </c>
      <c r="B126" s="2" t="s">
        <v>2946</v>
      </c>
      <c r="C126" s="60" t="s">
        <v>13435</v>
      </c>
      <c r="D126" s="81"/>
      <c r="E126" s="57"/>
      <c r="F126" s="77"/>
      <c r="G126" s="106" t="s">
        <v>17420</v>
      </c>
      <c r="H126" s="57" t="s">
        <v>1</v>
      </c>
      <c r="I126" s="58">
        <v>0.9</v>
      </c>
      <c r="J126" s="83" t="s">
        <v>5895</v>
      </c>
      <c r="K126" s="64" t="s">
        <v>1</v>
      </c>
      <c r="L126" s="65">
        <v>1</v>
      </c>
      <c r="M126" s="99"/>
      <c r="N126" s="70"/>
      <c r="O126" s="66"/>
      <c r="P126" s="57"/>
      <c r="Q126" s="58"/>
      <c r="R126" s="77"/>
      <c r="S126" s="66"/>
      <c r="T126" s="57"/>
      <c r="U126" s="58"/>
      <c r="V126" s="77"/>
      <c r="W126" s="120">
        <f>ROUND((ROUND((ROUND((ROUND((ROUND((_15_同援日増２．５*_15・基礎２),0)*_15・２人),0)*(1+_15・A深夜)),0)*(1+_15・盲ろう)),0)*(1+_15・区４)),0)</f>
        <v>746</v>
      </c>
      <c r="X126" s="69"/>
    </row>
    <row r="127" spans="1:24" ht="16.5" customHeight="1" x14ac:dyDescent="0.3">
      <c r="A127" s="2">
        <v>15</v>
      </c>
      <c r="B127" s="2" t="s">
        <v>2947</v>
      </c>
      <c r="C127" s="60" t="s">
        <v>13434</v>
      </c>
      <c r="D127" s="233" t="s">
        <v>18205</v>
      </c>
      <c r="E127" s="62"/>
      <c r="F127" s="75"/>
      <c r="G127" s="61"/>
      <c r="H127" s="62"/>
      <c r="I127" s="63"/>
      <c r="J127" s="85"/>
      <c r="K127" s="64"/>
      <c r="L127" s="65"/>
      <c r="M127" s="99"/>
      <c r="N127" s="70"/>
      <c r="O127" s="61"/>
      <c r="P127" s="62"/>
      <c r="Q127" s="63"/>
      <c r="R127" s="75"/>
      <c r="S127" s="61"/>
      <c r="T127" s="62"/>
      <c r="U127" s="63"/>
      <c r="V127" s="75"/>
      <c r="W127" s="120">
        <f>ROUND((_15_同援日増３．０*(1+_15・A深夜)),0)</f>
        <v>567</v>
      </c>
      <c r="X127" s="69"/>
    </row>
    <row r="128" spans="1:24" ht="16.5" customHeight="1" x14ac:dyDescent="0.3">
      <c r="A128" s="2">
        <v>15</v>
      </c>
      <c r="B128" s="2" t="s">
        <v>2948</v>
      </c>
      <c r="C128" s="60" t="s">
        <v>13433</v>
      </c>
      <c r="D128" s="1" t="s">
        <v>17770</v>
      </c>
      <c r="E128" s="68"/>
      <c r="F128" s="70"/>
      <c r="G128" s="66"/>
      <c r="H128" s="57"/>
      <c r="I128" s="58"/>
      <c r="J128" s="83" t="s">
        <v>5895</v>
      </c>
      <c r="K128" s="64" t="s">
        <v>1</v>
      </c>
      <c r="L128" s="65">
        <v>1</v>
      </c>
      <c r="M128" s="99"/>
      <c r="N128" s="70"/>
      <c r="O128" s="67"/>
      <c r="P128" s="68"/>
      <c r="Q128" s="76"/>
      <c r="R128" s="70"/>
      <c r="S128" s="67"/>
      <c r="T128" s="68"/>
      <c r="U128" s="76"/>
      <c r="V128" s="70"/>
      <c r="W128" s="120">
        <f>ROUND((ROUND((_15_同援日増３．０*_15・２人),0)*(1+_15・A深夜)),0)</f>
        <v>567</v>
      </c>
      <c r="X128" s="69"/>
    </row>
    <row r="129" spans="1:24" ht="16.5" customHeight="1" x14ac:dyDescent="0.3">
      <c r="A129" s="2">
        <v>15</v>
      </c>
      <c r="B129" s="2" t="s">
        <v>2949</v>
      </c>
      <c r="C129" s="60" t="s">
        <v>13432</v>
      </c>
      <c r="D129" s="1" t="s">
        <v>8694</v>
      </c>
      <c r="E129" s="68"/>
      <c r="F129" s="70"/>
      <c r="G129" s="74" t="s">
        <v>17747</v>
      </c>
      <c r="H129" s="62"/>
      <c r="I129" s="63"/>
      <c r="J129" s="85"/>
      <c r="K129" s="64"/>
      <c r="L129" s="65"/>
      <c r="M129" s="99"/>
      <c r="N129" s="70"/>
      <c r="O129" s="67"/>
      <c r="P129" s="68"/>
      <c r="Q129" s="76"/>
      <c r="R129" s="70"/>
      <c r="S129" s="67"/>
      <c r="T129" s="68"/>
      <c r="U129" s="76"/>
      <c r="V129" s="70"/>
      <c r="W129" s="120">
        <f>ROUND((ROUND((_15_同援日増３．０*_15・基礎２),0)*(1+_15・A深夜)),0)</f>
        <v>510</v>
      </c>
      <c r="X129" s="69"/>
    </row>
    <row r="130" spans="1:24" ht="16.5" customHeight="1" x14ac:dyDescent="0.3">
      <c r="A130" s="2">
        <v>15</v>
      </c>
      <c r="B130" s="2" t="s">
        <v>2950</v>
      </c>
      <c r="C130" s="60" t="s">
        <v>13431</v>
      </c>
      <c r="D130" s="1"/>
      <c r="E130" s="119">
        <v>378</v>
      </c>
      <c r="F130" s="70" t="s">
        <v>0</v>
      </c>
      <c r="G130" s="106" t="s">
        <v>17420</v>
      </c>
      <c r="H130" s="57" t="s">
        <v>1</v>
      </c>
      <c r="I130" s="58">
        <v>0.9</v>
      </c>
      <c r="J130" s="83" t="s">
        <v>5895</v>
      </c>
      <c r="K130" s="64" t="s">
        <v>1</v>
      </c>
      <c r="L130" s="65">
        <v>1</v>
      </c>
      <c r="M130" s="99"/>
      <c r="N130" s="70"/>
      <c r="O130" s="66"/>
      <c r="P130" s="57"/>
      <c r="Q130" s="58"/>
      <c r="R130" s="77"/>
      <c r="S130" s="67"/>
      <c r="T130" s="68"/>
      <c r="U130" s="76"/>
      <c r="V130" s="70"/>
      <c r="W130" s="120">
        <f>ROUND((ROUND((ROUND((_15_同援日増３．０*_15・基礎２),0)*_15・２人),0)*(1+_15・A深夜)),0)</f>
        <v>510</v>
      </c>
      <c r="X130" s="69"/>
    </row>
    <row r="131" spans="1:24" ht="16.5" customHeight="1" x14ac:dyDescent="0.3">
      <c r="A131" s="2">
        <v>15</v>
      </c>
      <c r="B131" s="2" t="s">
        <v>2951</v>
      </c>
      <c r="C131" s="60" t="s">
        <v>13430</v>
      </c>
      <c r="D131" s="1"/>
      <c r="E131" s="68"/>
      <c r="F131" s="70"/>
      <c r="G131" s="61"/>
      <c r="H131" s="62"/>
      <c r="I131" s="63"/>
      <c r="J131" s="85"/>
      <c r="K131" s="64"/>
      <c r="L131" s="65"/>
      <c r="M131" s="99"/>
      <c r="N131" s="70"/>
      <c r="O131" s="74" t="s">
        <v>17933</v>
      </c>
      <c r="P131" s="62"/>
      <c r="Q131" s="63"/>
      <c r="R131" s="75"/>
      <c r="S131" s="67"/>
      <c r="T131" s="68"/>
      <c r="U131" s="76"/>
      <c r="V131" s="70"/>
      <c r="W131" s="120">
        <f>ROUND((ROUND((_15_同援日増３．０*(1+_15・A深夜)),0)*(1+_15・盲ろう)),0)</f>
        <v>709</v>
      </c>
      <c r="X131" s="69"/>
    </row>
    <row r="132" spans="1:24" ht="16.5" customHeight="1" x14ac:dyDescent="0.3">
      <c r="A132" s="2">
        <v>15</v>
      </c>
      <c r="B132" s="2" t="s">
        <v>2952</v>
      </c>
      <c r="C132" s="60" t="s">
        <v>13429</v>
      </c>
      <c r="D132" s="1"/>
      <c r="E132" s="68"/>
      <c r="F132" s="70"/>
      <c r="G132" s="66"/>
      <c r="H132" s="57"/>
      <c r="I132" s="58"/>
      <c r="J132" s="83" t="s">
        <v>5895</v>
      </c>
      <c r="K132" s="64" t="s">
        <v>1</v>
      </c>
      <c r="L132" s="65">
        <v>1</v>
      </c>
      <c r="M132" s="99"/>
      <c r="N132" s="70"/>
      <c r="O132" s="94" t="s">
        <v>17932</v>
      </c>
      <c r="P132" s="68"/>
      <c r="Q132" s="76"/>
      <c r="R132" s="70"/>
      <c r="S132" s="67"/>
      <c r="T132" s="68"/>
      <c r="U132" s="76"/>
      <c r="V132" s="70"/>
      <c r="W132" s="120">
        <f>ROUND((ROUND((ROUND((_15_同援日増３．０*_15・２人),0)*(1+_15・A深夜)),0)*(1+_15・盲ろう)),0)</f>
        <v>709</v>
      </c>
      <c r="X132" s="69"/>
    </row>
    <row r="133" spans="1:24" ht="16.5" customHeight="1" x14ac:dyDescent="0.3">
      <c r="A133" s="2">
        <v>15</v>
      </c>
      <c r="B133" s="2" t="s">
        <v>2953</v>
      </c>
      <c r="C133" s="60" t="s">
        <v>13428</v>
      </c>
      <c r="D133" s="1"/>
      <c r="E133" s="68"/>
      <c r="F133" s="70"/>
      <c r="G133" s="74" t="s">
        <v>17747</v>
      </c>
      <c r="H133" s="62"/>
      <c r="I133" s="63"/>
      <c r="J133" s="85"/>
      <c r="K133" s="64"/>
      <c r="L133" s="65"/>
      <c r="M133" s="99"/>
      <c r="N133" s="70"/>
      <c r="O133" s="67"/>
      <c r="P133" s="68" t="s">
        <v>1</v>
      </c>
      <c r="Q133" s="76">
        <v>0.25</v>
      </c>
      <c r="R133" s="70" t="s">
        <v>422</v>
      </c>
      <c r="S133" s="67"/>
      <c r="T133" s="68"/>
      <c r="U133" s="76"/>
      <c r="V133" s="70"/>
      <c r="W133" s="120">
        <f>ROUND((ROUND((ROUND((_15_同援日増３．０*_15・基礎２),0)*(1+_15・A深夜)),0)*(1+_15・盲ろう)),0)</f>
        <v>638</v>
      </c>
      <c r="X133" s="69"/>
    </row>
    <row r="134" spans="1:24" ht="16.5" customHeight="1" x14ac:dyDescent="0.3">
      <c r="A134" s="2">
        <v>15</v>
      </c>
      <c r="B134" s="2" t="s">
        <v>2954</v>
      </c>
      <c r="C134" s="60" t="s">
        <v>13427</v>
      </c>
      <c r="D134" s="1"/>
      <c r="E134" s="68"/>
      <c r="F134" s="70"/>
      <c r="G134" s="106" t="s">
        <v>17420</v>
      </c>
      <c r="H134" s="57" t="s">
        <v>1</v>
      </c>
      <c r="I134" s="58">
        <v>0.9</v>
      </c>
      <c r="J134" s="83" t="s">
        <v>5895</v>
      </c>
      <c r="K134" s="64" t="s">
        <v>1</v>
      </c>
      <c r="L134" s="65">
        <v>1</v>
      </c>
      <c r="M134" s="99"/>
      <c r="N134" s="70"/>
      <c r="O134" s="66"/>
      <c r="P134" s="57"/>
      <c r="Q134" s="58"/>
      <c r="R134" s="77"/>
      <c r="S134" s="66"/>
      <c r="T134" s="57"/>
      <c r="U134" s="58"/>
      <c r="V134" s="77"/>
      <c r="W134" s="120">
        <f>ROUND((ROUND((ROUND((ROUND((_15_同援日増３．０*_15・基礎２),0)*_15・２人),0)*(1+_15・A深夜)),0)*(1+_15・盲ろう)),0)</f>
        <v>638</v>
      </c>
      <c r="X134" s="69"/>
    </row>
    <row r="135" spans="1:24" ht="16.5" customHeight="1" x14ac:dyDescent="0.3">
      <c r="A135" s="2">
        <v>15</v>
      </c>
      <c r="B135" s="2" t="s">
        <v>2955</v>
      </c>
      <c r="C135" s="60" t="s">
        <v>13426</v>
      </c>
      <c r="D135" s="1"/>
      <c r="E135" s="68"/>
      <c r="F135" s="70"/>
      <c r="G135" s="61"/>
      <c r="H135" s="62"/>
      <c r="I135" s="63"/>
      <c r="J135" s="85"/>
      <c r="K135" s="64"/>
      <c r="L135" s="65"/>
      <c r="M135" s="99"/>
      <c r="N135" s="70"/>
      <c r="O135" s="61"/>
      <c r="P135" s="62"/>
      <c r="Q135" s="63"/>
      <c r="R135" s="75"/>
      <c r="S135" s="61"/>
      <c r="T135" s="62"/>
      <c r="U135" s="63"/>
      <c r="V135" s="75"/>
      <c r="W135" s="120">
        <f>ROUND((ROUND((_15_同援日増３．０*(1+_15・A深夜)),0)*(1+_15・区３)),0)</f>
        <v>680</v>
      </c>
      <c r="X135" s="69"/>
    </row>
    <row r="136" spans="1:24" ht="16.5" customHeight="1" x14ac:dyDescent="0.3">
      <c r="A136" s="2">
        <v>15</v>
      </c>
      <c r="B136" s="2" t="s">
        <v>2956</v>
      </c>
      <c r="C136" s="60" t="s">
        <v>13425</v>
      </c>
      <c r="D136" s="1"/>
      <c r="E136" s="68"/>
      <c r="F136" s="70"/>
      <c r="G136" s="66"/>
      <c r="H136" s="57"/>
      <c r="I136" s="58"/>
      <c r="J136" s="83" t="s">
        <v>5895</v>
      </c>
      <c r="K136" s="64" t="s">
        <v>1</v>
      </c>
      <c r="L136" s="65">
        <v>1</v>
      </c>
      <c r="M136" s="99"/>
      <c r="N136" s="70"/>
      <c r="O136" s="67"/>
      <c r="P136" s="68"/>
      <c r="Q136" s="76"/>
      <c r="R136" s="70"/>
      <c r="S136" s="67"/>
      <c r="T136" s="68"/>
      <c r="U136" s="76"/>
      <c r="V136" s="70"/>
      <c r="W136" s="120">
        <f>ROUND((ROUND((ROUND((_15_同援日増３．０*_15・２人),0)*(1+_15・A深夜)),0)*(1+_15・区３)),0)</f>
        <v>680</v>
      </c>
      <c r="X136" s="69"/>
    </row>
    <row r="137" spans="1:24" ht="16.5" customHeight="1" x14ac:dyDescent="0.3">
      <c r="A137" s="2">
        <v>15</v>
      </c>
      <c r="B137" s="2" t="s">
        <v>2957</v>
      </c>
      <c r="C137" s="60" t="s">
        <v>13424</v>
      </c>
      <c r="D137" s="1"/>
      <c r="E137" s="68"/>
      <c r="F137" s="70"/>
      <c r="G137" s="74" t="s">
        <v>17747</v>
      </c>
      <c r="H137" s="62"/>
      <c r="I137" s="63"/>
      <c r="J137" s="85"/>
      <c r="K137" s="64"/>
      <c r="L137" s="65"/>
      <c r="M137" s="99"/>
      <c r="N137" s="70"/>
      <c r="O137" s="67"/>
      <c r="P137" s="68"/>
      <c r="Q137" s="76"/>
      <c r="R137" s="70"/>
      <c r="S137" s="1" t="s">
        <v>17936</v>
      </c>
      <c r="T137" s="68"/>
      <c r="U137" s="76"/>
      <c r="V137" s="70"/>
      <c r="W137" s="120">
        <f>ROUND((ROUND((ROUND((_15_同援日増３．０*_15・基礎２),0)*(1+_15・A深夜)),0)*(1+_15・区３)),0)</f>
        <v>612</v>
      </c>
      <c r="X137" s="69"/>
    </row>
    <row r="138" spans="1:24" ht="16.5" customHeight="1" x14ac:dyDescent="0.3">
      <c r="A138" s="2">
        <v>15</v>
      </c>
      <c r="B138" s="2" t="s">
        <v>2958</v>
      </c>
      <c r="C138" s="60" t="s">
        <v>13423</v>
      </c>
      <c r="D138" s="1"/>
      <c r="E138" s="68"/>
      <c r="F138" s="70"/>
      <c r="G138" s="106" t="s">
        <v>17420</v>
      </c>
      <c r="H138" s="57" t="s">
        <v>1</v>
      </c>
      <c r="I138" s="58">
        <v>0.9</v>
      </c>
      <c r="J138" s="83" t="s">
        <v>5895</v>
      </c>
      <c r="K138" s="64" t="s">
        <v>1</v>
      </c>
      <c r="L138" s="65">
        <v>1</v>
      </c>
      <c r="M138" s="99"/>
      <c r="N138" s="70"/>
      <c r="O138" s="66"/>
      <c r="P138" s="57"/>
      <c r="Q138" s="58"/>
      <c r="R138" s="77"/>
      <c r="S138" s="1" t="s">
        <v>17934</v>
      </c>
      <c r="T138" s="68"/>
      <c r="U138" s="76"/>
      <c r="V138" s="70"/>
      <c r="W138" s="120">
        <f>ROUND((ROUND((ROUND((ROUND((_15_同援日増３．０*_15・基礎２),0)*_15・２人),0)*(1+_15・A深夜)),0)*(1+_15・区３)),0)</f>
        <v>612</v>
      </c>
      <c r="X138" s="69"/>
    </row>
    <row r="139" spans="1:24" ht="16.5" customHeight="1" x14ac:dyDescent="0.3">
      <c r="A139" s="2">
        <v>15</v>
      </c>
      <c r="B139" s="2" t="s">
        <v>2959</v>
      </c>
      <c r="C139" s="60" t="s">
        <v>13422</v>
      </c>
      <c r="D139" s="1"/>
      <c r="E139" s="68"/>
      <c r="F139" s="70"/>
      <c r="G139" s="61"/>
      <c r="H139" s="62"/>
      <c r="I139" s="63"/>
      <c r="J139" s="85"/>
      <c r="K139" s="64"/>
      <c r="L139" s="65"/>
      <c r="M139" s="99"/>
      <c r="N139" s="70"/>
      <c r="O139" s="74" t="s">
        <v>17933</v>
      </c>
      <c r="P139" s="62"/>
      <c r="Q139" s="63"/>
      <c r="R139" s="75"/>
      <c r="S139" s="67"/>
      <c r="T139" s="68" t="s">
        <v>1</v>
      </c>
      <c r="U139" s="76">
        <v>0.2</v>
      </c>
      <c r="V139" s="70" t="s">
        <v>422</v>
      </c>
      <c r="W139" s="120">
        <f>ROUND((ROUND((ROUND((_15_同援日増３．０*(1+_15・A深夜)),0)*(1+_15・盲ろう)),0)*(1+_15・区３)),0)</f>
        <v>851</v>
      </c>
      <c r="X139" s="69"/>
    </row>
    <row r="140" spans="1:24" ht="16.5" customHeight="1" x14ac:dyDescent="0.3">
      <c r="A140" s="2">
        <v>15</v>
      </c>
      <c r="B140" s="2" t="s">
        <v>2960</v>
      </c>
      <c r="C140" s="60" t="s">
        <v>13421</v>
      </c>
      <c r="D140" s="1"/>
      <c r="E140" s="68"/>
      <c r="F140" s="70"/>
      <c r="G140" s="66"/>
      <c r="H140" s="57"/>
      <c r="I140" s="58"/>
      <c r="J140" s="83" t="s">
        <v>5895</v>
      </c>
      <c r="K140" s="64" t="s">
        <v>1</v>
      </c>
      <c r="L140" s="65">
        <v>1</v>
      </c>
      <c r="M140" s="99"/>
      <c r="N140" s="70"/>
      <c r="O140" s="94" t="s">
        <v>17932</v>
      </c>
      <c r="P140" s="68"/>
      <c r="Q140" s="76"/>
      <c r="R140" s="70"/>
      <c r="S140" s="67"/>
      <c r="T140" s="68"/>
      <c r="U140" s="76"/>
      <c r="V140" s="70"/>
      <c r="W140" s="120">
        <f>ROUND((ROUND((ROUND((ROUND((_15_同援日増３．０*_15・２人),0)*(1+_15・A深夜)),0)*(1+_15・盲ろう)),0)*(1+_15・区３)),0)</f>
        <v>851</v>
      </c>
      <c r="X140" s="69"/>
    </row>
    <row r="141" spans="1:24" ht="16.5" customHeight="1" x14ac:dyDescent="0.3">
      <c r="A141" s="2">
        <v>15</v>
      </c>
      <c r="B141" s="2" t="s">
        <v>2961</v>
      </c>
      <c r="C141" s="60" t="s">
        <v>13420</v>
      </c>
      <c r="D141" s="1"/>
      <c r="E141" s="68"/>
      <c r="F141" s="70"/>
      <c r="G141" s="74" t="s">
        <v>5898</v>
      </c>
      <c r="H141" s="62"/>
      <c r="I141" s="63"/>
      <c r="J141" s="85"/>
      <c r="K141" s="64"/>
      <c r="L141" s="65"/>
      <c r="M141" s="99"/>
      <c r="N141" s="70"/>
      <c r="O141" s="67"/>
      <c r="P141" s="68" t="s">
        <v>1</v>
      </c>
      <c r="Q141" s="76">
        <v>0.25</v>
      </c>
      <c r="R141" s="70" t="s">
        <v>422</v>
      </c>
      <c r="S141" s="67"/>
      <c r="T141" s="68"/>
      <c r="U141" s="76"/>
      <c r="V141" s="70"/>
      <c r="W141" s="120">
        <f>ROUND((ROUND((ROUND((ROUND((_15_同援日増３．０*_15・基礎２),0)*(1+_15・A深夜)),0)*(1+_15・盲ろう)),0)*(1+_15・区３)),0)</f>
        <v>766</v>
      </c>
      <c r="X141" s="69"/>
    </row>
    <row r="142" spans="1:24" ht="16.5" customHeight="1" x14ac:dyDescent="0.3">
      <c r="A142" s="2">
        <v>15</v>
      </c>
      <c r="B142" s="2" t="s">
        <v>2962</v>
      </c>
      <c r="C142" s="60" t="s">
        <v>13419</v>
      </c>
      <c r="D142" s="1"/>
      <c r="E142" s="68"/>
      <c r="F142" s="70"/>
      <c r="G142" s="106" t="s">
        <v>5896</v>
      </c>
      <c r="H142" s="57" t="s">
        <v>1</v>
      </c>
      <c r="I142" s="58">
        <v>0.9</v>
      </c>
      <c r="J142" s="83" t="s">
        <v>5895</v>
      </c>
      <c r="K142" s="64" t="s">
        <v>1</v>
      </c>
      <c r="L142" s="65">
        <v>1</v>
      </c>
      <c r="M142" s="99"/>
      <c r="N142" s="70"/>
      <c r="O142" s="66"/>
      <c r="P142" s="57"/>
      <c r="Q142" s="58"/>
      <c r="R142" s="77"/>
      <c r="S142" s="66"/>
      <c r="T142" s="57"/>
      <c r="U142" s="58"/>
      <c r="V142" s="77"/>
      <c r="W142" s="120">
        <f>ROUND((ROUND((ROUND((ROUND((ROUND((_15_同援日増３．０*_15・基礎２),0)*_15・２人),0)*(1+_15・A深夜)),0)*(1+_15・盲ろう)),0)*(1+_15・区３)),0)</f>
        <v>766</v>
      </c>
      <c r="X142" s="69"/>
    </row>
    <row r="143" spans="1:24" ht="16.5" customHeight="1" x14ac:dyDescent="0.3">
      <c r="A143" s="2">
        <v>15</v>
      </c>
      <c r="B143" s="2" t="s">
        <v>2963</v>
      </c>
      <c r="C143" s="60" t="s">
        <v>13418</v>
      </c>
      <c r="D143" s="1"/>
      <c r="E143" s="68"/>
      <c r="F143" s="70"/>
      <c r="G143" s="61"/>
      <c r="H143" s="62"/>
      <c r="I143" s="63"/>
      <c r="J143" s="85"/>
      <c r="K143" s="64"/>
      <c r="L143" s="65"/>
      <c r="M143" s="99"/>
      <c r="N143" s="70"/>
      <c r="O143" s="61"/>
      <c r="P143" s="62"/>
      <c r="Q143" s="63"/>
      <c r="R143" s="75"/>
      <c r="S143" s="61"/>
      <c r="T143" s="62"/>
      <c r="U143" s="63"/>
      <c r="V143" s="75"/>
      <c r="W143" s="120">
        <f>ROUND((ROUND((_15_同援日増３．０*(1+_15・A深夜)),0)*(1+_15・区４)),0)</f>
        <v>794</v>
      </c>
      <c r="X143" s="69"/>
    </row>
    <row r="144" spans="1:24" ht="16.5" customHeight="1" x14ac:dyDescent="0.3">
      <c r="A144" s="2">
        <v>15</v>
      </c>
      <c r="B144" s="2" t="s">
        <v>2964</v>
      </c>
      <c r="C144" s="60" t="s">
        <v>13417</v>
      </c>
      <c r="D144" s="1"/>
      <c r="E144" s="68"/>
      <c r="F144" s="70"/>
      <c r="G144" s="66"/>
      <c r="H144" s="57"/>
      <c r="I144" s="58"/>
      <c r="J144" s="83" t="s">
        <v>5895</v>
      </c>
      <c r="K144" s="64" t="s">
        <v>1</v>
      </c>
      <c r="L144" s="65">
        <v>1</v>
      </c>
      <c r="M144" s="99"/>
      <c r="N144" s="70"/>
      <c r="O144" s="67"/>
      <c r="P144" s="68"/>
      <c r="Q144" s="76"/>
      <c r="R144" s="70"/>
      <c r="S144" s="67"/>
      <c r="T144" s="68"/>
      <c r="U144" s="76"/>
      <c r="V144" s="70"/>
      <c r="W144" s="120">
        <f>ROUND((ROUND((ROUND((_15_同援日増３．０*_15・２人),0)*(1+_15・A深夜)),0)*(1+_15・区４)),0)</f>
        <v>794</v>
      </c>
      <c r="X144" s="69"/>
    </row>
    <row r="145" spans="1:24" ht="16.5" customHeight="1" x14ac:dyDescent="0.3">
      <c r="A145" s="2">
        <v>15</v>
      </c>
      <c r="B145" s="2" t="s">
        <v>2965</v>
      </c>
      <c r="C145" s="60" t="s">
        <v>13416</v>
      </c>
      <c r="D145" s="1"/>
      <c r="E145" s="68"/>
      <c r="F145" s="70"/>
      <c r="G145" s="74" t="s">
        <v>17747</v>
      </c>
      <c r="H145" s="62"/>
      <c r="I145" s="63"/>
      <c r="J145" s="85"/>
      <c r="K145" s="64"/>
      <c r="L145" s="65"/>
      <c r="M145" s="99"/>
      <c r="N145" s="70"/>
      <c r="O145" s="67"/>
      <c r="P145" s="68"/>
      <c r="Q145" s="76"/>
      <c r="R145" s="70"/>
      <c r="S145" s="1" t="s">
        <v>17935</v>
      </c>
      <c r="T145" s="68"/>
      <c r="U145" s="76"/>
      <c r="V145" s="70"/>
      <c r="W145" s="120">
        <f>ROUND((ROUND((ROUND((_15_同援日増３．０*_15・基礎２),0)*(1+_15・A深夜)),0)*(1+_15・区４)),0)</f>
        <v>714</v>
      </c>
      <c r="X145" s="69"/>
    </row>
    <row r="146" spans="1:24" ht="16.5" customHeight="1" x14ac:dyDescent="0.3">
      <c r="A146" s="2">
        <v>15</v>
      </c>
      <c r="B146" s="2" t="s">
        <v>2966</v>
      </c>
      <c r="C146" s="60" t="s">
        <v>13415</v>
      </c>
      <c r="D146" s="1"/>
      <c r="E146" s="68"/>
      <c r="F146" s="70"/>
      <c r="G146" s="106" t="s">
        <v>17420</v>
      </c>
      <c r="H146" s="57" t="s">
        <v>1</v>
      </c>
      <c r="I146" s="58">
        <v>0.9</v>
      </c>
      <c r="J146" s="83" t="s">
        <v>5895</v>
      </c>
      <c r="K146" s="64" t="s">
        <v>1</v>
      </c>
      <c r="L146" s="65">
        <v>1</v>
      </c>
      <c r="M146" s="99"/>
      <c r="N146" s="70"/>
      <c r="O146" s="66"/>
      <c r="P146" s="57"/>
      <c r="Q146" s="58"/>
      <c r="R146" s="77"/>
      <c r="S146" s="1" t="s">
        <v>17934</v>
      </c>
      <c r="T146" s="68"/>
      <c r="U146" s="76"/>
      <c r="V146" s="70"/>
      <c r="W146" s="120">
        <f>ROUND((ROUND((ROUND((ROUND((_15_同援日増３．０*_15・基礎２),0)*_15・２人),0)*(1+_15・A深夜)),0)*(1+_15・区４)),0)</f>
        <v>714</v>
      </c>
      <c r="X146" s="69"/>
    </row>
    <row r="147" spans="1:24" ht="16.5" customHeight="1" x14ac:dyDescent="0.3">
      <c r="A147" s="2">
        <v>15</v>
      </c>
      <c r="B147" s="2" t="s">
        <v>2967</v>
      </c>
      <c r="C147" s="60" t="s">
        <v>13414</v>
      </c>
      <c r="D147" s="1"/>
      <c r="E147" s="68"/>
      <c r="F147" s="70"/>
      <c r="G147" s="61"/>
      <c r="H147" s="62"/>
      <c r="I147" s="63"/>
      <c r="J147" s="85"/>
      <c r="K147" s="64"/>
      <c r="L147" s="65"/>
      <c r="M147" s="99"/>
      <c r="N147" s="70"/>
      <c r="O147" s="74" t="s">
        <v>17933</v>
      </c>
      <c r="P147" s="62"/>
      <c r="Q147" s="63"/>
      <c r="R147" s="75"/>
      <c r="S147" s="67"/>
      <c r="T147" s="68" t="s">
        <v>1</v>
      </c>
      <c r="U147" s="76">
        <v>0.4</v>
      </c>
      <c r="V147" s="70" t="s">
        <v>422</v>
      </c>
      <c r="W147" s="120">
        <f>ROUND((ROUND((ROUND((_15_同援日増３．０*(1+_15・A深夜)),0)*(1+_15・盲ろう)),0)*(1+_15・区４)),0)</f>
        <v>993</v>
      </c>
      <c r="X147" s="69"/>
    </row>
    <row r="148" spans="1:24" ht="16.5" customHeight="1" x14ac:dyDescent="0.3">
      <c r="A148" s="2">
        <v>15</v>
      </c>
      <c r="B148" s="2" t="s">
        <v>2968</v>
      </c>
      <c r="C148" s="60" t="s">
        <v>13413</v>
      </c>
      <c r="D148" s="1"/>
      <c r="E148" s="68"/>
      <c r="F148" s="70"/>
      <c r="G148" s="66"/>
      <c r="H148" s="57"/>
      <c r="I148" s="58"/>
      <c r="J148" s="83" t="s">
        <v>5895</v>
      </c>
      <c r="K148" s="64" t="s">
        <v>1</v>
      </c>
      <c r="L148" s="65">
        <v>1</v>
      </c>
      <c r="M148" s="99"/>
      <c r="N148" s="70"/>
      <c r="O148" s="94" t="s">
        <v>17932</v>
      </c>
      <c r="P148" s="68"/>
      <c r="Q148" s="76"/>
      <c r="R148" s="70"/>
      <c r="S148" s="67"/>
      <c r="T148" s="68"/>
      <c r="U148" s="76"/>
      <c r="V148" s="70"/>
      <c r="W148" s="120">
        <f>ROUND((ROUND((ROUND((ROUND((_15_同援日増３．０*_15・２人),0)*(1+_15・A深夜)),0)*(1+_15・盲ろう)),0)*(1+_15・区４)),0)</f>
        <v>993</v>
      </c>
      <c r="X148" s="69"/>
    </row>
    <row r="149" spans="1:24" ht="16.5" customHeight="1" x14ac:dyDescent="0.3">
      <c r="A149" s="2">
        <v>15</v>
      </c>
      <c r="B149" s="2" t="s">
        <v>2969</v>
      </c>
      <c r="C149" s="60" t="s">
        <v>13412</v>
      </c>
      <c r="D149" s="1"/>
      <c r="E149" s="68"/>
      <c r="F149" s="70"/>
      <c r="G149" s="74" t="s">
        <v>17747</v>
      </c>
      <c r="H149" s="62"/>
      <c r="I149" s="63"/>
      <c r="J149" s="85"/>
      <c r="K149" s="64"/>
      <c r="L149" s="65"/>
      <c r="M149" s="99"/>
      <c r="N149" s="70"/>
      <c r="O149" s="67"/>
      <c r="P149" s="68" t="s">
        <v>1</v>
      </c>
      <c r="Q149" s="76">
        <v>0.25</v>
      </c>
      <c r="R149" s="70" t="s">
        <v>422</v>
      </c>
      <c r="S149" s="67"/>
      <c r="T149" s="68"/>
      <c r="U149" s="76"/>
      <c r="V149" s="70"/>
      <c r="W149" s="120">
        <f>ROUND((ROUND((ROUND((ROUND((_15_同援日増３．０*_15・基礎２),0)*(1+_15・A深夜)),0)*(1+_15・盲ろう)),0)*(1+_15・区４)),0)</f>
        <v>893</v>
      </c>
      <c r="X149" s="69"/>
    </row>
    <row r="150" spans="1:24" ht="16.5" customHeight="1" x14ac:dyDescent="0.3">
      <c r="A150" s="2">
        <v>15</v>
      </c>
      <c r="B150" s="2" t="s">
        <v>2970</v>
      </c>
      <c r="C150" s="60" t="s">
        <v>13411</v>
      </c>
      <c r="D150" s="81"/>
      <c r="E150" s="57"/>
      <c r="F150" s="77"/>
      <c r="G150" s="106" t="s">
        <v>17420</v>
      </c>
      <c r="H150" s="57" t="s">
        <v>1</v>
      </c>
      <c r="I150" s="58">
        <v>0.9</v>
      </c>
      <c r="J150" s="83" t="s">
        <v>5895</v>
      </c>
      <c r="K150" s="64" t="s">
        <v>1</v>
      </c>
      <c r="L150" s="65">
        <v>1</v>
      </c>
      <c r="M150" s="99"/>
      <c r="N150" s="70"/>
      <c r="O150" s="66"/>
      <c r="P150" s="57"/>
      <c r="Q150" s="58"/>
      <c r="R150" s="77"/>
      <c r="S150" s="66"/>
      <c r="T150" s="57"/>
      <c r="U150" s="58"/>
      <c r="V150" s="77"/>
      <c r="W150" s="120">
        <f>ROUND((ROUND((ROUND((ROUND((ROUND((_15_同援日増３．０*_15・基礎２),0)*_15・２人),0)*(1+_15・A深夜)),0)*(1+_15・盲ろう)),0)*(1+_15・区４)),0)</f>
        <v>893</v>
      </c>
      <c r="X150" s="69"/>
    </row>
    <row r="151" spans="1:24" ht="16.5" customHeight="1" x14ac:dyDescent="0.3">
      <c r="A151" s="2">
        <v>15</v>
      </c>
      <c r="B151" s="2" t="s">
        <v>2971</v>
      </c>
      <c r="C151" s="60" t="s">
        <v>13410</v>
      </c>
      <c r="D151" s="233" t="s">
        <v>16331</v>
      </c>
      <c r="E151" s="62"/>
      <c r="F151" s="75"/>
      <c r="G151" s="61"/>
      <c r="H151" s="62"/>
      <c r="I151" s="63"/>
      <c r="J151" s="85"/>
      <c r="K151" s="64"/>
      <c r="L151" s="65"/>
      <c r="M151" s="99"/>
      <c r="N151" s="70"/>
      <c r="O151" s="61"/>
      <c r="P151" s="62"/>
      <c r="Q151" s="63"/>
      <c r="R151" s="75"/>
      <c r="S151" s="61"/>
      <c r="T151" s="62"/>
      <c r="U151" s="63"/>
      <c r="V151" s="75"/>
      <c r="W151" s="120">
        <f>ROUND((_15_同援日増３．５*(1+_15・A深夜)),0)</f>
        <v>662</v>
      </c>
      <c r="X151" s="69"/>
    </row>
    <row r="152" spans="1:24" ht="16.5" customHeight="1" x14ac:dyDescent="0.3">
      <c r="A152" s="2">
        <v>15</v>
      </c>
      <c r="B152" s="2" t="s">
        <v>2972</v>
      </c>
      <c r="C152" s="60" t="s">
        <v>13409</v>
      </c>
      <c r="D152" s="1" t="s">
        <v>17767</v>
      </c>
      <c r="E152" s="68"/>
      <c r="F152" s="70"/>
      <c r="G152" s="66"/>
      <c r="H152" s="57"/>
      <c r="I152" s="58"/>
      <c r="J152" s="83" t="s">
        <v>5895</v>
      </c>
      <c r="K152" s="64" t="s">
        <v>1</v>
      </c>
      <c r="L152" s="65">
        <v>1</v>
      </c>
      <c r="M152" s="99"/>
      <c r="N152" s="70"/>
      <c r="O152" s="67"/>
      <c r="P152" s="68"/>
      <c r="Q152" s="76"/>
      <c r="R152" s="70"/>
      <c r="S152" s="67"/>
      <c r="T152" s="68"/>
      <c r="U152" s="76"/>
      <c r="V152" s="70"/>
      <c r="W152" s="120">
        <f>ROUND((ROUND((_15_同援日増３．５*_15・２人),0)*(1+_15・A深夜)),0)</f>
        <v>662</v>
      </c>
      <c r="X152" s="69"/>
    </row>
    <row r="153" spans="1:24" ht="16.5" customHeight="1" x14ac:dyDescent="0.3">
      <c r="A153" s="2">
        <v>15</v>
      </c>
      <c r="B153" s="2" t="s">
        <v>2973</v>
      </c>
      <c r="C153" s="60" t="s">
        <v>13408</v>
      </c>
      <c r="D153" s="1" t="s">
        <v>8450</v>
      </c>
      <c r="E153" s="68"/>
      <c r="F153" s="70"/>
      <c r="G153" s="74" t="s">
        <v>17747</v>
      </c>
      <c r="H153" s="62"/>
      <c r="I153" s="63"/>
      <c r="J153" s="85"/>
      <c r="K153" s="64"/>
      <c r="L153" s="65"/>
      <c r="M153" s="99"/>
      <c r="N153" s="70"/>
      <c r="O153" s="67"/>
      <c r="P153" s="68"/>
      <c r="Q153" s="76"/>
      <c r="R153" s="70"/>
      <c r="S153" s="67"/>
      <c r="T153" s="68"/>
      <c r="U153" s="76"/>
      <c r="V153" s="70"/>
      <c r="W153" s="120">
        <f>ROUND((ROUND((_15_同援日増３．５*_15・基礎２),0)*(1+_15・A深夜)),0)</f>
        <v>596</v>
      </c>
      <c r="X153" s="69"/>
    </row>
    <row r="154" spans="1:24" ht="16.5" customHeight="1" x14ac:dyDescent="0.3">
      <c r="A154" s="2">
        <v>15</v>
      </c>
      <c r="B154" s="2" t="s">
        <v>2974</v>
      </c>
      <c r="C154" s="60" t="s">
        <v>13407</v>
      </c>
      <c r="D154" s="1"/>
      <c r="E154" s="119">
        <v>441</v>
      </c>
      <c r="F154" s="70" t="s">
        <v>0</v>
      </c>
      <c r="G154" s="106" t="s">
        <v>17420</v>
      </c>
      <c r="H154" s="57" t="s">
        <v>1</v>
      </c>
      <c r="I154" s="58">
        <v>0.9</v>
      </c>
      <c r="J154" s="83" t="s">
        <v>5895</v>
      </c>
      <c r="K154" s="64" t="s">
        <v>1</v>
      </c>
      <c r="L154" s="65">
        <v>1</v>
      </c>
      <c r="M154" s="99"/>
      <c r="N154" s="70"/>
      <c r="O154" s="66"/>
      <c r="P154" s="57"/>
      <c r="Q154" s="58"/>
      <c r="R154" s="77"/>
      <c r="S154" s="67"/>
      <c r="T154" s="68"/>
      <c r="U154" s="76"/>
      <c r="V154" s="70"/>
      <c r="W154" s="120">
        <f>ROUND((ROUND((ROUND((_15_同援日増３．５*_15・基礎２),0)*_15・２人),0)*(1+_15・A深夜)),0)</f>
        <v>596</v>
      </c>
      <c r="X154" s="69"/>
    </row>
    <row r="155" spans="1:24" ht="16.5" customHeight="1" x14ac:dyDescent="0.3">
      <c r="A155" s="2">
        <v>15</v>
      </c>
      <c r="B155" s="2" t="s">
        <v>2975</v>
      </c>
      <c r="C155" s="60" t="s">
        <v>13406</v>
      </c>
      <c r="D155" s="1"/>
      <c r="E155" s="68"/>
      <c r="F155" s="70"/>
      <c r="G155" s="61"/>
      <c r="H155" s="62"/>
      <c r="I155" s="63"/>
      <c r="J155" s="85"/>
      <c r="K155" s="64"/>
      <c r="L155" s="65"/>
      <c r="M155" s="99"/>
      <c r="N155" s="70"/>
      <c r="O155" s="74" t="s">
        <v>8085</v>
      </c>
      <c r="P155" s="62"/>
      <c r="Q155" s="63"/>
      <c r="R155" s="75"/>
      <c r="S155" s="67"/>
      <c r="T155" s="68"/>
      <c r="U155" s="76"/>
      <c r="V155" s="70"/>
      <c r="W155" s="120">
        <f>ROUND((ROUND((_15_同援日増３．５*(1+_15・A深夜)),0)*(1+_15・盲ろう)),0)</f>
        <v>828</v>
      </c>
      <c r="X155" s="69"/>
    </row>
    <row r="156" spans="1:24" ht="16.5" customHeight="1" x14ac:dyDescent="0.3">
      <c r="A156" s="2">
        <v>15</v>
      </c>
      <c r="B156" s="2" t="s">
        <v>2976</v>
      </c>
      <c r="C156" s="60" t="s">
        <v>13405</v>
      </c>
      <c r="D156" s="1"/>
      <c r="E156" s="68"/>
      <c r="F156" s="70"/>
      <c r="G156" s="66"/>
      <c r="H156" s="57"/>
      <c r="I156" s="58"/>
      <c r="J156" s="83" t="s">
        <v>5895</v>
      </c>
      <c r="K156" s="64" t="s">
        <v>1</v>
      </c>
      <c r="L156" s="65">
        <v>1</v>
      </c>
      <c r="M156" s="99"/>
      <c r="N156" s="70"/>
      <c r="O156" s="94" t="s">
        <v>17932</v>
      </c>
      <c r="P156" s="68"/>
      <c r="Q156" s="76"/>
      <c r="R156" s="70"/>
      <c r="S156" s="67"/>
      <c r="T156" s="68"/>
      <c r="U156" s="76"/>
      <c r="V156" s="70"/>
      <c r="W156" s="120">
        <f>ROUND((ROUND((ROUND((_15_同援日増３．５*_15・２人),0)*(1+_15・A深夜)),0)*(1+_15・盲ろう)),0)</f>
        <v>828</v>
      </c>
      <c r="X156" s="69"/>
    </row>
    <row r="157" spans="1:24" ht="16.5" customHeight="1" x14ac:dyDescent="0.3">
      <c r="A157" s="2">
        <v>15</v>
      </c>
      <c r="B157" s="2" t="s">
        <v>2977</v>
      </c>
      <c r="C157" s="60" t="s">
        <v>13404</v>
      </c>
      <c r="D157" s="1"/>
      <c r="E157" s="68"/>
      <c r="F157" s="70"/>
      <c r="G157" s="74" t="s">
        <v>17747</v>
      </c>
      <c r="H157" s="62"/>
      <c r="I157" s="63"/>
      <c r="J157" s="85"/>
      <c r="K157" s="64"/>
      <c r="L157" s="65"/>
      <c r="M157" s="99"/>
      <c r="N157" s="70"/>
      <c r="O157" s="67"/>
      <c r="P157" s="68" t="s">
        <v>1</v>
      </c>
      <c r="Q157" s="76">
        <v>0.25</v>
      </c>
      <c r="R157" s="70" t="s">
        <v>422</v>
      </c>
      <c r="S157" s="67"/>
      <c r="T157" s="68"/>
      <c r="U157" s="76"/>
      <c r="V157" s="70"/>
      <c r="W157" s="120">
        <f>ROUND((ROUND((ROUND((_15_同援日増３．５*_15・基礎２),0)*(1+_15・A深夜)),0)*(1+_15・盲ろう)),0)</f>
        <v>745</v>
      </c>
      <c r="X157" s="69"/>
    </row>
    <row r="158" spans="1:24" ht="16.5" customHeight="1" x14ac:dyDescent="0.3">
      <c r="A158" s="2">
        <v>15</v>
      </c>
      <c r="B158" s="2" t="s">
        <v>2978</v>
      </c>
      <c r="C158" s="60" t="s">
        <v>13403</v>
      </c>
      <c r="D158" s="1"/>
      <c r="E158" s="68"/>
      <c r="F158" s="70"/>
      <c r="G158" s="106" t="s">
        <v>5896</v>
      </c>
      <c r="H158" s="57" t="s">
        <v>1</v>
      </c>
      <c r="I158" s="58">
        <v>0.9</v>
      </c>
      <c r="J158" s="83" t="s">
        <v>5895</v>
      </c>
      <c r="K158" s="64" t="s">
        <v>1</v>
      </c>
      <c r="L158" s="65">
        <v>1</v>
      </c>
      <c r="M158" s="99"/>
      <c r="N158" s="70"/>
      <c r="O158" s="66"/>
      <c r="P158" s="57"/>
      <c r="Q158" s="58"/>
      <c r="R158" s="77"/>
      <c r="S158" s="66"/>
      <c r="T158" s="57"/>
      <c r="U158" s="58"/>
      <c r="V158" s="77"/>
      <c r="W158" s="120">
        <f>ROUND((ROUND((ROUND((ROUND((_15_同援日増３．５*_15・基礎２),0)*_15・２人),0)*(1+_15・A深夜)),0)*(1+_15・盲ろう)),0)</f>
        <v>745</v>
      </c>
      <c r="X158" s="69"/>
    </row>
    <row r="159" spans="1:24" ht="16.5" customHeight="1" x14ac:dyDescent="0.3">
      <c r="A159" s="2">
        <v>15</v>
      </c>
      <c r="B159" s="2" t="s">
        <v>2979</v>
      </c>
      <c r="C159" s="60" t="s">
        <v>13402</v>
      </c>
      <c r="D159" s="1"/>
      <c r="E159" s="68"/>
      <c r="F159" s="70"/>
      <c r="G159" s="61"/>
      <c r="H159" s="62"/>
      <c r="I159" s="63"/>
      <c r="J159" s="85"/>
      <c r="K159" s="64"/>
      <c r="L159" s="65"/>
      <c r="M159" s="99"/>
      <c r="N159" s="70"/>
      <c r="O159" s="61"/>
      <c r="P159" s="62"/>
      <c r="Q159" s="63"/>
      <c r="R159" s="75"/>
      <c r="S159" s="61"/>
      <c r="T159" s="62"/>
      <c r="U159" s="63"/>
      <c r="V159" s="75"/>
      <c r="W159" s="120">
        <f>ROUND((ROUND((_15_同援日増３．５*(1+_15・A深夜)),0)*(1+_15・区３)),0)</f>
        <v>794</v>
      </c>
      <c r="X159" s="69"/>
    </row>
    <row r="160" spans="1:24" ht="16.5" customHeight="1" x14ac:dyDescent="0.3">
      <c r="A160" s="2">
        <v>15</v>
      </c>
      <c r="B160" s="2" t="s">
        <v>2980</v>
      </c>
      <c r="C160" s="60" t="s">
        <v>13401</v>
      </c>
      <c r="D160" s="1"/>
      <c r="E160" s="68"/>
      <c r="F160" s="70"/>
      <c r="G160" s="66"/>
      <c r="H160" s="57"/>
      <c r="I160" s="58"/>
      <c r="J160" s="83" t="s">
        <v>5895</v>
      </c>
      <c r="K160" s="64" t="s">
        <v>1</v>
      </c>
      <c r="L160" s="65">
        <v>1</v>
      </c>
      <c r="M160" s="99"/>
      <c r="N160" s="70"/>
      <c r="O160" s="67"/>
      <c r="P160" s="68"/>
      <c r="Q160" s="76"/>
      <c r="R160" s="70"/>
      <c r="S160" s="67"/>
      <c r="T160" s="68"/>
      <c r="U160" s="76"/>
      <c r="V160" s="70"/>
      <c r="W160" s="120">
        <f>ROUND((ROUND((ROUND((_15_同援日増３．５*_15・２人),0)*(1+_15・A深夜)),0)*(1+_15・区３)),0)</f>
        <v>794</v>
      </c>
      <c r="X160" s="69"/>
    </row>
    <row r="161" spans="1:24" ht="16.5" customHeight="1" x14ac:dyDescent="0.3">
      <c r="A161" s="2">
        <v>15</v>
      </c>
      <c r="B161" s="2" t="s">
        <v>2981</v>
      </c>
      <c r="C161" s="60" t="s">
        <v>13400</v>
      </c>
      <c r="D161" s="1"/>
      <c r="E161" s="68"/>
      <c r="F161" s="70"/>
      <c r="G161" s="74" t="s">
        <v>17747</v>
      </c>
      <c r="H161" s="62"/>
      <c r="I161" s="63"/>
      <c r="J161" s="85"/>
      <c r="K161" s="64"/>
      <c r="L161" s="65"/>
      <c r="M161" s="99"/>
      <c r="N161" s="70"/>
      <c r="O161" s="67"/>
      <c r="P161" s="68"/>
      <c r="Q161" s="76"/>
      <c r="R161" s="70"/>
      <c r="S161" s="1" t="s">
        <v>17936</v>
      </c>
      <c r="T161" s="68"/>
      <c r="U161" s="76"/>
      <c r="V161" s="70"/>
      <c r="W161" s="120">
        <f>ROUND((ROUND((ROUND((_15_同援日増３．５*_15・基礎２),0)*(1+_15・A深夜)),0)*(1+_15・区３)),0)</f>
        <v>715</v>
      </c>
      <c r="X161" s="69"/>
    </row>
    <row r="162" spans="1:24" ht="16.5" customHeight="1" x14ac:dyDescent="0.3">
      <c r="A162" s="2">
        <v>15</v>
      </c>
      <c r="B162" s="2" t="s">
        <v>2982</v>
      </c>
      <c r="C162" s="60" t="s">
        <v>13399</v>
      </c>
      <c r="D162" s="1"/>
      <c r="E162" s="68"/>
      <c r="F162" s="70"/>
      <c r="G162" s="106" t="s">
        <v>17420</v>
      </c>
      <c r="H162" s="57" t="s">
        <v>1</v>
      </c>
      <c r="I162" s="58">
        <v>0.9</v>
      </c>
      <c r="J162" s="83" t="s">
        <v>5895</v>
      </c>
      <c r="K162" s="64" t="s">
        <v>1</v>
      </c>
      <c r="L162" s="65">
        <v>1</v>
      </c>
      <c r="M162" s="99"/>
      <c r="N162" s="70"/>
      <c r="O162" s="66"/>
      <c r="P162" s="57"/>
      <c r="Q162" s="58"/>
      <c r="R162" s="77"/>
      <c r="S162" s="1" t="s">
        <v>17934</v>
      </c>
      <c r="T162" s="68"/>
      <c r="U162" s="76"/>
      <c r="V162" s="70"/>
      <c r="W162" s="120">
        <f>ROUND((ROUND((ROUND((ROUND((_15_同援日増３．５*_15・基礎２),0)*_15・２人),0)*(1+_15・A深夜)),0)*(1+_15・区３)),0)</f>
        <v>715</v>
      </c>
      <c r="X162" s="69"/>
    </row>
    <row r="163" spans="1:24" ht="16.5" customHeight="1" x14ac:dyDescent="0.3">
      <c r="A163" s="2">
        <v>15</v>
      </c>
      <c r="B163" s="2" t="s">
        <v>2983</v>
      </c>
      <c r="C163" s="60" t="s">
        <v>13398</v>
      </c>
      <c r="D163" s="1"/>
      <c r="E163" s="68"/>
      <c r="F163" s="70"/>
      <c r="G163" s="61"/>
      <c r="H163" s="62"/>
      <c r="I163" s="63"/>
      <c r="J163" s="85"/>
      <c r="K163" s="64"/>
      <c r="L163" s="65"/>
      <c r="M163" s="99"/>
      <c r="N163" s="70"/>
      <c r="O163" s="74" t="s">
        <v>17933</v>
      </c>
      <c r="P163" s="62"/>
      <c r="Q163" s="63"/>
      <c r="R163" s="75"/>
      <c r="S163" s="67"/>
      <c r="T163" s="68" t="s">
        <v>1</v>
      </c>
      <c r="U163" s="76">
        <v>0.2</v>
      </c>
      <c r="V163" s="70" t="s">
        <v>422</v>
      </c>
      <c r="W163" s="120">
        <f>ROUND((ROUND((ROUND((_15_同援日増３．５*(1+_15・A深夜)),0)*(1+_15・盲ろう)),0)*(1+_15・区３)),0)</f>
        <v>994</v>
      </c>
      <c r="X163" s="69"/>
    </row>
    <row r="164" spans="1:24" ht="16.5" customHeight="1" x14ac:dyDescent="0.3">
      <c r="A164" s="2">
        <v>15</v>
      </c>
      <c r="B164" s="2" t="s">
        <v>2984</v>
      </c>
      <c r="C164" s="60" t="s">
        <v>13397</v>
      </c>
      <c r="D164" s="1"/>
      <c r="E164" s="68"/>
      <c r="F164" s="70"/>
      <c r="G164" s="66"/>
      <c r="H164" s="57"/>
      <c r="I164" s="58"/>
      <c r="J164" s="83" t="s">
        <v>5895</v>
      </c>
      <c r="K164" s="64" t="s">
        <v>1</v>
      </c>
      <c r="L164" s="65">
        <v>1</v>
      </c>
      <c r="M164" s="99"/>
      <c r="N164" s="70"/>
      <c r="O164" s="94" t="s">
        <v>8083</v>
      </c>
      <c r="P164" s="68"/>
      <c r="Q164" s="76"/>
      <c r="R164" s="70"/>
      <c r="S164" s="67"/>
      <c r="T164" s="68"/>
      <c r="U164" s="76"/>
      <c r="V164" s="70"/>
      <c r="W164" s="120">
        <f>ROUND((ROUND((ROUND((ROUND((_15_同援日増３．５*_15・２人),0)*(1+_15・A深夜)),0)*(1+_15・盲ろう)),0)*(1+_15・区３)),0)</f>
        <v>994</v>
      </c>
      <c r="X164" s="69"/>
    </row>
    <row r="165" spans="1:24" ht="16.5" customHeight="1" x14ac:dyDescent="0.3">
      <c r="A165" s="2">
        <v>15</v>
      </c>
      <c r="B165" s="2" t="s">
        <v>2985</v>
      </c>
      <c r="C165" s="60" t="s">
        <v>13396</v>
      </c>
      <c r="D165" s="1"/>
      <c r="E165" s="68"/>
      <c r="F165" s="70"/>
      <c r="G165" s="74" t="s">
        <v>5898</v>
      </c>
      <c r="H165" s="62"/>
      <c r="I165" s="63"/>
      <c r="J165" s="85"/>
      <c r="K165" s="64"/>
      <c r="L165" s="65"/>
      <c r="M165" s="99"/>
      <c r="N165" s="70"/>
      <c r="O165" s="67"/>
      <c r="P165" s="68" t="s">
        <v>1</v>
      </c>
      <c r="Q165" s="76">
        <v>0.25</v>
      </c>
      <c r="R165" s="70" t="s">
        <v>422</v>
      </c>
      <c r="S165" s="67"/>
      <c r="T165" s="68"/>
      <c r="U165" s="76"/>
      <c r="V165" s="70"/>
      <c r="W165" s="120">
        <f>ROUND((ROUND((ROUND((ROUND((_15_同援日増３．５*_15・基礎２),0)*(1+_15・A深夜)),0)*(1+_15・盲ろう)),0)*(1+_15・区３)),0)</f>
        <v>894</v>
      </c>
      <c r="X165" s="69"/>
    </row>
    <row r="166" spans="1:24" ht="16.5" customHeight="1" x14ac:dyDescent="0.3">
      <c r="A166" s="2">
        <v>15</v>
      </c>
      <c r="B166" s="2" t="s">
        <v>2986</v>
      </c>
      <c r="C166" s="60" t="s">
        <v>13395</v>
      </c>
      <c r="D166" s="1"/>
      <c r="E166" s="68"/>
      <c r="F166" s="70"/>
      <c r="G166" s="106" t="s">
        <v>17420</v>
      </c>
      <c r="H166" s="57" t="s">
        <v>1</v>
      </c>
      <c r="I166" s="58">
        <v>0.9</v>
      </c>
      <c r="J166" s="83" t="s">
        <v>5895</v>
      </c>
      <c r="K166" s="64" t="s">
        <v>1</v>
      </c>
      <c r="L166" s="65">
        <v>1</v>
      </c>
      <c r="M166" s="99"/>
      <c r="N166" s="70"/>
      <c r="O166" s="66"/>
      <c r="P166" s="57"/>
      <c r="Q166" s="58"/>
      <c r="R166" s="77"/>
      <c r="S166" s="66"/>
      <c r="T166" s="57"/>
      <c r="U166" s="58"/>
      <c r="V166" s="77"/>
      <c r="W166" s="120">
        <f>ROUND((ROUND((ROUND((ROUND((ROUND((_15_同援日増３．５*_15・基礎２),0)*_15・２人),0)*(1+_15・A深夜)),0)*(1+_15・盲ろう)),0)*(1+_15・区３)),0)</f>
        <v>894</v>
      </c>
      <c r="X166" s="69"/>
    </row>
    <row r="167" spans="1:24" ht="16.5" customHeight="1" x14ac:dyDescent="0.3">
      <c r="A167" s="2">
        <v>15</v>
      </c>
      <c r="B167" s="2" t="s">
        <v>2987</v>
      </c>
      <c r="C167" s="60" t="s">
        <v>13394</v>
      </c>
      <c r="D167" s="1"/>
      <c r="E167" s="68"/>
      <c r="F167" s="70"/>
      <c r="G167" s="61"/>
      <c r="H167" s="62"/>
      <c r="I167" s="63"/>
      <c r="J167" s="85"/>
      <c r="K167" s="64"/>
      <c r="L167" s="65"/>
      <c r="M167" s="99"/>
      <c r="N167" s="70"/>
      <c r="O167" s="61"/>
      <c r="P167" s="62"/>
      <c r="Q167" s="63"/>
      <c r="R167" s="75"/>
      <c r="S167" s="61"/>
      <c r="T167" s="62"/>
      <c r="U167" s="63"/>
      <c r="V167" s="75"/>
      <c r="W167" s="120">
        <f>ROUND((ROUND((_15_同援日増３．５*(1+_15・A深夜)),0)*(1+_15・区４)),0)</f>
        <v>927</v>
      </c>
      <c r="X167" s="69"/>
    </row>
    <row r="168" spans="1:24" ht="16.5" customHeight="1" x14ac:dyDescent="0.3">
      <c r="A168" s="2">
        <v>15</v>
      </c>
      <c r="B168" s="2" t="s">
        <v>2988</v>
      </c>
      <c r="C168" s="60" t="s">
        <v>13393</v>
      </c>
      <c r="D168" s="1"/>
      <c r="E168" s="68"/>
      <c r="F168" s="70"/>
      <c r="G168" s="66"/>
      <c r="H168" s="57"/>
      <c r="I168" s="58"/>
      <c r="J168" s="83" t="s">
        <v>5895</v>
      </c>
      <c r="K168" s="64" t="s">
        <v>1</v>
      </c>
      <c r="L168" s="65">
        <v>1</v>
      </c>
      <c r="M168" s="99"/>
      <c r="N168" s="70"/>
      <c r="O168" s="67"/>
      <c r="P168" s="68"/>
      <c r="Q168" s="76"/>
      <c r="R168" s="70"/>
      <c r="S168" s="67"/>
      <c r="T168" s="68"/>
      <c r="U168" s="76"/>
      <c r="V168" s="70"/>
      <c r="W168" s="120">
        <f>ROUND((ROUND((ROUND((_15_同援日増３．５*_15・２人),0)*(1+_15・A深夜)),0)*(1+_15・区４)),0)</f>
        <v>927</v>
      </c>
      <c r="X168" s="69"/>
    </row>
    <row r="169" spans="1:24" ht="16.5" customHeight="1" x14ac:dyDescent="0.3">
      <c r="A169" s="2">
        <v>15</v>
      </c>
      <c r="B169" s="2" t="s">
        <v>2989</v>
      </c>
      <c r="C169" s="60" t="s">
        <v>13392</v>
      </c>
      <c r="D169" s="1"/>
      <c r="E169" s="68"/>
      <c r="F169" s="70"/>
      <c r="G169" s="74" t="s">
        <v>17747</v>
      </c>
      <c r="H169" s="62"/>
      <c r="I169" s="63"/>
      <c r="J169" s="85"/>
      <c r="K169" s="64"/>
      <c r="L169" s="65"/>
      <c r="M169" s="99"/>
      <c r="N169" s="70"/>
      <c r="O169" s="67"/>
      <c r="P169" s="68"/>
      <c r="Q169" s="76"/>
      <c r="R169" s="70"/>
      <c r="S169" s="1" t="s">
        <v>17935</v>
      </c>
      <c r="T169" s="68"/>
      <c r="U169" s="76"/>
      <c r="V169" s="70"/>
      <c r="W169" s="120">
        <f>ROUND((ROUND((ROUND((_15_同援日増３．５*_15・基礎２),0)*(1+_15・A深夜)),0)*(1+_15・区４)),0)</f>
        <v>834</v>
      </c>
      <c r="X169" s="69"/>
    </row>
    <row r="170" spans="1:24" ht="16.5" customHeight="1" x14ac:dyDescent="0.3">
      <c r="A170" s="2">
        <v>15</v>
      </c>
      <c r="B170" s="2" t="s">
        <v>2990</v>
      </c>
      <c r="C170" s="60" t="s">
        <v>13391</v>
      </c>
      <c r="D170" s="1"/>
      <c r="E170" s="68"/>
      <c r="F170" s="70"/>
      <c r="G170" s="106" t="s">
        <v>17420</v>
      </c>
      <c r="H170" s="57" t="s">
        <v>1</v>
      </c>
      <c r="I170" s="58">
        <v>0.9</v>
      </c>
      <c r="J170" s="83" t="s">
        <v>5895</v>
      </c>
      <c r="K170" s="64" t="s">
        <v>1</v>
      </c>
      <c r="L170" s="65">
        <v>1</v>
      </c>
      <c r="M170" s="99"/>
      <c r="N170" s="70"/>
      <c r="O170" s="66"/>
      <c r="P170" s="57"/>
      <c r="Q170" s="58"/>
      <c r="R170" s="77"/>
      <c r="S170" s="1" t="s">
        <v>8087</v>
      </c>
      <c r="T170" s="68"/>
      <c r="U170" s="76"/>
      <c r="V170" s="70"/>
      <c r="W170" s="120">
        <f>ROUND((ROUND((ROUND((ROUND((_15_同援日増３．５*_15・基礎２),0)*_15・２人),0)*(1+_15・A深夜)),0)*(1+_15・区４)),0)</f>
        <v>834</v>
      </c>
      <c r="X170" s="69"/>
    </row>
    <row r="171" spans="1:24" ht="16.5" customHeight="1" x14ac:dyDescent="0.3">
      <c r="A171" s="2">
        <v>15</v>
      </c>
      <c r="B171" s="2" t="s">
        <v>2991</v>
      </c>
      <c r="C171" s="60" t="s">
        <v>13390</v>
      </c>
      <c r="D171" s="1"/>
      <c r="E171" s="68"/>
      <c r="F171" s="70"/>
      <c r="G171" s="61"/>
      <c r="H171" s="62"/>
      <c r="I171" s="63"/>
      <c r="J171" s="85"/>
      <c r="K171" s="64"/>
      <c r="L171" s="65"/>
      <c r="M171" s="99"/>
      <c r="N171" s="70"/>
      <c r="O171" s="74" t="s">
        <v>17933</v>
      </c>
      <c r="P171" s="62"/>
      <c r="Q171" s="63"/>
      <c r="R171" s="75"/>
      <c r="S171" s="67"/>
      <c r="T171" s="68" t="s">
        <v>1</v>
      </c>
      <c r="U171" s="76">
        <v>0.4</v>
      </c>
      <c r="V171" s="70" t="s">
        <v>422</v>
      </c>
      <c r="W171" s="120">
        <f>ROUND((ROUND((ROUND((_15_同援日増３．５*(1+_15・A深夜)),0)*(1+_15・盲ろう)),0)*(1+_15・区４)),0)</f>
        <v>1159</v>
      </c>
      <c r="X171" s="69"/>
    </row>
    <row r="172" spans="1:24" ht="16.5" customHeight="1" x14ac:dyDescent="0.3">
      <c r="A172" s="2">
        <v>15</v>
      </c>
      <c r="B172" s="2" t="s">
        <v>2992</v>
      </c>
      <c r="C172" s="60" t="s">
        <v>13389</v>
      </c>
      <c r="D172" s="1"/>
      <c r="E172" s="68"/>
      <c r="F172" s="70"/>
      <c r="G172" s="66"/>
      <c r="H172" s="57"/>
      <c r="I172" s="58"/>
      <c r="J172" s="83" t="s">
        <v>5895</v>
      </c>
      <c r="K172" s="64" t="s">
        <v>1</v>
      </c>
      <c r="L172" s="65">
        <v>1</v>
      </c>
      <c r="M172" s="99"/>
      <c r="N172" s="70"/>
      <c r="O172" s="94" t="s">
        <v>17932</v>
      </c>
      <c r="P172" s="68"/>
      <c r="Q172" s="76"/>
      <c r="R172" s="70"/>
      <c r="S172" s="67"/>
      <c r="T172" s="68"/>
      <c r="U172" s="76"/>
      <c r="V172" s="70"/>
      <c r="W172" s="120">
        <f>ROUND((ROUND((ROUND((ROUND((_15_同援日増３．５*_15・２人),0)*(1+_15・A深夜)),0)*(1+_15・盲ろう)),0)*(1+_15・区４)),0)</f>
        <v>1159</v>
      </c>
      <c r="X172" s="69"/>
    </row>
    <row r="173" spans="1:24" ht="16.5" customHeight="1" x14ac:dyDescent="0.3">
      <c r="A173" s="2">
        <v>15</v>
      </c>
      <c r="B173" s="2" t="s">
        <v>2993</v>
      </c>
      <c r="C173" s="60" t="s">
        <v>13388</v>
      </c>
      <c r="D173" s="1"/>
      <c r="E173" s="68"/>
      <c r="F173" s="70"/>
      <c r="G173" s="74" t="s">
        <v>5898</v>
      </c>
      <c r="H173" s="62"/>
      <c r="I173" s="63"/>
      <c r="J173" s="85"/>
      <c r="K173" s="64"/>
      <c r="L173" s="65"/>
      <c r="M173" s="99"/>
      <c r="N173" s="70"/>
      <c r="O173" s="67"/>
      <c r="P173" s="68" t="s">
        <v>1</v>
      </c>
      <c r="Q173" s="76">
        <v>0.25</v>
      </c>
      <c r="R173" s="70" t="s">
        <v>422</v>
      </c>
      <c r="S173" s="67"/>
      <c r="T173" s="68"/>
      <c r="U173" s="76"/>
      <c r="V173" s="70"/>
      <c r="W173" s="120">
        <f>ROUND((ROUND((ROUND((ROUND((_15_同援日増３．５*_15・基礎２),0)*(1+_15・A深夜)),0)*(1+_15・盲ろう)),0)*(1+_15・区４)),0)</f>
        <v>1043</v>
      </c>
      <c r="X173" s="69"/>
    </row>
    <row r="174" spans="1:24" ht="16.5" customHeight="1" x14ac:dyDescent="0.3">
      <c r="A174" s="2">
        <v>15</v>
      </c>
      <c r="B174" s="2" t="s">
        <v>2994</v>
      </c>
      <c r="C174" s="60" t="s">
        <v>13387</v>
      </c>
      <c r="D174" s="81"/>
      <c r="E174" s="57"/>
      <c r="F174" s="77"/>
      <c r="G174" s="106" t="s">
        <v>17420</v>
      </c>
      <c r="H174" s="57" t="s">
        <v>1</v>
      </c>
      <c r="I174" s="58">
        <v>0.9</v>
      </c>
      <c r="J174" s="83" t="s">
        <v>5895</v>
      </c>
      <c r="K174" s="64" t="s">
        <v>1</v>
      </c>
      <c r="L174" s="65">
        <v>1</v>
      </c>
      <c r="M174" s="99"/>
      <c r="N174" s="70"/>
      <c r="O174" s="66"/>
      <c r="P174" s="57"/>
      <c r="Q174" s="58"/>
      <c r="R174" s="77"/>
      <c r="S174" s="66"/>
      <c r="T174" s="57"/>
      <c r="U174" s="58"/>
      <c r="V174" s="77"/>
      <c r="W174" s="120">
        <f>ROUND((ROUND((ROUND((ROUND((ROUND((_15_同援日増３．５*_15・基礎２),0)*_15・２人),0)*(1+_15・A深夜)),0)*(1+_15・盲ろう)),0)*(1+_15・区４)),0)</f>
        <v>1043</v>
      </c>
      <c r="X174" s="69"/>
    </row>
    <row r="175" spans="1:24" ht="16.5" customHeight="1" x14ac:dyDescent="0.3">
      <c r="A175" s="2">
        <v>15</v>
      </c>
      <c r="B175" s="2" t="s">
        <v>2995</v>
      </c>
      <c r="C175" s="60" t="s">
        <v>13386</v>
      </c>
      <c r="D175" s="233" t="s">
        <v>18204</v>
      </c>
      <c r="E175" s="62"/>
      <c r="F175" s="75"/>
      <c r="G175" s="61"/>
      <c r="H175" s="62"/>
      <c r="I175" s="63"/>
      <c r="J175" s="85"/>
      <c r="K175" s="64"/>
      <c r="L175" s="65"/>
      <c r="M175" s="99"/>
      <c r="N175" s="70"/>
      <c r="O175" s="61"/>
      <c r="P175" s="62"/>
      <c r="Q175" s="63"/>
      <c r="R175" s="75"/>
      <c r="S175" s="61"/>
      <c r="T175" s="62"/>
      <c r="U175" s="63"/>
      <c r="V175" s="75"/>
      <c r="W175" s="120">
        <f>ROUND((_15_同援日増４．０*(1+_15・A深夜)),0)</f>
        <v>756</v>
      </c>
      <c r="X175" s="69"/>
    </row>
    <row r="176" spans="1:24" ht="16.5" customHeight="1" x14ac:dyDescent="0.3">
      <c r="A176" s="2">
        <v>15</v>
      </c>
      <c r="B176" s="2" t="s">
        <v>2996</v>
      </c>
      <c r="C176" s="60" t="s">
        <v>13385</v>
      </c>
      <c r="D176" s="1" t="s">
        <v>5961</v>
      </c>
      <c r="E176" s="68"/>
      <c r="F176" s="70"/>
      <c r="G176" s="66"/>
      <c r="H176" s="57"/>
      <c r="I176" s="58"/>
      <c r="J176" s="83" t="s">
        <v>5895</v>
      </c>
      <c r="K176" s="64" t="s">
        <v>1</v>
      </c>
      <c r="L176" s="65">
        <v>1</v>
      </c>
      <c r="M176" s="99"/>
      <c r="N176" s="70"/>
      <c r="O176" s="67"/>
      <c r="P176" s="68"/>
      <c r="Q176" s="76"/>
      <c r="R176" s="70"/>
      <c r="S176" s="67"/>
      <c r="T176" s="68"/>
      <c r="U176" s="76"/>
      <c r="V176" s="70"/>
      <c r="W176" s="120">
        <f>ROUND((ROUND((_15_同援日増４．０*_15・２人),0)*(1+_15・A深夜)),0)</f>
        <v>756</v>
      </c>
      <c r="X176" s="69"/>
    </row>
    <row r="177" spans="1:24" ht="16.5" customHeight="1" x14ac:dyDescent="0.3">
      <c r="A177" s="2">
        <v>15</v>
      </c>
      <c r="B177" s="2" t="s">
        <v>2997</v>
      </c>
      <c r="C177" s="60" t="s">
        <v>13384</v>
      </c>
      <c r="D177" s="1" t="s">
        <v>8425</v>
      </c>
      <c r="E177" s="68"/>
      <c r="F177" s="70"/>
      <c r="G177" s="74" t="s">
        <v>17747</v>
      </c>
      <c r="H177" s="62"/>
      <c r="I177" s="63"/>
      <c r="J177" s="85"/>
      <c r="K177" s="64"/>
      <c r="L177" s="65"/>
      <c r="M177" s="99"/>
      <c r="N177" s="70"/>
      <c r="O177" s="67"/>
      <c r="P177" s="68"/>
      <c r="Q177" s="76"/>
      <c r="R177" s="70"/>
      <c r="S177" s="67"/>
      <c r="T177" s="68"/>
      <c r="U177" s="76"/>
      <c r="V177" s="70"/>
      <c r="W177" s="120">
        <f>ROUND((ROUND((_15_同援日増４．０*_15・基礎２),0)*(1+_15・A深夜)),0)</f>
        <v>681</v>
      </c>
      <c r="X177" s="69"/>
    </row>
    <row r="178" spans="1:24" ht="16.5" customHeight="1" x14ac:dyDescent="0.3">
      <c r="A178" s="2">
        <v>15</v>
      </c>
      <c r="B178" s="2" t="s">
        <v>2998</v>
      </c>
      <c r="C178" s="60" t="s">
        <v>13383</v>
      </c>
      <c r="D178" s="1"/>
      <c r="E178" s="119">
        <v>504</v>
      </c>
      <c r="F178" s="70" t="s">
        <v>0</v>
      </c>
      <c r="G178" s="106" t="s">
        <v>17420</v>
      </c>
      <c r="H178" s="57" t="s">
        <v>1</v>
      </c>
      <c r="I178" s="58">
        <v>0.9</v>
      </c>
      <c r="J178" s="83" t="s">
        <v>5895</v>
      </c>
      <c r="K178" s="64" t="s">
        <v>1</v>
      </c>
      <c r="L178" s="65">
        <v>1</v>
      </c>
      <c r="M178" s="99"/>
      <c r="N178" s="70"/>
      <c r="O178" s="66"/>
      <c r="P178" s="57"/>
      <c r="Q178" s="58"/>
      <c r="R178" s="77"/>
      <c r="S178" s="67"/>
      <c r="T178" s="68"/>
      <c r="U178" s="76"/>
      <c r="V178" s="70"/>
      <c r="W178" s="120">
        <f>ROUND((ROUND((ROUND((_15_同援日増４．０*_15・基礎２),0)*_15・２人),0)*(1+_15・A深夜)),0)</f>
        <v>681</v>
      </c>
      <c r="X178" s="69"/>
    </row>
    <row r="179" spans="1:24" ht="16.5" customHeight="1" x14ac:dyDescent="0.3">
      <c r="A179" s="2">
        <v>15</v>
      </c>
      <c r="B179" s="2" t="s">
        <v>2999</v>
      </c>
      <c r="C179" s="60" t="s">
        <v>13382</v>
      </c>
      <c r="D179" s="1"/>
      <c r="E179" s="68"/>
      <c r="F179" s="70"/>
      <c r="G179" s="61"/>
      <c r="H179" s="62"/>
      <c r="I179" s="63"/>
      <c r="J179" s="85"/>
      <c r="K179" s="64"/>
      <c r="L179" s="65"/>
      <c r="M179" s="99"/>
      <c r="N179" s="70"/>
      <c r="O179" s="74" t="s">
        <v>17933</v>
      </c>
      <c r="P179" s="62"/>
      <c r="Q179" s="63"/>
      <c r="R179" s="75"/>
      <c r="S179" s="67"/>
      <c r="T179" s="68"/>
      <c r="U179" s="76"/>
      <c r="V179" s="70"/>
      <c r="W179" s="120">
        <f>ROUND((ROUND((_15_同援日増４．０*(1+_15・A深夜)),0)*(1+_15・盲ろう)),0)</f>
        <v>945</v>
      </c>
      <c r="X179" s="69"/>
    </row>
    <row r="180" spans="1:24" ht="16.5" customHeight="1" x14ac:dyDescent="0.3">
      <c r="A180" s="2">
        <v>15</v>
      </c>
      <c r="B180" s="2" t="s">
        <v>3000</v>
      </c>
      <c r="C180" s="60" t="s">
        <v>13381</v>
      </c>
      <c r="D180" s="1"/>
      <c r="E180" s="68"/>
      <c r="F180" s="70"/>
      <c r="G180" s="66"/>
      <c r="H180" s="57"/>
      <c r="I180" s="58"/>
      <c r="J180" s="83" t="s">
        <v>5895</v>
      </c>
      <c r="K180" s="64" t="s">
        <v>1</v>
      </c>
      <c r="L180" s="65">
        <v>1</v>
      </c>
      <c r="M180" s="99"/>
      <c r="N180" s="70"/>
      <c r="O180" s="94" t="s">
        <v>8083</v>
      </c>
      <c r="P180" s="68"/>
      <c r="Q180" s="76"/>
      <c r="R180" s="70"/>
      <c r="S180" s="67"/>
      <c r="T180" s="68"/>
      <c r="U180" s="76"/>
      <c r="V180" s="70"/>
      <c r="W180" s="120">
        <f>ROUND((ROUND((ROUND((_15_同援日増４．０*_15・２人),0)*(1+_15・A深夜)),0)*(1+_15・盲ろう)),0)</f>
        <v>945</v>
      </c>
      <c r="X180" s="69"/>
    </row>
    <row r="181" spans="1:24" ht="16.5" customHeight="1" x14ac:dyDescent="0.3">
      <c r="A181" s="2">
        <v>15</v>
      </c>
      <c r="B181" s="2" t="s">
        <v>3001</v>
      </c>
      <c r="C181" s="60" t="s">
        <v>13380</v>
      </c>
      <c r="D181" s="1"/>
      <c r="E181" s="68"/>
      <c r="F181" s="70"/>
      <c r="G181" s="74" t="s">
        <v>5898</v>
      </c>
      <c r="H181" s="62"/>
      <c r="I181" s="63"/>
      <c r="J181" s="85"/>
      <c r="K181" s="64"/>
      <c r="L181" s="65"/>
      <c r="M181" s="99"/>
      <c r="N181" s="70"/>
      <c r="O181" s="67"/>
      <c r="P181" s="68" t="s">
        <v>1</v>
      </c>
      <c r="Q181" s="76">
        <v>0.25</v>
      </c>
      <c r="R181" s="70" t="s">
        <v>422</v>
      </c>
      <c r="S181" s="67"/>
      <c r="T181" s="68"/>
      <c r="U181" s="76"/>
      <c r="V181" s="70"/>
      <c r="W181" s="120">
        <f>ROUND((ROUND((ROUND((_15_同援日増４．０*_15・基礎２),0)*(1+_15・A深夜)),0)*(1+_15・盲ろう)),0)</f>
        <v>851</v>
      </c>
      <c r="X181" s="69"/>
    </row>
    <row r="182" spans="1:24" ht="16.5" customHeight="1" x14ac:dyDescent="0.3">
      <c r="A182" s="2">
        <v>15</v>
      </c>
      <c r="B182" s="2" t="s">
        <v>3002</v>
      </c>
      <c r="C182" s="60" t="s">
        <v>13379</v>
      </c>
      <c r="D182" s="1"/>
      <c r="E182" s="68"/>
      <c r="F182" s="70"/>
      <c r="G182" s="106" t="s">
        <v>17420</v>
      </c>
      <c r="H182" s="57" t="s">
        <v>1</v>
      </c>
      <c r="I182" s="58">
        <v>0.9</v>
      </c>
      <c r="J182" s="83" t="s">
        <v>5895</v>
      </c>
      <c r="K182" s="64" t="s">
        <v>1</v>
      </c>
      <c r="L182" s="65">
        <v>1</v>
      </c>
      <c r="M182" s="99"/>
      <c r="N182" s="70"/>
      <c r="O182" s="66"/>
      <c r="P182" s="57"/>
      <c r="Q182" s="58"/>
      <c r="R182" s="77"/>
      <c r="S182" s="66"/>
      <c r="T182" s="57"/>
      <c r="U182" s="58"/>
      <c r="V182" s="77"/>
      <c r="W182" s="120">
        <f>ROUND((ROUND((ROUND((ROUND((_15_同援日増４．０*_15・基礎２),0)*_15・２人),0)*(1+_15・A深夜)),0)*(1+_15・盲ろう)),0)</f>
        <v>851</v>
      </c>
      <c r="X182" s="69"/>
    </row>
    <row r="183" spans="1:24" ht="16.5" customHeight="1" x14ac:dyDescent="0.3">
      <c r="A183" s="2">
        <v>15</v>
      </c>
      <c r="B183" s="2" t="s">
        <v>3003</v>
      </c>
      <c r="C183" s="60" t="s">
        <v>13378</v>
      </c>
      <c r="D183" s="1"/>
      <c r="E183" s="68"/>
      <c r="F183" s="70"/>
      <c r="G183" s="61"/>
      <c r="H183" s="62"/>
      <c r="I183" s="63"/>
      <c r="J183" s="85"/>
      <c r="K183" s="64"/>
      <c r="L183" s="65"/>
      <c r="M183" s="99"/>
      <c r="N183" s="70"/>
      <c r="O183" s="61"/>
      <c r="P183" s="62"/>
      <c r="Q183" s="63"/>
      <c r="R183" s="75"/>
      <c r="S183" s="61"/>
      <c r="T183" s="62"/>
      <c r="U183" s="63"/>
      <c r="V183" s="75"/>
      <c r="W183" s="120">
        <f>ROUND((ROUND((_15_同援日増４．０*(1+_15・A深夜)),0)*(1+_15・区３)),0)</f>
        <v>907</v>
      </c>
      <c r="X183" s="69"/>
    </row>
    <row r="184" spans="1:24" ht="16.5" customHeight="1" x14ac:dyDescent="0.3">
      <c r="A184" s="2">
        <v>15</v>
      </c>
      <c r="B184" s="2" t="s">
        <v>3004</v>
      </c>
      <c r="C184" s="60" t="s">
        <v>13377</v>
      </c>
      <c r="D184" s="1"/>
      <c r="E184" s="68"/>
      <c r="F184" s="70"/>
      <c r="G184" s="66"/>
      <c r="H184" s="57"/>
      <c r="I184" s="58"/>
      <c r="J184" s="83" t="s">
        <v>5895</v>
      </c>
      <c r="K184" s="64" t="s">
        <v>1</v>
      </c>
      <c r="L184" s="65">
        <v>1</v>
      </c>
      <c r="M184" s="99"/>
      <c r="N184" s="70"/>
      <c r="O184" s="67"/>
      <c r="P184" s="68"/>
      <c r="Q184" s="76"/>
      <c r="R184" s="70"/>
      <c r="S184" s="67"/>
      <c r="T184" s="68"/>
      <c r="U184" s="76"/>
      <c r="V184" s="70"/>
      <c r="W184" s="120">
        <f>ROUND((ROUND((ROUND((_15_同援日増４．０*_15・２人),0)*(1+_15・A深夜)),0)*(1+_15・区３)),0)</f>
        <v>907</v>
      </c>
      <c r="X184" s="69"/>
    </row>
    <row r="185" spans="1:24" ht="16.5" customHeight="1" x14ac:dyDescent="0.3">
      <c r="A185" s="2">
        <v>15</v>
      </c>
      <c r="B185" s="2" t="s">
        <v>3005</v>
      </c>
      <c r="C185" s="60" t="s">
        <v>13376</v>
      </c>
      <c r="D185" s="1"/>
      <c r="E185" s="68"/>
      <c r="F185" s="70"/>
      <c r="G185" s="74" t="s">
        <v>17747</v>
      </c>
      <c r="H185" s="62"/>
      <c r="I185" s="63"/>
      <c r="J185" s="85"/>
      <c r="K185" s="64"/>
      <c r="L185" s="65"/>
      <c r="M185" s="99"/>
      <c r="N185" s="70"/>
      <c r="O185" s="67"/>
      <c r="P185" s="68"/>
      <c r="Q185" s="76"/>
      <c r="R185" s="70"/>
      <c r="S185" s="1" t="s">
        <v>17936</v>
      </c>
      <c r="T185" s="68"/>
      <c r="U185" s="76"/>
      <c r="V185" s="70"/>
      <c r="W185" s="120">
        <f>ROUND((ROUND((ROUND((_15_同援日増４．０*_15・基礎２),0)*(1+_15・A深夜)),0)*(1+_15・区３)),0)</f>
        <v>817</v>
      </c>
      <c r="X185" s="69"/>
    </row>
    <row r="186" spans="1:24" ht="16.5" customHeight="1" x14ac:dyDescent="0.3">
      <c r="A186" s="2">
        <v>15</v>
      </c>
      <c r="B186" s="2" t="s">
        <v>3006</v>
      </c>
      <c r="C186" s="60" t="s">
        <v>13375</v>
      </c>
      <c r="D186" s="1"/>
      <c r="E186" s="68"/>
      <c r="F186" s="70"/>
      <c r="G186" s="106" t="s">
        <v>17420</v>
      </c>
      <c r="H186" s="57" t="s">
        <v>1</v>
      </c>
      <c r="I186" s="58">
        <v>0.9</v>
      </c>
      <c r="J186" s="83" t="s">
        <v>5895</v>
      </c>
      <c r="K186" s="64" t="s">
        <v>1</v>
      </c>
      <c r="L186" s="65">
        <v>1</v>
      </c>
      <c r="M186" s="99"/>
      <c r="N186" s="70"/>
      <c r="O186" s="66"/>
      <c r="P186" s="57"/>
      <c r="Q186" s="58"/>
      <c r="R186" s="77"/>
      <c r="S186" s="1" t="s">
        <v>17934</v>
      </c>
      <c r="T186" s="68"/>
      <c r="U186" s="76"/>
      <c r="V186" s="70"/>
      <c r="W186" s="120">
        <f>ROUND((ROUND((ROUND((ROUND((_15_同援日増４．０*_15・基礎２),0)*_15・２人),0)*(1+_15・A深夜)),0)*(1+_15・区３)),0)</f>
        <v>817</v>
      </c>
      <c r="X186" s="69"/>
    </row>
    <row r="187" spans="1:24" ht="16.5" customHeight="1" x14ac:dyDescent="0.3">
      <c r="A187" s="2">
        <v>15</v>
      </c>
      <c r="B187" s="2" t="s">
        <v>3007</v>
      </c>
      <c r="C187" s="60" t="s">
        <v>13374</v>
      </c>
      <c r="D187" s="1"/>
      <c r="E187" s="68"/>
      <c r="F187" s="70"/>
      <c r="G187" s="61"/>
      <c r="H187" s="62"/>
      <c r="I187" s="63"/>
      <c r="J187" s="85"/>
      <c r="K187" s="64"/>
      <c r="L187" s="65"/>
      <c r="M187" s="99"/>
      <c r="N187" s="70"/>
      <c r="O187" s="74" t="s">
        <v>17933</v>
      </c>
      <c r="P187" s="62"/>
      <c r="Q187" s="63"/>
      <c r="R187" s="75"/>
      <c r="S187" s="67"/>
      <c r="T187" s="68" t="s">
        <v>1</v>
      </c>
      <c r="U187" s="76">
        <v>0.2</v>
      </c>
      <c r="V187" s="70" t="s">
        <v>422</v>
      </c>
      <c r="W187" s="120">
        <f>ROUND((ROUND((ROUND((_15_同援日増４．０*(1+_15・A深夜)),0)*(1+_15・盲ろう)),0)*(1+_15・区３)),0)</f>
        <v>1134</v>
      </c>
      <c r="X187" s="69"/>
    </row>
    <row r="188" spans="1:24" ht="16.5" customHeight="1" x14ac:dyDescent="0.3">
      <c r="A188" s="2">
        <v>15</v>
      </c>
      <c r="B188" s="2" t="s">
        <v>3008</v>
      </c>
      <c r="C188" s="60" t="s">
        <v>13373</v>
      </c>
      <c r="D188" s="1"/>
      <c r="E188" s="68"/>
      <c r="F188" s="70"/>
      <c r="G188" s="66"/>
      <c r="H188" s="57"/>
      <c r="I188" s="58"/>
      <c r="J188" s="83" t="s">
        <v>5895</v>
      </c>
      <c r="K188" s="64" t="s">
        <v>1</v>
      </c>
      <c r="L188" s="65">
        <v>1</v>
      </c>
      <c r="M188" s="99"/>
      <c r="N188" s="70"/>
      <c r="O188" s="94" t="s">
        <v>17932</v>
      </c>
      <c r="P188" s="68"/>
      <c r="Q188" s="76"/>
      <c r="R188" s="70"/>
      <c r="S188" s="67"/>
      <c r="T188" s="68"/>
      <c r="U188" s="76"/>
      <c r="V188" s="70"/>
      <c r="W188" s="120">
        <f>ROUND((ROUND((ROUND((ROUND((_15_同援日増４．０*_15・２人),0)*(1+_15・A深夜)),0)*(1+_15・盲ろう)),0)*(1+_15・区３)),0)</f>
        <v>1134</v>
      </c>
      <c r="X188" s="69"/>
    </row>
    <row r="189" spans="1:24" ht="16.5" customHeight="1" x14ac:dyDescent="0.3">
      <c r="A189" s="2">
        <v>15</v>
      </c>
      <c r="B189" s="2" t="s">
        <v>3009</v>
      </c>
      <c r="C189" s="60" t="s">
        <v>13372</v>
      </c>
      <c r="D189" s="1"/>
      <c r="E189" s="68"/>
      <c r="F189" s="70"/>
      <c r="G189" s="74" t="s">
        <v>17747</v>
      </c>
      <c r="H189" s="62"/>
      <c r="I189" s="63"/>
      <c r="J189" s="85"/>
      <c r="K189" s="64"/>
      <c r="L189" s="65"/>
      <c r="M189" s="99"/>
      <c r="N189" s="70"/>
      <c r="O189" s="67"/>
      <c r="P189" s="68" t="s">
        <v>1</v>
      </c>
      <c r="Q189" s="76">
        <v>0.25</v>
      </c>
      <c r="R189" s="70" t="s">
        <v>422</v>
      </c>
      <c r="S189" s="67"/>
      <c r="T189" s="68"/>
      <c r="U189" s="76"/>
      <c r="V189" s="70"/>
      <c r="W189" s="120">
        <f>ROUND((ROUND((ROUND((ROUND((_15_同援日増４．０*_15・基礎２),0)*(1+_15・A深夜)),0)*(1+_15・盲ろう)),0)*(1+_15・区３)),0)</f>
        <v>1021</v>
      </c>
      <c r="X189" s="69"/>
    </row>
    <row r="190" spans="1:24" ht="16.5" customHeight="1" x14ac:dyDescent="0.3">
      <c r="A190" s="2">
        <v>15</v>
      </c>
      <c r="B190" s="2" t="s">
        <v>3010</v>
      </c>
      <c r="C190" s="60" t="s">
        <v>13371</v>
      </c>
      <c r="D190" s="1"/>
      <c r="E190" s="68"/>
      <c r="F190" s="70"/>
      <c r="G190" s="106" t="s">
        <v>17420</v>
      </c>
      <c r="H190" s="57" t="s">
        <v>1</v>
      </c>
      <c r="I190" s="58">
        <v>0.9</v>
      </c>
      <c r="J190" s="83" t="s">
        <v>5895</v>
      </c>
      <c r="K190" s="64" t="s">
        <v>1</v>
      </c>
      <c r="L190" s="65">
        <v>1</v>
      </c>
      <c r="M190" s="99"/>
      <c r="N190" s="70"/>
      <c r="O190" s="66"/>
      <c r="P190" s="57"/>
      <c r="Q190" s="58"/>
      <c r="R190" s="77"/>
      <c r="S190" s="66"/>
      <c r="T190" s="57"/>
      <c r="U190" s="58"/>
      <c r="V190" s="77"/>
      <c r="W190" s="120">
        <f>ROUND((ROUND((ROUND((ROUND((ROUND((_15_同援日増４．０*_15・基礎２),0)*_15・２人),0)*(1+_15・A深夜)),0)*(1+_15・盲ろう)),0)*(1+_15・区３)),0)</f>
        <v>1021</v>
      </c>
      <c r="X190" s="69"/>
    </row>
    <row r="191" spans="1:24" ht="16.5" customHeight="1" x14ac:dyDescent="0.3">
      <c r="A191" s="2">
        <v>15</v>
      </c>
      <c r="B191" s="2" t="s">
        <v>3011</v>
      </c>
      <c r="C191" s="60" t="s">
        <v>13370</v>
      </c>
      <c r="D191" s="1"/>
      <c r="E191" s="68"/>
      <c r="F191" s="70"/>
      <c r="G191" s="61"/>
      <c r="H191" s="62"/>
      <c r="I191" s="63"/>
      <c r="J191" s="85"/>
      <c r="K191" s="64"/>
      <c r="L191" s="65"/>
      <c r="M191" s="99"/>
      <c r="N191" s="70"/>
      <c r="O191" s="61"/>
      <c r="P191" s="62"/>
      <c r="Q191" s="63"/>
      <c r="R191" s="75"/>
      <c r="S191" s="61"/>
      <c r="T191" s="62"/>
      <c r="U191" s="63"/>
      <c r="V191" s="75"/>
      <c r="W191" s="120">
        <f>ROUND((ROUND((_15_同援日増４．０*(1+_15・A深夜)),0)*(1+_15・区４)),0)</f>
        <v>1058</v>
      </c>
      <c r="X191" s="69"/>
    </row>
    <row r="192" spans="1:24" ht="16.5" customHeight="1" x14ac:dyDescent="0.3">
      <c r="A192" s="2">
        <v>15</v>
      </c>
      <c r="B192" s="2" t="s">
        <v>3012</v>
      </c>
      <c r="C192" s="60" t="s">
        <v>13369</v>
      </c>
      <c r="D192" s="1"/>
      <c r="E192" s="68"/>
      <c r="F192" s="70"/>
      <c r="G192" s="66"/>
      <c r="H192" s="57"/>
      <c r="I192" s="58"/>
      <c r="J192" s="83" t="s">
        <v>5895</v>
      </c>
      <c r="K192" s="64" t="s">
        <v>1</v>
      </c>
      <c r="L192" s="65">
        <v>1</v>
      </c>
      <c r="M192" s="99"/>
      <c r="N192" s="70"/>
      <c r="O192" s="67"/>
      <c r="P192" s="68"/>
      <c r="Q192" s="76"/>
      <c r="R192" s="70"/>
      <c r="S192" s="67"/>
      <c r="T192" s="68"/>
      <c r="U192" s="76"/>
      <c r="V192" s="70"/>
      <c r="W192" s="120">
        <f>ROUND((ROUND((ROUND((_15_同援日増４．０*_15・２人),0)*(1+_15・A深夜)),0)*(1+_15・区４)),0)</f>
        <v>1058</v>
      </c>
      <c r="X192" s="69"/>
    </row>
    <row r="193" spans="1:24" ht="16.5" customHeight="1" x14ac:dyDescent="0.3">
      <c r="A193" s="2">
        <v>15</v>
      </c>
      <c r="B193" s="2" t="s">
        <v>3013</v>
      </c>
      <c r="C193" s="60" t="s">
        <v>13368</v>
      </c>
      <c r="D193" s="1"/>
      <c r="E193" s="68"/>
      <c r="F193" s="70"/>
      <c r="G193" s="74" t="s">
        <v>17747</v>
      </c>
      <c r="H193" s="62"/>
      <c r="I193" s="63"/>
      <c r="J193" s="85"/>
      <c r="K193" s="64"/>
      <c r="L193" s="65"/>
      <c r="M193" s="99"/>
      <c r="N193" s="70"/>
      <c r="O193" s="67"/>
      <c r="P193" s="68"/>
      <c r="Q193" s="76"/>
      <c r="R193" s="70"/>
      <c r="S193" s="1" t="s">
        <v>17935</v>
      </c>
      <c r="T193" s="68"/>
      <c r="U193" s="76"/>
      <c r="V193" s="70"/>
      <c r="W193" s="120">
        <f>ROUND((ROUND((ROUND((_15_同援日増４．０*_15・基礎２),0)*(1+_15・A深夜)),0)*(1+_15・区４)),0)</f>
        <v>953</v>
      </c>
      <c r="X193" s="69"/>
    </row>
    <row r="194" spans="1:24" ht="16.5" customHeight="1" x14ac:dyDescent="0.3">
      <c r="A194" s="2">
        <v>15</v>
      </c>
      <c r="B194" s="2" t="s">
        <v>3014</v>
      </c>
      <c r="C194" s="60" t="s">
        <v>13367</v>
      </c>
      <c r="D194" s="1"/>
      <c r="E194" s="68"/>
      <c r="F194" s="70"/>
      <c r="G194" s="106" t="s">
        <v>17420</v>
      </c>
      <c r="H194" s="57" t="s">
        <v>1</v>
      </c>
      <c r="I194" s="58">
        <v>0.9</v>
      </c>
      <c r="J194" s="83" t="s">
        <v>5895</v>
      </c>
      <c r="K194" s="64" t="s">
        <v>1</v>
      </c>
      <c r="L194" s="65">
        <v>1</v>
      </c>
      <c r="M194" s="99"/>
      <c r="N194" s="70"/>
      <c r="O194" s="66"/>
      <c r="P194" s="57"/>
      <c r="Q194" s="58"/>
      <c r="R194" s="77"/>
      <c r="S194" s="1" t="s">
        <v>17934</v>
      </c>
      <c r="T194" s="68"/>
      <c r="U194" s="76"/>
      <c r="V194" s="70"/>
      <c r="W194" s="120">
        <f>ROUND((ROUND((ROUND((ROUND((_15_同援日増４．０*_15・基礎２),0)*_15・２人),0)*(1+_15・A深夜)),0)*(1+_15・区４)),0)</f>
        <v>953</v>
      </c>
      <c r="X194" s="69"/>
    </row>
    <row r="195" spans="1:24" ht="16.5" customHeight="1" x14ac:dyDescent="0.3">
      <c r="A195" s="2">
        <v>15</v>
      </c>
      <c r="B195" s="2" t="s">
        <v>3015</v>
      </c>
      <c r="C195" s="60" t="s">
        <v>13366</v>
      </c>
      <c r="D195" s="1"/>
      <c r="E195" s="68"/>
      <c r="F195" s="70"/>
      <c r="G195" s="61"/>
      <c r="H195" s="62"/>
      <c r="I195" s="63"/>
      <c r="J195" s="85"/>
      <c r="K195" s="64"/>
      <c r="L195" s="65"/>
      <c r="M195" s="99"/>
      <c r="N195" s="70"/>
      <c r="O195" s="74" t="s">
        <v>17933</v>
      </c>
      <c r="P195" s="62"/>
      <c r="Q195" s="63"/>
      <c r="R195" s="75"/>
      <c r="S195" s="67"/>
      <c r="T195" s="68" t="s">
        <v>1</v>
      </c>
      <c r="U195" s="76">
        <v>0.4</v>
      </c>
      <c r="V195" s="70" t="s">
        <v>422</v>
      </c>
      <c r="W195" s="120">
        <f>ROUND((ROUND((ROUND((_15_同援日増４．０*(1+_15・A深夜)),0)*(1+_15・盲ろう)),0)*(1+_15・区４)),0)</f>
        <v>1323</v>
      </c>
      <c r="X195" s="69"/>
    </row>
    <row r="196" spans="1:24" ht="16.5" customHeight="1" x14ac:dyDescent="0.3">
      <c r="A196" s="2">
        <v>15</v>
      </c>
      <c r="B196" s="2" t="s">
        <v>3016</v>
      </c>
      <c r="C196" s="60" t="s">
        <v>13365</v>
      </c>
      <c r="D196" s="1"/>
      <c r="E196" s="68"/>
      <c r="F196" s="70"/>
      <c r="G196" s="66"/>
      <c r="H196" s="57"/>
      <c r="I196" s="58"/>
      <c r="J196" s="83" t="s">
        <v>5895</v>
      </c>
      <c r="K196" s="64" t="s">
        <v>1</v>
      </c>
      <c r="L196" s="65">
        <v>1</v>
      </c>
      <c r="M196" s="99"/>
      <c r="N196" s="70"/>
      <c r="O196" s="94" t="s">
        <v>17932</v>
      </c>
      <c r="P196" s="68"/>
      <c r="Q196" s="76"/>
      <c r="R196" s="70"/>
      <c r="S196" s="67"/>
      <c r="T196" s="68"/>
      <c r="U196" s="76"/>
      <c r="V196" s="70"/>
      <c r="W196" s="120">
        <f>ROUND((ROUND((ROUND((ROUND((_15_同援日増４．０*_15・２人),0)*(1+_15・A深夜)),0)*(1+_15・盲ろう)),0)*(1+_15・区４)),0)</f>
        <v>1323</v>
      </c>
      <c r="X196" s="69"/>
    </row>
    <row r="197" spans="1:24" ht="16.5" customHeight="1" x14ac:dyDescent="0.3">
      <c r="A197" s="2">
        <v>15</v>
      </c>
      <c r="B197" s="2" t="s">
        <v>3017</v>
      </c>
      <c r="C197" s="60" t="s">
        <v>13364</v>
      </c>
      <c r="D197" s="1"/>
      <c r="E197" s="68"/>
      <c r="F197" s="70"/>
      <c r="G197" s="74" t="s">
        <v>17747</v>
      </c>
      <c r="H197" s="62"/>
      <c r="I197" s="63"/>
      <c r="J197" s="85"/>
      <c r="K197" s="64"/>
      <c r="L197" s="65"/>
      <c r="M197" s="99"/>
      <c r="N197" s="70"/>
      <c r="O197" s="67"/>
      <c r="P197" s="68" t="s">
        <v>1</v>
      </c>
      <c r="Q197" s="76">
        <v>0.25</v>
      </c>
      <c r="R197" s="70" t="s">
        <v>422</v>
      </c>
      <c r="S197" s="67"/>
      <c r="T197" s="68"/>
      <c r="U197" s="76"/>
      <c r="V197" s="70"/>
      <c r="W197" s="120">
        <f>ROUND((ROUND((ROUND((ROUND((_15_同援日増４．０*_15・基礎２),0)*(1+_15・A深夜)),0)*(1+_15・盲ろう)),0)*(1+_15・区４)),0)</f>
        <v>1191</v>
      </c>
      <c r="X197" s="69"/>
    </row>
    <row r="198" spans="1:24" ht="16.5" customHeight="1" x14ac:dyDescent="0.3">
      <c r="A198" s="2">
        <v>15</v>
      </c>
      <c r="B198" s="2" t="s">
        <v>3018</v>
      </c>
      <c r="C198" s="60" t="s">
        <v>13363</v>
      </c>
      <c r="D198" s="81"/>
      <c r="E198" s="57"/>
      <c r="F198" s="77"/>
      <c r="G198" s="106" t="s">
        <v>17420</v>
      </c>
      <c r="H198" s="57" t="s">
        <v>1</v>
      </c>
      <c r="I198" s="58">
        <v>0.9</v>
      </c>
      <c r="J198" s="83" t="s">
        <v>5895</v>
      </c>
      <c r="K198" s="64" t="s">
        <v>1</v>
      </c>
      <c r="L198" s="65">
        <v>1</v>
      </c>
      <c r="M198" s="99"/>
      <c r="N198" s="70"/>
      <c r="O198" s="66"/>
      <c r="P198" s="57"/>
      <c r="Q198" s="58"/>
      <c r="R198" s="77"/>
      <c r="S198" s="66"/>
      <c r="T198" s="57"/>
      <c r="U198" s="58"/>
      <c r="V198" s="77"/>
      <c r="W198" s="120">
        <f>ROUND((ROUND((ROUND((ROUND((ROUND((_15_同援日増４．０*_15・基礎２),0)*_15・２人),0)*(1+_15・A深夜)),0)*(1+_15・盲ろう)),0)*(1+_15・区４)),0)</f>
        <v>1191</v>
      </c>
      <c r="X198" s="69"/>
    </row>
    <row r="199" spans="1:24" ht="16.5" customHeight="1" x14ac:dyDescent="0.3">
      <c r="A199" s="2">
        <v>15</v>
      </c>
      <c r="B199" s="2" t="s">
        <v>3019</v>
      </c>
      <c r="C199" s="60" t="s">
        <v>13362</v>
      </c>
      <c r="D199" s="233" t="s">
        <v>18203</v>
      </c>
      <c r="E199" s="62"/>
      <c r="F199" s="75"/>
      <c r="G199" s="61"/>
      <c r="H199" s="62"/>
      <c r="I199" s="63"/>
      <c r="J199" s="85"/>
      <c r="K199" s="64"/>
      <c r="L199" s="65"/>
      <c r="M199" s="99"/>
      <c r="N199" s="70"/>
      <c r="O199" s="61"/>
      <c r="P199" s="62"/>
      <c r="Q199" s="63"/>
      <c r="R199" s="75"/>
      <c r="S199" s="61"/>
      <c r="T199" s="62"/>
      <c r="U199" s="63"/>
      <c r="V199" s="75"/>
      <c r="W199" s="120">
        <f>ROUND((_15_同援日増４．５*(1+_15・A深夜)),0)</f>
        <v>851</v>
      </c>
      <c r="X199" s="69"/>
    </row>
    <row r="200" spans="1:24" ht="16.5" customHeight="1" x14ac:dyDescent="0.3">
      <c r="A200" s="2">
        <v>15</v>
      </c>
      <c r="B200" s="2" t="s">
        <v>3020</v>
      </c>
      <c r="C200" s="60" t="s">
        <v>13361</v>
      </c>
      <c r="D200" s="1" t="s">
        <v>17761</v>
      </c>
      <c r="E200" s="68"/>
      <c r="F200" s="70"/>
      <c r="G200" s="66"/>
      <c r="H200" s="57"/>
      <c r="I200" s="58"/>
      <c r="J200" s="83" t="s">
        <v>5895</v>
      </c>
      <c r="K200" s="64" t="s">
        <v>1</v>
      </c>
      <c r="L200" s="65">
        <v>1</v>
      </c>
      <c r="M200" s="99"/>
      <c r="N200" s="70"/>
      <c r="O200" s="67"/>
      <c r="P200" s="68"/>
      <c r="Q200" s="76"/>
      <c r="R200" s="70"/>
      <c r="S200" s="67"/>
      <c r="T200" s="68"/>
      <c r="U200" s="76"/>
      <c r="V200" s="70"/>
      <c r="W200" s="120">
        <f>ROUND((ROUND((_15_同援日増４．５*_15・２人),0)*(1+_15・A深夜)),0)</f>
        <v>851</v>
      </c>
      <c r="X200" s="69"/>
    </row>
    <row r="201" spans="1:24" ht="16.5" customHeight="1" x14ac:dyDescent="0.3">
      <c r="A201" s="2">
        <v>15</v>
      </c>
      <c r="B201" s="2" t="s">
        <v>3021</v>
      </c>
      <c r="C201" s="60" t="s">
        <v>13360</v>
      </c>
      <c r="D201" s="1" t="s">
        <v>8621</v>
      </c>
      <c r="E201" s="68"/>
      <c r="F201" s="70"/>
      <c r="G201" s="74" t="s">
        <v>5898</v>
      </c>
      <c r="H201" s="62"/>
      <c r="I201" s="63"/>
      <c r="J201" s="85"/>
      <c r="K201" s="64"/>
      <c r="L201" s="65"/>
      <c r="M201" s="99"/>
      <c r="N201" s="70"/>
      <c r="O201" s="67"/>
      <c r="P201" s="68"/>
      <c r="Q201" s="76"/>
      <c r="R201" s="70"/>
      <c r="S201" s="67"/>
      <c r="T201" s="68"/>
      <c r="U201" s="76"/>
      <c r="V201" s="70"/>
      <c r="W201" s="120">
        <f>ROUND((ROUND((_15_同援日増４．５*_15・基礎２),0)*(1+_15・A深夜)),0)</f>
        <v>765</v>
      </c>
      <c r="X201" s="69"/>
    </row>
    <row r="202" spans="1:24" ht="16.5" customHeight="1" x14ac:dyDescent="0.3">
      <c r="A202" s="2">
        <v>15</v>
      </c>
      <c r="B202" s="2" t="s">
        <v>3022</v>
      </c>
      <c r="C202" s="60" t="s">
        <v>13359</v>
      </c>
      <c r="D202" s="1"/>
      <c r="E202" s="119">
        <v>567</v>
      </c>
      <c r="F202" s="70" t="s">
        <v>0</v>
      </c>
      <c r="G202" s="106" t="s">
        <v>5896</v>
      </c>
      <c r="H202" s="57" t="s">
        <v>1</v>
      </c>
      <c r="I202" s="58">
        <v>0.9</v>
      </c>
      <c r="J202" s="83" t="s">
        <v>5895</v>
      </c>
      <c r="K202" s="64" t="s">
        <v>1</v>
      </c>
      <c r="L202" s="65">
        <v>1</v>
      </c>
      <c r="M202" s="99"/>
      <c r="N202" s="70"/>
      <c r="O202" s="66"/>
      <c r="P202" s="57"/>
      <c r="Q202" s="58"/>
      <c r="R202" s="77"/>
      <c r="S202" s="67"/>
      <c r="T202" s="68"/>
      <c r="U202" s="76"/>
      <c r="V202" s="70"/>
      <c r="W202" s="120">
        <f>ROUND((ROUND((ROUND((_15_同援日増４．５*_15・基礎２),0)*_15・２人),0)*(1+_15・A深夜)),0)</f>
        <v>765</v>
      </c>
      <c r="X202" s="69"/>
    </row>
    <row r="203" spans="1:24" ht="16.5" customHeight="1" x14ac:dyDescent="0.3">
      <c r="A203" s="2">
        <v>15</v>
      </c>
      <c r="B203" s="2" t="s">
        <v>3023</v>
      </c>
      <c r="C203" s="60" t="s">
        <v>13358</v>
      </c>
      <c r="D203" s="1"/>
      <c r="E203" s="68"/>
      <c r="F203" s="70"/>
      <c r="G203" s="61"/>
      <c r="H203" s="62"/>
      <c r="I203" s="63"/>
      <c r="J203" s="85"/>
      <c r="K203" s="64"/>
      <c r="L203" s="65"/>
      <c r="M203" s="99"/>
      <c r="N203" s="70"/>
      <c r="O203" s="74" t="s">
        <v>17933</v>
      </c>
      <c r="P203" s="62"/>
      <c r="Q203" s="63"/>
      <c r="R203" s="75"/>
      <c r="S203" s="67"/>
      <c r="T203" s="68"/>
      <c r="U203" s="76"/>
      <c r="V203" s="70"/>
      <c r="W203" s="120">
        <f>ROUND((ROUND((_15_同援日増４．５*(1+_15・A深夜)),0)*(1+_15・盲ろう)),0)</f>
        <v>1064</v>
      </c>
      <c r="X203" s="69"/>
    </row>
    <row r="204" spans="1:24" ht="16.5" customHeight="1" x14ac:dyDescent="0.3">
      <c r="A204" s="2">
        <v>15</v>
      </c>
      <c r="B204" s="2" t="s">
        <v>3024</v>
      </c>
      <c r="C204" s="60" t="s">
        <v>13357</v>
      </c>
      <c r="D204" s="1"/>
      <c r="E204" s="68"/>
      <c r="F204" s="70"/>
      <c r="G204" s="66"/>
      <c r="H204" s="57"/>
      <c r="I204" s="58"/>
      <c r="J204" s="83" t="s">
        <v>5895</v>
      </c>
      <c r="K204" s="64" t="s">
        <v>1</v>
      </c>
      <c r="L204" s="65">
        <v>1</v>
      </c>
      <c r="M204" s="99"/>
      <c r="N204" s="70"/>
      <c r="O204" s="94" t="s">
        <v>17932</v>
      </c>
      <c r="P204" s="68"/>
      <c r="Q204" s="76"/>
      <c r="R204" s="70"/>
      <c r="S204" s="67"/>
      <c r="T204" s="68"/>
      <c r="U204" s="76"/>
      <c r="V204" s="70"/>
      <c r="W204" s="120">
        <f>ROUND((ROUND((ROUND((_15_同援日増４．５*_15・２人),0)*(1+_15・A深夜)),0)*(1+_15・盲ろう)),0)</f>
        <v>1064</v>
      </c>
      <c r="X204" s="69"/>
    </row>
    <row r="205" spans="1:24" ht="16.5" customHeight="1" x14ac:dyDescent="0.3">
      <c r="A205" s="2">
        <v>15</v>
      </c>
      <c r="B205" s="2" t="s">
        <v>3025</v>
      </c>
      <c r="C205" s="60" t="s">
        <v>13356</v>
      </c>
      <c r="D205" s="1"/>
      <c r="E205" s="68"/>
      <c r="F205" s="70"/>
      <c r="G205" s="74" t="s">
        <v>17747</v>
      </c>
      <c r="H205" s="62"/>
      <c r="I205" s="63"/>
      <c r="J205" s="85"/>
      <c r="K205" s="64"/>
      <c r="L205" s="65"/>
      <c r="M205" s="99"/>
      <c r="N205" s="70"/>
      <c r="O205" s="67"/>
      <c r="P205" s="68" t="s">
        <v>1</v>
      </c>
      <c r="Q205" s="76">
        <v>0.25</v>
      </c>
      <c r="R205" s="70" t="s">
        <v>422</v>
      </c>
      <c r="S205" s="67"/>
      <c r="T205" s="68"/>
      <c r="U205" s="76"/>
      <c r="V205" s="70"/>
      <c r="W205" s="120">
        <f>ROUND((ROUND((ROUND((_15_同援日増４．５*_15・基礎２),0)*(1+_15・A深夜)),0)*(1+_15・盲ろう)),0)</f>
        <v>956</v>
      </c>
      <c r="X205" s="69"/>
    </row>
    <row r="206" spans="1:24" ht="16.5" customHeight="1" x14ac:dyDescent="0.3">
      <c r="A206" s="2">
        <v>15</v>
      </c>
      <c r="B206" s="2" t="s">
        <v>3026</v>
      </c>
      <c r="C206" s="60" t="s">
        <v>13355</v>
      </c>
      <c r="D206" s="1"/>
      <c r="E206" s="68"/>
      <c r="F206" s="70"/>
      <c r="G206" s="106" t="s">
        <v>17420</v>
      </c>
      <c r="H206" s="57" t="s">
        <v>1</v>
      </c>
      <c r="I206" s="58">
        <v>0.9</v>
      </c>
      <c r="J206" s="83" t="s">
        <v>5895</v>
      </c>
      <c r="K206" s="64" t="s">
        <v>1</v>
      </c>
      <c r="L206" s="65">
        <v>1</v>
      </c>
      <c r="M206" s="99"/>
      <c r="N206" s="70"/>
      <c r="O206" s="66"/>
      <c r="P206" s="57"/>
      <c r="Q206" s="58"/>
      <c r="R206" s="77"/>
      <c r="S206" s="66"/>
      <c r="T206" s="57"/>
      <c r="U206" s="58"/>
      <c r="V206" s="77"/>
      <c r="W206" s="120">
        <f>ROUND((ROUND((ROUND((ROUND((_15_同援日増４．５*_15・基礎２),0)*_15・２人),0)*(1+_15・A深夜)),0)*(1+_15・盲ろう)),0)</f>
        <v>956</v>
      </c>
      <c r="X206" s="69"/>
    </row>
    <row r="207" spans="1:24" ht="16.5" customHeight="1" x14ac:dyDescent="0.3">
      <c r="A207" s="2">
        <v>15</v>
      </c>
      <c r="B207" s="2" t="s">
        <v>3027</v>
      </c>
      <c r="C207" s="60" t="s">
        <v>13354</v>
      </c>
      <c r="D207" s="1"/>
      <c r="E207" s="68"/>
      <c r="F207" s="70"/>
      <c r="G207" s="61"/>
      <c r="H207" s="62"/>
      <c r="I207" s="63"/>
      <c r="J207" s="85"/>
      <c r="K207" s="64"/>
      <c r="L207" s="65"/>
      <c r="M207" s="99"/>
      <c r="N207" s="70"/>
      <c r="O207" s="61"/>
      <c r="P207" s="62"/>
      <c r="Q207" s="63"/>
      <c r="R207" s="75"/>
      <c r="S207" s="61"/>
      <c r="T207" s="62"/>
      <c r="U207" s="63"/>
      <c r="V207" s="75"/>
      <c r="W207" s="120">
        <f>ROUND((ROUND((_15_同援日増４．５*(1+_15・A深夜)),0)*(1+_15・区３)),0)</f>
        <v>1021</v>
      </c>
      <c r="X207" s="69"/>
    </row>
    <row r="208" spans="1:24" ht="16.5" customHeight="1" x14ac:dyDescent="0.3">
      <c r="A208" s="2">
        <v>15</v>
      </c>
      <c r="B208" s="2" t="s">
        <v>3028</v>
      </c>
      <c r="C208" s="60" t="s">
        <v>13353</v>
      </c>
      <c r="D208" s="1"/>
      <c r="E208" s="68"/>
      <c r="F208" s="70"/>
      <c r="G208" s="66"/>
      <c r="H208" s="57"/>
      <c r="I208" s="58"/>
      <c r="J208" s="83" t="s">
        <v>5895</v>
      </c>
      <c r="K208" s="64" t="s">
        <v>1</v>
      </c>
      <c r="L208" s="65">
        <v>1</v>
      </c>
      <c r="M208" s="99"/>
      <c r="N208" s="70"/>
      <c r="O208" s="67"/>
      <c r="P208" s="68"/>
      <c r="Q208" s="76"/>
      <c r="R208" s="70"/>
      <c r="S208" s="67"/>
      <c r="T208" s="68"/>
      <c r="U208" s="76"/>
      <c r="V208" s="70"/>
      <c r="W208" s="120">
        <f>ROUND((ROUND((ROUND((_15_同援日増４．５*_15・２人),0)*(1+_15・A深夜)),0)*(1+_15・区３)),0)</f>
        <v>1021</v>
      </c>
      <c r="X208" s="69"/>
    </row>
    <row r="209" spans="1:24" ht="16.5" customHeight="1" x14ac:dyDescent="0.3">
      <c r="A209" s="2">
        <v>15</v>
      </c>
      <c r="B209" s="2" t="s">
        <v>3029</v>
      </c>
      <c r="C209" s="60" t="s">
        <v>13352</v>
      </c>
      <c r="D209" s="1"/>
      <c r="E209" s="68"/>
      <c r="F209" s="70"/>
      <c r="G209" s="74" t="s">
        <v>17747</v>
      </c>
      <c r="H209" s="62"/>
      <c r="I209" s="63"/>
      <c r="J209" s="85"/>
      <c r="K209" s="64"/>
      <c r="L209" s="65"/>
      <c r="M209" s="99"/>
      <c r="N209" s="70"/>
      <c r="O209" s="67"/>
      <c r="P209" s="68"/>
      <c r="Q209" s="76"/>
      <c r="R209" s="70"/>
      <c r="S209" s="1" t="s">
        <v>17936</v>
      </c>
      <c r="T209" s="68"/>
      <c r="U209" s="76"/>
      <c r="V209" s="70"/>
      <c r="W209" s="120">
        <f>ROUND((ROUND((ROUND((_15_同援日増４．５*_15・基礎２),0)*(1+_15・A深夜)),0)*(1+_15・区３)),0)</f>
        <v>918</v>
      </c>
      <c r="X209" s="69"/>
    </row>
    <row r="210" spans="1:24" ht="16.5" customHeight="1" x14ac:dyDescent="0.3">
      <c r="A210" s="2">
        <v>15</v>
      </c>
      <c r="B210" s="2" t="s">
        <v>3030</v>
      </c>
      <c r="C210" s="60" t="s">
        <v>13351</v>
      </c>
      <c r="D210" s="1"/>
      <c r="E210" s="68"/>
      <c r="F210" s="70"/>
      <c r="G210" s="106" t="s">
        <v>5896</v>
      </c>
      <c r="H210" s="57" t="s">
        <v>1</v>
      </c>
      <c r="I210" s="58">
        <v>0.9</v>
      </c>
      <c r="J210" s="83" t="s">
        <v>5895</v>
      </c>
      <c r="K210" s="64" t="s">
        <v>1</v>
      </c>
      <c r="L210" s="65">
        <v>1</v>
      </c>
      <c r="M210" s="99"/>
      <c r="N210" s="70"/>
      <c r="O210" s="66"/>
      <c r="P210" s="57"/>
      <c r="Q210" s="58"/>
      <c r="R210" s="77"/>
      <c r="S210" s="1" t="s">
        <v>8087</v>
      </c>
      <c r="T210" s="68"/>
      <c r="U210" s="76"/>
      <c r="V210" s="70"/>
      <c r="W210" s="120">
        <f>ROUND((ROUND((ROUND((ROUND((_15_同援日増４．５*_15・基礎２),0)*_15・２人),0)*(1+_15・A深夜)),0)*(1+_15・区３)),0)</f>
        <v>918</v>
      </c>
      <c r="X210" s="69"/>
    </row>
    <row r="211" spans="1:24" ht="16.5" customHeight="1" x14ac:dyDescent="0.3">
      <c r="A211" s="2">
        <v>15</v>
      </c>
      <c r="B211" s="2" t="s">
        <v>3031</v>
      </c>
      <c r="C211" s="60" t="s">
        <v>13350</v>
      </c>
      <c r="D211" s="1"/>
      <c r="E211" s="68"/>
      <c r="F211" s="70"/>
      <c r="G211" s="61"/>
      <c r="H211" s="62"/>
      <c r="I211" s="63"/>
      <c r="J211" s="85"/>
      <c r="K211" s="64"/>
      <c r="L211" s="65"/>
      <c r="M211" s="99"/>
      <c r="N211" s="70"/>
      <c r="O211" s="74" t="s">
        <v>17933</v>
      </c>
      <c r="P211" s="62"/>
      <c r="Q211" s="63"/>
      <c r="R211" s="75"/>
      <c r="S211" s="67"/>
      <c r="T211" s="68" t="s">
        <v>1</v>
      </c>
      <c r="U211" s="76">
        <v>0.2</v>
      </c>
      <c r="V211" s="70" t="s">
        <v>422</v>
      </c>
      <c r="W211" s="120">
        <f>ROUND((ROUND((ROUND((_15_同援日増４．５*(1+_15・A深夜)),0)*(1+_15・盲ろう)),0)*(1+_15・区３)),0)</f>
        <v>1277</v>
      </c>
      <c r="X211" s="69"/>
    </row>
    <row r="212" spans="1:24" ht="16.5" customHeight="1" x14ac:dyDescent="0.3">
      <c r="A212" s="2">
        <v>15</v>
      </c>
      <c r="B212" s="2" t="s">
        <v>3032</v>
      </c>
      <c r="C212" s="60" t="s">
        <v>13349</v>
      </c>
      <c r="D212" s="1"/>
      <c r="E212" s="68"/>
      <c r="F212" s="70"/>
      <c r="G212" s="66"/>
      <c r="H212" s="57"/>
      <c r="I212" s="58"/>
      <c r="J212" s="83" t="s">
        <v>5895</v>
      </c>
      <c r="K212" s="64" t="s">
        <v>1</v>
      </c>
      <c r="L212" s="65">
        <v>1</v>
      </c>
      <c r="M212" s="99"/>
      <c r="N212" s="70"/>
      <c r="O212" s="94" t="s">
        <v>17932</v>
      </c>
      <c r="P212" s="68"/>
      <c r="Q212" s="76"/>
      <c r="R212" s="70"/>
      <c r="S212" s="67"/>
      <c r="T212" s="68"/>
      <c r="U212" s="76"/>
      <c r="V212" s="70"/>
      <c r="W212" s="120">
        <f>ROUND((ROUND((ROUND((ROUND((_15_同援日増４．５*_15・２人),0)*(1+_15・A深夜)),0)*(1+_15・盲ろう)),0)*(1+_15・区３)),0)</f>
        <v>1277</v>
      </c>
      <c r="X212" s="69"/>
    </row>
    <row r="213" spans="1:24" ht="16.5" customHeight="1" x14ac:dyDescent="0.3">
      <c r="A213" s="2">
        <v>15</v>
      </c>
      <c r="B213" s="2" t="s">
        <v>3033</v>
      </c>
      <c r="C213" s="60" t="s">
        <v>13348</v>
      </c>
      <c r="D213" s="1"/>
      <c r="E213" s="68"/>
      <c r="F213" s="70"/>
      <c r="G213" s="74" t="s">
        <v>17747</v>
      </c>
      <c r="H213" s="62"/>
      <c r="I213" s="63"/>
      <c r="J213" s="85"/>
      <c r="K213" s="64"/>
      <c r="L213" s="65"/>
      <c r="M213" s="99"/>
      <c r="N213" s="70"/>
      <c r="O213" s="67"/>
      <c r="P213" s="68" t="s">
        <v>1</v>
      </c>
      <c r="Q213" s="76">
        <v>0.25</v>
      </c>
      <c r="R213" s="70" t="s">
        <v>422</v>
      </c>
      <c r="S213" s="67"/>
      <c r="T213" s="68"/>
      <c r="U213" s="76"/>
      <c r="V213" s="70"/>
      <c r="W213" s="120">
        <f>ROUND((ROUND((ROUND((ROUND((_15_同援日増４．５*_15・基礎２),0)*(1+_15・A深夜)),0)*(1+_15・盲ろう)),0)*(1+_15・区３)),0)</f>
        <v>1147</v>
      </c>
      <c r="X213" s="69"/>
    </row>
    <row r="214" spans="1:24" ht="16.5" customHeight="1" x14ac:dyDescent="0.3">
      <c r="A214" s="2">
        <v>15</v>
      </c>
      <c r="B214" s="2" t="s">
        <v>3034</v>
      </c>
      <c r="C214" s="60" t="s">
        <v>13347</v>
      </c>
      <c r="D214" s="1"/>
      <c r="E214" s="68"/>
      <c r="F214" s="70"/>
      <c r="G214" s="106" t="s">
        <v>17420</v>
      </c>
      <c r="H214" s="57" t="s">
        <v>1</v>
      </c>
      <c r="I214" s="58">
        <v>0.9</v>
      </c>
      <c r="J214" s="83" t="s">
        <v>5895</v>
      </c>
      <c r="K214" s="64" t="s">
        <v>1</v>
      </c>
      <c r="L214" s="65">
        <v>1</v>
      </c>
      <c r="M214" s="99"/>
      <c r="N214" s="70"/>
      <c r="O214" s="66"/>
      <c r="P214" s="57"/>
      <c r="Q214" s="58"/>
      <c r="R214" s="77"/>
      <c r="S214" s="66"/>
      <c r="T214" s="57"/>
      <c r="U214" s="58"/>
      <c r="V214" s="77"/>
      <c r="W214" s="120">
        <f>ROUND((ROUND((ROUND((ROUND((ROUND((_15_同援日増４．５*_15・基礎２),0)*_15・２人),0)*(1+_15・A深夜)),0)*(1+_15・盲ろう)),0)*(1+_15・区３)),0)</f>
        <v>1147</v>
      </c>
      <c r="X214" s="69"/>
    </row>
    <row r="215" spans="1:24" ht="16.5" customHeight="1" x14ac:dyDescent="0.3">
      <c r="A215" s="2">
        <v>15</v>
      </c>
      <c r="B215" s="2" t="s">
        <v>3035</v>
      </c>
      <c r="C215" s="60" t="s">
        <v>13346</v>
      </c>
      <c r="D215" s="1"/>
      <c r="E215" s="68"/>
      <c r="F215" s="70"/>
      <c r="G215" s="61"/>
      <c r="H215" s="62"/>
      <c r="I215" s="63"/>
      <c r="J215" s="85"/>
      <c r="K215" s="64"/>
      <c r="L215" s="65"/>
      <c r="M215" s="99"/>
      <c r="N215" s="70"/>
      <c r="O215" s="61"/>
      <c r="P215" s="62"/>
      <c r="Q215" s="63"/>
      <c r="R215" s="75"/>
      <c r="S215" s="61"/>
      <c r="T215" s="62"/>
      <c r="U215" s="63"/>
      <c r="V215" s="75"/>
      <c r="W215" s="120">
        <f>ROUND((ROUND((_15_同援日増４．５*(1+_15・A深夜)),0)*(1+_15・区４)),0)</f>
        <v>1191</v>
      </c>
      <c r="X215" s="69"/>
    </row>
    <row r="216" spans="1:24" ht="16.5" customHeight="1" x14ac:dyDescent="0.3">
      <c r="A216" s="2">
        <v>15</v>
      </c>
      <c r="B216" s="2" t="s">
        <v>3036</v>
      </c>
      <c r="C216" s="60" t="s">
        <v>13345</v>
      </c>
      <c r="D216" s="1"/>
      <c r="E216" s="68"/>
      <c r="F216" s="70"/>
      <c r="G216" s="66"/>
      <c r="H216" s="57"/>
      <c r="I216" s="58"/>
      <c r="J216" s="83" t="s">
        <v>5895</v>
      </c>
      <c r="K216" s="64" t="s">
        <v>1</v>
      </c>
      <c r="L216" s="65">
        <v>1</v>
      </c>
      <c r="M216" s="99"/>
      <c r="N216" s="70"/>
      <c r="O216" s="67"/>
      <c r="P216" s="68"/>
      <c r="Q216" s="76"/>
      <c r="R216" s="70"/>
      <c r="S216" s="67"/>
      <c r="T216" s="68"/>
      <c r="U216" s="76"/>
      <c r="V216" s="70"/>
      <c r="W216" s="120">
        <f>ROUND((ROUND((ROUND((_15_同援日増４．５*_15・２人),0)*(1+_15・A深夜)),0)*(1+_15・区４)),0)</f>
        <v>1191</v>
      </c>
      <c r="X216" s="69"/>
    </row>
    <row r="217" spans="1:24" ht="16.5" customHeight="1" x14ac:dyDescent="0.3">
      <c r="A217" s="2">
        <v>15</v>
      </c>
      <c r="B217" s="2" t="s">
        <v>3037</v>
      </c>
      <c r="C217" s="60" t="s">
        <v>13344</v>
      </c>
      <c r="D217" s="1"/>
      <c r="E217" s="68"/>
      <c r="F217" s="70"/>
      <c r="G217" s="74" t="s">
        <v>5898</v>
      </c>
      <c r="H217" s="62"/>
      <c r="I217" s="63"/>
      <c r="J217" s="85"/>
      <c r="K217" s="64"/>
      <c r="L217" s="65"/>
      <c r="M217" s="99"/>
      <c r="N217" s="70"/>
      <c r="O217" s="67"/>
      <c r="P217" s="68"/>
      <c r="Q217" s="76"/>
      <c r="R217" s="70"/>
      <c r="S217" s="1" t="s">
        <v>17935</v>
      </c>
      <c r="T217" s="68"/>
      <c r="U217" s="76"/>
      <c r="V217" s="70"/>
      <c r="W217" s="120">
        <f>ROUND((ROUND((ROUND((_15_同援日増４．５*_15・基礎２),0)*(1+_15・A深夜)),0)*(1+_15・区４)),0)</f>
        <v>1071</v>
      </c>
      <c r="X217" s="69"/>
    </row>
    <row r="218" spans="1:24" ht="16.5" customHeight="1" x14ac:dyDescent="0.3">
      <c r="A218" s="2">
        <v>15</v>
      </c>
      <c r="B218" s="2" t="s">
        <v>3038</v>
      </c>
      <c r="C218" s="60" t="s">
        <v>13343</v>
      </c>
      <c r="D218" s="1"/>
      <c r="E218" s="68"/>
      <c r="F218" s="70"/>
      <c r="G218" s="106" t="s">
        <v>17420</v>
      </c>
      <c r="H218" s="57" t="s">
        <v>1</v>
      </c>
      <c r="I218" s="58">
        <v>0.9</v>
      </c>
      <c r="J218" s="83" t="s">
        <v>5895</v>
      </c>
      <c r="K218" s="64" t="s">
        <v>1</v>
      </c>
      <c r="L218" s="65">
        <v>1</v>
      </c>
      <c r="M218" s="99"/>
      <c r="N218" s="70"/>
      <c r="O218" s="66"/>
      <c r="P218" s="57"/>
      <c r="Q218" s="58"/>
      <c r="R218" s="77"/>
      <c r="S218" s="1" t="s">
        <v>17934</v>
      </c>
      <c r="T218" s="68"/>
      <c r="U218" s="76"/>
      <c r="V218" s="70"/>
      <c r="W218" s="120">
        <f>ROUND((ROUND((ROUND((ROUND((_15_同援日増４．５*_15・基礎２),0)*_15・２人),0)*(1+_15・A深夜)),0)*(1+_15・区４)),0)</f>
        <v>1071</v>
      </c>
      <c r="X218" s="69"/>
    </row>
    <row r="219" spans="1:24" ht="16.5" customHeight="1" x14ac:dyDescent="0.3">
      <c r="A219" s="2">
        <v>15</v>
      </c>
      <c r="B219" s="2" t="s">
        <v>3039</v>
      </c>
      <c r="C219" s="60" t="s">
        <v>13342</v>
      </c>
      <c r="D219" s="1"/>
      <c r="E219" s="68"/>
      <c r="F219" s="70"/>
      <c r="G219" s="61"/>
      <c r="H219" s="62"/>
      <c r="I219" s="63"/>
      <c r="J219" s="85"/>
      <c r="K219" s="64"/>
      <c r="L219" s="65"/>
      <c r="M219" s="99"/>
      <c r="N219" s="70"/>
      <c r="O219" s="74" t="s">
        <v>17933</v>
      </c>
      <c r="P219" s="62"/>
      <c r="Q219" s="63"/>
      <c r="R219" s="75"/>
      <c r="S219" s="67"/>
      <c r="T219" s="68" t="s">
        <v>1</v>
      </c>
      <c r="U219" s="76">
        <v>0.4</v>
      </c>
      <c r="V219" s="70" t="s">
        <v>422</v>
      </c>
      <c r="W219" s="120">
        <f>ROUND((ROUND((ROUND((_15_同援日増４．５*(1+_15・A深夜)),0)*(1+_15・盲ろう)),0)*(1+_15・区４)),0)</f>
        <v>1490</v>
      </c>
      <c r="X219" s="69"/>
    </row>
    <row r="220" spans="1:24" ht="16.5" customHeight="1" x14ac:dyDescent="0.3">
      <c r="A220" s="2">
        <v>15</v>
      </c>
      <c r="B220" s="2" t="s">
        <v>3040</v>
      </c>
      <c r="C220" s="60" t="s">
        <v>13341</v>
      </c>
      <c r="D220" s="1"/>
      <c r="E220" s="68"/>
      <c r="F220" s="70"/>
      <c r="G220" s="66"/>
      <c r="H220" s="57"/>
      <c r="I220" s="58"/>
      <c r="J220" s="83" t="s">
        <v>5895</v>
      </c>
      <c r="K220" s="64" t="s">
        <v>1</v>
      </c>
      <c r="L220" s="65">
        <v>1</v>
      </c>
      <c r="M220" s="99"/>
      <c r="N220" s="70"/>
      <c r="O220" s="94" t="s">
        <v>17932</v>
      </c>
      <c r="P220" s="68"/>
      <c r="Q220" s="76"/>
      <c r="R220" s="70"/>
      <c r="S220" s="67"/>
      <c r="T220" s="68"/>
      <c r="U220" s="76"/>
      <c r="V220" s="70"/>
      <c r="W220" s="120">
        <f>ROUND((ROUND((ROUND((ROUND((_15_同援日増４．５*_15・２人),0)*(1+_15・A深夜)),0)*(1+_15・盲ろう)),0)*(1+_15・区４)),0)</f>
        <v>1490</v>
      </c>
      <c r="X220" s="69"/>
    </row>
    <row r="221" spans="1:24" ht="16.5" customHeight="1" x14ac:dyDescent="0.3">
      <c r="A221" s="2">
        <v>15</v>
      </c>
      <c r="B221" s="2" t="s">
        <v>3041</v>
      </c>
      <c r="C221" s="60" t="s">
        <v>13340</v>
      </c>
      <c r="D221" s="1"/>
      <c r="E221" s="68"/>
      <c r="F221" s="70"/>
      <c r="G221" s="74" t="s">
        <v>17747</v>
      </c>
      <c r="H221" s="62"/>
      <c r="I221" s="63"/>
      <c r="J221" s="85"/>
      <c r="K221" s="64"/>
      <c r="L221" s="65"/>
      <c r="M221" s="99"/>
      <c r="N221" s="70"/>
      <c r="O221" s="67"/>
      <c r="P221" s="68" t="s">
        <v>1</v>
      </c>
      <c r="Q221" s="76">
        <v>0.25</v>
      </c>
      <c r="R221" s="70" t="s">
        <v>422</v>
      </c>
      <c r="S221" s="67"/>
      <c r="T221" s="68"/>
      <c r="U221" s="76"/>
      <c r="V221" s="70"/>
      <c r="W221" s="120">
        <f>ROUND((ROUND((ROUND((ROUND((_15_同援日増４．５*_15・基礎２),0)*(1+_15・A深夜)),0)*(1+_15・盲ろう)),0)*(1+_15・区４)),0)</f>
        <v>1338</v>
      </c>
      <c r="X221" s="69"/>
    </row>
    <row r="222" spans="1:24" ht="16.5" customHeight="1" x14ac:dyDescent="0.3">
      <c r="A222" s="2">
        <v>15</v>
      </c>
      <c r="B222" s="2" t="s">
        <v>3042</v>
      </c>
      <c r="C222" s="60" t="s">
        <v>13339</v>
      </c>
      <c r="D222" s="81"/>
      <c r="E222" s="57"/>
      <c r="F222" s="77"/>
      <c r="G222" s="106" t="s">
        <v>17420</v>
      </c>
      <c r="H222" s="57" t="s">
        <v>1</v>
      </c>
      <c r="I222" s="58">
        <v>0.9</v>
      </c>
      <c r="J222" s="83" t="s">
        <v>5895</v>
      </c>
      <c r="K222" s="64" t="s">
        <v>1</v>
      </c>
      <c r="L222" s="65">
        <v>1</v>
      </c>
      <c r="M222" s="99"/>
      <c r="N222" s="70"/>
      <c r="O222" s="66"/>
      <c r="P222" s="57"/>
      <c r="Q222" s="58"/>
      <c r="R222" s="77"/>
      <c r="S222" s="66"/>
      <c r="T222" s="57"/>
      <c r="U222" s="58"/>
      <c r="V222" s="77"/>
      <c r="W222" s="120">
        <f>ROUND((ROUND((ROUND((ROUND((ROUND((_15_同援日増４．５*_15・基礎２),0)*_15・２人),0)*(1+_15・A深夜)),0)*(1+_15・盲ろう)),0)*(1+_15・区４)),0)</f>
        <v>1338</v>
      </c>
      <c r="X222" s="69"/>
    </row>
    <row r="223" spans="1:24" ht="16.5" customHeight="1" x14ac:dyDescent="0.3">
      <c r="A223" s="2">
        <v>15</v>
      </c>
      <c r="B223" s="2" t="s">
        <v>3043</v>
      </c>
      <c r="C223" s="60" t="s">
        <v>13338</v>
      </c>
      <c r="D223" s="233" t="s">
        <v>18202</v>
      </c>
      <c r="E223" s="62"/>
      <c r="F223" s="75"/>
      <c r="G223" s="61"/>
      <c r="H223" s="62"/>
      <c r="I223" s="63"/>
      <c r="J223" s="85"/>
      <c r="K223" s="64"/>
      <c r="L223" s="65"/>
      <c r="M223" s="99"/>
      <c r="N223" s="70"/>
      <c r="O223" s="61"/>
      <c r="P223" s="62"/>
      <c r="Q223" s="63"/>
      <c r="R223" s="75"/>
      <c r="S223" s="61"/>
      <c r="T223" s="62"/>
      <c r="U223" s="63"/>
      <c r="V223" s="75"/>
      <c r="W223" s="120">
        <f>ROUND((_15_同援日増５．０*(1+_15・A深夜)),0)</f>
        <v>945</v>
      </c>
      <c r="X223" s="69"/>
    </row>
    <row r="224" spans="1:24" ht="16.5" customHeight="1" x14ac:dyDescent="0.3">
      <c r="A224" s="2">
        <v>15</v>
      </c>
      <c r="B224" s="2" t="s">
        <v>3044</v>
      </c>
      <c r="C224" s="60" t="s">
        <v>13337</v>
      </c>
      <c r="D224" s="1" t="s">
        <v>17758</v>
      </c>
      <c r="E224" s="68"/>
      <c r="F224" s="70"/>
      <c r="G224" s="66"/>
      <c r="H224" s="57"/>
      <c r="I224" s="58"/>
      <c r="J224" s="83" t="s">
        <v>5895</v>
      </c>
      <c r="K224" s="64" t="s">
        <v>1</v>
      </c>
      <c r="L224" s="65">
        <v>1</v>
      </c>
      <c r="M224" s="99"/>
      <c r="N224" s="70"/>
      <c r="O224" s="67"/>
      <c r="P224" s="68"/>
      <c r="Q224" s="76"/>
      <c r="R224" s="70"/>
      <c r="S224" s="67"/>
      <c r="T224" s="68"/>
      <c r="U224" s="76"/>
      <c r="V224" s="70"/>
      <c r="W224" s="120">
        <f>ROUND((ROUND((_15_同援日増５．０*_15・２人),0)*(1+_15・A深夜)),0)</f>
        <v>945</v>
      </c>
      <c r="X224" s="69"/>
    </row>
    <row r="225" spans="1:24" ht="16.5" customHeight="1" x14ac:dyDescent="0.3">
      <c r="A225" s="2">
        <v>15</v>
      </c>
      <c r="B225" s="2" t="s">
        <v>3045</v>
      </c>
      <c r="C225" s="60" t="s">
        <v>13336</v>
      </c>
      <c r="D225" s="1" t="s">
        <v>9035</v>
      </c>
      <c r="E225" s="68"/>
      <c r="F225" s="70"/>
      <c r="G225" s="74" t="s">
        <v>17747</v>
      </c>
      <c r="H225" s="62"/>
      <c r="I225" s="63"/>
      <c r="J225" s="85"/>
      <c r="K225" s="64"/>
      <c r="L225" s="65"/>
      <c r="M225" s="99"/>
      <c r="N225" s="70"/>
      <c r="O225" s="67"/>
      <c r="P225" s="68"/>
      <c r="Q225" s="76"/>
      <c r="R225" s="70"/>
      <c r="S225" s="67"/>
      <c r="T225" s="68"/>
      <c r="U225" s="76"/>
      <c r="V225" s="70"/>
      <c r="W225" s="120">
        <f>ROUND((ROUND((_15_同援日増５．０*_15・基礎２),0)*(1+_15・A深夜)),0)</f>
        <v>851</v>
      </c>
      <c r="X225" s="69"/>
    </row>
    <row r="226" spans="1:24" ht="16.5" customHeight="1" x14ac:dyDescent="0.3">
      <c r="A226" s="2">
        <v>15</v>
      </c>
      <c r="B226" s="2" t="s">
        <v>3046</v>
      </c>
      <c r="C226" s="60" t="s">
        <v>13335</v>
      </c>
      <c r="D226" s="1"/>
      <c r="E226" s="119">
        <v>630</v>
      </c>
      <c r="F226" s="70" t="s">
        <v>0</v>
      </c>
      <c r="G226" s="106" t="s">
        <v>17420</v>
      </c>
      <c r="H226" s="57" t="s">
        <v>1</v>
      </c>
      <c r="I226" s="58">
        <v>0.9</v>
      </c>
      <c r="J226" s="83" t="s">
        <v>5895</v>
      </c>
      <c r="K226" s="64" t="s">
        <v>1</v>
      </c>
      <c r="L226" s="65">
        <v>1</v>
      </c>
      <c r="M226" s="99"/>
      <c r="N226" s="70"/>
      <c r="O226" s="66"/>
      <c r="P226" s="57"/>
      <c r="Q226" s="58"/>
      <c r="R226" s="77"/>
      <c r="S226" s="67"/>
      <c r="T226" s="68"/>
      <c r="U226" s="76"/>
      <c r="V226" s="70"/>
      <c r="W226" s="120">
        <f>ROUND((ROUND((ROUND((_15_同援日増５．０*_15・基礎２),0)*_15・２人),0)*(1+_15・A深夜)),0)</f>
        <v>851</v>
      </c>
      <c r="X226" s="69"/>
    </row>
    <row r="227" spans="1:24" ht="16.5" customHeight="1" x14ac:dyDescent="0.3">
      <c r="A227" s="2">
        <v>15</v>
      </c>
      <c r="B227" s="2" t="s">
        <v>3047</v>
      </c>
      <c r="C227" s="60" t="s">
        <v>13334</v>
      </c>
      <c r="D227" s="1"/>
      <c r="E227" s="68"/>
      <c r="F227" s="70"/>
      <c r="G227" s="61"/>
      <c r="H227" s="62"/>
      <c r="I227" s="63"/>
      <c r="J227" s="85"/>
      <c r="K227" s="64"/>
      <c r="L227" s="65"/>
      <c r="M227" s="99"/>
      <c r="N227" s="70"/>
      <c r="O227" s="74" t="s">
        <v>17933</v>
      </c>
      <c r="P227" s="62"/>
      <c r="Q227" s="63"/>
      <c r="R227" s="75"/>
      <c r="S227" s="67"/>
      <c r="T227" s="68"/>
      <c r="U227" s="76"/>
      <c r="V227" s="70"/>
      <c r="W227" s="120">
        <f>ROUND((ROUND((_15_同援日増５．０*(1+_15・A深夜)),0)*(1+_15・盲ろう)),0)</f>
        <v>1181</v>
      </c>
      <c r="X227" s="69"/>
    </row>
    <row r="228" spans="1:24" ht="16.5" customHeight="1" x14ac:dyDescent="0.3">
      <c r="A228" s="2">
        <v>15</v>
      </c>
      <c r="B228" s="2" t="s">
        <v>3048</v>
      </c>
      <c r="C228" s="60" t="s">
        <v>13333</v>
      </c>
      <c r="D228" s="1"/>
      <c r="E228" s="68"/>
      <c r="F228" s="70"/>
      <c r="G228" s="66"/>
      <c r="H228" s="57"/>
      <c r="I228" s="58"/>
      <c r="J228" s="83" t="s">
        <v>5895</v>
      </c>
      <c r="K228" s="64" t="s">
        <v>1</v>
      </c>
      <c r="L228" s="65">
        <v>1</v>
      </c>
      <c r="M228" s="99"/>
      <c r="N228" s="70"/>
      <c r="O228" s="94" t="s">
        <v>17932</v>
      </c>
      <c r="P228" s="68"/>
      <c r="Q228" s="76"/>
      <c r="R228" s="70"/>
      <c r="S228" s="67"/>
      <c r="T228" s="68"/>
      <c r="U228" s="76"/>
      <c r="V228" s="70"/>
      <c r="W228" s="120">
        <f>ROUND((ROUND((ROUND((_15_同援日増５．０*_15・２人),0)*(1+_15・A深夜)),0)*(1+_15・盲ろう)),0)</f>
        <v>1181</v>
      </c>
      <c r="X228" s="69"/>
    </row>
    <row r="229" spans="1:24" ht="16.5" customHeight="1" x14ac:dyDescent="0.3">
      <c r="A229" s="2">
        <v>15</v>
      </c>
      <c r="B229" s="2" t="s">
        <v>3049</v>
      </c>
      <c r="C229" s="60" t="s">
        <v>13332</v>
      </c>
      <c r="D229" s="1"/>
      <c r="E229" s="68"/>
      <c r="F229" s="70"/>
      <c r="G229" s="74" t="s">
        <v>17747</v>
      </c>
      <c r="H229" s="62"/>
      <c r="I229" s="63"/>
      <c r="J229" s="85"/>
      <c r="K229" s="64"/>
      <c r="L229" s="65"/>
      <c r="M229" s="99"/>
      <c r="N229" s="70"/>
      <c r="O229" s="67"/>
      <c r="P229" s="68" t="s">
        <v>1</v>
      </c>
      <c r="Q229" s="76">
        <v>0.25</v>
      </c>
      <c r="R229" s="70" t="s">
        <v>422</v>
      </c>
      <c r="S229" s="67"/>
      <c r="T229" s="68"/>
      <c r="U229" s="76"/>
      <c r="V229" s="70"/>
      <c r="W229" s="120">
        <f>ROUND((ROUND((ROUND((_15_同援日増５．０*_15・基礎２),0)*(1+_15・A深夜)),0)*(1+_15・盲ろう)),0)</f>
        <v>1064</v>
      </c>
      <c r="X229" s="69"/>
    </row>
    <row r="230" spans="1:24" ht="16.5" customHeight="1" x14ac:dyDescent="0.3">
      <c r="A230" s="2">
        <v>15</v>
      </c>
      <c r="B230" s="2" t="s">
        <v>3050</v>
      </c>
      <c r="C230" s="60" t="s">
        <v>13331</v>
      </c>
      <c r="D230" s="1"/>
      <c r="E230" s="68"/>
      <c r="F230" s="70"/>
      <c r="G230" s="106" t="s">
        <v>17420</v>
      </c>
      <c r="H230" s="57" t="s">
        <v>1</v>
      </c>
      <c r="I230" s="58">
        <v>0.9</v>
      </c>
      <c r="J230" s="83" t="s">
        <v>5895</v>
      </c>
      <c r="K230" s="64" t="s">
        <v>1</v>
      </c>
      <c r="L230" s="65">
        <v>1</v>
      </c>
      <c r="M230" s="99"/>
      <c r="N230" s="70"/>
      <c r="O230" s="66"/>
      <c r="P230" s="57"/>
      <c r="Q230" s="58"/>
      <c r="R230" s="77"/>
      <c r="S230" s="66"/>
      <c r="T230" s="57"/>
      <c r="U230" s="58"/>
      <c r="V230" s="77"/>
      <c r="W230" s="120">
        <f>ROUND((ROUND((ROUND((ROUND((_15_同援日増５．０*_15・基礎２),0)*_15・２人),0)*(1+_15・A深夜)),0)*(1+_15・盲ろう)),0)</f>
        <v>1064</v>
      </c>
      <c r="X230" s="69"/>
    </row>
    <row r="231" spans="1:24" ht="16.5" customHeight="1" x14ac:dyDescent="0.3">
      <c r="A231" s="2">
        <v>15</v>
      </c>
      <c r="B231" s="2" t="s">
        <v>3051</v>
      </c>
      <c r="C231" s="60" t="s">
        <v>13330</v>
      </c>
      <c r="D231" s="1"/>
      <c r="E231" s="68"/>
      <c r="F231" s="70"/>
      <c r="G231" s="61"/>
      <c r="H231" s="62"/>
      <c r="I231" s="63"/>
      <c r="J231" s="85"/>
      <c r="K231" s="64"/>
      <c r="L231" s="65"/>
      <c r="M231" s="99"/>
      <c r="N231" s="70"/>
      <c r="O231" s="61"/>
      <c r="P231" s="62"/>
      <c r="Q231" s="63"/>
      <c r="R231" s="75"/>
      <c r="S231" s="61"/>
      <c r="T231" s="62"/>
      <c r="U231" s="63"/>
      <c r="V231" s="75"/>
      <c r="W231" s="120">
        <f>ROUND((ROUND((_15_同援日増５．０*(1+_15・A深夜)),0)*(1+_15・区３)),0)</f>
        <v>1134</v>
      </c>
      <c r="X231" s="69"/>
    </row>
    <row r="232" spans="1:24" ht="16.5" customHeight="1" x14ac:dyDescent="0.3">
      <c r="A232" s="2">
        <v>15</v>
      </c>
      <c r="B232" s="2" t="s">
        <v>3052</v>
      </c>
      <c r="C232" s="60" t="s">
        <v>13329</v>
      </c>
      <c r="D232" s="1"/>
      <c r="E232" s="68"/>
      <c r="F232" s="70"/>
      <c r="G232" s="66"/>
      <c r="H232" s="57"/>
      <c r="I232" s="58"/>
      <c r="J232" s="83" t="s">
        <v>5895</v>
      </c>
      <c r="K232" s="64" t="s">
        <v>1</v>
      </c>
      <c r="L232" s="65">
        <v>1</v>
      </c>
      <c r="M232" s="99"/>
      <c r="N232" s="70"/>
      <c r="O232" s="67"/>
      <c r="P232" s="68"/>
      <c r="Q232" s="76"/>
      <c r="R232" s="70"/>
      <c r="S232" s="67"/>
      <c r="T232" s="68"/>
      <c r="U232" s="76"/>
      <c r="V232" s="70"/>
      <c r="W232" s="120">
        <f>ROUND((ROUND((ROUND((_15_同援日増５．０*_15・２人),0)*(1+_15・A深夜)),0)*(1+_15・区３)),0)</f>
        <v>1134</v>
      </c>
      <c r="X232" s="69"/>
    </row>
    <row r="233" spans="1:24" ht="16.5" customHeight="1" x14ac:dyDescent="0.3">
      <c r="A233" s="2">
        <v>15</v>
      </c>
      <c r="B233" s="2" t="s">
        <v>3053</v>
      </c>
      <c r="C233" s="60" t="s">
        <v>13328</v>
      </c>
      <c r="D233" s="1"/>
      <c r="E233" s="68"/>
      <c r="F233" s="70"/>
      <c r="G233" s="74" t="s">
        <v>17747</v>
      </c>
      <c r="H233" s="62"/>
      <c r="I233" s="63"/>
      <c r="J233" s="85"/>
      <c r="K233" s="64"/>
      <c r="L233" s="65"/>
      <c r="M233" s="99"/>
      <c r="N233" s="70"/>
      <c r="O233" s="67"/>
      <c r="P233" s="68"/>
      <c r="Q233" s="76"/>
      <c r="R233" s="70"/>
      <c r="S233" s="1" t="s">
        <v>17936</v>
      </c>
      <c r="T233" s="68"/>
      <c r="U233" s="76"/>
      <c r="V233" s="70"/>
      <c r="W233" s="120">
        <f>ROUND((ROUND((ROUND((_15_同援日増５．０*_15・基礎２),0)*(1+_15・A深夜)),0)*(1+_15・区３)),0)</f>
        <v>1021</v>
      </c>
      <c r="X233" s="69"/>
    </row>
    <row r="234" spans="1:24" ht="16.5" customHeight="1" x14ac:dyDescent="0.3">
      <c r="A234" s="2">
        <v>15</v>
      </c>
      <c r="B234" s="2" t="s">
        <v>3054</v>
      </c>
      <c r="C234" s="60" t="s">
        <v>13327</v>
      </c>
      <c r="D234" s="1"/>
      <c r="E234" s="68"/>
      <c r="F234" s="70"/>
      <c r="G234" s="106" t="s">
        <v>17420</v>
      </c>
      <c r="H234" s="57" t="s">
        <v>1</v>
      </c>
      <c r="I234" s="58">
        <v>0.9</v>
      </c>
      <c r="J234" s="83" t="s">
        <v>5895</v>
      </c>
      <c r="K234" s="64" t="s">
        <v>1</v>
      </c>
      <c r="L234" s="65">
        <v>1</v>
      </c>
      <c r="M234" s="99"/>
      <c r="N234" s="70"/>
      <c r="O234" s="66"/>
      <c r="P234" s="57"/>
      <c r="Q234" s="58"/>
      <c r="R234" s="77"/>
      <c r="S234" s="1" t="s">
        <v>17934</v>
      </c>
      <c r="T234" s="68"/>
      <c r="U234" s="76"/>
      <c r="V234" s="70"/>
      <c r="W234" s="120">
        <f>ROUND((ROUND((ROUND((ROUND((_15_同援日増５．０*_15・基礎２),0)*_15・２人),0)*(1+_15・A深夜)),0)*(1+_15・区３)),0)</f>
        <v>1021</v>
      </c>
      <c r="X234" s="69"/>
    </row>
    <row r="235" spans="1:24" ht="16.5" customHeight="1" x14ac:dyDescent="0.3">
      <c r="A235" s="2">
        <v>15</v>
      </c>
      <c r="B235" s="2" t="s">
        <v>3055</v>
      </c>
      <c r="C235" s="60" t="s">
        <v>13326</v>
      </c>
      <c r="D235" s="1"/>
      <c r="E235" s="68"/>
      <c r="F235" s="70"/>
      <c r="G235" s="61"/>
      <c r="H235" s="62"/>
      <c r="I235" s="63"/>
      <c r="J235" s="85"/>
      <c r="K235" s="64"/>
      <c r="L235" s="65"/>
      <c r="M235" s="99"/>
      <c r="N235" s="70"/>
      <c r="O235" s="74" t="s">
        <v>8085</v>
      </c>
      <c r="P235" s="62"/>
      <c r="Q235" s="63"/>
      <c r="R235" s="75"/>
      <c r="S235" s="67"/>
      <c r="T235" s="68" t="s">
        <v>1</v>
      </c>
      <c r="U235" s="76">
        <v>0.2</v>
      </c>
      <c r="V235" s="70" t="s">
        <v>422</v>
      </c>
      <c r="W235" s="120">
        <f>ROUND((ROUND((ROUND((_15_同援日増５．０*(1+_15・A深夜)),0)*(1+_15・盲ろう)),0)*(1+_15・区３)),0)</f>
        <v>1417</v>
      </c>
      <c r="X235" s="69"/>
    </row>
    <row r="236" spans="1:24" ht="16.5" customHeight="1" x14ac:dyDescent="0.3">
      <c r="A236" s="2">
        <v>15</v>
      </c>
      <c r="B236" s="2" t="s">
        <v>3056</v>
      </c>
      <c r="C236" s="60" t="s">
        <v>13325</v>
      </c>
      <c r="D236" s="1"/>
      <c r="E236" s="68"/>
      <c r="F236" s="70"/>
      <c r="G236" s="66"/>
      <c r="H236" s="57"/>
      <c r="I236" s="58"/>
      <c r="J236" s="83" t="s">
        <v>5895</v>
      </c>
      <c r="K236" s="64" t="s">
        <v>1</v>
      </c>
      <c r="L236" s="65">
        <v>1</v>
      </c>
      <c r="M236" s="99"/>
      <c r="N236" s="70"/>
      <c r="O236" s="94" t="s">
        <v>8083</v>
      </c>
      <c r="P236" s="68"/>
      <c r="Q236" s="76"/>
      <c r="R236" s="70"/>
      <c r="S236" s="67"/>
      <c r="T236" s="68"/>
      <c r="U236" s="76"/>
      <c r="V236" s="70"/>
      <c r="W236" s="120">
        <f>ROUND((ROUND((ROUND((ROUND((_15_同援日増５．０*_15・２人),0)*(1+_15・A深夜)),0)*(1+_15・盲ろう)),0)*(1+_15・区３)),0)</f>
        <v>1417</v>
      </c>
      <c r="X236" s="69"/>
    </row>
    <row r="237" spans="1:24" ht="16.5" customHeight="1" x14ac:dyDescent="0.3">
      <c r="A237" s="2">
        <v>15</v>
      </c>
      <c r="B237" s="2" t="s">
        <v>3057</v>
      </c>
      <c r="C237" s="60" t="s">
        <v>13324</v>
      </c>
      <c r="D237" s="1"/>
      <c r="E237" s="68"/>
      <c r="F237" s="70"/>
      <c r="G237" s="74" t="s">
        <v>17747</v>
      </c>
      <c r="H237" s="62"/>
      <c r="I237" s="63"/>
      <c r="J237" s="85"/>
      <c r="K237" s="64"/>
      <c r="L237" s="65"/>
      <c r="M237" s="99"/>
      <c r="N237" s="70"/>
      <c r="O237" s="67"/>
      <c r="P237" s="68" t="s">
        <v>1</v>
      </c>
      <c r="Q237" s="76">
        <v>0.25</v>
      </c>
      <c r="R237" s="70" t="s">
        <v>422</v>
      </c>
      <c r="S237" s="67"/>
      <c r="T237" s="68"/>
      <c r="U237" s="76"/>
      <c r="V237" s="70"/>
      <c r="W237" s="120">
        <f>ROUND((ROUND((ROUND((ROUND((_15_同援日増５．０*_15・基礎２),0)*(1+_15・A深夜)),0)*(1+_15・盲ろう)),0)*(1+_15・区３)),0)</f>
        <v>1277</v>
      </c>
      <c r="X237" s="69"/>
    </row>
    <row r="238" spans="1:24" ht="16.5" customHeight="1" x14ac:dyDescent="0.3">
      <c r="A238" s="2">
        <v>15</v>
      </c>
      <c r="B238" s="2" t="s">
        <v>3058</v>
      </c>
      <c r="C238" s="60" t="s">
        <v>13323</v>
      </c>
      <c r="D238" s="1"/>
      <c r="E238" s="68"/>
      <c r="F238" s="70"/>
      <c r="G238" s="106" t="s">
        <v>17420</v>
      </c>
      <c r="H238" s="57" t="s">
        <v>1</v>
      </c>
      <c r="I238" s="58">
        <v>0.9</v>
      </c>
      <c r="J238" s="83" t="s">
        <v>5895</v>
      </c>
      <c r="K238" s="64" t="s">
        <v>1</v>
      </c>
      <c r="L238" s="65">
        <v>1</v>
      </c>
      <c r="M238" s="99"/>
      <c r="N238" s="70"/>
      <c r="O238" s="66"/>
      <c r="P238" s="57"/>
      <c r="Q238" s="58"/>
      <c r="R238" s="77"/>
      <c r="S238" s="66"/>
      <c r="T238" s="57"/>
      <c r="U238" s="58"/>
      <c r="V238" s="77"/>
      <c r="W238" s="120">
        <f>ROUND((ROUND((ROUND((ROUND((ROUND((_15_同援日増５．０*_15・基礎２),0)*_15・２人),0)*(1+_15・A深夜)),0)*(1+_15・盲ろう)),0)*(1+_15・区３)),0)</f>
        <v>1277</v>
      </c>
      <c r="X238" s="69"/>
    </row>
    <row r="239" spans="1:24" ht="16.5" customHeight="1" x14ac:dyDescent="0.3">
      <c r="A239" s="2">
        <v>15</v>
      </c>
      <c r="B239" s="2" t="s">
        <v>3059</v>
      </c>
      <c r="C239" s="60" t="s">
        <v>13322</v>
      </c>
      <c r="D239" s="1"/>
      <c r="E239" s="68"/>
      <c r="F239" s="70"/>
      <c r="G239" s="61"/>
      <c r="H239" s="62"/>
      <c r="I239" s="63"/>
      <c r="J239" s="85"/>
      <c r="K239" s="64"/>
      <c r="L239" s="65"/>
      <c r="M239" s="99"/>
      <c r="N239" s="70"/>
      <c r="O239" s="61"/>
      <c r="P239" s="62"/>
      <c r="Q239" s="63"/>
      <c r="R239" s="75"/>
      <c r="S239" s="61"/>
      <c r="T239" s="62"/>
      <c r="U239" s="63"/>
      <c r="V239" s="75"/>
      <c r="W239" s="120">
        <f>ROUND((ROUND((_15_同援日増５．０*(1+_15・A深夜)),0)*(1+_15・区４)),0)</f>
        <v>1323</v>
      </c>
      <c r="X239" s="69"/>
    </row>
    <row r="240" spans="1:24" ht="16.5" customHeight="1" x14ac:dyDescent="0.3">
      <c r="A240" s="2">
        <v>15</v>
      </c>
      <c r="B240" s="2" t="s">
        <v>3060</v>
      </c>
      <c r="C240" s="60" t="s">
        <v>13321</v>
      </c>
      <c r="D240" s="1"/>
      <c r="E240" s="68"/>
      <c r="F240" s="70"/>
      <c r="G240" s="66"/>
      <c r="H240" s="57"/>
      <c r="I240" s="58"/>
      <c r="J240" s="83" t="s">
        <v>5895</v>
      </c>
      <c r="K240" s="64" t="s">
        <v>1</v>
      </c>
      <c r="L240" s="65">
        <v>1</v>
      </c>
      <c r="M240" s="99"/>
      <c r="N240" s="70"/>
      <c r="O240" s="67"/>
      <c r="P240" s="68"/>
      <c r="Q240" s="76"/>
      <c r="R240" s="70"/>
      <c r="S240" s="67"/>
      <c r="T240" s="68"/>
      <c r="U240" s="76"/>
      <c r="V240" s="70"/>
      <c r="W240" s="120">
        <f>ROUND((ROUND((ROUND((_15_同援日増５．０*_15・２人),0)*(1+_15・A深夜)),0)*(1+_15・区４)),0)</f>
        <v>1323</v>
      </c>
      <c r="X240" s="69"/>
    </row>
    <row r="241" spans="1:24" ht="16.5" customHeight="1" x14ac:dyDescent="0.3">
      <c r="A241" s="2">
        <v>15</v>
      </c>
      <c r="B241" s="2" t="s">
        <v>3061</v>
      </c>
      <c r="C241" s="60" t="s">
        <v>13320</v>
      </c>
      <c r="D241" s="1"/>
      <c r="E241" s="68"/>
      <c r="F241" s="70"/>
      <c r="G241" s="74" t="s">
        <v>17747</v>
      </c>
      <c r="H241" s="62"/>
      <c r="I241" s="63"/>
      <c r="J241" s="85"/>
      <c r="K241" s="64"/>
      <c r="L241" s="65"/>
      <c r="M241" s="99"/>
      <c r="N241" s="70"/>
      <c r="O241" s="67"/>
      <c r="P241" s="68"/>
      <c r="Q241" s="76"/>
      <c r="R241" s="70"/>
      <c r="S241" s="1" t="s">
        <v>17935</v>
      </c>
      <c r="T241" s="68"/>
      <c r="U241" s="76"/>
      <c r="V241" s="70"/>
      <c r="W241" s="120">
        <f>ROUND((ROUND((ROUND((_15_同援日増５．０*_15・基礎２),0)*(1+_15・A深夜)),0)*(1+_15・区４)),0)</f>
        <v>1191</v>
      </c>
      <c r="X241" s="69"/>
    </row>
    <row r="242" spans="1:24" ht="16.5" customHeight="1" x14ac:dyDescent="0.3">
      <c r="A242" s="2">
        <v>15</v>
      </c>
      <c r="B242" s="2" t="s">
        <v>3062</v>
      </c>
      <c r="C242" s="60" t="s">
        <v>13319</v>
      </c>
      <c r="D242" s="1"/>
      <c r="E242" s="68"/>
      <c r="F242" s="70"/>
      <c r="G242" s="106" t="s">
        <v>17420</v>
      </c>
      <c r="H242" s="57" t="s">
        <v>1</v>
      </c>
      <c r="I242" s="58">
        <v>0.9</v>
      </c>
      <c r="J242" s="83" t="s">
        <v>5895</v>
      </c>
      <c r="K242" s="64" t="s">
        <v>1</v>
      </c>
      <c r="L242" s="65">
        <v>1</v>
      </c>
      <c r="M242" s="99"/>
      <c r="N242" s="70"/>
      <c r="O242" s="66"/>
      <c r="P242" s="57"/>
      <c r="Q242" s="58"/>
      <c r="R242" s="77"/>
      <c r="S242" s="1" t="s">
        <v>17934</v>
      </c>
      <c r="T242" s="68"/>
      <c r="U242" s="76"/>
      <c r="V242" s="70"/>
      <c r="W242" s="120">
        <f>ROUND((ROUND((ROUND((ROUND((_15_同援日増５．０*_15・基礎２),0)*_15・２人),0)*(1+_15・A深夜)),0)*(1+_15・区４)),0)</f>
        <v>1191</v>
      </c>
      <c r="X242" s="69"/>
    </row>
    <row r="243" spans="1:24" ht="16.5" customHeight="1" x14ac:dyDescent="0.3">
      <c r="A243" s="2">
        <v>15</v>
      </c>
      <c r="B243" s="2" t="s">
        <v>3063</v>
      </c>
      <c r="C243" s="60" t="s">
        <v>13318</v>
      </c>
      <c r="D243" s="1"/>
      <c r="E243" s="68"/>
      <c r="F243" s="70"/>
      <c r="G243" s="61"/>
      <c r="H243" s="62"/>
      <c r="I243" s="63"/>
      <c r="J243" s="85"/>
      <c r="K243" s="64"/>
      <c r="L243" s="65"/>
      <c r="M243" s="99"/>
      <c r="N243" s="70"/>
      <c r="O243" s="74" t="s">
        <v>17933</v>
      </c>
      <c r="P243" s="62"/>
      <c r="Q243" s="63"/>
      <c r="R243" s="75"/>
      <c r="S243" s="67"/>
      <c r="T243" s="68" t="s">
        <v>1</v>
      </c>
      <c r="U243" s="76">
        <v>0.4</v>
      </c>
      <c r="V243" s="70" t="s">
        <v>422</v>
      </c>
      <c r="W243" s="120">
        <f>ROUND((ROUND((ROUND((_15_同援日増５．０*(1+_15・A深夜)),0)*(1+_15・盲ろう)),0)*(1+_15・区４)),0)</f>
        <v>1653</v>
      </c>
      <c r="X243" s="69"/>
    </row>
    <row r="244" spans="1:24" ht="16.5" customHeight="1" x14ac:dyDescent="0.3">
      <c r="A244" s="2">
        <v>15</v>
      </c>
      <c r="B244" s="2" t="s">
        <v>3064</v>
      </c>
      <c r="C244" s="60" t="s">
        <v>13317</v>
      </c>
      <c r="D244" s="1"/>
      <c r="E244" s="68"/>
      <c r="F244" s="70"/>
      <c r="G244" s="66"/>
      <c r="H244" s="57"/>
      <c r="I244" s="58"/>
      <c r="J244" s="83" t="s">
        <v>5895</v>
      </c>
      <c r="K244" s="64" t="s">
        <v>1</v>
      </c>
      <c r="L244" s="65">
        <v>1</v>
      </c>
      <c r="M244" s="99"/>
      <c r="N244" s="70"/>
      <c r="O244" s="94" t="s">
        <v>8083</v>
      </c>
      <c r="P244" s="68"/>
      <c r="Q244" s="76"/>
      <c r="R244" s="70"/>
      <c r="S244" s="67"/>
      <c r="T244" s="68"/>
      <c r="U244" s="76"/>
      <c r="V244" s="70"/>
      <c r="W244" s="120">
        <f>ROUND((ROUND((ROUND((ROUND((_15_同援日増５．０*_15・２人),0)*(1+_15・A深夜)),0)*(1+_15・盲ろう)),0)*(1+_15・区４)),0)</f>
        <v>1653</v>
      </c>
      <c r="X244" s="69"/>
    </row>
    <row r="245" spans="1:24" ht="16.5" customHeight="1" x14ac:dyDescent="0.3">
      <c r="A245" s="2">
        <v>15</v>
      </c>
      <c r="B245" s="2" t="s">
        <v>3065</v>
      </c>
      <c r="C245" s="60" t="s">
        <v>13316</v>
      </c>
      <c r="D245" s="1"/>
      <c r="E245" s="68"/>
      <c r="F245" s="70"/>
      <c r="G245" s="74" t="s">
        <v>17747</v>
      </c>
      <c r="H245" s="62"/>
      <c r="I245" s="63"/>
      <c r="J245" s="85"/>
      <c r="K245" s="64"/>
      <c r="L245" s="65"/>
      <c r="M245" s="99"/>
      <c r="N245" s="70"/>
      <c r="O245" s="67"/>
      <c r="P245" s="68" t="s">
        <v>1</v>
      </c>
      <c r="Q245" s="76">
        <v>0.25</v>
      </c>
      <c r="R245" s="70" t="s">
        <v>422</v>
      </c>
      <c r="S245" s="67"/>
      <c r="T245" s="68"/>
      <c r="U245" s="76"/>
      <c r="V245" s="70"/>
      <c r="W245" s="120">
        <f>ROUND((ROUND((ROUND((ROUND((_15_同援日増５．０*_15・基礎２),0)*(1+_15・A深夜)),0)*(1+_15・盲ろう)),0)*(1+_15・区４)),0)</f>
        <v>1490</v>
      </c>
      <c r="X245" s="69"/>
    </row>
    <row r="246" spans="1:24" ht="16.5" customHeight="1" x14ac:dyDescent="0.3">
      <c r="A246" s="2">
        <v>15</v>
      </c>
      <c r="B246" s="2" t="s">
        <v>3066</v>
      </c>
      <c r="C246" s="60" t="s">
        <v>13315</v>
      </c>
      <c r="D246" s="81"/>
      <c r="E246" s="57"/>
      <c r="F246" s="77"/>
      <c r="G246" s="106" t="s">
        <v>17420</v>
      </c>
      <c r="H246" s="57" t="s">
        <v>1</v>
      </c>
      <c r="I246" s="58">
        <v>0.9</v>
      </c>
      <c r="J246" s="83" t="s">
        <v>5895</v>
      </c>
      <c r="K246" s="64" t="s">
        <v>1</v>
      </c>
      <c r="L246" s="65">
        <v>1</v>
      </c>
      <c r="M246" s="99"/>
      <c r="N246" s="70"/>
      <c r="O246" s="66"/>
      <c r="P246" s="57"/>
      <c r="Q246" s="58"/>
      <c r="R246" s="77"/>
      <c r="S246" s="66"/>
      <c r="T246" s="57"/>
      <c r="U246" s="58"/>
      <c r="V246" s="77"/>
      <c r="W246" s="120">
        <f>ROUND((ROUND((ROUND((ROUND((ROUND((_15_同援日増５．０*_15・基礎２),0)*_15・２人),0)*(1+_15・A深夜)),0)*(1+_15・盲ろう)),0)*(1+_15・区４)),0)</f>
        <v>1490</v>
      </c>
      <c r="X246" s="69"/>
    </row>
    <row r="247" spans="1:24" ht="16.5" customHeight="1" x14ac:dyDescent="0.3">
      <c r="A247" s="2">
        <v>15</v>
      </c>
      <c r="B247" s="2" t="s">
        <v>3067</v>
      </c>
      <c r="C247" s="60" t="s">
        <v>13314</v>
      </c>
      <c r="D247" s="233" t="s">
        <v>18201</v>
      </c>
      <c r="E247" s="62"/>
      <c r="F247" s="75"/>
      <c r="G247" s="61"/>
      <c r="H247" s="62"/>
      <c r="I247" s="63"/>
      <c r="J247" s="85"/>
      <c r="K247" s="64"/>
      <c r="L247" s="65"/>
      <c r="M247" s="99"/>
      <c r="N247" s="70"/>
      <c r="O247" s="61"/>
      <c r="P247" s="62"/>
      <c r="Q247" s="63"/>
      <c r="R247" s="75"/>
      <c r="S247" s="61"/>
      <c r="T247" s="62"/>
      <c r="U247" s="63"/>
      <c r="V247" s="75"/>
      <c r="W247" s="120">
        <f>ROUND((_15_同援日増５．５*(1+_15・A深夜)),0)</f>
        <v>1040</v>
      </c>
      <c r="X247" s="69"/>
    </row>
    <row r="248" spans="1:24" ht="16.5" customHeight="1" x14ac:dyDescent="0.3">
      <c r="A248" s="2">
        <v>15</v>
      </c>
      <c r="B248" s="2" t="s">
        <v>3068</v>
      </c>
      <c r="C248" s="60" t="s">
        <v>13313</v>
      </c>
      <c r="D248" s="1" t="s">
        <v>17755</v>
      </c>
      <c r="E248" s="68"/>
      <c r="F248" s="70"/>
      <c r="G248" s="66"/>
      <c r="H248" s="57"/>
      <c r="I248" s="58"/>
      <c r="J248" s="83" t="s">
        <v>5895</v>
      </c>
      <c r="K248" s="64" t="s">
        <v>1</v>
      </c>
      <c r="L248" s="65">
        <v>1</v>
      </c>
      <c r="M248" s="99"/>
      <c r="N248" s="70"/>
      <c r="O248" s="67"/>
      <c r="P248" s="68"/>
      <c r="Q248" s="76"/>
      <c r="R248" s="70"/>
      <c r="S248" s="67"/>
      <c r="T248" s="68"/>
      <c r="U248" s="76"/>
      <c r="V248" s="70"/>
      <c r="W248" s="120">
        <f>ROUND((ROUND((_15_同援日増５．５*_15・２人),0)*(1+_15・A深夜)),0)</f>
        <v>1040</v>
      </c>
      <c r="X248" s="69"/>
    </row>
    <row r="249" spans="1:24" ht="16.5" customHeight="1" x14ac:dyDescent="0.3">
      <c r="A249" s="2">
        <v>15</v>
      </c>
      <c r="B249" s="2" t="s">
        <v>3069</v>
      </c>
      <c r="C249" s="60" t="s">
        <v>13312</v>
      </c>
      <c r="D249" s="1" t="s">
        <v>9010</v>
      </c>
      <c r="E249" s="68"/>
      <c r="F249" s="70"/>
      <c r="G249" s="74" t="s">
        <v>17747</v>
      </c>
      <c r="H249" s="62"/>
      <c r="I249" s="63"/>
      <c r="J249" s="85"/>
      <c r="K249" s="64"/>
      <c r="L249" s="65"/>
      <c r="M249" s="99"/>
      <c r="N249" s="70"/>
      <c r="O249" s="67"/>
      <c r="P249" s="68"/>
      <c r="Q249" s="76"/>
      <c r="R249" s="70"/>
      <c r="S249" s="67"/>
      <c r="T249" s="68"/>
      <c r="U249" s="76"/>
      <c r="V249" s="70"/>
      <c r="W249" s="120">
        <f>ROUND((ROUND((_15_同援日増５．５*_15・基礎２),0)*(1+_15・A深夜)),0)</f>
        <v>936</v>
      </c>
      <c r="X249" s="69"/>
    </row>
    <row r="250" spans="1:24" ht="16.5" customHeight="1" x14ac:dyDescent="0.3">
      <c r="A250" s="2">
        <v>15</v>
      </c>
      <c r="B250" s="2" t="s">
        <v>3070</v>
      </c>
      <c r="C250" s="60" t="s">
        <v>13311</v>
      </c>
      <c r="D250" s="1"/>
      <c r="E250" s="119">
        <v>693</v>
      </c>
      <c r="F250" s="70" t="s">
        <v>0</v>
      </c>
      <c r="G250" s="106" t="s">
        <v>17420</v>
      </c>
      <c r="H250" s="57" t="s">
        <v>1</v>
      </c>
      <c r="I250" s="58">
        <v>0.9</v>
      </c>
      <c r="J250" s="83" t="s">
        <v>5895</v>
      </c>
      <c r="K250" s="64" t="s">
        <v>1</v>
      </c>
      <c r="L250" s="65">
        <v>1</v>
      </c>
      <c r="M250" s="99"/>
      <c r="N250" s="70"/>
      <c r="O250" s="66"/>
      <c r="P250" s="57"/>
      <c r="Q250" s="58"/>
      <c r="R250" s="77"/>
      <c r="S250" s="67"/>
      <c r="T250" s="68"/>
      <c r="U250" s="76"/>
      <c r="V250" s="70"/>
      <c r="W250" s="120">
        <f>ROUND((ROUND((ROUND((_15_同援日増５．５*_15・基礎２),0)*_15・２人),0)*(1+_15・A深夜)),0)</f>
        <v>936</v>
      </c>
      <c r="X250" s="69"/>
    </row>
    <row r="251" spans="1:24" ht="16.5" customHeight="1" x14ac:dyDescent="0.3">
      <c r="A251" s="2">
        <v>15</v>
      </c>
      <c r="B251" s="2" t="s">
        <v>3071</v>
      </c>
      <c r="C251" s="60" t="s">
        <v>13310</v>
      </c>
      <c r="D251" s="1"/>
      <c r="E251" s="68"/>
      <c r="F251" s="70"/>
      <c r="G251" s="61"/>
      <c r="H251" s="62"/>
      <c r="I251" s="63"/>
      <c r="J251" s="85"/>
      <c r="K251" s="64"/>
      <c r="L251" s="65"/>
      <c r="M251" s="99"/>
      <c r="N251" s="70"/>
      <c r="O251" s="74" t="s">
        <v>17933</v>
      </c>
      <c r="P251" s="62"/>
      <c r="Q251" s="63"/>
      <c r="R251" s="75"/>
      <c r="S251" s="67"/>
      <c r="T251" s="68"/>
      <c r="U251" s="76"/>
      <c r="V251" s="70"/>
      <c r="W251" s="120">
        <f>ROUND((ROUND((_15_同援日増５．５*(1+_15・A深夜)),0)*(1+_15・盲ろう)),0)</f>
        <v>1300</v>
      </c>
      <c r="X251" s="69"/>
    </row>
    <row r="252" spans="1:24" ht="16.5" customHeight="1" x14ac:dyDescent="0.3">
      <c r="A252" s="2">
        <v>15</v>
      </c>
      <c r="B252" s="2" t="s">
        <v>3072</v>
      </c>
      <c r="C252" s="60" t="s">
        <v>13309</v>
      </c>
      <c r="D252" s="1"/>
      <c r="E252" s="68"/>
      <c r="F252" s="70"/>
      <c r="G252" s="66"/>
      <c r="H252" s="57"/>
      <c r="I252" s="58"/>
      <c r="J252" s="83" t="s">
        <v>5895</v>
      </c>
      <c r="K252" s="64" t="s">
        <v>1</v>
      </c>
      <c r="L252" s="65">
        <v>1</v>
      </c>
      <c r="M252" s="99"/>
      <c r="N252" s="70"/>
      <c r="O252" s="94" t="s">
        <v>17932</v>
      </c>
      <c r="P252" s="68"/>
      <c r="Q252" s="76"/>
      <c r="R252" s="70"/>
      <c r="S252" s="67"/>
      <c r="T252" s="68"/>
      <c r="U252" s="76"/>
      <c r="V252" s="70"/>
      <c r="W252" s="120">
        <f>ROUND((ROUND((ROUND((_15_同援日増５．５*_15・２人),0)*(1+_15・A深夜)),0)*(1+_15・盲ろう)),0)</f>
        <v>1300</v>
      </c>
      <c r="X252" s="69"/>
    </row>
    <row r="253" spans="1:24" ht="16.5" customHeight="1" x14ac:dyDescent="0.3">
      <c r="A253" s="2">
        <v>15</v>
      </c>
      <c r="B253" s="2" t="s">
        <v>3073</v>
      </c>
      <c r="C253" s="60" t="s">
        <v>13308</v>
      </c>
      <c r="D253" s="1"/>
      <c r="E253" s="68"/>
      <c r="F253" s="70"/>
      <c r="G253" s="74" t="s">
        <v>5898</v>
      </c>
      <c r="H253" s="62"/>
      <c r="I253" s="63"/>
      <c r="J253" s="85"/>
      <c r="K253" s="64"/>
      <c r="L253" s="65"/>
      <c r="M253" s="99"/>
      <c r="N253" s="70"/>
      <c r="O253" s="67"/>
      <c r="P253" s="68" t="s">
        <v>1</v>
      </c>
      <c r="Q253" s="76">
        <v>0.25</v>
      </c>
      <c r="R253" s="70" t="s">
        <v>422</v>
      </c>
      <c r="S253" s="67"/>
      <c r="T253" s="68"/>
      <c r="U253" s="76"/>
      <c r="V253" s="70"/>
      <c r="W253" s="120">
        <f>ROUND((ROUND((ROUND((_15_同援日増５．５*_15・基礎２),0)*(1+_15・A深夜)),0)*(1+_15・盲ろう)),0)</f>
        <v>1170</v>
      </c>
      <c r="X253" s="69"/>
    </row>
    <row r="254" spans="1:24" ht="16.5" customHeight="1" x14ac:dyDescent="0.3">
      <c r="A254" s="2">
        <v>15</v>
      </c>
      <c r="B254" s="2" t="s">
        <v>3074</v>
      </c>
      <c r="C254" s="60" t="s">
        <v>13307</v>
      </c>
      <c r="D254" s="1"/>
      <c r="E254" s="68"/>
      <c r="F254" s="70"/>
      <c r="G254" s="106" t="s">
        <v>17420</v>
      </c>
      <c r="H254" s="57" t="s">
        <v>1</v>
      </c>
      <c r="I254" s="58">
        <v>0.9</v>
      </c>
      <c r="J254" s="83" t="s">
        <v>5895</v>
      </c>
      <c r="K254" s="64" t="s">
        <v>1</v>
      </c>
      <c r="L254" s="65">
        <v>1</v>
      </c>
      <c r="M254" s="99"/>
      <c r="N254" s="70"/>
      <c r="O254" s="66"/>
      <c r="P254" s="57"/>
      <c r="Q254" s="58"/>
      <c r="R254" s="77"/>
      <c r="S254" s="66"/>
      <c r="T254" s="57"/>
      <c r="U254" s="58"/>
      <c r="V254" s="77"/>
      <c r="W254" s="120">
        <f>ROUND((ROUND((ROUND((ROUND((_15_同援日増５．５*_15・基礎２),0)*_15・２人),0)*(1+_15・A深夜)),0)*(1+_15・盲ろう)),0)</f>
        <v>1170</v>
      </c>
      <c r="X254" s="69"/>
    </row>
    <row r="255" spans="1:24" ht="16.5" customHeight="1" x14ac:dyDescent="0.3">
      <c r="A255" s="2">
        <v>15</v>
      </c>
      <c r="B255" s="2" t="s">
        <v>3075</v>
      </c>
      <c r="C255" s="60" t="s">
        <v>13306</v>
      </c>
      <c r="D255" s="1"/>
      <c r="E255" s="68"/>
      <c r="F255" s="70"/>
      <c r="G255" s="61"/>
      <c r="H255" s="62"/>
      <c r="I255" s="63"/>
      <c r="J255" s="85"/>
      <c r="K255" s="64"/>
      <c r="L255" s="65"/>
      <c r="M255" s="99"/>
      <c r="N255" s="70"/>
      <c r="O255" s="61"/>
      <c r="P255" s="62"/>
      <c r="Q255" s="63"/>
      <c r="R255" s="75"/>
      <c r="S255" s="61"/>
      <c r="T255" s="62"/>
      <c r="U255" s="63"/>
      <c r="V255" s="75"/>
      <c r="W255" s="120">
        <f>ROUND((ROUND((_15_同援日増５．５*(1+_15・A深夜)),0)*(1+_15・区３)),0)</f>
        <v>1248</v>
      </c>
      <c r="X255" s="69"/>
    </row>
    <row r="256" spans="1:24" ht="16.5" customHeight="1" x14ac:dyDescent="0.3">
      <c r="A256" s="2">
        <v>15</v>
      </c>
      <c r="B256" s="2" t="s">
        <v>3076</v>
      </c>
      <c r="C256" s="60" t="s">
        <v>13305</v>
      </c>
      <c r="D256" s="1"/>
      <c r="E256" s="68"/>
      <c r="F256" s="70"/>
      <c r="G256" s="66"/>
      <c r="H256" s="57"/>
      <c r="I256" s="58"/>
      <c r="J256" s="83" t="s">
        <v>5895</v>
      </c>
      <c r="K256" s="64" t="s">
        <v>1</v>
      </c>
      <c r="L256" s="65">
        <v>1</v>
      </c>
      <c r="M256" s="99"/>
      <c r="N256" s="70"/>
      <c r="O256" s="67"/>
      <c r="P256" s="68"/>
      <c r="Q256" s="76"/>
      <c r="R256" s="70"/>
      <c r="S256" s="67"/>
      <c r="T256" s="68"/>
      <c r="U256" s="76"/>
      <c r="V256" s="70"/>
      <c r="W256" s="120">
        <f>ROUND((ROUND((ROUND((_15_同援日増５．５*_15・２人),0)*(1+_15・A深夜)),0)*(1+_15・区３)),0)</f>
        <v>1248</v>
      </c>
      <c r="X256" s="69"/>
    </row>
    <row r="257" spans="1:24" ht="16.5" customHeight="1" x14ac:dyDescent="0.3">
      <c r="A257" s="2">
        <v>15</v>
      </c>
      <c r="B257" s="2" t="s">
        <v>3077</v>
      </c>
      <c r="C257" s="60" t="s">
        <v>13304</v>
      </c>
      <c r="D257" s="1"/>
      <c r="E257" s="68"/>
      <c r="F257" s="70"/>
      <c r="G257" s="74" t="s">
        <v>17747</v>
      </c>
      <c r="H257" s="62"/>
      <c r="I257" s="63"/>
      <c r="J257" s="85"/>
      <c r="K257" s="64"/>
      <c r="L257" s="65"/>
      <c r="M257" s="99"/>
      <c r="N257" s="70"/>
      <c r="O257" s="67"/>
      <c r="P257" s="68"/>
      <c r="Q257" s="76"/>
      <c r="R257" s="70"/>
      <c r="S257" s="1" t="s">
        <v>17936</v>
      </c>
      <c r="T257" s="68"/>
      <c r="U257" s="76"/>
      <c r="V257" s="70"/>
      <c r="W257" s="120">
        <f>ROUND((ROUND((ROUND((_15_同援日増５．５*_15・基礎２),0)*(1+_15・A深夜)),0)*(1+_15・区３)),0)</f>
        <v>1123</v>
      </c>
      <c r="X257" s="69"/>
    </row>
    <row r="258" spans="1:24" ht="16.5" customHeight="1" x14ac:dyDescent="0.3">
      <c r="A258" s="2">
        <v>15</v>
      </c>
      <c r="B258" s="2" t="s">
        <v>3078</v>
      </c>
      <c r="C258" s="60" t="s">
        <v>13303</v>
      </c>
      <c r="D258" s="1"/>
      <c r="E258" s="68"/>
      <c r="F258" s="70"/>
      <c r="G258" s="106" t="s">
        <v>17420</v>
      </c>
      <c r="H258" s="57" t="s">
        <v>1</v>
      </c>
      <c r="I258" s="58">
        <v>0.9</v>
      </c>
      <c r="J258" s="83" t="s">
        <v>5895</v>
      </c>
      <c r="K258" s="64" t="s">
        <v>1</v>
      </c>
      <c r="L258" s="65">
        <v>1</v>
      </c>
      <c r="M258" s="99"/>
      <c r="N258" s="70"/>
      <c r="O258" s="66"/>
      <c r="P258" s="57"/>
      <c r="Q258" s="58"/>
      <c r="R258" s="77"/>
      <c r="S258" s="1" t="s">
        <v>17934</v>
      </c>
      <c r="T258" s="68"/>
      <c r="U258" s="76"/>
      <c r="V258" s="70"/>
      <c r="W258" s="120">
        <f>ROUND((ROUND((ROUND((ROUND((_15_同援日増５．５*_15・基礎２),0)*_15・２人),0)*(1+_15・A深夜)),0)*(1+_15・区３)),0)</f>
        <v>1123</v>
      </c>
      <c r="X258" s="69"/>
    </row>
    <row r="259" spans="1:24" ht="16.5" customHeight="1" x14ac:dyDescent="0.3">
      <c r="A259" s="2">
        <v>15</v>
      </c>
      <c r="B259" s="2" t="s">
        <v>3079</v>
      </c>
      <c r="C259" s="60" t="s">
        <v>13302</v>
      </c>
      <c r="D259" s="1"/>
      <c r="E259" s="68"/>
      <c r="F259" s="70"/>
      <c r="G259" s="61"/>
      <c r="H259" s="62"/>
      <c r="I259" s="63"/>
      <c r="J259" s="85"/>
      <c r="K259" s="64"/>
      <c r="L259" s="65"/>
      <c r="M259" s="99"/>
      <c r="N259" s="70"/>
      <c r="O259" s="74" t="s">
        <v>17933</v>
      </c>
      <c r="P259" s="62"/>
      <c r="Q259" s="63"/>
      <c r="R259" s="75"/>
      <c r="S259" s="67"/>
      <c r="T259" s="68" t="s">
        <v>1</v>
      </c>
      <c r="U259" s="76">
        <v>0.2</v>
      </c>
      <c r="V259" s="70" t="s">
        <v>422</v>
      </c>
      <c r="W259" s="120">
        <f>ROUND((ROUND((ROUND((_15_同援日増５．５*(1+_15・A深夜)),0)*(1+_15・盲ろう)),0)*(1+_15・区３)),0)</f>
        <v>1560</v>
      </c>
      <c r="X259" s="69"/>
    </row>
    <row r="260" spans="1:24" ht="16.5" customHeight="1" x14ac:dyDescent="0.3">
      <c r="A260" s="2">
        <v>15</v>
      </c>
      <c r="B260" s="2" t="s">
        <v>3080</v>
      </c>
      <c r="C260" s="60" t="s">
        <v>13301</v>
      </c>
      <c r="D260" s="1"/>
      <c r="E260" s="68"/>
      <c r="F260" s="70"/>
      <c r="G260" s="66"/>
      <c r="H260" s="57"/>
      <c r="I260" s="58"/>
      <c r="J260" s="83" t="s">
        <v>5895</v>
      </c>
      <c r="K260" s="64" t="s">
        <v>1</v>
      </c>
      <c r="L260" s="65">
        <v>1</v>
      </c>
      <c r="M260" s="99"/>
      <c r="N260" s="70"/>
      <c r="O260" s="94" t="s">
        <v>8083</v>
      </c>
      <c r="P260" s="68"/>
      <c r="Q260" s="76"/>
      <c r="R260" s="70"/>
      <c r="S260" s="67"/>
      <c r="T260" s="68"/>
      <c r="U260" s="76"/>
      <c r="V260" s="70"/>
      <c r="W260" s="120">
        <f>ROUND((ROUND((ROUND((ROUND((_15_同援日増５．５*_15・２人),0)*(1+_15・A深夜)),0)*(1+_15・盲ろう)),0)*(1+_15・区３)),0)</f>
        <v>1560</v>
      </c>
      <c r="X260" s="69"/>
    </row>
    <row r="261" spans="1:24" ht="16.5" customHeight="1" x14ac:dyDescent="0.3">
      <c r="A261" s="2">
        <v>15</v>
      </c>
      <c r="B261" s="2" t="s">
        <v>3081</v>
      </c>
      <c r="C261" s="60" t="s">
        <v>13300</v>
      </c>
      <c r="D261" s="1"/>
      <c r="E261" s="68"/>
      <c r="F261" s="70"/>
      <c r="G261" s="74" t="s">
        <v>17747</v>
      </c>
      <c r="H261" s="62"/>
      <c r="I261" s="63"/>
      <c r="J261" s="85"/>
      <c r="K261" s="64"/>
      <c r="L261" s="65"/>
      <c r="M261" s="99"/>
      <c r="N261" s="70"/>
      <c r="O261" s="67"/>
      <c r="P261" s="68" t="s">
        <v>1</v>
      </c>
      <c r="Q261" s="76">
        <v>0.25</v>
      </c>
      <c r="R261" s="70" t="s">
        <v>422</v>
      </c>
      <c r="S261" s="67"/>
      <c r="T261" s="68"/>
      <c r="U261" s="76"/>
      <c r="V261" s="70"/>
      <c r="W261" s="120">
        <f>ROUND((ROUND((ROUND((ROUND((_15_同援日増５．５*_15・基礎２),0)*(1+_15・A深夜)),0)*(1+_15・盲ろう)),0)*(1+_15・区３)),0)</f>
        <v>1404</v>
      </c>
      <c r="X261" s="69"/>
    </row>
    <row r="262" spans="1:24" ht="16.5" customHeight="1" x14ac:dyDescent="0.3">
      <c r="A262" s="2">
        <v>15</v>
      </c>
      <c r="B262" s="2" t="s">
        <v>3082</v>
      </c>
      <c r="C262" s="60" t="s">
        <v>13299</v>
      </c>
      <c r="D262" s="1"/>
      <c r="E262" s="68"/>
      <c r="F262" s="70"/>
      <c r="G262" s="106" t="s">
        <v>17420</v>
      </c>
      <c r="H262" s="57" t="s">
        <v>1</v>
      </c>
      <c r="I262" s="58">
        <v>0.9</v>
      </c>
      <c r="J262" s="83" t="s">
        <v>5895</v>
      </c>
      <c r="K262" s="64" t="s">
        <v>1</v>
      </c>
      <c r="L262" s="65">
        <v>1</v>
      </c>
      <c r="M262" s="99"/>
      <c r="N262" s="70"/>
      <c r="O262" s="66"/>
      <c r="P262" s="57"/>
      <c r="Q262" s="58"/>
      <c r="R262" s="77"/>
      <c r="S262" s="66"/>
      <c r="T262" s="57"/>
      <c r="U262" s="58"/>
      <c r="V262" s="77"/>
      <c r="W262" s="120">
        <f>ROUND((ROUND((ROUND((ROUND((ROUND((_15_同援日増５．５*_15・基礎２),0)*_15・２人),0)*(1+_15・A深夜)),0)*(1+_15・盲ろう)),0)*(1+_15・区３)),0)</f>
        <v>1404</v>
      </c>
      <c r="X262" s="69"/>
    </row>
    <row r="263" spans="1:24" ht="16.5" customHeight="1" x14ac:dyDescent="0.3">
      <c r="A263" s="2">
        <v>15</v>
      </c>
      <c r="B263" s="2" t="s">
        <v>3083</v>
      </c>
      <c r="C263" s="60" t="s">
        <v>13298</v>
      </c>
      <c r="D263" s="1"/>
      <c r="E263" s="68"/>
      <c r="F263" s="70"/>
      <c r="G263" s="61"/>
      <c r="H263" s="62"/>
      <c r="I263" s="63"/>
      <c r="J263" s="85"/>
      <c r="K263" s="64"/>
      <c r="L263" s="65"/>
      <c r="M263" s="99"/>
      <c r="N263" s="70"/>
      <c r="O263" s="61"/>
      <c r="P263" s="62"/>
      <c r="Q263" s="63"/>
      <c r="R263" s="75"/>
      <c r="S263" s="61"/>
      <c r="T263" s="62"/>
      <c r="U263" s="63"/>
      <c r="V263" s="75"/>
      <c r="W263" s="120">
        <f>ROUND((ROUND((_15_同援日増５．５*(1+_15・A深夜)),0)*(1+_15・区４)),0)</f>
        <v>1456</v>
      </c>
      <c r="X263" s="69"/>
    </row>
    <row r="264" spans="1:24" ht="16.5" customHeight="1" x14ac:dyDescent="0.3">
      <c r="A264" s="2">
        <v>15</v>
      </c>
      <c r="B264" s="2" t="s">
        <v>3084</v>
      </c>
      <c r="C264" s="60" t="s">
        <v>13297</v>
      </c>
      <c r="D264" s="1"/>
      <c r="E264" s="68"/>
      <c r="F264" s="70"/>
      <c r="G264" s="66"/>
      <c r="H264" s="57"/>
      <c r="I264" s="58"/>
      <c r="J264" s="83" t="s">
        <v>5895</v>
      </c>
      <c r="K264" s="64" t="s">
        <v>1</v>
      </c>
      <c r="L264" s="65">
        <v>1</v>
      </c>
      <c r="M264" s="99"/>
      <c r="N264" s="70"/>
      <c r="O264" s="67"/>
      <c r="P264" s="68"/>
      <c r="Q264" s="76"/>
      <c r="R264" s="70"/>
      <c r="S264" s="67"/>
      <c r="T264" s="68"/>
      <c r="U264" s="76"/>
      <c r="V264" s="70"/>
      <c r="W264" s="120">
        <f>ROUND((ROUND((ROUND((_15_同援日増５．５*_15・２人),0)*(1+_15・A深夜)),0)*(1+_15・区４)),0)</f>
        <v>1456</v>
      </c>
      <c r="X264" s="69"/>
    </row>
    <row r="265" spans="1:24" ht="16.5" customHeight="1" x14ac:dyDescent="0.3">
      <c r="A265" s="2">
        <v>15</v>
      </c>
      <c r="B265" s="2" t="s">
        <v>3085</v>
      </c>
      <c r="C265" s="60" t="s">
        <v>13296</v>
      </c>
      <c r="D265" s="1"/>
      <c r="E265" s="68"/>
      <c r="F265" s="70"/>
      <c r="G265" s="74" t="s">
        <v>5898</v>
      </c>
      <c r="H265" s="62"/>
      <c r="I265" s="63"/>
      <c r="J265" s="85"/>
      <c r="K265" s="64"/>
      <c r="L265" s="65"/>
      <c r="M265" s="99"/>
      <c r="N265" s="70"/>
      <c r="O265" s="67"/>
      <c r="P265" s="68"/>
      <c r="Q265" s="76"/>
      <c r="R265" s="70"/>
      <c r="S265" s="1" t="s">
        <v>8089</v>
      </c>
      <c r="T265" s="68"/>
      <c r="U265" s="76"/>
      <c r="V265" s="70"/>
      <c r="W265" s="120">
        <f>ROUND((ROUND((ROUND((_15_同援日増５．５*_15・基礎２),0)*(1+_15・A深夜)),0)*(1+_15・区４)),0)</f>
        <v>1310</v>
      </c>
      <c r="X265" s="69"/>
    </row>
    <row r="266" spans="1:24" ht="16.5" customHeight="1" x14ac:dyDescent="0.3">
      <c r="A266" s="2">
        <v>15</v>
      </c>
      <c r="B266" s="2" t="s">
        <v>3086</v>
      </c>
      <c r="C266" s="60" t="s">
        <v>13295</v>
      </c>
      <c r="D266" s="1"/>
      <c r="E266" s="68"/>
      <c r="F266" s="70"/>
      <c r="G266" s="106" t="s">
        <v>17420</v>
      </c>
      <c r="H266" s="57" t="s">
        <v>1</v>
      </c>
      <c r="I266" s="58">
        <v>0.9</v>
      </c>
      <c r="J266" s="83" t="s">
        <v>5895</v>
      </c>
      <c r="K266" s="64" t="s">
        <v>1</v>
      </c>
      <c r="L266" s="65">
        <v>1</v>
      </c>
      <c r="M266" s="99"/>
      <c r="N266" s="70"/>
      <c r="O266" s="66"/>
      <c r="P266" s="57"/>
      <c r="Q266" s="58"/>
      <c r="R266" s="77"/>
      <c r="S266" s="1" t="s">
        <v>8087</v>
      </c>
      <c r="T266" s="68"/>
      <c r="U266" s="76"/>
      <c r="V266" s="70"/>
      <c r="W266" s="120">
        <f>ROUND((ROUND((ROUND((ROUND((_15_同援日増５．５*_15・基礎２),0)*_15・２人),0)*(1+_15・A深夜)),0)*(1+_15・区４)),0)</f>
        <v>1310</v>
      </c>
      <c r="X266" s="69"/>
    </row>
    <row r="267" spans="1:24" ht="16.5" customHeight="1" x14ac:dyDescent="0.3">
      <c r="A267" s="2">
        <v>15</v>
      </c>
      <c r="B267" s="2" t="s">
        <v>3087</v>
      </c>
      <c r="C267" s="60" t="s">
        <v>13294</v>
      </c>
      <c r="D267" s="1"/>
      <c r="E267" s="68"/>
      <c r="F267" s="70"/>
      <c r="G267" s="61"/>
      <c r="H267" s="62"/>
      <c r="I267" s="63"/>
      <c r="J267" s="85"/>
      <c r="K267" s="64"/>
      <c r="L267" s="65"/>
      <c r="M267" s="99"/>
      <c r="N267" s="70"/>
      <c r="O267" s="74" t="s">
        <v>17933</v>
      </c>
      <c r="P267" s="62"/>
      <c r="Q267" s="63"/>
      <c r="R267" s="75"/>
      <c r="S267" s="67"/>
      <c r="T267" s="68" t="s">
        <v>1</v>
      </c>
      <c r="U267" s="76">
        <v>0.4</v>
      </c>
      <c r="V267" s="70" t="s">
        <v>422</v>
      </c>
      <c r="W267" s="120">
        <f>ROUND((ROUND((ROUND((_15_同援日増５．５*(1+_15・A深夜)),0)*(1+_15・盲ろう)),0)*(1+_15・区４)),0)</f>
        <v>1820</v>
      </c>
      <c r="X267" s="69"/>
    </row>
    <row r="268" spans="1:24" ht="16.5" customHeight="1" x14ac:dyDescent="0.3">
      <c r="A268" s="2">
        <v>15</v>
      </c>
      <c r="B268" s="2" t="s">
        <v>3088</v>
      </c>
      <c r="C268" s="60" t="s">
        <v>13293</v>
      </c>
      <c r="D268" s="1"/>
      <c r="E268" s="68"/>
      <c r="F268" s="70"/>
      <c r="G268" s="66"/>
      <c r="H268" s="57"/>
      <c r="I268" s="58"/>
      <c r="J268" s="83" t="s">
        <v>5895</v>
      </c>
      <c r="K268" s="64" t="s">
        <v>1</v>
      </c>
      <c r="L268" s="65">
        <v>1</v>
      </c>
      <c r="M268" s="99"/>
      <c r="N268" s="70"/>
      <c r="O268" s="94" t="s">
        <v>17932</v>
      </c>
      <c r="P268" s="68"/>
      <c r="Q268" s="76"/>
      <c r="R268" s="70"/>
      <c r="S268" s="67"/>
      <c r="T268" s="68"/>
      <c r="U268" s="76"/>
      <c r="V268" s="70"/>
      <c r="W268" s="120">
        <f>ROUND((ROUND((ROUND((ROUND((_15_同援日増５．５*_15・２人),0)*(1+_15・A深夜)),0)*(1+_15・盲ろう)),0)*(1+_15・区４)),0)</f>
        <v>1820</v>
      </c>
      <c r="X268" s="69"/>
    </row>
    <row r="269" spans="1:24" ht="16.5" customHeight="1" x14ac:dyDescent="0.3">
      <c r="A269" s="2">
        <v>15</v>
      </c>
      <c r="B269" s="2" t="s">
        <v>3089</v>
      </c>
      <c r="C269" s="60" t="s">
        <v>13292</v>
      </c>
      <c r="D269" s="1"/>
      <c r="E269" s="68"/>
      <c r="F269" s="70"/>
      <c r="G269" s="74" t="s">
        <v>17747</v>
      </c>
      <c r="H269" s="62"/>
      <c r="I269" s="63"/>
      <c r="J269" s="85"/>
      <c r="K269" s="64"/>
      <c r="L269" s="65"/>
      <c r="M269" s="99"/>
      <c r="N269" s="70"/>
      <c r="O269" s="67"/>
      <c r="P269" s="68" t="s">
        <v>1</v>
      </c>
      <c r="Q269" s="76">
        <v>0.25</v>
      </c>
      <c r="R269" s="70" t="s">
        <v>422</v>
      </c>
      <c r="S269" s="67"/>
      <c r="T269" s="68"/>
      <c r="U269" s="76"/>
      <c r="V269" s="70"/>
      <c r="W269" s="120">
        <f>ROUND((ROUND((ROUND((ROUND((_15_同援日増５．５*_15・基礎２),0)*(1+_15・A深夜)),0)*(1+_15・盲ろう)),0)*(1+_15・区４)),0)</f>
        <v>1638</v>
      </c>
      <c r="X269" s="69"/>
    </row>
    <row r="270" spans="1:24" ht="16.5" customHeight="1" x14ac:dyDescent="0.3">
      <c r="A270" s="2">
        <v>15</v>
      </c>
      <c r="B270" s="2" t="s">
        <v>3090</v>
      </c>
      <c r="C270" s="60" t="s">
        <v>13291</v>
      </c>
      <c r="D270" s="81"/>
      <c r="E270" s="57"/>
      <c r="F270" s="77"/>
      <c r="G270" s="106" t="s">
        <v>17420</v>
      </c>
      <c r="H270" s="57" t="s">
        <v>1</v>
      </c>
      <c r="I270" s="58">
        <v>0.9</v>
      </c>
      <c r="J270" s="83" t="s">
        <v>5895</v>
      </c>
      <c r="K270" s="64" t="s">
        <v>1</v>
      </c>
      <c r="L270" s="65">
        <v>1</v>
      </c>
      <c r="M270" s="99"/>
      <c r="N270" s="70"/>
      <c r="O270" s="66"/>
      <c r="P270" s="57"/>
      <c r="Q270" s="58"/>
      <c r="R270" s="77"/>
      <c r="S270" s="66"/>
      <c r="T270" s="57"/>
      <c r="U270" s="58"/>
      <c r="V270" s="77"/>
      <c r="W270" s="120">
        <f>ROUND((ROUND((ROUND((ROUND((ROUND((_15_同援日増５．５*_15・基礎２),0)*_15・２人),0)*(1+_15・A深夜)),0)*(1+_15・盲ろう)),0)*(1+_15・区４)),0)</f>
        <v>1638</v>
      </c>
      <c r="X270" s="69"/>
    </row>
    <row r="271" spans="1:24" ht="16.5" customHeight="1" x14ac:dyDescent="0.3">
      <c r="A271" s="2">
        <v>15</v>
      </c>
      <c r="B271" s="2" t="s">
        <v>3091</v>
      </c>
      <c r="C271" s="60" t="s">
        <v>13290</v>
      </c>
      <c r="D271" s="233" t="s">
        <v>18200</v>
      </c>
      <c r="E271" s="62"/>
      <c r="F271" s="75"/>
      <c r="G271" s="61"/>
      <c r="H271" s="62"/>
      <c r="I271" s="63"/>
      <c r="J271" s="85"/>
      <c r="K271" s="64"/>
      <c r="L271" s="65"/>
      <c r="M271" s="99"/>
      <c r="N271" s="70"/>
      <c r="O271" s="61"/>
      <c r="P271" s="62"/>
      <c r="Q271" s="63"/>
      <c r="R271" s="75"/>
      <c r="S271" s="61"/>
      <c r="T271" s="62"/>
      <c r="U271" s="63"/>
      <c r="V271" s="75"/>
      <c r="W271" s="120">
        <f>ROUND((_15_同援日増６．０*(1+_15・A深夜)),0)</f>
        <v>1134</v>
      </c>
      <c r="X271" s="69"/>
    </row>
    <row r="272" spans="1:24" ht="16.5" customHeight="1" x14ac:dyDescent="0.3">
      <c r="A272" s="2">
        <v>15</v>
      </c>
      <c r="B272" s="2" t="s">
        <v>3092</v>
      </c>
      <c r="C272" s="60" t="s">
        <v>13289</v>
      </c>
      <c r="D272" s="1" t="s">
        <v>17752</v>
      </c>
      <c r="E272" s="68"/>
      <c r="F272" s="70"/>
      <c r="G272" s="66"/>
      <c r="H272" s="57"/>
      <c r="I272" s="58"/>
      <c r="J272" s="83" t="s">
        <v>5895</v>
      </c>
      <c r="K272" s="64" t="s">
        <v>1</v>
      </c>
      <c r="L272" s="65">
        <v>1</v>
      </c>
      <c r="M272" s="99"/>
      <c r="N272" s="70"/>
      <c r="O272" s="67"/>
      <c r="P272" s="68"/>
      <c r="Q272" s="76"/>
      <c r="R272" s="70"/>
      <c r="S272" s="67"/>
      <c r="T272" s="68"/>
      <c r="U272" s="76"/>
      <c r="V272" s="70"/>
      <c r="W272" s="120">
        <f>ROUND((ROUND((_15_同援日増６．０*_15・２人),0)*(1+_15・A深夜)),0)</f>
        <v>1134</v>
      </c>
      <c r="X272" s="69"/>
    </row>
    <row r="273" spans="1:24" ht="16.5" customHeight="1" x14ac:dyDescent="0.3">
      <c r="A273" s="2">
        <v>15</v>
      </c>
      <c r="B273" s="2" t="s">
        <v>3093</v>
      </c>
      <c r="C273" s="60" t="s">
        <v>13288</v>
      </c>
      <c r="D273" s="1" t="s">
        <v>8985</v>
      </c>
      <c r="E273" s="68"/>
      <c r="F273" s="70"/>
      <c r="G273" s="74" t="s">
        <v>17747</v>
      </c>
      <c r="H273" s="62"/>
      <c r="I273" s="63"/>
      <c r="J273" s="85"/>
      <c r="K273" s="64"/>
      <c r="L273" s="65"/>
      <c r="M273" s="99"/>
      <c r="N273" s="70"/>
      <c r="O273" s="67"/>
      <c r="P273" s="68"/>
      <c r="Q273" s="76"/>
      <c r="R273" s="70"/>
      <c r="S273" s="67"/>
      <c r="T273" s="68"/>
      <c r="U273" s="76"/>
      <c r="V273" s="70"/>
      <c r="W273" s="120">
        <f>ROUND((ROUND((_15_同援日増６．０*_15・基礎２),0)*(1+_15・A深夜)),0)</f>
        <v>1020</v>
      </c>
      <c r="X273" s="69"/>
    </row>
    <row r="274" spans="1:24" ht="16.5" customHeight="1" x14ac:dyDescent="0.3">
      <c r="A274" s="2">
        <v>15</v>
      </c>
      <c r="B274" s="2" t="s">
        <v>3094</v>
      </c>
      <c r="C274" s="60" t="s">
        <v>13287</v>
      </c>
      <c r="D274" s="1"/>
      <c r="E274" s="119">
        <v>756</v>
      </c>
      <c r="F274" s="70" t="s">
        <v>0</v>
      </c>
      <c r="G274" s="106" t="s">
        <v>17420</v>
      </c>
      <c r="H274" s="57" t="s">
        <v>1</v>
      </c>
      <c r="I274" s="58">
        <v>0.9</v>
      </c>
      <c r="J274" s="83" t="s">
        <v>5895</v>
      </c>
      <c r="K274" s="64" t="s">
        <v>1</v>
      </c>
      <c r="L274" s="65">
        <v>1</v>
      </c>
      <c r="M274" s="99"/>
      <c r="N274" s="70"/>
      <c r="O274" s="66"/>
      <c r="P274" s="57"/>
      <c r="Q274" s="58"/>
      <c r="R274" s="77"/>
      <c r="S274" s="67"/>
      <c r="T274" s="68"/>
      <c r="U274" s="76"/>
      <c r="V274" s="70"/>
      <c r="W274" s="120">
        <f>ROUND((ROUND((ROUND((_15_同援日増６．０*_15・基礎２),0)*_15・２人),0)*(1+_15・A深夜)),0)</f>
        <v>1020</v>
      </c>
      <c r="X274" s="69"/>
    </row>
    <row r="275" spans="1:24" ht="16.5" customHeight="1" x14ac:dyDescent="0.3">
      <c r="A275" s="2">
        <v>15</v>
      </c>
      <c r="B275" s="2" t="s">
        <v>3095</v>
      </c>
      <c r="C275" s="60" t="s">
        <v>13286</v>
      </c>
      <c r="D275" s="1"/>
      <c r="E275" s="68"/>
      <c r="F275" s="70"/>
      <c r="G275" s="61"/>
      <c r="H275" s="62"/>
      <c r="I275" s="63"/>
      <c r="J275" s="85"/>
      <c r="K275" s="64"/>
      <c r="L275" s="65"/>
      <c r="M275" s="99"/>
      <c r="N275" s="70"/>
      <c r="O275" s="74" t="s">
        <v>17933</v>
      </c>
      <c r="P275" s="62"/>
      <c r="Q275" s="63"/>
      <c r="R275" s="75"/>
      <c r="S275" s="67"/>
      <c r="T275" s="68"/>
      <c r="U275" s="76"/>
      <c r="V275" s="70"/>
      <c r="W275" s="120">
        <f>ROUND((ROUND((_15_同援日増６．０*(1+_15・A深夜)),0)*(1+_15・盲ろう)),0)</f>
        <v>1418</v>
      </c>
      <c r="X275" s="69"/>
    </row>
    <row r="276" spans="1:24" ht="16.5" customHeight="1" x14ac:dyDescent="0.3">
      <c r="A276" s="2">
        <v>15</v>
      </c>
      <c r="B276" s="2" t="s">
        <v>3096</v>
      </c>
      <c r="C276" s="60" t="s">
        <v>13285</v>
      </c>
      <c r="D276" s="1"/>
      <c r="E276" s="68"/>
      <c r="F276" s="70"/>
      <c r="G276" s="66"/>
      <c r="H276" s="57"/>
      <c r="I276" s="58"/>
      <c r="J276" s="83" t="s">
        <v>5895</v>
      </c>
      <c r="K276" s="64" t="s">
        <v>1</v>
      </c>
      <c r="L276" s="65">
        <v>1</v>
      </c>
      <c r="M276" s="99"/>
      <c r="N276" s="70"/>
      <c r="O276" s="94" t="s">
        <v>17932</v>
      </c>
      <c r="P276" s="68"/>
      <c r="Q276" s="76"/>
      <c r="R276" s="70"/>
      <c r="S276" s="67"/>
      <c r="T276" s="68"/>
      <c r="U276" s="76"/>
      <c r="V276" s="70"/>
      <c r="W276" s="120">
        <f>ROUND((ROUND((ROUND((_15_同援日増６．０*_15・２人),0)*(1+_15・A深夜)),0)*(1+_15・盲ろう)),0)</f>
        <v>1418</v>
      </c>
      <c r="X276" s="69"/>
    </row>
    <row r="277" spans="1:24" ht="16.5" customHeight="1" x14ac:dyDescent="0.3">
      <c r="A277" s="2">
        <v>15</v>
      </c>
      <c r="B277" s="2" t="s">
        <v>3097</v>
      </c>
      <c r="C277" s="60" t="s">
        <v>13284</v>
      </c>
      <c r="D277" s="1"/>
      <c r="E277" s="68"/>
      <c r="F277" s="70"/>
      <c r="G277" s="74" t="s">
        <v>17747</v>
      </c>
      <c r="H277" s="62"/>
      <c r="I277" s="63"/>
      <c r="J277" s="85"/>
      <c r="K277" s="64"/>
      <c r="L277" s="65"/>
      <c r="M277" s="99"/>
      <c r="N277" s="70"/>
      <c r="O277" s="67"/>
      <c r="P277" s="68" t="s">
        <v>1</v>
      </c>
      <c r="Q277" s="76">
        <v>0.25</v>
      </c>
      <c r="R277" s="70" t="s">
        <v>422</v>
      </c>
      <c r="S277" s="67"/>
      <c r="T277" s="68"/>
      <c r="U277" s="76"/>
      <c r="V277" s="70"/>
      <c r="W277" s="120">
        <f>ROUND((ROUND((ROUND((_15_同援日増６．０*_15・基礎２),0)*(1+_15・A深夜)),0)*(1+_15・盲ろう)),0)</f>
        <v>1275</v>
      </c>
      <c r="X277" s="69"/>
    </row>
    <row r="278" spans="1:24" ht="16.5" customHeight="1" x14ac:dyDescent="0.3">
      <c r="A278" s="2">
        <v>15</v>
      </c>
      <c r="B278" s="2" t="s">
        <v>3098</v>
      </c>
      <c r="C278" s="60" t="s">
        <v>13283</v>
      </c>
      <c r="D278" s="1"/>
      <c r="E278" s="68"/>
      <c r="F278" s="70"/>
      <c r="G278" s="106" t="s">
        <v>5896</v>
      </c>
      <c r="H278" s="57" t="s">
        <v>1</v>
      </c>
      <c r="I278" s="58">
        <v>0.9</v>
      </c>
      <c r="J278" s="83" t="s">
        <v>5895</v>
      </c>
      <c r="K278" s="64" t="s">
        <v>1</v>
      </c>
      <c r="L278" s="65">
        <v>1</v>
      </c>
      <c r="M278" s="99"/>
      <c r="N278" s="70"/>
      <c r="O278" s="66"/>
      <c r="P278" s="57"/>
      <c r="Q278" s="58"/>
      <c r="R278" s="77"/>
      <c r="S278" s="66"/>
      <c r="T278" s="57"/>
      <c r="U278" s="58"/>
      <c r="V278" s="77"/>
      <c r="W278" s="120">
        <f>ROUND((ROUND((ROUND((ROUND((_15_同援日増６．０*_15・基礎２),0)*_15・２人),0)*(1+_15・A深夜)),0)*(1+_15・盲ろう)),0)</f>
        <v>1275</v>
      </c>
      <c r="X278" s="69"/>
    </row>
    <row r="279" spans="1:24" ht="16.5" customHeight="1" x14ac:dyDescent="0.3">
      <c r="A279" s="2">
        <v>15</v>
      </c>
      <c r="B279" s="2" t="s">
        <v>3099</v>
      </c>
      <c r="C279" s="60" t="s">
        <v>13282</v>
      </c>
      <c r="D279" s="1"/>
      <c r="E279" s="68"/>
      <c r="F279" s="70"/>
      <c r="G279" s="61"/>
      <c r="H279" s="62"/>
      <c r="I279" s="63"/>
      <c r="J279" s="85"/>
      <c r="K279" s="64"/>
      <c r="L279" s="65"/>
      <c r="M279" s="99"/>
      <c r="N279" s="70"/>
      <c r="O279" s="61"/>
      <c r="P279" s="62"/>
      <c r="Q279" s="63"/>
      <c r="R279" s="75"/>
      <c r="S279" s="61"/>
      <c r="T279" s="62"/>
      <c r="U279" s="63"/>
      <c r="V279" s="75"/>
      <c r="W279" s="120">
        <f>ROUND((ROUND((_15_同援日増６．０*(1+_15・A深夜)),0)*(1+_15・区３)),0)</f>
        <v>1361</v>
      </c>
      <c r="X279" s="69"/>
    </row>
    <row r="280" spans="1:24" ht="16.5" customHeight="1" x14ac:dyDescent="0.3">
      <c r="A280" s="2">
        <v>15</v>
      </c>
      <c r="B280" s="2" t="s">
        <v>3100</v>
      </c>
      <c r="C280" s="60" t="s">
        <v>13281</v>
      </c>
      <c r="D280" s="1"/>
      <c r="E280" s="68"/>
      <c r="F280" s="70"/>
      <c r="G280" s="66"/>
      <c r="H280" s="57"/>
      <c r="I280" s="58"/>
      <c r="J280" s="83" t="s">
        <v>5895</v>
      </c>
      <c r="K280" s="64" t="s">
        <v>1</v>
      </c>
      <c r="L280" s="65">
        <v>1</v>
      </c>
      <c r="M280" s="99"/>
      <c r="N280" s="70"/>
      <c r="O280" s="67"/>
      <c r="P280" s="68"/>
      <c r="Q280" s="76"/>
      <c r="R280" s="70"/>
      <c r="S280" s="67"/>
      <c r="T280" s="68"/>
      <c r="U280" s="76"/>
      <c r="V280" s="70"/>
      <c r="W280" s="120">
        <f>ROUND((ROUND((ROUND((_15_同援日増６．０*_15・２人),0)*(1+_15・A深夜)),0)*(1+_15・区３)),0)</f>
        <v>1361</v>
      </c>
      <c r="X280" s="69"/>
    </row>
    <row r="281" spans="1:24" ht="16.5" customHeight="1" x14ac:dyDescent="0.3">
      <c r="A281" s="2">
        <v>15</v>
      </c>
      <c r="B281" s="2" t="s">
        <v>3101</v>
      </c>
      <c r="C281" s="60" t="s">
        <v>13280</v>
      </c>
      <c r="D281" s="1"/>
      <c r="E281" s="68"/>
      <c r="F281" s="70"/>
      <c r="G281" s="74" t="s">
        <v>17747</v>
      </c>
      <c r="H281" s="62"/>
      <c r="I281" s="63"/>
      <c r="J281" s="85"/>
      <c r="K281" s="64"/>
      <c r="L281" s="65"/>
      <c r="M281" s="99"/>
      <c r="N281" s="70"/>
      <c r="O281" s="67"/>
      <c r="P281" s="68"/>
      <c r="Q281" s="76"/>
      <c r="R281" s="70"/>
      <c r="S281" s="1" t="s">
        <v>8098</v>
      </c>
      <c r="T281" s="68"/>
      <c r="U281" s="76"/>
      <c r="V281" s="70"/>
      <c r="W281" s="120">
        <f>ROUND((ROUND((ROUND((_15_同援日増６．０*_15・基礎２),0)*(1+_15・A深夜)),0)*(1+_15・区３)),0)</f>
        <v>1224</v>
      </c>
      <c r="X281" s="69"/>
    </row>
    <row r="282" spans="1:24" ht="16.5" customHeight="1" x14ac:dyDescent="0.3">
      <c r="A282" s="2">
        <v>15</v>
      </c>
      <c r="B282" s="2" t="s">
        <v>3102</v>
      </c>
      <c r="C282" s="60" t="s">
        <v>13279</v>
      </c>
      <c r="D282" s="1"/>
      <c r="E282" s="68"/>
      <c r="F282" s="70"/>
      <c r="G282" s="106" t="s">
        <v>5896</v>
      </c>
      <c r="H282" s="57" t="s">
        <v>1</v>
      </c>
      <c r="I282" s="58">
        <v>0.9</v>
      </c>
      <c r="J282" s="83" t="s">
        <v>5895</v>
      </c>
      <c r="K282" s="64" t="s">
        <v>1</v>
      </c>
      <c r="L282" s="65">
        <v>1</v>
      </c>
      <c r="M282" s="99"/>
      <c r="N282" s="70"/>
      <c r="O282" s="66"/>
      <c r="P282" s="57"/>
      <c r="Q282" s="58"/>
      <c r="R282" s="77"/>
      <c r="S282" s="1" t="s">
        <v>17934</v>
      </c>
      <c r="T282" s="68"/>
      <c r="U282" s="76"/>
      <c r="V282" s="70"/>
      <c r="W282" s="120">
        <f>ROUND((ROUND((ROUND((ROUND((_15_同援日増６．０*_15・基礎２),0)*_15・２人),0)*(1+_15・A深夜)),0)*(1+_15・区３)),0)</f>
        <v>1224</v>
      </c>
      <c r="X282" s="69"/>
    </row>
    <row r="283" spans="1:24" ht="16.5" customHeight="1" x14ac:dyDescent="0.3">
      <c r="A283" s="2">
        <v>15</v>
      </c>
      <c r="B283" s="2" t="s">
        <v>3103</v>
      </c>
      <c r="C283" s="60" t="s">
        <v>13278</v>
      </c>
      <c r="D283" s="1"/>
      <c r="E283" s="68"/>
      <c r="F283" s="70"/>
      <c r="G283" s="61"/>
      <c r="H283" s="62"/>
      <c r="I283" s="63"/>
      <c r="J283" s="85"/>
      <c r="K283" s="64"/>
      <c r="L283" s="65"/>
      <c r="M283" s="99"/>
      <c r="N283" s="70"/>
      <c r="O283" s="74" t="s">
        <v>17933</v>
      </c>
      <c r="P283" s="62"/>
      <c r="Q283" s="63"/>
      <c r="R283" s="75"/>
      <c r="S283" s="67"/>
      <c r="T283" s="68" t="s">
        <v>1</v>
      </c>
      <c r="U283" s="76">
        <v>0.2</v>
      </c>
      <c r="V283" s="70" t="s">
        <v>422</v>
      </c>
      <c r="W283" s="120">
        <f>ROUND((ROUND((ROUND((_15_同援日増６．０*(1+_15・A深夜)),0)*(1+_15・盲ろう)),0)*(1+_15・区３)),0)</f>
        <v>1702</v>
      </c>
      <c r="X283" s="69"/>
    </row>
    <row r="284" spans="1:24" ht="16.5" customHeight="1" x14ac:dyDescent="0.3">
      <c r="A284" s="2">
        <v>15</v>
      </c>
      <c r="B284" s="2" t="s">
        <v>3104</v>
      </c>
      <c r="C284" s="60" t="s">
        <v>13277</v>
      </c>
      <c r="D284" s="1"/>
      <c r="E284" s="68"/>
      <c r="F284" s="70"/>
      <c r="G284" s="66"/>
      <c r="H284" s="57"/>
      <c r="I284" s="58"/>
      <c r="J284" s="83" t="s">
        <v>5895</v>
      </c>
      <c r="K284" s="64" t="s">
        <v>1</v>
      </c>
      <c r="L284" s="65">
        <v>1</v>
      </c>
      <c r="M284" s="99"/>
      <c r="N284" s="70"/>
      <c r="O284" s="94" t="s">
        <v>17932</v>
      </c>
      <c r="P284" s="68"/>
      <c r="Q284" s="76"/>
      <c r="R284" s="70"/>
      <c r="S284" s="67"/>
      <c r="T284" s="68"/>
      <c r="U284" s="76"/>
      <c r="V284" s="70"/>
      <c r="W284" s="120">
        <f>ROUND((ROUND((ROUND((ROUND((_15_同援日増６．０*_15・２人),0)*(1+_15・A深夜)),0)*(1+_15・盲ろう)),0)*(1+_15・区３)),0)</f>
        <v>1702</v>
      </c>
      <c r="X284" s="69"/>
    </row>
    <row r="285" spans="1:24" ht="16.5" customHeight="1" x14ac:dyDescent="0.3">
      <c r="A285" s="2">
        <v>15</v>
      </c>
      <c r="B285" s="2" t="s">
        <v>3105</v>
      </c>
      <c r="C285" s="60" t="s">
        <v>13276</v>
      </c>
      <c r="D285" s="1"/>
      <c r="E285" s="68"/>
      <c r="F285" s="70"/>
      <c r="G285" s="74" t="s">
        <v>17747</v>
      </c>
      <c r="H285" s="62"/>
      <c r="I285" s="63"/>
      <c r="J285" s="85"/>
      <c r="K285" s="64"/>
      <c r="L285" s="65"/>
      <c r="M285" s="99"/>
      <c r="N285" s="70"/>
      <c r="O285" s="67"/>
      <c r="P285" s="68" t="s">
        <v>1</v>
      </c>
      <c r="Q285" s="76">
        <v>0.25</v>
      </c>
      <c r="R285" s="70" t="s">
        <v>422</v>
      </c>
      <c r="S285" s="67"/>
      <c r="T285" s="68"/>
      <c r="U285" s="76"/>
      <c r="V285" s="70"/>
      <c r="W285" s="120">
        <f>ROUND((ROUND((ROUND((ROUND((_15_同援日増６．０*_15・基礎２),0)*(1+_15・A深夜)),0)*(1+_15・盲ろう)),0)*(1+_15・区３)),0)</f>
        <v>1530</v>
      </c>
      <c r="X285" s="69"/>
    </row>
    <row r="286" spans="1:24" ht="16.5" customHeight="1" x14ac:dyDescent="0.3">
      <c r="A286" s="2">
        <v>15</v>
      </c>
      <c r="B286" s="2" t="s">
        <v>3106</v>
      </c>
      <c r="C286" s="60" t="s">
        <v>13275</v>
      </c>
      <c r="D286" s="1"/>
      <c r="E286" s="68"/>
      <c r="F286" s="70"/>
      <c r="G286" s="106" t="s">
        <v>17420</v>
      </c>
      <c r="H286" s="57" t="s">
        <v>1</v>
      </c>
      <c r="I286" s="58">
        <v>0.9</v>
      </c>
      <c r="J286" s="83" t="s">
        <v>5895</v>
      </c>
      <c r="K286" s="64" t="s">
        <v>1</v>
      </c>
      <c r="L286" s="65">
        <v>1</v>
      </c>
      <c r="M286" s="99"/>
      <c r="N286" s="70"/>
      <c r="O286" s="66"/>
      <c r="P286" s="57"/>
      <c r="Q286" s="58"/>
      <c r="R286" s="77"/>
      <c r="S286" s="66"/>
      <c r="T286" s="57"/>
      <c r="U286" s="58"/>
      <c r="V286" s="77"/>
      <c r="W286" s="120">
        <f>ROUND((ROUND((ROUND((ROUND((ROUND((_15_同援日増６．０*_15・基礎２),0)*_15・２人),0)*(1+_15・A深夜)),0)*(1+_15・盲ろう)),0)*(1+_15・区３)),0)</f>
        <v>1530</v>
      </c>
      <c r="X286" s="69"/>
    </row>
    <row r="287" spans="1:24" ht="16.5" customHeight="1" x14ac:dyDescent="0.3">
      <c r="A287" s="2">
        <v>15</v>
      </c>
      <c r="B287" s="2" t="s">
        <v>3107</v>
      </c>
      <c r="C287" s="60" t="s">
        <v>13274</v>
      </c>
      <c r="D287" s="1"/>
      <c r="E287" s="68"/>
      <c r="F287" s="70"/>
      <c r="G287" s="61"/>
      <c r="H287" s="62"/>
      <c r="I287" s="63"/>
      <c r="J287" s="85"/>
      <c r="K287" s="64"/>
      <c r="L287" s="65"/>
      <c r="M287" s="99"/>
      <c r="N287" s="70"/>
      <c r="O287" s="61"/>
      <c r="P287" s="62"/>
      <c r="Q287" s="63"/>
      <c r="R287" s="75"/>
      <c r="S287" s="61"/>
      <c r="T287" s="62"/>
      <c r="U287" s="63"/>
      <c r="V287" s="75"/>
      <c r="W287" s="120">
        <f>ROUND((ROUND((_15_同援日増６．０*(1+_15・A深夜)),0)*(1+_15・区４)),0)</f>
        <v>1588</v>
      </c>
      <c r="X287" s="69"/>
    </row>
    <row r="288" spans="1:24" ht="16.5" customHeight="1" x14ac:dyDescent="0.3">
      <c r="A288" s="2">
        <v>15</v>
      </c>
      <c r="B288" s="2" t="s">
        <v>3108</v>
      </c>
      <c r="C288" s="60" t="s">
        <v>13273</v>
      </c>
      <c r="D288" s="1"/>
      <c r="E288" s="68"/>
      <c r="F288" s="70"/>
      <c r="G288" s="66"/>
      <c r="H288" s="57"/>
      <c r="I288" s="58"/>
      <c r="J288" s="83" t="s">
        <v>5895</v>
      </c>
      <c r="K288" s="64" t="s">
        <v>1</v>
      </c>
      <c r="L288" s="65">
        <v>1</v>
      </c>
      <c r="M288" s="99"/>
      <c r="N288" s="70"/>
      <c r="O288" s="67"/>
      <c r="P288" s="68"/>
      <c r="Q288" s="76"/>
      <c r="R288" s="70"/>
      <c r="S288" s="67"/>
      <c r="T288" s="68"/>
      <c r="U288" s="76"/>
      <c r="V288" s="70"/>
      <c r="W288" s="120">
        <f>ROUND((ROUND((ROUND((_15_同援日増６．０*_15・２人),0)*(1+_15・A深夜)),0)*(1+_15・区４)),0)</f>
        <v>1588</v>
      </c>
      <c r="X288" s="69"/>
    </row>
    <row r="289" spans="1:24" ht="16.5" customHeight="1" x14ac:dyDescent="0.3">
      <c r="A289" s="2">
        <v>15</v>
      </c>
      <c r="B289" s="2" t="s">
        <v>3109</v>
      </c>
      <c r="C289" s="60" t="s">
        <v>13272</v>
      </c>
      <c r="D289" s="1"/>
      <c r="E289" s="68"/>
      <c r="F289" s="70"/>
      <c r="G289" s="74" t="s">
        <v>17747</v>
      </c>
      <c r="H289" s="62"/>
      <c r="I289" s="63"/>
      <c r="J289" s="85"/>
      <c r="K289" s="64"/>
      <c r="L289" s="65"/>
      <c r="M289" s="99"/>
      <c r="N289" s="70"/>
      <c r="O289" s="67"/>
      <c r="P289" s="68"/>
      <c r="Q289" s="76"/>
      <c r="R289" s="70"/>
      <c r="S289" s="1" t="s">
        <v>17935</v>
      </c>
      <c r="T289" s="68"/>
      <c r="U289" s="76"/>
      <c r="V289" s="70"/>
      <c r="W289" s="120">
        <f>ROUND((ROUND((ROUND((_15_同援日増６．０*_15・基礎２),0)*(1+_15・A深夜)),0)*(1+_15・区４)),0)</f>
        <v>1428</v>
      </c>
      <c r="X289" s="69"/>
    </row>
    <row r="290" spans="1:24" ht="16.5" customHeight="1" x14ac:dyDescent="0.3">
      <c r="A290" s="2">
        <v>15</v>
      </c>
      <c r="B290" s="2" t="s">
        <v>3110</v>
      </c>
      <c r="C290" s="60" t="s">
        <v>13271</v>
      </c>
      <c r="D290" s="1"/>
      <c r="E290" s="68"/>
      <c r="F290" s="70"/>
      <c r="G290" s="106" t="s">
        <v>17420</v>
      </c>
      <c r="H290" s="57" t="s">
        <v>1</v>
      </c>
      <c r="I290" s="58">
        <v>0.9</v>
      </c>
      <c r="J290" s="83" t="s">
        <v>5895</v>
      </c>
      <c r="K290" s="64" t="s">
        <v>1</v>
      </c>
      <c r="L290" s="65">
        <v>1</v>
      </c>
      <c r="M290" s="99"/>
      <c r="N290" s="70"/>
      <c r="O290" s="66"/>
      <c r="P290" s="57"/>
      <c r="Q290" s="58"/>
      <c r="R290" s="77"/>
      <c r="S290" s="1" t="s">
        <v>17934</v>
      </c>
      <c r="T290" s="68"/>
      <c r="U290" s="76"/>
      <c r="V290" s="70"/>
      <c r="W290" s="120">
        <f>ROUND((ROUND((ROUND((ROUND((_15_同援日増６．０*_15・基礎２),0)*_15・２人),0)*(1+_15・A深夜)),0)*(1+_15・区４)),0)</f>
        <v>1428</v>
      </c>
      <c r="X290" s="69"/>
    </row>
    <row r="291" spans="1:24" ht="16.5" customHeight="1" x14ac:dyDescent="0.3">
      <c r="A291" s="2">
        <v>15</v>
      </c>
      <c r="B291" s="2" t="s">
        <v>3111</v>
      </c>
      <c r="C291" s="60" t="s">
        <v>13270</v>
      </c>
      <c r="D291" s="1"/>
      <c r="E291" s="68"/>
      <c r="F291" s="70"/>
      <c r="G291" s="61"/>
      <c r="H291" s="62"/>
      <c r="I291" s="63"/>
      <c r="J291" s="85"/>
      <c r="K291" s="64"/>
      <c r="L291" s="65"/>
      <c r="M291" s="99"/>
      <c r="N291" s="70"/>
      <c r="O291" s="74" t="s">
        <v>17933</v>
      </c>
      <c r="P291" s="62"/>
      <c r="Q291" s="63"/>
      <c r="R291" s="75"/>
      <c r="S291" s="67"/>
      <c r="T291" s="68" t="s">
        <v>1</v>
      </c>
      <c r="U291" s="76">
        <v>0.4</v>
      </c>
      <c r="V291" s="70" t="s">
        <v>422</v>
      </c>
      <c r="W291" s="120">
        <f>ROUND((ROUND((ROUND((_15_同援日増６．０*(1+_15・A深夜)),0)*(1+_15・盲ろう)),0)*(1+_15・区４)),0)</f>
        <v>1985</v>
      </c>
      <c r="X291" s="69"/>
    </row>
    <row r="292" spans="1:24" ht="16.5" customHeight="1" x14ac:dyDescent="0.3">
      <c r="A292" s="2">
        <v>15</v>
      </c>
      <c r="B292" s="2" t="s">
        <v>3112</v>
      </c>
      <c r="C292" s="60" t="s">
        <v>13269</v>
      </c>
      <c r="D292" s="1"/>
      <c r="E292" s="68"/>
      <c r="F292" s="70"/>
      <c r="G292" s="66"/>
      <c r="H292" s="57"/>
      <c r="I292" s="58"/>
      <c r="J292" s="83" t="s">
        <v>5895</v>
      </c>
      <c r="K292" s="64" t="s">
        <v>1</v>
      </c>
      <c r="L292" s="65">
        <v>1</v>
      </c>
      <c r="M292" s="99"/>
      <c r="N292" s="70"/>
      <c r="O292" s="94" t="s">
        <v>17932</v>
      </c>
      <c r="P292" s="68"/>
      <c r="Q292" s="76"/>
      <c r="R292" s="70"/>
      <c r="S292" s="67"/>
      <c r="T292" s="68"/>
      <c r="U292" s="76"/>
      <c r="V292" s="70"/>
      <c r="W292" s="120">
        <f>ROUND((ROUND((ROUND((ROUND((_15_同援日増６．０*_15・２人),0)*(1+_15・A深夜)),0)*(1+_15・盲ろう)),0)*(1+_15・区４)),0)</f>
        <v>1985</v>
      </c>
      <c r="X292" s="69"/>
    </row>
    <row r="293" spans="1:24" ht="16.5" customHeight="1" x14ac:dyDescent="0.3">
      <c r="A293" s="2">
        <v>15</v>
      </c>
      <c r="B293" s="2" t="s">
        <v>3113</v>
      </c>
      <c r="C293" s="60" t="s">
        <v>13268</v>
      </c>
      <c r="D293" s="1"/>
      <c r="E293" s="68"/>
      <c r="F293" s="70"/>
      <c r="G293" s="74" t="s">
        <v>17747</v>
      </c>
      <c r="H293" s="62"/>
      <c r="I293" s="63"/>
      <c r="J293" s="85"/>
      <c r="K293" s="64"/>
      <c r="L293" s="65"/>
      <c r="M293" s="99"/>
      <c r="N293" s="70"/>
      <c r="O293" s="67"/>
      <c r="P293" s="68" t="s">
        <v>1</v>
      </c>
      <c r="Q293" s="76">
        <v>0.25</v>
      </c>
      <c r="R293" s="70" t="s">
        <v>422</v>
      </c>
      <c r="S293" s="67"/>
      <c r="T293" s="68"/>
      <c r="U293" s="76"/>
      <c r="V293" s="70"/>
      <c r="W293" s="120">
        <f>ROUND((ROUND((ROUND((ROUND((_15_同援日増６．０*_15・基礎２),0)*(1+_15・A深夜)),0)*(1+_15・盲ろう)),0)*(1+_15・区４)),0)</f>
        <v>1785</v>
      </c>
      <c r="X293" s="69"/>
    </row>
    <row r="294" spans="1:24" ht="16.5" customHeight="1" x14ac:dyDescent="0.3">
      <c r="A294" s="2">
        <v>15</v>
      </c>
      <c r="B294" s="2" t="s">
        <v>3114</v>
      </c>
      <c r="C294" s="60" t="s">
        <v>13267</v>
      </c>
      <c r="D294" s="81"/>
      <c r="E294" s="57"/>
      <c r="F294" s="77"/>
      <c r="G294" s="106" t="s">
        <v>17420</v>
      </c>
      <c r="H294" s="57" t="s">
        <v>1</v>
      </c>
      <c r="I294" s="58">
        <v>0.9</v>
      </c>
      <c r="J294" s="83" t="s">
        <v>5895</v>
      </c>
      <c r="K294" s="64" t="s">
        <v>1</v>
      </c>
      <c r="L294" s="65">
        <v>1</v>
      </c>
      <c r="M294" s="99"/>
      <c r="N294" s="70"/>
      <c r="O294" s="66"/>
      <c r="P294" s="57"/>
      <c r="Q294" s="58"/>
      <c r="R294" s="77"/>
      <c r="S294" s="66"/>
      <c r="T294" s="57"/>
      <c r="U294" s="58"/>
      <c r="V294" s="77"/>
      <c r="W294" s="120">
        <f>ROUND((ROUND((ROUND((ROUND((ROUND((_15_同援日増６．０*_15・基礎２),0)*_15・２人),0)*(1+_15・A深夜)),0)*(1+_15・盲ろう)),0)*(1+_15・区４)),0)</f>
        <v>1785</v>
      </c>
      <c r="X294" s="69"/>
    </row>
    <row r="295" spans="1:24" ht="16.5" customHeight="1" x14ac:dyDescent="0.3">
      <c r="A295" s="2">
        <v>15</v>
      </c>
      <c r="B295" s="2" t="s">
        <v>3115</v>
      </c>
      <c r="C295" s="60" t="s">
        <v>13266</v>
      </c>
      <c r="D295" s="233" t="s">
        <v>18199</v>
      </c>
      <c r="E295" s="62"/>
      <c r="F295" s="75"/>
      <c r="G295" s="61"/>
      <c r="H295" s="62"/>
      <c r="I295" s="63"/>
      <c r="J295" s="85"/>
      <c r="K295" s="64"/>
      <c r="L295" s="65"/>
      <c r="M295" s="99"/>
      <c r="N295" s="70"/>
      <c r="O295" s="61"/>
      <c r="P295" s="62"/>
      <c r="Q295" s="63"/>
      <c r="R295" s="75"/>
      <c r="S295" s="61"/>
      <c r="T295" s="62"/>
      <c r="U295" s="63"/>
      <c r="V295" s="75"/>
      <c r="W295" s="120">
        <f>ROUND((_15_同援日増６．５*(1+_15・A深夜)),0)</f>
        <v>1229</v>
      </c>
      <c r="X295" s="69"/>
    </row>
    <row r="296" spans="1:24" ht="16.5" customHeight="1" x14ac:dyDescent="0.3">
      <c r="A296" s="2">
        <v>15</v>
      </c>
      <c r="B296" s="2" t="s">
        <v>3116</v>
      </c>
      <c r="C296" s="60" t="s">
        <v>13265</v>
      </c>
      <c r="D296" s="1" t="s">
        <v>17749</v>
      </c>
      <c r="E296" s="68"/>
      <c r="F296" s="70"/>
      <c r="G296" s="66"/>
      <c r="H296" s="57"/>
      <c r="I296" s="58"/>
      <c r="J296" s="83" t="s">
        <v>5895</v>
      </c>
      <c r="K296" s="64" t="s">
        <v>1</v>
      </c>
      <c r="L296" s="65">
        <v>1</v>
      </c>
      <c r="M296" s="99"/>
      <c r="N296" s="70"/>
      <c r="O296" s="67"/>
      <c r="P296" s="68"/>
      <c r="Q296" s="76"/>
      <c r="R296" s="70"/>
      <c r="S296" s="67"/>
      <c r="T296" s="68"/>
      <c r="U296" s="76"/>
      <c r="V296" s="70"/>
      <c r="W296" s="120">
        <f>ROUND((ROUND((_15_同援日増６．５*_15・２人),0)*(1+_15・A深夜)),0)</f>
        <v>1229</v>
      </c>
      <c r="X296" s="69"/>
    </row>
    <row r="297" spans="1:24" ht="16.5" customHeight="1" x14ac:dyDescent="0.3">
      <c r="A297" s="2">
        <v>15</v>
      </c>
      <c r="B297" s="2" t="s">
        <v>3117</v>
      </c>
      <c r="C297" s="60" t="s">
        <v>13264</v>
      </c>
      <c r="D297" s="1" t="s">
        <v>8960</v>
      </c>
      <c r="E297" s="68"/>
      <c r="F297" s="70"/>
      <c r="G297" s="74" t="s">
        <v>17747</v>
      </c>
      <c r="H297" s="62"/>
      <c r="I297" s="63"/>
      <c r="J297" s="85"/>
      <c r="K297" s="64"/>
      <c r="L297" s="65"/>
      <c r="M297" s="99"/>
      <c r="N297" s="70"/>
      <c r="O297" s="67"/>
      <c r="P297" s="68"/>
      <c r="Q297" s="76"/>
      <c r="R297" s="70"/>
      <c r="S297" s="67"/>
      <c r="T297" s="68"/>
      <c r="U297" s="76"/>
      <c r="V297" s="70"/>
      <c r="W297" s="120">
        <f>ROUND((ROUND((_15_同援日増６．５*_15・基礎２),0)*(1+_15・A深夜)),0)</f>
        <v>1106</v>
      </c>
      <c r="X297" s="69"/>
    </row>
    <row r="298" spans="1:24" ht="16.5" customHeight="1" x14ac:dyDescent="0.3">
      <c r="A298" s="2">
        <v>15</v>
      </c>
      <c r="B298" s="2" t="s">
        <v>3118</v>
      </c>
      <c r="C298" s="60" t="s">
        <v>13263</v>
      </c>
      <c r="D298" s="1"/>
      <c r="E298" s="119">
        <v>819</v>
      </c>
      <c r="F298" s="70" t="s">
        <v>0</v>
      </c>
      <c r="G298" s="106" t="s">
        <v>17420</v>
      </c>
      <c r="H298" s="57" t="s">
        <v>1</v>
      </c>
      <c r="I298" s="58">
        <v>0.9</v>
      </c>
      <c r="J298" s="83" t="s">
        <v>5895</v>
      </c>
      <c r="K298" s="64" t="s">
        <v>1</v>
      </c>
      <c r="L298" s="65">
        <v>1</v>
      </c>
      <c r="M298" s="99"/>
      <c r="N298" s="70"/>
      <c r="O298" s="66"/>
      <c r="P298" s="57"/>
      <c r="Q298" s="58"/>
      <c r="R298" s="77"/>
      <c r="S298" s="67"/>
      <c r="T298" s="68"/>
      <c r="U298" s="76"/>
      <c r="V298" s="70"/>
      <c r="W298" s="120">
        <f>ROUND((ROUND((ROUND((_15_同援日増６．５*_15・基礎２),0)*_15・２人),0)*(1+_15・A深夜)),0)</f>
        <v>1106</v>
      </c>
      <c r="X298" s="69"/>
    </row>
    <row r="299" spans="1:24" ht="16.5" customHeight="1" x14ac:dyDescent="0.3">
      <c r="A299" s="2">
        <v>15</v>
      </c>
      <c r="B299" s="2" t="s">
        <v>3119</v>
      </c>
      <c r="C299" s="60" t="s">
        <v>13262</v>
      </c>
      <c r="D299" s="1"/>
      <c r="E299" s="68"/>
      <c r="F299" s="70"/>
      <c r="G299" s="61"/>
      <c r="H299" s="62"/>
      <c r="I299" s="63"/>
      <c r="J299" s="85"/>
      <c r="K299" s="64"/>
      <c r="L299" s="65"/>
      <c r="M299" s="99"/>
      <c r="N299" s="70"/>
      <c r="O299" s="74" t="s">
        <v>17933</v>
      </c>
      <c r="P299" s="62"/>
      <c r="Q299" s="63"/>
      <c r="R299" s="75"/>
      <c r="S299" s="67"/>
      <c r="T299" s="68"/>
      <c r="U299" s="76"/>
      <c r="V299" s="70"/>
      <c r="W299" s="120">
        <f>ROUND((ROUND((_15_同援日増６．５*(1+_15・A深夜)),0)*(1+_15・盲ろう)),0)</f>
        <v>1536</v>
      </c>
      <c r="X299" s="69"/>
    </row>
    <row r="300" spans="1:24" ht="16.5" customHeight="1" x14ac:dyDescent="0.3">
      <c r="A300" s="2">
        <v>15</v>
      </c>
      <c r="B300" s="2" t="s">
        <v>3120</v>
      </c>
      <c r="C300" s="60" t="s">
        <v>13261</v>
      </c>
      <c r="D300" s="1"/>
      <c r="E300" s="68"/>
      <c r="F300" s="70"/>
      <c r="G300" s="66"/>
      <c r="H300" s="57"/>
      <c r="I300" s="58"/>
      <c r="J300" s="83" t="s">
        <v>5895</v>
      </c>
      <c r="K300" s="64" t="s">
        <v>1</v>
      </c>
      <c r="L300" s="65">
        <v>1</v>
      </c>
      <c r="M300" s="99"/>
      <c r="N300" s="70"/>
      <c r="O300" s="94" t="s">
        <v>8083</v>
      </c>
      <c r="P300" s="68"/>
      <c r="Q300" s="76"/>
      <c r="R300" s="70"/>
      <c r="S300" s="67"/>
      <c r="T300" s="68"/>
      <c r="U300" s="76"/>
      <c r="V300" s="70"/>
      <c r="W300" s="120">
        <f>ROUND((ROUND((ROUND((_15_同援日増６．５*_15・２人),0)*(1+_15・A深夜)),0)*(1+_15・盲ろう)),0)</f>
        <v>1536</v>
      </c>
      <c r="X300" s="69"/>
    </row>
    <row r="301" spans="1:24" ht="16.5" customHeight="1" x14ac:dyDescent="0.3">
      <c r="A301" s="2">
        <v>15</v>
      </c>
      <c r="B301" s="2" t="s">
        <v>3121</v>
      </c>
      <c r="C301" s="60" t="s">
        <v>13260</v>
      </c>
      <c r="D301" s="1"/>
      <c r="E301" s="68"/>
      <c r="F301" s="70"/>
      <c r="G301" s="74" t="s">
        <v>17747</v>
      </c>
      <c r="H301" s="62"/>
      <c r="I301" s="63"/>
      <c r="J301" s="85"/>
      <c r="K301" s="64"/>
      <c r="L301" s="65"/>
      <c r="M301" s="99"/>
      <c r="N301" s="70"/>
      <c r="O301" s="67"/>
      <c r="P301" s="68" t="s">
        <v>1</v>
      </c>
      <c r="Q301" s="76">
        <v>0.25</v>
      </c>
      <c r="R301" s="70" t="s">
        <v>422</v>
      </c>
      <c r="S301" s="67"/>
      <c r="T301" s="68"/>
      <c r="U301" s="76"/>
      <c r="V301" s="70"/>
      <c r="W301" s="120">
        <f>ROUND((ROUND((ROUND((_15_同援日増６．５*_15・基礎２),0)*(1+_15・A深夜)),0)*(1+_15・盲ろう)),0)</f>
        <v>1383</v>
      </c>
      <c r="X301" s="69"/>
    </row>
    <row r="302" spans="1:24" ht="16.5" customHeight="1" x14ac:dyDescent="0.3">
      <c r="A302" s="2">
        <v>15</v>
      </c>
      <c r="B302" s="2" t="s">
        <v>3122</v>
      </c>
      <c r="C302" s="60" t="s">
        <v>13259</v>
      </c>
      <c r="D302" s="1"/>
      <c r="E302" s="68"/>
      <c r="F302" s="70"/>
      <c r="G302" s="106" t="s">
        <v>17420</v>
      </c>
      <c r="H302" s="57" t="s">
        <v>1</v>
      </c>
      <c r="I302" s="58">
        <v>0.9</v>
      </c>
      <c r="J302" s="83" t="s">
        <v>5895</v>
      </c>
      <c r="K302" s="64" t="s">
        <v>1</v>
      </c>
      <c r="L302" s="65">
        <v>1</v>
      </c>
      <c r="M302" s="99"/>
      <c r="N302" s="70"/>
      <c r="O302" s="66"/>
      <c r="P302" s="57"/>
      <c r="Q302" s="58"/>
      <c r="R302" s="77"/>
      <c r="S302" s="66"/>
      <c r="T302" s="57"/>
      <c r="U302" s="58"/>
      <c r="V302" s="77"/>
      <c r="W302" s="120">
        <f>ROUND((ROUND((ROUND((ROUND((_15_同援日増６．５*_15・基礎２),0)*_15・２人),0)*(1+_15・A深夜)),0)*(1+_15・盲ろう)),0)</f>
        <v>1383</v>
      </c>
      <c r="X302" s="69"/>
    </row>
    <row r="303" spans="1:24" ht="16.5" customHeight="1" x14ac:dyDescent="0.3">
      <c r="A303" s="2">
        <v>15</v>
      </c>
      <c r="B303" s="2" t="s">
        <v>3123</v>
      </c>
      <c r="C303" s="60" t="s">
        <v>13258</v>
      </c>
      <c r="D303" s="1"/>
      <c r="E303" s="68"/>
      <c r="F303" s="70"/>
      <c r="G303" s="61"/>
      <c r="H303" s="62"/>
      <c r="I303" s="63"/>
      <c r="J303" s="85"/>
      <c r="K303" s="64"/>
      <c r="L303" s="65"/>
      <c r="M303" s="99"/>
      <c r="N303" s="70"/>
      <c r="O303" s="61"/>
      <c r="P303" s="62"/>
      <c r="Q303" s="63"/>
      <c r="R303" s="75"/>
      <c r="S303" s="61"/>
      <c r="T303" s="62"/>
      <c r="U303" s="63"/>
      <c r="V303" s="75"/>
      <c r="W303" s="120">
        <f>ROUND((ROUND((_15_同援日増６．５*(1+_15・A深夜)),0)*(1+_15・区３)),0)</f>
        <v>1475</v>
      </c>
      <c r="X303" s="69"/>
    </row>
    <row r="304" spans="1:24" ht="16.5" customHeight="1" x14ac:dyDescent="0.3">
      <c r="A304" s="2">
        <v>15</v>
      </c>
      <c r="B304" s="2" t="s">
        <v>3124</v>
      </c>
      <c r="C304" s="60" t="s">
        <v>13257</v>
      </c>
      <c r="D304" s="1"/>
      <c r="E304" s="68"/>
      <c r="F304" s="70"/>
      <c r="G304" s="66"/>
      <c r="H304" s="57"/>
      <c r="I304" s="58"/>
      <c r="J304" s="83" t="s">
        <v>5895</v>
      </c>
      <c r="K304" s="64" t="s">
        <v>1</v>
      </c>
      <c r="L304" s="65">
        <v>1</v>
      </c>
      <c r="M304" s="99"/>
      <c r="N304" s="70"/>
      <c r="O304" s="67"/>
      <c r="P304" s="68"/>
      <c r="Q304" s="76"/>
      <c r="R304" s="70"/>
      <c r="S304" s="67"/>
      <c r="T304" s="68"/>
      <c r="U304" s="76"/>
      <c r="V304" s="70"/>
      <c r="W304" s="120">
        <f>ROUND((ROUND((ROUND((_15_同援日増６．５*_15・２人),0)*(1+_15・A深夜)),0)*(1+_15・区３)),0)</f>
        <v>1475</v>
      </c>
      <c r="X304" s="69"/>
    </row>
    <row r="305" spans="1:24" ht="16.5" customHeight="1" x14ac:dyDescent="0.3">
      <c r="A305" s="2">
        <v>15</v>
      </c>
      <c r="B305" s="2" t="s">
        <v>3125</v>
      </c>
      <c r="C305" s="60" t="s">
        <v>13256</v>
      </c>
      <c r="D305" s="1"/>
      <c r="E305" s="68"/>
      <c r="F305" s="70"/>
      <c r="G305" s="74" t="s">
        <v>17747</v>
      </c>
      <c r="H305" s="62"/>
      <c r="I305" s="63"/>
      <c r="J305" s="85"/>
      <c r="K305" s="64"/>
      <c r="L305" s="65"/>
      <c r="M305" s="99"/>
      <c r="N305" s="70"/>
      <c r="O305" s="67"/>
      <c r="P305" s="68"/>
      <c r="Q305" s="76"/>
      <c r="R305" s="70"/>
      <c r="S305" s="1" t="s">
        <v>17936</v>
      </c>
      <c r="T305" s="68"/>
      <c r="U305" s="76"/>
      <c r="V305" s="70"/>
      <c r="W305" s="120">
        <f>ROUND((ROUND((ROUND((_15_同援日増６．５*_15・基礎２),0)*(1+_15・A深夜)),0)*(1+_15・区３)),0)</f>
        <v>1327</v>
      </c>
      <c r="X305" s="69"/>
    </row>
    <row r="306" spans="1:24" ht="16.5" customHeight="1" x14ac:dyDescent="0.3">
      <c r="A306" s="2">
        <v>15</v>
      </c>
      <c r="B306" s="2" t="s">
        <v>3126</v>
      </c>
      <c r="C306" s="60" t="s">
        <v>13255</v>
      </c>
      <c r="D306" s="1"/>
      <c r="E306" s="68"/>
      <c r="F306" s="70"/>
      <c r="G306" s="106" t="s">
        <v>17420</v>
      </c>
      <c r="H306" s="57" t="s">
        <v>1</v>
      </c>
      <c r="I306" s="58">
        <v>0.9</v>
      </c>
      <c r="J306" s="83" t="s">
        <v>5895</v>
      </c>
      <c r="K306" s="64" t="s">
        <v>1</v>
      </c>
      <c r="L306" s="65">
        <v>1</v>
      </c>
      <c r="M306" s="99"/>
      <c r="N306" s="70"/>
      <c r="O306" s="66"/>
      <c r="P306" s="57"/>
      <c r="Q306" s="58"/>
      <c r="R306" s="77"/>
      <c r="S306" s="1" t="s">
        <v>17934</v>
      </c>
      <c r="T306" s="68"/>
      <c r="U306" s="76"/>
      <c r="V306" s="70"/>
      <c r="W306" s="120">
        <f>ROUND((ROUND((ROUND((ROUND((_15_同援日増６．５*_15・基礎２),0)*_15・２人),0)*(1+_15・A深夜)),0)*(1+_15・区３)),0)</f>
        <v>1327</v>
      </c>
      <c r="X306" s="69"/>
    </row>
    <row r="307" spans="1:24" ht="16.5" customHeight="1" x14ac:dyDescent="0.3">
      <c r="A307" s="2">
        <v>15</v>
      </c>
      <c r="B307" s="2" t="s">
        <v>3127</v>
      </c>
      <c r="C307" s="60" t="s">
        <v>13254</v>
      </c>
      <c r="D307" s="1"/>
      <c r="E307" s="68"/>
      <c r="F307" s="70"/>
      <c r="G307" s="61"/>
      <c r="H307" s="62"/>
      <c r="I307" s="63"/>
      <c r="J307" s="85"/>
      <c r="K307" s="64"/>
      <c r="L307" s="65"/>
      <c r="M307" s="99"/>
      <c r="N307" s="70"/>
      <c r="O307" s="74" t="s">
        <v>17933</v>
      </c>
      <c r="P307" s="62"/>
      <c r="Q307" s="63"/>
      <c r="R307" s="75"/>
      <c r="S307" s="67"/>
      <c r="T307" s="68" t="s">
        <v>1</v>
      </c>
      <c r="U307" s="76">
        <v>0.2</v>
      </c>
      <c r="V307" s="70" t="s">
        <v>422</v>
      </c>
      <c r="W307" s="120">
        <f>ROUND((ROUND((ROUND((_15_同援日増６．５*(1+_15・A深夜)),0)*(1+_15・盲ろう)),0)*(1+_15・区３)),0)</f>
        <v>1843</v>
      </c>
      <c r="X307" s="69"/>
    </row>
    <row r="308" spans="1:24" ht="16.5" customHeight="1" x14ac:dyDescent="0.3">
      <c r="A308" s="2">
        <v>15</v>
      </c>
      <c r="B308" s="2" t="s">
        <v>3128</v>
      </c>
      <c r="C308" s="60" t="s">
        <v>13253</v>
      </c>
      <c r="D308" s="1"/>
      <c r="E308" s="68"/>
      <c r="F308" s="70"/>
      <c r="G308" s="66"/>
      <c r="H308" s="57"/>
      <c r="I308" s="58"/>
      <c r="J308" s="83" t="s">
        <v>5895</v>
      </c>
      <c r="K308" s="64" t="s">
        <v>1</v>
      </c>
      <c r="L308" s="65">
        <v>1</v>
      </c>
      <c r="M308" s="99"/>
      <c r="N308" s="70"/>
      <c r="O308" s="94" t="s">
        <v>17932</v>
      </c>
      <c r="P308" s="68"/>
      <c r="Q308" s="76"/>
      <c r="R308" s="70"/>
      <c r="S308" s="67"/>
      <c r="T308" s="68"/>
      <c r="U308" s="76"/>
      <c r="V308" s="70"/>
      <c r="W308" s="120">
        <f>ROUND((ROUND((ROUND((ROUND((_15_同援日増６．５*_15・２人),0)*(1+_15・A深夜)),0)*(1+_15・盲ろう)),0)*(1+_15・区３)),0)</f>
        <v>1843</v>
      </c>
      <c r="X308" s="69"/>
    </row>
    <row r="309" spans="1:24" ht="16.5" customHeight="1" x14ac:dyDescent="0.3">
      <c r="A309" s="2">
        <v>15</v>
      </c>
      <c r="B309" s="2" t="s">
        <v>3129</v>
      </c>
      <c r="C309" s="60" t="s">
        <v>13252</v>
      </c>
      <c r="D309" s="1"/>
      <c r="E309" s="68"/>
      <c r="F309" s="70"/>
      <c r="G309" s="74" t="s">
        <v>5898</v>
      </c>
      <c r="H309" s="62"/>
      <c r="I309" s="63"/>
      <c r="J309" s="85"/>
      <c r="K309" s="64"/>
      <c r="L309" s="65"/>
      <c r="M309" s="99"/>
      <c r="N309" s="70"/>
      <c r="O309" s="67"/>
      <c r="P309" s="68" t="s">
        <v>1</v>
      </c>
      <c r="Q309" s="76">
        <v>0.25</v>
      </c>
      <c r="R309" s="70" t="s">
        <v>422</v>
      </c>
      <c r="S309" s="67"/>
      <c r="T309" s="68"/>
      <c r="U309" s="76"/>
      <c r="V309" s="70"/>
      <c r="W309" s="120">
        <f>ROUND((ROUND((ROUND((ROUND((_15_同援日増６．５*_15・基礎２),0)*(1+_15・A深夜)),0)*(1+_15・盲ろう)),0)*(1+_15・区３)),0)</f>
        <v>1660</v>
      </c>
      <c r="X309" s="69"/>
    </row>
    <row r="310" spans="1:24" ht="16.5" customHeight="1" x14ac:dyDescent="0.3">
      <c r="A310" s="2">
        <v>15</v>
      </c>
      <c r="B310" s="2" t="s">
        <v>3130</v>
      </c>
      <c r="C310" s="60" t="s">
        <v>13251</v>
      </c>
      <c r="D310" s="1"/>
      <c r="E310" s="68"/>
      <c r="F310" s="70"/>
      <c r="G310" s="106" t="s">
        <v>17420</v>
      </c>
      <c r="H310" s="57" t="s">
        <v>1</v>
      </c>
      <c r="I310" s="58">
        <v>0.9</v>
      </c>
      <c r="J310" s="83" t="s">
        <v>5895</v>
      </c>
      <c r="K310" s="64" t="s">
        <v>1</v>
      </c>
      <c r="L310" s="65">
        <v>1</v>
      </c>
      <c r="M310" s="99"/>
      <c r="N310" s="70"/>
      <c r="O310" s="66"/>
      <c r="P310" s="57"/>
      <c r="Q310" s="58"/>
      <c r="R310" s="77"/>
      <c r="S310" s="66"/>
      <c r="T310" s="57"/>
      <c r="U310" s="58"/>
      <c r="V310" s="77"/>
      <c r="W310" s="120">
        <f>ROUND((ROUND((ROUND((ROUND((ROUND((_15_同援日増６．５*_15・基礎２),0)*_15・２人),0)*(1+_15・A深夜)),0)*(1+_15・盲ろう)),0)*(1+_15・区３)),0)</f>
        <v>1660</v>
      </c>
      <c r="X310" s="69"/>
    </row>
    <row r="311" spans="1:24" ht="16.5" customHeight="1" x14ac:dyDescent="0.3">
      <c r="A311" s="2">
        <v>15</v>
      </c>
      <c r="B311" s="2" t="s">
        <v>3131</v>
      </c>
      <c r="C311" s="60" t="s">
        <v>13250</v>
      </c>
      <c r="D311" s="1"/>
      <c r="E311" s="68"/>
      <c r="F311" s="70"/>
      <c r="G311" s="61"/>
      <c r="H311" s="62"/>
      <c r="I311" s="63"/>
      <c r="J311" s="85"/>
      <c r="K311" s="64"/>
      <c r="L311" s="65"/>
      <c r="M311" s="99"/>
      <c r="N311" s="70"/>
      <c r="O311" s="61"/>
      <c r="P311" s="62"/>
      <c r="Q311" s="63"/>
      <c r="R311" s="75"/>
      <c r="S311" s="61"/>
      <c r="T311" s="62"/>
      <c r="U311" s="63"/>
      <c r="V311" s="75"/>
      <c r="W311" s="120">
        <f>ROUND((ROUND((_15_同援日増６．５*(1+_15・A深夜)),0)*(1+_15・区４)),0)</f>
        <v>1721</v>
      </c>
      <c r="X311" s="69"/>
    </row>
    <row r="312" spans="1:24" ht="16.5" customHeight="1" x14ac:dyDescent="0.3">
      <c r="A312" s="2">
        <v>15</v>
      </c>
      <c r="B312" s="2" t="s">
        <v>3132</v>
      </c>
      <c r="C312" s="60" t="s">
        <v>13249</v>
      </c>
      <c r="D312" s="1"/>
      <c r="E312" s="68"/>
      <c r="F312" s="70"/>
      <c r="G312" s="66"/>
      <c r="H312" s="57"/>
      <c r="I312" s="58"/>
      <c r="J312" s="83" t="s">
        <v>5895</v>
      </c>
      <c r="K312" s="64" t="s">
        <v>1</v>
      </c>
      <c r="L312" s="65">
        <v>1</v>
      </c>
      <c r="M312" s="99"/>
      <c r="N312" s="70"/>
      <c r="O312" s="67"/>
      <c r="P312" s="68"/>
      <c r="Q312" s="76"/>
      <c r="R312" s="70"/>
      <c r="S312" s="67"/>
      <c r="T312" s="68"/>
      <c r="U312" s="76"/>
      <c r="V312" s="70"/>
      <c r="W312" s="120">
        <f>ROUND((ROUND((ROUND((_15_同援日増６．５*_15・２人),0)*(1+_15・A深夜)),0)*(1+_15・区４)),0)</f>
        <v>1721</v>
      </c>
      <c r="X312" s="69"/>
    </row>
    <row r="313" spans="1:24" ht="16.5" customHeight="1" x14ac:dyDescent="0.3">
      <c r="A313" s="2">
        <v>15</v>
      </c>
      <c r="B313" s="2" t="s">
        <v>3133</v>
      </c>
      <c r="C313" s="60" t="s">
        <v>13248</v>
      </c>
      <c r="D313" s="1"/>
      <c r="E313" s="68"/>
      <c r="F313" s="70"/>
      <c r="G313" s="74" t="s">
        <v>17747</v>
      </c>
      <c r="H313" s="62"/>
      <c r="I313" s="63"/>
      <c r="J313" s="85"/>
      <c r="K313" s="64"/>
      <c r="L313" s="65"/>
      <c r="M313" s="99"/>
      <c r="N313" s="70"/>
      <c r="O313" s="67"/>
      <c r="P313" s="68"/>
      <c r="Q313" s="76"/>
      <c r="R313" s="70"/>
      <c r="S313" s="1" t="s">
        <v>17935</v>
      </c>
      <c r="T313" s="68"/>
      <c r="U313" s="76"/>
      <c r="V313" s="70"/>
      <c r="W313" s="120">
        <f>ROUND((ROUND((ROUND((_15_同援日増６．５*_15・基礎２),0)*(1+_15・A深夜)),0)*(1+_15・区４)),0)</f>
        <v>1548</v>
      </c>
      <c r="X313" s="69"/>
    </row>
    <row r="314" spans="1:24" ht="16.5" customHeight="1" x14ac:dyDescent="0.3">
      <c r="A314" s="2">
        <v>15</v>
      </c>
      <c r="B314" s="2" t="s">
        <v>3134</v>
      </c>
      <c r="C314" s="60" t="s">
        <v>13247</v>
      </c>
      <c r="D314" s="1"/>
      <c r="E314" s="68"/>
      <c r="F314" s="70"/>
      <c r="G314" s="106" t="s">
        <v>17420</v>
      </c>
      <c r="H314" s="57" t="s">
        <v>1</v>
      </c>
      <c r="I314" s="58">
        <v>0.9</v>
      </c>
      <c r="J314" s="83" t="s">
        <v>5895</v>
      </c>
      <c r="K314" s="64" t="s">
        <v>1</v>
      </c>
      <c r="L314" s="65">
        <v>1</v>
      </c>
      <c r="M314" s="99"/>
      <c r="N314" s="70"/>
      <c r="O314" s="66"/>
      <c r="P314" s="57"/>
      <c r="Q314" s="58"/>
      <c r="R314" s="77"/>
      <c r="S314" s="1" t="s">
        <v>17934</v>
      </c>
      <c r="T314" s="68"/>
      <c r="U314" s="76"/>
      <c r="V314" s="70"/>
      <c r="W314" s="120">
        <f>ROUND((ROUND((ROUND((ROUND((_15_同援日増６．５*_15・基礎２),0)*_15・２人),0)*(1+_15・A深夜)),0)*(1+_15・区４)),0)</f>
        <v>1548</v>
      </c>
      <c r="X314" s="69"/>
    </row>
    <row r="315" spans="1:24" ht="16.5" customHeight="1" x14ac:dyDescent="0.3">
      <c r="A315" s="2">
        <v>15</v>
      </c>
      <c r="B315" s="2" t="s">
        <v>3135</v>
      </c>
      <c r="C315" s="60" t="s">
        <v>13246</v>
      </c>
      <c r="D315" s="1"/>
      <c r="E315" s="68"/>
      <c r="F315" s="70"/>
      <c r="G315" s="61"/>
      <c r="H315" s="62"/>
      <c r="I315" s="63"/>
      <c r="J315" s="85"/>
      <c r="K315" s="64"/>
      <c r="L315" s="65"/>
      <c r="M315" s="99"/>
      <c r="N315" s="70"/>
      <c r="O315" s="74" t="s">
        <v>17933</v>
      </c>
      <c r="P315" s="62"/>
      <c r="Q315" s="63"/>
      <c r="R315" s="75"/>
      <c r="S315" s="67"/>
      <c r="T315" s="68" t="s">
        <v>1</v>
      </c>
      <c r="U315" s="76">
        <v>0.4</v>
      </c>
      <c r="V315" s="70" t="s">
        <v>422</v>
      </c>
      <c r="W315" s="120">
        <f>ROUND((ROUND((ROUND((_15_同援日増６．５*(1+_15・A深夜)),0)*(1+_15・盲ろう)),0)*(1+_15・区４)),0)</f>
        <v>2150</v>
      </c>
      <c r="X315" s="69"/>
    </row>
    <row r="316" spans="1:24" ht="16.5" customHeight="1" x14ac:dyDescent="0.3">
      <c r="A316" s="2">
        <v>15</v>
      </c>
      <c r="B316" s="2" t="s">
        <v>3136</v>
      </c>
      <c r="C316" s="60" t="s">
        <v>13245</v>
      </c>
      <c r="D316" s="1"/>
      <c r="E316" s="68"/>
      <c r="F316" s="70"/>
      <c r="G316" s="66"/>
      <c r="H316" s="57"/>
      <c r="I316" s="58"/>
      <c r="J316" s="83" t="s">
        <v>5895</v>
      </c>
      <c r="K316" s="64" t="s">
        <v>1</v>
      </c>
      <c r="L316" s="65">
        <v>1</v>
      </c>
      <c r="M316" s="99"/>
      <c r="N316" s="70"/>
      <c r="O316" s="94" t="s">
        <v>17932</v>
      </c>
      <c r="P316" s="68"/>
      <c r="Q316" s="76"/>
      <c r="R316" s="70"/>
      <c r="S316" s="67"/>
      <c r="T316" s="68"/>
      <c r="U316" s="76"/>
      <c r="V316" s="70"/>
      <c r="W316" s="120">
        <f>ROUND((ROUND((ROUND((ROUND((_15_同援日増６．５*_15・２人),0)*(1+_15・A深夜)),0)*(1+_15・盲ろう)),0)*(1+_15・区４)),0)</f>
        <v>2150</v>
      </c>
      <c r="X316" s="69"/>
    </row>
    <row r="317" spans="1:24" ht="16.5" customHeight="1" x14ac:dyDescent="0.3">
      <c r="A317" s="2">
        <v>15</v>
      </c>
      <c r="B317" s="2" t="s">
        <v>3137</v>
      </c>
      <c r="C317" s="60" t="s">
        <v>13244</v>
      </c>
      <c r="D317" s="1"/>
      <c r="E317" s="68"/>
      <c r="F317" s="70"/>
      <c r="G317" s="74" t="s">
        <v>17747</v>
      </c>
      <c r="H317" s="62"/>
      <c r="I317" s="63"/>
      <c r="J317" s="85"/>
      <c r="K317" s="64"/>
      <c r="L317" s="65"/>
      <c r="M317" s="99"/>
      <c r="N317" s="70"/>
      <c r="O317" s="67"/>
      <c r="P317" s="68" t="s">
        <v>1</v>
      </c>
      <c r="Q317" s="76">
        <v>0.25</v>
      </c>
      <c r="R317" s="70" t="s">
        <v>422</v>
      </c>
      <c r="S317" s="67"/>
      <c r="T317" s="68"/>
      <c r="U317" s="76"/>
      <c r="V317" s="70"/>
      <c r="W317" s="120">
        <f>ROUND((ROUND((ROUND((ROUND((_15_同援日増６．５*_15・基礎２),0)*(1+_15・A深夜)),0)*(1+_15・盲ろう)),0)*(1+_15・区４)),0)</f>
        <v>1936</v>
      </c>
      <c r="X317" s="69"/>
    </row>
    <row r="318" spans="1:24" ht="16.5" customHeight="1" x14ac:dyDescent="0.3">
      <c r="A318" s="2">
        <v>15</v>
      </c>
      <c r="B318" s="2" t="s">
        <v>3138</v>
      </c>
      <c r="C318" s="60" t="s">
        <v>13243</v>
      </c>
      <c r="D318" s="81"/>
      <c r="E318" s="57"/>
      <c r="F318" s="77"/>
      <c r="G318" s="106" t="s">
        <v>17420</v>
      </c>
      <c r="H318" s="57" t="s">
        <v>1</v>
      </c>
      <c r="I318" s="58">
        <v>0.9</v>
      </c>
      <c r="J318" s="83" t="s">
        <v>5895</v>
      </c>
      <c r="K318" s="64" t="s">
        <v>1</v>
      </c>
      <c r="L318" s="65">
        <v>1</v>
      </c>
      <c r="M318" s="101"/>
      <c r="N318" s="77"/>
      <c r="O318" s="66"/>
      <c r="P318" s="57"/>
      <c r="Q318" s="58"/>
      <c r="R318" s="77"/>
      <c r="S318" s="66"/>
      <c r="T318" s="57"/>
      <c r="U318" s="58"/>
      <c r="V318" s="77"/>
      <c r="W318" s="120">
        <f>ROUND((ROUND((ROUND((ROUND((ROUND((_15_同援日増６．５*_15・基礎２),0)*_15・２人),0)*(1+_15・A深夜)),0)*(1+_15・盲ろう)),0)*(1+_15・区４)),0)</f>
        <v>1936</v>
      </c>
      <c r="X318" s="71"/>
    </row>
    <row r="319" spans="1:24" ht="16.5" customHeight="1" x14ac:dyDescent="0.3"/>
    <row r="320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2" manualBreakCount="2">
    <brk id="110" max="16383" man="1"/>
    <brk id="214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0000"/>
    <pageSetUpPr fitToPage="1"/>
  </sheetPr>
  <dimension ref="A1:V260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3.89453125" style="45" bestFit="1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26.47265625" style="46" customWidth="1"/>
    <col min="11" max="11" width="3.1015625" style="46" bestFit="1" customWidth="1"/>
    <col min="12" max="12" width="5" style="47" bestFit="1" customWidth="1"/>
    <col min="13" max="13" width="22.62890625" style="46" customWidth="1"/>
    <col min="14" max="14" width="3.1015625" style="46" bestFit="1" customWidth="1"/>
    <col min="15" max="15" width="4.1015625" style="47" bestFit="1" customWidth="1"/>
    <col min="16" max="16" width="4.734375" style="46" bestFit="1" customWidth="1"/>
    <col min="17" max="17" width="8.62890625" style="46" customWidth="1"/>
    <col min="18" max="18" width="3.1015625" style="46" bestFit="1" customWidth="1"/>
    <col min="19" max="19" width="4.1015625" style="47" bestFit="1" customWidth="1"/>
    <col min="20" max="20" width="4.734375" style="46" bestFit="1" customWidth="1"/>
    <col min="21" max="21" width="6.3671875" style="84" bestFit="1" customWidth="1"/>
    <col min="22" max="22" width="7.734375" style="48" bestFit="1" customWidth="1"/>
    <col min="23" max="16384" width="9" style="49"/>
  </cols>
  <sheetData>
    <row r="1" spans="1:22" ht="16.5" customHeight="1" x14ac:dyDescent="0.3"/>
    <row r="2" spans="1:22" ht="16.5" customHeight="1" x14ac:dyDescent="0.3"/>
    <row r="3" spans="1:22" ht="16.5" customHeight="1" x14ac:dyDescent="0.3"/>
    <row r="4" spans="1:22" ht="16.5" customHeight="1" x14ac:dyDescent="0.3">
      <c r="B4" s="229" t="s">
        <v>18231</v>
      </c>
      <c r="C4" s="131"/>
      <c r="D4" s="72"/>
    </row>
    <row r="5" spans="1:2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3"/>
      <c r="N5" s="53"/>
      <c r="O5" s="54"/>
      <c r="P5" s="53"/>
      <c r="Q5" s="53"/>
      <c r="R5" s="53"/>
      <c r="S5" s="54"/>
      <c r="T5" s="53"/>
      <c r="U5" s="55" t="s">
        <v>5869</v>
      </c>
      <c r="V5" s="55" t="s">
        <v>5871</v>
      </c>
    </row>
    <row r="6" spans="1:2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7"/>
      <c r="N6" s="57"/>
      <c r="O6" s="58"/>
      <c r="P6" s="57"/>
      <c r="Q6" s="57"/>
      <c r="R6" s="57"/>
      <c r="S6" s="58"/>
      <c r="T6" s="57"/>
      <c r="U6" s="59" t="s">
        <v>5870</v>
      </c>
      <c r="V6" s="59" t="s">
        <v>0</v>
      </c>
    </row>
    <row r="7" spans="1:22" ht="16.5" customHeight="1" x14ac:dyDescent="0.3">
      <c r="A7" s="2">
        <v>15</v>
      </c>
      <c r="B7" s="2" t="s">
        <v>3139</v>
      </c>
      <c r="C7" s="60" t="s">
        <v>13808</v>
      </c>
      <c r="D7" s="233" t="s">
        <v>18230</v>
      </c>
      <c r="E7" s="62"/>
      <c r="F7" s="75"/>
      <c r="G7" s="61"/>
      <c r="H7" s="62"/>
      <c r="I7" s="63"/>
      <c r="J7" s="85"/>
      <c r="K7" s="64"/>
      <c r="L7" s="65"/>
      <c r="M7" s="61"/>
      <c r="N7" s="62"/>
      <c r="O7" s="63"/>
      <c r="P7" s="75"/>
      <c r="Q7" s="61"/>
      <c r="R7" s="62"/>
      <c r="S7" s="63"/>
      <c r="T7" s="75"/>
      <c r="U7" s="120">
        <f>ROUND((_15_同援日０．５*_15・通訳),0)</f>
        <v>166</v>
      </c>
      <c r="V7" s="52" t="s">
        <v>5863</v>
      </c>
    </row>
    <row r="8" spans="1:22" ht="16.5" customHeight="1" x14ac:dyDescent="0.3">
      <c r="A8" s="2">
        <v>15</v>
      </c>
      <c r="B8" s="2" t="s">
        <v>3140</v>
      </c>
      <c r="C8" s="60" t="s">
        <v>13807</v>
      </c>
      <c r="D8" s="1" t="s">
        <v>7928</v>
      </c>
      <c r="E8" s="68"/>
      <c r="F8" s="70"/>
      <c r="G8" s="67"/>
      <c r="H8" s="68"/>
      <c r="I8" s="76"/>
      <c r="J8" s="83" t="s">
        <v>5895</v>
      </c>
      <c r="K8" s="64" t="s">
        <v>1</v>
      </c>
      <c r="L8" s="65">
        <v>1</v>
      </c>
      <c r="M8" s="66"/>
      <c r="N8" s="57"/>
      <c r="O8" s="58"/>
      <c r="P8" s="77"/>
      <c r="Q8" s="67"/>
      <c r="R8" s="68"/>
      <c r="S8" s="76"/>
      <c r="T8" s="70"/>
      <c r="U8" s="120">
        <f>ROUND((ROUND((_15_同援日０．５*_15・通訳),0)*_15・２人),0)</f>
        <v>166</v>
      </c>
      <c r="V8" s="69"/>
    </row>
    <row r="9" spans="1:22" ht="16.5" customHeight="1" x14ac:dyDescent="0.3">
      <c r="A9" s="2">
        <v>15</v>
      </c>
      <c r="B9" s="2" t="s">
        <v>3141</v>
      </c>
      <c r="C9" s="60" t="s">
        <v>13806</v>
      </c>
      <c r="D9" s="1"/>
      <c r="E9" s="68"/>
      <c r="F9" s="70"/>
      <c r="G9" s="67"/>
      <c r="H9" s="68"/>
      <c r="I9" s="76"/>
      <c r="J9" s="85"/>
      <c r="K9" s="64"/>
      <c r="L9" s="65"/>
      <c r="M9" s="74" t="s">
        <v>18187</v>
      </c>
      <c r="N9" s="62"/>
      <c r="O9" s="63"/>
      <c r="P9" s="75"/>
      <c r="Q9" s="67"/>
      <c r="R9" s="68"/>
      <c r="S9" s="76"/>
      <c r="T9" s="70"/>
      <c r="U9" s="120">
        <f>ROUND((ROUND((_15_同援日０．５*_15・通訳),0)*(1+_15・盲ろう)),0)</f>
        <v>208</v>
      </c>
      <c r="V9" s="69"/>
    </row>
    <row r="10" spans="1:22" ht="16.5" customHeight="1" x14ac:dyDescent="0.3">
      <c r="A10" s="2">
        <v>15</v>
      </c>
      <c r="B10" s="2" t="s">
        <v>3142</v>
      </c>
      <c r="C10" s="60" t="s">
        <v>13805</v>
      </c>
      <c r="D10" s="1"/>
      <c r="E10" s="119">
        <v>184</v>
      </c>
      <c r="F10" s="70" t="s">
        <v>0</v>
      </c>
      <c r="G10" s="67"/>
      <c r="H10" s="68"/>
      <c r="I10" s="76"/>
      <c r="J10" s="83" t="s">
        <v>5895</v>
      </c>
      <c r="K10" s="64" t="s">
        <v>1</v>
      </c>
      <c r="L10" s="65">
        <v>1</v>
      </c>
      <c r="M10" s="106" t="s">
        <v>18186</v>
      </c>
      <c r="N10" s="57" t="s">
        <v>1</v>
      </c>
      <c r="O10" s="58">
        <v>0.25</v>
      </c>
      <c r="P10" s="77" t="s">
        <v>422</v>
      </c>
      <c r="Q10" s="66"/>
      <c r="R10" s="57"/>
      <c r="S10" s="58"/>
      <c r="T10" s="77"/>
      <c r="U10" s="120">
        <f>ROUND((ROUND((ROUND((_15_同援日０．５*_15・通訳),0)*_15・２人),0)*(1+_15・盲ろう)),0)</f>
        <v>208</v>
      </c>
      <c r="V10" s="69"/>
    </row>
    <row r="11" spans="1:22" ht="16.5" customHeight="1" x14ac:dyDescent="0.3">
      <c r="A11" s="2">
        <v>15</v>
      </c>
      <c r="B11" s="2" t="s">
        <v>3143</v>
      </c>
      <c r="C11" s="60" t="s">
        <v>13804</v>
      </c>
      <c r="D11" s="1"/>
      <c r="E11" s="68"/>
      <c r="F11" s="70"/>
      <c r="G11" s="67"/>
      <c r="H11" s="68"/>
      <c r="I11" s="76"/>
      <c r="J11" s="85"/>
      <c r="K11" s="64"/>
      <c r="L11" s="65"/>
      <c r="M11" s="61"/>
      <c r="N11" s="62"/>
      <c r="O11" s="63"/>
      <c r="P11" s="75"/>
      <c r="Q11" s="74" t="s">
        <v>18190</v>
      </c>
      <c r="R11" s="62"/>
      <c r="S11" s="63"/>
      <c r="T11" s="75"/>
      <c r="U11" s="120">
        <f>ROUND((ROUND((_15_同援日０．５*_15・通訳),0)*(1+_15・区３)),0)</f>
        <v>199</v>
      </c>
      <c r="V11" s="69"/>
    </row>
    <row r="12" spans="1:22" ht="16.5" customHeight="1" x14ac:dyDescent="0.3">
      <c r="A12" s="2">
        <v>15</v>
      </c>
      <c r="B12" s="2" t="s">
        <v>3144</v>
      </c>
      <c r="C12" s="60" t="s">
        <v>13803</v>
      </c>
      <c r="D12" s="1"/>
      <c r="E12" s="68"/>
      <c r="F12" s="70"/>
      <c r="G12" s="1" t="s">
        <v>13802</v>
      </c>
      <c r="H12" s="68"/>
      <c r="I12" s="76"/>
      <c r="J12" s="83" t="s">
        <v>5895</v>
      </c>
      <c r="K12" s="64" t="s">
        <v>1</v>
      </c>
      <c r="L12" s="65">
        <v>1</v>
      </c>
      <c r="M12" s="66"/>
      <c r="N12" s="57"/>
      <c r="O12" s="58"/>
      <c r="P12" s="77"/>
      <c r="Q12" s="94" t="s">
        <v>18188</v>
      </c>
      <c r="R12" s="68"/>
      <c r="S12" s="76"/>
      <c r="T12" s="70"/>
      <c r="U12" s="120">
        <f>ROUND((ROUND((ROUND((_15_同援日０．５*_15・通訳),0)*_15・２人),0)*(1+_15・区３)),0)</f>
        <v>199</v>
      </c>
      <c r="V12" s="69"/>
    </row>
    <row r="13" spans="1:22" ht="16.5" customHeight="1" x14ac:dyDescent="0.3">
      <c r="A13" s="2">
        <v>15</v>
      </c>
      <c r="B13" s="2" t="s">
        <v>3145</v>
      </c>
      <c r="C13" s="60" t="s">
        <v>13801</v>
      </c>
      <c r="D13" s="1"/>
      <c r="E13" s="68"/>
      <c r="F13" s="70"/>
      <c r="G13" s="94" t="s">
        <v>13800</v>
      </c>
      <c r="H13" s="68" t="s">
        <v>1</v>
      </c>
      <c r="I13" s="76">
        <v>0.9</v>
      </c>
      <c r="J13" s="85"/>
      <c r="K13" s="64"/>
      <c r="L13" s="65"/>
      <c r="M13" s="74" t="s">
        <v>18187</v>
      </c>
      <c r="N13" s="62"/>
      <c r="O13" s="63"/>
      <c r="P13" s="75"/>
      <c r="Q13" s="67"/>
      <c r="R13" s="68" t="s">
        <v>1</v>
      </c>
      <c r="S13" s="76">
        <v>0.2</v>
      </c>
      <c r="T13" s="70" t="s">
        <v>422</v>
      </c>
      <c r="U13" s="120">
        <f>ROUND((ROUND((ROUND((_15_同援日０．５*_15・通訳),0)*(1+_15・盲ろう)),0)*(1+_15・区３)),0)</f>
        <v>250</v>
      </c>
      <c r="V13" s="69"/>
    </row>
    <row r="14" spans="1:22" ht="16.5" customHeight="1" x14ac:dyDescent="0.3">
      <c r="A14" s="2">
        <v>15</v>
      </c>
      <c r="B14" s="2" t="s">
        <v>3146</v>
      </c>
      <c r="C14" s="60" t="s">
        <v>13799</v>
      </c>
      <c r="D14" s="1"/>
      <c r="E14" s="68"/>
      <c r="F14" s="70"/>
      <c r="G14" s="67"/>
      <c r="H14" s="68"/>
      <c r="I14" s="76"/>
      <c r="J14" s="83" t="s">
        <v>5895</v>
      </c>
      <c r="K14" s="64" t="s">
        <v>1</v>
      </c>
      <c r="L14" s="65">
        <v>1</v>
      </c>
      <c r="M14" s="106" t="s">
        <v>18186</v>
      </c>
      <c r="N14" s="57" t="s">
        <v>1</v>
      </c>
      <c r="O14" s="58">
        <v>0.25</v>
      </c>
      <c r="P14" s="77" t="s">
        <v>422</v>
      </c>
      <c r="Q14" s="66"/>
      <c r="R14" s="57"/>
      <c r="S14" s="58"/>
      <c r="T14" s="77"/>
      <c r="U14" s="120">
        <f>ROUND((ROUND((ROUND((ROUND((_15_同援日０．５*_15・通訳),0)*_15・２人),0)*(1+_15・盲ろう)),0)*(1+_15・区３)),0)</f>
        <v>250</v>
      </c>
      <c r="V14" s="69"/>
    </row>
    <row r="15" spans="1:22" ht="16.5" customHeight="1" x14ac:dyDescent="0.3">
      <c r="A15" s="2">
        <v>15</v>
      </c>
      <c r="B15" s="2" t="s">
        <v>3147</v>
      </c>
      <c r="C15" s="60" t="s">
        <v>13798</v>
      </c>
      <c r="D15" s="1"/>
      <c r="E15" s="68"/>
      <c r="F15" s="70"/>
      <c r="G15" s="67"/>
      <c r="H15" s="68"/>
      <c r="I15" s="76"/>
      <c r="J15" s="85"/>
      <c r="K15" s="64"/>
      <c r="L15" s="65"/>
      <c r="M15" s="61"/>
      <c r="N15" s="62"/>
      <c r="O15" s="63"/>
      <c r="P15" s="75"/>
      <c r="Q15" s="74" t="s">
        <v>18189</v>
      </c>
      <c r="R15" s="62"/>
      <c r="S15" s="63"/>
      <c r="T15" s="75"/>
      <c r="U15" s="120">
        <f>ROUND((ROUND((_15_同援日０．５*_15・通訳),0)*(1+_15・区４)),0)</f>
        <v>232</v>
      </c>
      <c r="V15" s="69"/>
    </row>
    <row r="16" spans="1:22" ht="16.5" customHeight="1" x14ac:dyDescent="0.3">
      <c r="A16" s="2">
        <v>15</v>
      </c>
      <c r="B16" s="2" t="s">
        <v>3148</v>
      </c>
      <c r="C16" s="60" t="s">
        <v>13797</v>
      </c>
      <c r="D16" s="1"/>
      <c r="E16" s="68"/>
      <c r="F16" s="70"/>
      <c r="G16" s="67"/>
      <c r="H16" s="68"/>
      <c r="I16" s="76"/>
      <c r="J16" s="83" t="s">
        <v>5895</v>
      </c>
      <c r="K16" s="64" t="s">
        <v>1</v>
      </c>
      <c r="L16" s="65">
        <v>1</v>
      </c>
      <c r="M16" s="66"/>
      <c r="N16" s="57"/>
      <c r="O16" s="58"/>
      <c r="P16" s="77"/>
      <c r="Q16" s="94" t="s">
        <v>18188</v>
      </c>
      <c r="R16" s="68"/>
      <c r="S16" s="76"/>
      <c r="T16" s="70"/>
      <c r="U16" s="120">
        <f>ROUND((ROUND((ROUND((_15_同援日０．５*_15・通訳),0)*_15・２人),0)*(1+_15・区４)),0)</f>
        <v>232</v>
      </c>
      <c r="V16" s="69"/>
    </row>
    <row r="17" spans="1:22" ht="16.5" customHeight="1" x14ac:dyDescent="0.3">
      <c r="A17" s="2">
        <v>15</v>
      </c>
      <c r="B17" s="2" t="s">
        <v>3149</v>
      </c>
      <c r="C17" s="60" t="s">
        <v>13796</v>
      </c>
      <c r="D17" s="1"/>
      <c r="E17" s="68"/>
      <c r="F17" s="70"/>
      <c r="G17" s="67"/>
      <c r="H17" s="68"/>
      <c r="I17" s="76"/>
      <c r="J17" s="85"/>
      <c r="K17" s="64"/>
      <c r="L17" s="65"/>
      <c r="M17" s="74" t="s">
        <v>18187</v>
      </c>
      <c r="N17" s="62"/>
      <c r="O17" s="63"/>
      <c r="P17" s="75"/>
      <c r="Q17" s="67"/>
      <c r="R17" s="68" t="s">
        <v>1</v>
      </c>
      <c r="S17" s="76">
        <v>0.4</v>
      </c>
      <c r="T17" s="70" t="s">
        <v>422</v>
      </c>
      <c r="U17" s="120">
        <f>ROUND((ROUND((ROUND((_15_同援日０．５*_15・通訳),0)*(1+_15・盲ろう)),0)*(1+_15・区４)),0)</f>
        <v>291</v>
      </c>
      <c r="V17" s="69"/>
    </row>
    <row r="18" spans="1:22" ht="16.5" customHeight="1" x14ac:dyDescent="0.3">
      <c r="A18" s="2">
        <v>15</v>
      </c>
      <c r="B18" s="2" t="s">
        <v>3150</v>
      </c>
      <c r="C18" s="60" t="s">
        <v>13795</v>
      </c>
      <c r="D18" s="81"/>
      <c r="E18" s="57"/>
      <c r="F18" s="77"/>
      <c r="G18" s="67"/>
      <c r="H18" s="68"/>
      <c r="I18" s="76"/>
      <c r="J18" s="83" t="s">
        <v>5895</v>
      </c>
      <c r="K18" s="64" t="s">
        <v>1</v>
      </c>
      <c r="L18" s="65">
        <v>1</v>
      </c>
      <c r="M18" s="106" t="s">
        <v>18186</v>
      </c>
      <c r="N18" s="57" t="s">
        <v>1</v>
      </c>
      <c r="O18" s="58">
        <v>0.25</v>
      </c>
      <c r="P18" s="77" t="s">
        <v>422</v>
      </c>
      <c r="Q18" s="66"/>
      <c r="R18" s="57"/>
      <c r="S18" s="58"/>
      <c r="T18" s="77"/>
      <c r="U18" s="120">
        <f>ROUND((ROUND((ROUND((ROUND((_15_同援日０．５*_15・通訳),0)*_15・２人),0)*(1+_15・盲ろう)),0)*(1+_15・区４)),0)</f>
        <v>291</v>
      </c>
      <c r="V18" s="69"/>
    </row>
    <row r="19" spans="1:22" ht="16.5" customHeight="1" x14ac:dyDescent="0.3">
      <c r="A19" s="2">
        <v>15</v>
      </c>
      <c r="B19" s="2" t="s">
        <v>3151</v>
      </c>
      <c r="C19" s="60" t="s">
        <v>13794</v>
      </c>
      <c r="D19" s="233" t="s">
        <v>18229</v>
      </c>
      <c r="E19" s="62"/>
      <c r="F19" s="75"/>
      <c r="G19" s="67"/>
      <c r="H19" s="68"/>
      <c r="I19" s="76"/>
      <c r="J19" s="85"/>
      <c r="K19" s="64"/>
      <c r="L19" s="65"/>
      <c r="M19" s="61"/>
      <c r="N19" s="62"/>
      <c r="O19" s="63"/>
      <c r="P19" s="75"/>
      <c r="Q19" s="61"/>
      <c r="R19" s="62"/>
      <c r="S19" s="63"/>
      <c r="T19" s="75"/>
      <c r="U19" s="228">
        <f>ROUND((_15_同援日１．０*_15・通訳),0)</f>
        <v>263</v>
      </c>
      <c r="V19" s="69"/>
    </row>
    <row r="20" spans="1:22" ht="16.5" customHeight="1" x14ac:dyDescent="0.3">
      <c r="A20" s="2">
        <v>15</v>
      </c>
      <c r="B20" s="2" t="s">
        <v>3152</v>
      </c>
      <c r="C20" s="60" t="s">
        <v>13793</v>
      </c>
      <c r="D20" s="1" t="s">
        <v>17030</v>
      </c>
      <c r="E20" s="68"/>
      <c r="F20" s="70"/>
      <c r="G20" s="67"/>
      <c r="H20" s="68"/>
      <c r="I20" s="76"/>
      <c r="J20" s="83" t="s">
        <v>5895</v>
      </c>
      <c r="K20" s="64" t="s">
        <v>1</v>
      </c>
      <c r="L20" s="65">
        <v>1</v>
      </c>
      <c r="M20" s="66"/>
      <c r="N20" s="57"/>
      <c r="O20" s="58"/>
      <c r="P20" s="77"/>
      <c r="Q20" s="67"/>
      <c r="R20" s="68"/>
      <c r="S20" s="76"/>
      <c r="T20" s="70"/>
      <c r="U20" s="228">
        <f>ROUND((ROUND((_15_同援日１．０*_15・通訳),0)*_15・２人),0)</f>
        <v>263</v>
      </c>
      <c r="V20" s="69"/>
    </row>
    <row r="21" spans="1:22" ht="16.5" customHeight="1" x14ac:dyDescent="0.3">
      <c r="A21" s="2">
        <v>15</v>
      </c>
      <c r="B21" s="2" t="s">
        <v>3153</v>
      </c>
      <c r="C21" s="60" t="s">
        <v>13792</v>
      </c>
      <c r="D21" s="1" t="s">
        <v>8572</v>
      </c>
      <c r="E21" s="68"/>
      <c r="F21" s="70"/>
      <c r="G21" s="67"/>
      <c r="H21" s="68"/>
      <c r="I21" s="76"/>
      <c r="J21" s="85"/>
      <c r="K21" s="64"/>
      <c r="L21" s="65"/>
      <c r="M21" s="74" t="s">
        <v>18187</v>
      </c>
      <c r="N21" s="62"/>
      <c r="O21" s="63"/>
      <c r="P21" s="75"/>
      <c r="Q21" s="67"/>
      <c r="R21" s="68"/>
      <c r="S21" s="76"/>
      <c r="T21" s="70"/>
      <c r="U21" s="228">
        <f>ROUND((ROUND((_15_同援日１．０*_15・通訳),0)*(1+_15・盲ろう)),0)</f>
        <v>329</v>
      </c>
      <c r="V21" s="69"/>
    </row>
    <row r="22" spans="1:22" ht="16.5" customHeight="1" x14ac:dyDescent="0.3">
      <c r="A22" s="2">
        <v>15</v>
      </c>
      <c r="B22" s="2" t="s">
        <v>3154</v>
      </c>
      <c r="C22" s="60" t="s">
        <v>13791</v>
      </c>
      <c r="D22" s="1"/>
      <c r="E22" s="227">
        <v>292</v>
      </c>
      <c r="F22" s="70" t="s">
        <v>0</v>
      </c>
      <c r="G22" s="67"/>
      <c r="H22" s="68"/>
      <c r="I22" s="76"/>
      <c r="J22" s="83" t="s">
        <v>5895</v>
      </c>
      <c r="K22" s="64" t="s">
        <v>1</v>
      </c>
      <c r="L22" s="65">
        <v>1</v>
      </c>
      <c r="M22" s="106" t="s">
        <v>8083</v>
      </c>
      <c r="N22" s="57" t="s">
        <v>1</v>
      </c>
      <c r="O22" s="58">
        <v>0.25</v>
      </c>
      <c r="P22" s="77" t="s">
        <v>422</v>
      </c>
      <c r="Q22" s="66"/>
      <c r="R22" s="57"/>
      <c r="S22" s="58"/>
      <c r="T22" s="77"/>
      <c r="U22" s="228">
        <f>ROUND((ROUND((ROUND((_15_同援日１．０*_15・通訳),0)*_15・２人),0)*(1+_15・盲ろう)),0)</f>
        <v>329</v>
      </c>
      <c r="V22" s="69"/>
    </row>
    <row r="23" spans="1:22" ht="16.5" customHeight="1" x14ac:dyDescent="0.3">
      <c r="A23" s="2">
        <v>15</v>
      </c>
      <c r="B23" s="2" t="s">
        <v>3155</v>
      </c>
      <c r="C23" s="60" t="s">
        <v>13790</v>
      </c>
      <c r="D23" s="1"/>
      <c r="E23" s="68"/>
      <c r="F23" s="70"/>
      <c r="G23" s="67"/>
      <c r="H23" s="68"/>
      <c r="I23" s="76"/>
      <c r="J23" s="85"/>
      <c r="K23" s="64"/>
      <c r="L23" s="65"/>
      <c r="M23" s="61"/>
      <c r="N23" s="62"/>
      <c r="O23" s="63"/>
      <c r="P23" s="75"/>
      <c r="Q23" s="74" t="s">
        <v>18190</v>
      </c>
      <c r="R23" s="62"/>
      <c r="S23" s="63"/>
      <c r="T23" s="75"/>
      <c r="U23" s="228">
        <f>ROUND((ROUND((_15_同援日１．０*_15・通訳),0)*(1+_15・区３)),0)</f>
        <v>316</v>
      </c>
      <c r="V23" s="69"/>
    </row>
    <row r="24" spans="1:22" ht="16.5" customHeight="1" x14ac:dyDescent="0.3">
      <c r="A24" s="2">
        <v>15</v>
      </c>
      <c r="B24" s="2" t="s">
        <v>3156</v>
      </c>
      <c r="C24" s="60" t="s">
        <v>13789</v>
      </c>
      <c r="D24" s="1"/>
      <c r="E24" s="68"/>
      <c r="F24" s="70"/>
      <c r="G24" s="67"/>
      <c r="H24" s="68"/>
      <c r="I24" s="76"/>
      <c r="J24" s="83" t="s">
        <v>5895</v>
      </c>
      <c r="K24" s="64" t="s">
        <v>1</v>
      </c>
      <c r="L24" s="65">
        <v>1</v>
      </c>
      <c r="M24" s="66"/>
      <c r="N24" s="57"/>
      <c r="O24" s="58"/>
      <c r="P24" s="77"/>
      <c r="Q24" s="94" t="s">
        <v>18188</v>
      </c>
      <c r="R24" s="68"/>
      <c r="S24" s="76"/>
      <c r="T24" s="70"/>
      <c r="U24" s="228">
        <f>ROUND((ROUND((ROUND((_15_同援日１．０*_15・通訳),0)*_15・２人),0)*(1+_15・区３)),0)</f>
        <v>316</v>
      </c>
      <c r="V24" s="69"/>
    </row>
    <row r="25" spans="1:22" ht="16.5" customHeight="1" x14ac:dyDescent="0.3">
      <c r="A25" s="2">
        <v>15</v>
      </c>
      <c r="B25" s="2" t="s">
        <v>3157</v>
      </c>
      <c r="C25" s="60" t="s">
        <v>13788</v>
      </c>
      <c r="D25" s="1"/>
      <c r="E25" s="68"/>
      <c r="F25" s="70"/>
      <c r="G25" s="67"/>
      <c r="H25" s="68"/>
      <c r="I25" s="76"/>
      <c r="J25" s="85"/>
      <c r="K25" s="64"/>
      <c r="L25" s="65"/>
      <c r="M25" s="74" t="s">
        <v>18187</v>
      </c>
      <c r="N25" s="62"/>
      <c r="O25" s="63"/>
      <c r="P25" s="75"/>
      <c r="Q25" s="67"/>
      <c r="R25" s="68" t="s">
        <v>1</v>
      </c>
      <c r="S25" s="76">
        <v>0.2</v>
      </c>
      <c r="T25" s="70" t="s">
        <v>422</v>
      </c>
      <c r="U25" s="228">
        <f>ROUND((ROUND((ROUND((_15_同援日１．０*_15・通訳),0)*(1+_15・盲ろう)),0)*(1+_15・区３)),0)</f>
        <v>395</v>
      </c>
      <c r="V25" s="69"/>
    </row>
    <row r="26" spans="1:22" ht="16.5" customHeight="1" x14ac:dyDescent="0.3">
      <c r="A26" s="2">
        <v>15</v>
      </c>
      <c r="B26" s="2" t="s">
        <v>3158</v>
      </c>
      <c r="C26" s="60" t="s">
        <v>13787</v>
      </c>
      <c r="D26" s="1"/>
      <c r="E26" s="68"/>
      <c r="F26" s="70"/>
      <c r="G26" s="67"/>
      <c r="H26" s="68"/>
      <c r="I26" s="76"/>
      <c r="J26" s="83" t="s">
        <v>5895</v>
      </c>
      <c r="K26" s="64" t="s">
        <v>1</v>
      </c>
      <c r="L26" s="65">
        <v>1</v>
      </c>
      <c r="M26" s="106" t="s">
        <v>18186</v>
      </c>
      <c r="N26" s="57" t="s">
        <v>1</v>
      </c>
      <c r="O26" s="58">
        <v>0.25</v>
      </c>
      <c r="P26" s="77" t="s">
        <v>422</v>
      </c>
      <c r="Q26" s="66"/>
      <c r="R26" s="57"/>
      <c r="S26" s="58"/>
      <c r="T26" s="77"/>
      <c r="U26" s="228">
        <f>ROUND((ROUND((ROUND((ROUND((_15_同援日１．０*_15・通訳),0)*_15・２人),0)*(1+_15・盲ろう)),0)*(1+_15・区３)),0)</f>
        <v>395</v>
      </c>
      <c r="V26" s="69"/>
    </row>
    <row r="27" spans="1:22" ht="16.5" customHeight="1" x14ac:dyDescent="0.3">
      <c r="A27" s="2">
        <v>15</v>
      </c>
      <c r="B27" s="2" t="s">
        <v>3159</v>
      </c>
      <c r="C27" s="60" t="s">
        <v>13786</v>
      </c>
      <c r="D27" s="1"/>
      <c r="E27" s="68"/>
      <c r="F27" s="70"/>
      <c r="G27" s="67"/>
      <c r="H27" s="68"/>
      <c r="I27" s="76"/>
      <c r="J27" s="85"/>
      <c r="K27" s="64"/>
      <c r="L27" s="65"/>
      <c r="M27" s="61"/>
      <c r="N27" s="62"/>
      <c r="O27" s="63"/>
      <c r="P27" s="75"/>
      <c r="Q27" s="74" t="s">
        <v>18189</v>
      </c>
      <c r="R27" s="62"/>
      <c r="S27" s="63"/>
      <c r="T27" s="75"/>
      <c r="U27" s="228">
        <f>ROUND((ROUND((_15_同援日１．０*_15・通訳),0)*(1+_15・区４)),0)</f>
        <v>368</v>
      </c>
      <c r="V27" s="69"/>
    </row>
    <row r="28" spans="1:22" ht="16.5" customHeight="1" x14ac:dyDescent="0.3">
      <c r="A28" s="2">
        <v>15</v>
      </c>
      <c r="B28" s="2" t="s">
        <v>3160</v>
      </c>
      <c r="C28" s="60" t="s">
        <v>13785</v>
      </c>
      <c r="D28" s="1"/>
      <c r="E28" s="68"/>
      <c r="F28" s="70"/>
      <c r="G28" s="67"/>
      <c r="H28" s="68"/>
      <c r="I28" s="76"/>
      <c r="J28" s="83" t="s">
        <v>5895</v>
      </c>
      <c r="K28" s="64" t="s">
        <v>1</v>
      </c>
      <c r="L28" s="65">
        <v>1</v>
      </c>
      <c r="M28" s="66"/>
      <c r="N28" s="57"/>
      <c r="O28" s="58"/>
      <c r="P28" s="77"/>
      <c r="Q28" s="94" t="s">
        <v>18188</v>
      </c>
      <c r="R28" s="68"/>
      <c r="S28" s="76"/>
      <c r="T28" s="70"/>
      <c r="U28" s="228">
        <f>ROUND((ROUND((ROUND((_15_同援日１．０*_15・通訳),0)*_15・２人),0)*(1+_15・区４)),0)</f>
        <v>368</v>
      </c>
      <c r="V28" s="69"/>
    </row>
    <row r="29" spans="1:22" ht="16.5" customHeight="1" x14ac:dyDescent="0.3">
      <c r="A29" s="2">
        <v>15</v>
      </c>
      <c r="B29" s="2" t="s">
        <v>3161</v>
      </c>
      <c r="C29" s="60" t="s">
        <v>13784</v>
      </c>
      <c r="D29" s="1"/>
      <c r="E29" s="68"/>
      <c r="F29" s="70"/>
      <c r="G29" s="67"/>
      <c r="H29" s="68"/>
      <c r="I29" s="76"/>
      <c r="J29" s="85"/>
      <c r="K29" s="64"/>
      <c r="L29" s="65"/>
      <c r="M29" s="74" t="s">
        <v>18187</v>
      </c>
      <c r="N29" s="62"/>
      <c r="O29" s="63"/>
      <c r="P29" s="75"/>
      <c r="Q29" s="67"/>
      <c r="R29" s="68" t="s">
        <v>1</v>
      </c>
      <c r="S29" s="76">
        <v>0.4</v>
      </c>
      <c r="T29" s="70" t="s">
        <v>422</v>
      </c>
      <c r="U29" s="228">
        <f>ROUND((ROUND((ROUND((_15_同援日１．０*_15・通訳),0)*(1+_15・盲ろう)),0)*(1+_15・区４)),0)</f>
        <v>461</v>
      </c>
      <c r="V29" s="69"/>
    </row>
    <row r="30" spans="1:22" ht="16.5" customHeight="1" x14ac:dyDescent="0.3">
      <c r="A30" s="2">
        <v>15</v>
      </c>
      <c r="B30" s="2" t="s">
        <v>3162</v>
      </c>
      <c r="C30" s="60" t="s">
        <v>13783</v>
      </c>
      <c r="D30" s="81"/>
      <c r="E30" s="57"/>
      <c r="F30" s="77"/>
      <c r="G30" s="67"/>
      <c r="H30" s="68"/>
      <c r="I30" s="76"/>
      <c r="J30" s="83" t="s">
        <v>5895</v>
      </c>
      <c r="K30" s="64" t="s">
        <v>1</v>
      </c>
      <c r="L30" s="65">
        <v>1</v>
      </c>
      <c r="M30" s="106" t="s">
        <v>18186</v>
      </c>
      <c r="N30" s="57" t="s">
        <v>1</v>
      </c>
      <c r="O30" s="58">
        <v>0.25</v>
      </c>
      <c r="P30" s="77" t="s">
        <v>422</v>
      </c>
      <c r="Q30" s="66"/>
      <c r="R30" s="57"/>
      <c r="S30" s="58"/>
      <c r="T30" s="77"/>
      <c r="U30" s="228">
        <f>ROUND((ROUND((ROUND((ROUND((_15_同援日１．０*_15・通訳),0)*_15・２人),0)*(1+_15・盲ろう)),0)*(1+_15・区４)),0)</f>
        <v>461</v>
      </c>
      <c r="V30" s="69"/>
    </row>
    <row r="31" spans="1:22" ht="16.5" customHeight="1" x14ac:dyDescent="0.3">
      <c r="A31" s="2">
        <v>15</v>
      </c>
      <c r="B31" s="2" t="s">
        <v>3163</v>
      </c>
      <c r="C31" s="60" t="s">
        <v>13782</v>
      </c>
      <c r="D31" s="233" t="s">
        <v>18228</v>
      </c>
      <c r="E31" s="62"/>
      <c r="F31" s="75"/>
      <c r="G31" s="67"/>
      <c r="H31" s="68"/>
      <c r="I31" s="76"/>
      <c r="J31" s="85"/>
      <c r="K31" s="64"/>
      <c r="L31" s="65"/>
      <c r="M31" s="61"/>
      <c r="N31" s="62"/>
      <c r="O31" s="63"/>
      <c r="P31" s="75"/>
      <c r="Q31" s="61"/>
      <c r="R31" s="62"/>
      <c r="S31" s="63"/>
      <c r="T31" s="75"/>
      <c r="U31" s="228">
        <f>ROUND((_15_同援日１．５*_15・通訳),0)</f>
        <v>379</v>
      </c>
      <c r="V31" s="69"/>
    </row>
    <row r="32" spans="1:22" ht="16.5" customHeight="1" x14ac:dyDescent="0.3">
      <c r="A32" s="2">
        <v>15</v>
      </c>
      <c r="B32" s="2" t="s">
        <v>3164</v>
      </c>
      <c r="C32" s="60" t="s">
        <v>13781</v>
      </c>
      <c r="D32" s="1" t="s">
        <v>17040</v>
      </c>
      <c r="E32" s="68"/>
      <c r="F32" s="70"/>
      <c r="G32" s="67"/>
      <c r="H32" s="68"/>
      <c r="I32" s="76"/>
      <c r="J32" s="83" t="s">
        <v>5895</v>
      </c>
      <c r="K32" s="64" t="s">
        <v>1</v>
      </c>
      <c r="L32" s="65">
        <v>1</v>
      </c>
      <c r="M32" s="66"/>
      <c r="N32" s="57"/>
      <c r="O32" s="58"/>
      <c r="P32" s="77"/>
      <c r="Q32" s="67"/>
      <c r="R32" s="68"/>
      <c r="S32" s="76"/>
      <c r="T32" s="70"/>
      <c r="U32" s="228">
        <f>ROUND((ROUND((_15_同援日１．５*_15・通訳),0)*_15・２人),0)</f>
        <v>379</v>
      </c>
      <c r="V32" s="69"/>
    </row>
    <row r="33" spans="1:22" ht="16.5" customHeight="1" x14ac:dyDescent="0.3">
      <c r="A33" s="2">
        <v>15</v>
      </c>
      <c r="B33" s="2" t="s">
        <v>3165</v>
      </c>
      <c r="C33" s="60" t="s">
        <v>13780</v>
      </c>
      <c r="D33" s="1" t="s">
        <v>8767</v>
      </c>
      <c r="E33" s="68"/>
      <c r="F33" s="70"/>
      <c r="G33" s="67"/>
      <c r="H33" s="68"/>
      <c r="I33" s="76"/>
      <c r="J33" s="85"/>
      <c r="K33" s="64"/>
      <c r="L33" s="65"/>
      <c r="M33" s="74" t="s">
        <v>18187</v>
      </c>
      <c r="N33" s="62"/>
      <c r="O33" s="63"/>
      <c r="P33" s="75"/>
      <c r="Q33" s="67"/>
      <c r="R33" s="68"/>
      <c r="S33" s="76"/>
      <c r="T33" s="70"/>
      <c r="U33" s="228">
        <f>ROUND((ROUND((_15_同援日１．５*_15・通訳),0)*(1+_15・盲ろう)),0)</f>
        <v>474</v>
      </c>
      <c r="V33" s="69"/>
    </row>
    <row r="34" spans="1:22" ht="16.5" customHeight="1" x14ac:dyDescent="0.3">
      <c r="A34" s="2">
        <v>15</v>
      </c>
      <c r="B34" s="2" t="s">
        <v>3166</v>
      </c>
      <c r="C34" s="60" t="s">
        <v>13779</v>
      </c>
      <c r="D34" s="1"/>
      <c r="E34" s="227">
        <v>421</v>
      </c>
      <c r="F34" s="70" t="s">
        <v>0</v>
      </c>
      <c r="G34" s="67"/>
      <c r="H34" s="68"/>
      <c r="I34" s="76"/>
      <c r="J34" s="83" t="s">
        <v>5895</v>
      </c>
      <c r="K34" s="64" t="s">
        <v>1</v>
      </c>
      <c r="L34" s="65">
        <v>1</v>
      </c>
      <c r="M34" s="106" t="s">
        <v>18186</v>
      </c>
      <c r="N34" s="57" t="s">
        <v>1</v>
      </c>
      <c r="O34" s="58">
        <v>0.25</v>
      </c>
      <c r="P34" s="77" t="s">
        <v>422</v>
      </c>
      <c r="Q34" s="66"/>
      <c r="R34" s="57"/>
      <c r="S34" s="58"/>
      <c r="T34" s="77"/>
      <c r="U34" s="228">
        <f>ROUND((ROUND((ROUND((_15_同援日１．５*_15・通訳),0)*_15・２人),0)*(1+_15・盲ろう)),0)</f>
        <v>474</v>
      </c>
      <c r="V34" s="69"/>
    </row>
    <row r="35" spans="1:22" ht="16.5" customHeight="1" x14ac:dyDescent="0.3">
      <c r="A35" s="2">
        <v>15</v>
      </c>
      <c r="B35" s="2" t="s">
        <v>3167</v>
      </c>
      <c r="C35" s="60" t="s">
        <v>13778</v>
      </c>
      <c r="D35" s="1"/>
      <c r="E35" s="68"/>
      <c r="F35" s="70"/>
      <c r="G35" s="67"/>
      <c r="H35" s="68"/>
      <c r="I35" s="76"/>
      <c r="J35" s="85"/>
      <c r="K35" s="64"/>
      <c r="L35" s="65"/>
      <c r="M35" s="61"/>
      <c r="N35" s="62"/>
      <c r="O35" s="63"/>
      <c r="P35" s="75"/>
      <c r="Q35" s="74" t="s">
        <v>18190</v>
      </c>
      <c r="R35" s="62"/>
      <c r="S35" s="63"/>
      <c r="T35" s="75"/>
      <c r="U35" s="228">
        <f>ROUND((ROUND((_15_同援日１．５*_15・通訳),0)*(1+_15・区３)),0)</f>
        <v>455</v>
      </c>
      <c r="V35" s="69"/>
    </row>
    <row r="36" spans="1:22" ht="16.5" customHeight="1" x14ac:dyDescent="0.3">
      <c r="A36" s="2">
        <v>15</v>
      </c>
      <c r="B36" s="2" t="s">
        <v>3168</v>
      </c>
      <c r="C36" s="60" t="s">
        <v>13777</v>
      </c>
      <c r="D36" s="1"/>
      <c r="E36" s="68"/>
      <c r="F36" s="70"/>
      <c r="G36" s="67"/>
      <c r="H36" s="68"/>
      <c r="I36" s="76"/>
      <c r="J36" s="83" t="s">
        <v>5895</v>
      </c>
      <c r="K36" s="64" t="s">
        <v>1</v>
      </c>
      <c r="L36" s="65">
        <v>1</v>
      </c>
      <c r="M36" s="66"/>
      <c r="N36" s="57"/>
      <c r="O36" s="58"/>
      <c r="P36" s="77"/>
      <c r="Q36" s="94" t="s">
        <v>18188</v>
      </c>
      <c r="R36" s="68"/>
      <c r="S36" s="76"/>
      <c r="T36" s="70"/>
      <c r="U36" s="228">
        <f>ROUND((ROUND((ROUND((_15_同援日１．５*_15・通訳),0)*_15・２人),0)*(1+_15・区３)),0)</f>
        <v>455</v>
      </c>
      <c r="V36" s="69"/>
    </row>
    <row r="37" spans="1:22" ht="16.5" customHeight="1" x14ac:dyDescent="0.3">
      <c r="A37" s="2">
        <v>15</v>
      </c>
      <c r="B37" s="2" t="s">
        <v>3169</v>
      </c>
      <c r="C37" s="60" t="s">
        <v>13776</v>
      </c>
      <c r="D37" s="1"/>
      <c r="E37" s="68"/>
      <c r="F37" s="70"/>
      <c r="G37" s="67"/>
      <c r="H37" s="68"/>
      <c r="I37" s="76"/>
      <c r="J37" s="85"/>
      <c r="K37" s="64"/>
      <c r="L37" s="65"/>
      <c r="M37" s="74" t="s">
        <v>18187</v>
      </c>
      <c r="N37" s="62"/>
      <c r="O37" s="63"/>
      <c r="P37" s="75"/>
      <c r="Q37" s="67"/>
      <c r="R37" s="68" t="s">
        <v>1</v>
      </c>
      <c r="S37" s="76">
        <v>0.2</v>
      </c>
      <c r="T37" s="70" t="s">
        <v>422</v>
      </c>
      <c r="U37" s="228">
        <f>ROUND((ROUND((ROUND((_15_同援日１．５*_15・通訳),0)*(1+_15・盲ろう)),0)*(1+_15・区３)),0)</f>
        <v>569</v>
      </c>
      <c r="V37" s="69"/>
    </row>
    <row r="38" spans="1:22" ht="16.5" customHeight="1" x14ac:dyDescent="0.3">
      <c r="A38" s="2">
        <v>15</v>
      </c>
      <c r="B38" s="2" t="s">
        <v>3170</v>
      </c>
      <c r="C38" s="60" t="s">
        <v>13775</v>
      </c>
      <c r="D38" s="1"/>
      <c r="E38" s="68"/>
      <c r="F38" s="70"/>
      <c r="G38" s="67"/>
      <c r="H38" s="68"/>
      <c r="I38" s="76"/>
      <c r="J38" s="83" t="s">
        <v>5895</v>
      </c>
      <c r="K38" s="64" t="s">
        <v>1</v>
      </c>
      <c r="L38" s="65">
        <v>1</v>
      </c>
      <c r="M38" s="106" t="s">
        <v>18186</v>
      </c>
      <c r="N38" s="57" t="s">
        <v>1</v>
      </c>
      <c r="O38" s="58">
        <v>0.25</v>
      </c>
      <c r="P38" s="77" t="s">
        <v>422</v>
      </c>
      <c r="Q38" s="66"/>
      <c r="R38" s="57"/>
      <c r="S38" s="58"/>
      <c r="T38" s="77"/>
      <c r="U38" s="228">
        <f>ROUND((ROUND((ROUND((ROUND((_15_同援日１．５*_15・通訳),0)*_15・２人),0)*(1+_15・盲ろう)),0)*(1+_15・区３)),0)</f>
        <v>569</v>
      </c>
      <c r="V38" s="69"/>
    </row>
    <row r="39" spans="1:22" ht="16.5" customHeight="1" x14ac:dyDescent="0.3">
      <c r="A39" s="2">
        <v>15</v>
      </c>
      <c r="B39" s="2" t="s">
        <v>3171</v>
      </c>
      <c r="C39" s="60" t="s">
        <v>13774</v>
      </c>
      <c r="D39" s="1"/>
      <c r="E39" s="68"/>
      <c r="F39" s="70"/>
      <c r="G39" s="67"/>
      <c r="H39" s="68"/>
      <c r="I39" s="76"/>
      <c r="J39" s="85"/>
      <c r="K39" s="64"/>
      <c r="L39" s="65"/>
      <c r="M39" s="61"/>
      <c r="N39" s="62"/>
      <c r="O39" s="63"/>
      <c r="P39" s="75"/>
      <c r="Q39" s="74" t="s">
        <v>18189</v>
      </c>
      <c r="R39" s="62"/>
      <c r="S39" s="63"/>
      <c r="T39" s="75"/>
      <c r="U39" s="228">
        <f>ROUND((ROUND((_15_同援日１．５*_15・通訳),0)*(1+_15・区４)),0)</f>
        <v>531</v>
      </c>
      <c r="V39" s="69"/>
    </row>
    <row r="40" spans="1:22" ht="16.5" customHeight="1" x14ac:dyDescent="0.3">
      <c r="A40" s="2">
        <v>15</v>
      </c>
      <c r="B40" s="2" t="s">
        <v>3172</v>
      </c>
      <c r="C40" s="60" t="s">
        <v>13773</v>
      </c>
      <c r="D40" s="1"/>
      <c r="E40" s="68"/>
      <c r="F40" s="70"/>
      <c r="G40" s="67"/>
      <c r="H40" s="68"/>
      <c r="I40" s="76"/>
      <c r="J40" s="83" t="s">
        <v>5895</v>
      </c>
      <c r="K40" s="64" t="s">
        <v>1</v>
      </c>
      <c r="L40" s="65">
        <v>1</v>
      </c>
      <c r="M40" s="66"/>
      <c r="N40" s="57"/>
      <c r="O40" s="58"/>
      <c r="P40" s="77"/>
      <c r="Q40" s="94" t="s">
        <v>18188</v>
      </c>
      <c r="R40" s="68"/>
      <c r="S40" s="76"/>
      <c r="T40" s="70"/>
      <c r="U40" s="228">
        <f>ROUND((ROUND((ROUND((_15_同援日１．５*_15・通訳),0)*_15・２人),0)*(1+_15・区４)),0)</f>
        <v>531</v>
      </c>
      <c r="V40" s="69"/>
    </row>
    <row r="41" spans="1:22" ht="16.5" customHeight="1" x14ac:dyDescent="0.3">
      <c r="A41" s="2">
        <v>15</v>
      </c>
      <c r="B41" s="2" t="s">
        <v>3173</v>
      </c>
      <c r="C41" s="60" t="s">
        <v>13772</v>
      </c>
      <c r="D41" s="1"/>
      <c r="E41" s="68"/>
      <c r="F41" s="70"/>
      <c r="G41" s="67"/>
      <c r="H41" s="68"/>
      <c r="I41" s="76"/>
      <c r="J41" s="85"/>
      <c r="K41" s="64"/>
      <c r="L41" s="65"/>
      <c r="M41" s="74" t="s">
        <v>18187</v>
      </c>
      <c r="N41" s="62"/>
      <c r="O41" s="63"/>
      <c r="P41" s="75"/>
      <c r="Q41" s="67"/>
      <c r="R41" s="68" t="s">
        <v>1</v>
      </c>
      <c r="S41" s="76">
        <v>0.4</v>
      </c>
      <c r="T41" s="70" t="s">
        <v>422</v>
      </c>
      <c r="U41" s="228">
        <f>ROUND((ROUND((ROUND((_15_同援日１．５*_15・通訳),0)*(1+_15・盲ろう)),0)*(1+_15・区４)),0)</f>
        <v>664</v>
      </c>
      <c r="V41" s="69"/>
    </row>
    <row r="42" spans="1:22" ht="16.5" customHeight="1" x14ac:dyDescent="0.3">
      <c r="A42" s="2">
        <v>15</v>
      </c>
      <c r="B42" s="2" t="s">
        <v>3174</v>
      </c>
      <c r="C42" s="60" t="s">
        <v>13771</v>
      </c>
      <c r="D42" s="81"/>
      <c r="E42" s="57"/>
      <c r="F42" s="77"/>
      <c r="G42" s="67"/>
      <c r="H42" s="68"/>
      <c r="I42" s="76"/>
      <c r="J42" s="83" t="s">
        <v>5895</v>
      </c>
      <c r="K42" s="64" t="s">
        <v>1</v>
      </c>
      <c r="L42" s="65">
        <v>1</v>
      </c>
      <c r="M42" s="106" t="s">
        <v>18186</v>
      </c>
      <c r="N42" s="57" t="s">
        <v>1</v>
      </c>
      <c r="O42" s="58">
        <v>0.25</v>
      </c>
      <c r="P42" s="77" t="s">
        <v>422</v>
      </c>
      <c r="Q42" s="66"/>
      <c r="R42" s="57"/>
      <c r="S42" s="58"/>
      <c r="T42" s="77"/>
      <c r="U42" s="228">
        <f>ROUND((ROUND((ROUND((ROUND((_15_同援日１．５*_15・通訳),0)*_15・２人),0)*(1+_15・盲ろう)),0)*(1+_15・区４)),0)</f>
        <v>664</v>
      </c>
      <c r="V42" s="69"/>
    </row>
    <row r="43" spans="1:22" ht="16.5" customHeight="1" x14ac:dyDescent="0.3">
      <c r="A43" s="2">
        <v>15</v>
      </c>
      <c r="B43" s="2" t="s">
        <v>3175</v>
      </c>
      <c r="C43" s="60" t="s">
        <v>13770</v>
      </c>
      <c r="D43" s="233" t="s">
        <v>18227</v>
      </c>
      <c r="E43" s="62"/>
      <c r="F43" s="75"/>
      <c r="G43" s="67"/>
      <c r="H43" s="68"/>
      <c r="I43" s="76"/>
      <c r="J43" s="85"/>
      <c r="K43" s="64"/>
      <c r="L43" s="65"/>
      <c r="M43" s="61"/>
      <c r="N43" s="62"/>
      <c r="O43" s="63"/>
      <c r="P43" s="75"/>
      <c r="Q43" s="61"/>
      <c r="R43" s="62"/>
      <c r="S43" s="63"/>
      <c r="T43" s="75"/>
      <c r="U43" s="228">
        <f>ROUND((_15_同援日２．０*_15・通訳),0)</f>
        <v>437</v>
      </c>
      <c r="V43" s="69"/>
    </row>
    <row r="44" spans="1:22" ht="16.5" customHeight="1" x14ac:dyDescent="0.3">
      <c r="A44" s="2">
        <v>15</v>
      </c>
      <c r="B44" s="2" t="s">
        <v>3176</v>
      </c>
      <c r="C44" s="60" t="s">
        <v>13769</v>
      </c>
      <c r="D44" s="1" t="s">
        <v>17034</v>
      </c>
      <c r="E44" s="68"/>
      <c r="F44" s="70"/>
      <c r="G44" s="67"/>
      <c r="H44" s="68"/>
      <c r="I44" s="76"/>
      <c r="J44" s="83" t="s">
        <v>5895</v>
      </c>
      <c r="K44" s="64" t="s">
        <v>1</v>
      </c>
      <c r="L44" s="65">
        <v>1</v>
      </c>
      <c r="M44" s="66"/>
      <c r="N44" s="57"/>
      <c r="O44" s="58"/>
      <c r="P44" s="77"/>
      <c r="Q44" s="67"/>
      <c r="R44" s="68"/>
      <c r="S44" s="76"/>
      <c r="T44" s="70"/>
      <c r="U44" s="228">
        <f>ROUND((ROUND((_15_同援日２．０*_15・通訳),0)*_15・２人),0)</f>
        <v>437</v>
      </c>
      <c r="V44" s="69"/>
    </row>
    <row r="45" spans="1:22" ht="16.5" customHeight="1" x14ac:dyDescent="0.3">
      <c r="A45" s="2">
        <v>15</v>
      </c>
      <c r="B45" s="2" t="s">
        <v>3177</v>
      </c>
      <c r="C45" s="60" t="s">
        <v>13768</v>
      </c>
      <c r="D45" s="1" t="s">
        <v>6448</v>
      </c>
      <c r="E45" s="68"/>
      <c r="F45" s="70"/>
      <c r="G45" s="67"/>
      <c r="H45" s="68"/>
      <c r="I45" s="76"/>
      <c r="J45" s="85"/>
      <c r="K45" s="64"/>
      <c r="L45" s="65"/>
      <c r="M45" s="74" t="s">
        <v>18187</v>
      </c>
      <c r="N45" s="62"/>
      <c r="O45" s="63"/>
      <c r="P45" s="75"/>
      <c r="Q45" s="67"/>
      <c r="R45" s="68"/>
      <c r="S45" s="76"/>
      <c r="T45" s="70"/>
      <c r="U45" s="228">
        <f>ROUND((ROUND((_15_同援日２．０*_15・通訳),0)*(1+_15・盲ろう)),0)</f>
        <v>546</v>
      </c>
      <c r="V45" s="69"/>
    </row>
    <row r="46" spans="1:22" ht="16.5" customHeight="1" x14ac:dyDescent="0.3">
      <c r="A46" s="2">
        <v>15</v>
      </c>
      <c r="B46" s="2" t="s">
        <v>3178</v>
      </c>
      <c r="C46" s="60" t="s">
        <v>13767</v>
      </c>
      <c r="D46" s="1"/>
      <c r="E46" s="227">
        <v>485</v>
      </c>
      <c r="F46" s="70" t="s">
        <v>0</v>
      </c>
      <c r="G46" s="67"/>
      <c r="H46" s="68"/>
      <c r="I46" s="76"/>
      <c r="J46" s="83" t="s">
        <v>5895</v>
      </c>
      <c r="K46" s="64" t="s">
        <v>1</v>
      </c>
      <c r="L46" s="65">
        <v>1</v>
      </c>
      <c r="M46" s="106" t="s">
        <v>18186</v>
      </c>
      <c r="N46" s="57" t="s">
        <v>1</v>
      </c>
      <c r="O46" s="58">
        <v>0.25</v>
      </c>
      <c r="P46" s="77" t="s">
        <v>422</v>
      </c>
      <c r="Q46" s="66"/>
      <c r="R46" s="57"/>
      <c r="S46" s="58"/>
      <c r="T46" s="77"/>
      <c r="U46" s="228">
        <f>ROUND((ROUND((ROUND((_15_同援日２．０*_15・通訳),0)*_15・２人),0)*(1+_15・盲ろう)),0)</f>
        <v>546</v>
      </c>
      <c r="V46" s="69"/>
    </row>
    <row r="47" spans="1:22" ht="16.5" customHeight="1" x14ac:dyDescent="0.3">
      <c r="A47" s="2">
        <v>15</v>
      </c>
      <c r="B47" s="2" t="s">
        <v>3179</v>
      </c>
      <c r="C47" s="60" t="s">
        <v>13766</v>
      </c>
      <c r="D47" s="1"/>
      <c r="E47" s="68"/>
      <c r="F47" s="70"/>
      <c r="G47" s="67"/>
      <c r="H47" s="68"/>
      <c r="I47" s="76"/>
      <c r="J47" s="85"/>
      <c r="K47" s="64"/>
      <c r="L47" s="65"/>
      <c r="M47" s="61"/>
      <c r="N47" s="62"/>
      <c r="O47" s="63"/>
      <c r="P47" s="75"/>
      <c r="Q47" s="74" t="s">
        <v>18190</v>
      </c>
      <c r="R47" s="62"/>
      <c r="S47" s="63"/>
      <c r="T47" s="75"/>
      <c r="U47" s="228">
        <f>ROUND((ROUND((_15_同援日２．０*_15・通訳),0)*(1+_15・区３)),0)</f>
        <v>524</v>
      </c>
      <c r="V47" s="69"/>
    </row>
    <row r="48" spans="1:22" ht="16.5" customHeight="1" x14ac:dyDescent="0.3">
      <c r="A48" s="2">
        <v>15</v>
      </c>
      <c r="B48" s="2" t="s">
        <v>3180</v>
      </c>
      <c r="C48" s="60" t="s">
        <v>13765</v>
      </c>
      <c r="D48" s="1"/>
      <c r="E48" s="68"/>
      <c r="F48" s="70"/>
      <c r="G48" s="67"/>
      <c r="H48" s="68"/>
      <c r="I48" s="76"/>
      <c r="J48" s="83" t="s">
        <v>5895</v>
      </c>
      <c r="K48" s="64" t="s">
        <v>1</v>
      </c>
      <c r="L48" s="65">
        <v>1</v>
      </c>
      <c r="M48" s="66"/>
      <c r="N48" s="57"/>
      <c r="O48" s="58"/>
      <c r="P48" s="77"/>
      <c r="Q48" s="94" t="s">
        <v>18188</v>
      </c>
      <c r="R48" s="68"/>
      <c r="S48" s="76"/>
      <c r="T48" s="70"/>
      <c r="U48" s="228">
        <f>ROUND((ROUND((ROUND((_15_同援日２．０*_15・通訳),0)*_15・２人),0)*(1+_15・区３)),0)</f>
        <v>524</v>
      </c>
      <c r="V48" s="69"/>
    </row>
    <row r="49" spans="1:22" ht="16.5" customHeight="1" x14ac:dyDescent="0.3">
      <c r="A49" s="2">
        <v>15</v>
      </c>
      <c r="B49" s="2" t="s">
        <v>3181</v>
      </c>
      <c r="C49" s="60" t="s">
        <v>13764</v>
      </c>
      <c r="D49" s="1"/>
      <c r="E49" s="68"/>
      <c r="F49" s="70"/>
      <c r="G49" s="67"/>
      <c r="H49" s="68"/>
      <c r="I49" s="76"/>
      <c r="J49" s="85"/>
      <c r="K49" s="64"/>
      <c r="L49" s="65"/>
      <c r="M49" s="74" t="s">
        <v>18187</v>
      </c>
      <c r="N49" s="62"/>
      <c r="O49" s="63"/>
      <c r="P49" s="75"/>
      <c r="Q49" s="67"/>
      <c r="R49" s="68" t="s">
        <v>1</v>
      </c>
      <c r="S49" s="76">
        <v>0.2</v>
      </c>
      <c r="T49" s="70" t="s">
        <v>422</v>
      </c>
      <c r="U49" s="228">
        <f>ROUND((ROUND((ROUND((_15_同援日２．０*_15・通訳),0)*(1+_15・盲ろう)),0)*(1+_15・区３)),0)</f>
        <v>655</v>
      </c>
      <c r="V49" s="69"/>
    </row>
    <row r="50" spans="1:22" ht="16.5" customHeight="1" x14ac:dyDescent="0.3">
      <c r="A50" s="2">
        <v>15</v>
      </c>
      <c r="B50" s="2" t="s">
        <v>3182</v>
      </c>
      <c r="C50" s="60" t="s">
        <v>13763</v>
      </c>
      <c r="D50" s="1"/>
      <c r="E50" s="68"/>
      <c r="F50" s="70"/>
      <c r="G50" s="67"/>
      <c r="H50" s="68"/>
      <c r="I50" s="76"/>
      <c r="J50" s="83" t="s">
        <v>5895</v>
      </c>
      <c r="K50" s="64" t="s">
        <v>1</v>
      </c>
      <c r="L50" s="65">
        <v>1</v>
      </c>
      <c r="M50" s="106" t="s">
        <v>18186</v>
      </c>
      <c r="N50" s="57" t="s">
        <v>1</v>
      </c>
      <c r="O50" s="58">
        <v>0.25</v>
      </c>
      <c r="P50" s="77" t="s">
        <v>422</v>
      </c>
      <c r="Q50" s="66"/>
      <c r="R50" s="57"/>
      <c r="S50" s="58"/>
      <c r="T50" s="77"/>
      <c r="U50" s="228">
        <f>ROUND((ROUND((ROUND((ROUND((_15_同援日２．０*_15・通訳),0)*_15・２人),0)*(1+_15・盲ろう)),0)*(1+_15・区３)),0)</f>
        <v>655</v>
      </c>
      <c r="V50" s="69"/>
    </row>
    <row r="51" spans="1:22" ht="16.5" customHeight="1" x14ac:dyDescent="0.3">
      <c r="A51" s="2">
        <v>15</v>
      </c>
      <c r="B51" s="2" t="s">
        <v>3183</v>
      </c>
      <c r="C51" s="60" t="s">
        <v>13762</v>
      </c>
      <c r="D51" s="1"/>
      <c r="E51" s="68"/>
      <c r="F51" s="70"/>
      <c r="G51" s="67"/>
      <c r="H51" s="68"/>
      <c r="I51" s="76"/>
      <c r="J51" s="85"/>
      <c r="K51" s="64"/>
      <c r="L51" s="65"/>
      <c r="M51" s="61"/>
      <c r="N51" s="62"/>
      <c r="O51" s="63"/>
      <c r="P51" s="75"/>
      <c r="Q51" s="74" t="s">
        <v>18189</v>
      </c>
      <c r="R51" s="62"/>
      <c r="S51" s="63"/>
      <c r="T51" s="75"/>
      <c r="U51" s="228">
        <f>ROUND((ROUND((_15_同援日２．０*_15・通訳),0)*(1+_15・区４)),0)</f>
        <v>612</v>
      </c>
      <c r="V51" s="69"/>
    </row>
    <row r="52" spans="1:22" ht="16.5" customHeight="1" x14ac:dyDescent="0.3">
      <c r="A52" s="2">
        <v>15</v>
      </c>
      <c r="B52" s="2" t="s">
        <v>3184</v>
      </c>
      <c r="C52" s="60" t="s">
        <v>13761</v>
      </c>
      <c r="D52" s="1"/>
      <c r="E52" s="68"/>
      <c r="F52" s="70"/>
      <c r="G52" s="67"/>
      <c r="H52" s="68"/>
      <c r="I52" s="76"/>
      <c r="J52" s="83" t="s">
        <v>5895</v>
      </c>
      <c r="K52" s="64" t="s">
        <v>1</v>
      </c>
      <c r="L52" s="65">
        <v>1</v>
      </c>
      <c r="M52" s="66"/>
      <c r="N52" s="57"/>
      <c r="O52" s="58"/>
      <c r="P52" s="77"/>
      <c r="Q52" s="94" t="s">
        <v>18188</v>
      </c>
      <c r="R52" s="68"/>
      <c r="S52" s="76"/>
      <c r="T52" s="70"/>
      <c r="U52" s="228">
        <f>ROUND((ROUND((ROUND((_15_同援日２．０*_15・通訳),0)*_15・２人),0)*(1+_15・区４)),0)</f>
        <v>612</v>
      </c>
      <c r="V52" s="69"/>
    </row>
    <row r="53" spans="1:22" ht="16.5" customHeight="1" x14ac:dyDescent="0.3">
      <c r="A53" s="2">
        <v>15</v>
      </c>
      <c r="B53" s="2" t="s">
        <v>3185</v>
      </c>
      <c r="C53" s="60" t="s">
        <v>13760</v>
      </c>
      <c r="D53" s="1"/>
      <c r="E53" s="68"/>
      <c r="F53" s="70"/>
      <c r="G53" s="67"/>
      <c r="H53" s="68"/>
      <c r="I53" s="76"/>
      <c r="J53" s="85"/>
      <c r="K53" s="64"/>
      <c r="L53" s="65"/>
      <c r="M53" s="74" t="s">
        <v>18187</v>
      </c>
      <c r="N53" s="62"/>
      <c r="O53" s="63"/>
      <c r="P53" s="75"/>
      <c r="Q53" s="67"/>
      <c r="R53" s="68" t="s">
        <v>1</v>
      </c>
      <c r="S53" s="76">
        <v>0.4</v>
      </c>
      <c r="T53" s="70" t="s">
        <v>422</v>
      </c>
      <c r="U53" s="228">
        <f>ROUND((ROUND((ROUND((_15_同援日２．０*_15・通訳),0)*(1+_15・盲ろう)),0)*(1+_15・区４)),0)</f>
        <v>764</v>
      </c>
      <c r="V53" s="69"/>
    </row>
    <row r="54" spans="1:22" ht="16.5" customHeight="1" x14ac:dyDescent="0.3">
      <c r="A54" s="2">
        <v>15</v>
      </c>
      <c r="B54" s="2" t="s">
        <v>3186</v>
      </c>
      <c r="C54" s="60" t="s">
        <v>13759</v>
      </c>
      <c r="D54" s="81"/>
      <c r="E54" s="57"/>
      <c r="F54" s="77"/>
      <c r="G54" s="67"/>
      <c r="H54" s="68"/>
      <c r="I54" s="76"/>
      <c r="J54" s="83" t="s">
        <v>5895</v>
      </c>
      <c r="K54" s="64" t="s">
        <v>1</v>
      </c>
      <c r="L54" s="65">
        <v>1</v>
      </c>
      <c r="M54" s="106" t="s">
        <v>18186</v>
      </c>
      <c r="N54" s="57" t="s">
        <v>1</v>
      </c>
      <c r="O54" s="58">
        <v>0.25</v>
      </c>
      <c r="P54" s="77" t="s">
        <v>422</v>
      </c>
      <c r="Q54" s="66"/>
      <c r="R54" s="57"/>
      <c r="S54" s="58"/>
      <c r="T54" s="77"/>
      <c r="U54" s="228">
        <f>ROUND((ROUND((ROUND((ROUND((_15_同援日２．０*_15・通訳),0)*_15・２人),0)*(1+_15・盲ろう)),0)*(1+_15・区４)),0)</f>
        <v>764</v>
      </c>
      <c r="V54" s="69"/>
    </row>
    <row r="55" spans="1:22" ht="16.5" customHeight="1" x14ac:dyDescent="0.3">
      <c r="A55" s="2">
        <v>15</v>
      </c>
      <c r="B55" s="2" t="s">
        <v>3187</v>
      </c>
      <c r="C55" s="60" t="s">
        <v>13758</v>
      </c>
      <c r="D55" s="233" t="s">
        <v>18226</v>
      </c>
      <c r="E55" s="62"/>
      <c r="F55" s="75"/>
      <c r="G55" s="67"/>
      <c r="H55" s="68"/>
      <c r="I55" s="76"/>
      <c r="J55" s="85"/>
      <c r="K55" s="64"/>
      <c r="L55" s="65"/>
      <c r="M55" s="61"/>
      <c r="N55" s="62"/>
      <c r="O55" s="63"/>
      <c r="P55" s="75"/>
      <c r="Q55" s="61"/>
      <c r="R55" s="62"/>
      <c r="S55" s="63"/>
      <c r="T55" s="75"/>
      <c r="U55" s="228">
        <f>ROUND((_15_同援日２．５*_15・通訳),0)</f>
        <v>493</v>
      </c>
      <c r="V55" s="69"/>
    </row>
    <row r="56" spans="1:22" ht="16.5" customHeight="1" x14ac:dyDescent="0.3">
      <c r="A56" s="2">
        <v>15</v>
      </c>
      <c r="B56" s="2" t="s">
        <v>3188</v>
      </c>
      <c r="C56" s="60" t="s">
        <v>13757</v>
      </c>
      <c r="D56" s="1" t="s">
        <v>17028</v>
      </c>
      <c r="E56" s="68"/>
      <c r="F56" s="70"/>
      <c r="G56" s="67"/>
      <c r="H56" s="68"/>
      <c r="I56" s="76"/>
      <c r="J56" s="83" t="s">
        <v>5895</v>
      </c>
      <c r="K56" s="64" t="s">
        <v>1</v>
      </c>
      <c r="L56" s="65">
        <v>1</v>
      </c>
      <c r="M56" s="66"/>
      <c r="N56" s="57"/>
      <c r="O56" s="58"/>
      <c r="P56" s="77"/>
      <c r="Q56" s="67"/>
      <c r="R56" s="68"/>
      <c r="S56" s="76"/>
      <c r="T56" s="70"/>
      <c r="U56" s="228">
        <f>ROUND((ROUND((_15_同援日２．５*_15・通訳),0)*_15・２人),0)</f>
        <v>493</v>
      </c>
      <c r="V56" s="69"/>
    </row>
    <row r="57" spans="1:22" ht="16.5" customHeight="1" x14ac:dyDescent="0.3">
      <c r="A57" s="2">
        <v>15</v>
      </c>
      <c r="B57" s="2" t="s">
        <v>3189</v>
      </c>
      <c r="C57" s="60" t="s">
        <v>13756</v>
      </c>
      <c r="D57" s="1" t="s">
        <v>8499</v>
      </c>
      <c r="E57" s="68"/>
      <c r="F57" s="70"/>
      <c r="G57" s="67"/>
      <c r="H57" s="68"/>
      <c r="I57" s="76"/>
      <c r="J57" s="85"/>
      <c r="K57" s="64"/>
      <c r="L57" s="65"/>
      <c r="M57" s="74" t="s">
        <v>18187</v>
      </c>
      <c r="N57" s="62"/>
      <c r="O57" s="63"/>
      <c r="P57" s="75"/>
      <c r="Q57" s="67"/>
      <c r="R57" s="68"/>
      <c r="S57" s="76"/>
      <c r="T57" s="70"/>
      <c r="U57" s="228">
        <f>ROUND((ROUND((_15_同援日２．５*_15・通訳),0)*(1+_15・盲ろう)),0)</f>
        <v>616</v>
      </c>
      <c r="V57" s="69"/>
    </row>
    <row r="58" spans="1:22" ht="16.5" customHeight="1" x14ac:dyDescent="0.3">
      <c r="A58" s="2">
        <v>15</v>
      </c>
      <c r="B58" s="2" t="s">
        <v>3190</v>
      </c>
      <c r="C58" s="60" t="s">
        <v>13755</v>
      </c>
      <c r="D58" s="1"/>
      <c r="E58" s="227">
        <v>548</v>
      </c>
      <c r="F58" s="70" t="s">
        <v>0</v>
      </c>
      <c r="G58" s="67"/>
      <c r="H58" s="68"/>
      <c r="I58" s="76"/>
      <c r="J58" s="83" t="s">
        <v>5895</v>
      </c>
      <c r="K58" s="64" t="s">
        <v>1</v>
      </c>
      <c r="L58" s="65">
        <v>1</v>
      </c>
      <c r="M58" s="106" t="s">
        <v>18186</v>
      </c>
      <c r="N58" s="57" t="s">
        <v>1</v>
      </c>
      <c r="O58" s="58">
        <v>0.25</v>
      </c>
      <c r="P58" s="77" t="s">
        <v>422</v>
      </c>
      <c r="Q58" s="66"/>
      <c r="R58" s="57"/>
      <c r="S58" s="58"/>
      <c r="T58" s="77"/>
      <c r="U58" s="228">
        <f>ROUND((ROUND((ROUND((_15_同援日２．５*_15・通訳),0)*_15・２人),0)*(1+_15・盲ろう)),0)</f>
        <v>616</v>
      </c>
      <c r="V58" s="69"/>
    </row>
    <row r="59" spans="1:22" ht="16.5" customHeight="1" x14ac:dyDescent="0.3">
      <c r="A59" s="2">
        <v>15</v>
      </c>
      <c r="B59" s="2" t="s">
        <v>3191</v>
      </c>
      <c r="C59" s="60" t="s">
        <v>13754</v>
      </c>
      <c r="D59" s="1"/>
      <c r="E59" s="68"/>
      <c r="F59" s="70"/>
      <c r="G59" s="67"/>
      <c r="H59" s="68"/>
      <c r="I59" s="76"/>
      <c r="J59" s="85"/>
      <c r="K59" s="64"/>
      <c r="L59" s="65"/>
      <c r="M59" s="61"/>
      <c r="N59" s="62"/>
      <c r="O59" s="63"/>
      <c r="P59" s="75"/>
      <c r="Q59" s="74" t="s">
        <v>18190</v>
      </c>
      <c r="R59" s="62"/>
      <c r="S59" s="63"/>
      <c r="T59" s="75"/>
      <c r="U59" s="228">
        <f>ROUND((ROUND((_15_同援日２．５*_15・通訳),0)*(1+_15・区３)),0)</f>
        <v>592</v>
      </c>
      <c r="V59" s="69"/>
    </row>
    <row r="60" spans="1:22" ht="16.5" customHeight="1" x14ac:dyDescent="0.3">
      <c r="A60" s="2">
        <v>15</v>
      </c>
      <c r="B60" s="2" t="s">
        <v>3192</v>
      </c>
      <c r="C60" s="60" t="s">
        <v>13753</v>
      </c>
      <c r="D60" s="1"/>
      <c r="E60" s="68"/>
      <c r="F60" s="70"/>
      <c r="G60" s="67"/>
      <c r="H60" s="68"/>
      <c r="I60" s="76"/>
      <c r="J60" s="83" t="s">
        <v>5895</v>
      </c>
      <c r="K60" s="64" t="s">
        <v>1</v>
      </c>
      <c r="L60" s="65">
        <v>1</v>
      </c>
      <c r="M60" s="66"/>
      <c r="N60" s="57"/>
      <c r="O60" s="58"/>
      <c r="P60" s="77"/>
      <c r="Q60" s="94" t="s">
        <v>18188</v>
      </c>
      <c r="R60" s="68"/>
      <c r="S60" s="76"/>
      <c r="T60" s="70"/>
      <c r="U60" s="228">
        <f>ROUND((ROUND((ROUND((_15_同援日２．５*_15・通訳),0)*_15・２人),0)*(1+_15・区３)),0)</f>
        <v>592</v>
      </c>
      <c r="V60" s="69"/>
    </row>
    <row r="61" spans="1:22" ht="16.5" customHeight="1" x14ac:dyDescent="0.3">
      <c r="A61" s="2">
        <v>15</v>
      </c>
      <c r="B61" s="2" t="s">
        <v>3193</v>
      </c>
      <c r="C61" s="60" t="s">
        <v>13752</v>
      </c>
      <c r="D61" s="1"/>
      <c r="E61" s="68"/>
      <c r="F61" s="70"/>
      <c r="G61" s="67"/>
      <c r="H61" s="68"/>
      <c r="I61" s="76"/>
      <c r="J61" s="85"/>
      <c r="K61" s="64"/>
      <c r="L61" s="65"/>
      <c r="M61" s="74" t="s">
        <v>18187</v>
      </c>
      <c r="N61" s="62"/>
      <c r="O61" s="63"/>
      <c r="P61" s="75"/>
      <c r="Q61" s="67"/>
      <c r="R61" s="68" t="s">
        <v>1</v>
      </c>
      <c r="S61" s="76">
        <v>0.2</v>
      </c>
      <c r="T61" s="70" t="s">
        <v>422</v>
      </c>
      <c r="U61" s="228">
        <f>ROUND((ROUND((ROUND((_15_同援日２．５*_15・通訳),0)*(1+_15・盲ろう)),0)*(1+_15・区３)),0)</f>
        <v>739</v>
      </c>
      <c r="V61" s="69"/>
    </row>
    <row r="62" spans="1:22" ht="16.5" customHeight="1" x14ac:dyDescent="0.3">
      <c r="A62" s="2">
        <v>15</v>
      </c>
      <c r="B62" s="2" t="s">
        <v>3194</v>
      </c>
      <c r="C62" s="60" t="s">
        <v>13751</v>
      </c>
      <c r="D62" s="1"/>
      <c r="E62" s="68"/>
      <c r="F62" s="70"/>
      <c r="G62" s="67"/>
      <c r="H62" s="68"/>
      <c r="I62" s="76"/>
      <c r="J62" s="83" t="s">
        <v>5895</v>
      </c>
      <c r="K62" s="64" t="s">
        <v>1</v>
      </c>
      <c r="L62" s="65">
        <v>1</v>
      </c>
      <c r="M62" s="106" t="s">
        <v>18186</v>
      </c>
      <c r="N62" s="57" t="s">
        <v>1</v>
      </c>
      <c r="O62" s="58">
        <v>0.25</v>
      </c>
      <c r="P62" s="77" t="s">
        <v>422</v>
      </c>
      <c r="Q62" s="66"/>
      <c r="R62" s="57"/>
      <c r="S62" s="58"/>
      <c r="T62" s="77"/>
      <c r="U62" s="228">
        <f>ROUND((ROUND((ROUND((ROUND((_15_同援日２．５*_15・通訳),0)*_15・２人),0)*(1+_15・盲ろう)),0)*(1+_15・区３)),0)</f>
        <v>739</v>
      </c>
      <c r="V62" s="69"/>
    </row>
    <row r="63" spans="1:22" ht="16.5" customHeight="1" x14ac:dyDescent="0.3">
      <c r="A63" s="2">
        <v>15</v>
      </c>
      <c r="B63" s="2" t="s">
        <v>3195</v>
      </c>
      <c r="C63" s="60" t="s">
        <v>13750</v>
      </c>
      <c r="D63" s="1"/>
      <c r="E63" s="68"/>
      <c r="F63" s="70"/>
      <c r="G63" s="67"/>
      <c r="H63" s="68"/>
      <c r="I63" s="76"/>
      <c r="J63" s="85"/>
      <c r="K63" s="64"/>
      <c r="L63" s="65"/>
      <c r="M63" s="61"/>
      <c r="N63" s="62"/>
      <c r="O63" s="63"/>
      <c r="P63" s="75"/>
      <c r="Q63" s="74" t="s">
        <v>18189</v>
      </c>
      <c r="R63" s="62"/>
      <c r="S63" s="63"/>
      <c r="T63" s="75"/>
      <c r="U63" s="228">
        <f>ROUND((ROUND((_15_同援日２．５*_15・通訳),0)*(1+_15・区４)),0)</f>
        <v>690</v>
      </c>
      <c r="V63" s="69"/>
    </row>
    <row r="64" spans="1:22" ht="16.5" customHeight="1" x14ac:dyDescent="0.3">
      <c r="A64" s="2">
        <v>15</v>
      </c>
      <c r="B64" s="2" t="s">
        <v>3196</v>
      </c>
      <c r="C64" s="60" t="s">
        <v>13749</v>
      </c>
      <c r="D64" s="1"/>
      <c r="E64" s="68"/>
      <c r="F64" s="70"/>
      <c r="G64" s="67"/>
      <c r="H64" s="68"/>
      <c r="I64" s="76"/>
      <c r="J64" s="83" t="s">
        <v>5895</v>
      </c>
      <c r="K64" s="64" t="s">
        <v>1</v>
      </c>
      <c r="L64" s="65">
        <v>1</v>
      </c>
      <c r="M64" s="66"/>
      <c r="N64" s="57"/>
      <c r="O64" s="58"/>
      <c r="P64" s="77"/>
      <c r="Q64" s="94" t="s">
        <v>18188</v>
      </c>
      <c r="R64" s="68"/>
      <c r="S64" s="76"/>
      <c r="T64" s="70"/>
      <c r="U64" s="228">
        <f>ROUND((ROUND((ROUND((_15_同援日２．５*_15・通訳),0)*_15・２人),0)*(1+_15・区４)),0)</f>
        <v>690</v>
      </c>
      <c r="V64" s="69"/>
    </row>
    <row r="65" spans="1:22" ht="16.5" customHeight="1" x14ac:dyDescent="0.3">
      <c r="A65" s="2">
        <v>15</v>
      </c>
      <c r="B65" s="2" t="s">
        <v>3197</v>
      </c>
      <c r="C65" s="60" t="s">
        <v>13748</v>
      </c>
      <c r="D65" s="1"/>
      <c r="E65" s="68"/>
      <c r="F65" s="70"/>
      <c r="G65" s="67"/>
      <c r="H65" s="68"/>
      <c r="I65" s="76"/>
      <c r="J65" s="85"/>
      <c r="K65" s="64"/>
      <c r="L65" s="65"/>
      <c r="M65" s="74" t="s">
        <v>18187</v>
      </c>
      <c r="N65" s="62"/>
      <c r="O65" s="63"/>
      <c r="P65" s="75"/>
      <c r="Q65" s="67"/>
      <c r="R65" s="68" t="s">
        <v>1</v>
      </c>
      <c r="S65" s="76">
        <v>0.4</v>
      </c>
      <c r="T65" s="70" t="s">
        <v>422</v>
      </c>
      <c r="U65" s="228">
        <f>ROUND((ROUND((ROUND((_15_同援日２．５*_15・通訳),0)*(1+_15・盲ろう)),0)*(1+_15・区４)),0)</f>
        <v>862</v>
      </c>
      <c r="V65" s="69"/>
    </row>
    <row r="66" spans="1:22" ht="16.5" customHeight="1" x14ac:dyDescent="0.3">
      <c r="A66" s="2">
        <v>15</v>
      </c>
      <c r="B66" s="2" t="s">
        <v>3198</v>
      </c>
      <c r="C66" s="60" t="s">
        <v>13747</v>
      </c>
      <c r="D66" s="81"/>
      <c r="E66" s="57"/>
      <c r="F66" s="77"/>
      <c r="G66" s="67"/>
      <c r="H66" s="68"/>
      <c r="I66" s="76"/>
      <c r="J66" s="83" t="s">
        <v>5895</v>
      </c>
      <c r="K66" s="64" t="s">
        <v>1</v>
      </c>
      <c r="L66" s="65">
        <v>1</v>
      </c>
      <c r="M66" s="106" t="s">
        <v>18186</v>
      </c>
      <c r="N66" s="57" t="s">
        <v>1</v>
      </c>
      <c r="O66" s="58">
        <v>0.25</v>
      </c>
      <c r="P66" s="77" t="s">
        <v>422</v>
      </c>
      <c r="Q66" s="66"/>
      <c r="R66" s="57"/>
      <c r="S66" s="58"/>
      <c r="T66" s="77"/>
      <c r="U66" s="228">
        <f>ROUND((ROUND((ROUND((ROUND((_15_同援日２．５*_15・通訳),0)*_15・２人),0)*(1+_15・盲ろう)),0)*(1+_15・区４)),0)</f>
        <v>862</v>
      </c>
      <c r="V66" s="69"/>
    </row>
    <row r="67" spans="1:22" ht="16.5" customHeight="1" x14ac:dyDescent="0.3">
      <c r="A67" s="2">
        <v>15</v>
      </c>
      <c r="B67" s="2" t="s">
        <v>3199</v>
      </c>
      <c r="C67" s="60" t="s">
        <v>13746</v>
      </c>
      <c r="D67" s="233" t="s">
        <v>18225</v>
      </c>
      <c r="E67" s="62"/>
      <c r="F67" s="75"/>
      <c r="G67" s="67"/>
      <c r="H67" s="68"/>
      <c r="I67" s="76"/>
      <c r="J67" s="85"/>
      <c r="K67" s="64"/>
      <c r="L67" s="65"/>
      <c r="M67" s="61"/>
      <c r="N67" s="62"/>
      <c r="O67" s="63"/>
      <c r="P67" s="75"/>
      <c r="Q67" s="61"/>
      <c r="R67" s="62"/>
      <c r="S67" s="63"/>
      <c r="T67" s="75"/>
      <c r="U67" s="228">
        <f>ROUND((_15_同援日３．０*_15・通訳),0)</f>
        <v>550</v>
      </c>
      <c r="V67" s="69"/>
    </row>
    <row r="68" spans="1:22" ht="16.5" customHeight="1" x14ac:dyDescent="0.3">
      <c r="A68" s="2">
        <v>15</v>
      </c>
      <c r="B68" s="2" t="s">
        <v>3200</v>
      </c>
      <c r="C68" s="60" t="s">
        <v>13745</v>
      </c>
      <c r="D68" s="1" t="s">
        <v>17648</v>
      </c>
      <c r="E68" s="68"/>
      <c r="F68" s="70"/>
      <c r="G68" s="67"/>
      <c r="H68" s="68"/>
      <c r="I68" s="76"/>
      <c r="J68" s="83" t="s">
        <v>5895</v>
      </c>
      <c r="K68" s="64" t="s">
        <v>1</v>
      </c>
      <c r="L68" s="65">
        <v>1</v>
      </c>
      <c r="M68" s="66"/>
      <c r="N68" s="57"/>
      <c r="O68" s="58"/>
      <c r="P68" s="77"/>
      <c r="Q68" s="67"/>
      <c r="R68" s="68"/>
      <c r="S68" s="76"/>
      <c r="T68" s="70"/>
      <c r="U68" s="228">
        <f>ROUND((ROUND((_15_同援日３．０*_15・通訳),0)*_15・２人),0)</f>
        <v>550</v>
      </c>
      <c r="V68" s="69"/>
    </row>
    <row r="69" spans="1:22" ht="16.5" customHeight="1" x14ac:dyDescent="0.3">
      <c r="A69" s="2">
        <v>15</v>
      </c>
      <c r="B69" s="2" t="s">
        <v>3201</v>
      </c>
      <c r="C69" s="60" t="s">
        <v>13744</v>
      </c>
      <c r="D69" s="1" t="s">
        <v>8694</v>
      </c>
      <c r="E69" s="68"/>
      <c r="F69" s="70"/>
      <c r="G69" s="67"/>
      <c r="H69" s="68"/>
      <c r="I69" s="76"/>
      <c r="J69" s="85"/>
      <c r="K69" s="64"/>
      <c r="L69" s="65"/>
      <c r="M69" s="74" t="s">
        <v>18187</v>
      </c>
      <c r="N69" s="62"/>
      <c r="O69" s="63"/>
      <c r="P69" s="75"/>
      <c r="Q69" s="67"/>
      <c r="R69" s="68"/>
      <c r="S69" s="76"/>
      <c r="T69" s="70"/>
      <c r="U69" s="228">
        <f>ROUND((ROUND((_15_同援日３．０*_15・通訳),0)*(1+_15・盲ろう)),0)</f>
        <v>688</v>
      </c>
      <c r="V69" s="69"/>
    </row>
    <row r="70" spans="1:22" ht="16.5" customHeight="1" x14ac:dyDescent="0.3">
      <c r="A70" s="2">
        <v>15</v>
      </c>
      <c r="B70" s="2" t="s">
        <v>3202</v>
      </c>
      <c r="C70" s="60" t="s">
        <v>13743</v>
      </c>
      <c r="D70" s="1"/>
      <c r="E70" s="227">
        <v>611</v>
      </c>
      <c r="F70" s="70" t="s">
        <v>0</v>
      </c>
      <c r="G70" s="67"/>
      <c r="H70" s="68"/>
      <c r="I70" s="76"/>
      <c r="J70" s="83" t="s">
        <v>5895</v>
      </c>
      <c r="K70" s="64" t="s">
        <v>1</v>
      </c>
      <c r="L70" s="65">
        <v>1</v>
      </c>
      <c r="M70" s="106" t="s">
        <v>18186</v>
      </c>
      <c r="N70" s="57" t="s">
        <v>1</v>
      </c>
      <c r="O70" s="58">
        <v>0.25</v>
      </c>
      <c r="P70" s="77" t="s">
        <v>422</v>
      </c>
      <c r="Q70" s="66"/>
      <c r="R70" s="57"/>
      <c r="S70" s="58"/>
      <c r="T70" s="77"/>
      <c r="U70" s="228">
        <f>ROUND((ROUND((ROUND((_15_同援日３．０*_15・通訳),0)*_15・２人),0)*(1+_15・盲ろう)),0)</f>
        <v>688</v>
      </c>
      <c r="V70" s="69"/>
    </row>
    <row r="71" spans="1:22" ht="16.5" customHeight="1" x14ac:dyDescent="0.3">
      <c r="A71" s="2">
        <v>15</v>
      </c>
      <c r="B71" s="2" t="s">
        <v>3203</v>
      </c>
      <c r="C71" s="60" t="s">
        <v>13742</v>
      </c>
      <c r="D71" s="1"/>
      <c r="E71" s="68"/>
      <c r="F71" s="70"/>
      <c r="G71" s="67"/>
      <c r="H71" s="68"/>
      <c r="I71" s="76"/>
      <c r="J71" s="85"/>
      <c r="K71" s="64"/>
      <c r="L71" s="65"/>
      <c r="M71" s="61"/>
      <c r="N71" s="62"/>
      <c r="O71" s="63"/>
      <c r="P71" s="75"/>
      <c r="Q71" s="74" t="s">
        <v>18190</v>
      </c>
      <c r="R71" s="62"/>
      <c r="S71" s="63"/>
      <c r="T71" s="75"/>
      <c r="U71" s="228">
        <f>ROUND((ROUND((_15_同援日３．０*_15・通訳),0)*(1+_15・区３)),0)</f>
        <v>660</v>
      </c>
      <c r="V71" s="69"/>
    </row>
    <row r="72" spans="1:22" ht="16.5" customHeight="1" x14ac:dyDescent="0.3">
      <c r="A72" s="2">
        <v>15</v>
      </c>
      <c r="B72" s="2" t="s">
        <v>3204</v>
      </c>
      <c r="C72" s="60" t="s">
        <v>13741</v>
      </c>
      <c r="D72" s="1"/>
      <c r="E72" s="68"/>
      <c r="F72" s="70"/>
      <c r="G72" s="67"/>
      <c r="H72" s="68"/>
      <c r="I72" s="76"/>
      <c r="J72" s="83" t="s">
        <v>5895</v>
      </c>
      <c r="K72" s="64" t="s">
        <v>1</v>
      </c>
      <c r="L72" s="65">
        <v>1</v>
      </c>
      <c r="M72" s="66"/>
      <c r="N72" s="57"/>
      <c r="O72" s="58"/>
      <c r="P72" s="77"/>
      <c r="Q72" s="94" t="s">
        <v>8087</v>
      </c>
      <c r="R72" s="68"/>
      <c r="S72" s="76"/>
      <c r="T72" s="70"/>
      <c r="U72" s="228">
        <f>ROUND((ROUND((ROUND((_15_同援日３．０*_15・通訳),0)*_15・２人),0)*(1+_15・区３)),0)</f>
        <v>660</v>
      </c>
      <c r="V72" s="69"/>
    </row>
    <row r="73" spans="1:22" ht="16.5" customHeight="1" x14ac:dyDescent="0.3">
      <c r="A73" s="2">
        <v>15</v>
      </c>
      <c r="B73" s="2" t="s">
        <v>3205</v>
      </c>
      <c r="C73" s="60" t="s">
        <v>13740</v>
      </c>
      <c r="D73" s="1"/>
      <c r="E73" s="68"/>
      <c r="F73" s="70"/>
      <c r="G73" s="67"/>
      <c r="H73" s="68"/>
      <c r="I73" s="76"/>
      <c r="J73" s="85"/>
      <c r="K73" s="64"/>
      <c r="L73" s="65"/>
      <c r="M73" s="74" t="s">
        <v>18187</v>
      </c>
      <c r="N73" s="62"/>
      <c r="O73" s="63"/>
      <c r="P73" s="75"/>
      <c r="Q73" s="67"/>
      <c r="R73" s="68" t="s">
        <v>1</v>
      </c>
      <c r="S73" s="76">
        <v>0.2</v>
      </c>
      <c r="T73" s="70" t="s">
        <v>422</v>
      </c>
      <c r="U73" s="228">
        <f>ROUND((ROUND((ROUND((_15_同援日３．０*_15・通訳),0)*(1+_15・盲ろう)),0)*(1+_15・区３)),0)</f>
        <v>826</v>
      </c>
      <c r="V73" s="69"/>
    </row>
    <row r="74" spans="1:22" ht="16.5" customHeight="1" x14ac:dyDescent="0.3">
      <c r="A74" s="2">
        <v>15</v>
      </c>
      <c r="B74" s="2" t="s">
        <v>3206</v>
      </c>
      <c r="C74" s="60" t="s">
        <v>13739</v>
      </c>
      <c r="D74" s="1"/>
      <c r="E74" s="68"/>
      <c r="F74" s="70"/>
      <c r="G74" s="67"/>
      <c r="H74" s="68"/>
      <c r="I74" s="76"/>
      <c r="J74" s="83" t="s">
        <v>5895</v>
      </c>
      <c r="K74" s="64" t="s">
        <v>1</v>
      </c>
      <c r="L74" s="65">
        <v>1</v>
      </c>
      <c r="M74" s="106" t="s">
        <v>18186</v>
      </c>
      <c r="N74" s="57" t="s">
        <v>1</v>
      </c>
      <c r="O74" s="58">
        <v>0.25</v>
      </c>
      <c r="P74" s="77" t="s">
        <v>422</v>
      </c>
      <c r="Q74" s="66"/>
      <c r="R74" s="57"/>
      <c r="S74" s="58"/>
      <c r="T74" s="77"/>
      <c r="U74" s="228">
        <f>ROUND((ROUND((ROUND((ROUND((_15_同援日３．０*_15・通訳),0)*_15・２人),0)*(1+_15・盲ろう)),0)*(1+_15・区３)),0)</f>
        <v>826</v>
      </c>
      <c r="V74" s="69"/>
    </row>
    <row r="75" spans="1:22" ht="16.5" customHeight="1" x14ac:dyDescent="0.3">
      <c r="A75" s="2">
        <v>15</v>
      </c>
      <c r="B75" s="2" t="s">
        <v>3207</v>
      </c>
      <c r="C75" s="60" t="s">
        <v>13738</v>
      </c>
      <c r="D75" s="1"/>
      <c r="E75" s="68"/>
      <c r="F75" s="70"/>
      <c r="G75" s="67"/>
      <c r="H75" s="68"/>
      <c r="I75" s="76"/>
      <c r="J75" s="85"/>
      <c r="K75" s="64"/>
      <c r="L75" s="65"/>
      <c r="M75" s="61"/>
      <c r="N75" s="62"/>
      <c r="O75" s="63"/>
      <c r="P75" s="75"/>
      <c r="Q75" s="74" t="s">
        <v>18189</v>
      </c>
      <c r="R75" s="62"/>
      <c r="S75" s="63"/>
      <c r="T75" s="75"/>
      <c r="U75" s="228">
        <f>ROUND((ROUND((_15_同援日３．０*_15・通訳),0)*(1+_15・区４)),0)</f>
        <v>770</v>
      </c>
      <c r="V75" s="69"/>
    </row>
    <row r="76" spans="1:22" ht="16.5" customHeight="1" x14ac:dyDescent="0.3">
      <c r="A76" s="2">
        <v>15</v>
      </c>
      <c r="B76" s="2" t="s">
        <v>3208</v>
      </c>
      <c r="C76" s="60" t="s">
        <v>13737</v>
      </c>
      <c r="D76" s="1"/>
      <c r="E76" s="68"/>
      <c r="F76" s="70"/>
      <c r="G76" s="67"/>
      <c r="H76" s="68"/>
      <c r="I76" s="76"/>
      <c r="J76" s="83" t="s">
        <v>5895</v>
      </c>
      <c r="K76" s="64" t="s">
        <v>1</v>
      </c>
      <c r="L76" s="65">
        <v>1</v>
      </c>
      <c r="M76" s="66"/>
      <c r="N76" s="57"/>
      <c r="O76" s="58"/>
      <c r="P76" s="77"/>
      <c r="Q76" s="94" t="s">
        <v>18188</v>
      </c>
      <c r="R76" s="68"/>
      <c r="S76" s="76"/>
      <c r="T76" s="70"/>
      <c r="U76" s="228">
        <f>ROUND((ROUND((ROUND((_15_同援日３．０*_15・通訳),0)*_15・２人),0)*(1+_15・区４)),0)</f>
        <v>770</v>
      </c>
      <c r="V76" s="69"/>
    </row>
    <row r="77" spans="1:22" ht="16.5" customHeight="1" x14ac:dyDescent="0.3">
      <c r="A77" s="2">
        <v>15</v>
      </c>
      <c r="B77" s="2" t="s">
        <v>3209</v>
      </c>
      <c r="C77" s="60" t="s">
        <v>13736</v>
      </c>
      <c r="D77" s="1"/>
      <c r="E77" s="68"/>
      <c r="F77" s="70"/>
      <c r="G77" s="67"/>
      <c r="H77" s="68"/>
      <c r="I77" s="76"/>
      <c r="J77" s="85"/>
      <c r="K77" s="64"/>
      <c r="L77" s="65"/>
      <c r="M77" s="74" t="s">
        <v>18187</v>
      </c>
      <c r="N77" s="62"/>
      <c r="O77" s="63"/>
      <c r="P77" s="75"/>
      <c r="Q77" s="67"/>
      <c r="R77" s="68" t="s">
        <v>1</v>
      </c>
      <c r="S77" s="76">
        <v>0.4</v>
      </c>
      <c r="T77" s="70" t="s">
        <v>422</v>
      </c>
      <c r="U77" s="228">
        <f>ROUND((ROUND((ROUND((_15_同援日３．０*_15・通訳),0)*(1+_15・盲ろう)),0)*(1+_15・区４)),0)</f>
        <v>963</v>
      </c>
      <c r="V77" s="69"/>
    </row>
    <row r="78" spans="1:22" ht="16.5" customHeight="1" x14ac:dyDescent="0.3">
      <c r="A78" s="2">
        <v>15</v>
      </c>
      <c r="B78" s="2" t="s">
        <v>3210</v>
      </c>
      <c r="C78" s="60" t="s">
        <v>13735</v>
      </c>
      <c r="D78" s="81"/>
      <c r="E78" s="57"/>
      <c r="F78" s="77"/>
      <c r="G78" s="67"/>
      <c r="H78" s="68"/>
      <c r="I78" s="76"/>
      <c r="J78" s="83" t="s">
        <v>5895</v>
      </c>
      <c r="K78" s="64" t="s">
        <v>1</v>
      </c>
      <c r="L78" s="65">
        <v>1</v>
      </c>
      <c r="M78" s="106" t="s">
        <v>18186</v>
      </c>
      <c r="N78" s="57" t="s">
        <v>1</v>
      </c>
      <c r="O78" s="58">
        <v>0.25</v>
      </c>
      <c r="P78" s="77" t="s">
        <v>422</v>
      </c>
      <c r="Q78" s="66"/>
      <c r="R78" s="57"/>
      <c r="S78" s="58"/>
      <c r="T78" s="77"/>
      <c r="U78" s="228">
        <f>ROUND((ROUND((ROUND((ROUND((_15_同援日３．０*_15・通訳),0)*_15・２人),0)*(1+_15・盲ろう)),0)*(1+_15・区４)),0)</f>
        <v>963</v>
      </c>
      <c r="V78" s="69"/>
    </row>
    <row r="79" spans="1:22" ht="16.5" customHeight="1" x14ac:dyDescent="0.3">
      <c r="A79" s="2">
        <v>15</v>
      </c>
      <c r="B79" s="2" t="s">
        <v>3211</v>
      </c>
      <c r="C79" s="60" t="s">
        <v>13734</v>
      </c>
      <c r="D79" s="233" t="s">
        <v>18224</v>
      </c>
      <c r="E79" s="62"/>
      <c r="F79" s="75"/>
      <c r="G79" s="67"/>
      <c r="H79" s="68"/>
      <c r="I79" s="76"/>
      <c r="J79" s="85"/>
      <c r="K79" s="64"/>
      <c r="L79" s="65"/>
      <c r="M79" s="61"/>
      <c r="N79" s="62"/>
      <c r="O79" s="63"/>
      <c r="P79" s="75"/>
      <c r="Q79" s="61"/>
      <c r="R79" s="62"/>
      <c r="S79" s="63"/>
      <c r="T79" s="75"/>
      <c r="U79" s="228">
        <f>ROUND((_15_同援日３．５*_15・通訳),0)</f>
        <v>607</v>
      </c>
      <c r="V79" s="69"/>
    </row>
    <row r="80" spans="1:22" ht="16.5" customHeight="1" x14ac:dyDescent="0.3">
      <c r="A80" s="2">
        <v>15</v>
      </c>
      <c r="B80" s="2" t="s">
        <v>3212</v>
      </c>
      <c r="C80" s="60" t="s">
        <v>13733</v>
      </c>
      <c r="D80" s="1" t="s">
        <v>17645</v>
      </c>
      <c r="E80" s="68"/>
      <c r="F80" s="70"/>
      <c r="G80" s="67"/>
      <c r="H80" s="68"/>
      <c r="I80" s="76"/>
      <c r="J80" s="83" t="s">
        <v>5895</v>
      </c>
      <c r="K80" s="64" t="s">
        <v>1</v>
      </c>
      <c r="L80" s="65">
        <v>1</v>
      </c>
      <c r="M80" s="66"/>
      <c r="N80" s="57"/>
      <c r="O80" s="58"/>
      <c r="P80" s="77"/>
      <c r="Q80" s="67"/>
      <c r="R80" s="68"/>
      <c r="S80" s="76"/>
      <c r="T80" s="70"/>
      <c r="U80" s="228">
        <f>ROUND((ROUND((_15_同援日３．５*_15・通訳),0)*_15・２人),0)</f>
        <v>607</v>
      </c>
      <c r="V80" s="69"/>
    </row>
    <row r="81" spans="1:22" ht="16.5" customHeight="1" x14ac:dyDescent="0.3">
      <c r="A81" s="2">
        <v>15</v>
      </c>
      <c r="B81" s="2" t="s">
        <v>3213</v>
      </c>
      <c r="C81" s="60" t="s">
        <v>13732</v>
      </c>
      <c r="D81" s="1" t="s">
        <v>8450</v>
      </c>
      <c r="E81" s="68"/>
      <c r="F81" s="70"/>
      <c r="G81" s="67"/>
      <c r="H81" s="68"/>
      <c r="I81" s="76"/>
      <c r="J81" s="85"/>
      <c r="K81" s="64"/>
      <c r="L81" s="65"/>
      <c r="M81" s="74" t="s">
        <v>18187</v>
      </c>
      <c r="N81" s="62"/>
      <c r="O81" s="63"/>
      <c r="P81" s="75"/>
      <c r="Q81" s="67"/>
      <c r="R81" s="68"/>
      <c r="S81" s="76"/>
      <c r="T81" s="70"/>
      <c r="U81" s="228">
        <f>ROUND((ROUND((_15_同援日３．５*_15・通訳),0)*(1+_15・盲ろう)),0)</f>
        <v>759</v>
      </c>
      <c r="V81" s="69"/>
    </row>
    <row r="82" spans="1:22" ht="16.5" customHeight="1" x14ac:dyDescent="0.3">
      <c r="A82" s="2">
        <v>15</v>
      </c>
      <c r="B82" s="2" t="s">
        <v>3214</v>
      </c>
      <c r="C82" s="60" t="s">
        <v>13731</v>
      </c>
      <c r="D82" s="1"/>
      <c r="E82" s="227">
        <v>674</v>
      </c>
      <c r="F82" s="70" t="s">
        <v>0</v>
      </c>
      <c r="G82" s="67"/>
      <c r="H82" s="68"/>
      <c r="I82" s="76"/>
      <c r="J82" s="83" t="s">
        <v>5895</v>
      </c>
      <c r="K82" s="64" t="s">
        <v>1</v>
      </c>
      <c r="L82" s="65">
        <v>1</v>
      </c>
      <c r="M82" s="106" t="s">
        <v>18186</v>
      </c>
      <c r="N82" s="57" t="s">
        <v>1</v>
      </c>
      <c r="O82" s="58">
        <v>0.25</v>
      </c>
      <c r="P82" s="77" t="s">
        <v>422</v>
      </c>
      <c r="Q82" s="66"/>
      <c r="R82" s="57"/>
      <c r="S82" s="58"/>
      <c r="T82" s="77"/>
      <c r="U82" s="228">
        <f>ROUND((ROUND((ROUND((_15_同援日３．５*_15・通訳),0)*_15・２人),0)*(1+_15・盲ろう)),0)</f>
        <v>759</v>
      </c>
      <c r="V82" s="69"/>
    </row>
    <row r="83" spans="1:22" ht="16.5" customHeight="1" x14ac:dyDescent="0.3">
      <c r="A83" s="2">
        <v>15</v>
      </c>
      <c r="B83" s="2" t="s">
        <v>3215</v>
      </c>
      <c r="C83" s="60" t="s">
        <v>13730</v>
      </c>
      <c r="D83" s="1"/>
      <c r="E83" s="68"/>
      <c r="F83" s="70"/>
      <c r="G83" s="67"/>
      <c r="H83" s="68"/>
      <c r="I83" s="76"/>
      <c r="J83" s="85"/>
      <c r="K83" s="64"/>
      <c r="L83" s="65"/>
      <c r="M83" s="61"/>
      <c r="N83" s="62"/>
      <c r="O83" s="63"/>
      <c r="P83" s="75"/>
      <c r="Q83" s="74" t="s">
        <v>18190</v>
      </c>
      <c r="R83" s="62"/>
      <c r="S83" s="63"/>
      <c r="T83" s="75"/>
      <c r="U83" s="228">
        <f>ROUND((ROUND((_15_同援日３．５*_15・通訳),0)*(1+_15・区３)),0)</f>
        <v>728</v>
      </c>
      <c r="V83" s="69"/>
    </row>
    <row r="84" spans="1:22" ht="16.5" customHeight="1" x14ac:dyDescent="0.3">
      <c r="A84" s="2">
        <v>15</v>
      </c>
      <c r="B84" s="2" t="s">
        <v>3216</v>
      </c>
      <c r="C84" s="60" t="s">
        <v>13729</v>
      </c>
      <c r="D84" s="1"/>
      <c r="E84" s="68"/>
      <c r="F84" s="70"/>
      <c r="G84" s="67"/>
      <c r="H84" s="68"/>
      <c r="I84" s="76"/>
      <c r="J84" s="83" t="s">
        <v>5895</v>
      </c>
      <c r="K84" s="64" t="s">
        <v>1</v>
      </c>
      <c r="L84" s="65">
        <v>1</v>
      </c>
      <c r="M84" s="66"/>
      <c r="N84" s="57"/>
      <c r="O84" s="58"/>
      <c r="P84" s="77"/>
      <c r="Q84" s="94" t="s">
        <v>18188</v>
      </c>
      <c r="R84" s="68"/>
      <c r="S84" s="76"/>
      <c r="T84" s="70"/>
      <c r="U84" s="228">
        <f>ROUND((ROUND((ROUND((_15_同援日３．５*_15・通訳),0)*_15・２人),0)*(1+_15・区３)),0)</f>
        <v>728</v>
      </c>
      <c r="V84" s="69"/>
    </row>
    <row r="85" spans="1:22" ht="16.5" customHeight="1" x14ac:dyDescent="0.3">
      <c r="A85" s="2">
        <v>15</v>
      </c>
      <c r="B85" s="2" t="s">
        <v>3217</v>
      </c>
      <c r="C85" s="60" t="s">
        <v>13728</v>
      </c>
      <c r="D85" s="1"/>
      <c r="E85" s="68"/>
      <c r="F85" s="70"/>
      <c r="G85" s="67"/>
      <c r="H85" s="68"/>
      <c r="I85" s="76"/>
      <c r="J85" s="85"/>
      <c r="K85" s="64"/>
      <c r="L85" s="65"/>
      <c r="M85" s="74" t="s">
        <v>18187</v>
      </c>
      <c r="N85" s="62"/>
      <c r="O85" s="63"/>
      <c r="P85" s="75"/>
      <c r="Q85" s="67"/>
      <c r="R85" s="68" t="s">
        <v>1</v>
      </c>
      <c r="S85" s="76">
        <v>0.2</v>
      </c>
      <c r="T85" s="70" t="s">
        <v>422</v>
      </c>
      <c r="U85" s="228">
        <f>ROUND((ROUND((ROUND((_15_同援日３．５*_15・通訳),0)*(1+_15・盲ろう)),0)*(1+_15・区３)),0)</f>
        <v>911</v>
      </c>
      <c r="V85" s="69"/>
    </row>
    <row r="86" spans="1:22" ht="16.5" customHeight="1" x14ac:dyDescent="0.3">
      <c r="A86" s="2">
        <v>15</v>
      </c>
      <c r="B86" s="2" t="s">
        <v>3218</v>
      </c>
      <c r="C86" s="60" t="s">
        <v>13727</v>
      </c>
      <c r="D86" s="1"/>
      <c r="E86" s="68"/>
      <c r="F86" s="70"/>
      <c r="G86" s="67"/>
      <c r="H86" s="68"/>
      <c r="I86" s="76"/>
      <c r="J86" s="83" t="s">
        <v>5895</v>
      </c>
      <c r="K86" s="64" t="s">
        <v>1</v>
      </c>
      <c r="L86" s="65">
        <v>1</v>
      </c>
      <c r="M86" s="106" t="s">
        <v>18186</v>
      </c>
      <c r="N86" s="57" t="s">
        <v>1</v>
      </c>
      <c r="O86" s="58">
        <v>0.25</v>
      </c>
      <c r="P86" s="77" t="s">
        <v>422</v>
      </c>
      <c r="Q86" s="66"/>
      <c r="R86" s="57"/>
      <c r="S86" s="58"/>
      <c r="T86" s="77"/>
      <c r="U86" s="228">
        <f>ROUND((ROUND((ROUND((ROUND((_15_同援日３．５*_15・通訳),0)*_15・２人),0)*(1+_15・盲ろう)),0)*(1+_15・区３)),0)</f>
        <v>911</v>
      </c>
      <c r="V86" s="69"/>
    </row>
    <row r="87" spans="1:22" ht="16.5" customHeight="1" x14ac:dyDescent="0.3">
      <c r="A87" s="2">
        <v>15</v>
      </c>
      <c r="B87" s="2" t="s">
        <v>3219</v>
      </c>
      <c r="C87" s="60" t="s">
        <v>13726</v>
      </c>
      <c r="D87" s="1"/>
      <c r="E87" s="68"/>
      <c r="F87" s="70"/>
      <c r="G87" s="67"/>
      <c r="H87" s="68"/>
      <c r="I87" s="76"/>
      <c r="J87" s="85"/>
      <c r="K87" s="64"/>
      <c r="L87" s="65"/>
      <c r="M87" s="61"/>
      <c r="N87" s="62"/>
      <c r="O87" s="63"/>
      <c r="P87" s="75"/>
      <c r="Q87" s="74" t="s">
        <v>18189</v>
      </c>
      <c r="R87" s="62"/>
      <c r="S87" s="63"/>
      <c r="T87" s="75"/>
      <c r="U87" s="228">
        <f>ROUND((ROUND((_15_同援日３．５*_15・通訳),0)*(1+_15・区４)),0)</f>
        <v>850</v>
      </c>
      <c r="V87" s="69"/>
    </row>
    <row r="88" spans="1:22" ht="16.5" customHeight="1" x14ac:dyDescent="0.3">
      <c r="A88" s="2">
        <v>15</v>
      </c>
      <c r="B88" s="2" t="s">
        <v>3220</v>
      </c>
      <c r="C88" s="60" t="s">
        <v>13725</v>
      </c>
      <c r="D88" s="1"/>
      <c r="E88" s="68"/>
      <c r="F88" s="70"/>
      <c r="G88" s="67"/>
      <c r="H88" s="68"/>
      <c r="I88" s="76"/>
      <c r="J88" s="83" t="s">
        <v>5895</v>
      </c>
      <c r="K88" s="64" t="s">
        <v>1</v>
      </c>
      <c r="L88" s="65">
        <v>1</v>
      </c>
      <c r="M88" s="66"/>
      <c r="N88" s="57"/>
      <c r="O88" s="58"/>
      <c r="P88" s="77"/>
      <c r="Q88" s="94" t="s">
        <v>18188</v>
      </c>
      <c r="R88" s="68"/>
      <c r="S88" s="76"/>
      <c r="T88" s="70"/>
      <c r="U88" s="228">
        <f>ROUND((ROUND((ROUND((_15_同援日３．５*_15・通訳),0)*_15・２人),0)*(1+_15・区４)),0)</f>
        <v>850</v>
      </c>
      <c r="V88" s="69"/>
    </row>
    <row r="89" spans="1:22" ht="16.5" customHeight="1" x14ac:dyDescent="0.3">
      <c r="A89" s="2">
        <v>15</v>
      </c>
      <c r="B89" s="2" t="s">
        <v>3221</v>
      </c>
      <c r="C89" s="60" t="s">
        <v>13724</v>
      </c>
      <c r="D89" s="1"/>
      <c r="E89" s="68"/>
      <c r="F89" s="70"/>
      <c r="G89" s="67"/>
      <c r="H89" s="68"/>
      <c r="I89" s="76"/>
      <c r="J89" s="85"/>
      <c r="K89" s="64"/>
      <c r="L89" s="65"/>
      <c r="M89" s="74" t="s">
        <v>18187</v>
      </c>
      <c r="N89" s="62"/>
      <c r="O89" s="63"/>
      <c r="P89" s="75"/>
      <c r="Q89" s="67"/>
      <c r="R89" s="68" t="s">
        <v>1</v>
      </c>
      <c r="S89" s="76">
        <v>0.4</v>
      </c>
      <c r="T89" s="70" t="s">
        <v>422</v>
      </c>
      <c r="U89" s="228">
        <f>ROUND((ROUND((ROUND((_15_同援日３．５*_15・通訳),0)*(1+_15・盲ろう)),0)*(1+_15・区４)),0)</f>
        <v>1063</v>
      </c>
      <c r="V89" s="69"/>
    </row>
    <row r="90" spans="1:22" ht="16.5" customHeight="1" x14ac:dyDescent="0.3">
      <c r="A90" s="2">
        <v>15</v>
      </c>
      <c r="B90" s="2" t="s">
        <v>3222</v>
      </c>
      <c r="C90" s="60" t="s">
        <v>13723</v>
      </c>
      <c r="D90" s="81"/>
      <c r="E90" s="57"/>
      <c r="F90" s="77"/>
      <c r="G90" s="67"/>
      <c r="H90" s="68"/>
      <c r="I90" s="76"/>
      <c r="J90" s="83" t="s">
        <v>5895</v>
      </c>
      <c r="K90" s="64" t="s">
        <v>1</v>
      </c>
      <c r="L90" s="65">
        <v>1</v>
      </c>
      <c r="M90" s="106" t="s">
        <v>18186</v>
      </c>
      <c r="N90" s="57" t="s">
        <v>1</v>
      </c>
      <c r="O90" s="58">
        <v>0.25</v>
      </c>
      <c r="P90" s="77" t="s">
        <v>422</v>
      </c>
      <c r="Q90" s="66"/>
      <c r="R90" s="57"/>
      <c r="S90" s="58"/>
      <c r="T90" s="77"/>
      <c r="U90" s="228">
        <f>ROUND((ROUND((ROUND((ROUND((_15_同援日３．５*_15・通訳),0)*_15・２人),0)*(1+_15・盲ろう)),0)*(1+_15・区４)),0)</f>
        <v>1063</v>
      </c>
      <c r="V90" s="69"/>
    </row>
    <row r="91" spans="1:22" ht="16.5" customHeight="1" x14ac:dyDescent="0.3">
      <c r="A91" s="2">
        <v>15</v>
      </c>
      <c r="B91" s="2" t="s">
        <v>3223</v>
      </c>
      <c r="C91" s="60" t="s">
        <v>13722</v>
      </c>
      <c r="D91" s="233" t="s">
        <v>18223</v>
      </c>
      <c r="E91" s="62"/>
      <c r="F91" s="75"/>
      <c r="G91" s="67"/>
      <c r="H91" s="68"/>
      <c r="I91" s="76"/>
      <c r="J91" s="85"/>
      <c r="K91" s="64"/>
      <c r="L91" s="65"/>
      <c r="M91" s="61"/>
      <c r="N91" s="62"/>
      <c r="O91" s="63"/>
      <c r="P91" s="75"/>
      <c r="Q91" s="61"/>
      <c r="R91" s="62"/>
      <c r="S91" s="63"/>
      <c r="T91" s="75"/>
      <c r="U91" s="228">
        <f>ROUND((_15_同援日４．０*_15・通訳),0)</f>
        <v>663</v>
      </c>
      <c r="V91" s="69"/>
    </row>
    <row r="92" spans="1:22" ht="16.5" customHeight="1" x14ac:dyDescent="0.3">
      <c r="A92" s="2">
        <v>15</v>
      </c>
      <c r="B92" s="2" t="s">
        <v>3224</v>
      </c>
      <c r="C92" s="60" t="s">
        <v>13721</v>
      </c>
      <c r="D92" s="1" t="s">
        <v>17642</v>
      </c>
      <c r="E92" s="68"/>
      <c r="F92" s="70"/>
      <c r="G92" s="67"/>
      <c r="H92" s="68"/>
      <c r="I92" s="76"/>
      <c r="J92" s="83" t="s">
        <v>5895</v>
      </c>
      <c r="K92" s="64" t="s">
        <v>1</v>
      </c>
      <c r="L92" s="65">
        <v>1</v>
      </c>
      <c r="M92" s="66"/>
      <c r="N92" s="57"/>
      <c r="O92" s="58"/>
      <c r="P92" s="77"/>
      <c r="Q92" s="67"/>
      <c r="R92" s="68"/>
      <c r="S92" s="76"/>
      <c r="T92" s="70"/>
      <c r="U92" s="228">
        <f>ROUND((ROUND((_15_同援日４．０*_15・通訳),0)*_15・２人),0)</f>
        <v>663</v>
      </c>
      <c r="V92" s="69"/>
    </row>
    <row r="93" spans="1:22" ht="16.5" customHeight="1" x14ac:dyDescent="0.3">
      <c r="A93" s="2">
        <v>15</v>
      </c>
      <c r="B93" s="2" t="s">
        <v>3225</v>
      </c>
      <c r="C93" s="60" t="s">
        <v>13720</v>
      </c>
      <c r="D93" s="1" t="s">
        <v>8425</v>
      </c>
      <c r="E93" s="68"/>
      <c r="F93" s="70"/>
      <c r="G93" s="67"/>
      <c r="H93" s="68"/>
      <c r="I93" s="76"/>
      <c r="J93" s="85"/>
      <c r="K93" s="64"/>
      <c r="L93" s="65"/>
      <c r="M93" s="74" t="s">
        <v>18187</v>
      </c>
      <c r="N93" s="62"/>
      <c r="O93" s="63"/>
      <c r="P93" s="75"/>
      <c r="Q93" s="67"/>
      <c r="R93" s="68"/>
      <c r="S93" s="76"/>
      <c r="T93" s="70"/>
      <c r="U93" s="228">
        <f>ROUND((ROUND((_15_同援日４．０*_15・通訳),0)*(1+_15・盲ろう)),0)</f>
        <v>829</v>
      </c>
      <c r="V93" s="69"/>
    </row>
    <row r="94" spans="1:22" ht="16.5" customHeight="1" x14ac:dyDescent="0.3">
      <c r="A94" s="2">
        <v>15</v>
      </c>
      <c r="B94" s="2" t="s">
        <v>3226</v>
      </c>
      <c r="C94" s="60" t="s">
        <v>13719</v>
      </c>
      <c r="D94" s="1"/>
      <c r="E94" s="227">
        <v>737</v>
      </c>
      <c r="F94" s="70" t="s">
        <v>0</v>
      </c>
      <c r="G94" s="67"/>
      <c r="H94" s="68"/>
      <c r="I94" s="76"/>
      <c r="J94" s="83" t="s">
        <v>5895</v>
      </c>
      <c r="K94" s="64" t="s">
        <v>1</v>
      </c>
      <c r="L94" s="65">
        <v>1</v>
      </c>
      <c r="M94" s="106" t="s">
        <v>18186</v>
      </c>
      <c r="N94" s="57" t="s">
        <v>1</v>
      </c>
      <c r="O94" s="58">
        <v>0.25</v>
      </c>
      <c r="P94" s="77" t="s">
        <v>422</v>
      </c>
      <c r="Q94" s="66"/>
      <c r="R94" s="57"/>
      <c r="S94" s="58"/>
      <c r="T94" s="77"/>
      <c r="U94" s="228">
        <f>ROUND((ROUND((ROUND((_15_同援日４．０*_15・通訳),0)*_15・２人),0)*(1+_15・盲ろう)),0)</f>
        <v>829</v>
      </c>
      <c r="V94" s="69"/>
    </row>
    <row r="95" spans="1:22" ht="16.5" customHeight="1" x14ac:dyDescent="0.3">
      <c r="A95" s="2">
        <v>15</v>
      </c>
      <c r="B95" s="2" t="s">
        <v>3227</v>
      </c>
      <c r="C95" s="60" t="s">
        <v>13718</v>
      </c>
      <c r="D95" s="1"/>
      <c r="E95" s="68"/>
      <c r="F95" s="70"/>
      <c r="G95" s="67"/>
      <c r="H95" s="68"/>
      <c r="I95" s="76"/>
      <c r="J95" s="85"/>
      <c r="K95" s="64"/>
      <c r="L95" s="65"/>
      <c r="M95" s="61"/>
      <c r="N95" s="62"/>
      <c r="O95" s="63"/>
      <c r="P95" s="75"/>
      <c r="Q95" s="74" t="s">
        <v>18190</v>
      </c>
      <c r="R95" s="62"/>
      <c r="S95" s="63"/>
      <c r="T95" s="75"/>
      <c r="U95" s="228">
        <f>ROUND((ROUND((_15_同援日４．０*_15・通訳),0)*(1+_15・区３)),0)</f>
        <v>796</v>
      </c>
      <c r="V95" s="69"/>
    </row>
    <row r="96" spans="1:22" ht="16.5" customHeight="1" x14ac:dyDescent="0.3">
      <c r="A96" s="2">
        <v>15</v>
      </c>
      <c r="B96" s="2" t="s">
        <v>3228</v>
      </c>
      <c r="C96" s="60" t="s">
        <v>13717</v>
      </c>
      <c r="D96" s="1"/>
      <c r="E96" s="68"/>
      <c r="F96" s="70"/>
      <c r="G96" s="67"/>
      <c r="H96" s="68"/>
      <c r="I96" s="76"/>
      <c r="J96" s="83" t="s">
        <v>5895</v>
      </c>
      <c r="K96" s="64" t="s">
        <v>1</v>
      </c>
      <c r="L96" s="65">
        <v>1</v>
      </c>
      <c r="M96" s="66"/>
      <c r="N96" s="57"/>
      <c r="O96" s="58"/>
      <c r="P96" s="77"/>
      <c r="Q96" s="94" t="s">
        <v>18188</v>
      </c>
      <c r="R96" s="68"/>
      <c r="S96" s="76"/>
      <c r="T96" s="70"/>
      <c r="U96" s="228">
        <f>ROUND((ROUND((ROUND((_15_同援日４．０*_15・通訳),0)*_15・２人),0)*(1+_15・区３)),0)</f>
        <v>796</v>
      </c>
      <c r="V96" s="69"/>
    </row>
    <row r="97" spans="1:22" ht="16.5" customHeight="1" x14ac:dyDescent="0.3">
      <c r="A97" s="2">
        <v>15</v>
      </c>
      <c r="B97" s="2" t="s">
        <v>3229</v>
      </c>
      <c r="C97" s="60" t="s">
        <v>13716</v>
      </c>
      <c r="D97" s="1"/>
      <c r="E97" s="68"/>
      <c r="F97" s="70"/>
      <c r="G97" s="67"/>
      <c r="H97" s="68"/>
      <c r="I97" s="76"/>
      <c r="J97" s="85"/>
      <c r="K97" s="64"/>
      <c r="L97" s="65"/>
      <c r="M97" s="74" t="s">
        <v>18187</v>
      </c>
      <c r="N97" s="62"/>
      <c r="O97" s="63"/>
      <c r="P97" s="75"/>
      <c r="Q97" s="67"/>
      <c r="R97" s="68" t="s">
        <v>1</v>
      </c>
      <c r="S97" s="76">
        <v>0.2</v>
      </c>
      <c r="T97" s="70" t="s">
        <v>422</v>
      </c>
      <c r="U97" s="228">
        <f>ROUND((ROUND((ROUND((_15_同援日４．０*_15・通訳),0)*(1+_15・盲ろう)),0)*(1+_15・区３)),0)</f>
        <v>995</v>
      </c>
      <c r="V97" s="69"/>
    </row>
    <row r="98" spans="1:22" ht="16.5" customHeight="1" x14ac:dyDescent="0.3">
      <c r="A98" s="2">
        <v>15</v>
      </c>
      <c r="B98" s="2" t="s">
        <v>3230</v>
      </c>
      <c r="C98" s="60" t="s">
        <v>13715</v>
      </c>
      <c r="D98" s="1"/>
      <c r="E98" s="68"/>
      <c r="F98" s="70"/>
      <c r="G98" s="67"/>
      <c r="H98" s="68"/>
      <c r="I98" s="76"/>
      <c r="J98" s="83" t="s">
        <v>5895</v>
      </c>
      <c r="K98" s="64" t="s">
        <v>1</v>
      </c>
      <c r="L98" s="65">
        <v>1</v>
      </c>
      <c r="M98" s="106" t="s">
        <v>18186</v>
      </c>
      <c r="N98" s="57" t="s">
        <v>1</v>
      </c>
      <c r="O98" s="58">
        <v>0.25</v>
      </c>
      <c r="P98" s="77" t="s">
        <v>422</v>
      </c>
      <c r="Q98" s="66"/>
      <c r="R98" s="57"/>
      <c r="S98" s="58"/>
      <c r="T98" s="77"/>
      <c r="U98" s="228">
        <f>ROUND((ROUND((ROUND((ROUND((_15_同援日４．０*_15・通訳),0)*_15・２人),0)*(1+_15・盲ろう)),0)*(1+_15・区３)),0)</f>
        <v>995</v>
      </c>
      <c r="V98" s="69"/>
    </row>
    <row r="99" spans="1:22" ht="16.5" customHeight="1" x14ac:dyDescent="0.3">
      <c r="A99" s="2">
        <v>15</v>
      </c>
      <c r="B99" s="2" t="s">
        <v>3231</v>
      </c>
      <c r="C99" s="60" t="s">
        <v>13714</v>
      </c>
      <c r="D99" s="1"/>
      <c r="E99" s="68"/>
      <c r="F99" s="70"/>
      <c r="G99" s="67"/>
      <c r="H99" s="68"/>
      <c r="I99" s="76"/>
      <c r="J99" s="85"/>
      <c r="K99" s="64"/>
      <c r="L99" s="65"/>
      <c r="M99" s="61"/>
      <c r="N99" s="62"/>
      <c r="O99" s="63"/>
      <c r="P99" s="75"/>
      <c r="Q99" s="74" t="s">
        <v>18189</v>
      </c>
      <c r="R99" s="62"/>
      <c r="S99" s="63"/>
      <c r="T99" s="75"/>
      <c r="U99" s="228">
        <f>ROUND((ROUND((_15_同援日４．０*_15・通訳),0)*(1+_15・区４)),0)</f>
        <v>928</v>
      </c>
      <c r="V99" s="69"/>
    </row>
    <row r="100" spans="1:22" ht="16.5" customHeight="1" x14ac:dyDescent="0.3">
      <c r="A100" s="2">
        <v>15</v>
      </c>
      <c r="B100" s="2" t="s">
        <v>3232</v>
      </c>
      <c r="C100" s="60" t="s">
        <v>13713</v>
      </c>
      <c r="D100" s="1"/>
      <c r="E100" s="68"/>
      <c r="F100" s="70"/>
      <c r="G100" s="67"/>
      <c r="H100" s="68"/>
      <c r="I100" s="76"/>
      <c r="J100" s="83" t="s">
        <v>5895</v>
      </c>
      <c r="K100" s="64" t="s">
        <v>1</v>
      </c>
      <c r="L100" s="65">
        <v>1</v>
      </c>
      <c r="M100" s="66"/>
      <c r="N100" s="57"/>
      <c r="O100" s="58"/>
      <c r="P100" s="77"/>
      <c r="Q100" s="94" t="s">
        <v>18188</v>
      </c>
      <c r="R100" s="68"/>
      <c r="S100" s="76"/>
      <c r="T100" s="70"/>
      <c r="U100" s="228">
        <f>ROUND((ROUND((ROUND((_15_同援日４．０*_15・通訳),0)*_15・２人),0)*(1+_15・区４)),0)</f>
        <v>928</v>
      </c>
      <c r="V100" s="69"/>
    </row>
    <row r="101" spans="1:22" ht="16.5" customHeight="1" x14ac:dyDescent="0.3">
      <c r="A101" s="2">
        <v>15</v>
      </c>
      <c r="B101" s="2" t="s">
        <v>3233</v>
      </c>
      <c r="C101" s="60" t="s">
        <v>13712</v>
      </c>
      <c r="D101" s="1"/>
      <c r="E101" s="68"/>
      <c r="F101" s="70"/>
      <c r="G101" s="67"/>
      <c r="H101" s="68"/>
      <c r="I101" s="76"/>
      <c r="J101" s="85"/>
      <c r="K101" s="64"/>
      <c r="L101" s="65"/>
      <c r="M101" s="74" t="s">
        <v>18187</v>
      </c>
      <c r="N101" s="62"/>
      <c r="O101" s="63"/>
      <c r="P101" s="75"/>
      <c r="Q101" s="67"/>
      <c r="R101" s="68" t="s">
        <v>1</v>
      </c>
      <c r="S101" s="76">
        <v>0.4</v>
      </c>
      <c r="T101" s="70" t="s">
        <v>422</v>
      </c>
      <c r="U101" s="228">
        <f>ROUND((ROUND((ROUND((_15_同援日４．０*_15・通訳),0)*(1+_15・盲ろう)),0)*(1+_15・区４)),0)</f>
        <v>1161</v>
      </c>
      <c r="V101" s="69"/>
    </row>
    <row r="102" spans="1:22" ht="16.5" customHeight="1" x14ac:dyDescent="0.3">
      <c r="A102" s="2">
        <v>15</v>
      </c>
      <c r="B102" s="2" t="s">
        <v>3234</v>
      </c>
      <c r="C102" s="60" t="s">
        <v>13711</v>
      </c>
      <c r="D102" s="81"/>
      <c r="E102" s="57"/>
      <c r="F102" s="77"/>
      <c r="G102" s="67"/>
      <c r="H102" s="68"/>
      <c r="I102" s="76"/>
      <c r="J102" s="83" t="s">
        <v>5895</v>
      </c>
      <c r="K102" s="64" t="s">
        <v>1</v>
      </c>
      <c r="L102" s="65">
        <v>1</v>
      </c>
      <c r="M102" s="106" t="s">
        <v>8083</v>
      </c>
      <c r="N102" s="57" t="s">
        <v>1</v>
      </c>
      <c r="O102" s="58">
        <v>0.25</v>
      </c>
      <c r="P102" s="77" t="s">
        <v>422</v>
      </c>
      <c r="Q102" s="66"/>
      <c r="R102" s="57"/>
      <c r="S102" s="58"/>
      <c r="T102" s="77"/>
      <c r="U102" s="228">
        <f>ROUND((ROUND((ROUND((ROUND((_15_同援日４．０*_15・通訳),0)*_15・２人),0)*(1+_15・盲ろう)),0)*(1+_15・区４)),0)</f>
        <v>1161</v>
      </c>
      <c r="V102" s="69"/>
    </row>
    <row r="103" spans="1:22" ht="16.5" customHeight="1" x14ac:dyDescent="0.3">
      <c r="A103" s="2">
        <v>15</v>
      </c>
      <c r="B103" s="2" t="s">
        <v>3235</v>
      </c>
      <c r="C103" s="60" t="s">
        <v>13710</v>
      </c>
      <c r="D103" s="233" t="s">
        <v>18222</v>
      </c>
      <c r="E103" s="62"/>
      <c r="F103" s="75"/>
      <c r="G103" s="67"/>
      <c r="H103" s="68"/>
      <c r="I103" s="76"/>
      <c r="J103" s="85"/>
      <c r="K103" s="64"/>
      <c r="L103" s="65"/>
      <c r="M103" s="61"/>
      <c r="N103" s="62"/>
      <c r="O103" s="63"/>
      <c r="P103" s="75"/>
      <c r="Q103" s="61"/>
      <c r="R103" s="62"/>
      <c r="S103" s="63"/>
      <c r="T103" s="75"/>
      <c r="U103" s="228">
        <f>ROUND((_15_同援日４．５*_15・通訳),0)</f>
        <v>720</v>
      </c>
      <c r="V103" s="69"/>
    </row>
    <row r="104" spans="1:22" ht="16.5" customHeight="1" x14ac:dyDescent="0.3">
      <c r="A104" s="2">
        <v>15</v>
      </c>
      <c r="B104" s="2" t="s">
        <v>3236</v>
      </c>
      <c r="C104" s="60" t="s">
        <v>13709</v>
      </c>
      <c r="D104" s="1" t="s">
        <v>17639</v>
      </c>
      <c r="E104" s="68"/>
      <c r="F104" s="70"/>
      <c r="G104" s="67"/>
      <c r="H104" s="68"/>
      <c r="I104" s="76"/>
      <c r="J104" s="83" t="s">
        <v>5895</v>
      </c>
      <c r="K104" s="64" t="s">
        <v>1</v>
      </c>
      <c r="L104" s="65">
        <v>1</v>
      </c>
      <c r="M104" s="66"/>
      <c r="N104" s="57"/>
      <c r="O104" s="58"/>
      <c r="P104" s="77"/>
      <c r="Q104" s="67"/>
      <c r="R104" s="68"/>
      <c r="S104" s="76"/>
      <c r="T104" s="70"/>
      <c r="U104" s="228">
        <f>ROUND((ROUND((_15_同援日４．５*_15・通訳),0)*_15・２人),0)</f>
        <v>720</v>
      </c>
      <c r="V104" s="69"/>
    </row>
    <row r="105" spans="1:22" ht="16.5" customHeight="1" x14ac:dyDescent="0.3">
      <c r="A105" s="2">
        <v>15</v>
      </c>
      <c r="B105" s="2" t="s">
        <v>3237</v>
      </c>
      <c r="C105" s="60" t="s">
        <v>13708</v>
      </c>
      <c r="D105" s="1" t="s">
        <v>8621</v>
      </c>
      <c r="E105" s="68"/>
      <c r="F105" s="70"/>
      <c r="G105" s="67"/>
      <c r="H105" s="68"/>
      <c r="I105" s="76"/>
      <c r="J105" s="85"/>
      <c r="K105" s="64"/>
      <c r="L105" s="65"/>
      <c r="M105" s="74" t="s">
        <v>18187</v>
      </c>
      <c r="N105" s="62"/>
      <c r="O105" s="63"/>
      <c r="P105" s="75"/>
      <c r="Q105" s="67"/>
      <c r="R105" s="68"/>
      <c r="S105" s="76"/>
      <c r="T105" s="70"/>
      <c r="U105" s="228">
        <f>ROUND((ROUND((_15_同援日４．５*_15・通訳),0)*(1+_15・盲ろう)),0)</f>
        <v>900</v>
      </c>
      <c r="V105" s="69"/>
    </row>
    <row r="106" spans="1:22" ht="16.5" customHeight="1" x14ac:dyDescent="0.3">
      <c r="A106" s="2">
        <v>15</v>
      </c>
      <c r="B106" s="2" t="s">
        <v>3238</v>
      </c>
      <c r="C106" s="60" t="s">
        <v>13707</v>
      </c>
      <c r="D106" s="1"/>
      <c r="E106" s="227">
        <v>800</v>
      </c>
      <c r="F106" s="70" t="s">
        <v>0</v>
      </c>
      <c r="G106" s="67"/>
      <c r="H106" s="68"/>
      <c r="I106" s="76"/>
      <c r="J106" s="83" t="s">
        <v>5895</v>
      </c>
      <c r="K106" s="64" t="s">
        <v>1</v>
      </c>
      <c r="L106" s="65">
        <v>1</v>
      </c>
      <c r="M106" s="106" t="s">
        <v>18186</v>
      </c>
      <c r="N106" s="57" t="s">
        <v>1</v>
      </c>
      <c r="O106" s="58">
        <v>0.25</v>
      </c>
      <c r="P106" s="77" t="s">
        <v>422</v>
      </c>
      <c r="Q106" s="66"/>
      <c r="R106" s="57"/>
      <c r="S106" s="58"/>
      <c r="T106" s="77"/>
      <c r="U106" s="228">
        <f>ROUND((ROUND((ROUND((_15_同援日４．５*_15・通訳),0)*_15・２人),0)*(1+_15・盲ろう)),0)</f>
        <v>900</v>
      </c>
      <c r="V106" s="69"/>
    </row>
    <row r="107" spans="1:22" ht="16.5" customHeight="1" x14ac:dyDescent="0.3">
      <c r="A107" s="2">
        <v>15</v>
      </c>
      <c r="B107" s="2" t="s">
        <v>3239</v>
      </c>
      <c r="C107" s="60" t="s">
        <v>13706</v>
      </c>
      <c r="D107" s="1"/>
      <c r="E107" s="68"/>
      <c r="F107" s="70"/>
      <c r="G107" s="67"/>
      <c r="H107" s="68"/>
      <c r="I107" s="76"/>
      <c r="J107" s="85"/>
      <c r="K107" s="64"/>
      <c r="L107" s="65"/>
      <c r="M107" s="61"/>
      <c r="N107" s="62"/>
      <c r="O107" s="63"/>
      <c r="P107" s="75"/>
      <c r="Q107" s="74" t="s">
        <v>18190</v>
      </c>
      <c r="R107" s="62"/>
      <c r="S107" s="63"/>
      <c r="T107" s="75"/>
      <c r="U107" s="228">
        <f>ROUND((ROUND((_15_同援日４．５*_15・通訳),0)*(1+_15・区３)),0)</f>
        <v>864</v>
      </c>
      <c r="V107" s="69"/>
    </row>
    <row r="108" spans="1:22" ht="16.5" customHeight="1" x14ac:dyDescent="0.3">
      <c r="A108" s="2">
        <v>15</v>
      </c>
      <c r="B108" s="2" t="s">
        <v>3240</v>
      </c>
      <c r="C108" s="60" t="s">
        <v>13705</v>
      </c>
      <c r="D108" s="1"/>
      <c r="E108" s="68"/>
      <c r="F108" s="70"/>
      <c r="G108" s="67"/>
      <c r="H108" s="68"/>
      <c r="I108" s="76"/>
      <c r="J108" s="83" t="s">
        <v>5895</v>
      </c>
      <c r="K108" s="64" t="s">
        <v>1</v>
      </c>
      <c r="L108" s="65">
        <v>1</v>
      </c>
      <c r="M108" s="66"/>
      <c r="N108" s="57"/>
      <c r="O108" s="58"/>
      <c r="P108" s="77"/>
      <c r="Q108" s="94" t="s">
        <v>18188</v>
      </c>
      <c r="R108" s="68"/>
      <c r="S108" s="76"/>
      <c r="T108" s="70"/>
      <c r="U108" s="228">
        <f>ROUND((ROUND((ROUND((_15_同援日４．５*_15・通訳),0)*_15・２人),0)*(1+_15・区３)),0)</f>
        <v>864</v>
      </c>
      <c r="V108" s="69"/>
    </row>
    <row r="109" spans="1:22" ht="16.5" customHeight="1" x14ac:dyDescent="0.3">
      <c r="A109" s="2">
        <v>15</v>
      </c>
      <c r="B109" s="2" t="s">
        <v>3241</v>
      </c>
      <c r="C109" s="60" t="s">
        <v>13704</v>
      </c>
      <c r="D109" s="1"/>
      <c r="E109" s="68"/>
      <c r="F109" s="70"/>
      <c r="G109" s="67"/>
      <c r="H109" s="68"/>
      <c r="I109" s="76"/>
      <c r="J109" s="85"/>
      <c r="K109" s="64"/>
      <c r="L109" s="65"/>
      <c r="M109" s="74" t="s">
        <v>18187</v>
      </c>
      <c r="N109" s="62"/>
      <c r="O109" s="63"/>
      <c r="P109" s="75"/>
      <c r="Q109" s="67"/>
      <c r="R109" s="68" t="s">
        <v>1</v>
      </c>
      <c r="S109" s="76">
        <v>0.2</v>
      </c>
      <c r="T109" s="70" t="s">
        <v>422</v>
      </c>
      <c r="U109" s="228">
        <f>ROUND((ROUND((ROUND((_15_同援日４．５*_15・通訳),0)*(1+_15・盲ろう)),0)*(1+_15・区３)),0)</f>
        <v>1080</v>
      </c>
      <c r="V109" s="69"/>
    </row>
    <row r="110" spans="1:22" ht="16.5" customHeight="1" x14ac:dyDescent="0.3">
      <c r="A110" s="2">
        <v>15</v>
      </c>
      <c r="B110" s="2" t="s">
        <v>3242</v>
      </c>
      <c r="C110" s="60" t="s">
        <v>13703</v>
      </c>
      <c r="D110" s="1"/>
      <c r="E110" s="68"/>
      <c r="F110" s="70"/>
      <c r="G110" s="67"/>
      <c r="H110" s="68"/>
      <c r="I110" s="76"/>
      <c r="J110" s="83" t="s">
        <v>5895</v>
      </c>
      <c r="K110" s="64" t="s">
        <v>1</v>
      </c>
      <c r="L110" s="65">
        <v>1</v>
      </c>
      <c r="M110" s="106" t="s">
        <v>18186</v>
      </c>
      <c r="N110" s="57" t="s">
        <v>1</v>
      </c>
      <c r="O110" s="58">
        <v>0.25</v>
      </c>
      <c r="P110" s="77" t="s">
        <v>422</v>
      </c>
      <c r="Q110" s="66"/>
      <c r="R110" s="57"/>
      <c r="S110" s="58"/>
      <c r="T110" s="77"/>
      <c r="U110" s="228">
        <f>ROUND((ROUND((ROUND((ROUND((_15_同援日４．５*_15・通訳),0)*_15・２人),0)*(1+_15・盲ろう)),0)*(1+_15・区３)),0)</f>
        <v>1080</v>
      </c>
      <c r="V110" s="69"/>
    </row>
    <row r="111" spans="1:22" ht="16.5" customHeight="1" x14ac:dyDescent="0.3">
      <c r="A111" s="2">
        <v>15</v>
      </c>
      <c r="B111" s="2" t="s">
        <v>3243</v>
      </c>
      <c r="C111" s="60" t="s">
        <v>13702</v>
      </c>
      <c r="D111" s="1"/>
      <c r="E111" s="68"/>
      <c r="F111" s="70"/>
      <c r="G111" s="67"/>
      <c r="H111" s="68"/>
      <c r="I111" s="76"/>
      <c r="J111" s="85"/>
      <c r="K111" s="64"/>
      <c r="L111" s="65"/>
      <c r="M111" s="61"/>
      <c r="N111" s="62"/>
      <c r="O111" s="63"/>
      <c r="P111" s="75"/>
      <c r="Q111" s="74" t="s">
        <v>18189</v>
      </c>
      <c r="R111" s="62"/>
      <c r="S111" s="63"/>
      <c r="T111" s="75"/>
      <c r="U111" s="228">
        <f>ROUND((ROUND((_15_同援日４．５*_15・通訳),0)*(1+_15・区４)),0)</f>
        <v>1008</v>
      </c>
      <c r="V111" s="69"/>
    </row>
    <row r="112" spans="1:22" ht="16.5" customHeight="1" x14ac:dyDescent="0.3">
      <c r="A112" s="2">
        <v>15</v>
      </c>
      <c r="B112" s="2" t="s">
        <v>3244</v>
      </c>
      <c r="C112" s="60" t="s">
        <v>13701</v>
      </c>
      <c r="D112" s="1"/>
      <c r="E112" s="68"/>
      <c r="F112" s="70"/>
      <c r="G112" s="67"/>
      <c r="H112" s="68"/>
      <c r="I112" s="76"/>
      <c r="J112" s="83" t="s">
        <v>5895</v>
      </c>
      <c r="K112" s="64" t="s">
        <v>1</v>
      </c>
      <c r="L112" s="65">
        <v>1</v>
      </c>
      <c r="M112" s="66"/>
      <c r="N112" s="57"/>
      <c r="O112" s="58"/>
      <c r="P112" s="77"/>
      <c r="Q112" s="94" t="s">
        <v>18188</v>
      </c>
      <c r="R112" s="68"/>
      <c r="S112" s="76"/>
      <c r="T112" s="70"/>
      <c r="U112" s="228">
        <f>ROUND((ROUND((ROUND((_15_同援日４．５*_15・通訳),0)*_15・２人),0)*(1+_15・区４)),0)</f>
        <v>1008</v>
      </c>
      <c r="V112" s="69"/>
    </row>
    <row r="113" spans="1:22" ht="16.5" customHeight="1" x14ac:dyDescent="0.3">
      <c r="A113" s="2">
        <v>15</v>
      </c>
      <c r="B113" s="2" t="s">
        <v>3245</v>
      </c>
      <c r="C113" s="60" t="s">
        <v>13700</v>
      </c>
      <c r="D113" s="1"/>
      <c r="E113" s="68"/>
      <c r="F113" s="70"/>
      <c r="G113" s="67"/>
      <c r="H113" s="68"/>
      <c r="I113" s="76"/>
      <c r="J113" s="85"/>
      <c r="K113" s="64"/>
      <c r="L113" s="65"/>
      <c r="M113" s="74" t="s">
        <v>18187</v>
      </c>
      <c r="N113" s="62"/>
      <c r="O113" s="63"/>
      <c r="P113" s="75"/>
      <c r="Q113" s="67"/>
      <c r="R113" s="68" t="s">
        <v>1</v>
      </c>
      <c r="S113" s="76">
        <v>0.4</v>
      </c>
      <c r="T113" s="70" t="s">
        <v>422</v>
      </c>
      <c r="U113" s="228">
        <f>ROUND((ROUND((ROUND((_15_同援日４．５*_15・通訳),0)*(1+_15・盲ろう)),0)*(1+_15・区４)),0)</f>
        <v>1260</v>
      </c>
      <c r="V113" s="69"/>
    </row>
    <row r="114" spans="1:22" ht="16.5" customHeight="1" x14ac:dyDescent="0.3">
      <c r="A114" s="2">
        <v>15</v>
      </c>
      <c r="B114" s="2" t="s">
        <v>3246</v>
      </c>
      <c r="C114" s="60" t="s">
        <v>13699</v>
      </c>
      <c r="D114" s="81"/>
      <c r="E114" s="57"/>
      <c r="F114" s="77"/>
      <c r="G114" s="67"/>
      <c r="H114" s="68"/>
      <c r="I114" s="76"/>
      <c r="J114" s="83" t="s">
        <v>5895</v>
      </c>
      <c r="K114" s="64" t="s">
        <v>1</v>
      </c>
      <c r="L114" s="65">
        <v>1</v>
      </c>
      <c r="M114" s="106" t="s">
        <v>18186</v>
      </c>
      <c r="N114" s="57" t="s">
        <v>1</v>
      </c>
      <c r="O114" s="58">
        <v>0.25</v>
      </c>
      <c r="P114" s="77" t="s">
        <v>422</v>
      </c>
      <c r="Q114" s="66"/>
      <c r="R114" s="57"/>
      <c r="S114" s="58"/>
      <c r="T114" s="77"/>
      <c r="U114" s="228">
        <f>ROUND((ROUND((ROUND((ROUND((_15_同援日４．５*_15・通訳),0)*_15・２人),0)*(1+_15・盲ろう)),0)*(1+_15・区４)),0)</f>
        <v>1260</v>
      </c>
      <c r="V114" s="69"/>
    </row>
    <row r="115" spans="1:22" ht="16.5" customHeight="1" x14ac:dyDescent="0.3">
      <c r="A115" s="2">
        <v>15</v>
      </c>
      <c r="B115" s="2" t="s">
        <v>3247</v>
      </c>
      <c r="C115" s="60" t="s">
        <v>13698</v>
      </c>
      <c r="D115" s="233" t="s">
        <v>18221</v>
      </c>
      <c r="E115" s="62"/>
      <c r="F115" s="75"/>
      <c r="G115" s="67"/>
      <c r="H115" s="68"/>
      <c r="I115" s="76"/>
      <c r="J115" s="85"/>
      <c r="K115" s="64"/>
      <c r="L115" s="65"/>
      <c r="M115" s="61"/>
      <c r="N115" s="62"/>
      <c r="O115" s="63"/>
      <c r="P115" s="75"/>
      <c r="Q115" s="61"/>
      <c r="R115" s="62"/>
      <c r="S115" s="63"/>
      <c r="T115" s="75"/>
      <c r="U115" s="228">
        <f>ROUND((_15_同援日５．０*_15・通訳),0)</f>
        <v>777</v>
      </c>
      <c r="V115" s="69"/>
    </row>
    <row r="116" spans="1:22" ht="16.5" customHeight="1" x14ac:dyDescent="0.3">
      <c r="A116" s="2">
        <v>15</v>
      </c>
      <c r="B116" s="2" t="s">
        <v>3248</v>
      </c>
      <c r="C116" s="60" t="s">
        <v>13697</v>
      </c>
      <c r="D116" s="1" t="s">
        <v>17636</v>
      </c>
      <c r="E116" s="68"/>
      <c r="F116" s="70"/>
      <c r="G116" s="67"/>
      <c r="H116" s="68"/>
      <c r="I116" s="76"/>
      <c r="J116" s="83" t="s">
        <v>5895</v>
      </c>
      <c r="K116" s="64" t="s">
        <v>1</v>
      </c>
      <c r="L116" s="65">
        <v>1</v>
      </c>
      <c r="M116" s="66"/>
      <c r="N116" s="57"/>
      <c r="O116" s="58"/>
      <c r="P116" s="77"/>
      <c r="Q116" s="67"/>
      <c r="R116" s="68"/>
      <c r="S116" s="76"/>
      <c r="T116" s="70"/>
      <c r="U116" s="228">
        <f>ROUND((ROUND((_15_同援日５．０*_15・通訳),0)*_15・２人),0)</f>
        <v>777</v>
      </c>
      <c r="V116" s="69"/>
    </row>
    <row r="117" spans="1:22" ht="16.5" customHeight="1" x14ac:dyDescent="0.3">
      <c r="A117" s="2">
        <v>15</v>
      </c>
      <c r="B117" s="2" t="s">
        <v>3249</v>
      </c>
      <c r="C117" s="60" t="s">
        <v>13696</v>
      </c>
      <c r="D117" s="1" t="s">
        <v>9035</v>
      </c>
      <c r="E117" s="68"/>
      <c r="F117" s="70"/>
      <c r="G117" s="67"/>
      <c r="H117" s="68"/>
      <c r="I117" s="76"/>
      <c r="J117" s="85"/>
      <c r="K117" s="64"/>
      <c r="L117" s="65"/>
      <c r="M117" s="74" t="s">
        <v>18187</v>
      </c>
      <c r="N117" s="62"/>
      <c r="O117" s="63"/>
      <c r="P117" s="75"/>
      <c r="Q117" s="67"/>
      <c r="R117" s="68"/>
      <c r="S117" s="76"/>
      <c r="T117" s="70"/>
      <c r="U117" s="228">
        <f>ROUND((ROUND((_15_同援日５．０*_15・通訳),0)*(1+_15・盲ろう)),0)</f>
        <v>971</v>
      </c>
      <c r="V117" s="69"/>
    </row>
    <row r="118" spans="1:22" ht="16.5" customHeight="1" x14ac:dyDescent="0.3">
      <c r="A118" s="2">
        <v>15</v>
      </c>
      <c r="B118" s="2" t="s">
        <v>3250</v>
      </c>
      <c r="C118" s="60" t="s">
        <v>13695</v>
      </c>
      <c r="D118" s="1"/>
      <c r="E118" s="227">
        <v>863</v>
      </c>
      <c r="F118" s="70" t="s">
        <v>0</v>
      </c>
      <c r="G118" s="67"/>
      <c r="H118" s="68"/>
      <c r="I118" s="76"/>
      <c r="J118" s="83" t="s">
        <v>5895</v>
      </c>
      <c r="K118" s="64" t="s">
        <v>1</v>
      </c>
      <c r="L118" s="65">
        <v>1</v>
      </c>
      <c r="M118" s="106" t="s">
        <v>18186</v>
      </c>
      <c r="N118" s="57" t="s">
        <v>1</v>
      </c>
      <c r="O118" s="58">
        <v>0.25</v>
      </c>
      <c r="P118" s="77" t="s">
        <v>422</v>
      </c>
      <c r="Q118" s="66"/>
      <c r="R118" s="57"/>
      <c r="S118" s="58"/>
      <c r="T118" s="77"/>
      <c r="U118" s="228">
        <f>ROUND((ROUND((ROUND((_15_同援日５．０*_15・通訳),0)*_15・２人),0)*(1+_15・盲ろう)),0)</f>
        <v>971</v>
      </c>
      <c r="V118" s="69"/>
    </row>
    <row r="119" spans="1:22" ht="16.5" customHeight="1" x14ac:dyDescent="0.3">
      <c r="A119" s="2">
        <v>15</v>
      </c>
      <c r="B119" s="2" t="s">
        <v>3251</v>
      </c>
      <c r="C119" s="60" t="s">
        <v>13694</v>
      </c>
      <c r="D119" s="1"/>
      <c r="E119" s="68"/>
      <c r="F119" s="70"/>
      <c r="G119" s="67"/>
      <c r="H119" s="68"/>
      <c r="I119" s="76"/>
      <c r="J119" s="85"/>
      <c r="K119" s="64"/>
      <c r="L119" s="65"/>
      <c r="M119" s="61"/>
      <c r="N119" s="62"/>
      <c r="O119" s="63"/>
      <c r="P119" s="75"/>
      <c r="Q119" s="74" t="s">
        <v>18190</v>
      </c>
      <c r="R119" s="62"/>
      <c r="S119" s="63"/>
      <c r="T119" s="75"/>
      <c r="U119" s="228">
        <f>ROUND((ROUND((_15_同援日５．０*_15・通訳),0)*(1+_15・区３)),0)</f>
        <v>932</v>
      </c>
      <c r="V119" s="69"/>
    </row>
    <row r="120" spans="1:22" ht="16.5" customHeight="1" x14ac:dyDescent="0.3">
      <c r="A120" s="2">
        <v>15</v>
      </c>
      <c r="B120" s="2" t="s">
        <v>3252</v>
      </c>
      <c r="C120" s="60" t="s">
        <v>13693</v>
      </c>
      <c r="D120" s="1"/>
      <c r="E120" s="68"/>
      <c r="F120" s="70"/>
      <c r="G120" s="67"/>
      <c r="H120" s="68"/>
      <c r="I120" s="76"/>
      <c r="J120" s="83" t="s">
        <v>5895</v>
      </c>
      <c r="K120" s="64" t="s">
        <v>1</v>
      </c>
      <c r="L120" s="65">
        <v>1</v>
      </c>
      <c r="M120" s="66"/>
      <c r="N120" s="57"/>
      <c r="O120" s="58"/>
      <c r="P120" s="77"/>
      <c r="Q120" s="94" t="s">
        <v>18188</v>
      </c>
      <c r="R120" s="68"/>
      <c r="S120" s="76"/>
      <c r="T120" s="70"/>
      <c r="U120" s="228">
        <f>ROUND((ROUND((ROUND((_15_同援日５．０*_15・通訳),0)*_15・２人),0)*(1+_15・区３)),0)</f>
        <v>932</v>
      </c>
      <c r="V120" s="69"/>
    </row>
    <row r="121" spans="1:22" ht="16.5" customHeight="1" x14ac:dyDescent="0.3">
      <c r="A121" s="2">
        <v>15</v>
      </c>
      <c r="B121" s="2" t="s">
        <v>3253</v>
      </c>
      <c r="C121" s="60" t="s">
        <v>13692</v>
      </c>
      <c r="D121" s="1"/>
      <c r="E121" s="68"/>
      <c r="F121" s="70"/>
      <c r="G121" s="67"/>
      <c r="H121" s="68"/>
      <c r="I121" s="76"/>
      <c r="J121" s="85"/>
      <c r="K121" s="64"/>
      <c r="L121" s="65"/>
      <c r="M121" s="74" t="s">
        <v>18187</v>
      </c>
      <c r="N121" s="62"/>
      <c r="O121" s="63"/>
      <c r="P121" s="75"/>
      <c r="Q121" s="67"/>
      <c r="R121" s="68" t="s">
        <v>1</v>
      </c>
      <c r="S121" s="76">
        <v>0.2</v>
      </c>
      <c r="T121" s="70" t="s">
        <v>422</v>
      </c>
      <c r="U121" s="228">
        <f>ROUND((ROUND((ROUND((_15_同援日５．０*_15・通訳),0)*(1+_15・盲ろう)),0)*(1+_15・区３)),0)</f>
        <v>1165</v>
      </c>
      <c r="V121" s="69"/>
    </row>
    <row r="122" spans="1:22" ht="16.5" customHeight="1" x14ac:dyDescent="0.3">
      <c r="A122" s="2">
        <v>15</v>
      </c>
      <c r="B122" s="2" t="s">
        <v>3254</v>
      </c>
      <c r="C122" s="60" t="s">
        <v>13691</v>
      </c>
      <c r="D122" s="1"/>
      <c r="E122" s="68"/>
      <c r="F122" s="70"/>
      <c r="G122" s="67"/>
      <c r="H122" s="68"/>
      <c r="I122" s="76"/>
      <c r="J122" s="83" t="s">
        <v>5895</v>
      </c>
      <c r="K122" s="64" t="s">
        <v>1</v>
      </c>
      <c r="L122" s="65">
        <v>1</v>
      </c>
      <c r="M122" s="106" t="s">
        <v>18186</v>
      </c>
      <c r="N122" s="57" t="s">
        <v>1</v>
      </c>
      <c r="O122" s="58">
        <v>0.25</v>
      </c>
      <c r="P122" s="77" t="s">
        <v>422</v>
      </c>
      <c r="Q122" s="66"/>
      <c r="R122" s="57"/>
      <c r="S122" s="58"/>
      <c r="T122" s="77"/>
      <c r="U122" s="228">
        <f>ROUND((ROUND((ROUND((ROUND((_15_同援日５．０*_15・通訳),0)*_15・２人),0)*(1+_15・盲ろう)),0)*(1+_15・区３)),0)</f>
        <v>1165</v>
      </c>
      <c r="V122" s="69"/>
    </row>
    <row r="123" spans="1:22" ht="16.5" customHeight="1" x14ac:dyDescent="0.3">
      <c r="A123" s="2">
        <v>15</v>
      </c>
      <c r="B123" s="2" t="s">
        <v>3255</v>
      </c>
      <c r="C123" s="60" t="s">
        <v>13690</v>
      </c>
      <c r="D123" s="1"/>
      <c r="E123" s="68"/>
      <c r="F123" s="70"/>
      <c r="G123" s="67"/>
      <c r="H123" s="68"/>
      <c r="I123" s="76"/>
      <c r="J123" s="85"/>
      <c r="K123" s="64"/>
      <c r="L123" s="65"/>
      <c r="M123" s="61"/>
      <c r="N123" s="62"/>
      <c r="O123" s="63"/>
      <c r="P123" s="75"/>
      <c r="Q123" s="74" t="s">
        <v>18189</v>
      </c>
      <c r="R123" s="62"/>
      <c r="S123" s="63"/>
      <c r="T123" s="75"/>
      <c r="U123" s="228">
        <f>ROUND((ROUND((_15_同援日５．０*_15・通訳),0)*(1+_15・区４)),0)</f>
        <v>1088</v>
      </c>
      <c r="V123" s="69"/>
    </row>
    <row r="124" spans="1:22" ht="16.5" customHeight="1" x14ac:dyDescent="0.3">
      <c r="A124" s="2">
        <v>15</v>
      </c>
      <c r="B124" s="2" t="s">
        <v>3256</v>
      </c>
      <c r="C124" s="60" t="s">
        <v>13689</v>
      </c>
      <c r="D124" s="1"/>
      <c r="E124" s="68"/>
      <c r="F124" s="70"/>
      <c r="G124" s="67"/>
      <c r="H124" s="68"/>
      <c r="I124" s="76"/>
      <c r="J124" s="83" t="s">
        <v>5895</v>
      </c>
      <c r="K124" s="64" t="s">
        <v>1</v>
      </c>
      <c r="L124" s="65">
        <v>1</v>
      </c>
      <c r="M124" s="66"/>
      <c r="N124" s="57"/>
      <c r="O124" s="58"/>
      <c r="P124" s="77"/>
      <c r="Q124" s="94" t="s">
        <v>8087</v>
      </c>
      <c r="R124" s="68"/>
      <c r="S124" s="76"/>
      <c r="T124" s="70"/>
      <c r="U124" s="228">
        <f>ROUND((ROUND((ROUND((_15_同援日５．０*_15・通訳),0)*_15・２人),0)*(1+_15・区４)),0)</f>
        <v>1088</v>
      </c>
      <c r="V124" s="69"/>
    </row>
    <row r="125" spans="1:22" ht="16.5" customHeight="1" x14ac:dyDescent="0.3">
      <c r="A125" s="2">
        <v>15</v>
      </c>
      <c r="B125" s="2" t="s">
        <v>3257</v>
      </c>
      <c r="C125" s="60" t="s">
        <v>13688</v>
      </c>
      <c r="D125" s="1"/>
      <c r="E125" s="68"/>
      <c r="F125" s="70"/>
      <c r="G125" s="67"/>
      <c r="H125" s="68"/>
      <c r="I125" s="76"/>
      <c r="J125" s="85"/>
      <c r="K125" s="64"/>
      <c r="L125" s="65"/>
      <c r="M125" s="74" t="s">
        <v>18187</v>
      </c>
      <c r="N125" s="62"/>
      <c r="O125" s="63"/>
      <c r="P125" s="75"/>
      <c r="Q125" s="67"/>
      <c r="R125" s="68" t="s">
        <v>1</v>
      </c>
      <c r="S125" s="76">
        <v>0.4</v>
      </c>
      <c r="T125" s="70" t="s">
        <v>422</v>
      </c>
      <c r="U125" s="228">
        <f>ROUND((ROUND((ROUND((_15_同援日５．０*_15・通訳),0)*(1+_15・盲ろう)),0)*(1+_15・区４)),0)</f>
        <v>1359</v>
      </c>
      <c r="V125" s="69"/>
    </row>
    <row r="126" spans="1:22" ht="16.5" customHeight="1" x14ac:dyDescent="0.3">
      <c r="A126" s="2">
        <v>15</v>
      </c>
      <c r="B126" s="2" t="s">
        <v>3258</v>
      </c>
      <c r="C126" s="60" t="s">
        <v>13687</v>
      </c>
      <c r="D126" s="81"/>
      <c r="E126" s="57"/>
      <c r="F126" s="77"/>
      <c r="G126" s="67"/>
      <c r="H126" s="68"/>
      <c r="I126" s="76"/>
      <c r="J126" s="83" t="s">
        <v>5895</v>
      </c>
      <c r="K126" s="64" t="s">
        <v>1</v>
      </c>
      <c r="L126" s="65">
        <v>1</v>
      </c>
      <c r="M126" s="106" t="s">
        <v>18186</v>
      </c>
      <c r="N126" s="57" t="s">
        <v>1</v>
      </c>
      <c r="O126" s="58">
        <v>0.25</v>
      </c>
      <c r="P126" s="77" t="s">
        <v>422</v>
      </c>
      <c r="Q126" s="66"/>
      <c r="R126" s="57"/>
      <c r="S126" s="58"/>
      <c r="T126" s="77"/>
      <c r="U126" s="228">
        <f>ROUND((ROUND((ROUND((ROUND((_15_同援日５．０*_15・通訳),0)*_15・２人),0)*(1+_15・盲ろう)),0)*(1+_15・区４)),0)</f>
        <v>1359</v>
      </c>
      <c r="V126" s="69"/>
    </row>
    <row r="127" spans="1:22" ht="16.5" customHeight="1" x14ac:dyDescent="0.3">
      <c r="A127" s="2">
        <v>15</v>
      </c>
      <c r="B127" s="2" t="s">
        <v>3259</v>
      </c>
      <c r="C127" s="60" t="s">
        <v>13686</v>
      </c>
      <c r="D127" s="233" t="s">
        <v>18220</v>
      </c>
      <c r="E127" s="62"/>
      <c r="F127" s="75"/>
      <c r="G127" s="67"/>
      <c r="H127" s="68"/>
      <c r="I127" s="76"/>
      <c r="J127" s="85"/>
      <c r="K127" s="64"/>
      <c r="L127" s="65"/>
      <c r="M127" s="61"/>
      <c r="N127" s="62"/>
      <c r="O127" s="63"/>
      <c r="P127" s="75"/>
      <c r="Q127" s="61"/>
      <c r="R127" s="62"/>
      <c r="S127" s="63"/>
      <c r="T127" s="75"/>
      <c r="U127" s="120">
        <f>ROUND((_15_同援日５．５*_15・通訳),0)</f>
        <v>833</v>
      </c>
      <c r="V127" s="69"/>
    </row>
    <row r="128" spans="1:22" ht="16.5" customHeight="1" x14ac:dyDescent="0.3">
      <c r="A128" s="2">
        <v>15</v>
      </c>
      <c r="B128" s="2" t="s">
        <v>3260</v>
      </c>
      <c r="C128" s="60" t="s">
        <v>13685</v>
      </c>
      <c r="D128" s="1" t="s">
        <v>17633</v>
      </c>
      <c r="E128" s="68"/>
      <c r="F128" s="70"/>
      <c r="G128" s="67"/>
      <c r="H128" s="68"/>
      <c r="I128" s="76"/>
      <c r="J128" s="83" t="s">
        <v>5895</v>
      </c>
      <c r="K128" s="64" t="s">
        <v>1</v>
      </c>
      <c r="L128" s="65">
        <v>1</v>
      </c>
      <c r="M128" s="66"/>
      <c r="N128" s="57"/>
      <c r="O128" s="58"/>
      <c r="P128" s="77"/>
      <c r="Q128" s="67"/>
      <c r="R128" s="68"/>
      <c r="S128" s="76"/>
      <c r="T128" s="70"/>
      <c r="U128" s="120">
        <f>ROUND((ROUND((_15_同援日５．５*_15・通訳),0)*_15・２人),0)</f>
        <v>833</v>
      </c>
      <c r="V128" s="69"/>
    </row>
    <row r="129" spans="1:22" ht="16.5" customHeight="1" x14ac:dyDescent="0.3">
      <c r="A129" s="2">
        <v>15</v>
      </c>
      <c r="B129" s="2" t="s">
        <v>3261</v>
      </c>
      <c r="C129" s="60" t="s">
        <v>13684</v>
      </c>
      <c r="D129" s="1" t="s">
        <v>9010</v>
      </c>
      <c r="E129" s="68"/>
      <c r="F129" s="70"/>
      <c r="G129" s="67"/>
      <c r="H129" s="68"/>
      <c r="I129" s="76"/>
      <c r="J129" s="85"/>
      <c r="K129" s="64"/>
      <c r="L129" s="65"/>
      <c r="M129" s="74" t="s">
        <v>8085</v>
      </c>
      <c r="N129" s="62"/>
      <c r="O129" s="63"/>
      <c r="P129" s="75"/>
      <c r="Q129" s="67"/>
      <c r="R129" s="68"/>
      <c r="S129" s="76"/>
      <c r="T129" s="70"/>
      <c r="U129" s="120">
        <f>ROUND((ROUND((_15_同援日５．５*_15・通訳),0)*(1+_15・盲ろう)),0)</f>
        <v>1041</v>
      </c>
      <c r="V129" s="69"/>
    </row>
    <row r="130" spans="1:22" ht="16.5" customHeight="1" x14ac:dyDescent="0.3">
      <c r="A130" s="2">
        <v>15</v>
      </c>
      <c r="B130" s="2" t="s">
        <v>3262</v>
      </c>
      <c r="C130" s="60" t="s">
        <v>13683</v>
      </c>
      <c r="D130" s="1"/>
      <c r="E130" s="227">
        <v>926</v>
      </c>
      <c r="F130" s="70" t="s">
        <v>0</v>
      </c>
      <c r="G130" s="67"/>
      <c r="H130" s="68"/>
      <c r="I130" s="76"/>
      <c r="J130" s="83" t="s">
        <v>5895</v>
      </c>
      <c r="K130" s="64" t="s">
        <v>1</v>
      </c>
      <c r="L130" s="65">
        <v>1</v>
      </c>
      <c r="M130" s="106" t="s">
        <v>18186</v>
      </c>
      <c r="N130" s="57" t="s">
        <v>1</v>
      </c>
      <c r="O130" s="58">
        <v>0.25</v>
      </c>
      <c r="P130" s="77" t="s">
        <v>422</v>
      </c>
      <c r="Q130" s="66"/>
      <c r="R130" s="57"/>
      <c r="S130" s="58"/>
      <c r="T130" s="77"/>
      <c r="U130" s="120">
        <f>ROUND((ROUND((ROUND((_15_同援日５．５*_15・通訳),0)*_15・２人),0)*(1+_15・盲ろう)),0)</f>
        <v>1041</v>
      </c>
      <c r="V130" s="69"/>
    </row>
    <row r="131" spans="1:22" ht="16.5" customHeight="1" x14ac:dyDescent="0.3">
      <c r="A131" s="2">
        <v>15</v>
      </c>
      <c r="B131" s="2" t="s">
        <v>3263</v>
      </c>
      <c r="C131" s="60" t="s">
        <v>13682</v>
      </c>
      <c r="D131" s="1"/>
      <c r="E131" s="68"/>
      <c r="F131" s="70"/>
      <c r="G131" s="67"/>
      <c r="H131" s="68"/>
      <c r="I131" s="76"/>
      <c r="J131" s="85"/>
      <c r="K131" s="64"/>
      <c r="L131" s="65"/>
      <c r="M131" s="61"/>
      <c r="N131" s="62"/>
      <c r="O131" s="63"/>
      <c r="P131" s="75"/>
      <c r="Q131" s="74" t="s">
        <v>18190</v>
      </c>
      <c r="R131" s="62"/>
      <c r="S131" s="63"/>
      <c r="T131" s="75"/>
      <c r="U131" s="120">
        <f>ROUND((ROUND((_15_同援日５．５*_15・通訳),0)*(1+_15・区３)),0)</f>
        <v>1000</v>
      </c>
      <c r="V131" s="69"/>
    </row>
    <row r="132" spans="1:22" ht="16.5" customHeight="1" x14ac:dyDescent="0.3">
      <c r="A132" s="2">
        <v>15</v>
      </c>
      <c r="B132" s="2" t="s">
        <v>3264</v>
      </c>
      <c r="C132" s="60" t="s">
        <v>13681</v>
      </c>
      <c r="D132" s="1"/>
      <c r="E132" s="68"/>
      <c r="F132" s="70"/>
      <c r="G132" s="67"/>
      <c r="H132" s="68"/>
      <c r="I132" s="76"/>
      <c r="J132" s="83" t="s">
        <v>5895</v>
      </c>
      <c r="K132" s="64" t="s">
        <v>1</v>
      </c>
      <c r="L132" s="65">
        <v>1</v>
      </c>
      <c r="M132" s="66"/>
      <c r="N132" s="57"/>
      <c r="O132" s="58"/>
      <c r="P132" s="77"/>
      <c r="Q132" s="94" t="s">
        <v>18188</v>
      </c>
      <c r="R132" s="68"/>
      <c r="S132" s="76"/>
      <c r="T132" s="70"/>
      <c r="U132" s="120">
        <f>ROUND((ROUND((ROUND((_15_同援日５．５*_15・通訳),0)*_15・２人),0)*(1+_15・区３)),0)</f>
        <v>1000</v>
      </c>
      <c r="V132" s="69"/>
    </row>
    <row r="133" spans="1:22" ht="16.5" customHeight="1" x14ac:dyDescent="0.3">
      <c r="A133" s="2">
        <v>15</v>
      </c>
      <c r="B133" s="2" t="s">
        <v>3265</v>
      </c>
      <c r="C133" s="60" t="s">
        <v>13680</v>
      </c>
      <c r="D133" s="1"/>
      <c r="E133" s="68"/>
      <c r="F133" s="70"/>
      <c r="G133" s="67"/>
      <c r="H133" s="68"/>
      <c r="I133" s="76"/>
      <c r="J133" s="85"/>
      <c r="K133" s="64"/>
      <c r="L133" s="65"/>
      <c r="M133" s="74" t="s">
        <v>18187</v>
      </c>
      <c r="N133" s="62"/>
      <c r="O133" s="63"/>
      <c r="P133" s="75"/>
      <c r="Q133" s="67"/>
      <c r="R133" s="68" t="s">
        <v>1</v>
      </c>
      <c r="S133" s="76">
        <v>0.2</v>
      </c>
      <c r="T133" s="70" t="s">
        <v>422</v>
      </c>
      <c r="U133" s="120">
        <f>ROUND((ROUND((ROUND((_15_同援日５．５*_15・通訳),0)*(1+_15・盲ろう)),0)*(1+_15・区３)),0)</f>
        <v>1249</v>
      </c>
      <c r="V133" s="69"/>
    </row>
    <row r="134" spans="1:22" ht="16.5" customHeight="1" x14ac:dyDescent="0.3">
      <c r="A134" s="2">
        <v>15</v>
      </c>
      <c r="B134" s="2" t="s">
        <v>3266</v>
      </c>
      <c r="C134" s="60" t="s">
        <v>13679</v>
      </c>
      <c r="D134" s="1"/>
      <c r="E134" s="68"/>
      <c r="F134" s="70"/>
      <c r="G134" s="67"/>
      <c r="H134" s="68"/>
      <c r="I134" s="76"/>
      <c r="J134" s="83" t="s">
        <v>5895</v>
      </c>
      <c r="K134" s="64" t="s">
        <v>1</v>
      </c>
      <c r="L134" s="65">
        <v>1</v>
      </c>
      <c r="M134" s="106" t="s">
        <v>18186</v>
      </c>
      <c r="N134" s="57" t="s">
        <v>1</v>
      </c>
      <c r="O134" s="58">
        <v>0.25</v>
      </c>
      <c r="P134" s="77" t="s">
        <v>422</v>
      </c>
      <c r="Q134" s="66"/>
      <c r="R134" s="57"/>
      <c r="S134" s="58"/>
      <c r="T134" s="77"/>
      <c r="U134" s="120">
        <f>ROUND((ROUND((ROUND((ROUND((_15_同援日５．５*_15・通訳),0)*_15・２人),0)*(1+_15・盲ろう)),0)*(1+_15・区３)),0)</f>
        <v>1249</v>
      </c>
      <c r="V134" s="69"/>
    </row>
    <row r="135" spans="1:22" ht="16.5" customHeight="1" x14ac:dyDescent="0.3">
      <c r="A135" s="2">
        <v>15</v>
      </c>
      <c r="B135" s="2" t="s">
        <v>3267</v>
      </c>
      <c r="C135" s="60" t="s">
        <v>13678</v>
      </c>
      <c r="D135" s="1"/>
      <c r="E135" s="68"/>
      <c r="F135" s="70"/>
      <c r="G135" s="67"/>
      <c r="H135" s="68"/>
      <c r="I135" s="76"/>
      <c r="J135" s="85"/>
      <c r="K135" s="64"/>
      <c r="L135" s="65"/>
      <c r="M135" s="61"/>
      <c r="N135" s="62"/>
      <c r="O135" s="63"/>
      <c r="P135" s="75"/>
      <c r="Q135" s="74" t="s">
        <v>18189</v>
      </c>
      <c r="R135" s="62"/>
      <c r="S135" s="63"/>
      <c r="T135" s="75"/>
      <c r="U135" s="120">
        <f>ROUND((ROUND((_15_同援日５．５*_15・通訳),0)*(1+_15・区４)),0)</f>
        <v>1166</v>
      </c>
      <c r="V135" s="69"/>
    </row>
    <row r="136" spans="1:22" ht="16.5" customHeight="1" x14ac:dyDescent="0.3">
      <c r="A136" s="2">
        <v>15</v>
      </c>
      <c r="B136" s="2" t="s">
        <v>3268</v>
      </c>
      <c r="C136" s="60" t="s">
        <v>13677</v>
      </c>
      <c r="D136" s="1"/>
      <c r="E136" s="68"/>
      <c r="F136" s="70"/>
      <c r="G136" s="67"/>
      <c r="H136" s="68"/>
      <c r="I136" s="76"/>
      <c r="J136" s="83" t="s">
        <v>5895</v>
      </c>
      <c r="K136" s="64" t="s">
        <v>1</v>
      </c>
      <c r="L136" s="65">
        <v>1</v>
      </c>
      <c r="M136" s="66"/>
      <c r="N136" s="57"/>
      <c r="O136" s="58"/>
      <c r="P136" s="77"/>
      <c r="Q136" s="94" t="s">
        <v>18188</v>
      </c>
      <c r="R136" s="68"/>
      <c r="S136" s="76"/>
      <c r="T136" s="70"/>
      <c r="U136" s="120">
        <f>ROUND((ROUND((ROUND((_15_同援日５．５*_15・通訳),0)*_15・２人),0)*(1+_15・区４)),0)</f>
        <v>1166</v>
      </c>
      <c r="V136" s="69"/>
    </row>
    <row r="137" spans="1:22" ht="16.5" customHeight="1" x14ac:dyDescent="0.3">
      <c r="A137" s="2">
        <v>15</v>
      </c>
      <c r="B137" s="2" t="s">
        <v>3269</v>
      </c>
      <c r="C137" s="60" t="s">
        <v>13676</v>
      </c>
      <c r="D137" s="1"/>
      <c r="E137" s="68"/>
      <c r="F137" s="70"/>
      <c r="G137" s="67"/>
      <c r="H137" s="68"/>
      <c r="I137" s="76"/>
      <c r="J137" s="85"/>
      <c r="K137" s="64"/>
      <c r="L137" s="65"/>
      <c r="M137" s="74" t="s">
        <v>18187</v>
      </c>
      <c r="N137" s="62"/>
      <c r="O137" s="63"/>
      <c r="P137" s="75"/>
      <c r="Q137" s="67"/>
      <c r="R137" s="68" t="s">
        <v>1</v>
      </c>
      <c r="S137" s="76">
        <v>0.4</v>
      </c>
      <c r="T137" s="70" t="s">
        <v>422</v>
      </c>
      <c r="U137" s="120">
        <f>ROUND((ROUND((ROUND((_15_同援日５．５*_15・通訳),0)*(1+_15・盲ろう)),0)*(1+_15・区４)),0)</f>
        <v>1457</v>
      </c>
      <c r="V137" s="69"/>
    </row>
    <row r="138" spans="1:22" ht="16.5" customHeight="1" x14ac:dyDescent="0.3">
      <c r="A138" s="2">
        <v>15</v>
      </c>
      <c r="B138" s="2" t="s">
        <v>3270</v>
      </c>
      <c r="C138" s="60" t="s">
        <v>13675</v>
      </c>
      <c r="D138" s="81"/>
      <c r="E138" s="57"/>
      <c r="F138" s="77"/>
      <c r="G138" s="67"/>
      <c r="H138" s="68"/>
      <c r="I138" s="76"/>
      <c r="J138" s="83" t="s">
        <v>5895</v>
      </c>
      <c r="K138" s="64" t="s">
        <v>1</v>
      </c>
      <c r="L138" s="65">
        <v>1</v>
      </c>
      <c r="M138" s="106" t="s">
        <v>18186</v>
      </c>
      <c r="N138" s="57" t="s">
        <v>1</v>
      </c>
      <c r="O138" s="58">
        <v>0.25</v>
      </c>
      <c r="P138" s="77" t="s">
        <v>422</v>
      </c>
      <c r="Q138" s="66"/>
      <c r="R138" s="57"/>
      <c r="S138" s="58"/>
      <c r="T138" s="77"/>
      <c r="U138" s="120">
        <f>ROUND((ROUND((ROUND((ROUND((_15_同援日５．５*_15・通訳),0)*_15・２人),0)*(1+_15・盲ろう)),0)*(1+_15・区４)),0)</f>
        <v>1457</v>
      </c>
      <c r="V138" s="69"/>
    </row>
    <row r="139" spans="1:22" ht="16.5" customHeight="1" x14ac:dyDescent="0.3">
      <c r="A139" s="2">
        <v>15</v>
      </c>
      <c r="B139" s="2" t="s">
        <v>3271</v>
      </c>
      <c r="C139" s="60" t="s">
        <v>13674</v>
      </c>
      <c r="D139" s="233" t="s">
        <v>18219</v>
      </c>
      <c r="E139" s="62"/>
      <c r="F139" s="75"/>
      <c r="G139" s="67"/>
      <c r="H139" s="68"/>
      <c r="I139" s="76"/>
      <c r="J139" s="85"/>
      <c r="K139" s="64"/>
      <c r="L139" s="65"/>
      <c r="M139" s="61"/>
      <c r="N139" s="62"/>
      <c r="O139" s="63"/>
      <c r="P139" s="75"/>
      <c r="Q139" s="61"/>
      <c r="R139" s="62"/>
      <c r="S139" s="63"/>
      <c r="T139" s="75"/>
      <c r="U139" s="228">
        <f>ROUND((_15_同援日６．０*_15・通訳),0)</f>
        <v>890</v>
      </c>
      <c r="V139" s="69"/>
    </row>
    <row r="140" spans="1:22" ht="16.5" customHeight="1" x14ac:dyDescent="0.3">
      <c r="A140" s="2">
        <v>15</v>
      </c>
      <c r="B140" s="2" t="s">
        <v>3272</v>
      </c>
      <c r="C140" s="60" t="s">
        <v>13673</v>
      </c>
      <c r="D140" s="1" t="s">
        <v>17630</v>
      </c>
      <c r="E140" s="68"/>
      <c r="F140" s="70"/>
      <c r="G140" s="67"/>
      <c r="H140" s="68"/>
      <c r="I140" s="76"/>
      <c r="J140" s="83" t="s">
        <v>5895</v>
      </c>
      <c r="K140" s="64" t="s">
        <v>1</v>
      </c>
      <c r="L140" s="65">
        <v>1</v>
      </c>
      <c r="M140" s="66"/>
      <c r="N140" s="57"/>
      <c r="O140" s="58"/>
      <c r="P140" s="77"/>
      <c r="Q140" s="67"/>
      <c r="R140" s="68"/>
      <c r="S140" s="76"/>
      <c r="T140" s="70"/>
      <c r="U140" s="228">
        <f>ROUND((ROUND((_15_同援日６．０*_15・通訳),0)*_15・２人),0)</f>
        <v>890</v>
      </c>
      <c r="V140" s="69"/>
    </row>
    <row r="141" spans="1:22" ht="16.5" customHeight="1" x14ac:dyDescent="0.3">
      <c r="A141" s="2">
        <v>15</v>
      </c>
      <c r="B141" s="2" t="s">
        <v>3273</v>
      </c>
      <c r="C141" s="60" t="s">
        <v>13672</v>
      </c>
      <c r="D141" s="1" t="s">
        <v>8985</v>
      </c>
      <c r="E141" s="68"/>
      <c r="F141" s="70"/>
      <c r="G141" s="67"/>
      <c r="H141" s="68"/>
      <c r="I141" s="76"/>
      <c r="J141" s="85"/>
      <c r="K141" s="64"/>
      <c r="L141" s="65"/>
      <c r="M141" s="74" t="s">
        <v>18187</v>
      </c>
      <c r="N141" s="62"/>
      <c r="O141" s="63"/>
      <c r="P141" s="75"/>
      <c r="Q141" s="67"/>
      <c r="R141" s="68"/>
      <c r="S141" s="76"/>
      <c r="T141" s="70"/>
      <c r="U141" s="228">
        <f>ROUND((ROUND((_15_同援日６．０*_15・通訳),0)*(1+_15・盲ろう)),0)</f>
        <v>1113</v>
      </c>
      <c r="V141" s="69"/>
    </row>
    <row r="142" spans="1:22" ht="16.5" customHeight="1" x14ac:dyDescent="0.3">
      <c r="A142" s="2">
        <v>15</v>
      </c>
      <c r="B142" s="2" t="s">
        <v>3274</v>
      </c>
      <c r="C142" s="60" t="s">
        <v>13671</v>
      </c>
      <c r="D142" s="1"/>
      <c r="E142" s="227">
        <v>989</v>
      </c>
      <c r="F142" s="70" t="s">
        <v>0</v>
      </c>
      <c r="G142" s="67"/>
      <c r="H142" s="68"/>
      <c r="I142" s="76"/>
      <c r="J142" s="83" t="s">
        <v>5895</v>
      </c>
      <c r="K142" s="64" t="s">
        <v>1</v>
      </c>
      <c r="L142" s="65">
        <v>1</v>
      </c>
      <c r="M142" s="106" t="s">
        <v>18186</v>
      </c>
      <c r="N142" s="57" t="s">
        <v>1</v>
      </c>
      <c r="O142" s="58">
        <v>0.25</v>
      </c>
      <c r="P142" s="77" t="s">
        <v>422</v>
      </c>
      <c r="Q142" s="66"/>
      <c r="R142" s="57"/>
      <c r="S142" s="58"/>
      <c r="T142" s="77"/>
      <c r="U142" s="228">
        <f>ROUND((ROUND((ROUND((_15_同援日６．０*_15・通訳),0)*_15・２人),0)*(1+_15・盲ろう)),0)</f>
        <v>1113</v>
      </c>
      <c r="V142" s="69"/>
    </row>
    <row r="143" spans="1:22" ht="16.5" customHeight="1" x14ac:dyDescent="0.3">
      <c r="A143" s="2">
        <v>15</v>
      </c>
      <c r="B143" s="2" t="s">
        <v>3275</v>
      </c>
      <c r="C143" s="60" t="s">
        <v>13670</v>
      </c>
      <c r="D143" s="1"/>
      <c r="E143" s="68"/>
      <c r="F143" s="70"/>
      <c r="G143" s="67"/>
      <c r="H143" s="68"/>
      <c r="I143" s="76"/>
      <c r="J143" s="85"/>
      <c r="K143" s="64"/>
      <c r="L143" s="65"/>
      <c r="M143" s="61"/>
      <c r="N143" s="62"/>
      <c r="O143" s="63"/>
      <c r="P143" s="75"/>
      <c r="Q143" s="74" t="s">
        <v>18190</v>
      </c>
      <c r="R143" s="62"/>
      <c r="S143" s="63"/>
      <c r="T143" s="75"/>
      <c r="U143" s="228">
        <f>ROUND((ROUND((_15_同援日６．０*_15・通訳),0)*(1+_15・区３)),0)</f>
        <v>1068</v>
      </c>
      <c r="V143" s="69"/>
    </row>
    <row r="144" spans="1:22" ht="16.5" customHeight="1" x14ac:dyDescent="0.3">
      <c r="A144" s="2">
        <v>15</v>
      </c>
      <c r="B144" s="2" t="s">
        <v>3276</v>
      </c>
      <c r="C144" s="60" t="s">
        <v>13669</v>
      </c>
      <c r="D144" s="1"/>
      <c r="E144" s="68"/>
      <c r="F144" s="70"/>
      <c r="G144" s="67"/>
      <c r="H144" s="68"/>
      <c r="I144" s="76"/>
      <c r="J144" s="83" t="s">
        <v>5895</v>
      </c>
      <c r="K144" s="64" t="s">
        <v>1</v>
      </c>
      <c r="L144" s="65">
        <v>1</v>
      </c>
      <c r="M144" s="66"/>
      <c r="N144" s="57"/>
      <c r="O144" s="58"/>
      <c r="P144" s="77"/>
      <c r="Q144" s="94" t="s">
        <v>18188</v>
      </c>
      <c r="R144" s="68"/>
      <c r="S144" s="76"/>
      <c r="T144" s="70"/>
      <c r="U144" s="228">
        <f>ROUND((ROUND((ROUND((_15_同援日６．０*_15・通訳),0)*_15・２人),0)*(1+_15・区３)),0)</f>
        <v>1068</v>
      </c>
      <c r="V144" s="69"/>
    </row>
    <row r="145" spans="1:22" ht="16.5" customHeight="1" x14ac:dyDescent="0.3">
      <c r="A145" s="2">
        <v>15</v>
      </c>
      <c r="B145" s="2" t="s">
        <v>3277</v>
      </c>
      <c r="C145" s="60" t="s">
        <v>13668</v>
      </c>
      <c r="D145" s="1"/>
      <c r="E145" s="68"/>
      <c r="F145" s="70"/>
      <c r="G145" s="67"/>
      <c r="H145" s="68"/>
      <c r="I145" s="76"/>
      <c r="J145" s="85"/>
      <c r="K145" s="64"/>
      <c r="L145" s="65"/>
      <c r="M145" s="74" t="s">
        <v>18187</v>
      </c>
      <c r="N145" s="62"/>
      <c r="O145" s="63"/>
      <c r="P145" s="75"/>
      <c r="Q145" s="67"/>
      <c r="R145" s="68" t="s">
        <v>1</v>
      </c>
      <c r="S145" s="76">
        <v>0.2</v>
      </c>
      <c r="T145" s="70" t="s">
        <v>422</v>
      </c>
      <c r="U145" s="228">
        <f>ROUND((ROUND((ROUND((_15_同援日６．０*_15・通訳),0)*(1+_15・盲ろう)),0)*(1+_15・区３)),0)</f>
        <v>1336</v>
      </c>
      <c r="V145" s="69"/>
    </row>
    <row r="146" spans="1:22" ht="16.5" customHeight="1" x14ac:dyDescent="0.3">
      <c r="A146" s="2">
        <v>15</v>
      </c>
      <c r="B146" s="2" t="s">
        <v>3278</v>
      </c>
      <c r="C146" s="60" t="s">
        <v>13667</v>
      </c>
      <c r="D146" s="1"/>
      <c r="E146" s="68"/>
      <c r="F146" s="70"/>
      <c r="G146" s="67"/>
      <c r="H146" s="68"/>
      <c r="I146" s="76"/>
      <c r="J146" s="83" t="s">
        <v>5895</v>
      </c>
      <c r="K146" s="64" t="s">
        <v>1</v>
      </c>
      <c r="L146" s="65">
        <v>1</v>
      </c>
      <c r="M146" s="106" t="s">
        <v>18186</v>
      </c>
      <c r="N146" s="57" t="s">
        <v>1</v>
      </c>
      <c r="O146" s="58">
        <v>0.25</v>
      </c>
      <c r="P146" s="77" t="s">
        <v>422</v>
      </c>
      <c r="Q146" s="66"/>
      <c r="R146" s="57"/>
      <c r="S146" s="58"/>
      <c r="T146" s="77"/>
      <c r="U146" s="228">
        <f>ROUND((ROUND((ROUND((ROUND((_15_同援日６．０*_15・通訳),0)*_15・２人),0)*(1+_15・盲ろう)),0)*(1+_15・区３)),0)</f>
        <v>1336</v>
      </c>
      <c r="V146" s="69"/>
    </row>
    <row r="147" spans="1:22" ht="16.5" customHeight="1" x14ac:dyDescent="0.3">
      <c r="A147" s="2">
        <v>15</v>
      </c>
      <c r="B147" s="2" t="s">
        <v>3279</v>
      </c>
      <c r="C147" s="60" t="s">
        <v>13666</v>
      </c>
      <c r="D147" s="1"/>
      <c r="E147" s="68"/>
      <c r="F147" s="70"/>
      <c r="G147" s="67"/>
      <c r="H147" s="68"/>
      <c r="I147" s="76"/>
      <c r="J147" s="85"/>
      <c r="K147" s="64"/>
      <c r="L147" s="65"/>
      <c r="M147" s="61"/>
      <c r="N147" s="62"/>
      <c r="O147" s="63"/>
      <c r="P147" s="75"/>
      <c r="Q147" s="74" t="s">
        <v>18189</v>
      </c>
      <c r="R147" s="62"/>
      <c r="S147" s="63"/>
      <c r="T147" s="75"/>
      <c r="U147" s="228">
        <f>ROUND((ROUND((_15_同援日６．０*_15・通訳),0)*(1+_15・区４)),0)</f>
        <v>1246</v>
      </c>
      <c r="V147" s="69"/>
    </row>
    <row r="148" spans="1:22" ht="16.5" customHeight="1" x14ac:dyDescent="0.3">
      <c r="A148" s="2">
        <v>15</v>
      </c>
      <c r="B148" s="2" t="s">
        <v>3280</v>
      </c>
      <c r="C148" s="60" t="s">
        <v>13665</v>
      </c>
      <c r="D148" s="1"/>
      <c r="E148" s="68"/>
      <c r="F148" s="70"/>
      <c r="G148" s="67"/>
      <c r="H148" s="68"/>
      <c r="I148" s="76"/>
      <c r="J148" s="83" t="s">
        <v>5895</v>
      </c>
      <c r="K148" s="64" t="s">
        <v>1</v>
      </c>
      <c r="L148" s="65">
        <v>1</v>
      </c>
      <c r="M148" s="66"/>
      <c r="N148" s="57"/>
      <c r="O148" s="58"/>
      <c r="P148" s="77"/>
      <c r="Q148" s="94" t="s">
        <v>18188</v>
      </c>
      <c r="R148" s="68"/>
      <c r="S148" s="76"/>
      <c r="T148" s="70"/>
      <c r="U148" s="228">
        <f>ROUND((ROUND((ROUND((_15_同援日６．０*_15・通訳),0)*_15・２人),0)*(1+_15・区４)),0)</f>
        <v>1246</v>
      </c>
      <c r="V148" s="69"/>
    </row>
    <row r="149" spans="1:22" ht="16.5" customHeight="1" x14ac:dyDescent="0.3">
      <c r="A149" s="2">
        <v>15</v>
      </c>
      <c r="B149" s="2" t="s">
        <v>3281</v>
      </c>
      <c r="C149" s="60" t="s">
        <v>13664</v>
      </c>
      <c r="D149" s="1"/>
      <c r="E149" s="68"/>
      <c r="F149" s="70"/>
      <c r="G149" s="67"/>
      <c r="H149" s="68"/>
      <c r="I149" s="76"/>
      <c r="J149" s="85"/>
      <c r="K149" s="64"/>
      <c r="L149" s="65"/>
      <c r="M149" s="74" t="s">
        <v>18187</v>
      </c>
      <c r="N149" s="62"/>
      <c r="O149" s="63"/>
      <c r="P149" s="75"/>
      <c r="Q149" s="67"/>
      <c r="R149" s="68" t="s">
        <v>1</v>
      </c>
      <c r="S149" s="76">
        <v>0.4</v>
      </c>
      <c r="T149" s="70" t="s">
        <v>422</v>
      </c>
      <c r="U149" s="228">
        <f>ROUND((ROUND((ROUND((_15_同援日６．０*_15・通訳),0)*(1+_15・盲ろう)),0)*(1+_15・区４)),0)</f>
        <v>1558</v>
      </c>
      <c r="V149" s="69"/>
    </row>
    <row r="150" spans="1:22" ht="16.5" customHeight="1" x14ac:dyDescent="0.3">
      <c r="A150" s="2">
        <v>15</v>
      </c>
      <c r="B150" s="2" t="s">
        <v>3282</v>
      </c>
      <c r="C150" s="60" t="s">
        <v>13663</v>
      </c>
      <c r="D150" s="81"/>
      <c r="E150" s="57"/>
      <c r="F150" s="77"/>
      <c r="G150" s="67"/>
      <c r="H150" s="68"/>
      <c r="I150" s="76"/>
      <c r="J150" s="83" t="s">
        <v>5895</v>
      </c>
      <c r="K150" s="64" t="s">
        <v>1</v>
      </c>
      <c r="L150" s="65">
        <v>1</v>
      </c>
      <c r="M150" s="106" t="s">
        <v>18186</v>
      </c>
      <c r="N150" s="57" t="s">
        <v>1</v>
      </c>
      <c r="O150" s="58">
        <v>0.25</v>
      </c>
      <c r="P150" s="77" t="s">
        <v>422</v>
      </c>
      <c r="Q150" s="66"/>
      <c r="R150" s="57"/>
      <c r="S150" s="58"/>
      <c r="T150" s="77"/>
      <c r="U150" s="228">
        <f>ROUND((ROUND((ROUND((ROUND((_15_同援日６．０*_15・通訳),0)*_15・２人),0)*(1+_15・盲ろう)),0)*(1+_15・区４)),0)</f>
        <v>1558</v>
      </c>
      <c r="V150" s="69"/>
    </row>
    <row r="151" spans="1:22" ht="16.5" customHeight="1" x14ac:dyDescent="0.3">
      <c r="A151" s="2">
        <v>15</v>
      </c>
      <c r="B151" s="2" t="s">
        <v>3283</v>
      </c>
      <c r="C151" s="60" t="s">
        <v>13662</v>
      </c>
      <c r="D151" s="233" t="s">
        <v>18218</v>
      </c>
      <c r="E151" s="62"/>
      <c r="F151" s="75"/>
      <c r="G151" s="67"/>
      <c r="H151" s="68"/>
      <c r="I151" s="76"/>
      <c r="J151" s="85"/>
      <c r="K151" s="64"/>
      <c r="L151" s="65"/>
      <c r="M151" s="61"/>
      <c r="N151" s="62"/>
      <c r="O151" s="63"/>
      <c r="P151" s="75"/>
      <c r="Q151" s="61"/>
      <c r="R151" s="62"/>
      <c r="S151" s="63"/>
      <c r="T151" s="75"/>
      <c r="U151" s="228">
        <f>ROUND((_15_同援日６．５*_15・通訳),0)</f>
        <v>947</v>
      </c>
      <c r="V151" s="69"/>
    </row>
    <row r="152" spans="1:22" ht="16.5" customHeight="1" x14ac:dyDescent="0.3">
      <c r="A152" s="2">
        <v>15</v>
      </c>
      <c r="B152" s="2" t="s">
        <v>3284</v>
      </c>
      <c r="C152" s="60" t="s">
        <v>13661</v>
      </c>
      <c r="D152" s="1" t="s">
        <v>17627</v>
      </c>
      <c r="E152" s="68"/>
      <c r="F152" s="70"/>
      <c r="G152" s="67"/>
      <c r="H152" s="68"/>
      <c r="I152" s="76"/>
      <c r="J152" s="83" t="s">
        <v>5895</v>
      </c>
      <c r="K152" s="64" t="s">
        <v>1</v>
      </c>
      <c r="L152" s="65">
        <v>1</v>
      </c>
      <c r="M152" s="66"/>
      <c r="N152" s="57"/>
      <c r="O152" s="58"/>
      <c r="P152" s="77"/>
      <c r="Q152" s="67"/>
      <c r="R152" s="68"/>
      <c r="S152" s="76"/>
      <c r="T152" s="70"/>
      <c r="U152" s="228">
        <f>ROUND((ROUND((_15_同援日６．５*_15・通訳),0)*_15・２人),0)</f>
        <v>947</v>
      </c>
      <c r="V152" s="69"/>
    </row>
    <row r="153" spans="1:22" ht="16.5" customHeight="1" x14ac:dyDescent="0.3">
      <c r="A153" s="2">
        <v>15</v>
      </c>
      <c r="B153" s="2" t="s">
        <v>3285</v>
      </c>
      <c r="C153" s="60" t="s">
        <v>13660</v>
      </c>
      <c r="D153" s="1" t="s">
        <v>8960</v>
      </c>
      <c r="E153" s="68"/>
      <c r="F153" s="70"/>
      <c r="G153" s="67"/>
      <c r="H153" s="68"/>
      <c r="I153" s="76"/>
      <c r="J153" s="85"/>
      <c r="K153" s="64"/>
      <c r="L153" s="65"/>
      <c r="M153" s="74" t="s">
        <v>18187</v>
      </c>
      <c r="N153" s="62"/>
      <c r="O153" s="63"/>
      <c r="P153" s="75"/>
      <c r="Q153" s="67"/>
      <c r="R153" s="68"/>
      <c r="S153" s="76"/>
      <c r="T153" s="70"/>
      <c r="U153" s="228">
        <f>ROUND((ROUND((_15_同援日６．５*_15・通訳),0)*(1+_15・盲ろう)),0)</f>
        <v>1184</v>
      </c>
      <c r="V153" s="69"/>
    </row>
    <row r="154" spans="1:22" ht="16.5" customHeight="1" x14ac:dyDescent="0.3">
      <c r="A154" s="2">
        <v>15</v>
      </c>
      <c r="B154" s="2" t="s">
        <v>3286</v>
      </c>
      <c r="C154" s="60" t="s">
        <v>13659</v>
      </c>
      <c r="D154" s="1"/>
      <c r="E154" s="227">
        <v>1052</v>
      </c>
      <c r="F154" s="70" t="s">
        <v>0</v>
      </c>
      <c r="G154" s="67"/>
      <c r="H154" s="68"/>
      <c r="I154" s="76"/>
      <c r="J154" s="83" t="s">
        <v>5895</v>
      </c>
      <c r="K154" s="64" t="s">
        <v>1</v>
      </c>
      <c r="L154" s="65">
        <v>1</v>
      </c>
      <c r="M154" s="106" t="s">
        <v>18186</v>
      </c>
      <c r="N154" s="57" t="s">
        <v>1</v>
      </c>
      <c r="O154" s="58">
        <v>0.25</v>
      </c>
      <c r="P154" s="77" t="s">
        <v>422</v>
      </c>
      <c r="Q154" s="66"/>
      <c r="R154" s="57"/>
      <c r="S154" s="58"/>
      <c r="T154" s="77"/>
      <c r="U154" s="228">
        <f>ROUND((ROUND((ROUND((_15_同援日６．５*_15・通訳),0)*_15・２人),0)*(1+_15・盲ろう)),0)</f>
        <v>1184</v>
      </c>
      <c r="V154" s="69"/>
    </row>
    <row r="155" spans="1:22" ht="16.5" customHeight="1" x14ac:dyDescent="0.3">
      <c r="A155" s="2">
        <v>15</v>
      </c>
      <c r="B155" s="2" t="s">
        <v>3287</v>
      </c>
      <c r="C155" s="60" t="s">
        <v>13658</v>
      </c>
      <c r="D155" s="1"/>
      <c r="E155" s="68"/>
      <c r="F155" s="70"/>
      <c r="G155" s="67"/>
      <c r="H155" s="68"/>
      <c r="I155" s="76"/>
      <c r="J155" s="85"/>
      <c r="K155" s="64"/>
      <c r="L155" s="65"/>
      <c r="M155" s="61"/>
      <c r="N155" s="62"/>
      <c r="O155" s="63"/>
      <c r="P155" s="75"/>
      <c r="Q155" s="74" t="s">
        <v>18190</v>
      </c>
      <c r="R155" s="62"/>
      <c r="S155" s="63"/>
      <c r="T155" s="75"/>
      <c r="U155" s="228">
        <f>ROUND((ROUND((_15_同援日６．５*_15・通訳),0)*(1+_15・区３)),0)</f>
        <v>1136</v>
      </c>
      <c r="V155" s="69"/>
    </row>
    <row r="156" spans="1:22" ht="16.5" customHeight="1" x14ac:dyDescent="0.3">
      <c r="A156" s="2">
        <v>15</v>
      </c>
      <c r="B156" s="2" t="s">
        <v>3288</v>
      </c>
      <c r="C156" s="60" t="s">
        <v>13657</v>
      </c>
      <c r="D156" s="1"/>
      <c r="E156" s="68"/>
      <c r="F156" s="70"/>
      <c r="G156" s="67"/>
      <c r="H156" s="68"/>
      <c r="I156" s="76"/>
      <c r="J156" s="83" t="s">
        <v>5895</v>
      </c>
      <c r="K156" s="64" t="s">
        <v>1</v>
      </c>
      <c r="L156" s="65">
        <v>1</v>
      </c>
      <c r="M156" s="66"/>
      <c r="N156" s="57"/>
      <c r="O156" s="58"/>
      <c r="P156" s="77"/>
      <c r="Q156" s="94" t="s">
        <v>18188</v>
      </c>
      <c r="R156" s="68"/>
      <c r="S156" s="76"/>
      <c r="T156" s="70"/>
      <c r="U156" s="228">
        <f>ROUND((ROUND((ROUND((_15_同援日６．５*_15・通訳),0)*_15・２人),0)*(1+_15・区３)),0)</f>
        <v>1136</v>
      </c>
      <c r="V156" s="69"/>
    </row>
    <row r="157" spans="1:22" ht="16.5" customHeight="1" x14ac:dyDescent="0.3">
      <c r="A157" s="2">
        <v>15</v>
      </c>
      <c r="B157" s="2" t="s">
        <v>3289</v>
      </c>
      <c r="C157" s="60" t="s">
        <v>13656</v>
      </c>
      <c r="D157" s="1"/>
      <c r="E157" s="68"/>
      <c r="F157" s="70"/>
      <c r="G157" s="67"/>
      <c r="H157" s="68"/>
      <c r="I157" s="76"/>
      <c r="J157" s="85"/>
      <c r="K157" s="64"/>
      <c r="L157" s="65"/>
      <c r="M157" s="74" t="s">
        <v>18187</v>
      </c>
      <c r="N157" s="62"/>
      <c r="O157" s="63"/>
      <c r="P157" s="75"/>
      <c r="Q157" s="67"/>
      <c r="R157" s="68" t="s">
        <v>1</v>
      </c>
      <c r="S157" s="76">
        <v>0.2</v>
      </c>
      <c r="T157" s="70" t="s">
        <v>422</v>
      </c>
      <c r="U157" s="228">
        <f>ROUND((ROUND((ROUND((_15_同援日６．５*_15・通訳),0)*(1+_15・盲ろう)),0)*(1+_15・区３)),0)</f>
        <v>1421</v>
      </c>
      <c r="V157" s="69"/>
    </row>
    <row r="158" spans="1:22" ht="16.5" customHeight="1" x14ac:dyDescent="0.3">
      <c r="A158" s="2">
        <v>15</v>
      </c>
      <c r="B158" s="2" t="s">
        <v>3290</v>
      </c>
      <c r="C158" s="60" t="s">
        <v>13655</v>
      </c>
      <c r="D158" s="1"/>
      <c r="E158" s="68"/>
      <c r="F158" s="70"/>
      <c r="G158" s="67"/>
      <c r="H158" s="68"/>
      <c r="I158" s="76"/>
      <c r="J158" s="83" t="s">
        <v>5895</v>
      </c>
      <c r="K158" s="64" t="s">
        <v>1</v>
      </c>
      <c r="L158" s="65">
        <v>1</v>
      </c>
      <c r="M158" s="106" t="s">
        <v>18186</v>
      </c>
      <c r="N158" s="57" t="s">
        <v>1</v>
      </c>
      <c r="O158" s="58">
        <v>0.25</v>
      </c>
      <c r="P158" s="77" t="s">
        <v>422</v>
      </c>
      <c r="Q158" s="66"/>
      <c r="R158" s="57"/>
      <c r="S158" s="58"/>
      <c r="T158" s="77"/>
      <c r="U158" s="228">
        <f>ROUND((ROUND((ROUND((ROUND((_15_同援日６．５*_15・通訳),0)*_15・２人),0)*(1+_15・盲ろう)),0)*(1+_15・区３)),0)</f>
        <v>1421</v>
      </c>
      <c r="V158" s="69"/>
    </row>
    <row r="159" spans="1:22" ht="16.5" customHeight="1" x14ac:dyDescent="0.3">
      <c r="A159" s="2">
        <v>15</v>
      </c>
      <c r="B159" s="2" t="s">
        <v>3291</v>
      </c>
      <c r="C159" s="60" t="s">
        <v>13654</v>
      </c>
      <c r="D159" s="1"/>
      <c r="E159" s="68"/>
      <c r="F159" s="70"/>
      <c r="G159" s="67"/>
      <c r="H159" s="68"/>
      <c r="I159" s="76"/>
      <c r="J159" s="85"/>
      <c r="K159" s="64"/>
      <c r="L159" s="65"/>
      <c r="M159" s="61"/>
      <c r="N159" s="62"/>
      <c r="O159" s="63"/>
      <c r="P159" s="75"/>
      <c r="Q159" s="74" t="s">
        <v>18189</v>
      </c>
      <c r="R159" s="62"/>
      <c r="S159" s="63"/>
      <c r="T159" s="75"/>
      <c r="U159" s="228">
        <f>ROUND((ROUND((_15_同援日６．５*_15・通訳),0)*(1+_15・区４)),0)</f>
        <v>1326</v>
      </c>
      <c r="V159" s="69"/>
    </row>
    <row r="160" spans="1:22" ht="16.5" customHeight="1" x14ac:dyDescent="0.3">
      <c r="A160" s="2">
        <v>15</v>
      </c>
      <c r="B160" s="2" t="s">
        <v>3292</v>
      </c>
      <c r="C160" s="60" t="s">
        <v>13653</v>
      </c>
      <c r="D160" s="1"/>
      <c r="E160" s="68"/>
      <c r="F160" s="70"/>
      <c r="G160" s="67"/>
      <c r="H160" s="68"/>
      <c r="I160" s="76"/>
      <c r="J160" s="83" t="s">
        <v>5895</v>
      </c>
      <c r="K160" s="64" t="s">
        <v>1</v>
      </c>
      <c r="L160" s="65">
        <v>1</v>
      </c>
      <c r="M160" s="66"/>
      <c r="N160" s="57"/>
      <c r="O160" s="58"/>
      <c r="P160" s="77"/>
      <c r="Q160" s="94" t="s">
        <v>18188</v>
      </c>
      <c r="R160" s="68"/>
      <c r="S160" s="76"/>
      <c r="T160" s="70"/>
      <c r="U160" s="228">
        <f>ROUND((ROUND((ROUND((_15_同援日６．５*_15・通訳),0)*_15・２人),0)*(1+_15・区４)),0)</f>
        <v>1326</v>
      </c>
      <c r="V160" s="69"/>
    </row>
    <row r="161" spans="1:22" ht="16.5" customHeight="1" x14ac:dyDescent="0.3">
      <c r="A161" s="2">
        <v>15</v>
      </c>
      <c r="B161" s="2" t="s">
        <v>3293</v>
      </c>
      <c r="C161" s="60" t="s">
        <v>13652</v>
      </c>
      <c r="D161" s="1"/>
      <c r="E161" s="68"/>
      <c r="F161" s="70"/>
      <c r="G161" s="67"/>
      <c r="H161" s="68"/>
      <c r="I161" s="76"/>
      <c r="J161" s="85"/>
      <c r="K161" s="64"/>
      <c r="L161" s="65"/>
      <c r="M161" s="74" t="s">
        <v>18187</v>
      </c>
      <c r="N161" s="62"/>
      <c r="O161" s="63"/>
      <c r="P161" s="75"/>
      <c r="Q161" s="67"/>
      <c r="R161" s="68" t="s">
        <v>1</v>
      </c>
      <c r="S161" s="76">
        <v>0.4</v>
      </c>
      <c r="T161" s="70" t="s">
        <v>422</v>
      </c>
      <c r="U161" s="228">
        <f>ROUND((ROUND((ROUND((_15_同援日６．５*_15・通訳),0)*(1+_15・盲ろう)),0)*(1+_15・区４)),0)</f>
        <v>1658</v>
      </c>
      <c r="V161" s="69"/>
    </row>
    <row r="162" spans="1:22" ht="16.5" customHeight="1" x14ac:dyDescent="0.3">
      <c r="A162" s="2">
        <v>15</v>
      </c>
      <c r="B162" s="2" t="s">
        <v>3294</v>
      </c>
      <c r="C162" s="60" t="s">
        <v>13651</v>
      </c>
      <c r="D162" s="81"/>
      <c r="E162" s="57"/>
      <c r="F162" s="77"/>
      <c r="G162" s="67"/>
      <c r="H162" s="68"/>
      <c r="I162" s="76"/>
      <c r="J162" s="83" t="s">
        <v>5895</v>
      </c>
      <c r="K162" s="64" t="s">
        <v>1</v>
      </c>
      <c r="L162" s="65">
        <v>1</v>
      </c>
      <c r="M162" s="106" t="s">
        <v>18186</v>
      </c>
      <c r="N162" s="57" t="s">
        <v>1</v>
      </c>
      <c r="O162" s="58">
        <v>0.25</v>
      </c>
      <c r="P162" s="77" t="s">
        <v>422</v>
      </c>
      <c r="Q162" s="66"/>
      <c r="R162" s="57"/>
      <c r="S162" s="58"/>
      <c r="T162" s="77"/>
      <c r="U162" s="228">
        <f>ROUND((ROUND((ROUND((ROUND((_15_同援日６．５*_15・通訳),0)*_15・２人),0)*(1+_15・盲ろう)),0)*(1+_15・区４)),0)</f>
        <v>1658</v>
      </c>
      <c r="V162" s="69"/>
    </row>
    <row r="163" spans="1:22" ht="16.5" customHeight="1" x14ac:dyDescent="0.3">
      <c r="A163" s="2">
        <v>15</v>
      </c>
      <c r="B163" s="2" t="s">
        <v>3295</v>
      </c>
      <c r="C163" s="60" t="s">
        <v>13650</v>
      </c>
      <c r="D163" s="233" t="s">
        <v>18217</v>
      </c>
      <c r="E163" s="62"/>
      <c r="F163" s="75"/>
      <c r="G163" s="67"/>
      <c r="H163" s="68"/>
      <c r="I163" s="76"/>
      <c r="J163" s="85"/>
      <c r="K163" s="64"/>
      <c r="L163" s="65"/>
      <c r="M163" s="61"/>
      <c r="N163" s="62"/>
      <c r="O163" s="63"/>
      <c r="P163" s="75"/>
      <c r="Q163" s="61"/>
      <c r="R163" s="62"/>
      <c r="S163" s="63"/>
      <c r="T163" s="75"/>
      <c r="U163" s="228">
        <f>ROUND((_15_同援日７．０*_15・通訳),0)</f>
        <v>1004</v>
      </c>
      <c r="V163" s="69"/>
    </row>
    <row r="164" spans="1:22" ht="16.5" customHeight="1" x14ac:dyDescent="0.3">
      <c r="A164" s="2">
        <v>15</v>
      </c>
      <c r="B164" s="2" t="s">
        <v>3296</v>
      </c>
      <c r="C164" s="60" t="s">
        <v>13649</v>
      </c>
      <c r="D164" s="1" t="s">
        <v>17624</v>
      </c>
      <c r="E164" s="68"/>
      <c r="F164" s="70"/>
      <c r="G164" s="67"/>
      <c r="H164" s="68"/>
      <c r="I164" s="76"/>
      <c r="J164" s="83" t="s">
        <v>5895</v>
      </c>
      <c r="K164" s="64" t="s">
        <v>1</v>
      </c>
      <c r="L164" s="65">
        <v>1</v>
      </c>
      <c r="M164" s="66"/>
      <c r="N164" s="57"/>
      <c r="O164" s="58"/>
      <c r="P164" s="77"/>
      <c r="Q164" s="67"/>
      <c r="R164" s="68"/>
      <c r="S164" s="76"/>
      <c r="T164" s="70"/>
      <c r="U164" s="228">
        <f>ROUND((ROUND((_15_同援日７．０*_15・通訳),0)*_15・２人),0)</f>
        <v>1004</v>
      </c>
      <c r="V164" s="69"/>
    </row>
    <row r="165" spans="1:22" ht="16.5" customHeight="1" x14ac:dyDescent="0.3">
      <c r="A165" s="2">
        <v>15</v>
      </c>
      <c r="B165" s="2" t="s">
        <v>3297</v>
      </c>
      <c r="C165" s="60" t="s">
        <v>13648</v>
      </c>
      <c r="D165" s="1" t="s">
        <v>12591</v>
      </c>
      <c r="E165" s="68"/>
      <c r="F165" s="70"/>
      <c r="G165" s="67"/>
      <c r="H165" s="68"/>
      <c r="I165" s="76"/>
      <c r="J165" s="85"/>
      <c r="K165" s="64"/>
      <c r="L165" s="65"/>
      <c r="M165" s="74" t="s">
        <v>18187</v>
      </c>
      <c r="N165" s="62"/>
      <c r="O165" s="63"/>
      <c r="P165" s="75"/>
      <c r="Q165" s="67"/>
      <c r="R165" s="68"/>
      <c r="S165" s="76"/>
      <c r="T165" s="70"/>
      <c r="U165" s="228">
        <f>ROUND((ROUND((_15_同援日７．０*_15・通訳),0)*(1+_15・盲ろう)),0)</f>
        <v>1255</v>
      </c>
      <c r="V165" s="69"/>
    </row>
    <row r="166" spans="1:22" ht="16.5" customHeight="1" x14ac:dyDescent="0.3">
      <c r="A166" s="2">
        <v>15</v>
      </c>
      <c r="B166" s="2" t="s">
        <v>3298</v>
      </c>
      <c r="C166" s="60" t="s">
        <v>13647</v>
      </c>
      <c r="D166" s="1"/>
      <c r="E166" s="227">
        <v>1115</v>
      </c>
      <c r="F166" s="70" t="s">
        <v>0</v>
      </c>
      <c r="G166" s="67"/>
      <c r="H166" s="68"/>
      <c r="I166" s="76"/>
      <c r="J166" s="83" t="s">
        <v>5895</v>
      </c>
      <c r="K166" s="64" t="s">
        <v>1</v>
      </c>
      <c r="L166" s="65">
        <v>1</v>
      </c>
      <c r="M166" s="106" t="s">
        <v>18186</v>
      </c>
      <c r="N166" s="57" t="s">
        <v>1</v>
      </c>
      <c r="O166" s="58">
        <v>0.25</v>
      </c>
      <c r="P166" s="77" t="s">
        <v>422</v>
      </c>
      <c r="Q166" s="66"/>
      <c r="R166" s="57"/>
      <c r="S166" s="58"/>
      <c r="T166" s="77"/>
      <c r="U166" s="228">
        <f>ROUND((ROUND((ROUND((_15_同援日７．０*_15・通訳),0)*_15・２人),0)*(1+_15・盲ろう)),0)</f>
        <v>1255</v>
      </c>
      <c r="V166" s="69"/>
    </row>
    <row r="167" spans="1:22" ht="16.5" customHeight="1" x14ac:dyDescent="0.3">
      <c r="A167" s="2">
        <v>15</v>
      </c>
      <c r="B167" s="2" t="s">
        <v>3299</v>
      </c>
      <c r="C167" s="60" t="s">
        <v>13646</v>
      </c>
      <c r="D167" s="1"/>
      <c r="E167" s="68"/>
      <c r="F167" s="70"/>
      <c r="G167" s="67"/>
      <c r="H167" s="68"/>
      <c r="I167" s="76"/>
      <c r="J167" s="85"/>
      <c r="K167" s="64"/>
      <c r="L167" s="65"/>
      <c r="M167" s="61"/>
      <c r="N167" s="62"/>
      <c r="O167" s="63"/>
      <c r="P167" s="75"/>
      <c r="Q167" s="74" t="s">
        <v>18190</v>
      </c>
      <c r="R167" s="62"/>
      <c r="S167" s="63"/>
      <c r="T167" s="75"/>
      <c r="U167" s="228">
        <f>ROUND((ROUND((_15_同援日７．０*_15・通訳),0)*(1+_15・区３)),0)</f>
        <v>1205</v>
      </c>
      <c r="V167" s="69"/>
    </row>
    <row r="168" spans="1:22" ht="16.5" customHeight="1" x14ac:dyDescent="0.3">
      <c r="A168" s="2">
        <v>15</v>
      </c>
      <c r="B168" s="2" t="s">
        <v>3300</v>
      </c>
      <c r="C168" s="60" t="s">
        <v>13645</v>
      </c>
      <c r="D168" s="1"/>
      <c r="E168" s="68"/>
      <c r="F168" s="70"/>
      <c r="G168" s="67"/>
      <c r="H168" s="68"/>
      <c r="I168" s="76"/>
      <c r="J168" s="83" t="s">
        <v>5895</v>
      </c>
      <c r="K168" s="64" t="s">
        <v>1</v>
      </c>
      <c r="L168" s="65">
        <v>1</v>
      </c>
      <c r="M168" s="66"/>
      <c r="N168" s="57"/>
      <c r="O168" s="58"/>
      <c r="P168" s="77"/>
      <c r="Q168" s="94" t="s">
        <v>18188</v>
      </c>
      <c r="R168" s="68"/>
      <c r="S168" s="76"/>
      <c r="T168" s="70"/>
      <c r="U168" s="228">
        <f>ROUND((ROUND((ROUND((_15_同援日７．０*_15・通訳),0)*_15・２人),0)*(1+_15・区３)),0)</f>
        <v>1205</v>
      </c>
      <c r="V168" s="69"/>
    </row>
    <row r="169" spans="1:22" ht="16.5" customHeight="1" x14ac:dyDescent="0.3">
      <c r="A169" s="2">
        <v>15</v>
      </c>
      <c r="B169" s="2" t="s">
        <v>3301</v>
      </c>
      <c r="C169" s="60" t="s">
        <v>13644</v>
      </c>
      <c r="D169" s="1"/>
      <c r="E169" s="68"/>
      <c r="F169" s="70"/>
      <c r="G169" s="67"/>
      <c r="H169" s="68"/>
      <c r="I169" s="76"/>
      <c r="J169" s="85"/>
      <c r="K169" s="64"/>
      <c r="L169" s="65"/>
      <c r="M169" s="74" t="s">
        <v>18187</v>
      </c>
      <c r="N169" s="62"/>
      <c r="O169" s="63"/>
      <c r="P169" s="75"/>
      <c r="Q169" s="67"/>
      <c r="R169" s="68" t="s">
        <v>1</v>
      </c>
      <c r="S169" s="76">
        <v>0.2</v>
      </c>
      <c r="T169" s="70" t="s">
        <v>422</v>
      </c>
      <c r="U169" s="228">
        <f>ROUND((ROUND((ROUND((_15_同援日７．０*_15・通訳),0)*(1+_15・盲ろう)),0)*(1+_15・区３)),0)</f>
        <v>1506</v>
      </c>
      <c r="V169" s="69"/>
    </row>
    <row r="170" spans="1:22" ht="16.5" customHeight="1" x14ac:dyDescent="0.3">
      <c r="A170" s="2">
        <v>15</v>
      </c>
      <c r="B170" s="2" t="s">
        <v>3302</v>
      </c>
      <c r="C170" s="60" t="s">
        <v>13643</v>
      </c>
      <c r="D170" s="1"/>
      <c r="E170" s="68"/>
      <c r="F170" s="70"/>
      <c r="G170" s="67"/>
      <c r="H170" s="68"/>
      <c r="I170" s="76"/>
      <c r="J170" s="83" t="s">
        <v>5895</v>
      </c>
      <c r="K170" s="64" t="s">
        <v>1</v>
      </c>
      <c r="L170" s="65">
        <v>1</v>
      </c>
      <c r="M170" s="106" t="s">
        <v>18186</v>
      </c>
      <c r="N170" s="57" t="s">
        <v>1</v>
      </c>
      <c r="O170" s="58">
        <v>0.25</v>
      </c>
      <c r="P170" s="77" t="s">
        <v>422</v>
      </c>
      <c r="Q170" s="66"/>
      <c r="R170" s="57"/>
      <c r="S170" s="58"/>
      <c r="T170" s="77"/>
      <c r="U170" s="228">
        <f>ROUND((ROUND((ROUND((ROUND((_15_同援日７．０*_15・通訳),0)*_15・２人),0)*(1+_15・盲ろう)),0)*(1+_15・区３)),0)</f>
        <v>1506</v>
      </c>
      <c r="V170" s="69"/>
    </row>
    <row r="171" spans="1:22" ht="16.5" customHeight="1" x14ac:dyDescent="0.3">
      <c r="A171" s="2">
        <v>15</v>
      </c>
      <c r="B171" s="2" t="s">
        <v>3303</v>
      </c>
      <c r="C171" s="60" t="s">
        <v>13642</v>
      </c>
      <c r="D171" s="1"/>
      <c r="E171" s="68"/>
      <c r="F171" s="70"/>
      <c r="G171" s="67"/>
      <c r="H171" s="68"/>
      <c r="I171" s="76"/>
      <c r="J171" s="85"/>
      <c r="K171" s="64"/>
      <c r="L171" s="65"/>
      <c r="M171" s="61"/>
      <c r="N171" s="62"/>
      <c r="O171" s="63"/>
      <c r="P171" s="75"/>
      <c r="Q171" s="74" t="s">
        <v>18189</v>
      </c>
      <c r="R171" s="62"/>
      <c r="S171" s="63"/>
      <c r="T171" s="75"/>
      <c r="U171" s="228">
        <f>ROUND((ROUND((_15_同援日７．０*_15・通訳),0)*(1+_15・区４)),0)</f>
        <v>1406</v>
      </c>
      <c r="V171" s="69"/>
    </row>
    <row r="172" spans="1:22" ht="16.5" customHeight="1" x14ac:dyDescent="0.3">
      <c r="A172" s="2">
        <v>15</v>
      </c>
      <c r="B172" s="2" t="s">
        <v>3304</v>
      </c>
      <c r="C172" s="60" t="s">
        <v>13641</v>
      </c>
      <c r="D172" s="1"/>
      <c r="E172" s="68"/>
      <c r="F172" s="70"/>
      <c r="G172" s="67"/>
      <c r="H172" s="68"/>
      <c r="I172" s="76"/>
      <c r="J172" s="83" t="s">
        <v>5895</v>
      </c>
      <c r="K172" s="64" t="s">
        <v>1</v>
      </c>
      <c r="L172" s="65">
        <v>1</v>
      </c>
      <c r="M172" s="66"/>
      <c r="N172" s="57"/>
      <c r="O172" s="58"/>
      <c r="P172" s="77"/>
      <c r="Q172" s="94" t="s">
        <v>18188</v>
      </c>
      <c r="R172" s="68"/>
      <c r="S172" s="76"/>
      <c r="T172" s="70"/>
      <c r="U172" s="228">
        <f>ROUND((ROUND((ROUND((_15_同援日７．０*_15・通訳),0)*_15・２人),0)*(1+_15・区４)),0)</f>
        <v>1406</v>
      </c>
      <c r="V172" s="69"/>
    </row>
    <row r="173" spans="1:22" ht="16.5" customHeight="1" x14ac:dyDescent="0.3">
      <c r="A173" s="2">
        <v>15</v>
      </c>
      <c r="B173" s="2" t="s">
        <v>3305</v>
      </c>
      <c r="C173" s="60" t="s">
        <v>13640</v>
      </c>
      <c r="D173" s="1"/>
      <c r="E173" s="68"/>
      <c r="F173" s="70"/>
      <c r="G173" s="67"/>
      <c r="H173" s="68"/>
      <c r="I173" s="76"/>
      <c r="J173" s="85"/>
      <c r="K173" s="64"/>
      <c r="L173" s="65"/>
      <c r="M173" s="74" t="s">
        <v>18187</v>
      </c>
      <c r="N173" s="62"/>
      <c r="O173" s="63"/>
      <c r="P173" s="75"/>
      <c r="Q173" s="67"/>
      <c r="R173" s="68" t="s">
        <v>1</v>
      </c>
      <c r="S173" s="76">
        <v>0.4</v>
      </c>
      <c r="T173" s="70" t="s">
        <v>422</v>
      </c>
      <c r="U173" s="228">
        <f>ROUND((ROUND((ROUND((_15_同援日７．０*_15・通訳),0)*(1+_15・盲ろう)),0)*(1+_15・区４)),0)</f>
        <v>1757</v>
      </c>
      <c r="V173" s="69"/>
    </row>
    <row r="174" spans="1:22" ht="16.5" customHeight="1" x14ac:dyDescent="0.3">
      <c r="A174" s="2">
        <v>15</v>
      </c>
      <c r="B174" s="2" t="s">
        <v>3306</v>
      </c>
      <c r="C174" s="60" t="s">
        <v>13639</v>
      </c>
      <c r="D174" s="81"/>
      <c r="E174" s="57"/>
      <c r="F174" s="77"/>
      <c r="G174" s="67"/>
      <c r="H174" s="68"/>
      <c r="I174" s="76"/>
      <c r="J174" s="83" t="s">
        <v>5895</v>
      </c>
      <c r="K174" s="64" t="s">
        <v>1</v>
      </c>
      <c r="L174" s="65">
        <v>1</v>
      </c>
      <c r="M174" s="106" t="s">
        <v>18186</v>
      </c>
      <c r="N174" s="57" t="s">
        <v>1</v>
      </c>
      <c r="O174" s="58">
        <v>0.25</v>
      </c>
      <c r="P174" s="77" t="s">
        <v>422</v>
      </c>
      <c r="Q174" s="66"/>
      <c r="R174" s="57"/>
      <c r="S174" s="58"/>
      <c r="T174" s="77"/>
      <c r="U174" s="228">
        <f>ROUND((ROUND((ROUND((ROUND((_15_同援日７．０*_15・通訳),0)*_15・２人),0)*(1+_15・盲ろう)),0)*(1+_15・区４)),0)</f>
        <v>1757</v>
      </c>
      <c r="V174" s="69"/>
    </row>
    <row r="175" spans="1:22" ht="16.5" customHeight="1" x14ac:dyDescent="0.3">
      <c r="A175" s="2">
        <v>15</v>
      </c>
      <c r="B175" s="2" t="s">
        <v>3307</v>
      </c>
      <c r="C175" s="60" t="s">
        <v>13638</v>
      </c>
      <c r="D175" s="233" t="s">
        <v>18216</v>
      </c>
      <c r="E175" s="62"/>
      <c r="F175" s="75"/>
      <c r="G175" s="67"/>
      <c r="H175" s="68"/>
      <c r="I175" s="76"/>
      <c r="J175" s="85"/>
      <c r="K175" s="64"/>
      <c r="L175" s="65"/>
      <c r="M175" s="61"/>
      <c r="N175" s="62"/>
      <c r="O175" s="63"/>
      <c r="P175" s="75"/>
      <c r="Q175" s="61"/>
      <c r="R175" s="62"/>
      <c r="S175" s="63"/>
      <c r="T175" s="75"/>
      <c r="U175" s="228">
        <f>ROUND((_15_同援日７．５*_15・通訳),0)</f>
        <v>1060</v>
      </c>
      <c r="V175" s="69"/>
    </row>
    <row r="176" spans="1:22" ht="16.5" customHeight="1" x14ac:dyDescent="0.3">
      <c r="A176" s="2">
        <v>15</v>
      </c>
      <c r="B176" s="2" t="s">
        <v>3308</v>
      </c>
      <c r="C176" s="60" t="s">
        <v>13637</v>
      </c>
      <c r="D176" s="1" t="s">
        <v>17621</v>
      </c>
      <c r="E176" s="68"/>
      <c r="F176" s="70"/>
      <c r="G176" s="67"/>
      <c r="H176" s="68"/>
      <c r="I176" s="76"/>
      <c r="J176" s="83" t="s">
        <v>5895</v>
      </c>
      <c r="K176" s="64" t="s">
        <v>1</v>
      </c>
      <c r="L176" s="65">
        <v>1</v>
      </c>
      <c r="M176" s="66"/>
      <c r="N176" s="57"/>
      <c r="O176" s="58"/>
      <c r="P176" s="77"/>
      <c r="Q176" s="67"/>
      <c r="R176" s="68"/>
      <c r="S176" s="76"/>
      <c r="T176" s="70"/>
      <c r="U176" s="228">
        <f>ROUND((ROUND((_15_同援日７．５*_15・通訳),0)*_15・２人),0)</f>
        <v>1060</v>
      </c>
      <c r="V176" s="69"/>
    </row>
    <row r="177" spans="1:22" ht="16.5" customHeight="1" x14ac:dyDescent="0.3">
      <c r="A177" s="2">
        <v>15</v>
      </c>
      <c r="B177" s="2" t="s">
        <v>3309</v>
      </c>
      <c r="C177" s="60" t="s">
        <v>13636</v>
      </c>
      <c r="D177" s="1" t="s">
        <v>12566</v>
      </c>
      <c r="E177" s="68"/>
      <c r="F177" s="70"/>
      <c r="G177" s="67"/>
      <c r="H177" s="68"/>
      <c r="I177" s="76"/>
      <c r="J177" s="85"/>
      <c r="K177" s="64"/>
      <c r="L177" s="65"/>
      <c r="M177" s="74" t="s">
        <v>18187</v>
      </c>
      <c r="N177" s="62"/>
      <c r="O177" s="63"/>
      <c r="P177" s="75"/>
      <c r="Q177" s="67"/>
      <c r="R177" s="68"/>
      <c r="S177" s="76"/>
      <c r="T177" s="70"/>
      <c r="U177" s="228">
        <f>ROUND((ROUND((_15_同援日７．５*_15・通訳),0)*(1+_15・盲ろう)),0)</f>
        <v>1325</v>
      </c>
      <c r="V177" s="69"/>
    </row>
    <row r="178" spans="1:22" ht="16.5" customHeight="1" x14ac:dyDescent="0.3">
      <c r="A178" s="2">
        <v>15</v>
      </c>
      <c r="B178" s="2" t="s">
        <v>3310</v>
      </c>
      <c r="C178" s="60" t="s">
        <v>13635</v>
      </c>
      <c r="D178" s="1"/>
      <c r="E178" s="227">
        <v>1178</v>
      </c>
      <c r="F178" s="70" t="s">
        <v>0</v>
      </c>
      <c r="G178" s="67"/>
      <c r="H178" s="68"/>
      <c r="I178" s="76"/>
      <c r="J178" s="83" t="s">
        <v>5895</v>
      </c>
      <c r="K178" s="64" t="s">
        <v>1</v>
      </c>
      <c r="L178" s="65">
        <v>1</v>
      </c>
      <c r="M178" s="106" t="s">
        <v>18186</v>
      </c>
      <c r="N178" s="57" t="s">
        <v>1</v>
      </c>
      <c r="O178" s="58">
        <v>0.25</v>
      </c>
      <c r="P178" s="77" t="s">
        <v>422</v>
      </c>
      <c r="Q178" s="66"/>
      <c r="R178" s="57"/>
      <c r="S178" s="58"/>
      <c r="T178" s="77"/>
      <c r="U178" s="228">
        <f>ROUND((ROUND((ROUND((_15_同援日７．５*_15・通訳),0)*_15・２人),0)*(1+_15・盲ろう)),0)</f>
        <v>1325</v>
      </c>
      <c r="V178" s="69"/>
    </row>
    <row r="179" spans="1:22" ht="16.5" customHeight="1" x14ac:dyDescent="0.3">
      <c r="A179" s="2">
        <v>15</v>
      </c>
      <c r="B179" s="2" t="s">
        <v>3311</v>
      </c>
      <c r="C179" s="60" t="s">
        <v>13634</v>
      </c>
      <c r="D179" s="1"/>
      <c r="E179" s="68"/>
      <c r="F179" s="70"/>
      <c r="G179" s="67"/>
      <c r="H179" s="68"/>
      <c r="I179" s="76"/>
      <c r="J179" s="85"/>
      <c r="K179" s="64"/>
      <c r="L179" s="65"/>
      <c r="M179" s="61"/>
      <c r="N179" s="62"/>
      <c r="O179" s="63"/>
      <c r="P179" s="75"/>
      <c r="Q179" s="74" t="s">
        <v>18190</v>
      </c>
      <c r="R179" s="62"/>
      <c r="S179" s="63"/>
      <c r="T179" s="75"/>
      <c r="U179" s="228">
        <f>ROUND((ROUND((_15_同援日７．５*_15・通訳),0)*(1+_15・区３)),0)</f>
        <v>1272</v>
      </c>
      <c r="V179" s="69"/>
    </row>
    <row r="180" spans="1:22" ht="16.5" customHeight="1" x14ac:dyDescent="0.3">
      <c r="A180" s="2">
        <v>15</v>
      </c>
      <c r="B180" s="2" t="s">
        <v>3312</v>
      </c>
      <c r="C180" s="60" t="s">
        <v>13633</v>
      </c>
      <c r="D180" s="1"/>
      <c r="E180" s="68"/>
      <c r="F180" s="70"/>
      <c r="G180" s="67"/>
      <c r="H180" s="68"/>
      <c r="I180" s="76"/>
      <c r="J180" s="83" t="s">
        <v>5895</v>
      </c>
      <c r="K180" s="64" t="s">
        <v>1</v>
      </c>
      <c r="L180" s="65">
        <v>1</v>
      </c>
      <c r="M180" s="66"/>
      <c r="N180" s="57"/>
      <c r="O180" s="58"/>
      <c r="P180" s="77"/>
      <c r="Q180" s="94" t="s">
        <v>18188</v>
      </c>
      <c r="R180" s="68"/>
      <c r="S180" s="76"/>
      <c r="T180" s="70"/>
      <c r="U180" s="228">
        <f>ROUND((ROUND((ROUND((_15_同援日７．５*_15・通訳),0)*_15・２人),0)*(1+_15・区３)),0)</f>
        <v>1272</v>
      </c>
      <c r="V180" s="69"/>
    </row>
    <row r="181" spans="1:22" ht="16.5" customHeight="1" x14ac:dyDescent="0.3">
      <c r="A181" s="2">
        <v>15</v>
      </c>
      <c r="B181" s="2" t="s">
        <v>3313</v>
      </c>
      <c r="C181" s="60" t="s">
        <v>13632</v>
      </c>
      <c r="D181" s="1"/>
      <c r="E181" s="68"/>
      <c r="F181" s="70"/>
      <c r="G181" s="67"/>
      <c r="H181" s="68"/>
      <c r="I181" s="76"/>
      <c r="J181" s="85"/>
      <c r="K181" s="64"/>
      <c r="L181" s="65"/>
      <c r="M181" s="74" t="s">
        <v>18187</v>
      </c>
      <c r="N181" s="62"/>
      <c r="O181" s="63"/>
      <c r="P181" s="75"/>
      <c r="Q181" s="67"/>
      <c r="R181" s="68" t="s">
        <v>1</v>
      </c>
      <c r="S181" s="76">
        <v>0.2</v>
      </c>
      <c r="T181" s="70" t="s">
        <v>422</v>
      </c>
      <c r="U181" s="228">
        <f>ROUND((ROUND((ROUND((_15_同援日７．５*_15・通訳),0)*(1+_15・盲ろう)),0)*(1+_15・区３)),0)</f>
        <v>1590</v>
      </c>
      <c r="V181" s="69"/>
    </row>
    <row r="182" spans="1:22" ht="16.5" customHeight="1" x14ac:dyDescent="0.3">
      <c r="A182" s="2">
        <v>15</v>
      </c>
      <c r="B182" s="2" t="s">
        <v>3314</v>
      </c>
      <c r="C182" s="60" t="s">
        <v>13631</v>
      </c>
      <c r="D182" s="1"/>
      <c r="E182" s="68"/>
      <c r="F182" s="70"/>
      <c r="G182" s="67"/>
      <c r="H182" s="68"/>
      <c r="I182" s="76"/>
      <c r="J182" s="83" t="s">
        <v>5895</v>
      </c>
      <c r="K182" s="64" t="s">
        <v>1</v>
      </c>
      <c r="L182" s="65">
        <v>1</v>
      </c>
      <c r="M182" s="106" t="s">
        <v>18186</v>
      </c>
      <c r="N182" s="57" t="s">
        <v>1</v>
      </c>
      <c r="O182" s="58">
        <v>0.25</v>
      </c>
      <c r="P182" s="77" t="s">
        <v>422</v>
      </c>
      <c r="Q182" s="66"/>
      <c r="R182" s="57"/>
      <c r="S182" s="58"/>
      <c r="T182" s="77"/>
      <c r="U182" s="228">
        <f>ROUND((ROUND((ROUND((ROUND((_15_同援日７．５*_15・通訳),0)*_15・２人),0)*(1+_15・盲ろう)),0)*(1+_15・区３)),0)</f>
        <v>1590</v>
      </c>
      <c r="V182" s="69"/>
    </row>
    <row r="183" spans="1:22" ht="16.5" customHeight="1" x14ac:dyDescent="0.3">
      <c r="A183" s="2">
        <v>15</v>
      </c>
      <c r="B183" s="2" t="s">
        <v>3315</v>
      </c>
      <c r="C183" s="60" t="s">
        <v>13630</v>
      </c>
      <c r="D183" s="1"/>
      <c r="E183" s="68"/>
      <c r="F183" s="70"/>
      <c r="G183" s="67"/>
      <c r="H183" s="68"/>
      <c r="I183" s="76"/>
      <c r="J183" s="85"/>
      <c r="K183" s="64"/>
      <c r="L183" s="65"/>
      <c r="M183" s="61"/>
      <c r="N183" s="62"/>
      <c r="O183" s="63"/>
      <c r="P183" s="75"/>
      <c r="Q183" s="74" t="s">
        <v>18189</v>
      </c>
      <c r="R183" s="62"/>
      <c r="S183" s="63"/>
      <c r="T183" s="75"/>
      <c r="U183" s="228">
        <f>ROUND((ROUND((_15_同援日７．５*_15・通訳),0)*(1+_15・区４)),0)</f>
        <v>1484</v>
      </c>
      <c r="V183" s="69"/>
    </row>
    <row r="184" spans="1:22" ht="16.5" customHeight="1" x14ac:dyDescent="0.3">
      <c r="A184" s="2">
        <v>15</v>
      </c>
      <c r="B184" s="2" t="s">
        <v>3316</v>
      </c>
      <c r="C184" s="60" t="s">
        <v>13629</v>
      </c>
      <c r="D184" s="1"/>
      <c r="E184" s="68"/>
      <c r="F184" s="70"/>
      <c r="G184" s="67"/>
      <c r="H184" s="68"/>
      <c r="I184" s="76"/>
      <c r="J184" s="83" t="s">
        <v>5895</v>
      </c>
      <c r="K184" s="64" t="s">
        <v>1</v>
      </c>
      <c r="L184" s="65">
        <v>1</v>
      </c>
      <c r="M184" s="66"/>
      <c r="N184" s="57"/>
      <c r="O184" s="58"/>
      <c r="P184" s="77"/>
      <c r="Q184" s="94" t="s">
        <v>18188</v>
      </c>
      <c r="R184" s="68"/>
      <c r="S184" s="76"/>
      <c r="T184" s="70"/>
      <c r="U184" s="228">
        <f>ROUND((ROUND((ROUND((_15_同援日７．５*_15・通訳),0)*_15・２人),0)*(1+_15・区４)),0)</f>
        <v>1484</v>
      </c>
      <c r="V184" s="69"/>
    </row>
    <row r="185" spans="1:22" ht="16.5" customHeight="1" x14ac:dyDescent="0.3">
      <c r="A185" s="2">
        <v>15</v>
      </c>
      <c r="B185" s="2" t="s">
        <v>3317</v>
      </c>
      <c r="C185" s="60" t="s">
        <v>13628</v>
      </c>
      <c r="D185" s="1"/>
      <c r="E185" s="68"/>
      <c r="F185" s="70"/>
      <c r="G185" s="67"/>
      <c r="H185" s="68"/>
      <c r="I185" s="76"/>
      <c r="J185" s="85"/>
      <c r="K185" s="64"/>
      <c r="L185" s="65"/>
      <c r="M185" s="74" t="s">
        <v>18187</v>
      </c>
      <c r="N185" s="62"/>
      <c r="O185" s="63"/>
      <c r="P185" s="75"/>
      <c r="Q185" s="67"/>
      <c r="R185" s="68" t="s">
        <v>1</v>
      </c>
      <c r="S185" s="76">
        <v>0.4</v>
      </c>
      <c r="T185" s="70" t="s">
        <v>422</v>
      </c>
      <c r="U185" s="228">
        <f>ROUND((ROUND((ROUND((_15_同援日７．５*_15・通訳),0)*(1+_15・盲ろう)),0)*(1+_15・区４)),0)</f>
        <v>1855</v>
      </c>
      <c r="V185" s="69"/>
    </row>
    <row r="186" spans="1:22" ht="16.5" customHeight="1" x14ac:dyDescent="0.3">
      <c r="A186" s="2">
        <v>15</v>
      </c>
      <c r="B186" s="2" t="s">
        <v>3318</v>
      </c>
      <c r="C186" s="60" t="s">
        <v>13627</v>
      </c>
      <c r="D186" s="81"/>
      <c r="E186" s="57"/>
      <c r="F186" s="77"/>
      <c r="G186" s="67"/>
      <c r="H186" s="68"/>
      <c r="I186" s="76"/>
      <c r="J186" s="83" t="s">
        <v>5895</v>
      </c>
      <c r="K186" s="64" t="s">
        <v>1</v>
      </c>
      <c r="L186" s="65">
        <v>1</v>
      </c>
      <c r="M186" s="106" t="s">
        <v>18186</v>
      </c>
      <c r="N186" s="57" t="s">
        <v>1</v>
      </c>
      <c r="O186" s="58">
        <v>0.25</v>
      </c>
      <c r="P186" s="77" t="s">
        <v>422</v>
      </c>
      <c r="Q186" s="66"/>
      <c r="R186" s="57"/>
      <c r="S186" s="58"/>
      <c r="T186" s="77"/>
      <c r="U186" s="228">
        <f>ROUND((ROUND((ROUND((ROUND((_15_同援日７．５*_15・通訳),0)*_15・２人),0)*(1+_15・盲ろう)),0)*(1+_15・区４)),0)</f>
        <v>1855</v>
      </c>
      <c r="V186" s="69"/>
    </row>
    <row r="187" spans="1:22" ht="16.5" customHeight="1" x14ac:dyDescent="0.3">
      <c r="A187" s="2">
        <v>15</v>
      </c>
      <c r="B187" s="2" t="s">
        <v>3319</v>
      </c>
      <c r="C187" s="60" t="s">
        <v>13626</v>
      </c>
      <c r="D187" s="233" t="s">
        <v>16301</v>
      </c>
      <c r="E187" s="62"/>
      <c r="F187" s="75"/>
      <c r="G187" s="67"/>
      <c r="H187" s="68"/>
      <c r="I187" s="76"/>
      <c r="J187" s="85"/>
      <c r="K187" s="64"/>
      <c r="L187" s="65"/>
      <c r="M187" s="61"/>
      <c r="N187" s="62"/>
      <c r="O187" s="63"/>
      <c r="P187" s="75"/>
      <c r="Q187" s="61"/>
      <c r="R187" s="62"/>
      <c r="S187" s="63"/>
      <c r="T187" s="75"/>
      <c r="U187" s="228">
        <f>ROUND((_15_同援日８．０*_15・通訳),0)</f>
        <v>1117</v>
      </c>
      <c r="V187" s="69"/>
    </row>
    <row r="188" spans="1:22" ht="16.5" customHeight="1" x14ac:dyDescent="0.3">
      <c r="A188" s="2">
        <v>15</v>
      </c>
      <c r="B188" s="2" t="s">
        <v>3320</v>
      </c>
      <c r="C188" s="60" t="s">
        <v>13625</v>
      </c>
      <c r="D188" s="1" t="s">
        <v>17618</v>
      </c>
      <c r="E188" s="68"/>
      <c r="F188" s="70"/>
      <c r="G188" s="67"/>
      <c r="H188" s="68"/>
      <c r="I188" s="76"/>
      <c r="J188" s="83" t="s">
        <v>5895</v>
      </c>
      <c r="K188" s="64" t="s">
        <v>1</v>
      </c>
      <c r="L188" s="65">
        <v>1</v>
      </c>
      <c r="M188" s="66"/>
      <c r="N188" s="57"/>
      <c r="O188" s="58"/>
      <c r="P188" s="77"/>
      <c r="Q188" s="67"/>
      <c r="R188" s="68"/>
      <c r="S188" s="76"/>
      <c r="T188" s="70"/>
      <c r="U188" s="228">
        <f>ROUND((ROUND((_15_同援日８．０*_15・通訳),0)*_15・２人),0)</f>
        <v>1117</v>
      </c>
      <c r="V188" s="69"/>
    </row>
    <row r="189" spans="1:22" ht="16.5" customHeight="1" x14ac:dyDescent="0.3">
      <c r="A189" s="2">
        <v>15</v>
      </c>
      <c r="B189" s="2" t="s">
        <v>3321</v>
      </c>
      <c r="C189" s="60" t="s">
        <v>13624</v>
      </c>
      <c r="D189" s="1" t="s">
        <v>8232</v>
      </c>
      <c r="E189" s="68"/>
      <c r="F189" s="70"/>
      <c r="G189" s="67"/>
      <c r="H189" s="68"/>
      <c r="I189" s="76"/>
      <c r="J189" s="85"/>
      <c r="K189" s="64"/>
      <c r="L189" s="65"/>
      <c r="M189" s="74" t="s">
        <v>18187</v>
      </c>
      <c r="N189" s="62"/>
      <c r="O189" s="63"/>
      <c r="P189" s="75"/>
      <c r="Q189" s="67"/>
      <c r="R189" s="68"/>
      <c r="S189" s="76"/>
      <c r="T189" s="70"/>
      <c r="U189" s="228">
        <f>ROUND((ROUND((_15_同援日８．０*_15・通訳),0)*(1+_15・盲ろう)),0)</f>
        <v>1396</v>
      </c>
      <c r="V189" s="69"/>
    </row>
    <row r="190" spans="1:22" ht="16.5" customHeight="1" x14ac:dyDescent="0.3">
      <c r="A190" s="2">
        <v>15</v>
      </c>
      <c r="B190" s="2" t="s">
        <v>3322</v>
      </c>
      <c r="C190" s="60" t="s">
        <v>13623</v>
      </c>
      <c r="D190" s="1"/>
      <c r="E190" s="227">
        <v>1241</v>
      </c>
      <c r="F190" s="70" t="s">
        <v>0</v>
      </c>
      <c r="G190" s="67"/>
      <c r="H190" s="68"/>
      <c r="I190" s="76"/>
      <c r="J190" s="83" t="s">
        <v>5895</v>
      </c>
      <c r="K190" s="64" t="s">
        <v>1</v>
      </c>
      <c r="L190" s="65">
        <v>1</v>
      </c>
      <c r="M190" s="106" t="s">
        <v>18186</v>
      </c>
      <c r="N190" s="57" t="s">
        <v>1</v>
      </c>
      <c r="O190" s="58">
        <v>0.25</v>
      </c>
      <c r="P190" s="77" t="s">
        <v>422</v>
      </c>
      <c r="Q190" s="66"/>
      <c r="R190" s="57"/>
      <c r="S190" s="58"/>
      <c r="T190" s="77"/>
      <c r="U190" s="228">
        <f>ROUND((ROUND((ROUND((_15_同援日８．０*_15・通訳),0)*_15・２人),0)*(1+_15・盲ろう)),0)</f>
        <v>1396</v>
      </c>
      <c r="V190" s="69"/>
    </row>
    <row r="191" spans="1:22" ht="16.5" customHeight="1" x14ac:dyDescent="0.3">
      <c r="A191" s="2">
        <v>15</v>
      </c>
      <c r="B191" s="2" t="s">
        <v>3323</v>
      </c>
      <c r="C191" s="60" t="s">
        <v>13622</v>
      </c>
      <c r="D191" s="1"/>
      <c r="E191" s="68"/>
      <c r="F191" s="70"/>
      <c r="G191" s="67"/>
      <c r="H191" s="68"/>
      <c r="I191" s="76"/>
      <c r="J191" s="85"/>
      <c r="K191" s="64"/>
      <c r="L191" s="65"/>
      <c r="M191" s="61"/>
      <c r="N191" s="62"/>
      <c r="O191" s="63"/>
      <c r="P191" s="75"/>
      <c r="Q191" s="74" t="s">
        <v>18190</v>
      </c>
      <c r="R191" s="62"/>
      <c r="S191" s="63"/>
      <c r="T191" s="75"/>
      <c r="U191" s="228">
        <f>ROUND((ROUND((_15_同援日８．０*_15・通訳),0)*(1+_15・区３)),0)</f>
        <v>1340</v>
      </c>
      <c r="V191" s="69"/>
    </row>
    <row r="192" spans="1:22" ht="16.5" customHeight="1" x14ac:dyDescent="0.3">
      <c r="A192" s="2">
        <v>15</v>
      </c>
      <c r="B192" s="2" t="s">
        <v>3324</v>
      </c>
      <c r="C192" s="60" t="s">
        <v>13621</v>
      </c>
      <c r="D192" s="1"/>
      <c r="E192" s="68"/>
      <c r="F192" s="70"/>
      <c r="G192" s="67"/>
      <c r="H192" s="68"/>
      <c r="I192" s="76"/>
      <c r="J192" s="83" t="s">
        <v>5895</v>
      </c>
      <c r="K192" s="64" t="s">
        <v>1</v>
      </c>
      <c r="L192" s="65">
        <v>1</v>
      </c>
      <c r="M192" s="66"/>
      <c r="N192" s="57"/>
      <c r="O192" s="58"/>
      <c r="P192" s="77"/>
      <c r="Q192" s="94" t="s">
        <v>18188</v>
      </c>
      <c r="R192" s="68"/>
      <c r="S192" s="76"/>
      <c r="T192" s="70"/>
      <c r="U192" s="228">
        <f>ROUND((ROUND((ROUND((_15_同援日８．０*_15・通訳),0)*_15・２人),0)*(1+_15・区３)),0)</f>
        <v>1340</v>
      </c>
      <c r="V192" s="69"/>
    </row>
    <row r="193" spans="1:22" ht="16.5" customHeight="1" x14ac:dyDescent="0.3">
      <c r="A193" s="2">
        <v>15</v>
      </c>
      <c r="B193" s="2" t="s">
        <v>3325</v>
      </c>
      <c r="C193" s="60" t="s">
        <v>13620</v>
      </c>
      <c r="D193" s="1"/>
      <c r="E193" s="68"/>
      <c r="F193" s="70"/>
      <c r="G193" s="67"/>
      <c r="H193" s="68"/>
      <c r="I193" s="76"/>
      <c r="J193" s="85"/>
      <c r="K193" s="64"/>
      <c r="L193" s="65"/>
      <c r="M193" s="74" t="s">
        <v>18187</v>
      </c>
      <c r="N193" s="62"/>
      <c r="O193" s="63"/>
      <c r="P193" s="75"/>
      <c r="Q193" s="67"/>
      <c r="R193" s="68" t="s">
        <v>1</v>
      </c>
      <c r="S193" s="76">
        <v>0.2</v>
      </c>
      <c r="T193" s="70" t="s">
        <v>422</v>
      </c>
      <c r="U193" s="228">
        <f>ROUND((ROUND((ROUND((_15_同援日８．０*_15・通訳),0)*(1+_15・盲ろう)),0)*(1+_15・区３)),0)</f>
        <v>1675</v>
      </c>
      <c r="V193" s="69"/>
    </row>
    <row r="194" spans="1:22" ht="16.5" customHeight="1" x14ac:dyDescent="0.3">
      <c r="A194" s="2">
        <v>15</v>
      </c>
      <c r="B194" s="2" t="s">
        <v>3326</v>
      </c>
      <c r="C194" s="60" t="s">
        <v>13619</v>
      </c>
      <c r="D194" s="1"/>
      <c r="E194" s="68"/>
      <c r="F194" s="70"/>
      <c r="G194" s="67"/>
      <c r="H194" s="68"/>
      <c r="I194" s="76"/>
      <c r="J194" s="83" t="s">
        <v>5895</v>
      </c>
      <c r="K194" s="64" t="s">
        <v>1</v>
      </c>
      <c r="L194" s="65">
        <v>1</v>
      </c>
      <c r="M194" s="106" t="s">
        <v>18186</v>
      </c>
      <c r="N194" s="57" t="s">
        <v>1</v>
      </c>
      <c r="O194" s="58">
        <v>0.25</v>
      </c>
      <c r="P194" s="77" t="s">
        <v>422</v>
      </c>
      <c r="Q194" s="66"/>
      <c r="R194" s="57"/>
      <c r="S194" s="58"/>
      <c r="T194" s="77"/>
      <c r="U194" s="228">
        <f>ROUND((ROUND((ROUND((ROUND((_15_同援日８．０*_15・通訳),0)*_15・２人),0)*(1+_15・盲ろう)),0)*(1+_15・区３)),0)</f>
        <v>1675</v>
      </c>
      <c r="V194" s="69"/>
    </row>
    <row r="195" spans="1:22" ht="16.5" customHeight="1" x14ac:dyDescent="0.3">
      <c r="A195" s="2">
        <v>15</v>
      </c>
      <c r="B195" s="2" t="s">
        <v>3327</v>
      </c>
      <c r="C195" s="60" t="s">
        <v>13618</v>
      </c>
      <c r="D195" s="1"/>
      <c r="E195" s="68"/>
      <c r="F195" s="70"/>
      <c r="G195" s="67"/>
      <c r="H195" s="68"/>
      <c r="I195" s="76"/>
      <c r="J195" s="85"/>
      <c r="K195" s="64"/>
      <c r="L195" s="65"/>
      <c r="M195" s="61"/>
      <c r="N195" s="62"/>
      <c r="O195" s="63"/>
      <c r="P195" s="75"/>
      <c r="Q195" s="74" t="s">
        <v>18189</v>
      </c>
      <c r="R195" s="62"/>
      <c r="S195" s="63"/>
      <c r="T195" s="75"/>
      <c r="U195" s="228">
        <f>ROUND((ROUND((_15_同援日８．０*_15・通訳),0)*(1+_15・区４)),0)</f>
        <v>1564</v>
      </c>
      <c r="V195" s="69"/>
    </row>
    <row r="196" spans="1:22" ht="16.5" customHeight="1" x14ac:dyDescent="0.3">
      <c r="A196" s="2">
        <v>15</v>
      </c>
      <c r="B196" s="2" t="s">
        <v>3328</v>
      </c>
      <c r="C196" s="60" t="s">
        <v>13617</v>
      </c>
      <c r="D196" s="1"/>
      <c r="E196" s="68"/>
      <c r="F196" s="70"/>
      <c r="G196" s="67"/>
      <c r="H196" s="68"/>
      <c r="I196" s="76"/>
      <c r="J196" s="83" t="s">
        <v>5895</v>
      </c>
      <c r="K196" s="64" t="s">
        <v>1</v>
      </c>
      <c r="L196" s="65">
        <v>1</v>
      </c>
      <c r="M196" s="66"/>
      <c r="N196" s="57"/>
      <c r="O196" s="58"/>
      <c r="P196" s="77"/>
      <c r="Q196" s="94" t="s">
        <v>18188</v>
      </c>
      <c r="R196" s="68"/>
      <c r="S196" s="76"/>
      <c r="T196" s="70"/>
      <c r="U196" s="228">
        <f>ROUND((ROUND((ROUND((_15_同援日８．０*_15・通訳),0)*_15・２人),0)*(1+_15・区４)),0)</f>
        <v>1564</v>
      </c>
      <c r="V196" s="69"/>
    </row>
    <row r="197" spans="1:22" ht="16.5" customHeight="1" x14ac:dyDescent="0.3">
      <c r="A197" s="2">
        <v>15</v>
      </c>
      <c r="B197" s="2" t="s">
        <v>3329</v>
      </c>
      <c r="C197" s="60" t="s">
        <v>13616</v>
      </c>
      <c r="D197" s="1"/>
      <c r="E197" s="68"/>
      <c r="F197" s="70"/>
      <c r="G197" s="67"/>
      <c r="H197" s="68"/>
      <c r="I197" s="76"/>
      <c r="J197" s="85"/>
      <c r="K197" s="64"/>
      <c r="L197" s="65"/>
      <c r="M197" s="74" t="s">
        <v>18187</v>
      </c>
      <c r="N197" s="62"/>
      <c r="O197" s="63"/>
      <c r="P197" s="75"/>
      <c r="Q197" s="67"/>
      <c r="R197" s="68" t="s">
        <v>1</v>
      </c>
      <c r="S197" s="76">
        <v>0.4</v>
      </c>
      <c r="T197" s="70" t="s">
        <v>422</v>
      </c>
      <c r="U197" s="228">
        <f>ROUND((ROUND((ROUND((_15_同援日８．０*_15・通訳),0)*(1+_15・盲ろう)),0)*(1+_15・区４)),0)</f>
        <v>1954</v>
      </c>
      <c r="V197" s="69"/>
    </row>
    <row r="198" spans="1:22" ht="16.5" customHeight="1" x14ac:dyDescent="0.3">
      <c r="A198" s="2">
        <v>15</v>
      </c>
      <c r="B198" s="2" t="s">
        <v>3330</v>
      </c>
      <c r="C198" s="60" t="s">
        <v>13615</v>
      </c>
      <c r="D198" s="81"/>
      <c r="E198" s="57"/>
      <c r="F198" s="77"/>
      <c r="G198" s="67"/>
      <c r="H198" s="68"/>
      <c r="I198" s="76"/>
      <c r="J198" s="83" t="s">
        <v>5895</v>
      </c>
      <c r="K198" s="64" t="s">
        <v>1</v>
      </c>
      <c r="L198" s="65">
        <v>1</v>
      </c>
      <c r="M198" s="106" t="s">
        <v>18186</v>
      </c>
      <c r="N198" s="57" t="s">
        <v>1</v>
      </c>
      <c r="O198" s="58">
        <v>0.25</v>
      </c>
      <c r="P198" s="77" t="s">
        <v>422</v>
      </c>
      <c r="Q198" s="66"/>
      <c r="R198" s="57"/>
      <c r="S198" s="58"/>
      <c r="T198" s="77"/>
      <c r="U198" s="228">
        <f>ROUND((ROUND((ROUND((ROUND((_15_同援日８．０*_15・通訳),0)*_15・２人),0)*(1+_15・盲ろう)),0)*(1+_15・区４)),0)</f>
        <v>1954</v>
      </c>
      <c r="V198" s="69"/>
    </row>
    <row r="199" spans="1:22" ht="16.5" customHeight="1" x14ac:dyDescent="0.3">
      <c r="A199" s="2">
        <v>15</v>
      </c>
      <c r="B199" s="2" t="s">
        <v>3331</v>
      </c>
      <c r="C199" s="60" t="s">
        <v>13614</v>
      </c>
      <c r="D199" s="233" t="s">
        <v>18215</v>
      </c>
      <c r="E199" s="62"/>
      <c r="F199" s="75"/>
      <c r="G199" s="67"/>
      <c r="H199" s="68"/>
      <c r="I199" s="76"/>
      <c r="J199" s="85"/>
      <c r="K199" s="64"/>
      <c r="L199" s="65"/>
      <c r="M199" s="61"/>
      <c r="N199" s="62"/>
      <c r="O199" s="63"/>
      <c r="P199" s="75"/>
      <c r="Q199" s="61"/>
      <c r="R199" s="62"/>
      <c r="S199" s="63"/>
      <c r="T199" s="75"/>
      <c r="U199" s="228">
        <f>ROUND((_15_同援日８．５*_15・通訳),0)</f>
        <v>1174</v>
      </c>
      <c r="V199" s="69"/>
    </row>
    <row r="200" spans="1:22" ht="16.5" customHeight="1" x14ac:dyDescent="0.3">
      <c r="A200" s="2">
        <v>15</v>
      </c>
      <c r="B200" s="2" t="s">
        <v>3332</v>
      </c>
      <c r="C200" s="60" t="s">
        <v>13613</v>
      </c>
      <c r="D200" s="1" t="s">
        <v>17615</v>
      </c>
      <c r="E200" s="68"/>
      <c r="F200" s="70"/>
      <c r="G200" s="67"/>
      <c r="H200" s="68"/>
      <c r="I200" s="76"/>
      <c r="J200" s="83" t="s">
        <v>5895</v>
      </c>
      <c r="K200" s="64" t="s">
        <v>1</v>
      </c>
      <c r="L200" s="65">
        <v>1</v>
      </c>
      <c r="M200" s="66"/>
      <c r="N200" s="57"/>
      <c r="O200" s="58"/>
      <c r="P200" s="77"/>
      <c r="Q200" s="67"/>
      <c r="R200" s="68"/>
      <c r="S200" s="76"/>
      <c r="T200" s="70"/>
      <c r="U200" s="228">
        <f>ROUND((ROUND((_15_同援日８．５*_15・通訳),0)*_15・２人),0)</f>
        <v>1174</v>
      </c>
      <c r="V200" s="69"/>
    </row>
    <row r="201" spans="1:22" ht="16.5" customHeight="1" x14ac:dyDescent="0.3">
      <c r="A201" s="2">
        <v>15</v>
      </c>
      <c r="B201" s="2" t="s">
        <v>3333</v>
      </c>
      <c r="C201" s="60" t="s">
        <v>13612</v>
      </c>
      <c r="D201" s="1" t="s">
        <v>8207</v>
      </c>
      <c r="E201" s="68"/>
      <c r="F201" s="70"/>
      <c r="G201" s="67"/>
      <c r="H201" s="68"/>
      <c r="I201" s="76"/>
      <c r="J201" s="85"/>
      <c r="K201" s="64"/>
      <c r="L201" s="65"/>
      <c r="M201" s="74" t="s">
        <v>18187</v>
      </c>
      <c r="N201" s="62"/>
      <c r="O201" s="63"/>
      <c r="P201" s="75"/>
      <c r="Q201" s="67"/>
      <c r="R201" s="68"/>
      <c r="S201" s="76"/>
      <c r="T201" s="70"/>
      <c r="U201" s="228">
        <f>ROUND((ROUND((_15_同援日８．５*_15・通訳),0)*(1+_15・盲ろう)),0)</f>
        <v>1468</v>
      </c>
      <c r="V201" s="69"/>
    </row>
    <row r="202" spans="1:22" ht="16.5" customHeight="1" x14ac:dyDescent="0.3">
      <c r="A202" s="2">
        <v>15</v>
      </c>
      <c r="B202" s="2" t="s">
        <v>3334</v>
      </c>
      <c r="C202" s="60" t="s">
        <v>13611</v>
      </c>
      <c r="D202" s="1"/>
      <c r="E202" s="227">
        <v>1304</v>
      </c>
      <c r="F202" s="70" t="s">
        <v>0</v>
      </c>
      <c r="G202" s="67"/>
      <c r="H202" s="68"/>
      <c r="I202" s="76"/>
      <c r="J202" s="83" t="s">
        <v>5895</v>
      </c>
      <c r="K202" s="64" t="s">
        <v>1</v>
      </c>
      <c r="L202" s="65">
        <v>1</v>
      </c>
      <c r="M202" s="106" t="s">
        <v>18186</v>
      </c>
      <c r="N202" s="57" t="s">
        <v>1</v>
      </c>
      <c r="O202" s="58">
        <v>0.25</v>
      </c>
      <c r="P202" s="77" t="s">
        <v>422</v>
      </c>
      <c r="Q202" s="66"/>
      <c r="R202" s="57"/>
      <c r="S202" s="58"/>
      <c r="T202" s="77"/>
      <c r="U202" s="228">
        <f>ROUND((ROUND((ROUND((_15_同援日８．５*_15・通訳),0)*_15・２人),0)*(1+_15・盲ろう)),0)</f>
        <v>1468</v>
      </c>
      <c r="V202" s="69"/>
    </row>
    <row r="203" spans="1:22" ht="16.5" customHeight="1" x14ac:dyDescent="0.3">
      <c r="A203" s="2">
        <v>15</v>
      </c>
      <c r="B203" s="2" t="s">
        <v>3335</v>
      </c>
      <c r="C203" s="60" t="s">
        <v>13610</v>
      </c>
      <c r="D203" s="1"/>
      <c r="E203" s="68"/>
      <c r="F203" s="70"/>
      <c r="G203" s="67"/>
      <c r="H203" s="68"/>
      <c r="I203" s="76"/>
      <c r="J203" s="85"/>
      <c r="K203" s="64"/>
      <c r="L203" s="65"/>
      <c r="M203" s="61"/>
      <c r="N203" s="62"/>
      <c r="O203" s="63"/>
      <c r="P203" s="75"/>
      <c r="Q203" s="74" t="s">
        <v>18190</v>
      </c>
      <c r="R203" s="62"/>
      <c r="S203" s="63"/>
      <c r="T203" s="75"/>
      <c r="U203" s="228">
        <f>ROUND((ROUND((_15_同援日８．５*_15・通訳),0)*(1+_15・区３)),0)</f>
        <v>1409</v>
      </c>
      <c r="V203" s="69"/>
    </row>
    <row r="204" spans="1:22" ht="16.5" customHeight="1" x14ac:dyDescent="0.3">
      <c r="A204" s="2">
        <v>15</v>
      </c>
      <c r="B204" s="2" t="s">
        <v>3336</v>
      </c>
      <c r="C204" s="60" t="s">
        <v>13609</v>
      </c>
      <c r="D204" s="1"/>
      <c r="E204" s="68"/>
      <c r="F204" s="70"/>
      <c r="G204" s="67"/>
      <c r="H204" s="68"/>
      <c r="I204" s="76"/>
      <c r="J204" s="83" t="s">
        <v>5895</v>
      </c>
      <c r="K204" s="64" t="s">
        <v>1</v>
      </c>
      <c r="L204" s="65">
        <v>1</v>
      </c>
      <c r="M204" s="66"/>
      <c r="N204" s="57"/>
      <c r="O204" s="58"/>
      <c r="P204" s="77"/>
      <c r="Q204" s="94" t="s">
        <v>18188</v>
      </c>
      <c r="R204" s="68"/>
      <c r="S204" s="76"/>
      <c r="T204" s="70"/>
      <c r="U204" s="228">
        <f>ROUND((ROUND((ROUND((_15_同援日８．５*_15・通訳),0)*_15・２人),0)*(1+_15・区３)),0)</f>
        <v>1409</v>
      </c>
      <c r="V204" s="69"/>
    </row>
    <row r="205" spans="1:22" ht="16.5" customHeight="1" x14ac:dyDescent="0.3">
      <c r="A205" s="2">
        <v>15</v>
      </c>
      <c r="B205" s="2" t="s">
        <v>3337</v>
      </c>
      <c r="C205" s="60" t="s">
        <v>13608</v>
      </c>
      <c r="D205" s="1"/>
      <c r="E205" s="68"/>
      <c r="F205" s="70"/>
      <c r="G205" s="67"/>
      <c r="H205" s="68"/>
      <c r="I205" s="76"/>
      <c r="J205" s="85"/>
      <c r="K205" s="64"/>
      <c r="L205" s="65"/>
      <c r="M205" s="74" t="s">
        <v>18187</v>
      </c>
      <c r="N205" s="62"/>
      <c r="O205" s="63"/>
      <c r="P205" s="75"/>
      <c r="Q205" s="67"/>
      <c r="R205" s="68" t="s">
        <v>1</v>
      </c>
      <c r="S205" s="76">
        <v>0.2</v>
      </c>
      <c r="T205" s="70" t="s">
        <v>422</v>
      </c>
      <c r="U205" s="228">
        <f>ROUND((ROUND((ROUND((_15_同援日８．５*_15・通訳),0)*(1+_15・盲ろう)),0)*(1+_15・区３)),0)</f>
        <v>1762</v>
      </c>
      <c r="V205" s="69"/>
    </row>
    <row r="206" spans="1:22" ht="16.5" customHeight="1" x14ac:dyDescent="0.3">
      <c r="A206" s="2">
        <v>15</v>
      </c>
      <c r="B206" s="2" t="s">
        <v>3338</v>
      </c>
      <c r="C206" s="60" t="s">
        <v>13607</v>
      </c>
      <c r="D206" s="1"/>
      <c r="E206" s="68"/>
      <c r="F206" s="70"/>
      <c r="G206" s="67"/>
      <c r="H206" s="68"/>
      <c r="I206" s="76"/>
      <c r="J206" s="83" t="s">
        <v>5895</v>
      </c>
      <c r="K206" s="64" t="s">
        <v>1</v>
      </c>
      <c r="L206" s="65">
        <v>1</v>
      </c>
      <c r="M206" s="106" t="s">
        <v>8083</v>
      </c>
      <c r="N206" s="57" t="s">
        <v>1</v>
      </c>
      <c r="O206" s="58">
        <v>0.25</v>
      </c>
      <c r="P206" s="77" t="s">
        <v>422</v>
      </c>
      <c r="Q206" s="66"/>
      <c r="R206" s="57"/>
      <c r="S206" s="58"/>
      <c r="T206" s="77"/>
      <c r="U206" s="228">
        <f>ROUND((ROUND((ROUND((ROUND((_15_同援日８．５*_15・通訳),0)*_15・２人),0)*(1+_15・盲ろう)),0)*(1+_15・区３)),0)</f>
        <v>1762</v>
      </c>
      <c r="V206" s="69"/>
    </row>
    <row r="207" spans="1:22" ht="16.5" customHeight="1" x14ac:dyDescent="0.3">
      <c r="A207" s="2">
        <v>15</v>
      </c>
      <c r="B207" s="2" t="s">
        <v>3339</v>
      </c>
      <c r="C207" s="60" t="s">
        <v>13606</v>
      </c>
      <c r="D207" s="1"/>
      <c r="E207" s="68"/>
      <c r="F207" s="70"/>
      <c r="G207" s="67"/>
      <c r="H207" s="68"/>
      <c r="I207" s="76"/>
      <c r="J207" s="85"/>
      <c r="K207" s="64"/>
      <c r="L207" s="65"/>
      <c r="M207" s="61"/>
      <c r="N207" s="62"/>
      <c r="O207" s="63"/>
      <c r="P207" s="75"/>
      <c r="Q207" s="74" t="s">
        <v>18189</v>
      </c>
      <c r="R207" s="62"/>
      <c r="S207" s="63"/>
      <c r="T207" s="75"/>
      <c r="U207" s="228">
        <f>ROUND((ROUND((_15_同援日８．５*_15・通訳),0)*(1+_15・区４)),0)</f>
        <v>1644</v>
      </c>
      <c r="V207" s="69"/>
    </row>
    <row r="208" spans="1:22" ht="16.5" customHeight="1" x14ac:dyDescent="0.3">
      <c r="A208" s="2">
        <v>15</v>
      </c>
      <c r="B208" s="2" t="s">
        <v>3340</v>
      </c>
      <c r="C208" s="60" t="s">
        <v>13605</v>
      </c>
      <c r="D208" s="1"/>
      <c r="E208" s="68"/>
      <c r="F208" s="70"/>
      <c r="G208" s="67"/>
      <c r="H208" s="68"/>
      <c r="I208" s="76"/>
      <c r="J208" s="83" t="s">
        <v>5895</v>
      </c>
      <c r="K208" s="64" t="s">
        <v>1</v>
      </c>
      <c r="L208" s="65">
        <v>1</v>
      </c>
      <c r="M208" s="66"/>
      <c r="N208" s="57"/>
      <c r="O208" s="58"/>
      <c r="P208" s="77"/>
      <c r="Q208" s="94" t="s">
        <v>18188</v>
      </c>
      <c r="R208" s="68"/>
      <c r="S208" s="76"/>
      <c r="T208" s="70"/>
      <c r="U208" s="228">
        <f>ROUND((ROUND((ROUND((_15_同援日８．５*_15・通訳),0)*_15・２人),0)*(1+_15・区４)),0)</f>
        <v>1644</v>
      </c>
      <c r="V208" s="69"/>
    </row>
    <row r="209" spans="1:22" ht="16.5" customHeight="1" x14ac:dyDescent="0.3">
      <c r="A209" s="2">
        <v>15</v>
      </c>
      <c r="B209" s="2" t="s">
        <v>3341</v>
      </c>
      <c r="C209" s="60" t="s">
        <v>13604</v>
      </c>
      <c r="D209" s="1"/>
      <c r="E209" s="68"/>
      <c r="F209" s="70"/>
      <c r="G209" s="67"/>
      <c r="H209" s="68"/>
      <c r="I209" s="76"/>
      <c r="J209" s="85"/>
      <c r="K209" s="64"/>
      <c r="L209" s="65"/>
      <c r="M209" s="74" t="s">
        <v>18187</v>
      </c>
      <c r="N209" s="62"/>
      <c r="O209" s="63"/>
      <c r="P209" s="75"/>
      <c r="Q209" s="67"/>
      <c r="R209" s="68" t="s">
        <v>1</v>
      </c>
      <c r="S209" s="76">
        <v>0.4</v>
      </c>
      <c r="T209" s="70" t="s">
        <v>422</v>
      </c>
      <c r="U209" s="228">
        <f>ROUND((ROUND((ROUND((_15_同援日８．５*_15・通訳),0)*(1+_15・盲ろう)),0)*(1+_15・区４)),0)</f>
        <v>2055</v>
      </c>
      <c r="V209" s="69"/>
    </row>
    <row r="210" spans="1:22" ht="16.5" customHeight="1" x14ac:dyDescent="0.3">
      <c r="A210" s="2">
        <v>15</v>
      </c>
      <c r="B210" s="2" t="s">
        <v>3342</v>
      </c>
      <c r="C210" s="60" t="s">
        <v>13603</v>
      </c>
      <c r="D210" s="81"/>
      <c r="E210" s="57"/>
      <c r="F210" s="77"/>
      <c r="G210" s="67"/>
      <c r="H210" s="68"/>
      <c r="I210" s="76"/>
      <c r="J210" s="83" t="s">
        <v>5895</v>
      </c>
      <c r="K210" s="64" t="s">
        <v>1</v>
      </c>
      <c r="L210" s="65">
        <v>1</v>
      </c>
      <c r="M210" s="106" t="s">
        <v>18186</v>
      </c>
      <c r="N210" s="57" t="s">
        <v>1</v>
      </c>
      <c r="O210" s="58">
        <v>0.25</v>
      </c>
      <c r="P210" s="77" t="s">
        <v>422</v>
      </c>
      <c r="Q210" s="66"/>
      <c r="R210" s="57"/>
      <c r="S210" s="58"/>
      <c r="T210" s="77"/>
      <c r="U210" s="228">
        <f>ROUND((ROUND((ROUND((ROUND((_15_同援日８．５*_15・通訳),0)*_15・２人),0)*(1+_15・盲ろう)),0)*(1+_15・区４)),0)</f>
        <v>2055</v>
      </c>
      <c r="V210" s="69"/>
    </row>
    <row r="211" spans="1:22" ht="16.5" customHeight="1" x14ac:dyDescent="0.3">
      <c r="A211" s="2">
        <v>15</v>
      </c>
      <c r="B211" s="2" t="s">
        <v>3343</v>
      </c>
      <c r="C211" s="60" t="s">
        <v>13602</v>
      </c>
      <c r="D211" s="233" t="s">
        <v>18214</v>
      </c>
      <c r="E211" s="62"/>
      <c r="F211" s="75"/>
      <c r="G211" s="67"/>
      <c r="H211" s="68"/>
      <c r="I211" s="76"/>
      <c r="J211" s="85"/>
      <c r="K211" s="64"/>
      <c r="L211" s="65"/>
      <c r="M211" s="61"/>
      <c r="N211" s="62"/>
      <c r="O211" s="63"/>
      <c r="P211" s="75"/>
      <c r="Q211" s="61"/>
      <c r="R211" s="62"/>
      <c r="S211" s="63"/>
      <c r="T211" s="75"/>
      <c r="U211" s="228">
        <f>ROUND((_15_同援日９．０*_15・通訳),0)</f>
        <v>1230</v>
      </c>
      <c r="V211" s="69"/>
    </row>
    <row r="212" spans="1:22" ht="16.5" customHeight="1" x14ac:dyDescent="0.3">
      <c r="A212" s="2">
        <v>15</v>
      </c>
      <c r="B212" s="2" t="s">
        <v>3344</v>
      </c>
      <c r="C212" s="60" t="s">
        <v>13601</v>
      </c>
      <c r="D212" s="1" t="s">
        <v>17612</v>
      </c>
      <c r="E212" s="68"/>
      <c r="F212" s="70"/>
      <c r="G212" s="67"/>
      <c r="H212" s="68"/>
      <c r="I212" s="76"/>
      <c r="J212" s="83" t="s">
        <v>5895</v>
      </c>
      <c r="K212" s="64" t="s">
        <v>1</v>
      </c>
      <c r="L212" s="65">
        <v>1</v>
      </c>
      <c r="M212" s="66"/>
      <c r="N212" s="57"/>
      <c r="O212" s="58"/>
      <c r="P212" s="77"/>
      <c r="Q212" s="67"/>
      <c r="R212" s="68"/>
      <c r="S212" s="76"/>
      <c r="T212" s="70"/>
      <c r="U212" s="228">
        <f>ROUND((ROUND((_15_同援日９．０*_15・通訳),0)*_15・２人),0)</f>
        <v>1230</v>
      </c>
      <c r="V212" s="69"/>
    </row>
    <row r="213" spans="1:22" ht="16.5" customHeight="1" x14ac:dyDescent="0.3">
      <c r="A213" s="2">
        <v>15</v>
      </c>
      <c r="B213" s="2" t="s">
        <v>3345</v>
      </c>
      <c r="C213" s="60" t="s">
        <v>13600</v>
      </c>
      <c r="D213" s="1" t="s">
        <v>8182</v>
      </c>
      <c r="E213" s="68"/>
      <c r="F213" s="70"/>
      <c r="G213" s="67"/>
      <c r="H213" s="68"/>
      <c r="I213" s="76"/>
      <c r="J213" s="85"/>
      <c r="K213" s="64"/>
      <c r="L213" s="65"/>
      <c r="M213" s="74" t="s">
        <v>18187</v>
      </c>
      <c r="N213" s="62"/>
      <c r="O213" s="63"/>
      <c r="P213" s="75"/>
      <c r="Q213" s="67"/>
      <c r="R213" s="68"/>
      <c r="S213" s="76"/>
      <c r="T213" s="70"/>
      <c r="U213" s="228">
        <f>ROUND((ROUND((_15_同援日９．０*_15・通訳),0)*(1+_15・盲ろう)),0)</f>
        <v>1538</v>
      </c>
      <c r="V213" s="69"/>
    </row>
    <row r="214" spans="1:22" ht="16.5" customHeight="1" x14ac:dyDescent="0.3">
      <c r="A214" s="2">
        <v>15</v>
      </c>
      <c r="B214" s="2" t="s">
        <v>3346</v>
      </c>
      <c r="C214" s="60" t="s">
        <v>13599</v>
      </c>
      <c r="D214" s="1"/>
      <c r="E214" s="227">
        <v>1367</v>
      </c>
      <c r="F214" s="70" t="s">
        <v>0</v>
      </c>
      <c r="G214" s="67"/>
      <c r="H214" s="68"/>
      <c r="I214" s="76"/>
      <c r="J214" s="83" t="s">
        <v>5895</v>
      </c>
      <c r="K214" s="64" t="s">
        <v>1</v>
      </c>
      <c r="L214" s="65">
        <v>1</v>
      </c>
      <c r="M214" s="106" t="s">
        <v>18186</v>
      </c>
      <c r="N214" s="57" t="s">
        <v>1</v>
      </c>
      <c r="O214" s="58">
        <v>0.25</v>
      </c>
      <c r="P214" s="77" t="s">
        <v>422</v>
      </c>
      <c r="Q214" s="66"/>
      <c r="R214" s="57"/>
      <c r="S214" s="58"/>
      <c r="T214" s="77"/>
      <c r="U214" s="228">
        <f>ROUND((ROUND((ROUND((_15_同援日９．０*_15・通訳),0)*_15・２人),0)*(1+_15・盲ろう)),0)</f>
        <v>1538</v>
      </c>
      <c r="V214" s="69"/>
    </row>
    <row r="215" spans="1:22" ht="16.5" customHeight="1" x14ac:dyDescent="0.3">
      <c r="A215" s="2">
        <v>15</v>
      </c>
      <c r="B215" s="2" t="s">
        <v>3347</v>
      </c>
      <c r="C215" s="60" t="s">
        <v>13598</v>
      </c>
      <c r="D215" s="1"/>
      <c r="E215" s="68"/>
      <c r="F215" s="70"/>
      <c r="G215" s="67"/>
      <c r="H215" s="68"/>
      <c r="I215" s="76"/>
      <c r="J215" s="85"/>
      <c r="K215" s="64"/>
      <c r="L215" s="65"/>
      <c r="M215" s="61"/>
      <c r="N215" s="62"/>
      <c r="O215" s="63"/>
      <c r="P215" s="75"/>
      <c r="Q215" s="74" t="s">
        <v>18190</v>
      </c>
      <c r="R215" s="62"/>
      <c r="S215" s="63"/>
      <c r="T215" s="75"/>
      <c r="U215" s="228">
        <f>ROUND((ROUND((_15_同援日９．０*_15・通訳),0)*(1+_15・区３)),0)</f>
        <v>1476</v>
      </c>
      <c r="V215" s="69"/>
    </row>
    <row r="216" spans="1:22" ht="16.5" customHeight="1" x14ac:dyDescent="0.3">
      <c r="A216" s="2">
        <v>15</v>
      </c>
      <c r="B216" s="2" t="s">
        <v>3348</v>
      </c>
      <c r="C216" s="60" t="s">
        <v>13597</v>
      </c>
      <c r="D216" s="1"/>
      <c r="E216" s="68"/>
      <c r="F216" s="70"/>
      <c r="G216" s="67"/>
      <c r="H216" s="68"/>
      <c r="I216" s="76"/>
      <c r="J216" s="83" t="s">
        <v>5895</v>
      </c>
      <c r="K216" s="64" t="s">
        <v>1</v>
      </c>
      <c r="L216" s="65">
        <v>1</v>
      </c>
      <c r="M216" s="66"/>
      <c r="N216" s="57"/>
      <c r="O216" s="58"/>
      <c r="P216" s="77"/>
      <c r="Q216" s="94" t="s">
        <v>18188</v>
      </c>
      <c r="R216" s="68"/>
      <c r="S216" s="76"/>
      <c r="T216" s="70"/>
      <c r="U216" s="228">
        <f>ROUND((ROUND((ROUND((_15_同援日９．０*_15・通訳),0)*_15・２人),0)*(1+_15・区３)),0)</f>
        <v>1476</v>
      </c>
      <c r="V216" s="69"/>
    </row>
    <row r="217" spans="1:22" ht="16.5" customHeight="1" x14ac:dyDescent="0.3">
      <c r="A217" s="2">
        <v>15</v>
      </c>
      <c r="B217" s="2" t="s">
        <v>3349</v>
      </c>
      <c r="C217" s="60" t="s">
        <v>13596</v>
      </c>
      <c r="D217" s="1"/>
      <c r="E217" s="68"/>
      <c r="F217" s="70"/>
      <c r="G217" s="67"/>
      <c r="H217" s="68"/>
      <c r="I217" s="76"/>
      <c r="J217" s="85"/>
      <c r="K217" s="64"/>
      <c r="L217" s="65"/>
      <c r="M217" s="74" t="s">
        <v>18187</v>
      </c>
      <c r="N217" s="62"/>
      <c r="O217" s="63"/>
      <c r="P217" s="75"/>
      <c r="Q217" s="67"/>
      <c r="R217" s="68" t="s">
        <v>1</v>
      </c>
      <c r="S217" s="76">
        <v>0.2</v>
      </c>
      <c r="T217" s="70" t="s">
        <v>422</v>
      </c>
      <c r="U217" s="228">
        <f>ROUND((ROUND((ROUND((_15_同援日９．０*_15・通訳),0)*(1+_15・盲ろう)),0)*(1+_15・区３)),0)</f>
        <v>1846</v>
      </c>
      <c r="V217" s="69"/>
    </row>
    <row r="218" spans="1:22" ht="16.5" customHeight="1" x14ac:dyDescent="0.3">
      <c r="A218" s="2">
        <v>15</v>
      </c>
      <c r="B218" s="2" t="s">
        <v>3350</v>
      </c>
      <c r="C218" s="60" t="s">
        <v>13595</v>
      </c>
      <c r="D218" s="1"/>
      <c r="E218" s="68"/>
      <c r="F218" s="70"/>
      <c r="G218" s="67"/>
      <c r="H218" s="68"/>
      <c r="I218" s="76"/>
      <c r="J218" s="83" t="s">
        <v>5895</v>
      </c>
      <c r="K218" s="64" t="s">
        <v>1</v>
      </c>
      <c r="L218" s="65">
        <v>1</v>
      </c>
      <c r="M218" s="106" t="s">
        <v>18186</v>
      </c>
      <c r="N218" s="57" t="s">
        <v>1</v>
      </c>
      <c r="O218" s="58">
        <v>0.25</v>
      </c>
      <c r="P218" s="77" t="s">
        <v>422</v>
      </c>
      <c r="Q218" s="66"/>
      <c r="R218" s="57"/>
      <c r="S218" s="58"/>
      <c r="T218" s="77"/>
      <c r="U218" s="228">
        <f>ROUND((ROUND((ROUND((ROUND((_15_同援日９．０*_15・通訳),0)*_15・２人),0)*(1+_15・盲ろう)),0)*(1+_15・区３)),0)</f>
        <v>1846</v>
      </c>
      <c r="V218" s="69"/>
    </row>
    <row r="219" spans="1:22" ht="16.5" customHeight="1" x14ac:dyDescent="0.3">
      <c r="A219" s="2">
        <v>15</v>
      </c>
      <c r="B219" s="2" t="s">
        <v>3351</v>
      </c>
      <c r="C219" s="60" t="s">
        <v>13594</v>
      </c>
      <c r="D219" s="1"/>
      <c r="E219" s="68"/>
      <c r="F219" s="70"/>
      <c r="G219" s="67"/>
      <c r="H219" s="68"/>
      <c r="I219" s="76"/>
      <c r="J219" s="85"/>
      <c r="K219" s="64"/>
      <c r="L219" s="65"/>
      <c r="M219" s="61"/>
      <c r="N219" s="62"/>
      <c r="O219" s="63"/>
      <c r="P219" s="75"/>
      <c r="Q219" s="74" t="s">
        <v>18189</v>
      </c>
      <c r="R219" s="62"/>
      <c r="S219" s="63"/>
      <c r="T219" s="75"/>
      <c r="U219" s="228">
        <f>ROUND((ROUND((_15_同援日９．０*_15・通訳),0)*(1+_15・区４)),0)</f>
        <v>1722</v>
      </c>
      <c r="V219" s="69"/>
    </row>
    <row r="220" spans="1:22" ht="16.5" customHeight="1" x14ac:dyDescent="0.3">
      <c r="A220" s="2">
        <v>15</v>
      </c>
      <c r="B220" s="2" t="s">
        <v>3352</v>
      </c>
      <c r="C220" s="60" t="s">
        <v>13593</v>
      </c>
      <c r="D220" s="1"/>
      <c r="E220" s="68"/>
      <c r="F220" s="70"/>
      <c r="G220" s="67"/>
      <c r="H220" s="68"/>
      <c r="I220" s="76"/>
      <c r="J220" s="83" t="s">
        <v>5895</v>
      </c>
      <c r="K220" s="64" t="s">
        <v>1</v>
      </c>
      <c r="L220" s="65">
        <v>1</v>
      </c>
      <c r="M220" s="66"/>
      <c r="N220" s="57"/>
      <c r="O220" s="58"/>
      <c r="P220" s="77"/>
      <c r="Q220" s="94" t="s">
        <v>18188</v>
      </c>
      <c r="R220" s="68"/>
      <c r="S220" s="76"/>
      <c r="T220" s="70"/>
      <c r="U220" s="228">
        <f>ROUND((ROUND((ROUND((_15_同援日９．０*_15・通訳),0)*_15・２人),0)*(1+_15・区４)),0)</f>
        <v>1722</v>
      </c>
      <c r="V220" s="69"/>
    </row>
    <row r="221" spans="1:22" ht="16.5" customHeight="1" x14ac:dyDescent="0.3">
      <c r="A221" s="2">
        <v>15</v>
      </c>
      <c r="B221" s="2" t="s">
        <v>3353</v>
      </c>
      <c r="C221" s="60" t="s">
        <v>13592</v>
      </c>
      <c r="D221" s="1"/>
      <c r="E221" s="68"/>
      <c r="F221" s="70"/>
      <c r="G221" s="67"/>
      <c r="H221" s="68"/>
      <c r="I221" s="76"/>
      <c r="J221" s="85"/>
      <c r="K221" s="64"/>
      <c r="L221" s="65"/>
      <c r="M221" s="74" t="s">
        <v>18187</v>
      </c>
      <c r="N221" s="62"/>
      <c r="O221" s="63"/>
      <c r="P221" s="75"/>
      <c r="Q221" s="67"/>
      <c r="R221" s="68" t="s">
        <v>1</v>
      </c>
      <c r="S221" s="76">
        <v>0.4</v>
      </c>
      <c r="T221" s="70" t="s">
        <v>422</v>
      </c>
      <c r="U221" s="228">
        <f>ROUND((ROUND((ROUND((_15_同援日９．０*_15・通訳),0)*(1+_15・盲ろう)),0)*(1+_15・区４)),0)</f>
        <v>2153</v>
      </c>
      <c r="V221" s="69"/>
    </row>
    <row r="222" spans="1:22" ht="16.5" customHeight="1" x14ac:dyDescent="0.3">
      <c r="A222" s="2">
        <v>15</v>
      </c>
      <c r="B222" s="2" t="s">
        <v>3354</v>
      </c>
      <c r="C222" s="60" t="s">
        <v>13591</v>
      </c>
      <c r="D222" s="81"/>
      <c r="E222" s="57"/>
      <c r="F222" s="77"/>
      <c r="G222" s="67"/>
      <c r="H222" s="68"/>
      <c r="I222" s="76"/>
      <c r="J222" s="83" t="s">
        <v>5895</v>
      </c>
      <c r="K222" s="64" t="s">
        <v>1</v>
      </c>
      <c r="L222" s="65">
        <v>1</v>
      </c>
      <c r="M222" s="106" t="s">
        <v>18186</v>
      </c>
      <c r="N222" s="57" t="s">
        <v>1</v>
      </c>
      <c r="O222" s="58">
        <v>0.25</v>
      </c>
      <c r="P222" s="77" t="s">
        <v>422</v>
      </c>
      <c r="Q222" s="66"/>
      <c r="R222" s="57"/>
      <c r="S222" s="58"/>
      <c r="T222" s="77"/>
      <c r="U222" s="228">
        <f>ROUND((ROUND((ROUND((ROUND((_15_同援日９．０*_15・通訳),0)*_15・２人),0)*(1+_15・盲ろう)),0)*(1+_15・区４)),0)</f>
        <v>2153</v>
      </c>
      <c r="V222" s="69"/>
    </row>
    <row r="223" spans="1:22" ht="16.5" customHeight="1" x14ac:dyDescent="0.3">
      <c r="A223" s="2">
        <v>15</v>
      </c>
      <c r="B223" s="2" t="s">
        <v>3355</v>
      </c>
      <c r="C223" s="60" t="s">
        <v>13590</v>
      </c>
      <c r="D223" s="233" t="s">
        <v>18213</v>
      </c>
      <c r="E223" s="62"/>
      <c r="F223" s="75"/>
      <c r="G223" s="67"/>
      <c r="H223" s="68"/>
      <c r="I223" s="76"/>
      <c r="J223" s="85"/>
      <c r="K223" s="64"/>
      <c r="L223" s="65"/>
      <c r="M223" s="61"/>
      <c r="N223" s="62"/>
      <c r="O223" s="63"/>
      <c r="P223" s="75"/>
      <c r="Q223" s="61"/>
      <c r="R223" s="62"/>
      <c r="S223" s="63"/>
      <c r="T223" s="75"/>
      <c r="U223" s="228">
        <f>ROUND((_15_同援日９．５*_15・通訳),0)</f>
        <v>1287</v>
      </c>
      <c r="V223" s="69"/>
    </row>
    <row r="224" spans="1:22" ht="16.5" customHeight="1" x14ac:dyDescent="0.3">
      <c r="A224" s="2">
        <v>15</v>
      </c>
      <c r="B224" s="2" t="s">
        <v>3356</v>
      </c>
      <c r="C224" s="60" t="s">
        <v>13589</v>
      </c>
      <c r="D224" s="1" t="s">
        <v>17609</v>
      </c>
      <c r="E224" s="68"/>
      <c r="F224" s="70"/>
      <c r="G224" s="67"/>
      <c r="H224" s="68"/>
      <c r="I224" s="76"/>
      <c r="J224" s="83" t="s">
        <v>5895</v>
      </c>
      <c r="K224" s="64" t="s">
        <v>1</v>
      </c>
      <c r="L224" s="65">
        <v>1</v>
      </c>
      <c r="M224" s="66"/>
      <c r="N224" s="57"/>
      <c r="O224" s="58"/>
      <c r="P224" s="77"/>
      <c r="Q224" s="67"/>
      <c r="R224" s="68"/>
      <c r="S224" s="76"/>
      <c r="T224" s="70"/>
      <c r="U224" s="228">
        <f>ROUND((ROUND((_15_同援日９．５*_15・通訳),0)*_15・２人),0)</f>
        <v>1287</v>
      </c>
      <c r="V224" s="69"/>
    </row>
    <row r="225" spans="1:22" ht="16.5" customHeight="1" x14ac:dyDescent="0.3">
      <c r="A225" s="2">
        <v>15</v>
      </c>
      <c r="B225" s="2" t="s">
        <v>3357</v>
      </c>
      <c r="C225" s="60" t="s">
        <v>13588</v>
      </c>
      <c r="D225" s="1" t="s">
        <v>8157</v>
      </c>
      <c r="E225" s="68"/>
      <c r="F225" s="70"/>
      <c r="G225" s="67"/>
      <c r="H225" s="68"/>
      <c r="I225" s="76"/>
      <c r="J225" s="85"/>
      <c r="K225" s="64"/>
      <c r="L225" s="65"/>
      <c r="M225" s="74" t="s">
        <v>18187</v>
      </c>
      <c r="N225" s="62"/>
      <c r="O225" s="63"/>
      <c r="P225" s="75"/>
      <c r="Q225" s="67"/>
      <c r="R225" s="68"/>
      <c r="S225" s="76"/>
      <c r="T225" s="70"/>
      <c r="U225" s="228">
        <f>ROUND((ROUND((_15_同援日９．５*_15・通訳),0)*(1+_15・盲ろう)),0)</f>
        <v>1609</v>
      </c>
      <c r="V225" s="69"/>
    </row>
    <row r="226" spans="1:22" ht="16.5" customHeight="1" x14ac:dyDescent="0.3">
      <c r="A226" s="2">
        <v>15</v>
      </c>
      <c r="B226" s="2" t="s">
        <v>3358</v>
      </c>
      <c r="C226" s="60" t="s">
        <v>13587</v>
      </c>
      <c r="D226" s="1"/>
      <c r="E226" s="227">
        <v>1430</v>
      </c>
      <c r="F226" s="70" t="s">
        <v>0</v>
      </c>
      <c r="G226" s="67"/>
      <c r="H226" s="68"/>
      <c r="I226" s="76"/>
      <c r="J226" s="83" t="s">
        <v>5895</v>
      </c>
      <c r="K226" s="64" t="s">
        <v>1</v>
      </c>
      <c r="L226" s="65">
        <v>1</v>
      </c>
      <c r="M226" s="106" t="s">
        <v>18186</v>
      </c>
      <c r="N226" s="57" t="s">
        <v>1</v>
      </c>
      <c r="O226" s="58">
        <v>0.25</v>
      </c>
      <c r="P226" s="77" t="s">
        <v>422</v>
      </c>
      <c r="Q226" s="66"/>
      <c r="R226" s="57"/>
      <c r="S226" s="58"/>
      <c r="T226" s="77"/>
      <c r="U226" s="228">
        <f>ROUND((ROUND((ROUND((_15_同援日９．５*_15・通訳),0)*_15・２人),0)*(1+_15・盲ろう)),0)</f>
        <v>1609</v>
      </c>
      <c r="V226" s="69"/>
    </row>
    <row r="227" spans="1:22" ht="16.5" customHeight="1" x14ac:dyDescent="0.3">
      <c r="A227" s="2">
        <v>15</v>
      </c>
      <c r="B227" s="2" t="s">
        <v>3359</v>
      </c>
      <c r="C227" s="60" t="s">
        <v>13586</v>
      </c>
      <c r="D227" s="1"/>
      <c r="E227" s="68"/>
      <c r="F227" s="70"/>
      <c r="G227" s="67"/>
      <c r="H227" s="68"/>
      <c r="I227" s="76"/>
      <c r="J227" s="85"/>
      <c r="K227" s="64"/>
      <c r="L227" s="65"/>
      <c r="M227" s="61"/>
      <c r="N227" s="62"/>
      <c r="O227" s="63"/>
      <c r="P227" s="75"/>
      <c r="Q227" s="74" t="s">
        <v>18190</v>
      </c>
      <c r="R227" s="62"/>
      <c r="S227" s="63"/>
      <c r="T227" s="75"/>
      <c r="U227" s="228">
        <f>ROUND((ROUND((_15_同援日９．５*_15・通訳),0)*(1+_15・区３)),0)</f>
        <v>1544</v>
      </c>
      <c r="V227" s="69"/>
    </row>
    <row r="228" spans="1:22" ht="16.5" customHeight="1" x14ac:dyDescent="0.3">
      <c r="A228" s="2">
        <v>15</v>
      </c>
      <c r="B228" s="2" t="s">
        <v>3360</v>
      </c>
      <c r="C228" s="60" t="s">
        <v>13585</v>
      </c>
      <c r="D228" s="1"/>
      <c r="E228" s="68"/>
      <c r="F228" s="70"/>
      <c r="G228" s="67"/>
      <c r="H228" s="68"/>
      <c r="I228" s="76"/>
      <c r="J228" s="83" t="s">
        <v>5895</v>
      </c>
      <c r="K228" s="64" t="s">
        <v>1</v>
      </c>
      <c r="L228" s="65">
        <v>1</v>
      </c>
      <c r="M228" s="66"/>
      <c r="N228" s="57"/>
      <c r="O228" s="58"/>
      <c r="P228" s="77"/>
      <c r="Q228" s="94" t="s">
        <v>18188</v>
      </c>
      <c r="R228" s="68"/>
      <c r="S228" s="76"/>
      <c r="T228" s="70"/>
      <c r="U228" s="228">
        <f>ROUND((ROUND((ROUND((_15_同援日９．５*_15・通訳),0)*_15・２人),0)*(1+_15・区３)),0)</f>
        <v>1544</v>
      </c>
      <c r="V228" s="69"/>
    </row>
    <row r="229" spans="1:22" ht="16.5" customHeight="1" x14ac:dyDescent="0.3">
      <c r="A229" s="2">
        <v>15</v>
      </c>
      <c r="B229" s="2" t="s">
        <v>3361</v>
      </c>
      <c r="C229" s="60" t="s">
        <v>13584</v>
      </c>
      <c r="D229" s="1"/>
      <c r="E229" s="68"/>
      <c r="F229" s="70"/>
      <c r="G229" s="67"/>
      <c r="H229" s="68"/>
      <c r="I229" s="76"/>
      <c r="J229" s="85"/>
      <c r="K229" s="64"/>
      <c r="L229" s="65"/>
      <c r="M229" s="74" t="s">
        <v>18187</v>
      </c>
      <c r="N229" s="62"/>
      <c r="O229" s="63"/>
      <c r="P229" s="75"/>
      <c r="Q229" s="67"/>
      <c r="R229" s="68" t="s">
        <v>1</v>
      </c>
      <c r="S229" s="76">
        <v>0.2</v>
      </c>
      <c r="T229" s="70" t="s">
        <v>422</v>
      </c>
      <c r="U229" s="228">
        <f>ROUND((ROUND((ROUND((_15_同援日９．５*_15・通訳),0)*(1+_15・盲ろう)),0)*(1+_15・区３)),0)</f>
        <v>1931</v>
      </c>
      <c r="V229" s="69"/>
    </row>
    <row r="230" spans="1:22" ht="16.5" customHeight="1" x14ac:dyDescent="0.3">
      <c r="A230" s="2">
        <v>15</v>
      </c>
      <c r="B230" s="2" t="s">
        <v>3362</v>
      </c>
      <c r="C230" s="60" t="s">
        <v>13583</v>
      </c>
      <c r="D230" s="1"/>
      <c r="E230" s="68"/>
      <c r="F230" s="70"/>
      <c r="G230" s="67"/>
      <c r="H230" s="68"/>
      <c r="I230" s="76"/>
      <c r="J230" s="83" t="s">
        <v>5895</v>
      </c>
      <c r="K230" s="64" t="s">
        <v>1</v>
      </c>
      <c r="L230" s="65">
        <v>1</v>
      </c>
      <c r="M230" s="106" t="s">
        <v>18186</v>
      </c>
      <c r="N230" s="57" t="s">
        <v>1</v>
      </c>
      <c r="O230" s="58">
        <v>0.25</v>
      </c>
      <c r="P230" s="77" t="s">
        <v>422</v>
      </c>
      <c r="Q230" s="66"/>
      <c r="R230" s="57"/>
      <c r="S230" s="58"/>
      <c r="T230" s="77"/>
      <c r="U230" s="228">
        <f>ROUND((ROUND((ROUND((ROUND((_15_同援日９．５*_15・通訳),0)*_15・２人),0)*(1+_15・盲ろう)),0)*(1+_15・区３)),0)</f>
        <v>1931</v>
      </c>
      <c r="V230" s="69"/>
    </row>
    <row r="231" spans="1:22" ht="16.5" customHeight="1" x14ac:dyDescent="0.3">
      <c r="A231" s="2">
        <v>15</v>
      </c>
      <c r="B231" s="2" t="s">
        <v>3363</v>
      </c>
      <c r="C231" s="60" t="s">
        <v>13582</v>
      </c>
      <c r="D231" s="1"/>
      <c r="E231" s="68"/>
      <c r="F231" s="70"/>
      <c r="G231" s="67"/>
      <c r="H231" s="68"/>
      <c r="I231" s="76"/>
      <c r="J231" s="85"/>
      <c r="K231" s="64"/>
      <c r="L231" s="65"/>
      <c r="M231" s="61"/>
      <c r="N231" s="62"/>
      <c r="O231" s="63"/>
      <c r="P231" s="75"/>
      <c r="Q231" s="74" t="s">
        <v>18189</v>
      </c>
      <c r="R231" s="62"/>
      <c r="S231" s="63"/>
      <c r="T231" s="75"/>
      <c r="U231" s="228">
        <f>ROUND((ROUND((_15_同援日９．５*_15・通訳),0)*(1+_15・区４)),0)</f>
        <v>1802</v>
      </c>
      <c r="V231" s="69"/>
    </row>
    <row r="232" spans="1:22" ht="16.5" customHeight="1" x14ac:dyDescent="0.3">
      <c r="A232" s="2">
        <v>15</v>
      </c>
      <c r="B232" s="2" t="s">
        <v>3364</v>
      </c>
      <c r="C232" s="60" t="s">
        <v>13581</v>
      </c>
      <c r="D232" s="1"/>
      <c r="E232" s="68"/>
      <c r="F232" s="70"/>
      <c r="G232" s="67"/>
      <c r="H232" s="68"/>
      <c r="I232" s="76"/>
      <c r="J232" s="83" t="s">
        <v>5895</v>
      </c>
      <c r="K232" s="64" t="s">
        <v>1</v>
      </c>
      <c r="L232" s="65">
        <v>1</v>
      </c>
      <c r="M232" s="66"/>
      <c r="N232" s="57"/>
      <c r="O232" s="58"/>
      <c r="P232" s="77"/>
      <c r="Q232" s="94" t="s">
        <v>18188</v>
      </c>
      <c r="R232" s="68"/>
      <c r="S232" s="76"/>
      <c r="T232" s="70"/>
      <c r="U232" s="228">
        <f>ROUND((ROUND((ROUND((_15_同援日９．５*_15・通訳),0)*_15・２人),0)*(1+_15・区４)),0)</f>
        <v>1802</v>
      </c>
      <c r="V232" s="69"/>
    </row>
    <row r="233" spans="1:22" ht="16.5" customHeight="1" x14ac:dyDescent="0.3">
      <c r="A233" s="2">
        <v>15</v>
      </c>
      <c r="B233" s="2" t="s">
        <v>3365</v>
      </c>
      <c r="C233" s="60" t="s">
        <v>13580</v>
      </c>
      <c r="D233" s="1"/>
      <c r="E233" s="68"/>
      <c r="F233" s="70"/>
      <c r="G233" s="67"/>
      <c r="H233" s="68"/>
      <c r="I233" s="76"/>
      <c r="J233" s="85"/>
      <c r="K233" s="64"/>
      <c r="L233" s="65"/>
      <c r="M233" s="74" t="s">
        <v>18187</v>
      </c>
      <c r="N233" s="62"/>
      <c r="O233" s="63"/>
      <c r="P233" s="75"/>
      <c r="Q233" s="67"/>
      <c r="R233" s="68" t="s">
        <v>1</v>
      </c>
      <c r="S233" s="76">
        <v>0.4</v>
      </c>
      <c r="T233" s="70" t="s">
        <v>422</v>
      </c>
      <c r="U233" s="228">
        <f>ROUND((ROUND((ROUND((_15_同援日９．５*_15・通訳),0)*(1+_15・盲ろう)),0)*(1+_15・区４)),0)</f>
        <v>2253</v>
      </c>
      <c r="V233" s="69"/>
    </row>
    <row r="234" spans="1:22" ht="16.5" customHeight="1" x14ac:dyDescent="0.3">
      <c r="A234" s="2">
        <v>15</v>
      </c>
      <c r="B234" s="2" t="s">
        <v>3366</v>
      </c>
      <c r="C234" s="60" t="s">
        <v>13579</v>
      </c>
      <c r="D234" s="81"/>
      <c r="E234" s="57"/>
      <c r="F234" s="77"/>
      <c r="G234" s="67"/>
      <c r="H234" s="68"/>
      <c r="I234" s="76"/>
      <c r="J234" s="83" t="s">
        <v>5895</v>
      </c>
      <c r="K234" s="64" t="s">
        <v>1</v>
      </c>
      <c r="L234" s="65">
        <v>1</v>
      </c>
      <c r="M234" s="106" t="s">
        <v>18186</v>
      </c>
      <c r="N234" s="57" t="s">
        <v>1</v>
      </c>
      <c r="O234" s="58">
        <v>0.25</v>
      </c>
      <c r="P234" s="77" t="s">
        <v>422</v>
      </c>
      <c r="Q234" s="66"/>
      <c r="R234" s="57"/>
      <c r="S234" s="58"/>
      <c r="T234" s="77"/>
      <c r="U234" s="228">
        <f>ROUND((ROUND((ROUND((ROUND((_15_同援日９．５*_15・通訳),0)*_15・２人),0)*(1+_15・盲ろう)),0)*(1+_15・区４)),0)</f>
        <v>2253</v>
      </c>
      <c r="V234" s="69"/>
    </row>
    <row r="235" spans="1:22" ht="16.5" customHeight="1" x14ac:dyDescent="0.3">
      <c r="A235" s="2">
        <v>15</v>
      </c>
      <c r="B235" s="2" t="s">
        <v>3367</v>
      </c>
      <c r="C235" s="60" t="s">
        <v>13578</v>
      </c>
      <c r="D235" s="233" t="s">
        <v>18212</v>
      </c>
      <c r="E235" s="62"/>
      <c r="F235" s="75"/>
      <c r="G235" s="67"/>
      <c r="H235" s="68"/>
      <c r="I235" s="76"/>
      <c r="J235" s="85"/>
      <c r="K235" s="64"/>
      <c r="L235" s="65"/>
      <c r="M235" s="61"/>
      <c r="N235" s="62"/>
      <c r="O235" s="63"/>
      <c r="P235" s="75"/>
      <c r="Q235" s="61"/>
      <c r="R235" s="62"/>
      <c r="S235" s="63"/>
      <c r="T235" s="75"/>
      <c r="U235" s="228">
        <f>ROUND((_15_同援日１０．０*_15・通訳),0)</f>
        <v>1344</v>
      </c>
      <c r="V235" s="69"/>
    </row>
    <row r="236" spans="1:22" ht="16.5" customHeight="1" x14ac:dyDescent="0.3">
      <c r="A236" s="2">
        <v>15</v>
      </c>
      <c r="B236" s="2" t="s">
        <v>3368</v>
      </c>
      <c r="C236" s="60" t="s">
        <v>13577</v>
      </c>
      <c r="D236" s="1" t="s">
        <v>17606</v>
      </c>
      <c r="E236" s="68"/>
      <c r="F236" s="70"/>
      <c r="G236" s="67"/>
      <c r="H236" s="68"/>
      <c r="I236" s="76"/>
      <c r="J236" s="83" t="s">
        <v>5895</v>
      </c>
      <c r="K236" s="64" t="s">
        <v>1</v>
      </c>
      <c r="L236" s="65">
        <v>1</v>
      </c>
      <c r="M236" s="66"/>
      <c r="N236" s="57"/>
      <c r="O236" s="58"/>
      <c r="P236" s="77"/>
      <c r="Q236" s="67"/>
      <c r="R236" s="68"/>
      <c r="S236" s="76"/>
      <c r="T236" s="70"/>
      <c r="U236" s="228">
        <f>ROUND((ROUND((_15_同援日１０．０*_15・通訳),0)*_15・２人),0)</f>
        <v>1344</v>
      </c>
      <c r="V236" s="69"/>
    </row>
    <row r="237" spans="1:22" ht="16.5" customHeight="1" x14ac:dyDescent="0.3">
      <c r="A237" s="2">
        <v>15</v>
      </c>
      <c r="B237" s="2" t="s">
        <v>3369</v>
      </c>
      <c r="C237" s="60" t="s">
        <v>13576</v>
      </c>
      <c r="D237" s="1" t="s">
        <v>8132</v>
      </c>
      <c r="E237" s="68"/>
      <c r="F237" s="70"/>
      <c r="G237" s="67"/>
      <c r="H237" s="68"/>
      <c r="I237" s="76"/>
      <c r="J237" s="85"/>
      <c r="K237" s="64"/>
      <c r="L237" s="65"/>
      <c r="M237" s="74" t="s">
        <v>18187</v>
      </c>
      <c r="N237" s="62"/>
      <c r="O237" s="63"/>
      <c r="P237" s="75"/>
      <c r="Q237" s="67"/>
      <c r="R237" s="68"/>
      <c r="S237" s="76"/>
      <c r="T237" s="70"/>
      <c r="U237" s="228">
        <f>ROUND((ROUND((_15_同援日１０．０*_15・通訳),0)*(1+_15・盲ろう)),0)</f>
        <v>1680</v>
      </c>
      <c r="V237" s="69"/>
    </row>
    <row r="238" spans="1:22" ht="16.5" customHeight="1" x14ac:dyDescent="0.3">
      <c r="A238" s="2">
        <v>15</v>
      </c>
      <c r="B238" s="2" t="s">
        <v>3370</v>
      </c>
      <c r="C238" s="60" t="s">
        <v>13575</v>
      </c>
      <c r="D238" s="1"/>
      <c r="E238" s="227">
        <v>1493</v>
      </c>
      <c r="F238" s="70" t="s">
        <v>0</v>
      </c>
      <c r="G238" s="67"/>
      <c r="H238" s="68"/>
      <c r="I238" s="76"/>
      <c r="J238" s="83" t="s">
        <v>5895</v>
      </c>
      <c r="K238" s="64" t="s">
        <v>1</v>
      </c>
      <c r="L238" s="65">
        <v>1</v>
      </c>
      <c r="M238" s="106" t="s">
        <v>18186</v>
      </c>
      <c r="N238" s="57" t="s">
        <v>1</v>
      </c>
      <c r="O238" s="58">
        <v>0.25</v>
      </c>
      <c r="P238" s="77" t="s">
        <v>422</v>
      </c>
      <c r="Q238" s="66"/>
      <c r="R238" s="57"/>
      <c r="S238" s="58"/>
      <c r="T238" s="77"/>
      <c r="U238" s="228">
        <f>ROUND((ROUND((ROUND((_15_同援日１０．０*_15・通訳),0)*_15・２人),0)*(1+_15・盲ろう)),0)</f>
        <v>1680</v>
      </c>
      <c r="V238" s="69"/>
    </row>
    <row r="239" spans="1:22" ht="16.5" customHeight="1" x14ac:dyDescent="0.3">
      <c r="A239" s="2">
        <v>15</v>
      </c>
      <c r="B239" s="2" t="s">
        <v>3371</v>
      </c>
      <c r="C239" s="60" t="s">
        <v>13574</v>
      </c>
      <c r="D239" s="1"/>
      <c r="E239" s="68"/>
      <c r="F239" s="70"/>
      <c r="G239" s="67"/>
      <c r="H239" s="68"/>
      <c r="I239" s="76"/>
      <c r="J239" s="85"/>
      <c r="K239" s="64"/>
      <c r="L239" s="65"/>
      <c r="M239" s="61"/>
      <c r="N239" s="62"/>
      <c r="O239" s="63"/>
      <c r="P239" s="75"/>
      <c r="Q239" s="74" t="s">
        <v>8098</v>
      </c>
      <c r="R239" s="62"/>
      <c r="S239" s="63"/>
      <c r="T239" s="75"/>
      <c r="U239" s="228">
        <f>ROUND((ROUND((_15_同援日１０．０*_15・通訳),0)*(1+_15・区３)),0)</f>
        <v>1613</v>
      </c>
      <c r="V239" s="69"/>
    </row>
    <row r="240" spans="1:22" ht="16.5" customHeight="1" x14ac:dyDescent="0.3">
      <c r="A240" s="2">
        <v>15</v>
      </c>
      <c r="B240" s="2" t="s">
        <v>3372</v>
      </c>
      <c r="C240" s="60" t="s">
        <v>13573</v>
      </c>
      <c r="D240" s="1"/>
      <c r="E240" s="68"/>
      <c r="F240" s="70"/>
      <c r="G240" s="67"/>
      <c r="H240" s="68"/>
      <c r="I240" s="76"/>
      <c r="J240" s="83" t="s">
        <v>5895</v>
      </c>
      <c r="K240" s="64" t="s">
        <v>1</v>
      </c>
      <c r="L240" s="65">
        <v>1</v>
      </c>
      <c r="M240" s="66"/>
      <c r="N240" s="57"/>
      <c r="O240" s="58"/>
      <c r="P240" s="77"/>
      <c r="Q240" s="94" t="s">
        <v>18188</v>
      </c>
      <c r="R240" s="68"/>
      <c r="S240" s="76"/>
      <c r="T240" s="70"/>
      <c r="U240" s="228">
        <f>ROUND((ROUND((ROUND((_15_同援日１０．０*_15・通訳),0)*_15・２人),0)*(1+_15・区３)),0)</f>
        <v>1613</v>
      </c>
      <c r="V240" s="69"/>
    </row>
    <row r="241" spans="1:22" ht="16.5" customHeight="1" x14ac:dyDescent="0.3">
      <c r="A241" s="2">
        <v>15</v>
      </c>
      <c r="B241" s="2" t="s">
        <v>3373</v>
      </c>
      <c r="C241" s="60" t="s">
        <v>13572</v>
      </c>
      <c r="D241" s="1"/>
      <c r="E241" s="68"/>
      <c r="F241" s="70"/>
      <c r="G241" s="67"/>
      <c r="H241" s="68"/>
      <c r="I241" s="76"/>
      <c r="J241" s="85"/>
      <c r="K241" s="64"/>
      <c r="L241" s="65"/>
      <c r="M241" s="74" t="s">
        <v>18187</v>
      </c>
      <c r="N241" s="62"/>
      <c r="O241" s="63"/>
      <c r="P241" s="75"/>
      <c r="Q241" s="67"/>
      <c r="R241" s="68" t="s">
        <v>1</v>
      </c>
      <c r="S241" s="76">
        <v>0.2</v>
      </c>
      <c r="T241" s="70" t="s">
        <v>422</v>
      </c>
      <c r="U241" s="228">
        <f>ROUND((ROUND((ROUND((_15_同援日１０．０*_15・通訳),0)*(1+_15・盲ろう)),0)*(1+_15・区３)),0)</f>
        <v>2016</v>
      </c>
      <c r="V241" s="69"/>
    </row>
    <row r="242" spans="1:22" ht="16.5" customHeight="1" x14ac:dyDescent="0.3">
      <c r="A242" s="2">
        <v>15</v>
      </c>
      <c r="B242" s="2" t="s">
        <v>3374</v>
      </c>
      <c r="C242" s="60" t="s">
        <v>13571</v>
      </c>
      <c r="D242" s="1"/>
      <c r="E242" s="68"/>
      <c r="F242" s="70"/>
      <c r="G242" s="67"/>
      <c r="H242" s="68"/>
      <c r="I242" s="76"/>
      <c r="J242" s="83" t="s">
        <v>5895</v>
      </c>
      <c r="K242" s="64" t="s">
        <v>1</v>
      </c>
      <c r="L242" s="65">
        <v>1</v>
      </c>
      <c r="M242" s="106" t="s">
        <v>18186</v>
      </c>
      <c r="N242" s="57" t="s">
        <v>1</v>
      </c>
      <c r="O242" s="58">
        <v>0.25</v>
      </c>
      <c r="P242" s="77" t="s">
        <v>422</v>
      </c>
      <c r="Q242" s="66"/>
      <c r="R242" s="57"/>
      <c r="S242" s="58"/>
      <c r="T242" s="77"/>
      <c r="U242" s="228">
        <f>ROUND((ROUND((ROUND((ROUND((_15_同援日１０．０*_15・通訳),0)*_15・２人),0)*(1+_15・盲ろう)),0)*(1+_15・区３)),0)</f>
        <v>2016</v>
      </c>
      <c r="V242" s="69"/>
    </row>
    <row r="243" spans="1:22" ht="16.5" customHeight="1" x14ac:dyDescent="0.3">
      <c r="A243" s="2">
        <v>15</v>
      </c>
      <c r="B243" s="2" t="s">
        <v>3375</v>
      </c>
      <c r="C243" s="60" t="s">
        <v>13570</v>
      </c>
      <c r="D243" s="1"/>
      <c r="E243" s="68"/>
      <c r="F243" s="70"/>
      <c r="G243" s="67"/>
      <c r="H243" s="68"/>
      <c r="I243" s="76"/>
      <c r="J243" s="85"/>
      <c r="K243" s="64"/>
      <c r="L243" s="65"/>
      <c r="M243" s="61"/>
      <c r="N243" s="62"/>
      <c r="O243" s="63"/>
      <c r="P243" s="75"/>
      <c r="Q243" s="74" t="s">
        <v>18189</v>
      </c>
      <c r="R243" s="62"/>
      <c r="S243" s="63"/>
      <c r="T243" s="75"/>
      <c r="U243" s="228">
        <f>ROUND((ROUND((_15_同援日１０．０*_15・通訳),0)*(1+_15・区４)),0)</f>
        <v>1882</v>
      </c>
      <c r="V243" s="69"/>
    </row>
    <row r="244" spans="1:22" ht="16.5" customHeight="1" x14ac:dyDescent="0.3">
      <c r="A244" s="2">
        <v>15</v>
      </c>
      <c r="B244" s="2" t="s">
        <v>3376</v>
      </c>
      <c r="C244" s="60" t="s">
        <v>13569</v>
      </c>
      <c r="D244" s="1"/>
      <c r="E244" s="68"/>
      <c r="F244" s="70"/>
      <c r="G244" s="67"/>
      <c r="H244" s="68"/>
      <c r="I244" s="76"/>
      <c r="J244" s="83" t="s">
        <v>5895</v>
      </c>
      <c r="K244" s="64" t="s">
        <v>1</v>
      </c>
      <c r="L244" s="65">
        <v>1</v>
      </c>
      <c r="M244" s="66"/>
      <c r="N244" s="57"/>
      <c r="O244" s="58"/>
      <c r="P244" s="77"/>
      <c r="Q244" s="94" t="s">
        <v>18188</v>
      </c>
      <c r="R244" s="68"/>
      <c r="S244" s="76"/>
      <c r="T244" s="70"/>
      <c r="U244" s="228">
        <f>ROUND((ROUND((ROUND((_15_同援日１０．０*_15・通訳),0)*_15・２人),0)*(1+_15・区４)),0)</f>
        <v>1882</v>
      </c>
      <c r="V244" s="69"/>
    </row>
    <row r="245" spans="1:22" ht="16.5" customHeight="1" x14ac:dyDescent="0.3">
      <c r="A245" s="2">
        <v>15</v>
      </c>
      <c r="B245" s="2" t="s">
        <v>3377</v>
      </c>
      <c r="C245" s="60" t="s">
        <v>13568</v>
      </c>
      <c r="D245" s="1"/>
      <c r="E245" s="68"/>
      <c r="F245" s="70"/>
      <c r="G245" s="67"/>
      <c r="H245" s="68"/>
      <c r="I245" s="76"/>
      <c r="J245" s="85"/>
      <c r="K245" s="64"/>
      <c r="L245" s="65"/>
      <c r="M245" s="74" t="s">
        <v>18187</v>
      </c>
      <c r="N245" s="62"/>
      <c r="O245" s="63"/>
      <c r="P245" s="75"/>
      <c r="Q245" s="67"/>
      <c r="R245" s="68" t="s">
        <v>1</v>
      </c>
      <c r="S245" s="76">
        <v>0.4</v>
      </c>
      <c r="T245" s="70" t="s">
        <v>422</v>
      </c>
      <c r="U245" s="228">
        <f>ROUND((ROUND((ROUND((_15_同援日１０．０*_15・通訳),0)*(1+_15・盲ろう)),0)*(1+_15・区４)),0)</f>
        <v>2352</v>
      </c>
      <c r="V245" s="69"/>
    </row>
    <row r="246" spans="1:22" ht="16.5" customHeight="1" x14ac:dyDescent="0.3">
      <c r="A246" s="2">
        <v>15</v>
      </c>
      <c r="B246" s="2" t="s">
        <v>3378</v>
      </c>
      <c r="C246" s="60" t="s">
        <v>13567</v>
      </c>
      <c r="D246" s="81"/>
      <c r="E246" s="57"/>
      <c r="F246" s="77"/>
      <c r="G246" s="67"/>
      <c r="H246" s="68"/>
      <c r="I246" s="76"/>
      <c r="J246" s="83" t="s">
        <v>5895</v>
      </c>
      <c r="K246" s="64" t="s">
        <v>1</v>
      </c>
      <c r="L246" s="65">
        <v>1</v>
      </c>
      <c r="M246" s="106" t="s">
        <v>18186</v>
      </c>
      <c r="N246" s="57" t="s">
        <v>1</v>
      </c>
      <c r="O246" s="58">
        <v>0.25</v>
      </c>
      <c r="P246" s="77" t="s">
        <v>422</v>
      </c>
      <c r="Q246" s="66"/>
      <c r="R246" s="57"/>
      <c r="S246" s="58"/>
      <c r="T246" s="77"/>
      <c r="U246" s="228">
        <f>ROUND((ROUND((ROUND((ROUND((_15_同援日１０．０*_15・通訳),0)*_15・２人),0)*(1+_15・盲ろう)),0)*(1+_15・区４)),0)</f>
        <v>2352</v>
      </c>
      <c r="V246" s="69"/>
    </row>
    <row r="247" spans="1:22" ht="16.5" customHeight="1" x14ac:dyDescent="0.3">
      <c r="A247" s="2">
        <v>15</v>
      </c>
      <c r="B247" s="2" t="s">
        <v>3379</v>
      </c>
      <c r="C247" s="60" t="s">
        <v>13566</v>
      </c>
      <c r="D247" s="233" t="s">
        <v>18211</v>
      </c>
      <c r="E247" s="62"/>
      <c r="F247" s="75"/>
      <c r="G247" s="67"/>
      <c r="H247" s="68"/>
      <c r="I247" s="76"/>
      <c r="J247" s="85"/>
      <c r="K247" s="64"/>
      <c r="L247" s="65"/>
      <c r="M247" s="61"/>
      <c r="N247" s="62"/>
      <c r="O247" s="63"/>
      <c r="P247" s="75"/>
      <c r="Q247" s="61"/>
      <c r="R247" s="62"/>
      <c r="S247" s="63"/>
      <c r="T247" s="75"/>
      <c r="U247" s="120">
        <f>ROUND((_15_同援日１０．５*_15・通訳),0)</f>
        <v>1400</v>
      </c>
      <c r="V247" s="69"/>
    </row>
    <row r="248" spans="1:22" ht="16.5" customHeight="1" x14ac:dyDescent="0.3">
      <c r="A248" s="2">
        <v>15</v>
      </c>
      <c r="B248" s="2" t="s">
        <v>3380</v>
      </c>
      <c r="C248" s="60" t="s">
        <v>13565</v>
      </c>
      <c r="D248" s="1" t="s">
        <v>17603</v>
      </c>
      <c r="E248" s="68"/>
      <c r="F248" s="70"/>
      <c r="G248" s="67"/>
      <c r="H248" s="68"/>
      <c r="I248" s="76"/>
      <c r="J248" s="83" t="s">
        <v>5895</v>
      </c>
      <c r="K248" s="64" t="s">
        <v>1</v>
      </c>
      <c r="L248" s="65">
        <v>1</v>
      </c>
      <c r="M248" s="66"/>
      <c r="N248" s="57"/>
      <c r="O248" s="58"/>
      <c r="P248" s="77"/>
      <c r="Q248" s="67"/>
      <c r="R248" s="68"/>
      <c r="S248" s="76"/>
      <c r="T248" s="70"/>
      <c r="U248" s="120">
        <f>ROUND((ROUND((_15_同援日１０．５*_15・通訳),0)*_15・２人),0)</f>
        <v>1400</v>
      </c>
      <c r="V248" s="69"/>
    </row>
    <row r="249" spans="1:22" ht="16.5" customHeight="1" x14ac:dyDescent="0.3">
      <c r="A249" s="2">
        <v>15</v>
      </c>
      <c r="B249" s="2" t="s">
        <v>3381</v>
      </c>
      <c r="C249" s="60" t="s">
        <v>13564</v>
      </c>
      <c r="D249" s="1" t="s">
        <v>8107</v>
      </c>
      <c r="E249" s="68"/>
      <c r="F249" s="70"/>
      <c r="G249" s="67"/>
      <c r="H249" s="68"/>
      <c r="I249" s="76"/>
      <c r="J249" s="85"/>
      <c r="K249" s="64"/>
      <c r="L249" s="65"/>
      <c r="M249" s="74" t="s">
        <v>18187</v>
      </c>
      <c r="N249" s="62"/>
      <c r="O249" s="63"/>
      <c r="P249" s="75"/>
      <c r="Q249" s="67"/>
      <c r="R249" s="68"/>
      <c r="S249" s="76"/>
      <c r="T249" s="70"/>
      <c r="U249" s="120">
        <f>ROUND((ROUND((_15_同援日１０．５*_15・通訳),0)*(1+_15・盲ろう)),0)</f>
        <v>1750</v>
      </c>
      <c r="V249" s="69"/>
    </row>
    <row r="250" spans="1:22" ht="16.5" customHeight="1" x14ac:dyDescent="0.3">
      <c r="A250" s="2">
        <v>15</v>
      </c>
      <c r="B250" s="2" t="s">
        <v>3382</v>
      </c>
      <c r="C250" s="60" t="s">
        <v>13563</v>
      </c>
      <c r="D250" s="1"/>
      <c r="E250" s="227">
        <v>1556</v>
      </c>
      <c r="F250" s="70" t="s">
        <v>0</v>
      </c>
      <c r="G250" s="67"/>
      <c r="H250" s="68"/>
      <c r="I250" s="76"/>
      <c r="J250" s="83" t="s">
        <v>5895</v>
      </c>
      <c r="K250" s="64" t="s">
        <v>1</v>
      </c>
      <c r="L250" s="65">
        <v>1</v>
      </c>
      <c r="M250" s="106" t="s">
        <v>18186</v>
      </c>
      <c r="N250" s="57" t="s">
        <v>1</v>
      </c>
      <c r="O250" s="58">
        <v>0.25</v>
      </c>
      <c r="P250" s="77" t="s">
        <v>422</v>
      </c>
      <c r="Q250" s="66"/>
      <c r="R250" s="57"/>
      <c r="S250" s="58"/>
      <c r="T250" s="77"/>
      <c r="U250" s="120">
        <f>ROUND((ROUND((ROUND((_15_同援日１０．５*_15・通訳),0)*_15・２人),0)*(1+_15・盲ろう)),0)</f>
        <v>1750</v>
      </c>
      <c r="V250" s="69"/>
    </row>
    <row r="251" spans="1:22" ht="16.5" customHeight="1" x14ac:dyDescent="0.3">
      <c r="A251" s="2">
        <v>15</v>
      </c>
      <c r="B251" s="2" t="s">
        <v>3383</v>
      </c>
      <c r="C251" s="60" t="s">
        <v>13562</v>
      </c>
      <c r="D251" s="1"/>
      <c r="E251" s="68"/>
      <c r="F251" s="70"/>
      <c r="G251" s="67"/>
      <c r="H251" s="68"/>
      <c r="I251" s="76"/>
      <c r="J251" s="85"/>
      <c r="K251" s="64"/>
      <c r="L251" s="65"/>
      <c r="M251" s="61"/>
      <c r="N251" s="62"/>
      <c r="O251" s="63"/>
      <c r="P251" s="75"/>
      <c r="Q251" s="74" t="s">
        <v>18190</v>
      </c>
      <c r="R251" s="62"/>
      <c r="S251" s="63"/>
      <c r="T251" s="75"/>
      <c r="U251" s="120">
        <f>ROUND((ROUND((_15_同援日１０．５*_15・通訳),0)*(1+_15・区３)),0)</f>
        <v>1680</v>
      </c>
      <c r="V251" s="69"/>
    </row>
    <row r="252" spans="1:22" ht="16.5" customHeight="1" x14ac:dyDescent="0.3">
      <c r="A252" s="2">
        <v>15</v>
      </c>
      <c r="B252" s="2" t="s">
        <v>3384</v>
      </c>
      <c r="C252" s="60" t="s">
        <v>13561</v>
      </c>
      <c r="D252" s="1"/>
      <c r="E252" s="68"/>
      <c r="F252" s="70"/>
      <c r="G252" s="67"/>
      <c r="H252" s="68"/>
      <c r="I252" s="76"/>
      <c r="J252" s="83" t="s">
        <v>5895</v>
      </c>
      <c r="K252" s="64" t="s">
        <v>1</v>
      </c>
      <c r="L252" s="65">
        <v>1</v>
      </c>
      <c r="M252" s="66"/>
      <c r="N252" s="57"/>
      <c r="O252" s="58"/>
      <c r="P252" s="77"/>
      <c r="Q252" s="94" t="s">
        <v>18188</v>
      </c>
      <c r="R252" s="68"/>
      <c r="S252" s="76"/>
      <c r="T252" s="70"/>
      <c r="U252" s="120">
        <f>ROUND((ROUND((ROUND((_15_同援日１０．５*_15・通訳),0)*_15・２人),0)*(1+_15・区３)),0)</f>
        <v>1680</v>
      </c>
      <c r="V252" s="69"/>
    </row>
    <row r="253" spans="1:22" ht="16.5" customHeight="1" x14ac:dyDescent="0.3">
      <c r="A253" s="2">
        <v>15</v>
      </c>
      <c r="B253" s="2" t="s">
        <v>3385</v>
      </c>
      <c r="C253" s="60" t="s">
        <v>13560</v>
      </c>
      <c r="D253" s="1"/>
      <c r="E253" s="68"/>
      <c r="F253" s="70"/>
      <c r="G253" s="67"/>
      <c r="H253" s="68"/>
      <c r="I253" s="76"/>
      <c r="J253" s="85"/>
      <c r="K253" s="64"/>
      <c r="L253" s="65"/>
      <c r="M253" s="74" t="s">
        <v>18187</v>
      </c>
      <c r="N253" s="62"/>
      <c r="O253" s="63"/>
      <c r="P253" s="75"/>
      <c r="Q253" s="67"/>
      <c r="R253" s="68" t="s">
        <v>1</v>
      </c>
      <c r="S253" s="76">
        <v>0.2</v>
      </c>
      <c r="T253" s="70" t="s">
        <v>422</v>
      </c>
      <c r="U253" s="120">
        <f>ROUND((ROUND((ROUND((_15_同援日１０．５*_15・通訳),0)*(1+_15・盲ろう)),0)*(1+_15・区３)),0)</f>
        <v>2100</v>
      </c>
      <c r="V253" s="69"/>
    </row>
    <row r="254" spans="1:22" ht="16.5" customHeight="1" x14ac:dyDescent="0.3">
      <c r="A254" s="2">
        <v>15</v>
      </c>
      <c r="B254" s="2" t="s">
        <v>3386</v>
      </c>
      <c r="C254" s="60" t="s">
        <v>13559</v>
      </c>
      <c r="D254" s="1"/>
      <c r="E254" s="68"/>
      <c r="F254" s="70"/>
      <c r="G254" s="67"/>
      <c r="H254" s="68"/>
      <c r="I254" s="76"/>
      <c r="J254" s="83" t="s">
        <v>5895</v>
      </c>
      <c r="K254" s="64" t="s">
        <v>1</v>
      </c>
      <c r="L254" s="65">
        <v>1</v>
      </c>
      <c r="M254" s="106" t="s">
        <v>18186</v>
      </c>
      <c r="N254" s="57" t="s">
        <v>1</v>
      </c>
      <c r="O254" s="58">
        <v>0.25</v>
      </c>
      <c r="P254" s="77" t="s">
        <v>422</v>
      </c>
      <c r="Q254" s="66"/>
      <c r="R254" s="57"/>
      <c r="S254" s="58"/>
      <c r="T254" s="77"/>
      <c r="U254" s="120">
        <f>ROUND((ROUND((ROUND((ROUND((_15_同援日１０．５*_15・通訳),0)*_15・２人),0)*(1+_15・盲ろう)),0)*(1+_15・区３)),0)</f>
        <v>2100</v>
      </c>
      <c r="V254" s="69"/>
    </row>
    <row r="255" spans="1:22" ht="16.5" customHeight="1" x14ac:dyDescent="0.3">
      <c r="A255" s="2">
        <v>15</v>
      </c>
      <c r="B255" s="2" t="s">
        <v>3387</v>
      </c>
      <c r="C255" s="60" t="s">
        <v>13558</v>
      </c>
      <c r="D255" s="1"/>
      <c r="E255" s="68"/>
      <c r="F255" s="70"/>
      <c r="G255" s="67"/>
      <c r="H255" s="68"/>
      <c r="I255" s="76"/>
      <c r="J255" s="85"/>
      <c r="K255" s="64"/>
      <c r="L255" s="65"/>
      <c r="M255" s="61"/>
      <c r="N255" s="62"/>
      <c r="O255" s="63"/>
      <c r="P255" s="75"/>
      <c r="Q255" s="74" t="s">
        <v>18189</v>
      </c>
      <c r="R255" s="62"/>
      <c r="S255" s="63"/>
      <c r="T255" s="75"/>
      <c r="U255" s="120">
        <f>ROUND((ROUND((_15_同援日１０．５*_15・通訳),0)*(1+_15・区４)),0)</f>
        <v>1960</v>
      </c>
      <c r="V255" s="69"/>
    </row>
    <row r="256" spans="1:22" ht="16.5" customHeight="1" x14ac:dyDescent="0.3">
      <c r="A256" s="2">
        <v>15</v>
      </c>
      <c r="B256" s="2" t="s">
        <v>3388</v>
      </c>
      <c r="C256" s="60" t="s">
        <v>13557</v>
      </c>
      <c r="D256" s="1"/>
      <c r="E256" s="68"/>
      <c r="F256" s="70"/>
      <c r="G256" s="67"/>
      <c r="H256" s="68"/>
      <c r="I256" s="76"/>
      <c r="J256" s="83" t="s">
        <v>5895</v>
      </c>
      <c r="K256" s="64" t="s">
        <v>1</v>
      </c>
      <c r="L256" s="65">
        <v>1</v>
      </c>
      <c r="M256" s="66"/>
      <c r="N256" s="57"/>
      <c r="O256" s="58"/>
      <c r="P256" s="77"/>
      <c r="Q256" s="94" t="s">
        <v>18188</v>
      </c>
      <c r="R256" s="68"/>
      <c r="S256" s="76"/>
      <c r="T256" s="70"/>
      <c r="U256" s="120">
        <f>ROUND((ROUND((ROUND((_15_同援日１０．５*_15・通訳),0)*_15・２人),0)*(1+_15・区４)),0)</f>
        <v>1960</v>
      </c>
      <c r="V256" s="69"/>
    </row>
    <row r="257" spans="1:22" ht="16.5" customHeight="1" x14ac:dyDescent="0.3">
      <c r="A257" s="2">
        <v>15</v>
      </c>
      <c r="B257" s="2" t="s">
        <v>3389</v>
      </c>
      <c r="C257" s="60" t="s">
        <v>13556</v>
      </c>
      <c r="D257" s="1"/>
      <c r="E257" s="68"/>
      <c r="F257" s="70"/>
      <c r="G257" s="67"/>
      <c r="H257" s="68"/>
      <c r="I257" s="76"/>
      <c r="J257" s="85"/>
      <c r="K257" s="64"/>
      <c r="L257" s="65"/>
      <c r="M257" s="74" t="s">
        <v>18187</v>
      </c>
      <c r="N257" s="62"/>
      <c r="O257" s="63"/>
      <c r="P257" s="75"/>
      <c r="Q257" s="67"/>
      <c r="R257" s="68" t="s">
        <v>1</v>
      </c>
      <c r="S257" s="76">
        <v>0.4</v>
      </c>
      <c r="T257" s="70" t="s">
        <v>422</v>
      </c>
      <c r="U257" s="120">
        <f>ROUND((ROUND((ROUND((_15_同援日１０．５*_15・通訳),0)*(1+_15・盲ろう)),0)*(1+_15・区４)),0)</f>
        <v>2450</v>
      </c>
      <c r="V257" s="69"/>
    </row>
    <row r="258" spans="1:22" ht="16.5" customHeight="1" x14ac:dyDescent="0.3">
      <c r="A258" s="2">
        <v>15</v>
      </c>
      <c r="B258" s="2" t="s">
        <v>3390</v>
      </c>
      <c r="C258" s="60" t="s">
        <v>13555</v>
      </c>
      <c r="D258" s="81"/>
      <c r="E258" s="57"/>
      <c r="F258" s="77"/>
      <c r="G258" s="66"/>
      <c r="H258" s="57"/>
      <c r="I258" s="58"/>
      <c r="J258" s="83" t="s">
        <v>5895</v>
      </c>
      <c r="K258" s="64" t="s">
        <v>1</v>
      </c>
      <c r="L258" s="65">
        <v>1</v>
      </c>
      <c r="M258" s="106" t="s">
        <v>18186</v>
      </c>
      <c r="N258" s="57" t="s">
        <v>1</v>
      </c>
      <c r="O258" s="58">
        <v>0.25</v>
      </c>
      <c r="P258" s="77" t="s">
        <v>422</v>
      </c>
      <c r="Q258" s="66"/>
      <c r="R258" s="57"/>
      <c r="S258" s="58"/>
      <c r="T258" s="77"/>
      <c r="U258" s="120">
        <f>ROUND((ROUND((ROUND((ROUND((_15_同援日１０．５*_15・通訳),0)*_15・２人),0)*(1+_15・盲ろう)),0)*(1+_15・区４)),0)</f>
        <v>2450</v>
      </c>
      <c r="V258" s="71"/>
    </row>
    <row r="259" spans="1:22" ht="16.5" customHeight="1" x14ac:dyDescent="0.3"/>
    <row r="260" spans="1:2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2" manualBreakCount="2">
    <brk id="102" max="16383" man="1"/>
    <brk id="19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0000"/>
    <pageSetUpPr fitToPage="1"/>
  </sheetPr>
  <dimension ref="A1:X181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0.62890625" style="45" customWidth="1"/>
    <col min="5" max="5" width="4.1015625" style="46" bestFit="1" customWidth="1"/>
    <col min="6" max="6" width="4.734375" style="46" bestFit="1" customWidth="1"/>
    <col min="7" max="7" width="16.62890625" style="46" customWidth="1"/>
    <col min="8" max="8" width="3.1015625" style="46" bestFit="1" customWidth="1"/>
    <col min="9" max="9" width="4.1015625" style="47" bestFit="1" customWidth="1"/>
    <col min="10" max="10" width="26.47265625" style="46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22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18254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 t="s">
        <v>3391</v>
      </c>
      <c r="C7" s="60" t="s">
        <v>13976</v>
      </c>
      <c r="D7" s="233" t="s">
        <v>18253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ROUND((ROUND((_15_同援日０．５*_15・通訳),0)*(1+_15・A早朝)),0)</f>
        <v>208</v>
      </c>
      <c r="X7" s="52" t="s">
        <v>5863</v>
      </c>
    </row>
    <row r="8" spans="1:24" ht="16.5" customHeight="1" x14ac:dyDescent="0.3">
      <c r="A8" s="2">
        <v>15</v>
      </c>
      <c r="B8" s="2" t="s">
        <v>3392</v>
      </c>
      <c r="C8" s="60" t="s">
        <v>13975</v>
      </c>
      <c r="D8" s="1" t="s">
        <v>7928</v>
      </c>
      <c r="E8" s="68"/>
      <c r="F8" s="70"/>
      <c r="G8" s="67"/>
      <c r="H8" s="68"/>
      <c r="I8" s="76"/>
      <c r="J8" s="83" t="s">
        <v>5895</v>
      </c>
      <c r="K8" s="64" t="s">
        <v>1</v>
      </c>
      <c r="L8" s="65">
        <v>1</v>
      </c>
      <c r="M8" s="99"/>
      <c r="N8" s="70"/>
      <c r="O8" s="66"/>
      <c r="P8" s="57"/>
      <c r="Q8" s="58"/>
      <c r="R8" s="77"/>
      <c r="S8" s="67"/>
      <c r="T8" s="68"/>
      <c r="U8" s="76"/>
      <c r="V8" s="70"/>
      <c r="W8" s="120">
        <f>ROUND((ROUND((ROUND((_15_同援日０．５*_15・通訳),0)*_15・２人),0)*(1+_15・A早朝)),0)</f>
        <v>208</v>
      </c>
      <c r="X8" s="69"/>
    </row>
    <row r="9" spans="1:24" ht="16.5" customHeight="1" x14ac:dyDescent="0.3">
      <c r="A9" s="2">
        <v>15</v>
      </c>
      <c r="B9" s="2" t="s">
        <v>3393</v>
      </c>
      <c r="C9" s="60" t="s">
        <v>13974</v>
      </c>
      <c r="D9" s="1"/>
      <c r="E9" s="68"/>
      <c r="F9" s="70"/>
      <c r="G9" s="67"/>
      <c r="H9" s="68"/>
      <c r="I9" s="76"/>
      <c r="J9" s="85"/>
      <c r="K9" s="64"/>
      <c r="L9" s="65"/>
      <c r="M9" s="99"/>
      <c r="N9" s="70"/>
      <c r="O9" s="74" t="s">
        <v>17969</v>
      </c>
      <c r="P9" s="62"/>
      <c r="Q9" s="63"/>
      <c r="R9" s="75"/>
      <c r="S9" s="67"/>
      <c r="T9" s="68"/>
      <c r="U9" s="76"/>
      <c r="V9" s="70"/>
      <c r="W9" s="120">
        <f>ROUND((ROUND((ROUND((_15_同援日０．５*_15・通訳),0)*(1+_15・A早朝)),0)*(1+_15・盲ろう)),0)</f>
        <v>260</v>
      </c>
      <c r="X9" s="69"/>
    </row>
    <row r="10" spans="1:24" ht="16.5" customHeight="1" x14ac:dyDescent="0.3">
      <c r="A10" s="2">
        <v>15</v>
      </c>
      <c r="B10" s="2" t="s">
        <v>3394</v>
      </c>
      <c r="C10" s="60" t="s">
        <v>13973</v>
      </c>
      <c r="D10" s="1"/>
      <c r="E10" s="119">
        <v>184</v>
      </c>
      <c r="F10" s="70" t="s">
        <v>0</v>
      </c>
      <c r="G10" s="67"/>
      <c r="H10" s="68"/>
      <c r="I10" s="76"/>
      <c r="J10" s="83" t="s">
        <v>5895</v>
      </c>
      <c r="K10" s="64" t="s">
        <v>1</v>
      </c>
      <c r="L10" s="65">
        <v>1</v>
      </c>
      <c r="M10" s="99"/>
      <c r="N10" s="70"/>
      <c r="O10" s="106" t="s">
        <v>18232</v>
      </c>
      <c r="P10" s="57" t="s">
        <v>1</v>
      </c>
      <c r="Q10" s="58">
        <v>0.25</v>
      </c>
      <c r="R10" s="77" t="s">
        <v>422</v>
      </c>
      <c r="S10" s="66"/>
      <c r="T10" s="57"/>
      <c r="U10" s="58"/>
      <c r="V10" s="77"/>
      <c r="W10" s="120">
        <f>ROUND((ROUND((ROUND((ROUND((_15_同援日０．５*_15・通訳),0)*_15・２人),0)*(1+_15・A早朝)),0)*(1+_15・盲ろう)),0)</f>
        <v>260</v>
      </c>
      <c r="X10" s="69"/>
    </row>
    <row r="11" spans="1:24" ht="16.5" customHeight="1" x14ac:dyDescent="0.3">
      <c r="A11" s="2">
        <v>15</v>
      </c>
      <c r="B11" s="2" t="s">
        <v>3395</v>
      </c>
      <c r="C11" s="60" t="s">
        <v>13972</v>
      </c>
      <c r="D11" s="1"/>
      <c r="E11" s="68"/>
      <c r="F11" s="70"/>
      <c r="G11" s="67"/>
      <c r="H11" s="68"/>
      <c r="I11" s="76"/>
      <c r="J11" s="85"/>
      <c r="K11" s="64"/>
      <c r="L11" s="65"/>
      <c r="M11" s="99"/>
      <c r="N11" s="70"/>
      <c r="O11" s="61"/>
      <c r="P11" s="62"/>
      <c r="Q11" s="63"/>
      <c r="R11" s="75"/>
      <c r="S11" s="74" t="s">
        <v>18236</v>
      </c>
      <c r="T11" s="62"/>
      <c r="U11" s="63"/>
      <c r="V11" s="75"/>
      <c r="W11" s="120">
        <f>ROUND((ROUND((ROUND((_15_同援日０．５*_15・通訳),0)*(1+_15・A早朝)),0)*(1+_15・区３)),0)</f>
        <v>250</v>
      </c>
      <c r="X11" s="69"/>
    </row>
    <row r="12" spans="1:24" ht="16.5" customHeight="1" x14ac:dyDescent="0.3">
      <c r="A12" s="2">
        <v>15</v>
      </c>
      <c r="B12" s="2" t="s">
        <v>3396</v>
      </c>
      <c r="C12" s="60" t="s">
        <v>13971</v>
      </c>
      <c r="D12" s="1"/>
      <c r="E12" s="68"/>
      <c r="F12" s="70"/>
      <c r="G12" s="1" t="s">
        <v>13802</v>
      </c>
      <c r="H12" s="68"/>
      <c r="I12" s="76"/>
      <c r="J12" s="83" t="s">
        <v>5895</v>
      </c>
      <c r="K12" s="64" t="s">
        <v>1</v>
      </c>
      <c r="L12" s="65">
        <v>1</v>
      </c>
      <c r="M12" s="108" t="s">
        <v>7895</v>
      </c>
      <c r="N12" s="70"/>
      <c r="O12" s="66"/>
      <c r="P12" s="57"/>
      <c r="Q12" s="58"/>
      <c r="R12" s="77"/>
      <c r="S12" s="94" t="s">
        <v>18234</v>
      </c>
      <c r="T12" s="68"/>
      <c r="U12" s="76"/>
      <c r="V12" s="70"/>
      <c r="W12" s="120">
        <f>ROUND((ROUND((ROUND((ROUND((_15_同援日０．５*_15・通訳),0)*_15・２人),0)*(1+_15・A早朝)),0)*(1+_15・区３)),0)</f>
        <v>250</v>
      </c>
      <c r="X12" s="69"/>
    </row>
    <row r="13" spans="1:24" ht="16.5" customHeight="1" x14ac:dyDescent="0.3">
      <c r="A13" s="2">
        <v>15</v>
      </c>
      <c r="B13" s="2" t="s">
        <v>3397</v>
      </c>
      <c r="C13" s="60" t="s">
        <v>13970</v>
      </c>
      <c r="D13" s="1"/>
      <c r="E13" s="68"/>
      <c r="F13" s="70"/>
      <c r="G13" s="94" t="s">
        <v>13800</v>
      </c>
      <c r="H13" s="68" t="s">
        <v>1</v>
      </c>
      <c r="I13" s="76">
        <v>0.9</v>
      </c>
      <c r="J13" s="85"/>
      <c r="K13" s="64"/>
      <c r="L13" s="65"/>
      <c r="M13" s="99"/>
      <c r="N13" s="110" t="s">
        <v>8034</v>
      </c>
      <c r="O13" s="74" t="s">
        <v>18233</v>
      </c>
      <c r="P13" s="62"/>
      <c r="Q13" s="63"/>
      <c r="R13" s="75"/>
      <c r="S13" s="67"/>
      <c r="T13" s="68" t="s">
        <v>1</v>
      </c>
      <c r="U13" s="76">
        <v>0.2</v>
      </c>
      <c r="V13" s="70" t="s">
        <v>422</v>
      </c>
      <c r="W13" s="120">
        <f>ROUND((ROUND((ROUND((ROUND((_15_同援日０．５*_15・通訳),0)*(1+_15・A早朝)),0)*(1+_15・盲ろう)),0)*(1+_15・区３)),0)</f>
        <v>312</v>
      </c>
      <c r="X13" s="69"/>
    </row>
    <row r="14" spans="1:24" ht="16.5" customHeight="1" x14ac:dyDescent="0.3">
      <c r="A14" s="2">
        <v>15</v>
      </c>
      <c r="B14" s="2" t="s">
        <v>3398</v>
      </c>
      <c r="C14" s="60" t="s">
        <v>13969</v>
      </c>
      <c r="D14" s="1"/>
      <c r="E14" s="68"/>
      <c r="F14" s="70"/>
      <c r="G14" s="67"/>
      <c r="H14" s="68"/>
      <c r="I14" s="76"/>
      <c r="J14" s="83" t="s">
        <v>5895</v>
      </c>
      <c r="K14" s="64" t="s">
        <v>1</v>
      </c>
      <c r="L14" s="65">
        <v>1</v>
      </c>
      <c r="M14" s="99"/>
      <c r="N14" s="70"/>
      <c r="O14" s="106" t="s">
        <v>18232</v>
      </c>
      <c r="P14" s="57" t="s">
        <v>1</v>
      </c>
      <c r="Q14" s="58">
        <v>0.25</v>
      </c>
      <c r="R14" s="77" t="s">
        <v>422</v>
      </c>
      <c r="S14" s="66"/>
      <c r="T14" s="57"/>
      <c r="U14" s="58"/>
      <c r="V14" s="77"/>
      <c r="W14" s="120">
        <f>ROUND((ROUND((ROUND((ROUND((ROUND((_15_同援日０．５*_15・通訳),0)*_15・２人),0)*(1+_15・A早朝)),0)*(1+_15・盲ろう)),0)*(1+_15・区３)),0)</f>
        <v>312</v>
      </c>
      <c r="X14" s="69"/>
    </row>
    <row r="15" spans="1:24" ht="16.5" customHeight="1" x14ac:dyDescent="0.3">
      <c r="A15" s="2">
        <v>15</v>
      </c>
      <c r="B15" s="2" t="s">
        <v>3399</v>
      </c>
      <c r="C15" s="60" t="s">
        <v>13968</v>
      </c>
      <c r="D15" s="1"/>
      <c r="E15" s="68"/>
      <c r="F15" s="70"/>
      <c r="G15" s="67"/>
      <c r="H15" s="68"/>
      <c r="I15" s="76"/>
      <c r="J15" s="85"/>
      <c r="K15" s="64"/>
      <c r="L15" s="65"/>
      <c r="M15" s="67" t="s">
        <v>1</v>
      </c>
      <c r="N15" s="93">
        <v>0.25</v>
      </c>
      <c r="O15" s="61"/>
      <c r="P15" s="62"/>
      <c r="Q15" s="63"/>
      <c r="R15" s="75"/>
      <c r="S15" s="74" t="s">
        <v>18235</v>
      </c>
      <c r="T15" s="62"/>
      <c r="U15" s="63"/>
      <c r="V15" s="75"/>
      <c r="W15" s="120">
        <f>ROUND((ROUND((ROUND((_15_同援日０．５*_15・通訳),0)*(1+_15・A早朝)),0)*(1+_15・区４)),0)</f>
        <v>291</v>
      </c>
      <c r="X15" s="69"/>
    </row>
    <row r="16" spans="1:24" ht="16.5" customHeight="1" x14ac:dyDescent="0.3">
      <c r="A16" s="2">
        <v>15</v>
      </c>
      <c r="B16" s="2" t="s">
        <v>3400</v>
      </c>
      <c r="C16" s="60" t="s">
        <v>13967</v>
      </c>
      <c r="D16" s="1"/>
      <c r="E16" s="68"/>
      <c r="F16" s="70"/>
      <c r="G16" s="67"/>
      <c r="H16" s="68"/>
      <c r="I16" s="76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6"/>
      <c r="P16" s="57"/>
      <c r="Q16" s="58"/>
      <c r="R16" s="77"/>
      <c r="S16" s="94" t="s">
        <v>18247</v>
      </c>
      <c r="T16" s="68"/>
      <c r="U16" s="76"/>
      <c r="V16" s="70"/>
      <c r="W16" s="120">
        <f>ROUND((ROUND((ROUND((ROUND((_15_同援日０．５*_15・通訳),0)*_15・２人),0)*(1+_15・A早朝)),0)*(1+_15・区４)),0)</f>
        <v>291</v>
      </c>
      <c r="X16" s="69"/>
    </row>
    <row r="17" spans="1:24" ht="16.5" customHeight="1" x14ac:dyDescent="0.3">
      <c r="A17" s="2">
        <v>15</v>
      </c>
      <c r="B17" s="2" t="s">
        <v>3401</v>
      </c>
      <c r="C17" s="60" t="s">
        <v>13966</v>
      </c>
      <c r="D17" s="1"/>
      <c r="E17" s="68"/>
      <c r="F17" s="70"/>
      <c r="G17" s="67"/>
      <c r="H17" s="68"/>
      <c r="I17" s="76"/>
      <c r="J17" s="85"/>
      <c r="K17" s="64"/>
      <c r="L17" s="65"/>
      <c r="M17" s="99"/>
      <c r="N17" s="70"/>
      <c r="O17" s="74" t="s">
        <v>18233</v>
      </c>
      <c r="P17" s="62"/>
      <c r="Q17" s="63"/>
      <c r="R17" s="75"/>
      <c r="S17" s="67"/>
      <c r="T17" s="68" t="s">
        <v>1</v>
      </c>
      <c r="U17" s="76">
        <v>0.4</v>
      </c>
      <c r="V17" s="70" t="s">
        <v>422</v>
      </c>
      <c r="W17" s="120">
        <f>ROUND((ROUND((ROUND((ROUND((_15_同援日０．５*_15・通訳),0)*(1+_15・A早朝)),0)*(1+_15・盲ろう)),0)*(1+_15・区４)),0)</f>
        <v>364</v>
      </c>
      <c r="X17" s="69"/>
    </row>
    <row r="18" spans="1:24" ht="16.5" customHeight="1" x14ac:dyDescent="0.3">
      <c r="A18" s="2">
        <v>15</v>
      </c>
      <c r="B18" s="2" t="s">
        <v>3402</v>
      </c>
      <c r="C18" s="60" t="s">
        <v>13965</v>
      </c>
      <c r="D18" s="81"/>
      <c r="E18" s="57"/>
      <c r="F18" s="77"/>
      <c r="G18" s="67"/>
      <c r="H18" s="68"/>
      <c r="I18" s="76"/>
      <c r="J18" s="83" t="s">
        <v>5895</v>
      </c>
      <c r="K18" s="64" t="s">
        <v>1</v>
      </c>
      <c r="L18" s="65">
        <v>1</v>
      </c>
      <c r="M18" s="99"/>
      <c r="N18" s="70"/>
      <c r="O18" s="106" t="s">
        <v>18252</v>
      </c>
      <c r="P18" s="57" t="s">
        <v>1</v>
      </c>
      <c r="Q18" s="58">
        <v>0.25</v>
      </c>
      <c r="R18" s="77" t="s">
        <v>422</v>
      </c>
      <c r="S18" s="66"/>
      <c r="T18" s="57"/>
      <c r="U18" s="58"/>
      <c r="V18" s="77"/>
      <c r="W18" s="120">
        <f>ROUND((ROUND((ROUND((ROUND((ROUND((_15_同援日０．５*_15・通訳),0)*_15・２人),0)*(1+_15・A早朝)),0)*(1+_15・盲ろう)),0)*(1+_15・区４)),0)</f>
        <v>364</v>
      </c>
      <c r="X18" s="69"/>
    </row>
    <row r="19" spans="1:24" ht="16.5" customHeight="1" x14ac:dyDescent="0.3">
      <c r="A19" s="2">
        <v>15</v>
      </c>
      <c r="B19" s="2" t="s">
        <v>3403</v>
      </c>
      <c r="C19" s="60" t="s">
        <v>13964</v>
      </c>
      <c r="D19" s="233" t="s">
        <v>18251</v>
      </c>
      <c r="E19" s="62"/>
      <c r="F19" s="75"/>
      <c r="G19" s="67"/>
      <c r="H19" s="68"/>
      <c r="I19" s="76"/>
      <c r="J19" s="85"/>
      <c r="K19" s="64"/>
      <c r="L19" s="65"/>
      <c r="M19" s="99"/>
      <c r="N19" s="70"/>
      <c r="O19" s="61"/>
      <c r="P19" s="62"/>
      <c r="Q19" s="63"/>
      <c r="R19" s="75"/>
      <c r="S19" s="61"/>
      <c r="T19" s="62"/>
      <c r="U19" s="63"/>
      <c r="V19" s="75"/>
      <c r="W19" s="228">
        <f>ROUND((ROUND((_15_同援日１．０*_15・通訳),0)*(1+_15・A早朝)),0)</f>
        <v>329</v>
      </c>
      <c r="X19" s="69"/>
    </row>
    <row r="20" spans="1:24" ht="16.5" customHeight="1" x14ac:dyDescent="0.3">
      <c r="A20" s="2">
        <v>15</v>
      </c>
      <c r="B20" s="2" t="s">
        <v>3404</v>
      </c>
      <c r="C20" s="60" t="s">
        <v>13963</v>
      </c>
      <c r="D20" s="1" t="s">
        <v>5993</v>
      </c>
      <c r="E20" s="68"/>
      <c r="F20" s="70"/>
      <c r="G20" s="67"/>
      <c r="H20" s="68"/>
      <c r="I20" s="76"/>
      <c r="J20" s="83" t="s">
        <v>5895</v>
      </c>
      <c r="K20" s="64" t="s">
        <v>1</v>
      </c>
      <c r="L20" s="65">
        <v>1</v>
      </c>
      <c r="M20" s="99"/>
      <c r="N20" s="70"/>
      <c r="O20" s="66"/>
      <c r="P20" s="57"/>
      <c r="Q20" s="58"/>
      <c r="R20" s="77"/>
      <c r="S20" s="67"/>
      <c r="T20" s="68"/>
      <c r="U20" s="76"/>
      <c r="V20" s="70"/>
      <c r="W20" s="228">
        <f>ROUND((ROUND((ROUND((_15_同援日１．０*_15・通訳),0)*_15・２人),0)*(1+_15・A早朝)),0)</f>
        <v>329</v>
      </c>
      <c r="X20" s="69"/>
    </row>
    <row r="21" spans="1:24" ht="16.5" customHeight="1" x14ac:dyDescent="0.3">
      <c r="A21" s="2">
        <v>15</v>
      </c>
      <c r="B21" s="2" t="s">
        <v>3405</v>
      </c>
      <c r="C21" s="60" t="s">
        <v>13962</v>
      </c>
      <c r="D21" s="1" t="s">
        <v>8572</v>
      </c>
      <c r="E21" s="68"/>
      <c r="F21" s="70"/>
      <c r="G21" s="67"/>
      <c r="H21" s="68"/>
      <c r="I21" s="76"/>
      <c r="J21" s="85"/>
      <c r="K21" s="64"/>
      <c r="L21" s="65"/>
      <c r="M21" s="99"/>
      <c r="N21" s="70"/>
      <c r="O21" s="74" t="s">
        <v>18233</v>
      </c>
      <c r="P21" s="62"/>
      <c r="Q21" s="63"/>
      <c r="R21" s="75"/>
      <c r="S21" s="67"/>
      <c r="T21" s="68"/>
      <c r="U21" s="76"/>
      <c r="V21" s="70"/>
      <c r="W21" s="228">
        <f>ROUND((ROUND((ROUND((_15_同援日１．０*_15・通訳),0)*(1+_15・A早朝)),0)*(1+_15・盲ろう)),0)</f>
        <v>411</v>
      </c>
      <c r="X21" s="69"/>
    </row>
    <row r="22" spans="1:24" ht="16.5" customHeight="1" x14ac:dyDescent="0.3">
      <c r="A22" s="2">
        <v>15</v>
      </c>
      <c r="B22" s="2" t="s">
        <v>3406</v>
      </c>
      <c r="C22" s="60" t="s">
        <v>13961</v>
      </c>
      <c r="D22" s="1"/>
      <c r="E22" s="227">
        <v>292</v>
      </c>
      <c r="F22" s="70" t="s">
        <v>0</v>
      </c>
      <c r="G22" s="67"/>
      <c r="H22" s="68"/>
      <c r="I22" s="76"/>
      <c r="J22" s="83" t="s">
        <v>5895</v>
      </c>
      <c r="K22" s="64" t="s">
        <v>1</v>
      </c>
      <c r="L22" s="65">
        <v>1</v>
      </c>
      <c r="M22" s="99"/>
      <c r="N22" s="70"/>
      <c r="O22" s="106" t="s">
        <v>18232</v>
      </c>
      <c r="P22" s="57" t="s">
        <v>1</v>
      </c>
      <c r="Q22" s="58">
        <v>0.25</v>
      </c>
      <c r="R22" s="77" t="s">
        <v>422</v>
      </c>
      <c r="S22" s="66"/>
      <c r="T22" s="57"/>
      <c r="U22" s="58"/>
      <c r="V22" s="77"/>
      <c r="W22" s="228">
        <f>ROUND((ROUND((ROUND((ROUND((_15_同援日１．０*_15・通訳),0)*_15・２人),0)*(1+_15・A早朝)),0)*(1+_15・盲ろう)),0)</f>
        <v>411</v>
      </c>
      <c r="X22" s="69"/>
    </row>
    <row r="23" spans="1:24" ht="16.5" customHeight="1" x14ac:dyDescent="0.3">
      <c r="A23" s="2">
        <v>15</v>
      </c>
      <c r="B23" s="2" t="s">
        <v>3407</v>
      </c>
      <c r="C23" s="60" t="s">
        <v>13960</v>
      </c>
      <c r="D23" s="1"/>
      <c r="E23" s="68"/>
      <c r="F23" s="70"/>
      <c r="G23" s="67"/>
      <c r="H23" s="68"/>
      <c r="I23" s="76"/>
      <c r="J23" s="85"/>
      <c r="K23" s="64"/>
      <c r="L23" s="65"/>
      <c r="M23" s="99"/>
      <c r="N23" s="70"/>
      <c r="O23" s="61"/>
      <c r="P23" s="62"/>
      <c r="Q23" s="63"/>
      <c r="R23" s="75"/>
      <c r="S23" s="74" t="s">
        <v>8098</v>
      </c>
      <c r="T23" s="62"/>
      <c r="U23" s="63"/>
      <c r="V23" s="75"/>
      <c r="W23" s="228">
        <f>ROUND((ROUND((ROUND((_15_同援日１．０*_15・通訳),0)*(1+_15・A早朝)),0)*(1+_15・区３)),0)</f>
        <v>395</v>
      </c>
      <c r="X23" s="69"/>
    </row>
    <row r="24" spans="1:24" ht="16.5" customHeight="1" x14ac:dyDescent="0.3">
      <c r="A24" s="2">
        <v>15</v>
      </c>
      <c r="B24" s="2" t="s">
        <v>3408</v>
      </c>
      <c r="C24" s="60" t="s">
        <v>13959</v>
      </c>
      <c r="D24" s="1"/>
      <c r="E24" s="68"/>
      <c r="F24" s="70"/>
      <c r="G24" s="67"/>
      <c r="H24" s="68"/>
      <c r="I24" s="76"/>
      <c r="J24" s="83" t="s">
        <v>5895</v>
      </c>
      <c r="K24" s="64" t="s">
        <v>1</v>
      </c>
      <c r="L24" s="65">
        <v>1</v>
      </c>
      <c r="M24" s="99"/>
      <c r="N24" s="70"/>
      <c r="O24" s="66"/>
      <c r="P24" s="57"/>
      <c r="Q24" s="58"/>
      <c r="R24" s="77"/>
      <c r="S24" s="94" t="s">
        <v>8087</v>
      </c>
      <c r="T24" s="68"/>
      <c r="U24" s="76"/>
      <c r="V24" s="70"/>
      <c r="W24" s="228">
        <f>ROUND((ROUND((ROUND((ROUND((_15_同援日１．０*_15・通訳),0)*_15・２人),0)*(1+_15・A早朝)),0)*(1+_15・区３)),0)</f>
        <v>395</v>
      </c>
      <c r="X24" s="69"/>
    </row>
    <row r="25" spans="1:24" ht="16.5" customHeight="1" x14ac:dyDescent="0.3">
      <c r="A25" s="2">
        <v>15</v>
      </c>
      <c r="B25" s="2" t="s">
        <v>3409</v>
      </c>
      <c r="C25" s="60" t="s">
        <v>13958</v>
      </c>
      <c r="D25" s="1"/>
      <c r="E25" s="68"/>
      <c r="F25" s="70"/>
      <c r="G25" s="67"/>
      <c r="H25" s="68"/>
      <c r="I25" s="76"/>
      <c r="J25" s="85"/>
      <c r="K25" s="64"/>
      <c r="L25" s="65"/>
      <c r="M25" s="99"/>
      <c r="N25" s="70"/>
      <c r="O25" s="74" t="s">
        <v>18233</v>
      </c>
      <c r="P25" s="62"/>
      <c r="Q25" s="63"/>
      <c r="R25" s="75"/>
      <c r="S25" s="67"/>
      <c r="T25" s="68" t="s">
        <v>1</v>
      </c>
      <c r="U25" s="76">
        <v>0.2</v>
      </c>
      <c r="V25" s="70" t="s">
        <v>422</v>
      </c>
      <c r="W25" s="228">
        <f>ROUND((ROUND((ROUND((ROUND((_15_同援日１．０*_15・通訳),0)*(1+_15・A早朝)),0)*(1+_15・盲ろう)),0)*(1+_15・区３)),0)</f>
        <v>493</v>
      </c>
      <c r="X25" s="69"/>
    </row>
    <row r="26" spans="1:24" ht="16.5" customHeight="1" x14ac:dyDescent="0.3">
      <c r="A26" s="2">
        <v>15</v>
      </c>
      <c r="B26" s="2" t="s">
        <v>3410</v>
      </c>
      <c r="C26" s="60" t="s">
        <v>13957</v>
      </c>
      <c r="D26" s="1"/>
      <c r="E26" s="68"/>
      <c r="F26" s="70"/>
      <c r="G26" s="67"/>
      <c r="H26" s="68"/>
      <c r="I26" s="76"/>
      <c r="J26" s="83" t="s">
        <v>5895</v>
      </c>
      <c r="K26" s="64" t="s">
        <v>1</v>
      </c>
      <c r="L26" s="65">
        <v>1</v>
      </c>
      <c r="M26" s="99"/>
      <c r="N26" s="70"/>
      <c r="O26" s="106" t="s">
        <v>18232</v>
      </c>
      <c r="P26" s="57" t="s">
        <v>1</v>
      </c>
      <c r="Q26" s="58">
        <v>0.25</v>
      </c>
      <c r="R26" s="77" t="s">
        <v>422</v>
      </c>
      <c r="S26" s="66"/>
      <c r="T26" s="57"/>
      <c r="U26" s="58"/>
      <c r="V26" s="77"/>
      <c r="W26" s="228">
        <f>ROUND((ROUND((ROUND((ROUND((ROUND((_15_同援日１．０*_15・通訳),0)*_15・２人),0)*(1+_15・A早朝)),0)*(1+_15・盲ろう)),0)*(1+_15・区３)),0)</f>
        <v>493</v>
      </c>
      <c r="X26" s="69"/>
    </row>
    <row r="27" spans="1:24" ht="16.5" customHeight="1" x14ac:dyDescent="0.3">
      <c r="A27" s="2">
        <v>15</v>
      </c>
      <c r="B27" s="2" t="s">
        <v>3411</v>
      </c>
      <c r="C27" s="60" t="s">
        <v>13956</v>
      </c>
      <c r="D27" s="1"/>
      <c r="E27" s="68"/>
      <c r="F27" s="70"/>
      <c r="G27" s="67"/>
      <c r="H27" s="68"/>
      <c r="I27" s="76"/>
      <c r="J27" s="85"/>
      <c r="K27" s="64"/>
      <c r="L27" s="65"/>
      <c r="M27" s="99"/>
      <c r="N27" s="70"/>
      <c r="O27" s="61"/>
      <c r="P27" s="62"/>
      <c r="Q27" s="63"/>
      <c r="R27" s="75"/>
      <c r="S27" s="74" t="s">
        <v>18235</v>
      </c>
      <c r="T27" s="62"/>
      <c r="U27" s="63"/>
      <c r="V27" s="75"/>
      <c r="W27" s="228">
        <f>ROUND((ROUND((ROUND((_15_同援日１．０*_15・通訳),0)*(1+_15・A早朝)),0)*(1+_15・区４)),0)</f>
        <v>461</v>
      </c>
      <c r="X27" s="69"/>
    </row>
    <row r="28" spans="1:24" ht="16.5" customHeight="1" x14ac:dyDescent="0.3">
      <c r="A28" s="2">
        <v>15</v>
      </c>
      <c r="B28" s="2" t="s">
        <v>3412</v>
      </c>
      <c r="C28" s="60" t="s">
        <v>13955</v>
      </c>
      <c r="D28" s="1"/>
      <c r="E28" s="68"/>
      <c r="F28" s="70"/>
      <c r="G28" s="67"/>
      <c r="H28" s="68"/>
      <c r="I28" s="76"/>
      <c r="J28" s="83" t="s">
        <v>5895</v>
      </c>
      <c r="K28" s="64" t="s">
        <v>1</v>
      </c>
      <c r="L28" s="65">
        <v>1</v>
      </c>
      <c r="M28" s="99"/>
      <c r="N28" s="70"/>
      <c r="O28" s="66"/>
      <c r="P28" s="57"/>
      <c r="Q28" s="58"/>
      <c r="R28" s="77"/>
      <c r="S28" s="94" t="s">
        <v>18247</v>
      </c>
      <c r="T28" s="68"/>
      <c r="U28" s="76"/>
      <c r="V28" s="70"/>
      <c r="W28" s="228">
        <f>ROUND((ROUND((ROUND((ROUND((_15_同援日１．０*_15・通訳),0)*_15・２人),0)*(1+_15・A早朝)),0)*(1+_15・区４)),0)</f>
        <v>461</v>
      </c>
      <c r="X28" s="69"/>
    </row>
    <row r="29" spans="1:24" ht="16.5" customHeight="1" x14ac:dyDescent="0.3">
      <c r="A29" s="2">
        <v>15</v>
      </c>
      <c r="B29" s="2" t="s">
        <v>3413</v>
      </c>
      <c r="C29" s="60" t="s">
        <v>13954</v>
      </c>
      <c r="D29" s="1"/>
      <c r="E29" s="68"/>
      <c r="F29" s="70"/>
      <c r="G29" s="67"/>
      <c r="H29" s="68"/>
      <c r="I29" s="76"/>
      <c r="J29" s="85"/>
      <c r="K29" s="64"/>
      <c r="L29" s="65"/>
      <c r="M29" s="99"/>
      <c r="N29" s="70"/>
      <c r="O29" s="74" t="s">
        <v>18233</v>
      </c>
      <c r="P29" s="62"/>
      <c r="Q29" s="63"/>
      <c r="R29" s="75"/>
      <c r="S29" s="67"/>
      <c r="T29" s="68" t="s">
        <v>1</v>
      </c>
      <c r="U29" s="76">
        <v>0.4</v>
      </c>
      <c r="V29" s="70" t="s">
        <v>422</v>
      </c>
      <c r="W29" s="228">
        <f>ROUND((ROUND((ROUND((ROUND((_15_同援日１．０*_15・通訳),0)*(1+_15・A早朝)),0)*(1+_15・盲ろう)),0)*(1+_15・区４)),0)</f>
        <v>575</v>
      </c>
      <c r="X29" s="69"/>
    </row>
    <row r="30" spans="1:24" ht="16.5" customHeight="1" x14ac:dyDescent="0.3">
      <c r="A30" s="2">
        <v>15</v>
      </c>
      <c r="B30" s="2" t="s">
        <v>3414</v>
      </c>
      <c r="C30" s="60" t="s">
        <v>13953</v>
      </c>
      <c r="D30" s="81"/>
      <c r="E30" s="57"/>
      <c r="F30" s="77"/>
      <c r="G30" s="67"/>
      <c r="H30" s="68"/>
      <c r="I30" s="76"/>
      <c r="J30" s="83" t="s">
        <v>5895</v>
      </c>
      <c r="K30" s="64" t="s">
        <v>1</v>
      </c>
      <c r="L30" s="65">
        <v>1</v>
      </c>
      <c r="M30" s="99"/>
      <c r="N30" s="70"/>
      <c r="O30" s="106" t="s">
        <v>18232</v>
      </c>
      <c r="P30" s="57" t="s">
        <v>1</v>
      </c>
      <c r="Q30" s="58">
        <v>0.25</v>
      </c>
      <c r="R30" s="77" t="s">
        <v>422</v>
      </c>
      <c r="S30" s="66"/>
      <c r="T30" s="57"/>
      <c r="U30" s="58"/>
      <c r="V30" s="77"/>
      <c r="W30" s="228">
        <f>ROUND((ROUND((ROUND((ROUND((ROUND((_15_同援日１．０*_15・通訳),0)*_15・２人),0)*(1+_15・A早朝)),0)*(1+_15・盲ろう)),0)*(1+_15・区４)),0)</f>
        <v>575</v>
      </c>
      <c r="X30" s="69"/>
    </row>
    <row r="31" spans="1:24" ht="16.5" customHeight="1" x14ac:dyDescent="0.3">
      <c r="A31" s="2">
        <v>15</v>
      </c>
      <c r="B31" s="2" t="s">
        <v>3415</v>
      </c>
      <c r="C31" s="60" t="s">
        <v>13952</v>
      </c>
      <c r="D31" s="233" t="s">
        <v>18250</v>
      </c>
      <c r="E31" s="62"/>
      <c r="F31" s="75"/>
      <c r="G31" s="67"/>
      <c r="H31" s="68"/>
      <c r="I31" s="76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228">
        <f>ROUND((ROUND((_15_同援日１．５*_15・通訳),0)*(1+_15・A早朝)),0)</f>
        <v>474</v>
      </c>
      <c r="X31" s="69"/>
    </row>
    <row r="32" spans="1:24" ht="16.5" customHeight="1" x14ac:dyDescent="0.3">
      <c r="A32" s="2">
        <v>15</v>
      </c>
      <c r="B32" s="2" t="s">
        <v>3416</v>
      </c>
      <c r="C32" s="60" t="s">
        <v>13951</v>
      </c>
      <c r="D32" s="1" t="s">
        <v>5987</v>
      </c>
      <c r="E32" s="68"/>
      <c r="F32" s="70"/>
      <c r="G32" s="67"/>
      <c r="H32" s="68"/>
      <c r="I32" s="76"/>
      <c r="J32" s="83" t="s">
        <v>5895</v>
      </c>
      <c r="K32" s="64" t="s">
        <v>1</v>
      </c>
      <c r="L32" s="65">
        <v>1</v>
      </c>
      <c r="M32" s="99"/>
      <c r="N32" s="70"/>
      <c r="O32" s="66"/>
      <c r="P32" s="57"/>
      <c r="Q32" s="58"/>
      <c r="R32" s="77"/>
      <c r="S32" s="67"/>
      <c r="T32" s="68"/>
      <c r="U32" s="76"/>
      <c r="V32" s="70"/>
      <c r="W32" s="228">
        <f>ROUND((ROUND((ROUND((_15_同援日１．５*_15・通訳),0)*_15・２人),0)*(1+_15・A早朝)),0)</f>
        <v>474</v>
      </c>
      <c r="X32" s="69"/>
    </row>
    <row r="33" spans="1:24" ht="16.5" customHeight="1" x14ac:dyDescent="0.3">
      <c r="A33" s="2">
        <v>15</v>
      </c>
      <c r="B33" s="2" t="s">
        <v>3417</v>
      </c>
      <c r="C33" s="60" t="s">
        <v>13950</v>
      </c>
      <c r="D33" s="1" t="s">
        <v>8767</v>
      </c>
      <c r="E33" s="68"/>
      <c r="F33" s="70"/>
      <c r="G33" s="67"/>
      <c r="H33" s="68"/>
      <c r="I33" s="76"/>
      <c r="J33" s="85"/>
      <c r="K33" s="64"/>
      <c r="L33" s="65"/>
      <c r="M33" s="99"/>
      <c r="N33" s="70"/>
      <c r="O33" s="74" t="s">
        <v>18233</v>
      </c>
      <c r="P33" s="62"/>
      <c r="Q33" s="63"/>
      <c r="R33" s="75"/>
      <c r="S33" s="67"/>
      <c r="T33" s="68"/>
      <c r="U33" s="76"/>
      <c r="V33" s="70"/>
      <c r="W33" s="228">
        <f>ROUND((ROUND((ROUND((_15_同援日１．５*_15・通訳),0)*(1+_15・A早朝)),0)*(1+_15・盲ろう)),0)</f>
        <v>593</v>
      </c>
      <c r="X33" s="69"/>
    </row>
    <row r="34" spans="1:24" ht="16.5" customHeight="1" x14ac:dyDescent="0.3">
      <c r="A34" s="2">
        <v>15</v>
      </c>
      <c r="B34" s="2" t="s">
        <v>3418</v>
      </c>
      <c r="C34" s="60" t="s">
        <v>13949</v>
      </c>
      <c r="D34" s="1"/>
      <c r="E34" s="227">
        <v>421</v>
      </c>
      <c r="F34" s="70" t="s">
        <v>0</v>
      </c>
      <c r="G34" s="67"/>
      <c r="H34" s="68"/>
      <c r="I34" s="76"/>
      <c r="J34" s="83" t="s">
        <v>5895</v>
      </c>
      <c r="K34" s="64" t="s">
        <v>1</v>
      </c>
      <c r="L34" s="65">
        <v>1</v>
      </c>
      <c r="M34" s="99"/>
      <c r="N34" s="70"/>
      <c r="O34" s="106" t="s">
        <v>8083</v>
      </c>
      <c r="P34" s="57" t="s">
        <v>1</v>
      </c>
      <c r="Q34" s="58">
        <v>0.25</v>
      </c>
      <c r="R34" s="77" t="s">
        <v>422</v>
      </c>
      <c r="S34" s="66"/>
      <c r="T34" s="57"/>
      <c r="U34" s="58"/>
      <c r="V34" s="77"/>
      <c r="W34" s="228">
        <f>ROUND((ROUND((ROUND((ROUND((_15_同援日１．５*_15・通訳),0)*_15・２人),0)*(1+_15・A早朝)),0)*(1+_15・盲ろう)),0)</f>
        <v>593</v>
      </c>
      <c r="X34" s="69"/>
    </row>
    <row r="35" spans="1:24" ht="16.5" customHeight="1" x14ac:dyDescent="0.3">
      <c r="A35" s="2">
        <v>15</v>
      </c>
      <c r="B35" s="2" t="s">
        <v>3419</v>
      </c>
      <c r="C35" s="60" t="s">
        <v>13948</v>
      </c>
      <c r="D35" s="1"/>
      <c r="E35" s="68"/>
      <c r="F35" s="70"/>
      <c r="G35" s="67"/>
      <c r="H35" s="68"/>
      <c r="I35" s="76"/>
      <c r="J35" s="85"/>
      <c r="K35" s="64"/>
      <c r="L35" s="65"/>
      <c r="M35" s="99"/>
      <c r="N35" s="70"/>
      <c r="O35" s="61"/>
      <c r="P35" s="62"/>
      <c r="Q35" s="63"/>
      <c r="R35" s="75"/>
      <c r="S35" s="74" t="s">
        <v>18249</v>
      </c>
      <c r="T35" s="62"/>
      <c r="U35" s="63"/>
      <c r="V35" s="75"/>
      <c r="W35" s="228">
        <f>ROUND((ROUND((ROUND((_15_同援日１．５*_15・通訳),0)*(1+_15・A早朝)),0)*(1+_15・区３)),0)</f>
        <v>569</v>
      </c>
      <c r="X35" s="69"/>
    </row>
    <row r="36" spans="1:24" ht="16.5" customHeight="1" x14ac:dyDescent="0.3">
      <c r="A36" s="2">
        <v>15</v>
      </c>
      <c r="B36" s="2" t="s">
        <v>3420</v>
      </c>
      <c r="C36" s="60" t="s">
        <v>13947</v>
      </c>
      <c r="D36" s="1"/>
      <c r="E36" s="68"/>
      <c r="F36" s="70"/>
      <c r="G36" s="67"/>
      <c r="H36" s="68"/>
      <c r="I36" s="76"/>
      <c r="J36" s="83" t="s">
        <v>5895</v>
      </c>
      <c r="K36" s="64" t="s">
        <v>1</v>
      </c>
      <c r="L36" s="65">
        <v>1</v>
      </c>
      <c r="M36" s="99"/>
      <c r="N36" s="70"/>
      <c r="O36" s="66"/>
      <c r="P36" s="57"/>
      <c r="Q36" s="58"/>
      <c r="R36" s="77"/>
      <c r="S36" s="94" t="s">
        <v>18234</v>
      </c>
      <c r="T36" s="68"/>
      <c r="U36" s="76"/>
      <c r="V36" s="70"/>
      <c r="W36" s="228">
        <f>ROUND((ROUND((ROUND((ROUND((_15_同援日１．５*_15・通訳),0)*_15・２人),0)*(1+_15・A早朝)),0)*(1+_15・区３)),0)</f>
        <v>569</v>
      </c>
      <c r="X36" s="69"/>
    </row>
    <row r="37" spans="1:24" ht="16.5" customHeight="1" x14ac:dyDescent="0.3">
      <c r="A37" s="2">
        <v>15</v>
      </c>
      <c r="B37" s="2" t="s">
        <v>3421</v>
      </c>
      <c r="C37" s="60" t="s">
        <v>13946</v>
      </c>
      <c r="D37" s="1"/>
      <c r="E37" s="68"/>
      <c r="F37" s="70"/>
      <c r="G37" s="67"/>
      <c r="H37" s="68"/>
      <c r="I37" s="76"/>
      <c r="J37" s="85"/>
      <c r="K37" s="64"/>
      <c r="L37" s="65"/>
      <c r="M37" s="99"/>
      <c r="N37" s="70"/>
      <c r="O37" s="74" t="s">
        <v>18233</v>
      </c>
      <c r="P37" s="62"/>
      <c r="Q37" s="63"/>
      <c r="R37" s="75"/>
      <c r="S37" s="67"/>
      <c r="T37" s="68" t="s">
        <v>1</v>
      </c>
      <c r="U37" s="76">
        <v>0.2</v>
      </c>
      <c r="V37" s="70" t="s">
        <v>422</v>
      </c>
      <c r="W37" s="228">
        <f>ROUND((ROUND((ROUND((ROUND((_15_同援日１．５*_15・通訳),0)*(1+_15・A早朝)),0)*(1+_15・盲ろう)),0)*(1+_15・区３)),0)</f>
        <v>712</v>
      </c>
      <c r="X37" s="69"/>
    </row>
    <row r="38" spans="1:24" ht="16.5" customHeight="1" x14ac:dyDescent="0.3">
      <c r="A38" s="2">
        <v>15</v>
      </c>
      <c r="B38" s="2" t="s">
        <v>3422</v>
      </c>
      <c r="C38" s="60" t="s">
        <v>13945</v>
      </c>
      <c r="D38" s="1"/>
      <c r="E38" s="68"/>
      <c r="F38" s="70"/>
      <c r="G38" s="67"/>
      <c r="H38" s="68"/>
      <c r="I38" s="76"/>
      <c r="J38" s="83" t="s">
        <v>5895</v>
      </c>
      <c r="K38" s="64" t="s">
        <v>1</v>
      </c>
      <c r="L38" s="65">
        <v>1</v>
      </c>
      <c r="M38" s="99"/>
      <c r="N38" s="70"/>
      <c r="O38" s="106" t="s">
        <v>18232</v>
      </c>
      <c r="P38" s="57" t="s">
        <v>1</v>
      </c>
      <c r="Q38" s="58">
        <v>0.25</v>
      </c>
      <c r="R38" s="77" t="s">
        <v>422</v>
      </c>
      <c r="S38" s="66"/>
      <c r="T38" s="57"/>
      <c r="U38" s="58"/>
      <c r="V38" s="77"/>
      <c r="W38" s="228">
        <f>ROUND((ROUND((ROUND((ROUND((ROUND((_15_同援日１．５*_15・通訳),0)*_15・２人),0)*(1+_15・A早朝)),0)*(1+_15・盲ろう)),0)*(1+_15・区３)),0)</f>
        <v>712</v>
      </c>
      <c r="X38" s="69"/>
    </row>
    <row r="39" spans="1:24" ht="16.5" customHeight="1" x14ac:dyDescent="0.3">
      <c r="A39" s="2">
        <v>15</v>
      </c>
      <c r="B39" s="2" t="s">
        <v>3423</v>
      </c>
      <c r="C39" s="60" t="s">
        <v>13944</v>
      </c>
      <c r="D39" s="1"/>
      <c r="E39" s="68"/>
      <c r="F39" s="70"/>
      <c r="G39" s="67"/>
      <c r="H39" s="68"/>
      <c r="I39" s="76"/>
      <c r="J39" s="85"/>
      <c r="K39" s="64"/>
      <c r="L39" s="65"/>
      <c r="M39" s="99"/>
      <c r="N39" s="70"/>
      <c r="O39" s="61"/>
      <c r="P39" s="62"/>
      <c r="Q39" s="63"/>
      <c r="R39" s="75"/>
      <c r="S39" s="74" t="s">
        <v>18235</v>
      </c>
      <c r="T39" s="62"/>
      <c r="U39" s="63"/>
      <c r="V39" s="75"/>
      <c r="W39" s="228">
        <f>ROUND((ROUND((ROUND((_15_同援日１．５*_15・通訳),0)*(1+_15・A早朝)),0)*(1+_15・区４)),0)</f>
        <v>664</v>
      </c>
      <c r="X39" s="69"/>
    </row>
    <row r="40" spans="1:24" ht="16.5" customHeight="1" x14ac:dyDescent="0.3">
      <c r="A40" s="2">
        <v>15</v>
      </c>
      <c r="B40" s="2" t="s">
        <v>3424</v>
      </c>
      <c r="C40" s="60" t="s">
        <v>13943</v>
      </c>
      <c r="D40" s="1"/>
      <c r="E40" s="68"/>
      <c r="F40" s="70"/>
      <c r="G40" s="67"/>
      <c r="H40" s="68"/>
      <c r="I40" s="76"/>
      <c r="J40" s="83" t="s">
        <v>5895</v>
      </c>
      <c r="K40" s="64" t="s">
        <v>1</v>
      </c>
      <c r="L40" s="65">
        <v>1</v>
      </c>
      <c r="M40" s="99"/>
      <c r="N40" s="70"/>
      <c r="O40" s="66"/>
      <c r="P40" s="57"/>
      <c r="Q40" s="58"/>
      <c r="R40" s="77"/>
      <c r="S40" s="94" t="s">
        <v>18234</v>
      </c>
      <c r="T40" s="68"/>
      <c r="U40" s="76"/>
      <c r="V40" s="70"/>
      <c r="W40" s="228">
        <f>ROUND((ROUND((ROUND((ROUND((_15_同援日１．５*_15・通訳),0)*_15・２人),0)*(1+_15・A早朝)),0)*(1+_15・区４)),0)</f>
        <v>664</v>
      </c>
      <c r="X40" s="69"/>
    </row>
    <row r="41" spans="1:24" ht="16.5" customHeight="1" x14ac:dyDescent="0.3">
      <c r="A41" s="2">
        <v>15</v>
      </c>
      <c r="B41" s="2" t="s">
        <v>3425</v>
      </c>
      <c r="C41" s="60" t="s">
        <v>13942</v>
      </c>
      <c r="D41" s="1"/>
      <c r="E41" s="68"/>
      <c r="F41" s="70"/>
      <c r="G41" s="67"/>
      <c r="H41" s="68"/>
      <c r="I41" s="76"/>
      <c r="J41" s="85"/>
      <c r="K41" s="64"/>
      <c r="L41" s="65"/>
      <c r="M41" s="99"/>
      <c r="N41" s="70"/>
      <c r="O41" s="74" t="s">
        <v>18233</v>
      </c>
      <c r="P41" s="62"/>
      <c r="Q41" s="63"/>
      <c r="R41" s="75"/>
      <c r="S41" s="67"/>
      <c r="T41" s="68" t="s">
        <v>1</v>
      </c>
      <c r="U41" s="76">
        <v>0.4</v>
      </c>
      <c r="V41" s="70" t="s">
        <v>422</v>
      </c>
      <c r="W41" s="228">
        <f>ROUND((ROUND((ROUND((ROUND((_15_同援日１．５*_15・通訳),0)*(1+_15・A早朝)),0)*(1+_15・盲ろう)),0)*(1+_15・区４)),0)</f>
        <v>830</v>
      </c>
      <c r="X41" s="69"/>
    </row>
    <row r="42" spans="1:24" ht="16.5" customHeight="1" x14ac:dyDescent="0.3">
      <c r="A42" s="2">
        <v>15</v>
      </c>
      <c r="B42" s="2" t="s">
        <v>3426</v>
      </c>
      <c r="C42" s="60" t="s">
        <v>13941</v>
      </c>
      <c r="D42" s="81"/>
      <c r="E42" s="57"/>
      <c r="F42" s="77"/>
      <c r="G42" s="67"/>
      <c r="H42" s="68"/>
      <c r="I42" s="76"/>
      <c r="J42" s="83" t="s">
        <v>5895</v>
      </c>
      <c r="K42" s="64" t="s">
        <v>1</v>
      </c>
      <c r="L42" s="65">
        <v>1</v>
      </c>
      <c r="M42" s="99"/>
      <c r="N42" s="70"/>
      <c r="O42" s="106" t="s">
        <v>18232</v>
      </c>
      <c r="P42" s="57" t="s">
        <v>1</v>
      </c>
      <c r="Q42" s="58">
        <v>0.25</v>
      </c>
      <c r="R42" s="77" t="s">
        <v>422</v>
      </c>
      <c r="S42" s="66"/>
      <c r="T42" s="57"/>
      <c r="U42" s="58"/>
      <c r="V42" s="77"/>
      <c r="W42" s="228">
        <f>ROUND((ROUND((ROUND((ROUND((ROUND((_15_同援日１．５*_15・通訳),0)*_15・２人),0)*(1+_15・A早朝)),0)*(1+_15・盲ろう)),0)*(1+_15・区４)),0)</f>
        <v>830</v>
      </c>
      <c r="X42" s="69"/>
    </row>
    <row r="43" spans="1:24" ht="16.5" customHeight="1" x14ac:dyDescent="0.3">
      <c r="A43" s="2">
        <v>15</v>
      </c>
      <c r="B43" s="2" t="s">
        <v>3427</v>
      </c>
      <c r="C43" s="60" t="s">
        <v>13940</v>
      </c>
      <c r="D43" s="233" t="s">
        <v>18248</v>
      </c>
      <c r="E43" s="62"/>
      <c r="F43" s="75"/>
      <c r="G43" s="67"/>
      <c r="H43" s="68"/>
      <c r="I43" s="76"/>
      <c r="J43" s="85"/>
      <c r="K43" s="64"/>
      <c r="L43" s="65"/>
      <c r="M43" s="99"/>
      <c r="N43" s="70"/>
      <c r="O43" s="61"/>
      <c r="P43" s="62"/>
      <c r="Q43" s="63"/>
      <c r="R43" s="75"/>
      <c r="S43" s="61"/>
      <c r="T43" s="62"/>
      <c r="U43" s="63"/>
      <c r="V43" s="75"/>
      <c r="W43" s="228">
        <f>ROUND((ROUND((_15_同援日２．０*_15・通訳),0)*(1+_15・A早朝)),0)</f>
        <v>546</v>
      </c>
      <c r="X43" s="69"/>
    </row>
    <row r="44" spans="1:24" ht="16.5" customHeight="1" x14ac:dyDescent="0.3">
      <c r="A44" s="2">
        <v>15</v>
      </c>
      <c r="B44" s="2" t="s">
        <v>3428</v>
      </c>
      <c r="C44" s="60" t="s">
        <v>13939</v>
      </c>
      <c r="D44" s="1" t="s">
        <v>17431</v>
      </c>
      <c r="E44" s="68"/>
      <c r="F44" s="70"/>
      <c r="G44" s="67"/>
      <c r="H44" s="68"/>
      <c r="I44" s="76"/>
      <c r="J44" s="83" t="s">
        <v>5895</v>
      </c>
      <c r="K44" s="64" t="s">
        <v>1</v>
      </c>
      <c r="L44" s="65">
        <v>1</v>
      </c>
      <c r="M44" s="99"/>
      <c r="N44" s="70"/>
      <c r="O44" s="66"/>
      <c r="P44" s="57"/>
      <c r="Q44" s="58"/>
      <c r="R44" s="77"/>
      <c r="S44" s="67"/>
      <c r="T44" s="68"/>
      <c r="U44" s="76"/>
      <c r="V44" s="70"/>
      <c r="W44" s="228">
        <f>ROUND((ROUND((ROUND((_15_同援日２．０*_15・通訳),0)*_15・２人),0)*(1+_15・A早朝)),0)</f>
        <v>546</v>
      </c>
      <c r="X44" s="69"/>
    </row>
    <row r="45" spans="1:24" ht="16.5" customHeight="1" x14ac:dyDescent="0.3">
      <c r="A45" s="2">
        <v>15</v>
      </c>
      <c r="B45" s="2" t="s">
        <v>3429</v>
      </c>
      <c r="C45" s="60" t="s">
        <v>13938</v>
      </c>
      <c r="D45" s="1" t="s">
        <v>6448</v>
      </c>
      <c r="E45" s="68"/>
      <c r="F45" s="70"/>
      <c r="G45" s="67"/>
      <c r="H45" s="68"/>
      <c r="I45" s="76"/>
      <c r="J45" s="85"/>
      <c r="K45" s="64"/>
      <c r="L45" s="65"/>
      <c r="M45" s="99"/>
      <c r="N45" s="70"/>
      <c r="O45" s="74" t="s">
        <v>18246</v>
      </c>
      <c r="P45" s="62"/>
      <c r="Q45" s="63"/>
      <c r="R45" s="75"/>
      <c r="S45" s="67"/>
      <c r="T45" s="68"/>
      <c r="U45" s="76"/>
      <c r="V45" s="70"/>
      <c r="W45" s="228">
        <f>ROUND((ROUND((ROUND((_15_同援日２．０*_15・通訳),0)*(1+_15・A早朝)),0)*(1+_15・盲ろう)),0)</f>
        <v>683</v>
      </c>
      <c r="X45" s="69"/>
    </row>
    <row r="46" spans="1:24" ht="16.5" customHeight="1" x14ac:dyDescent="0.3">
      <c r="A46" s="2">
        <v>15</v>
      </c>
      <c r="B46" s="2" t="s">
        <v>3430</v>
      </c>
      <c r="C46" s="60" t="s">
        <v>13937</v>
      </c>
      <c r="D46" s="1"/>
      <c r="E46" s="227">
        <v>485</v>
      </c>
      <c r="F46" s="70" t="s">
        <v>0</v>
      </c>
      <c r="G46" s="67"/>
      <c r="H46" s="68"/>
      <c r="I46" s="76"/>
      <c r="J46" s="83" t="s">
        <v>5895</v>
      </c>
      <c r="K46" s="64" t="s">
        <v>1</v>
      </c>
      <c r="L46" s="65">
        <v>1</v>
      </c>
      <c r="M46" s="99"/>
      <c r="N46" s="70"/>
      <c r="O46" s="106" t="s">
        <v>18232</v>
      </c>
      <c r="P46" s="57" t="s">
        <v>1</v>
      </c>
      <c r="Q46" s="58">
        <v>0.25</v>
      </c>
      <c r="R46" s="77" t="s">
        <v>422</v>
      </c>
      <c r="S46" s="66"/>
      <c r="T46" s="57"/>
      <c r="U46" s="58"/>
      <c r="V46" s="77"/>
      <c r="W46" s="228">
        <f>ROUND((ROUND((ROUND((ROUND((_15_同援日２．０*_15・通訳),0)*_15・２人),0)*(1+_15・A早朝)),0)*(1+_15・盲ろう)),0)</f>
        <v>683</v>
      </c>
      <c r="X46" s="69"/>
    </row>
    <row r="47" spans="1:24" ht="16.5" customHeight="1" x14ac:dyDescent="0.3">
      <c r="A47" s="2">
        <v>15</v>
      </c>
      <c r="B47" s="2" t="s">
        <v>3431</v>
      </c>
      <c r="C47" s="60" t="s">
        <v>13936</v>
      </c>
      <c r="D47" s="1"/>
      <c r="E47" s="68"/>
      <c r="F47" s="70"/>
      <c r="G47" s="67"/>
      <c r="H47" s="68"/>
      <c r="I47" s="76"/>
      <c r="J47" s="85"/>
      <c r="K47" s="64"/>
      <c r="L47" s="65"/>
      <c r="M47" s="99"/>
      <c r="N47" s="70"/>
      <c r="O47" s="61"/>
      <c r="P47" s="62"/>
      <c r="Q47" s="63"/>
      <c r="R47" s="75"/>
      <c r="S47" s="74" t="s">
        <v>18236</v>
      </c>
      <c r="T47" s="62"/>
      <c r="U47" s="63"/>
      <c r="V47" s="75"/>
      <c r="W47" s="228">
        <f>ROUND((ROUND((ROUND((_15_同援日２．０*_15・通訳),0)*(1+_15・A早朝)),0)*(1+_15・区３)),0)</f>
        <v>655</v>
      </c>
      <c r="X47" s="69"/>
    </row>
    <row r="48" spans="1:24" ht="16.5" customHeight="1" x14ac:dyDescent="0.3">
      <c r="A48" s="2">
        <v>15</v>
      </c>
      <c r="B48" s="2" t="s">
        <v>3432</v>
      </c>
      <c r="C48" s="60" t="s">
        <v>13935</v>
      </c>
      <c r="D48" s="1"/>
      <c r="E48" s="68"/>
      <c r="F48" s="70"/>
      <c r="G48" s="67"/>
      <c r="H48" s="68"/>
      <c r="I48" s="76"/>
      <c r="J48" s="83" t="s">
        <v>5895</v>
      </c>
      <c r="K48" s="64" t="s">
        <v>1</v>
      </c>
      <c r="L48" s="65">
        <v>1</v>
      </c>
      <c r="M48" s="99"/>
      <c r="N48" s="70"/>
      <c r="O48" s="66"/>
      <c r="P48" s="57"/>
      <c r="Q48" s="58"/>
      <c r="R48" s="77"/>
      <c r="S48" s="94" t="s">
        <v>18234</v>
      </c>
      <c r="T48" s="68"/>
      <c r="U48" s="76"/>
      <c r="V48" s="70"/>
      <c r="W48" s="228">
        <f>ROUND((ROUND((ROUND((ROUND((_15_同援日２．０*_15・通訳),0)*_15・２人),0)*(1+_15・A早朝)),0)*(1+_15・区３)),0)</f>
        <v>655</v>
      </c>
      <c r="X48" s="69"/>
    </row>
    <row r="49" spans="1:24" ht="16.5" customHeight="1" x14ac:dyDescent="0.3">
      <c r="A49" s="2">
        <v>15</v>
      </c>
      <c r="B49" s="2" t="s">
        <v>3433</v>
      </c>
      <c r="C49" s="60" t="s">
        <v>13934</v>
      </c>
      <c r="D49" s="1"/>
      <c r="E49" s="68"/>
      <c r="F49" s="70"/>
      <c r="G49" s="67"/>
      <c r="H49" s="68"/>
      <c r="I49" s="76"/>
      <c r="J49" s="85"/>
      <c r="K49" s="64"/>
      <c r="L49" s="65"/>
      <c r="M49" s="99"/>
      <c r="N49" s="70"/>
      <c r="O49" s="74" t="s">
        <v>18233</v>
      </c>
      <c r="P49" s="62"/>
      <c r="Q49" s="63"/>
      <c r="R49" s="75"/>
      <c r="S49" s="67"/>
      <c r="T49" s="68" t="s">
        <v>1</v>
      </c>
      <c r="U49" s="76">
        <v>0.2</v>
      </c>
      <c r="V49" s="70" t="s">
        <v>422</v>
      </c>
      <c r="W49" s="228">
        <f>ROUND((ROUND((ROUND((ROUND((_15_同援日２．０*_15・通訳),0)*(1+_15・A早朝)),0)*(1+_15・盲ろう)),0)*(1+_15・区３)),0)</f>
        <v>820</v>
      </c>
      <c r="X49" s="69"/>
    </row>
    <row r="50" spans="1:24" ht="16.5" customHeight="1" x14ac:dyDescent="0.3">
      <c r="A50" s="2">
        <v>15</v>
      </c>
      <c r="B50" s="2" t="s">
        <v>3434</v>
      </c>
      <c r="C50" s="60" t="s">
        <v>13933</v>
      </c>
      <c r="D50" s="1"/>
      <c r="E50" s="68"/>
      <c r="F50" s="70"/>
      <c r="G50" s="67"/>
      <c r="H50" s="68"/>
      <c r="I50" s="76"/>
      <c r="J50" s="83" t="s">
        <v>5895</v>
      </c>
      <c r="K50" s="64" t="s">
        <v>1</v>
      </c>
      <c r="L50" s="65">
        <v>1</v>
      </c>
      <c r="M50" s="99"/>
      <c r="N50" s="70"/>
      <c r="O50" s="106" t="s">
        <v>8083</v>
      </c>
      <c r="P50" s="57" t="s">
        <v>1</v>
      </c>
      <c r="Q50" s="58">
        <v>0.25</v>
      </c>
      <c r="R50" s="77" t="s">
        <v>422</v>
      </c>
      <c r="S50" s="66"/>
      <c r="T50" s="57"/>
      <c r="U50" s="58"/>
      <c r="V50" s="77"/>
      <c r="W50" s="228">
        <f>ROUND((ROUND((ROUND((ROUND((ROUND((_15_同援日２．０*_15・通訳),0)*_15・２人),0)*(1+_15・A早朝)),0)*(1+_15・盲ろう)),0)*(1+_15・区３)),0)</f>
        <v>820</v>
      </c>
      <c r="X50" s="69"/>
    </row>
    <row r="51" spans="1:24" ht="16.5" customHeight="1" x14ac:dyDescent="0.3">
      <c r="A51" s="2">
        <v>15</v>
      </c>
      <c r="B51" s="2" t="s">
        <v>3435</v>
      </c>
      <c r="C51" s="60" t="s">
        <v>13932</v>
      </c>
      <c r="D51" s="1"/>
      <c r="E51" s="68"/>
      <c r="F51" s="70"/>
      <c r="G51" s="67"/>
      <c r="H51" s="68"/>
      <c r="I51" s="76"/>
      <c r="J51" s="85"/>
      <c r="K51" s="64"/>
      <c r="L51" s="65"/>
      <c r="M51" s="99"/>
      <c r="N51" s="70"/>
      <c r="O51" s="61"/>
      <c r="P51" s="62"/>
      <c r="Q51" s="63"/>
      <c r="R51" s="75"/>
      <c r="S51" s="74" t="s">
        <v>18235</v>
      </c>
      <c r="T51" s="62"/>
      <c r="U51" s="63"/>
      <c r="V51" s="75"/>
      <c r="W51" s="228">
        <f>ROUND((ROUND((ROUND((_15_同援日２．０*_15・通訳),0)*(1+_15・A早朝)),0)*(1+_15・区４)),0)</f>
        <v>764</v>
      </c>
      <c r="X51" s="69"/>
    </row>
    <row r="52" spans="1:24" ht="16.5" customHeight="1" x14ac:dyDescent="0.3">
      <c r="A52" s="2">
        <v>15</v>
      </c>
      <c r="B52" s="2" t="s">
        <v>3436</v>
      </c>
      <c r="C52" s="60" t="s">
        <v>13931</v>
      </c>
      <c r="D52" s="1"/>
      <c r="E52" s="68"/>
      <c r="F52" s="70"/>
      <c r="G52" s="67"/>
      <c r="H52" s="68"/>
      <c r="I52" s="76"/>
      <c r="J52" s="83" t="s">
        <v>5895</v>
      </c>
      <c r="K52" s="64" t="s">
        <v>1</v>
      </c>
      <c r="L52" s="65">
        <v>1</v>
      </c>
      <c r="M52" s="99"/>
      <c r="N52" s="70"/>
      <c r="O52" s="66"/>
      <c r="P52" s="57"/>
      <c r="Q52" s="58"/>
      <c r="R52" s="77"/>
      <c r="S52" s="94" t="s">
        <v>18247</v>
      </c>
      <c r="T52" s="68"/>
      <c r="U52" s="76"/>
      <c r="V52" s="70"/>
      <c r="W52" s="228">
        <f>ROUND((ROUND((ROUND((ROUND((_15_同援日２．０*_15・通訳),0)*_15・２人),0)*(1+_15・A早朝)),0)*(1+_15・区４)),0)</f>
        <v>764</v>
      </c>
      <c r="X52" s="69"/>
    </row>
    <row r="53" spans="1:24" ht="16.5" customHeight="1" x14ac:dyDescent="0.3">
      <c r="A53" s="2">
        <v>15</v>
      </c>
      <c r="B53" s="2" t="s">
        <v>3437</v>
      </c>
      <c r="C53" s="60" t="s">
        <v>13930</v>
      </c>
      <c r="D53" s="1"/>
      <c r="E53" s="68"/>
      <c r="F53" s="70"/>
      <c r="G53" s="67"/>
      <c r="H53" s="68"/>
      <c r="I53" s="76"/>
      <c r="J53" s="85"/>
      <c r="K53" s="64"/>
      <c r="L53" s="65"/>
      <c r="M53" s="99"/>
      <c r="N53" s="70"/>
      <c r="O53" s="74" t="s">
        <v>18246</v>
      </c>
      <c r="P53" s="62"/>
      <c r="Q53" s="63"/>
      <c r="R53" s="75"/>
      <c r="S53" s="67"/>
      <c r="T53" s="68" t="s">
        <v>1</v>
      </c>
      <c r="U53" s="76">
        <v>0.4</v>
      </c>
      <c r="V53" s="70" t="s">
        <v>422</v>
      </c>
      <c r="W53" s="228">
        <f>ROUND((ROUND((ROUND((ROUND((_15_同援日２．０*_15・通訳),0)*(1+_15・A早朝)),0)*(1+_15・盲ろう)),0)*(1+_15・区４)),0)</f>
        <v>956</v>
      </c>
      <c r="X53" s="69"/>
    </row>
    <row r="54" spans="1:24" ht="16.5" customHeight="1" x14ac:dyDescent="0.3">
      <c r="A54" s="2">
        <v>15</v>
      </c>
      <c r="B54" s="2" t="s">
        <v>3438</v>
      </c>
      <c r="C54" s="60" t="s">
        <v>13929</v>
      </c>
      <c r="D54" s="81"/>
      <c r="E54" s="57"/>
      <c r="F54" s="77"/>
      <c r="G54" s="67"/>
      <c r="H54" s="68"/>
      <c r="I54" s="76"/>
      <c r="J54" s="83" t="s">
        <v>5895</v>
      </c>
      <c r="K54" s="64" t="s">
        <v>1</v>
      </c>
      <c r="L54" s="65">
        <v>1</v>
      </c>
      <c r="M54" s="99"/>
      <c r="N54" s="70"/>
      <c r="O54" s="106" t="s">
        <v>18232</v>
      </c>
      <c r="P54" s="57" t="s">
        <v>1</v>
      </c>
      <c r="Q54" s="58">
        <v>0.25</v>
      </c>
      <c r="R54" s="77" t="s">
        <v>422</v>
      </c>
      <c r="S54" s="66"/>
      <c r="T54" s="57"/>
      <c r="U54" s="58"/>
      <c r="V54" s="77"/>
      <c r="W54" s="228">
        <f>ROUND((ROUND((ROUND((ROUND((ROUND((_15_同援日２．０*_15・通訳),0)*_15・２人),0)*(1+_15・A早朝)),0)*(1+_15・盲ろう)),0)*(1+_15・区４)),0)</f>
        <v>956</v>
      </c>
      <c r="X54" s="69"/>
    </row>
    <row r="55" spans="1:24" ht="16.5" customHeight="1" x14ac:dyDescent="0.3">
      <c r="A55" s="2">
        <v>15</v>
      </c>
      <c r="B55" s="2" t="s">
        <v>3439</v>
      </c>
      <c r="C55" s="60" t="s">
        <v>13928</v>
      </c>
      <c r="D55" s="233" t="s">
        <v>18245</v>
      </c>
      <c r="E55" s="62"/>
      <c r="F55" s="75"/>
      <c r="G55" s="67"/>
      <c r="H55" s="68"/>
      <c r="I55" s="76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228">
        <f>ROUND((ROUND((_15_同援日２．５*_15・通訳),0)*(1+_15・A早朝)),0)</f>
        <v>616</v>
      </c>
      <c r="X55" s="69"/>
    </row>
    <row r="56" spans="1:24" ht="16.5" customHeight="1" x14ac:dyDescent="0.3">
      <c r="A56" s="2">
        <v>15</v>
      </c>
      <c r="B56" s="2" t="s">
        <v>3440</v>
      </c>
      <c r="C56" s="60" t="s">
        <v>13927</v>
      </c>
      <c r="D56" s="1" t="s">
        <v>17669</v>
      </c>
      <c r="E56" s="68"/>
      <c r="F56" s="70"/>
      <c r="G56" s="67"/>
      <c r="H56" s="68"/>
      <c r="I56" s="76"/>
      <c r="J56" s="83" t="s">
        <v>5895</v>
      </c>
      <c r="K56" s="64" t="s">
        <v>1</v>
      </c>
      <c r="L56" s="65">
        <v>1</v>
      </c>
      <c r="M56" s="99"/>
      <c r="N56" s="70"/>
      <c r="O56" s="66"/>
      <c r="P56" s="57"/>
      <c r="Q56" s="58"/>
      <c r="R56" s="77"/>
      <c r="S56" s="67"/>
      <c r="T56" s="68"/>
      <c r="U56" s="76"/>
      <c r="V56" s="70"/>
      <c r="W56" s="228">
        <f>ROUND((ROUND((ROUND((_15_同援日２．５*_15・通訳),0)*_15・２人),0)*(1+_15・A早朝)),0)</f>
        <v>616</v>
      </c>
      <c r="X56" s="69"/>
    </row>
    <row r="57" spans="1:24" ht="16.5" customHeight="1" x14ac:dyDescent="0.3">
      <c r="A57" s="2">
        <v>15</v>
      </c>
      <c r="B57" s="2" t="s">
        <v>3441</v>
      </c>
      <c r="C57" s="60" t="s">
        <v>13926</v>
      </c>
      <c r="D57" s="1" t="s">
        <v>8499</v>
      </c>
      <c r="E57" s="68"/>
      <c r="F57" s="70"/>
      <c r="G57" s="67"/>
      <c r="H57" s="68"/>
      <c r="I57" s="76"/>
      <c r="J57" s="85"/>
      <c r="K57" s="64"/>
      <c r="L57" s="65"/>
      <c r="M57" s="99"/>
      <c r="N57" s="70"/>
      <c r="O57" s="74" t="s">
        <v>8085</v>
      </c>
      <c r="P57" s="62"/>
      <c r="Q57" s="63"/>
      <c r="R57" s="75"/>
      <c r="S57" s="67"/>
      <c r="T57" s="68"/>
      <c r="U57" s="76"/>
      <c r="V57" s="70"/>
      <c r="W57" s="228">
        <f>ROUND((ROUND((ROUND((_15_同援日２．５*_15・通訳),0)*(1+_15・A早朝)),0)*(1+_15・盲ろう)),0)</f>
        <v>770</v>
      </c>
      <c r="X57" s="69"/>
    </row>
    <row r="58" spans="1:24" ht="16.5" customHeight="1" x14ac:dyDescent="0.3">
      <c r="A58" s="2">
        <v>15</v>
      </c>
      <c r="B58" s="2" t="s">
        <v>3442</v>
      </c>
      <c r="C58" s="60" t="s">
        <v>13925</v>
      </c>
      <c r="D58" s="1"/>
      <c r="E58" s="227">
        <v>548</v>
      </c>
      <c r="F58" s="70" t="s">
        <v>0</v>
      </c>
      <c r="G58" s="67"/>
      <c r="H58" s="68"/>
      <c r="I58" s="76"/>
      <c r="J58" s="83" t="s">
        <v>5895</v>
      </c>
      <c r="K58" s="64" t="s">
        <v>1</v>
      </c>
      <c r="L58" s="65">
        <v>1</v>
      </c>
      <c r="M58" s="99"/>
      <c r="N58" s="70"/>
      <c r="O58" s="106" t="s">
        <v>8083</v>
      </c>
      <c r="P58" s="57" t="s">
        <v>1</v>
      </c>
      <c r="Q58" s="58">
        <v>0.25</v>
      </c>
      <c r="R58" s="77" t="s">
        <v>422</v>
      </c>
      <c r="S58" s="66"/>
      <c r="T58" s="57"/>
      <c r="U58" s="58"/>
      <c r="V58" s="77"/>
      <c r="W58" s="228">
        <f>ROUND((ROUND((ROUND((ROUND((_15_同援日２．５*_15・通訳),0)*_15・２人),0)*(1+_15・A早朝)),0)*(1+_15・盲ろう)),0)</f>
        <v>770</v>
      </c>
      <c r="X58" s="69"/>
    </row>
    <row r="59" spans="1:24" ht="16.5" customHeight="1" x14ac:dyDescent="0.3">
      <c r="A59" s="2">
        <v>15</v>
      </c>
      <c r="B59" s="2" t="s">
        <v>3443</v>
      </c>
      <c r="C59" s="60" t="s">
        <v>13924</v>
      </c>
      <c r="D59" s="1"/>
      <c r="E59" s="68"/>
      <c r="F59" s="70"/>
      <c r="G59" s="67"/>
      <c r="H59" s="68"/>
      <c r="I59" s="76"/>
      <c r="J59" s="85"/>
      <c r="K59" s="64"/>
      <c r="L59" s="65"/>
      <c r="M59" s="99"/>
      <c r="N59" s="70"/>
      <c r="O59" s="61"/>
      <c r="P59" s="62"/>
      <c r="Q59" s="63"/>
      <c r="R59" s="75"/>
      <c r="S59" s="74" t="s">
        <v>18236</v>
      </c>
      <c r="T59" s="62"/>
      <c r="U59" s="63"/>
      <c r="V59" s="75"/>
      <c r="W59" s="228">
        <f>ROUND((ROUND((ROUND((_15_同援日２．５*_15・通訳),0)*(1+_15・A早朝)),0)*(1+_15・区３)),0)</f>
        <v>739</v>
      </c>
      <c r="X59" s="69"/>
    </row>
    <row r="60" spans="1:24" ht="16.5" customHeight="1" x14ac:dyDescent="0.3">
      <c r="A60" s="2">
        <v>15</v>
      </c>
      <c r="B60" s="2" t="s">
        <v>3444</v>
      </c>
      <c r="C60" s="60" t="s">
        <v>13923</v>
      </c>
      <c r="D60" s="1"/>
      <c r="E60" s="68"/>
      <c r="F60" s="70"/>
      <c r="G60" s="67"/>
      <c r="H60" s="68"/>
      <c r="I60" s="76"/>
      <c r="J60" s="83" t="s">
        <v>5895</v>
      </c>
      <c r="K60" s="64" t="s">
        <v>1</v>
      </c>
      <c r="L60" s="65">
        <v>1</v>
      </c>
      <c r="M60" s="99"/>
      <c r="N60" s="70"/>
      <c r="O60" s="66"/>
      <c r="P60" s="57"/>
      <c r="Q60" s="58"/>
      <c r="R60" s="77"/>
      <c r="S60" s="94" t="s">
        <v>18234</v>
      </c>
      <c r="T60" s="68"/>
      <c r="U60" s="76"/>
      <c r="V60" s="70"/>
      <c r="W60" s="228">
        <f>ROUND((ROUND((ROUND((ROUND((_15_同援日２．５*_15・通訳),0)*_15・２人),0)*(1+_15・A早朝)),0)*(1+_15・区３)),0)</f>
        <v>739</v>
      </c>
      <c r="X60" s="69"/>
    </row>
    <row r="61" spans="1:24" ht="16.5" customHeight="1" x14ac:dyDescent="0.3">
      <c r="A61" s="2">
        <v>15</v>
      </c>
      <c r="B61" s="2" t="s">
        <v>3445</v>
      </c>
      <c r="C61" s="60" t="s">
        <v>13922</v>
      </c>
      <c r="D61" s="1"/>
      <c r="E61" s="68"/>
      <c r="F61" s="70"/>
      <c r="G61" s="67"/>
      <c r="H61" s="68"/>
      <c r="I61" s="76"/>
      <c r="J61" s="85"/>
      <c r="K61" s="64"/>
      <c r="L61" s="65"/>
      <c r="M61" s="99"/>
      <c r="N61" s="70"/>
      <c r="O61" s="74" t="s">
        <v>18233</v>
      </c>
      <c r="P61" s="62"/>
      <c r="Q61" s="63"/>
      <c r="R61" s="75"/>
      <c r="S61" s="67"/>
      <c r="T61" s="68" t="s">
        <v>1</v>
      </c>
      <c r="U61" s="76">
        <v>0.2</v>
      </c>
      <c r="V61" s="70" t="s">
        <v>422</v>
      </c>
      <c r="W61" s="228">
        <f>ROUND((ROUND((ROUND((ROUND((_15_同援日２．５*_15・通訳),0)*(1+_15・A早朝)),0)*(1+_15・盲ろう)),0)*(1+_15・区３)),0)</f>
        <v>924</v>
      </c>
      <c r="X61" s="69"/>
    </row>
    <row r="62" spans="1:24" ht="16.5" customHeight="1" x14ac:dyDescent="0.3">
      <c r="A62" s="2">
        <v>15</v>
      </c>
      <c r="B62" s="2" t="s">
        <v>3446</v>
      </c>
      <c r="C62" s="60" t="s">
        <v>13921</v>
      </c>
      <c r="D62" s="1"/>
      <c r="E62" s="68"/>
      <c r="F62" s="70"/>
      <c r="G62" s="67"/>
      <c r="H62" s="68"/>
      <c r="I62" s="76"/>
      <c r="J62" s="83" t="s">
        <v>5895</v>
      </c>
      <c r="K62" s="64" t="s">
        <v>1</v>
      </c>
      <c r="L62" s="65">
        <v>1</v>
      </c>
      <c r="M62" s="99"/>
      <c r="N62" s="70"/>
      <c r="O62" s="106" t="s">
        <v>18232</v>
      </c>
      <c r="P62" s="57" t="s">
        <v>1</v>
      </c>
      <c r="Q62" s="58">
        <v>0.25</v>
      </c>
      <c r="R62" s="77" t="s">
        <v>422</v>
      </c>
      <c r="S62" s="66"/>
      <c r="T62" s="57"/>
      <c r="U62" s="58"/>
      <c r="V62" s="77"/>
      <c r="W62" s="228">
        <f>ROUND((ROUND((ROUND((ROUND((ROUND((_15_同援日２．５*_15・通訳),0)*_15・２人),0)*(1+_15・A早朝)),0)*(1+_15・盲ろう)),0)*(1+_15・区３)),0)</f>
        <v>924</v>
      </c>
      <c r="X62" s="69"/>
    </row>
    <row r="63" spans="1:24" ht="16.5" customHeight="1" x14ac:dyDescent="0.3">
      <c r="A63" s="2">
        <v>15</v>
      </c>
      <c r="B63" s="2" t="s">
        <v>3447</v>
      </c>
      <c r="C63" s="60" t="s">
        <v>13920</v>
      </c>
      <c r="D63" s="1"/>
      <c r="E63" s="68"/>
      <c r="F63" s="70"/>
      <c r="G63" s="67"/>
      <c r="H63" s="68"/>
      <c r="I63" s="76"/>
      <c r="J63" s="85"/>
      <c r="K63" s="64"/>
      <c r="L63" s="65"/>
      <c r="M63" s="99"/>
      <c r="N63" s="70"/>
      <c r="O63" s="61"/>
      <c r="P63" s="62"/>
      <c r="Q63" s="63"/>
      <c r="R63" s="75"/>
      <c r="S63" s="74" t="s">
        <v>18235</v>
      </c>
      <c r="T63" s="62"/>
      <c r="U63" s="63"/>
      <c r="V63" s="75"/>
      <c r="W63" s="228">
        <f>ROUND((ROUND((ROUND((_15_同援日２．５*_15・通訳),0)*(1+_15・A早朝)),0)*(1+_15・区４)),0)</f>
        <v>862</v>
      </c>
      <c r="X63" s="69"/>
    </row>
    <row r="64" spans="1:24" ht="16.5" customHeight="1" x14ac:dyDescent="0.3">
      <c r="A64" s="2">
        <v>15</v>
      </c>
      <c r="B64" s="2" t="s">
        <v>3448</v>
      </c>
      <c r="C64" s="60" t="s">
        <v>13919</v>
      </c>
      <c r="D64" s="1"/>
      <c r="E64" s="68"/>
      <c r="F64" s="70"/>
      <c r="G64" s="67"/>
      <c r="H64" s="68"/>
      <c r="I64" s="76"/>
      <c r="J64" s="83" t="s">
        <v>5895</v>
      </c>
      <c r="K64" s="64" t="s">
        <v>1</v>
      </c>
      <c r="L64" s="65">
        <v>1</v>
      </c>
      <c r="M64" s="99"/>
      <c r="N64" s="70"/>
      <c r="O64" s="66"/>
      <c r="P64" s="57"/>
      <c r="Q64" s="58"/>
      <c r="R64" s="77"/>
      <c r="S64" s="94" t="s">
        <v>18234</v>
      </c>
      <c r="T64" s="68"/>
      <c r="U64" s="76"/>
      <c r="V64" s="70"/>
      <c r="W64" s="228">
        <f>ROUND((ROUND((ROUND((ROUND((_15_同援日２．５*_15・通訳),0)*_15・２人),0)*(1+_15・A早朝)),0)*(1+_15・区４)),0)</f>
        <v>862</v>
      </c>
      <c r="X64" s="69"/>
    </row>
    <row r="65" spans="1:24" ht="16.5" customHeight="1" x14ac:dyDescent="0.3">
      <c r="A65" s="2">
        <v>15</v>
      </c>
      <c r="B65" s="2" t="s">
        <v>3449</v>
      </c>
      <c r="C65" s="60" t="s">
        <v>13918</v>
      </c>
      <c r="D65" s="1"/>
      <c r="E65" s="68"/>
      <c r="F65" s="70"/>
      <c r="G65" s="67"/>
      <c r="H65" s="68"/>
      <c r="I65" s="76"/>
      <c r="J65" s="85"/>
      <c r="K65" s="64"/>
      <c r="L65" s="65"/>
      <c r="M65" s="99"/>
      <c r="N65" s="70"/>
      <c r="O65" s="74" t="s">
        <v>18233</v>
      </c>
      <c r="P65" s="62"/>
      <c r="Q65" s="63"/>
      <c r="R65" s="75"/>
      <c r="S65" s="67"/>
      <c r="T65" s="68" t="s">
        <v>1</v>
      </c>
      <c r="U65" s="76">
        <v>0.4</v>
      </c>
      <c r="V65" s="70" t="s">
        <v>422</v>
      </c>
      <c r="W65" s="228">
        <f>ROUND((ROUND((ROUND((ROUND((_15_同援日２．５*_15・通訳),0)*(1+_15・A早朝)),0)*(1+_15・盲ろう)),0)*(1+_15・区４)),0)</f>
        <v>1078</v>
      </c>
      <c r="X65" s="69"/>
    </row>
    <row r="66" spans="1:24" ht="16.5" customHeight="1" x14ac:dyDescent="0.3">
      <c r="A66" s="2">
        <v>15</v>
      </c>
      <c r="B66" s="2" t="s">
        <v>3450</v>
      </c>
      <c r="C66" s="60" t="s">
        <v>13917</v>
      </c>
      <c r="D66" s="81"/>
      <c r="E66" s="57"/>
      <c r="F66" s="77"/>
      <c r="G66" s="66"/>
      <c r="H66" s="57"/>
      <c r="I66" s="58"/>
      <c r="J66" s="83" t="s">
        <v>5895</v>
      </c>
      <c r="K66" s="64" t="s">
        <v>1</v>
      </c>
      <c r="L66" s="65">
        <v>1</v>
      </c>
      <c r="M66" s="101"/>
      <c r="N66" s="77"/>
      <c r="O66" s="106" t="s">
        <v>18232</v>
      </c>
      <c r="P66" s="57" t="s">
        <v>1</v>
      </c>
      <c r="Q66" s="58">
        <v>0.25</v>
      </c>
      <c r="R66" s="77" t="s">
        <v>422</v>
      </c>
      <c r="S66" s="66"/>
      <c r="T66" s="57"/>
      <c r="U66" s="58"/>
      <c r="V66" s="77"/>
      <c r="W66" s="228">
        <f>ROUND((ROUND((ROUND((ROUND((ROUND((_15_同援日２．５*_15・通訳),0)*_15・２人),0)*(1+_15・A早朝)),0)*(1+_15・盲ろう)),0)*(1+_15・区４)),0)</f>
        <v>1078</v>
      </c>
      <c r="X66" s="71"/>
    </row>
    <row r="67" spans="1:24" ht="16.5" customHeight="1" x14ac:dyDescent="0.3">
      <c r="J67" s="47"/>
      <c r="K67" s="47"/>
      <c r="N67" s="47"/>
      <c r="O67" s="47"/>
    </row>
    <row r="68" spans="1:24" ht="16.5" customHeight="1" x14ac:dyDescent="0.3">
      <c r="J68" s="47"/>
      <c r="K68" s="47"/>
      <c r="N68" s="47"/>
      <c r="O68" s="47"/>
    </row>
    <row r="69" spans="1:24" ht="16.5" customHeight="1" x14ac:dyDescent="0.3">
      <c r="B69" s="229" t="s">
        <v>18244</v>
      </c>
      <c r="C69" s="131"/>
      <c r="D69" s="72"/>
      <c r="J69" s="47"/>
      <c r="K69" s="47"/>
      <c r="N69" s="47"/>
      <c r="O69" s="47"/>
    </row>
    <row r="70" spans="1:24" ht="16.5" customHeight="1" x14ac:dyDescent="0.3">
      <c r="A70" s="50" t="s">
        <v>5864</v>
      </c>
      <c r="B70" s="51"/>
      <c r="C70" s="52" t="s">
        <v>5867</v>
      </c>
      <c r="D70" s="79" t="s">
        <v>5868</v>
      </c>
      <c r="E70" s="53"/>
      <c r="F70" s="53"/>
      <c r="G70" s="53"/>
      <c r="H70" s="53"/>
      <c r="I70" s="54"/>
      <c r="J70" s="53"/>
      <c r="K70" s="53"/>
      <c r="L70" s="54"/>
      <c r="M70" s="116"/>
      <c r="N70" s="102"/>
      <c r="O70" s="53"/>
      <c r="P70" s="53"/>
      <c r="Q70" s="54"/>
      <c r="R70" s="53"/>
      <c r="S70" s="53"/>
      <c r="T70" s="53"/>
      <c r="U70" s="54"/>
      <c r="V70" s="53"/>
      <c r="W70" s="55" t="s">
        <v>5869</v>
      </c>
      <c r="X70" s="55" t="s">
        <v>5871</v>
      </c>
    </row>
    <row r="71" spans="1:24" ht="16.5" customHeight="1" x14ac:dyDescent="0.3">
      <c r="A71" s="2" t="s">
        <v>5865</v>
      </c>
      <c r="B71" s="2" t="s">
        <v>5866</v>
      </c>
      <c r="C71" s="56"/>
      <c r="D71" s="73"/>
      <c r="E71" s="57"/>
      <c r="F71" s="57"/>
      <c r="G71" s="57"/>
      <c r="H71" s="57"/>
      <c r="I71" s="58"/>
      <c r="J71" s="57"/>
      <c r="K71" s="57"/>
      <c r="L71" s="57"/>
      <c r="M71" s="57"/>
      <c r="N71" s="57"/>
      <c r="O71" s="57"/>
      <c r="P71" s="57"/>
      <c r="Q71" s="58"/>
      <c r="R71" s="57"/>
      <c r="S71" s="57"/>
      <c r="T71" s="57"/>
      <c r="U71" s="58"/>
      <c r="V71" s="57"/>
      <c r="W71" s="59" t="s">
        <v>5870</v>
      </c>
      <c r="X71" s="59" t="s">
        <v>0</v>
      </c>
    </row>
    <row r="72" spans="1:24" ht="16.5" customHeight="1" x14ac:dyDescent="0.3">
      <c r="A72" s="2">
        <v>15</v>
      </c>
      <c r="B72" s="2" t="s">
        <v>3451</v>
      </c>
      <c r="C72" s="60" t="s">
        <v>13916</v>
      </c>
      <c r="D72" s="233" t="s">
        <v>18243</v>
      </c>
      <c r="E72" s="62"/>
      <c r="F72" s="75"/>
      <c r="G72" s="61"/>
      <c r="H72" s="62"/>
      <c r="I72" s="63"/>
      <c r="J72" s="85"/>
      <c r="K72" s="64"/>
      <c r="L72" s="65"/>
      <c r="M72" s="98"/>
      <c r="N72" s="75"/>
      <c r="O72" s="61"/>
      <c r="P72" s="62"/>
      <c r="Q72" s="63"/>
      <c r="R72" s="75"/>
      <c r="S72" s="61"/>
      <c r="T72" s="62"/>
      <c r="U72" s="63"/>
      <c r="V72" s="75"/>
      <c r="W72" s="120">
        <f>ROUND((ROUND((_15_同援日０．５*_15・通訳),0)*(1+_15・A夜間)),0)</f>
        <v>208</v>
      </c>
      <c r="X72" s="52" t="s">
        <v>5863</v>
      </c>
    </row>
    <row r="73" spans="1:24" ht="16.5" customHeight="1" x14ac:dyDescent="0.3">
      <c r="A73" s="2">
        <v>15</v>
      </c>
      <c r="B73" s="2" t="s">
        <v>3452</v>
      </c>
      <c r="C73" s="60" t="s">
        <v>13915</v>
      </c>
      <c r="D73" s="1" t="s">
        <v>7928</v>
      </c>
      <c r="E73" s="68"/>
      <c r="F73" s="70"/>
      <c r="G73" s="67"/>
      <c r="H73" s="68"/>
      <c r="I73" s="76"/>
      <c r="J73" s="83" t="s">
        <v>5895</v>
      </c>
      <c r="K73" s="64" t="s">
        <v>1</v>
      </c>
      <c r="L73" s="65">
        <v>1</v>
      </c>
      <c r="M73" s="99"/>
      <c r="N73" s="70"/>
      <c r="O73" s="66"/>
      <c r="P73" s="57"/>
      <c r="Q73" s="58"/>
      <c r="R73" s="77"/>
      <c r="S73" s="67"/>
      <c r="T73" s="68"/>
      <c r="U73" s="76"/>
      <c r="V73" s="70"/>
      <c r="W73" s="120">
        <f>ROUND((ROUND((ROUND((_15_同援日０．５*_15・通訳),0)*_15・２人),0)*(1+_15・A夜間)),0)</f>
        <v>208</v>
      </c>
      <c r="X73" s="69"/>
    </row>
    <row r="74" spans="1:24" ht="16.5" customHeight="1" x14ac:dyDescent="0.3">
      <c r="A74" s="2">
        <v>15</v>
      </c>
      <c r="B74" s="2" t="s">
        <v>3453</v>
      </c>
      <c r="C74" s="60" t="s">
        <v>13914</v>
      </c>
      <c r="D74" s="1"/>
      <c r="E74" s="68"/>
      <c r="F74" s="70"/>
      <c r="G74" s="67"/>
      <c r="H74" s="68"/>
      <c r="I74" s="76"/>
      <c r="J74" s="85"/>
      <c r="K74" s="64"/>
      <c r="L74" s="65"/>
      <c r="M74" s="99"/>
      <c r="N74" s="70"/>
      <c r="O74" s="74" t="s">
        <v>18233</v>
      </c>
      <c r="P74" s="62"/>
      <c r="Q74" s="63"/>
      <c r="R74" s="75"/>
      <c r="S74" s="67"/>
      <c r="T74" s="68"/>
      <c r="U74" s="76"/>
      <c r="V74" s="70"/>
      <c r="W74" s="120">
        <f>ROUND((ROUND((ROUND((_15_同援日０．５*_15・通訳),0)*(1+_15・A夜間)),0)*(1+_15・盲ろう)),0)</f>
        <v>260</v>
      </c>
      <c r="X74" s="69"/>
    </row>
    <row r="75" spans="1:24" ht="16.5" customHeight="1" x14ac:dyDescent="0.3">
      <c r="A75" s="2">
        <v>15</v>
      </c>
      <c r="B75" s="2" t="s">
        <v>3454</v>
      </c>
      <c r="C75" s="60" t="s">
        <v>13913</v>
      </c>
      <c r="D75" s="1"/>
      <c r="E75" s="119">
        <v>184</v>
      </c>
      <c r="F75" s="70" t="s">
        <v>0</v>
      </c>
      <c r="G75" s="67"/>
      <c r="H75" s="68"/>
      <c r="I75" s="76"/>
      <c r="J75" s="83" t="s">
        <v>5895</v>
      </c>
      <c r="K75" s="64" t="s">
        <v>1</v>
      </c>
      <c r="L75" s="65">
        <v>1</v>
      </c>
      <c r="M75" s="99"/>
      <c r="N75" s="70"/>
      <c r="O75" s="106" t="s">
        <v>18232</v>
      </c>
      <c r="P75" s="57" t="s">
        <v>1</v>
      </c>
      <c r="Q75" s="58">
        <v>0.25</v>
      </c>
      <c r="R75" s="77" t="s">
        <v>422</v>
      </c>
      <c r="S75" s="66"/>
      <c r="T75" s="57"/>
      <c r="U75" s="58"/>
      <c r="V75" s="77"/>
      <c r="W75" s="120">
        <f>ROUND((ROUND((ROUND((ROUND((_15_同援日０．５*_15・通訳),0)*_15・２人),0)*(1+_15・A夜間)),0)*(1+_15・盲ろう)),0)</f>
        <v>260</v>
      </c>
      <c r="X75" s="69"/>
    </row>
    <row r="76" spans="1:24" ht="16.5" customHeight="1" x14ac:dyDescent="0.3">
      <c r="A76" s="2">
        <v>15</v>
      </c>
      <c r="B76" s="2" t="s">
        <v>3455</v>
      </c>
      <c r="C76" s="60" t="s">
        <v>13912</v>
      </c>
      <c r="D76" s="1"/>
      <c r="E76" s="68"/>
      <c r="F76" s="70"/>
      <c r="G76" s="67"/>
      <c r="H76" s="68"/>
      <c r="I76" s="76"/>
      <c r="J76" s="85"/>
      <c r="K76" s="64"/>
      <c r="L76" s="65"/>
      <c r="M76" s="99"/>
      <c r="N76" s="70"/>
      <c r="O76" s="61"/>
      <c r="P76" s="62"/>
      <c r="Q76" s="63"/>
      <c r="R76" s="75"/>
      <c r="S76" s="74" t="s">
        <v>18236</v>
      </c>
      <c r="T76" s="62"/>
      <c r="U76" s="63"/>
      <c r="V76" s="75"/>
      <c r="W76" s="120">
        <f>ROUND((ROUND((ROUND((_15_同援日０．５*_15・通訳),0)*(1+_15・A夜間)),0)*(1+_15・区３)),0)</f>
        <v>250</v>
      </c>
      <c r="X76" s="69"/>
    </row>
    <row r="77" spans="1:24" ht="16.5" customHeight="1" x14ac:dyDescent="0.3">
      <c r="A77" s="2">
        <v>15</v>
      </c>
      <c r="B77" s="2" t="s">
        <v>3456</v>
      </c>
      <c r="C77" s="60" t="s">
        <v>13911</v>
      </c>
      <c r="D77" s="1"/>
      <c r="E77" s="68"/>
      <c r="F77" s="70"/>
      <c r="G77" s="1" t="s">
        <v>13802</v>
      </c>
      <c r="H77" s="68"/>
      <c r="I77" s="76"/>
      <c r="J77" s="83" t="s">
        <v>5895</v>
      </c>
      <c r="K77" s="64" t="s">
        <v>1</v>
      </c>
      <c r="L77" s="65">
        <v>1</v>
      </c>
      <c r="M77" s="99" t="s">
        <v>6036</v>
      </c>
      <c r="N77" s="70"/>
      <c r="O77" s="66"/>
      <c r="P77" s="57"/>
      <c r="Q77" s="58"/>
      <c r="R77" s="77"/>
      <c r="S77" s="94" t="s">
        <v>18234</v>
      </c>
      <c r="T77" s="68"/>
      <c r="U77" s="76"/>
      <c r="V77" s="70"/>
      <c r="W77" s="120">
        <f>ROUND((ROUND((ROUND((ROUND((_15_同援日０．５*_15・通訳),0)*_15・２人),0)*(1+_15・A夜間)),0)*(1+_15・区３)),0)</f>
        <v>250</v>
      </c>
      <c r="X77" s="69"/>
    </row>
    <row r="78" spans="1:24" ht="16.5" customHeight="1" x14ac:dyDescent="0.3">
      <c r="A78" s="2">
        <v>15</v>
      </c>
      <c r="B78" s="2" t="s">
        <v>3457</v>
      </c>
      <c r="C78" s="60" t="s">
        <v>13910</v>
      </c>
      <c r="D78" s="1"/>
      <c r="E78" s="68"/>
      <c r="F78" s="70"/>
      <c r="G78" s="94" t="s">
        <v>13800</v>
      </c>
      <c r="H78" s="68" t="s">
        <v>1</v>
      </c>
      <c r="I78" s="76">
        <v>0.9</v>
      </c>
      <c r="J78" s="85"/>
      <c r="K78" s="64"/>
      <c r="L78" s="65"/>
      <c r="M78" s="99"/>
      <c r="N78" s="100" t="s">
        <v>8034</v>
      </c>
      <c r="O78" s="74" t="s">
        <v>18233</v>
      </c>
      <c r="P78" s="62"/>
      <c r="Q78" s="63"/>
      <c r="R78" s="75"/>
      <c r="S78" s="67"/>
      <c r="T78" s="68" t="s">
        <v>1</v>
      </c>
      <c r="U78" s="76">
        <v>0.2</v>
      </c>
      <c r="V78" s="70" t="s">
        <v>422</v>
      </c>
      <c r="W78" s="120">
        <f>ROUND((ROUND((ROUND((ROUND((_15_同援日０．５*_15・通訳),0)*(1+_15・A夜間)),0)*(1+_15・盲ろう)),0)*(1+_15・区３)),0)</f>
        <v>312</v>
      </c>
      <c r="X78" s="69"/>
    </row>
    <row r="79" spans="1:24" ht="16.5" customHeight="1" x14ac:dyDescent="0.3">
      <c r="A79" s="2">
        <v>15</v>
      </c>
      <c r="B79" s="2" t="s">
        <v>3458</v>
      </c>
      <c r="C79" s="60" t="s">
        <v>13909</v>
      </c>
      <c r="D79" s="1"/>
      <c r="E79" s="68"/>
      <c r="F79" s="70"/>
      <c r="G79" s="67"/>
      <c r="H79" s="68"/>
      <c r="I79" s="76"/>
      <c r="J79" s="83" t="s">
        <v>5895</v>
      </c>
      <c r="K79" s="64" t="s">
        <v>1</v>
      </c>
      <c r="L79" s="65">
        <v>1</v>
      </c>
      <c r="M79" s="99"/>
      <c r="N79" s="70"/>
      <c r="O79" s="106" t="s">
        <v>18232</v>
      </c>
      <c r="P79" s="57" t="s">
        <v>1</v>
      </c>
      <c r="Q79" s="58">
        <v>0.25</v>
      </c>
      <c r="R79" s="77" t="s">
        <v>422</v>
      </c>
      <c r="S79" s="66"/>
      <c r="T79" s="57"/>
      <c r="U79" s="58"/>
      <c r="V79" s="77"/>
      <c r="W79" s="120">
        <f>ROUND((ROUND((ROUND((ROUND((ROUND((_15_同援日０．５*_15・通訳),0)*_15・２人),0)*(1+_15・A夜間)),0)*(1+_15・盲ろう)),0)*(1+_15・区３)),0)</f>
        <v>312</v>
      </c>
      <c r="X79" s="69"/>
    </row>
    <row r="80" spans="1:24" ht="16.5" customHeight="1" x14ac:dyDescent="0.3">
      <c r="A80" s="2">
        <v>15</v>
      </c>
      <c r="B80" s="2" t="s">
        <v>3459</v>
      </c>
      <c r="C80" s="60" t="s">
        <v>13908</v>
      </c>
      <c r="D80" s="1"/>
      <c r="E80" s="68"/>
      <c r="F80" s="70"/>
      <c r="G80" s="67"/>
      <c r="H80" s="68"/>
      <c r="I80" s="76"/>
      <c r="J80" s="85"/>
      <c r="K80" s="64"/>
      <c r="L80" s="65"/>
      <c r="M80" s="67" t="s">
        <v>1</v>
      </c>
      <c r="N80" s="93">
        <v>0.25</v>
      </c>
      <c r="O80" s="61"/>
      <c r="P80" s="62"/>
      <c r="Q80" s="63"/>
      <c r="R80" s="75"/>
      <c r="S80" s="74" t="s">
        <v>8089</v>
      </c>
      <c r="T80" s="62"/>
      <c r="U80" s="63"/>
      <c r="V80" s="75"/>
      <c r="W80" s="120">
        <f>ROUND((ROUND((ROUND((_15_同援日０．５*_15・通訳),0)*(1+_15・A夜間)),0)*(1+_15・区４)),0)</f>
        <v>291</v>
      </c>
      <c r="X80" s="69"/>
    </row>
    <row r="81" spans="1:24" ht="16.5" customHeight="1" x14ac:dyDescent="0.3">
      <c r="A81" s="2">
        <v>15</v>
      </c>
      <c r="B81" s="2" t="s">
        <v>3460</v>
      </c>
      <c r="C81" s="60" t="s">
        <v>13907</v>
      </c>
      <c r="D81" s="1"/>
      <c r="E81" s="68"/>
      <c r="F81" s="70"/>
      <c r="G81" s="67"/>
      <c r="H81" s="68"/>
      <c r="I81" s="76"/>
      <c r="J81" s="83" t="s">
        <v>5895</v>
      </c>
      <c r="K81" s="64" t="s">
        <v>1</v>
      </c>
      <c r="L81" s="65">
        <v>1</v>
      </c>
      <c r="M81" s="99"/>
      <c r="N81" s="100" t="s">
        <v>422</v>
      </c>
      <c r="O81" s="66"/>
      <c r="P81" s="57"/>
      <c r="Q81" s="58"/>
      <c r="R81" s="77"/>
      <c r="S81" s="94" t="s">
        <v>8087</v>
      </c>
      <c r="T81" s="68"/>
      <c r="U81" s="76"/>
      <c r="V81" s="70"/>
      <c r="W81" s="120">
        <f>ROUND((ROUND((ROUND((ROUND((_15_同援日０．５*_15・通訳),0)*_15・２人),0)*(1+_15・A夜間)),0)*(1+_15・区４)),0)</f>
        <v>291</v>
      </c>
      <c r="X81" s="69"/>
    </row>
    <row r="82" spans="1:24" ht="16.5" customHeight="1" x14ac:dyDescent="0.3">
      <c r="A82" s="2">
        <v>15</v>
      </c>
      <c r="B82" s="2" t="s">
        <v>3461</v>
      </c>
      <c r="C82" s="60" t="s">
        <v>13906</v>
      </c>
      <c r="D82" s="1"/>
      <c r="E82" s="68"/>
      <c r="F82" s="70"/>
      <c r="G82" s="67"/>
      <c r="H82" s="68"/>
      <c r="I82" s="76"/>
      <c r="J82" s="85"/>
      <c r="K82" s="64"/>
      <c r="L82" s="65"/>
      <c r="M82" s="99"/>
      <c r="N82" s="70"/>
      <c r="O82" s="74" t="s">
        <v>18233</v>
      </c>
      <c r="P82" s="62"/>
      <c r="Q82" s="63"/>
      <c r="R82" s="75"/>
      <c r="S82" s="67"/>
      <c r="T82" s="68" t="s">
        <v>1</v>
      </c>
      <c r="U82" s="76">
        <v>0.4</v>
      </c>
      <c r="V82" s="70" t="s">
        <v>422</v>
      </c>
      <c r="W82" s="120">
        <f>ROUND((ROUND((ROUND((ROUND((_15_同援日０．５*_15・通訳),0)*(1+_15・A夜間)),0)*(1+_15・盲ろう)),0)*(1+_15・区４)),0)</f>
        <v>364</v>
      </c>
      <c r="X82" s="69"/>
    </row>
    <row r="83" spans="1:24" ht="16.5" customHeight="1" x14ac:dyDescent="0.3">
      <c r="A83" s="2">
        <v>15</v>
      </c>
      <c r="B83" s="2" t="s">
        <v>3462</v>
      </c>
      <c r="C83" s="60" t="s">
        <v>13905</v>
      </c>
      <c r="D83" s="81"/>
      <c r="E83" s="57"/>
      <c r="F83" s="77"/>
      <c r="G83" s="67"/>
      <c r="H83" s="68"/>
      <c r="I83" s="76"/>
      <c r="J83" s="83" t="s">
        <v>5895</v>
      </c>
      <c r="K83" s="64" t="s">
        <v>1</v>
      </c>
      <c r="L83" s="65">
        <v>1</v>
      </c>
      <c r="M83" s="99"/>
      <c r="N83" s="70"/>
      <c r="O83" s="106" t="s">
        <v>18232</v>
      </c>
      <c r="P83" s="57" t="s">
        <v>1</v>
      </c>
      <c r="Q83" s="58">
        <v>0.25</v>
      </c>
      <c r="R83" s="77" t="s">
        <v>422</v>
      </c>
      <c r="S83" s="66"/>
      <c r="T83" s="57"/>
      <c r="U83" s="58"/>
      <c r="V83" s="77"/>
      <c r="W83" s="120">
        <f>ROUND((ROUND((ROUND((ROUND((ROUND((_15_同援日０．５*_15・通訳),0)*_15・２人),0)*(1+_15・A夜間)),0)*(1+_15・盲ろう)),0)*(1+_15・区４)),0)</f>
        <v>364</v>
      </c>
      <c r="X83" s="69"/>
    </row>
    <row r="84" spans="1:24" ht="16.5" customHeight="1" x14ac:dyDescent="0.3">
      <c r="A84" s="2">
        <v>15</v>
      </c>
      <c r="B84" s="2" t="s">
        <v>3463</v>
      </c>
      <c r="C84" s="60" t="s">
        <v>13904</v>
      </c>
      <c r="D84" s="233" t="s">
        <v>16304</v>
      </c>
      <c r="E84" s="62"/>
      <c r="F84" s="75"/>
      <c r="G84" s="67"/>
      <c r="H84" s="68"/>
      <c r="I84" s="76"/>
      <c r="J84" s="85"/>
      <c r="K84" s="64"/>
      <c r="L84" s="65"/>
      <c r="M84" s="99"/>
      <c r="N84" s="70"/>
      <c r="O84" s="61"/>
      <c r="P84" s="62"/>
      <c r="Q84" s="63"/>
      <c r="R84" s="75"/>
      <c r="S84" s="61"/>
      <c r="T84" s="62"/>
      <c r="U84" s="63"/>
      <c r="V84" s="75"/>
      <c r="W84" s="228">
        <f>ROUND((ROUND((_15_同援日１．０*_15・通訳),0)*(1+_15・A夜間)),0)</f>
        <v>329</v>
      </c>
      <c r="X84" s="69"/>
    </row>
    <row r="85" spans="1:24" ht="16.5" customHeight="1" x14ac:dyDescent="0.3">
      <c r="A85" s="2">
        <v>15</v>
      </c>
      <c r="B85" s="2" t="s">
        <v>3464</v>
      </c>
      <c r="C85" s="60" t="s">
        <v>13903</v>
      </c>
      <c r="D85" s="1" t="s">
        <v>17441</v>
      </c>
      <c r="E85" s="68"/>
      <c r="F85" s="70"/>
      <c r="G85" s="67"/>
      <c r="H85" s="68"/>
      <c r="I85" s="76"/>
      <c r="J85" s="83" t="s">
        <v>5895</v>
      </c>
      <c r="K85" s="64" t="s">
        <v>1</v>
      </c>
      <c r="L85" s="65">
        <v>1</v>
      </c>
      <c r="M85" s="99"/>
      <c r="N85" s="70"/>
      <c r="O85" s="66"/>
      <c r="P85" s="57"/>
      <c r="Q85" s="58"/>
      <c r="R85" s="77"/>
      <c r="S85" s="67"/>
      <c r="T85" s="68"/>
      <c r="U85" s="76"/>
      <c r="V85" s="70"/>
      <c r="W85" s="228">
        <f>ROUND((ROUND((ROUND((_15_同援日１．０*_15・通訳),0)*_15・２人),0)*(1+_15・A夜間)),0)</f>
        <v>329</v>
      </c>
      <c r="X85" s="69"/>
    </row>
    <row r="86" spans="1:24" ht="16.5" customHeight="1" x14ac:dyDescent="0.3">
      <c r="A86" s="2">
        <v>15</v>
      </c>
      <c r="B86" s="2" t="s">
        <v>3465</v>
      </c>
      <c r="C86" s="60" t="s">
        <v>13902</v>
      </c>
      <c r="D86" s="1" t="s">
        <v>8572</v>
      </c>
      <c r="E86" s="68"/>
      <c r="F86" s="70"/>
      <c r="G86" s="67"/>
      <c r="H86" s="68"/>
      <c r="I86" s="76"/>
      <c r="J86" s="85"/>
      <c r="K86" s="64"/>
      <c r="L86" s="65"/>
      <c r="M86" s="99"/>
      <c r="N86" s="70"/>
      <c r="O86" s="74" t="s">
        <v>8085</v>
      </c>
      <c r="P86" s="62"/>
      <c r="Q86" s="63"/>
      <c r="R86" s="75"/>
      <c r="S86" s="67"/>
      <c r="T86" s="68"/>
      <c r="U86" s="76"/>
      <c r="V86" s="70"/>
      <c r="W86" s="228">
        <f>ROUND((ROUND((ROUND((_15_同援日１．０*_15・通訳),0)*(1+_15・A夜間)),0)*(1+_15・盲ろう)),0)</f>
        <v>411</v>
      </c>
      <c r="X86" s="69"/>
    </row>
    <row r="87" spans="1:24" ht="16.5" customHeight="1" x14ac:dyDescent="0.3">
      <c r="A87" s="2">
        <v>15</v>
      </c>
      <c r="B87" s="2" t="s">
        <v>3466</v>
      </c>
      <c r="C87" s="60" t="s">
        <v>13901</v>
      </c>
      <c r="D87" s="1"/>
      <c r="E87" s="227">
        <v>292</v>
      </c>
      <c r="F87" s="70" t="s">
        <v>0</v>
      </c>
      <c r="G87" s="67"/>
      <c r="H87" s="68"/>
      <c r="I87" s="76"/>
      <c r="J87" s="83" t="s">
        <v>5895</v>
      </c>
      <c r="K87" s="64" t="s">
        <v>1</v>
      </c>
      <c r="L87" s="65">
        <v>1</v>
      </c>
      <c r="M87" s="99"/>
      <c r="N87" s="70"/>
      <c r="O87" s="106" t="s">
        <v>18232</v>
      </c>
      <c r="P87" s="57" t="s">
        <v>1</v>
      </c>
      <c r="Q87" s="58">
        <v>0.25</v>
      </c>
      <c r="R87" s="77" t="s">
        <v>422</v>
      </c>
      <c r="S87" s="66"/>
      <c r="T87" s="57"/>
      <c r="U87" s="58"/>
      <c r="V87" s="77"/>
      <c r="W87" s="228">
        <f>ROUND((ROUND((ROUND((ROUND((_15_同援日１．０*_15・通訳),0)*_15・２人),0)*(1+_15・A夜間)),0)*(1+_15・盲ろう)),0)</f>
        <v>411</v>
      </c>
      <c r="X87" s="69"/>
    </row>
    <row r="88" spans="1:24" ht="16.5" customHeight="1" x14ac:dyDescent="0.3">
      <c r="A88" s="2">
        <v>15</v>
      </c>
      <c r="B88" s="2" t="s">
        <v>3467</v>
      </c>
      <c r="C88" s="60" t="s">
        <v>13900</v>
      </c>
      <c r="D88" s="1"/>
      <c r="E88" s="68"/>
      <c r="F88" s="70"/>
      <c r="G88" s="67"/>
      <c r="H88" s="68"/>
      <c r="I88" s="76"/>
      <c r="J88" s="85"/>
      <c r="K88" s="64"/>
      <c r="L88" s="65"/>
      <c r="M88" s="99"/>
      <c r="N88" s="70"/>
      <c r="O88" s="61"/>
      <c r="P88" s="62"/>
      <c r="Q88" s="63"/>
      <c r="R88" s="75"/>
      <c r="S88" s="74" t="s">
        <v>18236</v>
      </c>
      <c r="T88" s="62"/>
      <c r="U88" s="63"/>
      <c r="V88" s="75"/>
      <c r="W88" s="228">
        <f>ROUND((ROUND((ROUND((_15_同援日１．０*_15・通訳),0)*(1+_15・A夜間)),0)*(1+_15・区３)),0)</f>
        <v>395</v>
      </c>
      <c r="X88" s="69"/>
    </row>
    <row r="89" spans="1:24" ht="16.5" customHeight="1" x14ac:dyDescent="0.3">
      <c r="A89" s="2">
        <v>15</v>
      </c>
      <c r="B89" s="2" t="s">
        <v>3468</v>
      </c>
      <c r="C89" s="60" t="s">
        <v>13899</v>
      </c>
      <c r="D89" s="1"/>
      <c r="E89" s="68"/>
      <c r="F89" s="70"/>
      <c r="G89" s="67"/>
      <c r="H89" s="68"/>
      <c r="I89" s="76"/>
      <c r="J89" s="83" t="s">
        <v>5895</v>
      </c>
      <c r="K89" s="64" t="s">
        <v>1</v>
      </c>
      <c r="L89" s="65">
        <v>1</v>
      </c>
      <c r="M89" s="99"/>
      <c r="N89" s="70"/>
      <c r="O89" s="66"/>
      <c r="P89" s="57"/>
      <c r="Q89" s="58"/>
      <c r="R89" s="77"/>
      <c r="S89" s="94" t="s">
        <v>18234</v>
      </c>
      <c r="T89" s="68"/>
      <c r="U89" s="76"/>
      <c r="V89" s="70"/>
      <c r="W89" s="228">
        <f>ROUND((ROUND((ROUND((ROUND((_15_同援日１．０*_15・通訳),0)*_15・２人),0)*(1+_15・A夜間)),0)*(1+_15・区３)),0)</f>
        <v>395</v>
      </c>
      <c r="X89" s="69"/>
    </row>
    <row r="90" spans="1:24" ht="16.5" customHeight="1" x14ac:dyDescent="0.3">
      <c r="A90" s="2">
        <v>15</v>
      </c>
      <c r="B90" s="2" t="s">
        <v>3469</v>
      </c>
      <c r="C90" s="60" t="s">
        <v>13898</v>
      </c>
      <c r="D90" s="1"/>
      <c r="E90" s="68"/>
      <c r="F90" s="70"/>
      <c r="G90" s="67"/>
      <c r="H90" s="68"/>
      <c r="I90" s="76"/>
      <c r="J90" s="85"/>
      <c r="K90" s="64"/>
      <c r="L90" s="65"/>
      <c r="M90" s="99"/>
      <c r="N90" s="70"/>
      <c r="O90" s="74" t="s">
        <v>18233</v>
      </c>
      <c r="P90" s="62"/>
      <c r="Q90" s="63"/>
      <c r="R90" s="75"/>
      <c r="S90" s="67"/>
      <c r="T90" s="68" t="s">
        <v>1</v>
      </c>
      <c r="U90" s="76">
        <v>0.2</v>
      </c>
      <c r="V90" s="70" t="s">
        <v>422</v>
      </c>
      <c r="W90" s="228">
        <f>ROUND((ROUND((ROUND((ROUND((_15_同援日１．０*_15・通訳),0)*(1+_15・A夜間)),0)*(1+_15・盲ろう)),0)*(1+_15・区３)),0)</f>
        <v>493</v>
      </c>
      <c r="X90" s="69"/>
    </row>
    <row r="91" spans="1:24" ht="16.5" customHeight="1" x14ac:dyDescent="0.3">
      <c r="A91" s="2">
        <v>15</v>
      </c>
      <c r="B91" s="2" t="s">
        <v>3470</v>
      </c>
      <c r="C91" s="60" t="s">
        <v>13897</v>
      </c>
      <c r="D91" s="1"/>
      <c r="E91" s="68"/>
      <c r="F91" s="70"/>
      <c r="G91" s="67"/>
      <c r="H91" s="68"/>
      <c r="I91" s="76"/>
      <c r="J91" s="83" t="s">
        <v>5895</v>
      </c>
      <c r="K91" s="64" t="s">
        <v>1</v>
      </c>
      <c r="L91" s="65">
        <v>1</v>
      </c>
      <c r="M91" s="99"/>
      <c r="N91" s="70"/>
      <c r="O91" s="106" t="s">
        <v>18232</v>
      </c>
      <c r="P91" s="57" t="s">
        <v>1</v>
      </c>
      <c r="Q91" s="58">
        <v>0.25</v>
      </c>
      <c r="R91" s="77" t="s">
        <v>422</v>
      </c>
      <c r="S91" s="66"/>
      <c r="T91" s="57"/>
      <c r="U91" s="58"/>
      <c r="V91" s="77"/>
      <c r="W91" s="228">
        <f>ROUND((ROUND((ROUND((ROUND((ROUND((_15_同援日１．０*_15・通訳),0)*_15・２人),0)*(1+_15・A夜間)),0)*(1+_15・盲ろう)),0)*(1+_15・区３)),0)</f>
        <v>493</v>
      </c>
      <c r="X91" s="69"/>
    </row>
    <row r="92" spans="1:24" ht="16.5" customHeight="1" x14ac:dyDescent="0.3">
      <c r="A92" s="2">
        <v>15</v>
      </c>
      <c r="B92" s="2" t="s">
        <v>3471</v>
      </c>
      <c r="C92" s="60" t="s">
        <v>13896</v>
      </c>
      <c r="D92" s="1"/>
      <c r="E92" s="68"/>
      <c r="F92" s="70"/>
      <c r="G92" s="67"/>
      <c r="H92" s="68"/>
      <c r="I92" s="76"/>
      <c r="J92" s="85"/>
      <c r="K92" s="64"/>
      <c r="L92" s="65"/>
      <c r="M92" s="99"/>
      <c r="N92" s="70"/>
      <c r="O92" s="61"/>
      <c r="P92" s="62"/>
      <c r="Q92" s="63"/>
      <c r="R92" s="75"/>
      <c r="S92" s="74" t="s">
        <v>18235</v>
      </c>
      <c r="T92" s="62"/>
      <c r="U92" s="63"/>
      <c r="V92" s="75"/>
      <c r="W92" s="228">
        <f>ROUND((ROUND((ROUND((_15_同援日１．０*_15・通訳),0)*(1+_15・A夜間)),0)*(1+_15・区４)),0)</f>
        <v>461</v>
      </c>
      <c r="X92" s="69"/>
    </row>
    <row r="93" spans="1:24" ht="16.5" customHeight="1" x14ac:dyDescent="0.3">
      <c r="A93" s="2">
        <v>15</v>
      </c>
      <c r="B93" s="2" t="s">
        <v>3472</v>
      </c>
      <c r="C93" s="60" t="s">
        <v>13895</v>
      </c>
      <c r="D93" s="1"/>
      <c r="E93" s="68"/>
      <c r="F93" s="70"/>
      <c r="G93" s="67"/>
      <c r="H93" s="68"/>
      <c r="I93" s="76"/>
      <c r="J93" s="83" t="s">
        <v>5895</v>
      </c>
      <c r="K93" s="64" t="s">
        <v>1</v>
      </c>
      <c r="L93" s="65">
        <v>1</v>
      </c>
      <c r="M93" s="99"/>
      <c r="N93" s="70"/>
      <c r="O93" s="66"/>
      <c r="P93" s="57"/>
      <c r="Q93" s="58"/>
      <c r="R93" s="77"/>
      <c r="S93" s="94" t="s">
        <v>18234</v>
      </c>
      <c r="T93" s="68"/>
      <c r="U93" s="76"/>
      <c r="V93" s="70"/>
      <c r="W93" s="228">
        <f>ROUND((ROUND((ROUND((ROUND((_15_同援日１．０*_15・通訳),0)*_15・２人),0)*(1+_15・A夜間)),0)*(1+_15・区４)),0)</f>
        <v>461</v>
      </c>
      <c r="X93" s="69"/>
    </row>
    <row r="94" spans="1:24" ht="16.5" customHeight="1" x14ac:dyDescent="0.3">
      <c r="A94" s="2">
        <v>15</v>
      </c>
      <c r="B94" s="2" t="s">
        <v>3473</v>
      </c>
      <c r="C94" s="60" t="s">
        <v>13894</v>
      </c>
      <c r="D94" s="1"/>
      <c r="E94" s="68"/>
      <c r="F94" s="70"/>
      <c r="G94" s="67"/>
      <c r="H94" s="68"/>
      <c r="I94" s="76"/>
      <c r="J94" s="85"/>
      <c r="K94" s="64"/>
      <c r="L94" s="65"/>
      <c r="M94" s="99"/>
      <c r="N94" s="70"/>
      <c r="O94" s="74" t="s">
        <v>18233</v>
      </c>
      <c r="P94" s="62"/>
      <c r="Q94" s="63"/>
      <c r="R94" s="75"/>
      <c r="S94" s="67"/>
      <c r="T94" s="68" t="s">
        <v>1</v>
      </c>
      <c r="U94" s="76">
        <v>0.4</v>
      </c>
      <c r="V94" s="70" t="s">
        <v>422</v>
      </c>
      <c r="W94" s="228">
        <f>ROUND((ROUND((ROUND((ROUND((_15_同援日１．０*_15・通訳),0)*(1+_15・A夜間)),0)*(1+_15・盲ろう)),0)*(1+_15・区４)),0)</f>
        <v>575</v>
      </c>
      <c r="X94" s="69"/>
    </row>
    <row r="95" spans="1:24" ht="16.5" customHeight="1" x14ac:dyDescent="0.3">
      <c r="A95" s="2">
        <v>15</v>
      </c>
      <c r="B95" s="2" t="s">
        <v>3474</v>
      </c>
      <c r="C95" s="60" t="s">
        <v>13893</v>
      </c>
      <c r="D95" s="81"/>
      <c r="E95" s="57"/>
      <c r="F95" s="77"/>
      <c r="G95" s="67"/>
      <c r="H95" s="68"/>
      <c r="I95" s="76"/>
      <c r="J95" s="83" t="s">
        <v>5895</v>
      </c>
      <c r="K95" s="64" t="s">
        <v>1</v>
      </c>
      <c r="L95" s="65">
        <v>1</v>
      </c>
      <c r="M95" s="99"/>
      <c r="N95" s="70"/>
      <c r="O95" s="106" t="s">
        <v>18232</v>
      </c>
      <c r="P95" s="57" t="s">
        <v>1</v>
      </c>
      <c r="Q95" s="58">
        <v>0.25</v>
      </c>
      <c r="R95" s="77" t="s">
        <v>422</v>
      </c>
      <c r="S95" s="66"/>
      <c r="T95" s="57"/>
      <c r="U95" s="58"/>
      <c r="V95" s="77"/>
      <c r="W95" s="228">
        <f>ROUND((ROUND((ROUND((ROUND((ROUND((_15_同援日１．０*_15・通訳),0)*_15・２人),0)*(1+_15・A夜間)),0)*(1+_15・盲ろう)),0)*(1+_15・区４)),0)</f>
        <v>575</v>
      </c>
      <c r="X95" s="69"/>
    </row>
    <row r="96" spans="1:24" ht="16.5" customHeight="1" x14ac:dyDescent="0.3">
      <c r="A96" s="2">
        <v>15</v>
      </c>
      <c r="B96" s="2" t="s">
        <v>3475</v>
      </c>
      <c r="C96" s="60" t="s">
        <v>13892</v>
      </c>
      <c r="D96" s="233" t="s">
        <v>18242</v>
      </c>
      <c r="E96" s="62"/>
      <c r="F96" s="75"/>
      <c r="G96" s="67"/>
      <c r="H96" s="68"/>
      <c r="I96" s="76"/>
      <c r="J96" s="85"/>
      <c r="K96" s="64"/>
      <c r="L96" s="65"/>
      <c r="M96" s="99"/>
      <c r="N96" s="70"/>
      <c r="O96" s="61"/>
      <c r="P96" s="62"/>
      <c r="Q96" s="63"/>
      <c r="R96" s="75"/>
      <c r="S96" s="61"/>
      <c r="T96" s="62"/>
      <c r="U96" s="63"/>
      <c r="V96" s="75"/>
      <c r="W96" s="228">
        <f>ROUND((ROUND((_15_同援日１．５*_15・通訳),0)*(1+_15・A夜間)),0)</f>
        <v>474</v>
      </c>
      <c r="X96" s="69"/>
    </row>
    <row r="97" spans="1:24" ht="16.5" customHeight="1" x14ac:dyDescent="0.3">
      <c r="A97" s="2">
        <v>15</v>
      </c>
      <c r="B97" s="2" t="s">
        <v>3476</v>
      </c>
      <c r="C97" s="60" t="s">
        <v>13891</v>
      </c>
      <c r="D97" s="1" t="s">
        <v>17436</v>
      </c>
      <c r="E97" s="68"/>
      <c r="F97" s="70"/>
      <c r="G97" s="67"/>
      <c r="H97" s="68"/>
      <c r="I97" s="76"/>
      <c r="J97" s="83" t="s">
        <v>5895</v>
      </c>
      <c r="K97" s="64" t="s">
        <v>1</v>
      </c>
      <c r="L97" s="65">
        <v>1</v>
      </c>
      <c r="M97" s="99"/>
      <c r="N97" s="70"/>
      <c r="O97" s="66"/>
      <c r="P97" s="57"/>
      <c r="Q97" s="58"/>
      <c r="R97" s="77"/>
      <c r="S97" s="67"/>
      <c r="T97" s="68"/>
      <c r="U97" s="76"/>
      <c r="V97" s="70"/>
      <c r="W97" s="228">
        <f>ROUND((ROUND((ROUND((_15_同援日１．５*_15・通訳),0)*_15・２人),0)*(1+_15・A夜間)),0)</f>
        <v>474</v>
      </c>
      <c r="X97" s="69"/>
    </row>
    <row r="98" spans="1:24" ht="16.5" customHeight="1" x14ac:dyDescent="0.3">
      <c r="A98" s="2">
        <v>15</v>
      </c>
      <c r="B98" s="2" t="s">
        <v>3477</v>
      </c>
      <c r="C98" s="60" t="s">
        <v>13890</v>
      </c>
      <c r="D98" s="1" t="s">
        <v>8767</v>
      </c>
      <c r="E98" s="68"/>
      <c r="F98" s="70"/>
      <c r="G98" s="67"/>
      <c r="H98" s="68"/>
      <c r="I98" s="76"/>
      <c r="J98" s="85"/>
      <c r="K98" s="64"/>
      <c r="L98" s="65"/>
      <c r="M98" s="99"/>
      <c r="N98" s="70"/>
      <c r="O98" s="74" t="s">
        <v>8085</v>
      </c>
      <c r="P98" s="62"/>
      <c r="Q98" s="63"/>
      <c r="R98" s="75"/>
      <c r="S98" s="67"/>
      <c r="T98" s="68"/>
      <c r="U98" s="76"/>
      <c r="V98" s="70"/>
      <c r="W98" s="228">
        <f>ROUND((ROUND((ROUND((_15_同援日１．５*_15・通訳),0)*(1+_15・A夜間)),0)*(1+_15・盲ろう)),0)</f>
        <v>593</v>
      </c>
      <c r="X98" s="69"/>
    </row>
    <row r="99" spans="1:24" ht="16.5" customHeight="1" x14ac:dyDescent="0.3">
      <c r="A99" s="2">
        <v>15</v>
      </c>
      <c r="B99" s="2" t="s">
        <v>3478</v>
      </c>
      <c r="C99" s="60" t="s">
        <v>13889</v>
      </c>
      <c r="D99" s="1"/>
      <c r="E99" s="227">
        <v>421</v>
      </c>
      <c r="F99" s="70" t="s">
        <v>0</v>
      </c>
      <c r="G99" s="67"/>
      <c r="H99" s="68"/>
      <c r="I99" s="76"/>
      <c r="J99" s="83" t="s">
        <v>5895</v>
      </c>
      <c r="K99" s="64" t="s">
        <v>1</v>
      </c>
      <c r="L99" s="65">
        <v>1</v>
      </c>
      <c r="M99" s="99"/>
      <c r="N99" s="70"/>
      <c r="O99" s="106" t="s">
        <v>18232</v>
      </c>
      <c r="P99" s="57" t="s">
        <v>1</v>
      </c>
      <c r="Q99" s="58">
        <v>0.25</v>
      </c>
      <c r="R99" s="77" t="s">
        <v>422</v>
      </c>
      <c r="S99" s="66"/>
      <c r="T99" s="57"/>
      <c r="U99" s="58"/>
      <c r="V99" s="77"/>
      <c r="W99" s="228">
        <f>ROUND((ROUND((ROUND((ROUND((_15_同援日１．５*_15・通訳),0)*_15・２人),0)*(1+_15・A夜間)),0)*(1+_15・盲ろう)),0)</f>
        <v>593</v>
      </c>
      <c r="X99" s="69"/>
    </row>
    <row r="100" spans="1:24" ht="16.5" customHeight="1" x14ac:dyDescent="0.3">
      <c r="A100" s="2">
        <v>15</v>
      </c>
      <c r="B100" s="2" t="s">
        <v>3479</v>
      </c>
      <c r="C100" s="60" t="s">
        <v>13888</v>
      </c>
      <c r="D100" s="1"/>
      <c r="E100" s="68"/>
      <c r="F100" s="70"/>
      <c r="G100" s="67"/>
      <c r="H100" s="68"/>
      <c r="I100" s="76"/>
      <c r="J100" s="85"/>
      <c r="K100" s="64"/>
      <c r="L100" s="65"/>
      <c r="M100" s="99"/>
      <c r="N100" s="70"/>
      <c r="O100" s="61"/>
      <c r="P100" s="62"/>
      <c r="Q100" s="63"/>
      <c r="R100" s="75"/>
      <c r="S100" s="74" t="s">
        <v>18236</v>
      </c>
      <c r="T100" s="62"/>
      <c r="U100" s="63"/>
      <c r="V100" s="75"/>
      <c r="W100" s="228">
        <f>ROUND((ROUND((ROUND((_15_同援日１．５*_15・通訳),0)*(1+_15・A夜間)),0)*(1+_15・区３)),0)</f>
        <v>569</v>
      </c>
      <c r="X100" s="69"/>
    </row>
    <row r="101" spans="1:24" ht="16.5" customHeight="1" x14ac:dyDescent="0.3">
      <c r="A101" s="2">
        <v>15</v>
      </c>
      <c r="B101" s="2" t="s">
        <v>3480</v>
      </c>
      <c r="C101" s="60" t="s">
        <v>13887</v>
      </c>
      <c r="D101" s="1"/>
      <c r="E101" s="68"/>
      <c r="F101" s="70"/>
      <c r="G101" s="67"/>
      <c r="H101" s="68"/>
      <c r="I101" s="76"/>
      <c r="J101" s="83" t="s">
        <v>5895</v>
      </c>
      <c r="K101" s="64" t="s">
        <v>1</v>
      </c>
      <c r="L101" s="65">
        <v>1</v>
      </c>
      <c r="M101" s="99"/>
      <c r="N101" s="70"/>
      <c r="O101" s="66"/>
      <c r="P101" s="57"/>
      <c r="Q101" s="58"/>
      <c r="R101" s="77"/>
      <c r="S101" s="94" t="s">
        <v>18234</v>
      </c>
      <c r="T101" s="68"/>
      <c r="U101" s="76"/>
      <c r="V101" s="70"/>
      <c r="W101" s="228">
        <f>ROUND((ROUND((ROUND((ROUND((_15_同援日１．５*_15・通訳),0)*_15・２人),0)*(1+_15・A夜間)),0)*(1+_15・区３)),0)</f>
        <v>569</v>
      </c>
      <c r="X101" s="69"/>
    </row>
    <row r="102" spans="1:24" ht="16.5" customHeight="1" x14ac:dyDescent="0.3">
      <c r="A102" s="2">
        <v>15</v>
      </c>
      <c r="B102" s="2" t="s">
        <v>3481</v>
      </c>
      <c r="C102" s="60" t="s">
        <v>13886</v>
      </c>
      <c r="D102" s="1"/>
      <c r="E102" s="68"/>
      <c r="F102" s="70"/>
      <c r="G102" s="67"/>
      <c r="H102" s="68"/>
      <c r="I102" s="76"/>
      <c r="J102" s="85"/>
      <c r="K102" s="64"/>
      <c r="L102" s="65"/>
      <c r="M102" s="99"/>
      <c r="N102" s="70"/>
      <c r="O102" s="74" t="s">
        <v>18233</v>
      </c>
      <c r="P102" s="62"/>
      <c r="Q102" s="63"/>
      <c r="R102" s="75"/>
      <c r="S102" s="67"/>
      <c r="T102" s="68" t="s">
        <v>1</v>
      </c>
      <c r="U102" s="76">
        <v>0.2</v>
      </c>
      <c r="V102" s="70" t="s">
        <v>422</v>
      </c>
      <c r="W102" s="228">
        <f>ROUND((ROUND((ROUND((ROUND((_15_同援日１．５*_15・通訳),0)*(1+_15・A夜間)),0)*(1+_15・盲ろう)),0)*(1+_15・区３)),0)</f>
        <v>712</v>
      </c>
      <c r="X102" s="69"/>
    </row>
    <row r="103" spans="1:24" ht="16.5" customHeight="1" x14ac:dyDescent="0.3">
      <c r="A103" s="2">
        <v>15</v>
      </c>
      <c r="B103" s="2" t="s">
        <v>3482</v>
      </c>
      <c r="C103" s="60" t="s">
        <v>13885</v>
      </c>
      <c r="D103" s="1"/>
      <c r="E103" s="68"/>
      <c r="F103" s="70"/>
      <c r="G103" s="67"/>
      <c r="H103" s="68"/>
      <c r="I103" s="76"/>
      <c r="J103" s="83" t="s">
        <v>5895</v>
      </c>
      <c r="K103" s="64" t="s">
        <v>1</v>
      </c>
      <c r="L103" s="65">
        <v>1</v>
      </c>
      <c r="M103" s="99"/>
      <c r="N103" s="70"/>
      <c r="O103" s="106" t="s">
        <v>18232</v>
      </c>
      <c r="P103" s="57" t="s">
        <v>1</v>
      </c>
      <c r="Q103" s="58">
        <v>0.25</v>
      </c>
      <c r="R103" s="77" t="s">
        <v>422</v>
      </c>
      <c r="S103" s="66"/>
      <c r="T103" s="57"/>
      <c r="U103" s="58"/>
      <c r="V103" s="77"/>
      <c r="W103" s="228">
        <f>ROUND((ROUND((ROUND((ROUND((ROUND((_15_同援日１．５*_15・通訳),0)*_15・２人),0)*(1+_15・A夜間)),0)*(1+_15・盲ろう)),0)*(1+_15・区３)),0)</f>
        <v>712</v>
      </c>
      <c r="X103" s="69"/>
    </row>
    <row r="104" spans="1:24" ht="16.5" customHeight="1" x14ac:dyDescent="0.3">
      <c r="A104" s="2">
        <v>15</v>
      </c>
      <c r="B104" s="2" t="s">
        <v>3483</v>
      </c>
      <c r="C104" s="60" t="s">
        <v>13884</v>
      </c>
      <c r="D104" s="1"/>
      <c r="E104" s="68"/>
      <c r="F104" s="70"/>
      <c r="G104" s="67"/>
      <c r="H104" s="68"/>
      <c r="I104" s="76"/>
      <c r="J104" s="85"/>
      <c r="K104" s="64"/>
      <c r="L104" s="65"/>
      <c r="M104" s="99"/>
      <c r="N104" s="70"/>
      <c r="O104" s="61"/>
      <c r="P104" s="62"/>
      <c r="Q104" s="63"/>
      <c r="R104" s="75"/>
      <c r="S104" s="74" t="s">
        <v>18235</v>
      </c>
      <c r="T104" s="62"/>
      <c r="U104" s="63"/>
      <c r="V104" s="75"/>
      <c r="W104" s="228">
        <f>ROUND((ROUND((ROUND((_15_同援日１．５*_15・通訳),0)*(1+_15・A夜間)),0)*(1+_15・区４)),0)</f>
        <v>664</v>
      </c>
      <c r="X104" s="69"/>
    </row>
    <row r="105" spans="1:24" ht="16.5" customHeight="1" x14ac:dyDescent="0.3">
      <c r="A105" s="2">
        <v>15</v>
      </c>
      <c r="B105" s="2" t="s">
        <v>3484</v>
      </c>
      <c r="C105" s="60" t="s">
        <v>13883</v>
      </c>
      <c r="D105" s="1"/>
      <c r="E105" s="68"/>
      <c r="F105" s="70"/>
      <c r="G105" s="67"/>
      <c r="H105" s="68"/>
      <c r="I105" s="76"/>
      <c r="J105" s="83" t="s">
        <v>5895</v>
      </c>
      <c r="K105" s="64" t="s">
        <v>1</v>
      </c>
      <c r="L105" s="65">
        <v>1</v>
      </c>
      <c r="M105" s="99"/>
      <c r="N105" s="70"/>
      <c r="O105" s="66"/>
      <c r="P105" s="57"/>
      <c r="Q105" s="58"/>
      <c r="R105" s="77"/>
      <c r="S105" s="94" t="s">
        <v>8087</v>
      </c>
      <c r="T105" s="68"/>
      <c r="U105" s="76"/>
      <c r="V105" s="70"/>
      <c r="W105" s="228">
        <f>ROUND((ROUND((ROUND((ROUND((_15_同援日１．５*_15・通訳),0)*_15・２人),0)*(1+_15・A夜間)),0)*(1+_15・区４)),0)</f>
        <v>664</v>
      </c>
      <c r="X105" s="69"/>
    </row>
    <row r="106" spans="1:24" ht="16.5" customHeight="1" x14ac:dyDescent="0.3">
      <c r="A106" s="2">
        <v>15</v>
      </c>
      <c r="B106" s="2" t="s">
        <v>3485</v>
      </c>
      <c r="C106" s="60" t="s">
        <v>13882</v>
      </c>
      <c r="D106" s="1"/>
      <c r="E106" s="68"/>
      <c r="F106" s="70"/>
      <c r="G106" s="67"/>
      <c r="H106" s="68"/>
      <c r="I106" s="76"/>
      <c r="J106" s="85"/>
      <c r="K106" s="64"/>
      <c r="L106" s="65"/>
      <c r="M106" s="99"/>
      <c r="N106" s="70"/>
      <c r="O106" s="74" t="s">
        <v>18233</v>
      </c>
      <c r="P106" s="62"/>
      <c r="Q106" s="63"/>
      <c r="R106" s="75"/>
      <c r="S106" s="67"/>
      <c r="T106" s="68" t="s">
        <v>1</v>
      </c>
      <c r="U106" s="76">
        <v>0.4</v>
      </c>
      <c r="V106" s="70" t="s">
        <v>422</v>
      </c>
      <c r="W106" s="228">
        <f>ROUND((ROUND((ROUND((ROUND((_15_同援日１．５*_15・通訳),0)*(1+_15・A夜間)),0)*(1+_15・盲ろう)),0)*(1+_15・区４)),0)</f>
        <v>830</v>
      </c>
      <c r="X106" s="69"/>
    </row>
    <row r="107" spans="1:24" ht="16.5" customHeight="1" x14ac:dyDescent="0.3">
      <c r="A107" s="2">
        <v>15</v>
      </c>
      <c r="B107" s="2" t="s">
        <v>3486</v>
      </c>
      <c r="C107" s="60" t="s">
        <v>13881</v>
      </c>
      <c r="D107" s="81"/>
      <c r="E107" s="57"/>
      <c r="F107" s="77"/>
      <c r="G107" s="67"/>
      <c r="H107" s="68"/>
      <c r="I107" s="76"/>
      <c r="J107" s="83" t="s">
        <v>5895</v>
      </c>
      <c r="K107" s="64" t="s">
        <v>1</v>
      </c>
      <c r="L107" s="65">
        <v>1</v>
      </c>
      <c r="M107" s="99"/>
      <c r="N107" s="70"/>
      <c r="O107" s="106" t="s">
        <v>18232</v>
      </c>
      <c r="P107" s="57" t="s">
        <v>1</v>
      </c>
      <c r="Q107" s="58">
        <v>0.25</v>
      </c>
      <c r="R107" s="77" t="s">
        <v>422</v>
      </c>
      <c r="S107" s="66"/>
      <c r="T107" s="57"/>
      <c r="U107" s="58"/>
      <c r="V107" s="77"/>
      <c r="W107" s="228">
        <f>ROUND((ROUND((ROUND((ROUND((ROUND((_15_同援日１．５*_15・通訳),0)*_15・２人),0)*(1+_15・A夜間)),0)*(1+_15・盲ろう)),0)*(1+_15・区４)),0)</f>
        <v>830</v>
      </c>
      <c r="X107" s="69"/>
    </row>
    <row r="108" spans="1:24" ht="16.5" customHeight="1" x14ac:dyDescent="0.3">
      <c r="A108" s="2">
        <v>15</v>
      </c>
      <c r="B108" s="2" t="s">
        <v>3487</v>
      </c>
      <c r="C108" s="60" t="s">
        <v>13880</v>
      </c>
      <c r="D108" s="233" t="s">
        <v>16305</v>
      </c>
      <c r="E108" s="62"/>
      <c r="F108" s="75"/>
      <c r="G108" s="67"/>
      <c r="H108" s="68"/>
      <c r="I108" s="76"/>
      <c r="J108" s="85"/>
      <c r="K108" s="64"/>
      <c r="L108" s="65"/>
      <c r="M108" s="99"/>
      <c r="N108" s="70"/>
      <c r="O108" s="61"/>
      <c r="P108" s="62"/>
      <c r="Q108" s="63"/>
      <c r="R108" s="75"/>
      <c r="S108" s="61"/>
      <c r="T108" s="62"/>
      <c r="U108" s="63"/>
      <c r="V108" s="75"/>
      <c r="W108" s="228">
        <f>ROUND((ROUND((_15_同援日２．０*_15・通訳),0)*(1+_15・A夜間)),0)</f>
        <v>546</v>
      </c>
      <c r="X108" s="69"/>
    </row>
    <row r="109" spans="1:24" ht="16.5" customHeight="1" x14ac:dyDescent="0.3">
      <c r="A109" s="2">
        <v>15</v>
      </c>
      <c r="B109" s="2" t="s">
        <v>3488</v>
      </c>
      <c r="C109" s="60" t="s">
        <v>13879</v>
      </c>
      <c r="D109" s="1" t="s">
        <v>17431</v>
      </c>
      <c r="E109" s="68"/>
      <c r="F109" s="70"/>
      <c r="G109" s="67"/>
      <c r="H109" s="68"/>
      <c r="I109" s="76"/>
      <c r="J109" s="83" t="s">
        <v>5895</v>
      </c>
      <c r="K109" s="64" t="s">
        <v>1</v>
      </c>
      <c r="L109" s="65">
        <v>1</v>
      </c>
      <c r="M109" s="99"/>
      <c r="N109" s="70"/>
      <c r="O109" s="66"/>
      <c r="P109" s="57"/>
      <c r="Q109" s="58"/>
      <c r="R109" s="77"/>
      <c r="S109" s="67"/>
      <c r="T109" s="68"/>
      <c r="U109" s="76"/>
      <c r="V109" s="70"/>
      <c r="W109" s="228">
        <f>ROUND((ROUND((ROUND((_15_同援日２．０*_15・通訳),0)*_15・２人),0)*(1+_15・A夜間)),0)</f>
        <v>546</v>
      </c>
      <c r="X109" s="69"/>
    </row>
    <row r="110" spans="1:24" ht="16.5" customHeight="1" x14ac:dyDescent="0.3">
      <c r="A110" s="2">
        <v>15</v>
      </c>
      <c r="B110" s="2" t="s">
        <v>3489</v>
      </c>
      <c r="C110" s="60" t="s">
        <v>13878</v>
      </c>
      <c r="D110" s="1" t="s">
        <v>6448</v>
      </c>
      <c r="E110" s="68"/>
      <c r="F110" s="70"/>
      <c r="G110" s="67"/>
      <c r="H110" s="68"/>
      <c r="I110" s="76"/>
      <c r="J110" s="85"/>
      <c r="K110" s="64"/>
      <c r="L110" s="65"/>
      <c r="M110" s="99"/>
      <c r="N110" s="70"/>
      <c r="O110" s="74" t="s">
        <v>18233</v>
      </c>
      <c r="P110" s="62"/>
      <c r="Q110" s="63"/>
      <c r="R110" s="75"/>
      <c r="S110" s="67"/>
      <c r="T110" s="68"/>
      <c r="U110" s="76"/>
      <c r="V110" s="70"/>
      <c r="W110" s="228">
        <f>ROUND((ROUND((ROUND((_15_同援日２．０*_15・通訳),0)*(1+_15・A夜間)),0)*(1+_15・盲ろう)),0)</f>
        <v>683</v>
      </c>
      <c r="X110" s="69"/>
    </row>
    <row r="111" spans="1:24" ht="16.5" customHeight="1" x14ac:dyDescent="0.3">
      <c r="A111" s="2">
        <v>15</v>
      </c>
      <c r="B111" s="2" t="s">
        <v>3490</v>
      </c>
      <c r="C111" s="60" t="s">
        <v>13877</v>
      </c>
      <c r="D111" s="1"/>
      <c r="E111" s="227">
        <v>485</v>
      </c>
      <c r="F111" s="70" t="s">
        <v>0</v>
      </c>
      <c r="G111" s="67"/>
      <c r="H111" s="68"/>
      <c r="I111" s="76"/>
      <c r="J111" s="83" t="s">
        <v>5895</v>
      </c>
      <c r="K111" s="64" t="s">
        <v>1</v>
      </c>
      <c r="L111" s="65">
        <v>1</v>
      </c>
      <c r="M111" s="99"/>
      <c r="N111" s="70"/>
      <c r="O111" s="106" t="s">
        <v>18232</v>
      </c>
      <c r="P111" s="57" t="s">
        <v>1</v>
      </c>
      <c r="Q111" s="58">
        <v>0.25</v>
      </c>
      <c r="R111" s="77" t="s">
        <v>422</v>
      </c>
      <c r="S111" s="66"/>
      <c r="T111" s="57"/>
      <c r="U111" s="58"/>
      <c r="V111" s="77"/>
      <c r="W111" s="228">
        <f>ROUND((ROUND((ROUND((ROUND((_15_同援日２．０*_15・通訳),0)*_15・２人),0)*(1+_15・A夜間)),0)*(1+_15・盲ろう)),0)</f>
        <v>683</v>
      </c>
      <c r="X111" s="69"/>
    </row>
    <row r="112" spans="1:24" ht="16.5" customHeight="1" x14ac:dyDescent="0.3">
      <c r="A112" s="2">
        <v>15</v>
      </c>
      <c r="B112" s="2" t="s">
        <v>3491</v>
      </c>
      <c r="C112" s="60" t="s">
        <v>13876</v>
      </c>
      <c r="D112" s="1"/>
      <c r="E112" s="68"/>
      <c r="F112" s="70"/>
      <c r="G112" s="67"/>
      <c r="H112" s="68"/>
      <c r="I112" s="76"/>
      <c r="J112" s="85"/>
      <c r="K112" s="64"/>
      <c r="L112" s="65"/>
      <c r="M112" s="99"/>
      <c r="N112" s="70"/>
      <c r="O112" s="61"/>
      <c r="P112" s="62"/>
      <c r="Q112" s="63"/>
      <c r="R112" s="75"/>
      <c r="S112" s="74" t="s">
        <v>18236</v>
      </c>
      <c r="T112" s="62"/>
      <c r="U112" s="63"/>
      <c r="V112" s="75"/>
      <c r="W112" s="228">
        <f>ROUND((ROUND((ROUND((_15_同援日２．０*_15・通訳),0)*(1+_15・A夜間)),0)*(1+_15・区３)),0)</f>
        <v>655</v>
      </c>
      <c r="X112" s="69"/>
    </row>
    <row r="113" spans="1:24" ht="16.5" customHeight="1" x14ac:dyDescent="0.3">
      <c r="A113" s="2">
        <v>15</v>
      </c>
      <c r="B113" s="2" t="s">
        <v>3492</v>
      </c>
      <c r="C113" s="60" t="s">
        <v>13875</v>
      </c>
      <c r="D113" s="1"/>
      <c r="E113" s="68"/>
      <c r="F113" s="70"/>
      <c r="G113" s="67"/>
      <c r="H113" s="68"/>
      <c r="I113" s="76"/>
      <c r="J113" s="83" t="s">
        <v>5895</v>
      </c>
      <c r="K113" s="64" t="s">
        <v>1</v>
      </c>
      <c r="L113" s="65">
        <v>1</v>
      </c>
      <c r="M113" s="99"/>
      <c r="N113" s="70"/>
      <c r="O113" s="66"/>
      <c r="P113" s="57"/>
      <c r="Q113" s="58"/>
      <c r="R113" s="77"/>
      <c r="S113" s="94" t="s">
        <v>18234</v>
      </c>
      <c r="T113" s="68"/>
      <c r="U113" s="76"/>
      <c r="V113" s="70"/>
      <c r="W113" s="228">
        <f>ROUND((ROUND((ROUND((ROUND((_15_同援日２．０*_15・通訳),0)*_15・２人),0)*(1+_15・A夜間)),0)*(1+_15・区３)),0)</f>
        <v>655</v>
      </c>
      <c r="X113" s="69"/>
    </row>
    <row r="114" spans="1:24" ht="16.5" customHeight="1" x14ac:dyDescent="0.3">
      <c r="A114" s="2">
        <v>15</v>
      </c>
      <c r="B114" s="2" t="s">
        <v>3493</v>
      </c>
      <c r="C114" s="60" t="s">
        <v>13874</v>
      </c>
      <c r="D114" s="1"/>
      <c r="E114" s="68"/>
      <c r="F114" s="70"/>
      <c r="G114" s="67"/>
      <c r="H114" s="68"/>
      <c r="I114" s="76"/>
      <c r="J114" s="85"/>
      <c r="K114" s="64"/>
      <c r="L114" s="65"/>
      <c r="M114" s="99"/>
      <c r="N114" s="70"/>
      <c r="O114" s="74" t="s">
        <v>18233</v>
      </c>
      <c r="P114" s="62"/>
      <c r="Q114" s="63"/>
      <c r="R114" s="75"/>
      <c r="S114" s="67"/>
      <c r="T114" s="68" t="s">
        <v>1</v>
      </c>
      <c r="U114" s="76">
        <v>0.2</v>
      </c>
      <c r="V114" s="70" t="s">
        <v>422</v>
      </c>
      <c r="W114" s="228">
        <f>ROUND((ROUND((ROUND((ROUND((_15_同援日２．０*_15・通訳),0)*(1+_15・A夜間)),0)*(1+_15・盲ろう)),0)*(1+_15・区３)),0)</f>
        <v>820</v>
      </c>
      <c r="X114" s="69"/>
    </row>
    <row r="115" spans="1:24" ht="16.5" customHeight="1" x14ac:dyDescent="0.3">
      <c r="A115" s="2">
        <v>15</v>
      </c>
      <c r="B115" s="2" t="s">
        <v>3494</v>
      </c>
      <c r="C115" s="60" t="s">
        <v>13873</v>
      </c>
      <c r="D115" s="1"/>
      <c r="E115" s="68"/>
      <c r="F115" s="70"/>
      <c r="G115" s="67"/>
      <c r="H115" s="68"/>
      <c r="I115" s="76"/>
      <c r="J115" s="83" t="s">
        <v>5895</v>
      </c>
      <c r="K115" s="64" t="s">
        <v>1</v>
      </c>
      <c r="L115" s="65">
        <v>1</v>
      </c>
      <c r="M115" s="99"/>
      <c r="N115" s="70"/>
      <c r="O115" s="106" t="s">
        <v>18232</v>
      </c>
      <c r="P115" s="57" t="s">
        <v>1</v>
      </c>
      <c r="Q115" s="58">
        <v>0.25</v>
      </c>
      <c r="R115" s="77" t="s">
        <v>422</v>
      </c>
      <c r="S115" s="66"/>
      <c r="T115" s="57"/>
      <c r="U115" s="58"/>
      <c r="V115" s="77"/>
      <c r="W115" s="228">
        <f>ROUND((ROUND((ROUND((ROUND((ROUND((_15_同援日２．０*_15・通訳),0)*_15・２人),0)*(1+_15・A夜間)),0)*(1+_15・盲ろう)),0)*(1+_15・区３)),0)</f>
        <v>820</v>
      </c>
      <c r="X115" s="69"/>
    </row>
    <row r="116" spans="1:24" ht="16.5" customHeight="1" x14ac:dyDescent="0.3">
      <c r="A116" s="2">
        <v>15</v>
      </c>
      <c r="B116" s="2" t="s">
        <v>3495</v>
      </c>
      <c r="C116" s="60" t="s">
        <v>13872</v>
      </c>
      <c r="D116" s="1"/>
      <c r="E116" s="68"/>
      <c r="F116" s="70"/>
      <c r="G116" s="67"/>
      <c r="H116" s="68"/>
      <c r="I116" s="76"/>
      <c r="J116" s="85"/>
      <c r="K116" s="64"/>
      <c r="L116" s="65"/>
      <c r="M116" s="99"/>
      <c r="N116" s="70"/>
      <c r="O116" s="61"/>
      <c r="P116" s="62"/>
      <c r="Q116" s="63"/>
      <c r="R116" s="75"/>
      <c r="S116" s="74" t="s">
        <v>18235</v>
      </c>
      <c r="T116" s="62"/>
      <c r="U116" s="63"/>
      <c r="V116" s="75"/>
      <c r="W116" s="228">
        <f>ROUND((ROUND((ROUND((_15_同援日２．０*_15・通訳),0)*(1+_15・A夜間)),0)*(1+_15・区４)),0)</f>
        <v>764</v>
      </c>
      <c r="X116" s="69"/>
    </row>
    <row r="117" spans="1:24" ht="16.5" customHeight="1" x14ac:dyDescent="0.3">
      <c r="A117" s="2">
        <v>15</v>
      </c>
      <c r="B117" s="2" t="s">
        <v>3496</v>
      </c>
      <c r="C117" s="60" t="s">
        <v>13871</v>
      </c>
      <c r="D117" s="1"/>
      <c r="E117" s="68"/>
      <c r="F117" s="70"/>
      <c r="G117" s="67"/>
      <c r="H117" s="68"/>
      <c r="I117" s="76"/>
      <c r="J117" s="83" t="s">
        <v>5895</v>
      </c>
      <c r="K117" s="64" t="s">
        <v>1</v>
      </c>
      <c r="L117" s="65">
        <v>1</v>
      </c>
      <c r="M117" s="99"/>
      <c r="N117" s="70"/>
      <c r="O117" s="66"/>
      <c r="P117" s="57"/>
      <c r="Q117" s="58"/>
      <c r="R117" s="77"/>
      <c r="S117" s="94" t="s">
        <v>18234</v>
      </c>
      <c r="T117" s="68"/>
      <c r="U117" s="76"/>
      <c r="V117" s="70"/>
      <c r="W117" s="228">
        <f>ROUND((ROUND((ROUND((ROUND((_15_同援日２．０*_15・通訳),0)*_15・２人),0)*(1+_15・A夜間)),0)*(1+_15・区４)),0)</f>
        <v>764</v>
      </c>
      <c r="X117" s="69"/>
    </row>
    <row r="118" spans="1:24" ht="16.5" customHeight="1" x14ac:dyDescent="0.3">
      <c r="A118" s="2">
        <v>15</v>
      </c>
      <c r="B118" s="2" t="s">
        <v>3497</v>
      </c>
      <c r="C118" s="60" t="s">
        <v>13870</v>
      </c>
      <c r="D118" s="1"/>
      <c r="E118" s="68"/>
      <c r="F118" s="70"/>
      <c r="G118" s="67"/>
      <c r="H118" s="68"/>
      <c r="I118" s="76"/>
      <c r="J118" s="85"/>
      <c r="K118" s="64"/>
      <c r="L118" s="65"/>
      <c r="M118" s="99"/>
      <c r="N118" s="70"/>
      <c r="O118" s="74" t="s">
        <v>18233</v>
      </c>
      <c r="P118" s="62"/>
      <c r="Q118" s="63"/>
      <c r="R118" s="75"/>
      <c r="S118" s="67"/>
      <c r="T118" s="68" t="s">
        <v>1</v>
      </c>
      <c r="U118" s="76">
        <v>0.4</v>
      </c>
      <c r="V118" s="70" t="s">
        <v>422</v>
      </c>
      <c r="W118" s="228">
        <f>ROUND((ROUND((ROUND((ROUND((_15_同援日２．０*_15・通訳),0)*(1+_15・A夜間)),0)*(1+_15・盲ろう)),0)*(1+_15・区４)),0)</f>
        <v>956</v>
      </c>
      <c r="X118" s="69"/>
    </row>
    <row r="119" spans="1:24" ht="16.5" customHeight="1" x14ac:dyDescent="0.3">
      <c r="A119" s="2">
        <v>15</v>
      </c>
      <c r="B119" s="2" t="s">
        <v>3498</v>
      </c>
      <c r="C119" s="60" t="s">
        <v>13869</v>
      </c>
      <c r="D119" s="81"/>
      <c r="E119" s="57"/>
      <c r="F119" s="77"/>
      <c r="G119" s="67"/>
      <c r="H119" s="68"/>
      <c r="I119" s="76"/>
      <c r="J119" s="83" t="s">
        <v>5895</v>
      </c>
      <c r="K119" s="64" t="s">
        <v>1</v>
      </c>
      <c r="L119" s="65">
        <v>1</v>
      </c>
      <c r="M119" s="99"/>
      <c r="N119" s="70"/>
      <c r="O119" s="106" t="s">
        <v>8083</v>
      </c>
      <c r="P119" s="57" t="s">
        <v>1</v>
      </c>
      <c r="Q119" s="58">
        <v>0.25</v>
      </c>
      <c r="R119" s="77" t="s">
        <v>422</v>
      </c>
      <c r="S119" s="66"/>
      <c r="T119" s="57"/>
      <c r="U119" s="58"/>
      <c r="V119" s="77"/>
      <c r="W119" s="228">
        <f>ROUND((ROUND((ROUND((ROUND((ROUND((_15_同援日２．０*_15・通訳),0)*_15・２人),0)*(1+_15・A夜間)),0)*(1+_15・盲ろう)),0)*(1+_15・区４)),0)</f>
        <v>956</v>
      </c>
      <c r="X119" s="69"/>
    </row>
    <row r="120" spans="1:24" ht="16.5" customHeight="1" x14ac:dyDescent="0.3">
      <c r="A120" s="2">
        <v>15</v>
      </c>
      <c r="B120" s="2" t="s">
        <v>3499</v>
      </c>
      <c r="C120" s="60" t="s">
        <v>13868</v>
      </c>
      <c r="D120" s="233" t="s">
        <v>18241</v>
      </c>
      <c r="E120" s="62"/>
      <c r="F120" s="75"/>
      <c r="G120" s="67"/>
      <c r="H120" s="68"/>
      <c r="I120" s="76"/>
      <c r="J120" s="85"/>
      <c r="K120" s="64"/>
      <c r="L120" s="65"/>
      <c r="M120" s="99"/>
      <c r="N120" s="70"/>
      <c r="O120" s="61"/>
      <c r="P120" s="62"/>
      <c r="Q120" s="63"/>
      <c r="R120" s="75"/>
      <c r="S120" s="61"/>
      <c r="T120" s="62"/>
      <c r="U120" s="63"/>
      <c r="V120" s="75"/>
      <c r="W120" s="228">
        <f>ROUND((ROUND((_15_同援日２．５*_15・通訳),0)*(1+_15・A夜間)),0)</f>
        <v>616</v>
      </c>
      <c r="X120" s="69"/>
    </row>
    <row r="121" spans="1:24" ht="16.5" customHeight="1" x14ac:dyDescent="0.3">
      <c r="A121" s="2">
        <v>15</v>
      </c>
      <c r="B121" s="2" t="s">
        <v>3500</v>
      </c>
      <c r="C121" s="60" t="s">
        <v>13867</v>
      </c>
      <c r="D121" s="1" t="s">
        <v>17669</v>
      </c>
      <c r="E121" s="68"/>
      <c r="F121" s="70"/>
      <c r="G121" s="67"/>
      <c r="H121" s="68"/>
      <c r="I121" s="76"/>
      <c r="J121" s="83" t="s">
        <v>5895</v>
      </c>
      <c r="K121" s="64" t="s">
        <v>1</v>
      </c>
      <c r="L121" s="65">
        <v>1</v>
      </c>
      <c r="M121" s="99"/>
      <c r="N121" s="70"/>
      <c r="O121" s="66"/>
      <c r="P121" s="57"/>
      <c r="Q121" s="58"/>
      <c r="R121" s="77"/>
      <c r="S121" s="67"/>
      <c r="T121" s="68"/>
      <c r="U121" s="76"/>
      <c r="V121" s="70"/>
      <c r="W121" s="228">
        <f>ROUND((ROUND((ROUND((_15_同援日２．５*_15・通訳),0)*_15・２人),0)*(1+_15・A夜間)),0)</f>
        <v>616</v>
      </c>
      <c r="X121" s="69"/>
    </row>
    <row r="122" spans="1:24" ht="16.5" customHeight="1" x14ac:dyDescent="0.3">
      <c r="A122" s="2">
        <v>15</v>
      </c>
      <c r="B122" s="2" t="s">
        <v>3501</v>
      </c>
      <c r="C122" s="60" t="s">
        <v>13866</v>
      </c>
      <c r="D122" s="1" t="s">
        <v>8499</v>
      </c>
      <c r="E122" s="68"/>
      <c r="F122" s="70"/>
      <c r="G122" s="67"/>
      <c r="H122" s="68"/>
      <c r="I122" s="76"/>
      <c r="J122" s="85"/>
      <c r="K122" s="64"/>
      <c r="L122" s="65"/>
      <c r="M122" s="99"/>
      <c r="N122" s="70"/>
      <c r="O122" s="74" t="s">
        <v>18233</v>
      </c>
      <c r="P122" s="62"/>
      <c r="Q122" s="63"/>
      <c r="R122" s="75"/>
      <c r="S122" s="67"/>
      <c r="T122" s="68"/>
      <c r="U122" s="76"/>
      <c r="V122" s="70"/>
      <c r="W122" s="228">
        <f>ROUND((ROUND((ROUND((_15_同援日２．５*_15・通訳),0)*(1+_15・A夜間)),0)*(1+_15・盲ろう)),0)</f>
        <v>770</v>
      </c>
      <c r="X122" s="69"/>
    </row>
    <row r="123" spans="1:24" ht="16.5" customHeight="1" x14ac:dyDescent="0.3">
      <c r="A123" s="2">
        <v>15</v>
      </c>
      <c r="B123" s="2" t="s">
        <v>3502</v>
      </c>
      <c r="C123" s="60" t="s">
        <v>13865</v>
      </c>
      <c r="D123" s="1"/>
      <c r="E123" s="227">
        <v>548</v>
      </c>
      <c r="F123" s="70" t="s">
        <v>0</v>
      </c>
      <c r="G123" s="67"/>
      <c r="H123" s="68"/>
      <c r="I123" s="76"/>
      <c r="J123" s="83" t="s">
        <v>5895</v>
      </c>
      <c r="K123" s="64" t="s">
        <v>1</v>
      </c>
      <c r="L123" s="65">
        <v>1</v>
      </c>
      <c r="M123" s="99"/>
      <c r="N123" s="70"/>
      <c r="O123" s="106" t="s">
        <v>18232</v>
      </c>
      <c r="P123" s="57" t="s">
        <v>1</v>
      </c>
      <c r="Q123" s="58">
        <v>0.25</v>
      </c>
      <c r="R123" s="77" t="s">
        <v>422</v>
      </c>
      <c r="S123" s="66"/>
      <c r="T123" s="57"/>
      <c r="U123" s="58"/>
      <c r="V123" s="77"/>
      <c r="W123" s="228">
        <f>ROUND((ROUND((ROUND((ROUND((_15_同援日２．５*_15・通訳),0)*_15・２人),0)*(1+_15・A夜間)),0)*(1+_15・盲ろう)),0)</f>
        <v>770</v>
      </c>
      <c r="X123" s="69"/>
    </row>
    <row r="124" spans="1:24" ht="16.5" customHeight="1" x14ac:dyDescent="0.3">
      <c r="A124" s="2">
        <v>15</v>
      </c>
      <c r="B124" s="2" t="s">
        <v>3503</v>
      </c>
      <c r="C124" s="60" t="s">
        <v>13864</v>
      </c>
      <c r="D124" s="1"/>
      <c r="E124" s="68"/>
      <c r="F124" s="70"/>
      <c r="G124" s="67"/>
      <c r="H124" s="68"/>
      <c r="I124" s="76"/>
      <c r="J124" s="85"/>
      <c r="K124" s="64"/>
      <c r="L124" s="65"/>
      <c r="M124" s="99"/>
      <c r="N124" s="70"/>
      <c r="O124" s="61"/>
      <c r="P124" s="62"/>
      <c r="Q124" s="63"/>
      <c r="R124" s="75"/>
      <c r="S124" s="74" t="s">
        <v>18236</v>
      </c>
      <c r="T124" s="62"/>
      <c r="U124" s="63"/>
      <c r="V124" s="75"/>
      <c r="W124" s="228">
        <f>ROUND((ROUND((ROUND((_15_同援日２．５*_15・通訳),0)*(1+_15・A夜間)),0)*(1+_15・区３)),0)</f>
        <v>739</v>
      </c>
      <c r="X124" s="69"/>
    </row>
    <row r="125" spans="1:24" ht="16.5" customHeight="1" x14ac:dyDescent="0.3">
      <c r="A125" s="2">
        <v>15</v>
      </c>
      <c r="B125" s="2" t="s">
        <v>3504</v>
      </c>
      <c r="C125" s="60" t="s">
        <v>13863</v>
      </c>
      <c r="D125" s="1"/>
      <c r="E125" s="68"/>
      <c r="F125" s="70"/>
      <c r="G125" s="67"/>
      <c r="H125" s="68"/>
      <c r="I125" s="76"/>
      <c r="J125" s="83" t="s">
        <v>5895</v>
      </c>
      <c r="K125" s="64" t="s">
        <v>1</v>
      </c>
      <c r="L125" s="65">
        <v>1</v>
      </c>
      <c r="M125" s="99"/>
      <c r="N125" s="70"/>
      <c r="O125" s="66"/>
      <c r="P125" s="57"/>
      <c r="Q125" s="58"/>
      <c r="R125" s="77"/>
      <c r="S125" s="94" t="s">
        <v>18234</v>
      </c>
      <c r="T125" s="68"/>
      <c r="U125" s="76"/>
      <c r="V125" s="70"/>
      <c r="W125" s="228">
        <f>ROUND((ROUND((ROUND((ROUND((_15_同援日２．５*_15・通訳),0)*_15・２人),0)*(1+_15・A夜間)),0)*(1+_15・区３)),0)</f>
        <v>739</v>
      </c>
      <c r="X125" s="69"/>
    </row>
    <row r="126" spans="1:24" ht="16.5" customHeight="1" x14ac:dyDescent="0.3">
      <c r="A126" s="2">
        <v>15</v>
      </c>
      <c r="B126" s="2" t="s">
        <v>3505</v>
      </c>
      <c r="C126" s="60" t="s">
        <v>13862</v>
      </c>
      <c r="D126" s="1"/>
      <c r="E126" s="68"/>
      <c r="F126" s="70"/>
      <c r="G126" s="67"/>
      <c r="H126" s="68"/>
      <c r="I126" s="76"/>
      <c r="J126" s="85"/>
      <c r="K126" s="64"/>
      <c r="L126" s="65"/>
      <c r="M126" s="99"/>
      <c r="N126" s="70"/>
      <c r="O126" s="74" t="s">
        <v>18233</v>
      </c>
      <c r="P126" s="62"/>
      <c r="Q126" s="63"/>
      <c r="R126" s="75"/>
      <c r="S126" s="67"/>
      <c r="T126" s="68" t="s">
        <v>1</v>
      </c>
      <c r="U126" s="76">
        <v>0.2</v>
      </c>
      <c r="V126" s="70" t="s">
        <v>422</v>
      </c>
      <c r="W126" s="228">
        <f>ROUND((ROUND((ROUND((ROUND((_15_同援日２．５*_15・通訳),0)*(1+_15・A夜間)),0)*(1+_15・盲ろう)),0)*(1+_15・区３)),0)</f>
        <v>924</v>
      </c>
      <c r="X126" s="69"/>
    </row>
    <row r="127" spans="1:24" ht="16.5" customHeight="1" x14ac:dyDescent="0.3">
      <c r="A127" s="2">
        <v>15</v>
      </c>
      <c r="B127" s="2" t="s">
        <v>3506</v>
      </c>
      <c r="C127" s="60" t="s">
        <v>13861</v>
      </c>
      <c r="D127" s="1"/>
      <c r="E127" s="68"/>
      <c r="F127" s="70"/>
      <c r="G127" s="67"/>
      <c r="H127" s="68"/>
      <c r="I127" s="76"/>
      <c r="J127" s="83" t="s">
        <v>5895</v>
      </c>
      <c r="K127" s="64" t="s">
        <v>1</v>
      </c>
      <c r="L127" s="65">
        <v>1</v>
      </c>
      <c r="M127" s="99"/>
      <c r="N127" s="70"/>
      <c r="O127" s="106" t="s">
        <v>18232</v>
      </c>
      <c r="P127" s="57" t="s">
        <v>1</v>
      </c>
      <c r="Q127" s="58">
        <v>0.25</v>
      </c>
      <c r="R127" s="77" t="s">
        <v>422</v>
      </c>
      <c r="S127" s="66"/>
      <c r="T127" s="57"/>
      <c r="U127" s="58"/>
      <c r="V127" s="77"/>
      <c r="W127" s="228">
        <f>ROUND((ROUND((ROUND((ROUND((ROUND((_15_同援日２．５*_15・通訳),0)*_15・２人),0)*(1+_15・A夜間)),0)*(1+_15・盲ろう)),0)*(1+_15・区３)),0)</f>
        <v>924</v>
      </c>
      <c r="X127" s="69"/>
    </row>
    <row r="128" spans="1:24" ht="16.5" customHeight="1" x14ac:dyDescent="0.3">
      <c r="A128" s="2">
        <v>15</v>
      </c>
      <c r="B128" s="2" t="s">
        <v>3507</v>
      </c>
      <c r="C128" s="60" t="s">
        <v>13860</v>
      </c>
      <c r="D128" s="1"/>
      <c r="E128" s="68"/>
      <c r="F128" s="70"/>
      <c r="G128" s="67"/>
      <c r="H128" s="68"/>
      <c r="I128" s="76"/>
      <c r="J128" s="85"/>
      <c r="K128" s="64"/>
      <c r="L128" s="65"/>
      <c r="M128" s="99"/>
      <c r="N128" s="70"/>
      <c r="O128" s="61"/>
      <c r="P128" s="62"/>
      <c r="Q128" s="63"/>
      <c r="R128" s="75"/>
      <c r="S128" s="74" t="s">
        <v>18235</v>
      </c>
      <c r="T128" s="62"/>
      <c r="U128" s="63"/>
      <c r="V128" s="75"/>
      <c r="W128" s="228">
        <f>ROUND((ROUND((ROUND((_15_同援日２．５*_15・通訳),0)*(1+_15・A夜間)),0)*(1+_15・区４)),0)</f>
        <v>862</v>
      </c>
      <c r="X128" s="69"/>
    </row>
    <row r="129" spans="1:24" ht="16.5" customHeight="1" x14ac:dyDescent="0.3">
      <c r="A129" s="2">
        <v>15</v>
      </c>
      <c r="B129" s="2" t="s">
        <v>3508</v>
      </c>
      <c r="C129" s="60" t="s">
        <v>13859</v>
      </c>
      <c r="D129" s="1"/>
      <c r="E129" s="68"/>
      <c r="F129" s="70"/>
      <c r="G129" s="67"/>
      <c r="H129" s="68"/>
      <c r="I129" s="76"/>
      <c r="J129" s="83" t="s">
        <v>5895</v>
      </c>
      <c r="K129" s="64" t="s">
        <v>1</v>
      </c>
      <c r="L129" s="65">
        <v>1</v>
      </c>
      <c r="M129" s="99"/>
      <c r="N129" s="70"/>
      <c r="O129" s="66"/>
      <c r="P129" s="57"/>
      <c r="Q129" s="58"/>
      <c r="R129" s="77"/>
      <c r="S129" s="94" t="s">
        <v>17970</v>
      </c>
      <c r="T129" s="68"/>
      <c r="U129" s="76"/>
      <c r="V129" s="70"/>
      <c r="W129" s="228">
        <f>ROUND((ROUND((ROUND((ROUND((_15_同援日２．５*_15・通訳),0)*_15・２人),0)*(1+_15・A夜間)),0)*(1+_15・区４)),0)</f>
        <v>862</v>
      </c>
      <c r="X129" s="69"/>
    </row>
    <row r="130" spans="1:24" ht="16.5" customHeight="1" x14ac:dyDescent="0.3">
      <c r="A130" s="2">
        <v>15</v>
      </c>
      <c r="B130" s="2" t="s">
        <v>3509</v>
      </c>
      <c r="C130" s="60" t="s">
        <v>13858</v>
      </c>
      <c r="D130" s="1"/>
      <c r="E130" s="68"/>
      <c r="F130" s="70"/>
      <c r="G130" s="67"/>
      <c r="H130" s="68"/>
      <c r="I130" s="76"/>
      <c r="J130" s="85"/>
      <c r="K130" s="64"/>
      <c r="L130" s="65"/>
      <c r="M130" s="99"/>
      <c r="N130" s="70"/>
      <c r="O130" s="74" t="s">
        <v>18233</v>
      </c>
      <c r="P130" s="62"/>
      <c r="Q130" s="63"/>
      <c r="R130" s="75"/>
      <c r="S130" s="67"/>
      <c r="T130" s="68" t="s">
        <v>1</v>
      </c>
      <c r="U130" s="76">
        <v>0.4</v>
      </c>
      <c r="V130" s="70" t="s">
        <v>422</v>
      </c>
      <c r="W130" s="228">
        <f>ROUND((ROUND((ROUND((ROUND((_15_同援日２．５*_15・通訳),0)*(1+_15・A夜間)),0)*(1+_15・盲ろう)),0)*(1+_15・区４)),0)</f>
        <v>1078</v>
      </c>
      <c r="X130" s="69"/>
    </row>
    <row r="131" spans="1:24" ht="16.5" customHeight="1" x14ac:dyDescent="0.3">
      <c r="A131" s="2">
        <v>15</v>
      </c>
      <c r="B131" s="2" t="s">
        <v>3510</v>
      </c>
      <c r="C131" s="60" t="s">
        <v>13857</v>
      </c>
      <c r="D131" s="81"/>
      <c r="E131" s="57"/>
      <c r="F131" s="77"/>
      <c r="G131" s="67"/>
      <c r="H131" s="68"/>
      <c r="I131" s="76"/>
      <c r="J131" s="83" t="s">
        <v>5895</v>
      </c>
      <c r="K131" s="64" t="s">
        <v>1</v>
      </c>
      <c r="L131" s="65">
        <v>1</v>
      </c>
      <c r="M131" s="99"/>
      <c r="N131" s="70"/>
      <c r="O131" s="106" t="s">
        <v>18232</v>
      </c>
      <c r="P131" s="57" t="s">
        <v>1</v>
      </c>
      <c r="Q131" s="58">
        <v>0.25</v>
      </c>
      <c r="R131" s="77" t="s">
        <v>422</v>
      </c>
      <c r="S131" s="66"/>
      <c r="T131" s="57"/>
      <c r="U131" s="58"/>
      <c r="V131" s="77"/>
      <c r="W131" s="228">
        <f>ROUND((ROUND((ROUND((ROUND((ROUND((_15_同援日２．５*_15・通訳),0)*_15・２人),0)*(1+_15・A夜間)),0)*(1+_15・盲ろう)),0)*(1+_15・区４)),0)</f>
        <v>1078</v>
      </c>
      <c r="X131" s="69"/>
    </row>
    <row r="132" spans="1:24" ht="16.5" customHeight="1" x14ac:dyDescent="0.3">
      <c r="A132" s="2">
        <v>15</v>
      </c>
      <c r="B132" s="2" t="s">
        <v>3511</v>
      </c>
      <c r="C132" s="60" t="s">
        <v>13856</v>
      </c>
      <c r="D132" s="233" t="s">
        <v>18240</v>
      </c>
      <c r="E132" s="62"/>
      <c r="F132" s="75"/>
      <c r="G132" s="67"/>
      <c r="H132" s="68"/>
      <c r="I132" s="76"/>
      <c r="J132" s="85"/>
      <c r="K132" s="64"/>
      <c r="L132" s="65"/>
      <c r="M132" s="99"/>
      <c r="N132" s="70"/>
      <c r="O132" s="61"/>
      <c r="P132" s="62"/>
      <c r="Q132" s="63"/>
      <c r="R132" s="75"/>
      <c r="S132" s="61"/>
      <c r="T132" s="62"/>
      <c r="U132" s="63"/>
      <c r="V132" s="75"/>
      <c r="W132" s="228">
        <f>ROUND((ROUND((_15_同援日３．０*_15・通訳),0)*(1+_15・A夜間)),0)</f>
        <v>688</v>
      </c>
      <c r="X132" s="69"/>
    </row>
    <row r="133" spans="1:24" ht="16.5" customHeight="1" x14ac:dyDescent="0.3">
      <c r="A133" s="2">
        <v>15</v>
      </c>
      <c r="B133" s="2" t="s">
        <v>3512</v>
      </c>
      <c r="C133" s="60" t="s">
        <v>13855</v>
      </c>
      <c r="D133" s="1" t="s">
        <v>17666</v>
      </c>
      <c r="E133" s="68"/>
      <c r="F133" s="70"/>
      <c r="G133" s="67"/>
      <c r="H133" s="68"/>
      <c r="I133" s="76"/>
      <c r="J133" s="83" t="s">
        <v>5895</v>
      </c>
      <c r="K133" s="64" t="s">
        <v>1</v>
      </c>
      <c r="L133" s="65">
        <v>1</v>
      </c>
      <c r="M133" s="99"/>
      <c r="N133" s="70"/>
      <c r="O133" s="66"/>
      <c r="P133" s="57"/>
      <c r="Q133" s="58"/>
      <c r="R133" s="77"/>
      <c r="S133" s="67"/>
      <c r="T133" s="68"/>
      <c r="U133" s="76"/>
      <c r="V133" s="70"/>
      <c r="W133" s="228">
        <f>ROUND((ROUND((ROUND((_15_同援日３．０*_15・通訳),0)*_15・２人),0)*(1+_15・A夜間)),0)</f>
        <v>688</v>
      </c>
      <c r="X133" s="69"/>
    </row>
    <row r="134" spans="1:24" ht="16.5" customHeight="1" x14ac:dyDescent="0.3">
      <c r="A134" s="2">
        <v>15</v>
      </c>
      <c r="B134" s="2" t="s">
        <v>3513</v>
      </c>
      <c r="C134" s="60" t="s">
        <v>13854</v>
      </c>
      <c r="D134" s="1" t="s">
        <v>8694</v>
      </c>
      <c r="E134" s="68"/>
      <c r="F134" s="70"/>
      <c r="G134" s="67"/>
      <c r="H134" s="68"/>
      <c r="I134" s="76"/>
      <c r="J134" s="85"/>
      <c r="K134" s="64"/>
      <c r="L134" s="65"/>
      <c r="M134" s="99"/>
      <c r="N134" s="70"/>
      <c r="O134" s="74" t="s">
        <v>18233</v>
      </c>
      <c r="P134" s="62"/>
      <c r="Q134" s="63"/>
      <c r="R134" s="75"/>
      <c r="S134" s="67"/>
      <c r="T134" s="68"/>
      <c r="U134" s="76"/>
      <c r="V134" s="70"/>
      <c r="W134" s="228">
        <f>ROUND((ROUND((ROUND((_15_同援日３．０*_15・通訳),0)*(1+_15・A夜間)),0)*(1+_15・盲ろう)),0)</f>
        <v>860</v>
      </c>
      <c r="X134" s="69"/>
    </row>
    <row r="135" spans="1:24" ht="16.5" customHeight="1" x14ac:dyDescent="0.3">
      <c r="A135" s="2">
        <v>15</v>
      </c>
      <c r="B135" s="2" t="s">
        <v>3514</v>
      </c>
      <c r="C135" s="60" t="s">
        <v>13853</v>
      </c>
      <c r="D135" s="1"/>
      <c r="E135" s="227">
        <v>611</v>
      </c>
      <c r="F135" s="70" t="s">
        <v>0</v>
      </c>
      <c r="G135" s="67"/>
      <c r="H135" s="68"/>
      <c r="I135" s="76"/>
      <c r="J135" s="83" t="s">
        <v>5895</v>
      </c>
      <c r="K135" s="64" t="s">
        <v>1</v>
      </c>
      <c r="L135" s="65">
        <v>1</v>
      </c>
      <c r="M135" s="99"/>
      <c r="N135" s="70"/>
      <c r="O135" s="106" t="s">
        <v>18232</v>
      </c>
      <c r="P135" s="57" t="s">
        <v>1</v>
      </c>
      <c r="Q135" s="58">
        <v>0.25</v>
      </c>
      <c r="R135" s="77" t="s">
        <v>422</v>
      </c>
      <c r="S135" s="66"/>
      <c r="T135" s="57"/>
      <c r="U135" s="58"/>
      <c r="V135" s="77"/>
      <c r="W135" s="228">
        <f>ROUND((ROUND((ROUND((ROUND((_15_同援日３．０*_15・通訳),0)*_15・２人),0)*(1+_15・A夜間)),0)*(1+_15・盲ろう)),0)</f>
        <v>860</v>
      </c>
      <c r="X135" s="69"/>
    </row>
    <row r="136" spans="1:24" ht="16.5" customHeight="1" x14ac:dyDescent="0.3">
      <c r="A136" s="2">
        <v>15</v>
      </c>
      <c r="B136" s="2" t="s">
        <v>3515</v>
      </c>
      <c r="C136" s="60" t="s">
        <v>13852</v>
      </c>
      <c r="D136" s="1"/>
      <c r="E136" s="68"/>
      <c r="F136" s="70"/>
      <c r="G136" s="67"/>
      <c r="H136" s="68"/>
      <c r="I136" s="76"/>
      <c r="J136" s="85"/>
      <c r="K136" s="64"/>
      <c r="L136" s="65"/>
      <c r="M136" s="99"/>
      <c r="N136" s="70"/>
      <c r="O136" s="61"/>
      <c r="P136" s="62"/>
      <c r="Q136" s="63"/>
      <c r="R136" s="75"/>
      <c r="S136" s="74" t="s">
        <v>18236</v>
      </c>
      <c r="T136" s="62"/>
      <c r="U136" s="63"/>
      <c r="V136" s="75"/>
      <c r="W136" s="228">
        <f>ROUND((ROUND((ROUND((_15_同援日３．０*_15・通訳),0)*(1+_15・A夜間)),0)*(1+_15・区３)),0)</f>
        <v>826</v>
      </c>
      <c r="X136" s="69"/>
    </row>
    <row r="137" spans="1:24" ht="16.5" customHeight="1" x14ac:dyDescent="0.3">
      <c r="A137" s="2">
        <v>15</v>
      </c>
      <c r="B137" s="2" t="s">
        <v>3516</v>
      </c>
      <c r="C137" s="60" t="s">
        <v>13851</v>
      </c>
      <c r="D137" s="1"/>
      <c r="E137" s="68"/>
      <c r="F137" s="70"/>
      <c r="G137" s="67"/>
      <c r="H137" s="68"/>
      <c r="I137" s="76"/>
      <c r="J137" s="83" t="s">
        <v>5895</v>
      </c>
      <c r="K137" s="64" t="s">
        <v>1</v>
      </c>
      <c r="L137" s="65">
        <v>1</v>
      </c>
      <c r="M137" s="99"/>
      <c r="N137" s="70"/>
      <c r="O137" s="66"/>
      <c r="P137" s="57"/>
      <c r="Q137" s="58"/>
      <c r="R137" s="77"/>
      <c r="S137" s="94" t="s">
        <v>18234</v>
      </c>
      <c r="T137" s="68"/>
      <c r="U137" s="76"/>
      <c r="V137" s="70"/>
      <c r="W137" s="228">
        <f>ROUND((ROUND((ROUND((ROUND((_15_同援日３．０*_15・通訳),0)*_15・２人),0)*(1+_15・A夜間)),0)*(1+_15・区３)),0)</f>
        <v>826</v>
      </c>
      <c r="X137" s="69"/>
    </row>
    <row r="138" spans="1:24" ht="16.5" customHeight="1" x14ac:dyDescent="0.3">
      <c r="A138" s="2">
        <v>15</v>
      </c>
      <c r="B138" s="2" t="s">
        <v>3517</v>
      </c>
      <c r="C138" s="60" t="s">
        <v>13850</v>
      </c>
      <c r="D138" s="1"/>
      <c r="E138" s="68"/>
      <c r="F138" s="70"/>
      <c r="G138" s="67"/>
      <c r="H138" s="68"/>
      <c r="I138" s="76"/>
      <c r="J138" s="85"/>
      <c r="K138" s="64"/>
      <c r="L138" s="65"/>
      <c r="M138" s="99"/>
      <c r="N138" s="70"/>
      <c r="O138" s="74" t="s">
        <v>18233</v>
      </c>
      <c r="P138" s="62"/>
      <c r="Q138" s="63"/>
      <c r="R138" s="75"/>
      <c r="S138" s="67"/>
      <c r="T138" s="68" t="s">
        <v>1</v>
      </c>
      <c r="U138" s="76">
        <v>0.2</v>
      </c>
      <c r="V138" s="70" t="s">
        <v>422</v>
      </c>
      <c r="W138" s="228">
        <f>ROUND((ROUND((ROUND((ROUND((_15_同援日３．０*_15・通訳),0)*(1+_15・A夜間)),0)*(1+_15・盲ろう)),0)*(1+_15・区３)),0)</f>
        <v>1032</v>
      </c>
      <c r="X138" s="69"/>
    </row>
    <row r="139" spans="1:24" ht="16.5" customHeight="1" x14ac:dyDescent="0.3">
      <c r="A139" s="2">
        <v>15</v>
      </c>
      <c r="B139" s="2" t="s">
        <v>3518</v>
      </c>
      <c r="C139" s="60" t="s">
        <v>13849</v>
      </c>
      <c r="D139" s="1"/>
      <c r="E139" s="68"/>
      <c r="F139" s="70"/>
      <c r="G139" s="67"/>
      <c r="H139" s="68"/>
      <c r="I139" s="76"/>
      <c r="J139" s="83" t="s">
        <v>5895</v>
      </c>
      <c r="K139" s="64" t="s">
        <v>1</v>
      </c>
      <c r="L139" s="65">
        <v>1</v>
      </c>
      <c r="M139" s="99"/>
      <c r="N139" s="70"/>
      <c r="O139" s="106" t="s">
        <v>18232</v>
      </c>
      <c r="P139" s="57" t="s">
        <v>1</v>
      </c>
      <c r="Q139" s="58">
        <v>0.25</v>
      </c>
      <c r="R139" s="77" t="s">
        <v>422</v>
      </c>
      <c r="S139" s="66"/>
      <c r="T139" s="57"/>
      <c r="U139" s="58"/>
      <c r="V139" s="77"/>
      <c r="W139" s="228">
        <f>ROUND((ROUND((ROUND((ROUND((ROUND((_15_同援日３．０*_15・通訳),0)*_15・２人),0)*(1+_15・A夜間)),0)*(1+_15・盲ろう)),0)*(1+_15・区３)),0)</f>
        <v>1032</v>
      </c>
      <c r="X139" s="69"/>
    </row>
    <row r="140" spans="1:24" ht="16.5" customHeight="1" x14ac:dyDescent="0.3">
      <c r="A140" s="2">
        <v>15</v>
      </c>
      <c r="B140" s="2" t="s">
        <v>3519</v>
      </c>
      <c r="C140" s="60" t="s">
        <v>13848</v>
      </c>
      <c r="D140" s="1"/>
      <c r="E140" s="68"/>
      <c r="F140" s="70"/>
      <c r="G140" s="67"/>
      <c r="H140" s="68"/>
      <c r="I140" s="76"/>
      <c r="J140" s="85"/>
      <c r="K140" s="64"/>
      <c r="L140" s="65"/>
      <c r="M140" s="99"/>
      <c r="N140" s="70"/>
      <c r="O140" s="61"/>
      <c r="P140" s="62"/>
      <c r="Q140" s="63"/>
      <c r="R140" s="75"/>
      <c r="S140" s="74" t="s">
        <v>8089</v>
      </c>
      <c r="T140" s="62"/>
      <c r="U140" s="63"/>
      <c r="V140" s="75"/>
      <c r="W140" s="228">
        <f>ROUND((ROUND((ROUND((_15_同援日３．０*_15・通訳),0)*(1+_15・A夜間)),0)*(1+_15・区４)),0)</f>
        <v>963</v>
      </c>
      <c r="X140" s="69"/>
    </row>
    <row r="141" spans="1:24" ht="16.5" customHeight="1" x14ac:dyDescent="0.3">
      <c r="A141" s="2">
        <v>15</v>
      </c>
      <c r="B141" s="2" t="s">
        <v>3520</v>
      </c>
      <c r="C141" s="60" t="s">
        <v>13847</v>
      </c>
      <c r="D141" s="1"/>
      <c r="E141" s="68"/>
      <c r="F141" s="70"/>
      <c r="G141" s="67"/>
      <c r="H141" s="68"/>
      <c r="I141" s="76"/>
      <c r="J141" s="83" t="s">
        <v>5895</v>
      </c>
      <c r="K141" s="64" t="s">
        <v>1</v>
      </c>
      <c r="L141" s="65">
        <v>1</v>
      </c>
      <c r="M141" s="99"/>
      <c r="N141" s="70"/>
      <c r="O141" s="66"/>
      <c r="P141" s="57"/>
      <c r="Q141" s="58"/>
      <c r="R141" s="77"/>
      <c r="S141" s="94" t="s">
        <v>18234</v>
      </c>
      <c r="T141" s="68"/>
      <c r="U141" s="76"/>
      <c r="V141" s="70"/>
      <c r="W141" s="228">
        <f>ROUND((ROUND((ROUND((ROUND((_15_同援日３．０*_15・通訳),0)*_15・２人),0)*(1+_15・A夜間)),0)*(1+_15・区４)),0)</f>
        <v>963</v>
      </c>
      <c r="X141" s="69"/>
    </row>
    <row r="142" spans="1:24" ht="16.5" customHeight="1" x14ac:dyDescent="0.3">
      <c r="A142" s="2">
        <v>15</v>
      </c>
      <c r="B142" s="2" t="s">
        <v>3521</v>
      </c>
      <c r="C142" s="60" t="s">
        <v>13846</v>
      </c>
      <c r="D142" s="1"/>
      <c r="E142" s="68"/>
      <c r="F142" s="70"/>
      <c r="G142" s="67"/>
      <c r="H142" s="68"/>
      <c r="I142" s="76"/>
      <c r="J142" s="85"/>
      <c r="K142" s="64"/>
      <c r="L142" s="65"/>
      <c r="M142" s="99"/>
      <c r="N142" s="70"/>
      <c r="O142" s="74" t="s">
        <v>8085</v>
      </c>
      <c r="P142" s="62"/>
      <c r="Q142" s="63"/>
      <c r="R142" s="75"/>
      <c r="S142" s="67"/>
      <c r="T142" s="68" t="s">
        <v>1</v>
      </c>
      <c r="U142" s="76">
        <v>0.4</v>
      </c>
      <c r="V142" s="70" t="s">
        <v>422</v>
      </c>
      <c r="W142" s="228">
        <f>ROUND((ROUND((ROUND((ROUND((_15_同援日３．０*_15・通訳),0)*(1+_15・A夜間)),0)*(1+_15・盲ろう)),0)*(1+_15・区４)),0)</f>
        <v>1204</v>
      </c>
      <c r="X142" s="69"/>
    </row>
    <row r="143" spans="1:24" ht="16.5" customHeight="1" x14ac:dyDescent="0.3">
      <c r="A143" s="2">
        <v>15</v>
      </c>
      <c r="B143" s="2" t="s">
        <v>3522</v>
      </c>
      <c r="C143" s="60" t="s">
        <v>13845</v>
      </c>
      <c r="D143" s="81"/>
      <c r="E143" s="57"/>
      <c r="F143" s="77"/>
      <c r="G143" s="67"/>
      <c r="H143" s="68"/>
      <c r="I143" s="76"/>
      <c r="J143" s="83" t="s">
        <v>5895</v>
      </c>
      <c r="K143" s="64" t="s">
        <v>1</v>
      </c>
      <c r="L143" s="65">
        <v>1</v>
      </c>
      <c r="M143" s="99"/>
      <c r="N143" s="70"/>
      <c r="O143" s="106" t="s">
        <v>18232</v>
      </c>
      <c r="P143" s="57" t="s">
        <v>1</v>
      </c>
      <c r="Q143" s="58">
        <v>0.25</v>
      </c>
      <c r="R143" s="77" t="s">
        <v>422</v>
      </c>
      <c r="S143" s="66"/>
      <c r="T143" s="57"/>
      <c r="U143" s="58"/>
      <c r="V143" s="77"/>
      <c r="W143" s="228">
        <f>ROUND((ROUND((ROUND((ROUND((ROUND((_15_同援日３．０*_15・通訳),0)*_15・２人),0)*(1+_15・A夜間)),0)*(1+_15・盲ろう)),0)*(1+_15・区４)),0)</f>
        <v>1204</v>
      </c>
      <c r="X143" s="69"/>
    </row>
    <row r="144" spans="1:24" ht="16.5" customHeight="1" x14ac:dyDescent="0.3">
      <c r="A144" s="2">
        <v>15</v>
      </c>
      <c r="B144" s="2" t="s">
        <v>3523</v>
      </c>
      <c r="C144" s="60" t="s">
        <v>13844</v>
      </c>
      <c r="D144" s="233" t="s">
        <v>18239</v>
      </c>
      <c r="E144" s="62"/>
      <c r="F144" s="75"/>
      <c r="G144" s="67"/>
      <c r="H144" s="68"/>
      <c r="I144" s="76"/>
      <c r="J144" s="85"/>
      <c r="K144" s="64"/>
      <c r="L144" s="65"/>
      <c r="M144" s="99"/>
      <c r="N144" s="70"/>
      <c r="O144" s="61"/>
      <c r="P144" s="62"/>
      <c r="Q144" s="63"/>
      <c r="R144" s="75"/>
      <c r="S144" s="61"/>
      <c r="T144" s="62"/>
      <c r="U144" s="63"/>
      <c r="V144" s="75"/>
      <c r="W144" s="228">
        <f>ROUND((ROUND((_15_同援日３．５*_15・通訳),0)*(1+_15・A夜間)),0)</f>
        <v>759</v>
      </c>
      <c r="X144" s="69"/>
    </row>
    <row r="145" spans="1:24" ht="16.5" customHeight="1" x14ac:dyDescent="0.3">
      <c r="A145" s="2">
        <v>15</v>
      </c>
      <c r="B145" s="2" t="s">
        <v>3524</v>
      </c>
      <c r="C145" s="60" t="s">
        <v>13843</v>
      </c>
      <c r="D145" s="1" t="s">
        <v>17663</v>
      </c>
      <c r="E145" s="68"/>
      <c r="F145" s="70"/>
      <c r="G145" s="67"/>
      <c r="H145" s="68"/>
      <c r="I145" s="76"/>
      <c r="J145" s="83" t="s">
        <v>5895</v>
      </c>
      <c r="K145" s="64" t="s">
        <v>1</v>
      </c>
      <c r="L145" s="65">
        <v>1</v>
      </c>
      <c r="M145" s="99"/>
      <c r="N145" s="70"/>
      <c r="O145" s="66"/>
      <c r="P145" s="57"/>
      <c r="Q145" s="58"/>
      <c r="R145" s="77"/>
      <c r="S145" s="67"/>
      <c r="T145" s="68"/>
      <c r="U145" s="76"/>
      <c r="V145" s="70"/>
      <c r="W145" s="228">
        <f>ROUND((ROUND((ROUND((_15_同援日３．５*_15・通訳),0)*_15・２人),0)*(1+_15・A夜間)),0)</f>
        <v>759</v>
      </c>
      <c r="X145" s="69"/>
    </row>
    <row r="146" spans="1:24" ht="16.5" customHeight="1" x14ac:dyDescent="0.3">
      <c r="A146" s="2">
        <v>15</v>
      </c>
      <c r="B146" s="2" t="s">
        <v>3525</v>
      </c>
      <c r="C146" s="60" t="s">
        <v>13842</v>
      </c>
      <c r="D146" s="1" t="s">
        <v>8450</v>
      </c>
      <c r="E146" s="68"/>
      <c r="F146" s="70"/>
      <c r="G146" s="67"/>
      <c r="H146" s="68"/>
      <c r="I146" s="76"/>
      <c r="J146" s="85"/>
      <c r="K146" s="64"/>
      <c r="L146" s="65"/>
      <c r="M146" s="99"/>
      <c r="N146" s="70"/>
      <c r="O146" s="74" t="s">
        <v>18233</v>
      </c>
      <c r="P146" s="62"/>
      <c r="Q146" s="63"/>
      <c r="R146" s="75"/>
      <c r="S146" s="67"/>
      <c r="T146" s="68"/>
      <c r="U146" s="76"/>
      <c r="V146" s="70"/>
      <c r="W146" s="228">
        <f>ROUND((ROUND((ROUND((_15_同援日３．５*_15・通訳),0)*(1+_15・A夜間)),0)*(1+_15・盲ろう)),0)</f>
        <v>949</v>
      </c>
      <c r="X146" s="69"/>
    </row>
    <row r="147" spans="1:24" ht="16.5" customHeight="1" x14ac:dyDescent="0.3">
      <c r="A147" s="2">
        <v>15</v>
      </c>
      <c r="B147" s="2" t="s">
        <v>3526</v>
      </c>
      <c r="C147" s="60" t="s">
        <v>13841</v>
      </c>
      <c r="D147" s="1"/>
      <c r="E147" s="227">
        <v>674</v>
      </c>
      <c r="F147" s="70" t="s">
        <v>0</v>
      </c>
      <c r="G147" s="67"/>
      <c r="H147" s="68"/>
      <c r="I147" s="76"/>
      <c r="J147" s="83" t="s">
        <v>5895</v>
      </c>
      <c r="K147" s="64" t="s">
        <v>1</v>
      </c>
      <c r="L147" s="65">
        <v>1</v>
      </c>
      <c r="M147" s="99"/>
      <c r="N147" s="70"/>
      <c r="O147" s="106" t="s">
        <v>8083</v>
      </c>
      <c r="P147" s="57" t="s">
        <v>1</v>
      </c>
      <c r="Q147" s="58">
        <v>0.25</v>
      </c>
      <c r="R147" s="77" t="s">
        <v>422</v>
      </c>
      <c r="S147" s="66"/>
      <c r="T147" s="57"/>
      <c r="U147" s="58"/>
      <c r="V147" s="77"/>
      <c r="W147" s="228">
        <f>ROUND((ROUND((ROUND((ROUND((_15_同援日３．５*_15・通訳),0)*_15・２人),0)*(1+_15・A夜間)),0)*(1+_15・盲ろう)),0)</f>
        <v>949</v>
      </c>
      <c r="X147" s="69"/>
    </row>
    <row r="148" spans="1:24" ht="16.5" customHeight="1" x14ac:dyDescent="0.3">
      <c r="A148" s="2">
        <v>15</v>
      </c>
      <c r="B148" s="2" t="s">
        <v>3527</v>
      </c>
      <c r="C148" s="60" t="s">
        <v>13840</v>
      </c>
      <c r="D148" s="1"/>
      <c r="E148" s="68"/>
      <c r="F148" s="70"/>
      <c r="G148" s="67"/>
      <c r="H148" s="68"/>
      <c r="I148" s="76"/>
      <c r="J148" s="85"/>
      <c r="K148" s="64"/>
      <c r="L148" s="65"/>
      <c r="M148" s="99"/>
      <c r="N148" s="70"/>
      <c r="O148" s="61"/>
      <c r="P148" s="62"/>
      <c r="Q148" s="63"/>
      <c r="R148" s="75"/>
      <c r="S148" s="74" t="s">
        <v>18236</v>
      </c>
      <c r="T148" s="62"/>
      <c r="U148" s="63"/>
      <c r="V148" s="75"/>
      <c r="W148" s="228">
        <f>ROUND((ROUND((ROUND((_15_同援日３．５*_15・通訳),0)*(1+_15・A夜間)),0)*(1+_15・区３)),0)</f>
        <v>911</v>
      </c>
      <c r="X148" s="69"/>
    </row>
    <row r="149" spans="1:24" ht="16.5" customHeight="1" x14ac:dyDescent="0.3">
      <c r="A149" s="2">
        <v>15</v>
      </c>
      <c r="B149" s="2" t="s">
        <v>3528</v>
      </c>
      <c r="C149" s="60" t="s">
        <v>13839</v>
      </c>
      <c r="D149" s="1"/>
      <c r="E149" s="68"/>
      <c r="F149" s="70"/>
      <c r="G149" s="67"/>
      <c r="H149" s="68"/>
      <c r="I149" s="76"/>
      <c r="J149" s="83" t="s">
        <v>5895</v>
      </c>
      <c r="K149" s="64" t="s">
        <v>1</v>
      </c>
      <c r="L149" s="65">
        <v>1</v>
      </c>
      <c r="M149" s="99"/>
      <c r="N149" s="70"/>
      <c r="O149" s="66"/>
      <c r="P149" s="57"/>
      <c r="Q149" s="58"/>
      <c r="R149" s="77"/>
      <c r="S149" s="94" t="s">
        <v>18234</v>
      </c>
      <c r="T149" s="68"/>
      <c r="U149" s="76"/>
      <c r="V149" s="70"/>
      <c r="W149" s="228">
        <f>ROUND((ROUND((ROUND((ROUND((_15_同援日３．５*_15・通訳),0)*_15・２人),0)*(1+_15・A夜間)),0)*(1+_15・区３)),0)</f>
        <v>911</v>
      </c>
      <c r="X149" s="69"/>
    </row>
    <row r="150" spans="1:24" ht="16.5" customHeight="1" x14ac:dyDescent="0.3">
      <c r="A150" s="2">
        <v>15</v>
      </c>
      <c r="B150" s="2" t="s">
        <v>3529</v>
      </c>
      <c r="C150" s="60" t="s">
        <v>13838</v>
      </c>
      <c r="D150" s="1"/>
      <c r="E150" s="68"/>
      <c r="F150" s="70"/>
      <c r="G150" s="67"/>
      <c r="H150" s="68"/>
      <c r="I150" s="76"/>
      <c r="J150" s="85"/>
      <c r="K150" s="64"/>
      <c r="L150" s="65"/>
      <c r="M150" s="99"/>
      <c r="N150" s="70"/>
      <c r="O150" s="74" t="s">
        <v>18233</v>
      </c>
      <c r="P150" s="62"/>
      <c r="Q150" s="63"/>
      <c r="R150" s="75"/>
      <c r="S150" s="67"/>
      <c r="T150" s="68" t="s">
        <v>1</v>
      </c>
      <c r="U150" s="76">
        <v>0.2</v>
      </c>
      <c r="V150" s="70" t="s">
        <v>422</v>
      </c>
      <c r="W150" s="228">
        <f>ROUND((ROUND((ROUND((ROUND((_15_同援日３．５*_15・通訳),0)*(1+_15・A夜間)),0)*(1+_15・盲ろう)),0)*(1+_15・区３)),0)</f>
        <v>1139</v>
      </c>
      <c r="X150" s="69"/>
    </row>
    <row r="151" spans="1:24" ht="16.5" customHeight="1" x14ac:dyDescent="0.3">
      <c r="A151" s="2">
        <v>15</v>
      </c>
      <c r="B151" s="2" t="s">
        <v>3530</v>
      </c>
      <c r="C151" s="60" t="s">
        <v>13837</v>
      </c>
      <c r="D151" s="1"/>
      <c r="E151" s="68"/>
      <c r="F151" s="70"/>
      <c r="G151" s="67"/>
      <c r="H151" s="68"/>
      <c r="I151" s="76"/>
      <c r="J151" s="83" t="s">
        <v>5895</v>
      </c>
      <c r="K151" s="64" t="s">
        <v>1</v>
      </c>
      <c r="L151" s="65">
        <v>1</v>
      </c>
      <c r="M151" s="99"/>
      <c r="N151" s="70"/>
      <c r="O151" s="106" t="s">
        <v>18232</v>
      </c>
      <c r="P151" s="57" t="s">
        <v>1</v>
      </c>
      <c r="Q151" s="58">
        <v>0.25</v>
      </c>
      <c r="R151" s="77" t="s">
        <v>422</v>
      </c>
      <c r="S151" s="66"/>
      <c r="T151" s="57"/>
      <c r="U151" s="58"/>
      <c r="V151" s="77"/>
      <c r="W151" s="228">
        <f>ROUND((ROUND((ROUND((ROUND((ROUND((_15_同援日３．５*_15・通訳),0)*_15・２人),0)*(1+_15・A夜間)),0)*(1+_15・盲ろう)),0)*(1+_15・区３)),0)</f>
        <v>1139</v>
      </c>
      <c r="X151" s="69"/>
    </row>
    <row r="152" spans="1:24" ht="16.5" customHeight="1" x14ac:dyDescent="0.3">
      <c r="A152" s="2">
        <v>15</v>
      </c>
      <c r="B152" s="2" t="s">
        <v>3531</v>
      </c>
      <c r="C152" s="60" t="s">
        <v>13836</v>
      </c>
      <c r="D152" s="1"/>
      <c r="E152" s="68"/>
      <c r="F152" s="70"/>
      <c r="G152" s="67"/>
      <c r="H152" s="68"/>
      <c r="I152" s="76"/>
      <c r="J152" s="85"/>
      <c r="K152" s="64"/>
      <c r="L152" s="65"/>
      <c r="M152" s="99"/>
      <c r="N152" s="70"/>
      <c r="O152" s="61"/>
      <c r="P152" s="62"/>
      <c r="Q152" s="63"/>
      <c r="R152" s="75"/>
      <c r="S152" s="74" t="s">
        <v>18235</v>
      </c>
      <c r="T152" s="62"/>
      <c r="U152" s="63"/>
      <c r="V152" s="75"/>
      <c r="W152" s="228">
        <f>ROUND((ROUND((ROUND((_15_同援日３．５*_15・通訳),0)*(1+_15・A夜間)),0)*(1+_15・区４)),0)</f>
        <v>1063</v>
      </c>
      <c r="X152" s="69"/>
    </row>
    <row r="153" spans="1:24" ht="16.5" customHeight="1" x14ac:dyDescent="0.3">
      <c r="A153" s="2">
        <v>15</v>
      </c>
      <c r="B153" s="2" t="s">
        <v>3532</v>
      </c>
      <c r="C153" s="60" t="s">
        <v>13835</v>
      </c>
      <c r="D153" s="1"/>
      <c r="E153" s="68"/>
      <c r="F153" s="70"/>
      <c r="G153" s="67"/>
      <c r="H153" s="68"/>
      <c r="I153" s="76"/>
      <c r="J153" s="83" t="s">
        <v>5895</v>
      </c>
      <c r="K153" s="64" t="s">
        <v>1</v>
      </c>
      <c r="L153" s="65">
        <v>1</v>
      </c>
      <c r="M153" s="99"/>
      <c r="N153" s="70"/>
      <c r="O153" s="66"/>
      <c r="P153" s="57"/>
      <c r="Q153" s="58"/>
      <c r="R153" s="77"/>
      <c r="S153" s="94" t="s">
        <v>18234</v>
      </c>
      <c r="T153" s="68"/>
      <c r="U153" s="76"/>
      <c r="V153" s="70"/>
      <c r="W153" s="228">
        <f>ROUND((ROUND((ROUND((ROUND((_15_同援日３．５*_15・通訳),0)*_15・２人),0)*(1+_15・A夜間)),0)*(1+_15・区４)),0)</f>
        <v>1063</v>
      </c>
      <c r="X153" s="69"/>
    </row>
    <row r="154" spans="1:24" ht="16.5" customHeight="1" x14ac:dyDescent="0.3">
      <c r="A154" s="2">
        <v>15</v>
      </c>
      <c r="B154" s="2" t="s">
        <v>3533</v>
      </c>
      <c r="C154" s="60" t="s">
        <v>13834</v>
      </c>
      <c r="D154" s="1"/>
      <c r="E154" s="68"/>
      <c r="F154" s="70"/>
      <c r="G154" s="67"/>
      <c r="H154" s="68"/>
      <c r="I154" s="76"/>
      <c r="J154" s="85"/>
      <c r="K154" s="64"/>
      <c r="L154" s="65"/>
      <c r="M154" s="99"/>
      <c r="N154" s="70"/>
      <c r="O154" s="74" t="s">
        <v>18233</v>
      </c>
      <c r="P154" s="62"/>
      <c r="Q154" s="63"/>
      <c r="R154" s="75"/>
      <c r="S154" s="67"/>
      <c r="T154" s="68" t="s">
        <v>1</v>
      </c>
      <c r="U154" s="76">
        <v>0.4</v>
      </c>
      <c r="V154" s="70" t="s">
        <v>422</v>
      </c>
      <c r="W154" s="228">
        <f>ROUND((ROUND((ROUND((ROUND((_15_同援日３．５*_15・通訳),0)*(1+_15・A夜間)),0)*(1+_15・盲ろう)),0)*(1+_15・区４)),0)</f>
        <v>1329</v>
      </c>
      <c r="X154" s="69"/>
    </row>
    <row r="155" spans="1:24" ht="16.5" customHeight="1" x14ac:dyDescent="0.3">
      <c r="A155" s="2">
        <v>15</v>
      </c>
      <c r="B155" s="2" t="s">
        <v>3534</v>
      </c>
      <c r="C155" s="60" t="s">
        <v>13833</v>
      </c>
      <c r="D155" s="81"/>
      <c r="E155" s="57"/>
      <c r="F155" s="77"/>
      <c r="G155" s="67"/>
      <c r="H155" s="68"/>
      <c r="I155" s="76"/>
      <c r="J155" s="83" t="s">
        <v>5895</v>
      </c>
      <c r="K155" s="64" t="s">
        <v>1</v>
      </c>
      <c r="L155" s="65">
        <v>1</v>
      </c>
      <c r="M155" s="99"/>
      <c r="N155" s="70"/>
      <c r="O155" s="106" t="s">
        <v>18232</v>
      </c>
      <c r="P155" s="57" t="s">
        <v>1</v>
      </c>
      <c r="Q155" s="58">
        <v>0.25</v>
      </c>
      <c r="R155" s="77" t="s">
        <v>422</v>
      </c>
      <c r="S155" s="66"/>
      <c r="T155" s="57"/>
      <c r="U155" s="58"/>
      <c r="V155" s="77"/>
      <c r="W155" s="228">
        <f>ROUND((ROUND((ROUND((ROUND((ROUND((_15_同援日３．５*_15・通訳),0)*_15・２人),0)*(1+_15・A夜間)),0)*(1+_15・盲ろう)),0)*(1+_15・区４)),0)</f>
        <v>1329</v>
      </c>
      <c r="X155" s="69"/>
    </row>
    <row r="156" spans="1:24" ht="16.5" customHeight="1" x14ac:dyDescent="0.3">
      <c r="A156" s="2">
        <v>15</v>
      </c>
      <c r="B156" s="2" t="s">
        <v>3535</v>
      </c>
      <c r="C156" s="60" t="s">
        <v>13832</v>
      </c>
      <c r="D156" s="233" t="s">
        <v>18238</v>
      </c>
      <c r="E156" s="62"/>
      <c r="F156" s="75"/>
      <c r="G156" s="67"/>
      <c r="H156" s="68"/>
      <c r="I156" s="76"/>
      <c r="J156" s="85"/>
      <c r="K156" s="64"/>
      <c r="L156" s="65"/>
      <c r="M156" s="99"/>
      <c r="N156" s="70"/>
      <c r="O156" s="61"/>
      <c r="P156" s="62"/>
      <c r="Q156" s="63"/>
      <c r="R156" s="75"/>
      <c r="S156" s="61"/>
      <c r="T156" s="62"/>
      <c r="U156" s="63"/>
      <c r="V156" s="75"/>
      <c r="W156" s="228">
        <f>ROUND((ROUND((_15_同援日４．０*_15・通訳),0)*(1+_15・A夜間)),0)</f>
        <v>829</v>
      </c>
      <c r="X156" s="69"/>
    </row>
    <row r="157" spans="1:24" ht="16.5" customHeight="1" x14ac:dyDescent="0.3">
      <c r="A157" s="2">
        <v>15</v>
      </c>
      <c r="B157" s="2" t="s">
        <v>3536</v>
      </c>
      <c r="C157" s="60" t="s">
        <v>13831</v>
      </c>
      <c r="D157" s="1" t="s">
        <v>17660</v>
      </c>
      <c r="E157" s="68"/>
      <c r="F157" s="70"/>
      <c r="G157" s="67"/>
      <c r="H157" s="68"/>
      <c r="I157" s="76"/>
      <c r="J157" s="83" t="s">
        <v>5895</v>
      </c>
      <c r="K157" s="64" t="s">
        <v>1</v>
      </c>
      <c r="L157" s="65">
        <v>1</v>
      </c>
      <c r="M157" s="99"/>
      <c r="N157" s="70"/>
      <c r="O157" s="66"/>
      <c r="P157" s="57"/>
      <c r="Q157" s="58"/>
      <c r="R157" s="77"/>
      <c r="S157" s="67"/>
      <c r="T157" s="68"/>
      <c r="U157" s="76"/>
      <c r="V157" s="70"/>
      <c r="W157" s="228">
        <f>ROUND((ROUND((ROUND((_15_同援日４．０*_15・通訳),0)*_15・２人),0)*(1+_15・A夜間)),0)</f>
        <v>829</v>
      </c>
      <c r="X157" s="69"/>
    </row>
    <row r="158" spans="1:24" ht="16.5" customHeight="1" x14ac:dyDescent="0.3">
      <c r="A158" s="2">
        <v>15</v>
      </c>
      <c r="B158" s="2" t="s">
        <v>3537</v>
      </c>
      <c r="C158" s="60" t="s">
        <v>13830</v>
      </c>
      <c r="D158" s="1" t="s">
        <v>8425</v>
      </c>
      <c r="E158" s="68"/>
      <c r="F158" s="70"/>
      <c r="G158" s="67"/>
      <c r="H158" s="68"/>
      <c r="I158" s="76"/>
      <c r="J158" s="85"/>
      <c r="K158" s="64"/>
      <c r="L158" s="65"/>
      <c r="M158" s="99"/>
      <c r="N158" s="70"/>
      <c r="O158" s="74" t="s">
        <v>18233</v>
      </c>
      <c r="P158" s="62"/>
      <c r="Q158" s="63"/>
      <c r="R158" s="75"/>
      <c r="S158" s="67"/>
      <c r="T158" s="68"/>
      <c r="U158" s="76"/>
      <c r="V158" s="70"/>
      <c r="W158" s="228">
        <f>ROUND((ROUND((ROUND((_15_同援日４．０*_15・通訳),0)*(1+_15・A夜間)),0)*(1+_15・盲ろう)),0)</f>
        <v>1036</v>
      </c>
      <c r="X158" s="69"/>
    </row>
    <row r="159" spans="1:24" ht="16.5" customHeight="1" x14ac:dyDescent="0.3">
      <c r="A159" s="2">
        <v>15</v>
      </c>
      <c r="B159" s="2" t="s">
        <v>3538</v>
      </c>
      <c r="C159" s="60" t="s">
        <v>13829</v>
      </c>
      <c r="D159" s="1"/>
      <c r="E159" s="227">
        <v>737</v>
      </c>
      <c r="F159" s="70" t="s">
        <v>0</v>
      </c>
      <c r="G159" s="67"/>
      <c r="H159" s="68"/>
      <c r="I159" s="76"/>
      <c r="J159" s="83" t="s">
        <v>5895</v>
      </c>
      <c r="K159" s="64" t="s">
        <v>1</v>
      </c>
      <c r="L159" s="65">
        <v>1</v>
      </c>
      <c r="M159" s="99"/>
      <c r="N159" s="70"/>
      <c r="O159" s="106" t="s">
        <v>18232</v>
      </c>
      <c r="P159" s="57" t="s">
        <v>1</v>
      </c>
      <c r="Q159" s="58">
        <v>0.25</v>
      </c>
      <c r="R159" s="77" t="s">
        <v>422</v>
      </c>
      <c r="S159" s="66"/>
      <c r="T159" s="57"/>
      <c r="U159" s="58"/>
      <c r="V159" s="77"/>
      <c r="W159" s="228">
        <f>ROUND((ROUND((ROUND((ROUND((_15_同援日４．０*_15・通訳),0)*_15・２人),0)*(1+_15・A夜間)),0)*(1+_15・盲ろう)),0)</f>
        <v>1036</v>
      </c>
      <c r="X159" s="69"/>
    </row>
    <row r="160" spans="1:24" ht="16.5" customHeight="1" x14ac:dyDescent="0.3">
      <c r="A160" s="2">
        <v>15</v>
      </c>
      <c r="B160" s="2" t="s">
        <v>3539</v>
      </c>
      <c r="C160" s="60" t="s">
        <v>13828</v>
      </c>
      <c r="D160" s="1"/>
      <c r="E160" s="68"/>
      <c r="F160" s="70"/>
      <c r="G160" s="67"/>
      <c r="H160" s="68"/>
      <c r="I160" s="76"/>
      <c r="J160" s="85"/>
      <c r="K160" s="64"/>
      <c r="L160" s="65"/>
      <c r="M160" s="99"/>
      <c r="N160" s="70"/>
      <c r="O160" s="61"/>
      <c r="P160" s="62"/>
      <c r="Q160" s="63"/>
      <c r="R160" s="75"/>
      <c r="S160" s="74" t="s">
        <v>18236</v>
      </c>
      <c r="T160" s="62"/>
      <c r="U160" s="63"/>
      <c r="V160" s="75"/>
      <c r="W160" s="228">
        <f>ROUND((ROUND((ROUND((_15_同援日４．０*_15・通訳),0)*(1+_15・A夜間)),0)*(1+_15・区３)),0)</f>
        <v>995</v>
      </c>
      <c r="X160" s="69"/>
    </row>
    <row r="161" spans="1:24" ht="16.5" customHeight="1" x14ac:dyDescent="0.3">
      <c r="A161" s="2">
        <v>15</v>
      </c>
      <c r="B161" s="2" t="s">
        <v>3540</v>
      </c>
      <c r="C161" s="60" t="s">
        <v>13827</v>
      </c>
      <c r="D161" s="1"/>
      <c r="E161" s="68"/>
      <c r="F161" s="70"/>
      <c r="G161" s="67"/>
      <c r="H161" s="68"/>
      <c r="I161" s="76"/>
      <c r="J161" s="83" t="s">
        <v>5895</v>
      </c>
      <c r="K161" s="64" t="s">
        <v>1</v>
      </c>
      <c r="L161" s="65">
        <v>1</v>
      </c>
      <c r="M161" s="99"/>
      <c r="N161" s="70"/>
      <c r="O161" s="66"/>
      <c r="P161" s="57"/>
      <c r="Q161" s="58"/>
      <c r="R161" s="77"/>
      <c r="S161" s="94" t="s">
        <v>17970</v>
      </c>
      <c r="T161" s="68"/>
      <c r="U161" s="76"/>
      <c r="V161" s="70"/>
      <c r="W161" s="228">
        <f>ROUND((ROUND((ROUND((ROUND((_15_同援日４．０*_15・通訳),0)*_15・２人),0)*(1+_15・A夜間)),0)*(1+_15・区３)),0)</f>
        <v>995</v>
      </c>
      <c r="X161" s="69"/>
    </row>
    <row r="162" spans="1:24" ht="16.5" customHeight="1" x14ac:dyDescent="0.3">
      <c r="A162" s="2">
        <v>15</v>
      </c>
      <c r="B162" s="2" t="s">
        <v>3541</v>
      </c>
      <c r="C162" s="60" t="s">
        <v>13826</v>
      </c>
      <c r="D162" s="1"/>
      <c r="E162" s="68"/>
      <c r="F162" s="70"/>
      <c r="G162" s="67"/>
      <c r="H162" s="68"/>
      <c r="I162" s="76"/>
      <c r="J162" s="85"/>
      <c r="K162" s="64"/>
      <c r="L162" s="65"/>
      <c r="M162" s="99"/>
      <c r="N162" s="70"/>
      <c r="O162" s="74" t="s">
        <v>8085</v>
      </c>
      <c r="P162" s="62"/>
      <c r="Q162" s="63"/>
      <c r="R162" s="75"/>
      <c r="S162" s="67"/>
      <c r="T162" s="68" t="s">
        <v>1</v>
      </c>
      <c r="U162" s="76">
        <v>0.2</v>
      </c>
      <c r="V162" s="70" t="s">
        <v>422</v>
      </c>
      <c r="W162" s="228">
        <f>ROUND((ROUND((ROUND((ROUND((_15_同援日４．０*_15・通訳),0)*(1+_15・A夜間)),0)*(1+_15・盲ろう)),0)*(1+_15・区３)),0)</f>
        <v>1243</v>
      </c>
      <c r="X162" s="69"/>
    </row>
    <row r="163" spans="1:24" ht="16.5" customHeight="1" x14ac:dyDescent="0.3">
      <c r="A163" s="2">
        <v>15</v>
      </c>
      <c r="B163" s="2" t="s">
        <v>3542</v>
      </c>
      <c r="C163" s="60" t="s">
        <v>13825</v>
      </c>
      <c r="D163" s="1"/>
      <c r="E163" s="68"/>
      <c r="F163" s="70"/>
      <c r="G163" s="67"/>
      <c r="H163" s="68"/>
      <c r="I163" s="76"/>
      <c r="J163" s="83" t="s">
        <v>5895</v>
      </c>
      <c r="K163" s="64" t="s">
        <v>1</v>
      </c>
      <c r="L163" s="65">
        <v>1</v>
      </c>
      <c r="M163" s="99"/>
      <c r="N163" s="70"/>
      <c r="O163" s="106" t="s">
        <v>18232</v>
      </c>
      <c r="P163" s="57" t="s">
        <v>1</v>
      </c>
      <c r="Q163" s="58">
        <v>0.25</v>
      </c>
      <c r="R163" s="77" t="s">
        <v>422</v>
      </c>
      <c r="S163" s="66"/>
      <c r="T163" s="57"/>
      <c r="U163" s="58"/>
      <c r="V163" s="77"/>
      <c r="W163" s="228">
        <f>ROUND((ROUND((ROUND((ROUND((ROUND((_15_同援日４．０*_15・通訳),0)*_15・２人),0)*(1+_15・A夜間)),0)*(1+_15・盲ろう)),0)*(1+_15・区３)),0)</f>
        <v>1243</v>
      </c>
      <c r="X163" s="69"/>
    </row>
    <row r="164" spans="1:24" ht="16.5" customHeight="1" x14ac:dyDescent="0.3">
      <c r="A164" s="2">
        <v>15</v>
      </c>
      <c r="B164" s="2" t="s">
        <v>3543</v>
      </c>
      <c r="C164" s="60" t="s">
        <v>13824</v>
      </c>
      <c r="D164" s="1"/>
      <c r="E164" s="68"/>
      <c r="F164" s="70"/>
      <c r="G164" s="67"/>
      <c r="H164" s="68"/>
      <c r="I164" s="76"/>
      <c r="J164" s="85"/>
      <c r="K164" s="64"/>
      <c r="L164" s="65"/>
      <c r="M164" s="99"/>
      <c r="N164" s="70"/>
      <c r="O164" s="61"/>
      <c r="P164" s="62"/>
      <c r="Q164" s="63"/>
      <c r="R164" s="75"/>
      <c r="S164" s="74" t="s">
        <v>18235</v>
      </c>
      <c r="T164" s="62"/>
      <c r="U164" s="63"/>
      <c r="V164" s="75"/>
      <c r="W164" s="228">
        <f>ROUND((ROUND((ROUND((_15_同援日４．０*_15・通訳),0)*(1+_15・A夜間)),0)*(1+_15・区４)),0)</f>
        <v>1161</v>
      </c>
      <c r="X164" s="69"/>
    </row>
    <row r="165" spans="1:24" ht="16.5" customHeight="1" x14ac:dyDescent="0.3">
      <c r="A165" s="2">
        <v>15</v>
      </c>
      <c r="B165" s="2" t="s">
        <v>3544</v>
      </c>
      <c r="C165" s="60" t="s">
        <v>13823</v>
      </c>
      <c r="D165" s="1"/>
      <c r="E165" s="68"/>
      <c r="F165" s="70"/>
      <c r="G165" s="67"/>
      <c r="H165" s="68"/>
      <c r="I165" s="76"/>
      <c r="J165" s="83" t="s">
        <v>5895</v>
      </c>
      <c r="K165" s="64" t="s">
        <v>1</v>
      </c>
      <c r="L165" s="65">
        <v>1</v>
      </c>
      <c r="M165" s="99"/>
      <c r="N165" s="70"/>
      <c r="O165" s="66"/>
      <c r="P165" s="57"/>
      <c r="Q165" s="58"/>
      <c r="R165" s="77"/>
      <c r="S165" s="94" t="s">
        <v>18234</v>
      </c>
      <c r="T165" s="68"/>
      <c r="U165" s="76"/>
      <c r="V165" s="70"/>
      <c r="W165" s="228">
        <f>ROUND((ROUND((ROUND((ROUND((_15_同援日４．０*_15・通訳),0)*_15・２人),0)*(1+_15・A夜間)),0)*(1+_15・区４)),0)</f>
        <v>1161</v>
      </c>
      <c r="X165" s="69"/>
    </row>
    <row r="166" spans="1:24" ht="16.5" customHeight="1" x14ac:dyDescent="0.3">
      <c r="A166" s="2">
        <v>15</v>
      </c>
      <c r="B166" s="2" t="s">
        <v>3545</v>
      </c>
      <c r="C166" s="60" t="s">
        <v>13822</v>
      </c>
      <c r="D166" s="1"/>
      <c r="E166" s="68"/>
      <c r="F166" s="70"/>
      <c r="G166" s="67"/>
      <c r="H166" s="68"/>
      <c r="I166" s="76"/>
      <c r="J166" s="85"/>
      <c r="K166" s="64"/>
      <c r="L166" s="65"/>
      <c r="M166" s="99"/>
      <c r="N166" s="70"/>
      <c r="O166" s="74" t="s">
        <v>18233</v>
      </c>
      <c r="P166" s="62"/>
      <c r="Q166" s="63"/>
      <c r="R166" s="75"/>
      <c r="S166" s="67"/>
      <c r="T166" s="68" t="s">
        <v>1</v>
      </c>
      <c r="U166" s="76">
        <v>0.4</v>
      </c>
      <c r="V166" s="70" t="s">
        <v>422</v>
      </c>
      <c r="W166" s="228">
        <f>ROUND((ROUND((ROUND((ROUND((_15_同援日４．０*_15・通訳),0)*(1+_15・A夜間)),0)*(1+_15・盲ろう)),0)*(1+_15・区４)),0)</f>
        <v>1450</v>
      </c>
      <c r="X166" s="69"/>
    </row>
    <row r="167" spans="1:24" ht="16.5" customHeight="1" x14ac:dyDescent="0.3">
      <c r="A167" s="2">
        <v>15</v>
      </c>
      <c r="B167" s="2" t="s">
        <v>3546</v>
      </c>
      <c r="C167" s="60" t="s">
        <v>13821</v>
      </c>
      <c r="D167" s="81"/>
      <c r="E167" s="57"/>
      <c r="F167" s="77"/>
      <c r="G167" s="67"/>
      <c r="H167" s="68"/>
      <c r="I167" s="76"/>
      <c r="J167" s="83" t="s">
        <v>5895</v>
      </c>
      <c r="K167" s="64" t="s">
        <v>1</v>
      </c>
      <c r="L167" s="65">
        <v>1</v>
      </c>
      <c r="M167" s="99"/>
      <c r="N167" s="70"/>
      <c r="O167" s="106" t="s">
        <v>18232</v>
      </c>
      <c r="P167" s="57" t="s">
        <v>1</v>
      </c>
      <c r="Q167" s="58">
        <v>0.25</v>
      </c>
      <c r="R167" s="77" t="s">
        <v>422</v>
      </c>
      <c r="S167" s="66"/>
      <c r="T167" s="57"/>
      <c r="U167" s="58"/>
      <c r="V167" s="77"/>
      <c r="W167" s="228">
        <f>ROUND((ROUND((ROUND((ROUND((ROUND((_15_同援日４．０*_15・通訳),0)*_15・２人),0)*(1+_15・A夜間)),0)*(1+_15・盲ろう)),0)*(1+_15・区４)),0)</f>
        <v>1450</v>
      </c>
      <c r="X167" s="69"/>
    </row>
    <row r="168" spans="1:24" ht="16.5" customHeight="1" x14ac:dyDescent="0.3">
      <c r="A168" s="2">
        <v>15</v>
      </c>
      <c r="B168" s="2" t="s">
        <v>3547</v>
      </c>
      <c r="C168" s="60" t="s">
        <v>13820</v>
      </c>
      <c r="D168" s="233" t="s">
        <v>18237</v>
      </c>
      <c r="E168" s="62"/>
      <c r="F168" s="75"/>
      <c r="G168" s="67"/>
      <c r="H168" s="68"/>
      <c r="I168" s="76"/>
      <c r="J168" s="85"/>
      <c r="K168" s="64"/>
      <c r="L168" s="65"/>
      <c r="M168" s="99"/>
      <c r="N168" s="70"/>
      <c r="O168" s="61"/>
      <c r="P168" s="62"/>
      <c r="Q168" s="63"/>
      <c r="R168" s="75"/>
      <c r="S168" s="61"/>
      <c r="T168" s="62"/>
      <c r="U168" s="63"/>
      <c r="V168" s="75"/>
      <c r="W168" s="228">
        <f>ROUND((ROUND((_15_同援日４．５*_15・通訳),0)*(1+_15・A夜間)),0)</f>
        <v>900</v>
      </c>
      <c r="X168" s="69"/>
    </row>
    <row r="169" spans="1:24" ht="16.5" customHeight="1" x14ac:dyDescent="0.3">
      <c r="A169" s="2">
        <v>15</v>
      </c>
      <c r="B169" s="2" t="s">
        <v>3548</v>
      </c>
      <c r="C169" s="60" t="s">
        <v>13819</v>
      </c>
      <c r="D169" s="1" t="s">
        <v>17657</v>
      </c>
      <c r="E169" s="68"/>
      <c r="F169" s="70"/>
      <c r="G169" s="67"/>
      <c r="H169" s="68"/>
      <c r="I169" s="76"/>
      <c r="J169" s="83" t="s">
        <v>5895</v>
      </c>
      <c r="K169" s="64" t="s">
        <v>1</v>
      </c>
      <c r="L169" s="65">
        <v>1</v>
      </c>
      <c r="M169" s="99"/>
      <c r="N169" s="70"/>
      <c r="O169" s="66"/>
      <c r="P169" s="57"/>
      <c r="Q169" s="58"/>
      <c r="R169" s="77"/>
      <c r="S169" s="67"/>
      <c r="T169" s="68"/>
      <c r="U169" s="76"/>
      <c r="V169" s="70"/>
      <c r="W169" s="228">
        <f>ROUND((ROUND((ROUND((_15_同援日４．５*_15・通訳),0)*_15・２人),0)*(1+_15・A夜間)),0)</f>
        <v>900</v>
      </c>
      <c r="X169" s="69"/>
    </row>
    <row r="170" spans="1:24" ht="16.5" customHeight="1" x14ac:dyDescent="0.3">
      <c r="A170" s="2">
        <v>15</v>
      </c>
      <c r="B170" s="2" t="s">
        <v>3549</v>
      </c>
      <c r="C170" s="60" t="s">
        <v>13818</v>
      </c>
      <c r="D170" s="1" t="s">
        <v>8621</v>
      </c>
      <c r="E170" s="68"/>
      <c r="F170" s="70"/>
      <c r="G170" s="67"/>
      <c r="H170" s="68"/>
      <c r="I170" s="76"/>
      <c r="J170" s="85"/>
      <c r="K170" s="64"/>
      <c r="L170" s="65"/>
      <c r="M170" s="99"/>
      <c r="N170" s="70"/>
      <c r="O170" s="74" t="s">
        <v>18233</v>
      </c>
      <c r="P170" s="62"/>
      <c r="Q170" s="63"/>
      <c r="R170" s="75"/>
      <c r="S170" s="67"/>
      <c r="T170" s="68"/>
      <c r="U170" s="76"/>
      <c r="V170" s="70"/>
      <c r="W170" s="228">
        <f>ROUND((ROUND((ROUND((_15_同援日４．５*_15・通訳),0)*(1+_15・A夜間)),0)*(1+_15・盲ろう)),0)</f>
        <v>1125</v>
      </c>
      <c r="X170" s="69"/>
    </row>
    <row r="171" spans="1:24" ht="16.5" customHeight="1" x14ac:dyDescent="0.3">
      <c r="A171" s="2">
        <v>15</v>
      </c>
      <c r="B171" s="2" t="s">
        <v>3550</v>
      </c>
      <c r="C171" s="60" t="s">
        <v>13817</v>
      </c>
      <c r="D171" s="1"/>
      <c r="E171" s="227">
        <v>800</v>
      </c>
      <c r="F171" s="70" t="s">
        <v>0</v>
      </c>
      <c r="G171" s="67"/>
      <c r="H171" s="68"/>
      <c r="I171" s="76"/>
      <c r="J171" s="83" t="s">
        <v>5895</v>
      </c>
      <c r="K171" s="64" t="s">
        <v>1</v>
      </c>
      <c r="L171" s="65">
        <v>1</v>
      </c>
      <c r="M171" s="99"/>
      <c r="N171" s="70"/>
      <c r="O171" s="106" t="s">
        <v>18232</v>
      </c>
      <c r="P171" s="57" t="s">
        <v>1</v>
      </c>
      <c r="Q171" s="58">
        <v>0.25</v>
      </c>
      <c r="R171" s="77" t="s">
        <v>422</v>
      </c>
      <c r="S171" s="66"/>
      <c r="T171" s="57"/>
      <c r="U171" s="58"/>
      <c r="V171" s="77"/>
      <c r="W171" s="228">
        <f>ROUND((ROUND((ROUND((ROUND((_15_同援日４．５*_15・通訳),0)*_15・２人),0)*(1+_15・A夜間)),0)*(1+_15・盲ろう)),0)</f>
        <v>1125</v>
      </c>
      <c r="X171" s="69"/>
    </row>
    <row r="172" spans="1:24" ht="16.5" customHeight="1" x14ac:dyDescent="0.3">
      <c r="A172" s="2">
        <v>15</v>
      </c>
      <c r="B172" s="2" t="s">
        <v>3551</v>
      </c>
      <c r="C172" s="60" t="s">
        <v>13816</v>
      </c>
      <c r="D172" s="1"/>
      <c r="E172" s="68"/>
      <c r="F172" s="70"/>
      <c r="G172" s="67"/>
      <c r="H172" s="68"/>
      <c r="I172" s="76"/>
      <c r="J172" s="85"/>
      <c r="K172" s="64"/>
      <c r="L172" s="65"/>
      <c r="M172" s="99"/>
      <c r="N172" s="70"/>
      <c r="O172" s="61"/>
      <c r="P172" s="62"/>
      <c r="Q172" s="63"/>
      <c r="R172" s="75"/>
      <c r="S172" s="74" t="s">
        <v>18236</v>
      </c>
      <c r="T172" s="62"/>
      <c r="U172" s="63"/>
      <c r="V172" s="75"/>
      <c r="W172" s="228">
        <f>ROUND((ROUND((ROUND((_15_同援日４．５*_15・通訳),0)*(1+_15・A夜間)),0)*(1+_15・区３)),0)</f>
        <v>1080</v>
      </c>
      <c r="X172" s="69"/>
    </row>
    <row r="173" spans="1:24" ht="16.5" customHeight="1" x14ac:dyDescent="0.3">
      <c r="A173" s="2">
        <v>15</v>
      </c>
      <c r="B173" s="2" t="s">
        <v>3552</v>
      </c>
      <c r="C173" s="60" t="s">
        <v>13815</v>
      </c>
      <c r="D173" s="1"/>
      <c r="E173" s="68"/>
      <c r="F173" s="70"/>
      <c r="G173" s="67"/>
      <c r="H173" s="68"/>
      <c r="I173" s="76"/>
      <c r="J173" s="83" t="s">
        <v>5895</v>
      </c>
      <c r="K173" s="64" t="s">
        <v>1</v>
      </c>
      <c r="L173" s="65">
        <v>1</v>
      </c>
      <c r="M173" s="99"/>
      <c r="N173" s="70"/>
      <c r="O173" s="66"/>
      <c r="P173" s="57"/>
      <c r="Q173" s="58"/>
      <c r="R173" s="77"/>
      <c r="S173" s="94" t="s">
        <v>18234</v>
      </c>
      <c r="T173" s="68"/>
      <c r="U173" s="76"/>
      <c r="V173" s="70"/>
      <c r="W173" s="228">
        <f>ROUND((ROUND((ROUND((ROUND((_15_同援日４．５*_15・通訳),0)*_15・２人),0)*(1+_15・A夜間)),0)*(1+_15・区３)),0)</f>
        <v>1080</v>
      </c>
      <c r="X173" s="69"/>
    </row>
    <row r="174" spans="1:24" ht="16.5" customHeight="1" x14ac:dyDescent="0.3">
      <c r="A174" s="2">
        <v>15</v>
      </c>
      <c r="B174" s="2" t="s">
        <v>3553</v>
      </c>
      <c r="C174" s="60" t="s">
        <v>13814</v>
      </c>
      <c r="D174" s="1"/>
      <c r="E174" s="68"/>
      <c r="F174" s="70"/>
      <c r="G174" s="67"/>
      <c r="H174" s="68"/>
      <c r="I174" s="76"/>
      <c r="J174" s="85"/>
      <c r="K174" s="64"/>
      <c r="L174" s="65"/>
      <c r="M174" s="99"/>
      <c r="N174" s="70"/>
      <c r="O174" s="74" t="s">
        <v>18233</v>
      </c>
      <c r="P174" s="62"/>
      <c r="Q174" s="63"/>
      <c r="R174" s="75"/>
      <c r="S174" s="67"/>
      <c r="T174" s="68" t="s">
        <v>1</v>
      </c>
      <c r="U174" s="76">
        <v>0.2</v>
      </c>
      <c r="V174" s="70" t="s">
        <v>422</v>
      </c>
      <c r="W174" s="228">
        <f>ROUND((ROUND((ROUND((ROUND((_15_同援日４．５*_15・通訳),0)*(1+_15・A夜間)),0)*(1+_15・盲ろう)),0)*(1+_15・区３)),0)</f>
        <v>1350</v>
      </c>
      <c r="X174" s="69"/>
    </row>
    <row r="175" spans="1:24" ht="16.5" customHeight="1" x14ac:dyDescent="0.3">
      <c r="A175" s="2">
        <v>15</v>
      </c>
      <c r="B175" s="2" t="s">
        <v>3554</v>
      </c>
      <c r="C175" s="60" t="s">
        <v>13813</v>
      </c>
      <c r="D175" s="1"/>
      <c r="E175" s="68"/>
      <c r="F175" s="70"/>
      <c r="G175" s="67"/>
      <c r="H175" s="68"/>
      <c r="I175" s="76"/>
      <c r="J175" s="83" t="s">
        <v>5895</v>
      </c>
      <c r="K175" s="64" t="s">
        <v>1</v>
      </c>
      <c r="L175" s="65">
        <v>1</v>
      </c>
      <c r="M175" s="99"/>
      <c r="N175" s="70"/>
      <c r="O175" s="106" t="s">
        <v>18232</v>
      </c>
      <c r="P175" s="57" t="s">
        <v>1</v>
      </c>
      <c r="Q175" s="58">
        <v>0.25</v>
      </c>
      <c r="R175" s="77" t="s">
        <v>422</v>
      </c>
      <c r="S175" s="66"/>
      <c r="T175" s="57"/>
      <c r="U175" s="58"/>
      <c r="V175" s="77"/>
      <c r="W175" s="228">
        <f>ROUND((ROUND((ROUND((ROUND((ROUND((_15_同援日４．５*_15・通訳),0)*_15・２人),0)*(1+_15・A夜間)),0)*(1+_15・盲ろう)),0)*(1+_15・区３)),0)</f>
        <v>1350</v>
      </c>
      <c r="X175" s="69"/>
    </row>
    <row r="176" spans="1:24" ht="16.5" customHeight="1" x14ac:dyDescent="0.3">
      <c r="A176" s="2">
        <v>15</v>
      </c>
      <c r="B176" s="2" t="s">
        <v>3555</v>
      </c>
      <c r="C176" s="60" t="s">
        <v>13812</v>
      </c>
      <c r="D176" s="1"/>
      <c r="E176" s="68"/>
      <c r="F176" s="70"/>
      <c r="G176" s="67"/>
      <c r="H176" s="68"/>
      <c r="I176" s="76"/>
      <c r="J176" s="85"/>
      <c r="K176" s="64"/>
      <c r="L176" s="65"/>
      <c r="M176" s="99"/>
      <c r="N176" s="70"/>
      <c r="O176" s="61"/>
      <c r="P176" s="62"/>
      <c r="Q176" s="63"/>
      <c r="R176" s="75"/>
      <c r="S176" s="74" t="s">
        <v>18235</v>
      </c>
      <c r="T176" s="62"/>
      <c r="U176" s="63"/>
      <c r="V176" s="75"/>
      <c r="W176" s="228">
        <f>ROUND((ROUND((ROUND((_15_同援日４．５*_15・通訳),0)*(1+_15・A夜間)),0)*(1+_15・区４)),0)</f>
        <v>1260</v>
      </c>
      <c r="X176" s="69"/>
    </row>
    <row r="177" spans="1:24" ht="16.5" customHeight="1" x14ac:dyDescent="0.3">
      <c r="A177" s="2">
        <v>15</v>
      </c>
      <c r="B177" s="2" t="s">
        <v>3556</v>
      </c>
      <c r="C177" s="60" t="s">
        <v>13811</v>
      </c>
      <c r="D177" s="1"/>
      <c r="E177" s="68"/>
      <c r="F177" s="70"/>
      <c r="G177" s="67"/>
      <c r="H177" s="68"/>
      <c r="I177" s="76"/>
      <c r="J177" s="83" t="s">
        <v>5895</v>
      </c>
      <c r="K177" s="64" t="s">
        <v>1</v>
      </c>
      <c r="L177" s="65">
        <v>1</v>
      </c>
      <c r="M177" s="99"/>
      <c r="N177" s="70"/>
      <c r="O177" s="66"/>
      <c r="P177" s="57"/>
      <c r="Q177" s="58"/>
      <c r="R177" s="77"/>
      <c r="S177" s="94" t="s">
        <v>18234</v>
      </c>
      <c r="T177" s="68"/>
      <c r="U177" s="76"/>
      <c r="V177" s="70"/>
      <c r="W177" s="228">
        <f>ROUND((ROUND((ROUND((ROUND((_15_同援日４．５*_15・通訳),0)*_15・２人),0)*(1+_15・A夜間)),0)*(1+_15・区４)),0)</f>
        <v>1260</v>
      </c>
      <c r="X177" s="69"/>
    </row>
    <row r="178" spans="1:24" ht="16.5" customHeight="1" x14ac:dyDescent="0.3">
      <c r="A178" s="2">
        <v>15</v>
      </c>
      <c r="B178" s="2" t="s">
        <v>3557</v>
      </c>
      <c r="C178" s="60" t="s">
        <v>13810</v>
      </c>
      <c r="D178" s="1"/>
      <c r="E178" s="68"/>
      <c r="F178" s="70"/>
      <c r="G178" s="67"/>
      <c r="H178" s="68"/>
      <c r="I178" s="76"/>
      <c r="J178" s="85"/>
      <c r="K178" s="64"/>
      <c r="L178" s="65"/>
      <c r="M178" s="99"/>
      <c r="N178" s="70"/>
      <c r="O178" s="74" t="s">
        <v>18233</v>
      </c>
      <c r="P178" s="62"/>
      <c r="Q178" s="63"/>
      <c r="R178" s="75"/>
      <c r="S178" s="67"/>
      <c r="T178" s="68" t="s">
        <v>1</v>
      </c>
      <c r="U178" s="76">
        <v>0.4</v>
      </c>
      <c r="V178" s="70" t="s">
        <v>422</v>
      </c>
      <c r="W178" s="228">
        <f>ROUND((ROUND((ROUND((ROUND((_15_同援日４．５*_15・通訳),0)*(1+_15・A夜間)),0)*(1+_15・盲ろう)),0)*(1+_15・区４)),0)</f>
        <v>1575</v>
      </c>
      <c r="X178" s="69"/>
    </row>
    <row r="179" spans="1:24" ht="16.5" customHeight="1" x14ac:dyDescent="0.3">
      <c r="A179" s="2">
        <v>15</v>
      </c>
      <c r="B179" s="2" t="s">
        <v>3558</v>
      </c>
      <c r="C179" s="60" t="s">
        <v>13809</v>
      </c>
      <c r="D179" s="81"/>
      <c r="E179" s="57"/>
      <c r="F179" s="77"/>
      <c r="G179" s="66"/>
      <c r="H179" s="57"/>
      <c r="I179" s="58"/>
      <c r="J179" s="83" t="s">
        <v>5895</v>
      </c>
      <c r="K179" s="64" t="s">
        <v>1</v>
      </c>
      <c r="L179" s="65">
        <v>1</v>
      </c>
      <c r="M179" s="101"/>
      <c r="N179" s="77"/>
      <c r="O179" s="106" t="s">
        <v>18232</v>
      </c>
      <c r="P179" s="57" t="s">
        <v>1</v>
      </c>
      <c r="Q179" s="58">
        <v>0.25</v>
      </c>
      <c r="R179" s="77" t="s">
        <v>422</v>
      </c>
      <c r="S179" s="66"/>
      <c r="T179" s="57"/>
      <c r="U179" s="58"/>
      <c r="V179" s="77"/>
      <c r="W179" s="228">
        <f>ROUND((ROUND((ROUND((ROUND((ROUND((_15_同援日４．５*_15・通訳),0)*_15・２人),0)*(1+_15・A夜間)),0)*(1+_15・盲ろう)),0)*(1+_15・区４)),0)</f>
        <v>1575</v>
      </c>
      <c r="X179" s="71"/>
    </row>
    <row r="180" spans="1:24" ht="16.5" customHeight="1" x14ac:dyDescent="0.3"/>
    <row r="181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6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0000"/>
    <pageSetUpPr fitToPage="1"/>
  </sheetPr>
  <dimension ref="A1:X164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734375" style="45" bestFit="1" customWidth="1"/>
    <col min="5" max="5" width="5.89453125" style="46" bestFit="1" customWidth="1"/>
    <col min="6" max="6" width="4.734375" style="46" bestFit="1" customWidth="1"/>
    <col min="7" max="7" width="18.62890625" style="46" customWidth="1"/>
    <col min="8" max="8" width="3.1015625" style="46" bestFit="1" customWidth="1"/>
    <col min="9" max="9" width="4.1015625" style="47" bestFit="1" customWidth="1"/>
    <col min="10" max="10" width="26.47265625" style="46" bestFit="1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22.73437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16295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 t="s">
        <v>3559</v>
      </c>
      <c r="C7" s="60" t="s">
        <v>14132</v>
      </c>
      <c r="D7" s="233" t="s">
        <v>16307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ROUND((ROUND((_15_同援日０．５*_15・通訳),0)*(1+_15・A深夜)),0)</f>
        <v>249</v>
      </c>
      <c r="X7" s="52" t="s">
        <v>5863</v>
      </c>
    </row>
    <row r="8" spans="1:24" ht="16.5" customHeight="1" x14ac:dyDescent="0.3">
      <c r="A8" s="2">
        <v>15</v>
      </c>
      <c r="B8" s="2" t="s">
        <v>3560</v>
      </c>
      <c r="C8" s="60" t="s">
        <v>14131</v>
      </c>
      <c r="D8" s="1" t="s">
        <v>7928</v>
      </c>
      <c r="E8" s="68"/>
      <c r="F8" s="70"/>
      <c r="G8" s="67"/>
      <c r="H8" s="68"/>
      <c r="I8" s="76"/>
      <c r="J8" s="83" t="s">
        <v>5895</v>
      </c>
      <c r="K8" s="64" t="s">
        <v>1</v>
      </c>
      <c r="L8" s="65">
        <v>1</v>
      </c>
      <c r="M8" s="99"/>
      <c r="N8" s="70"/>
      <c r="O8" s="66"/>
      <c r="P8" s="57"/>
      <c r="Q8" s="58"/>
      <c r="R8" s="77"/>
      <c r="S8" s="67"/>
      <c r="T8" s="68"/>
      <c r="U8" s="76"/>
      <c r="V8" s="70"/>
      <c r="W8" s="120">
        <f>ROUND((ROUND((ROUND((_15_同援日０．５*_15・通訳),0)*_15・２人),0)*(1+_15・A深夜)),0)</f>
        <v>249</v>
      </c>
      <c r="X8" s="69"/>
    </row>
    <row r="9" spans="1:24" ht="16.5" customHeight="1" x14ac:dyDescent="0.3">
      <c r="A9" s="2">
        <v>15</v>
      </c>
      <c r="B9" s="2" t="s">
        <v>3561</v>
      </c>
      <c r="C9" s="60" t="s">
        <v>14130</v>
      </c>
      <c r="D9" s="1"/>
      <c r="E9" s="68"/>
      <c r="F9" s="70"/>
      <c r="G9" s="67"/>
      <c r="H9" s="68"/>
      <c r="I9" s="76"/>
      <c r="J9" s="85"/>
      <c r="K9" s="64"/>
      <c r="L9" s="65"/>
      <c r="M9" s="99"/>
      <c r="N9" s="70"/>
      <c r="O9" s="74" t="s">
        <v>18256</v>
      </c>
      <c r="P9" s="62"/>
      <c r="Q9" s="63"/>
      <c r="R9" s="75"/>
      <c r="S9" s="67"/>
      <c r="T9" s="68"/>
      <c r="U9" s="76"/>
      <c r="V9" s="70"/>
      <c r="W9" s="120">
        <f>ROUND((ROUND((ROUND((_15_同援日０．５*_15・通訳),0)*(1+_15・A深夜)),0)*(1+_15・盲ろう)),0)</f>
        <v>311</v>
      </c>
      <c r="X9" s="69"/>
    </row>
    <row r="10" spans="1:24" ht="16.5" customHeight="1" x14ac:dyDescent="0.3">
      <c r="A10" s="2">
        <v>15</v>
      </c>
      <c r="B10" s="2" t="s">
        <v>3562</v>
      </c>
      <c r="C10" s="60" t="s">
        <v>14129</v>
      </c>
      <c r="D10" s="1"/>
      <c r="E10" s="119">
        <v>184</v>
      </c>
      <c r="F10" s="70" t="s">
        <v>0</v>
      </c>
      <c r="G10" s="67"/>
      <c r="H10" s="68"/>
      <c r="I10" s="76"/>
      <c r="J10" s="83" t="s">
        <v>5895</v>
      </c>
      <c r="K10" s="64" t="s">
        <v>1</v>
      </c>
      <c r="L10" s="65">
        <v>1</v>
      </c>
      <c r="M10" s="99"/>
      <c r="N10" s="70"/>
      <c r="O10" s="106" t="s">
        <v>18255</v>
      </c>
      <c r="P10" s="57" t="s">
        <v>1</v>
      </c>
      <c r="Q10" s="58">
        <v>0.25</v>
      </c>
      <c r="R10" s="77" t="s">
        <v>422</v>
      </c>
      <c r="S10" s="66"/>
      <c r="T10" s="57"/>
      <c r="U10" s="58"/>
      <c r="V10" s="77"/>
      <c r="W10" s="120">
        <f>ROUND((ROUND((ROUND((ROUND((_15_同援日０．５*_15・通訳),0)*_15・２人),0)*(1+_15・A深夜)),0)*(1+_15・盲ろう)),0)</f>
        <v>311</v>
      </c>
      <c r="X10" s="69"/>
    </row>
    <row r="11" spans="1:24" ht="16.5" customHeight="1" x14ac:dyDescent="0.3">
      <c r="A11" s="2">
        <v>15</v>
      </c>
      <c r="B11" s="2" t="s">
        <v>3563</v>
      </c>
      <c r="C11" s="60" t="s">
        <v>14128</v>
      </c>
      <c r="D11" s="1"/>
      <c r="E11" s="68"/>
      <c r="F11" s="70"/>
      <c r="G11" s="67"/>
      <c r="H11" s="68"/>
      <c r="I11" s="76"/>
      <c r="J11" s="85"/>
      <c r="K11" s="64"/>
      <c r="L11" s="65"/>
      <c r="M11" s="99"/>
      <c r="N11" s="70"/>
      <c r="O11" s="61"/>
      <c r="P11" s="62"/>
      <c r="Q11" s="63"/>
      <c r="R11" s="75"/>
      <c r="S11" s="74" t="s">
        <v>18257</v>
      </c>
      <c r="T11" s="62"/>
      <c r="U11" s="63"/>
      <c r="V11" s="75"/>
      <c r="W11" s="120">
        <f>ROUND((ROUND((ROUND((_15_同援日０．５*_15・通訳),0)*(1+_15・A深夜)),0)*(1+_15・区３)),0)</f>
        <v>299</v>
      </c>
      <c r="X11" s="69"/>
    </row>
    <row r="12" spans="1:24" ht="16.5" customHeight="1" x14ac:dyDescent="0.3">
      <c r="A12" s="2">
        <v>15</v>
      </c>
      <c r="B12" s="2" t="s">
        <v>3564</v>
      </c>
      <c r="C12" s="60" t="s">
        <v>14127</v>
      </c>
      <c r="D12" s="1"/>
      <c r="E12" s="68"/>
      <c r="F12" s="70"/>
      <c r="G12" s="1" t="s">
        <v>13802</v>
      </c>
      <c r="H12" s="68"/>
      <c r="I12" s="76"/>
      <c r="J12" s="83" t="s">
        <v>5895</v>
      </c>
      <c r="K12" s="64" t="s">
        <v>1</v>
      </c>
      <c r="L12" s="65">
        <v>1</v>
      </c>
      <c r="M12" s="108" t="s">
        <v>7920</v>
      </c>
      <c r="N12" s="70"/>
      <c r="O12" s="66"/>
      <c r="P12" s="57"/>
      <c r="Q12" s="58"/>
      <c r="R12" s="77"/>
      <c r="S12" s="94" t="s">
        <v>18261</v>
      </c>
      <c r="T12" s="68"/>
      <c r="U12" s="76"/>
      <c r="V12" s="70"/>
      <c r="W12" s="120">
        <f>ROUND((ROUND((ROUND((ROUND((_15_同援日０．５*_15・通訳),0)*_15・２人),0)*(1+_15・A深夜)),0)*(1+_15・区３)),0)</f>
        <v>299</v>
      </c>
      <c r="X12" s="69"/>
    </row>
    <row r="13" spans="1:24" ht="16.5" customHeight="1" x14ac:dyDescent="0.3">
      <c r="A13" s="2">
        <v>15</v>
      </c>
      <c r="B13" s="2" t="s">
        <v>3565</v>
      </c>
      <c r="C13" s="60" t="s">
        <v>14126</v>
      </c>
      <c r="D13" s="1"/>
      <c r="E13" s="68"/>
      <c r="F13" s="70"/>
      <c r="G13" s="94" t="s">
        <v>13800</v>
      </c>
      <c r="H13" s="68" t="s">
        <v>1</v>
      </c>
      <c r="I13" s="76">
        <v>0.9</v>
      </c>
      <c r="J13" s="85"/>
      <c r="K13" s="64"/>
      <c r="L13" s="65"/>
      <c r="M13" s="99"/>
      <c r="N13" s="110" t="s">
        <v>8034</v>
      </c>
      <c r="O13" s="74" t="s">
        <v>18256</v>
      </c>
      <c r="P13" s="62"/>
      <c r="Q13" s="63"/>
      <c r="R13" s="75"/>
      <c r="S13" s="67"/>
      <c r="T13" s="68" t="s">
        <v>1</v>
      </c>
      <c r="U13" s="76">
        <v>0.2</v>
      </c>
      <c r="V13" s="70" t="s">
        <v>422</v>
      </c>
      <c r="W13" s="120">
        <f>ROUND((ROUND((ROUND((ROUND((_15_同援日０．５*_15・通訳),0)*(1+_15・A深夜)),0)*(1+_15・盲ろう)),0)*(1+_15・区３)),0)</f>
        <v>373</v>
      </c>
      <c r="X13" s="69"/>
    </row>
    <row r="14" spans="1:24" ht="16.5" customHeight="1" x14ac:dyDescent="0.3">
      <c r="A14" s="2">
        <v>15</v>
      </c>
      <c r="B14" s="2" t="s">
        <v>3566</v>
      </c>
      <c r="C14" s="60" t="s">
        <v>14125</v>
      </c>
      <c r="D14" s="1"/>
      <c r="E14" s="68"/>
      <c r="F14" s="70"/>
      <c r="G14" s="67"/>
      <c r="H14" s="68"/>
      <c r="I14" s="76"/>
      <c r="J14" s="83" t="s">
        <v>5895</v>
      </c>
      <c r="K14" s="64" t="s">
        <v>1</v>
      </c>
      <c r="L14" s="65">
        <v>1</v>
      </c>
      <c r="M14" s="99"/>
      <c r="N14" s="70"/>
      <c r="O14" s="106" t="s">
        <v>8083</v>
      </c>
      <c r="P14" s="57" t="s">
        <v>1</v>
      </c>
      <c r="Q14" s="58">
        <v>0.25</v>
      </c>
      <c r="R14" s="77" t="s">
        <v>422</v>
      </c>
      <c r="S14" s="66"/>
      <c r="T14" s="57"/>
      <c r="U14" s="58"/>
      <c r="V14" s="77"/>
      <c r="W14" s="120">
        <f>ROUND((ROUND((ROUND((ROUND((ROUND((_15_同援日０．５*_15・通訳),0)*_15・２人),0)*(1+_15・A深夜)),0)*(1+_15・盲ろう)),0)*(1+_15・区３)),0)</f>
        <v>373</v>
      </c>
      <c r="X14" s="69"/>
    </row>
    <row r="15" spans="1:24" ht="16.5" customHeight="1" x14ac:dyDescent="0.3">
      <c r="A15" s="2">
        <v>15</v>
      </c>
      <c r="B15" s="2" t="s">
        <v>3567</v>
      </c>
      <c r="C15" s="60" t="s">
        <v>14124</v>
      </c>
      <c r="D15" s="1"/>
      <c r="E15" s="68"/>
      <c r="F15" s="70"/>
      <c r="G15" s="67"/>
      <c r="H15" s="68"/>
      <c r="I15" s="76"/>
      <c r="J15" s="85"/>
      <c r="K15" s="64"/>
      <c r="L15" s="65"/>
      <c r="M15" s="67" t="s">
        <v>1</v>
      </c>
      <c r="N15" s="93">
        <v>0.5</v>
      </c>
      <c r="O15" s="61"/>
      <c r="P15" s="62"/>
      <c r="Q15" s="63"/>
      <c r="R15" s="75"/>
      <c r="S15" s="74" t="s">
        <v>18259</v>
      </c>
      <c r="T15" s="62"/>
      <c r="U15" s="63"/>
      <c r="V15" s="75"/>
      <c r="W15" s="120">
        <f>ROUND((ROUND((ROUND((_15_同援日０．５*_15・通訳),0)*(1+_15・A深夜)),0)*(1+_15・区４)),0)</f>
        <v>349</v>
      </c>
      <c r="X15" s="69"/>
    </row>
    <row r="16" spans="1:24" ht="16.5" customHeight="1" x14ac:dyDescent="0.3">
      <c r="A16" s="2">
        <v>15</v>
      </c>
      <c r="B16" s="2" t="s">
        <v>3568</v>
      </c>
      <c r="C16" s="60" t="s">
        <v>14123</v>
      </c>
      <c r="D16" s="1"/>
      <c r="E16" s="68"/>
      <c r="F16" s="70"/>
      <c r="G16" s="67"/>
      <c r="H16" s="68"/>
      <c r="I16" s="76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6"/>
      <c r="P16" s="57"/>
      <c r="Q16" s="58"/>
      <c r="R16" s="77"/>
      <c r="S16" s="94" t="s">
        <v>18261</v>
      </c>
      <c r="T16" s="68"/>
      <c r="U16" s="76"/>
      <c r="V16" s="70"/>
      <c r="W16" s="120">
        <f>ROUND((ROUND((ROUND((ROUND((_15_同援日０．５*_15・通訳),0)*_15・２人),0)*(1+_15・A深夜)),0)*(1+_15・区４)),0)</f>
        <v>349</v>
      </c>
      <c r="X16" s="69"/>
    </row>
    <row r="17" spans="1:24" ht="16.5" customHeight="1" x14ac:dyDescent="0.3">
      <c r="A17" s="2">
        <v>15</v>
      </c>
      <c r="B17" s="2" t="s">
        <v>3569</v>
      </c>
      <c r="C17" s="60" t="s">
        <v>14122</v>
      </c>
      <c r="D17" s="1"/>
      <c r="E17" s="68"/>
      <c r="F17" s="70"/>
      <c r="G17" s="67"/>
      <c r="H17" s="68"/>
      <c r="I17" s="76"/>
      <c r="J17" s="85"/>
      <c r="K17" s="64"/>
      <c r="L17" s="65"/>
      <c r="M17" s="99"/>
      <c r="N17" s="70"/>
      <c r="O17" s="74" t="s">
        <v>8085</v>
      </c>
      <c r="P17" s="62"/>
      <c r="Q17" s="63"/>
      <c r="R17" s="75"/>
      <c r="S17" s="67"/>
      <c r="T17" s="68" t="s">
        <v>1</v>
      </c>
      <c r="U17" s="76">
        <v>0.4</v>
      </c>
      <c r="V17" s="70" t="s">
        <v>422</v>
      </c>
      <c r="W17" s="120">
        <f>ROUND((ROUND((ROUND((ROUND((_15_同援日０．５*_15・通訳),0)*(1+_15・A深夜)),0)*(1+_15・盲ろう)),0)*(1+_15・区４)),0)</f>
        <v>435</v>
      </c>
      <c r="X17" s="69"/>
    </row>
    <row r="18" spans="1:24" ht="16.5" customHeight="1" x14ac:dyDescent="0.3">
      <c r="A18" s="2">
        <v>15</v>
      </c>
      <c r="B18" s="2" t="s">
        <v>3570</v>
      </c>
      <c r="C18" s="60" t="s">
        <v>14121</v>
      </c>
      <c r="D18" s="81"/>
      <c r="E18" s="57"/>
      <c r="F18" s="77"/>
      <c r="G18" s="67"/>
      <c r="H18" s="68"/>
      <c r="I18" s="76"/>
      <c r="J18" s="83" t="s">
        <v>5895</v>
      </c>
      <c r="K18" s="64" t="s">
        <v>1</v>
      </c>
      <c r="L18" s="65">
        <v>1</v>
      </c>
      <c r="M18" s="99"/>
      <c r="N18" s="70"/>
      <c r="O18" s="106" t="s">
        <v>8083</v>
      </c>
      <c r="P18" s="57" t="s">
        <v>1</v>
      </c>
      <c r="Q18" s="58">
        <v>0.25</v>
      </c>
      <c r="R18" s="77" t="s">
        <v>422</v>
      </c>
      <c r="S18" s="66"/>
      <c r="T18" s="57"/>
      <c r="U18" s="58"/>
      <c r="V18" s="77"/>
      <c r="W18" s="120">
        <f>ROUND((ROUND((ROUND((ROUND((ROUND((_15_同援日０．５*_15・通訳),0)*_15・２人),0)*(1+_15・A深夜)),0)*(1+_15・盲ろう)),0)*(1+_15・区４)),0)</f>
        <v>435</v>
      </c>
      <c r="X18" s="69"/>
    </row>
    <row r="19" spans="1:24" ht="16.5" customHeight="1" x14ac:dyDescent="0.3">
      <c r="A19" s="2">
        <v>15</v>
      </c>
      <c r="B19" s="2" t="s">
        <v>3571</v>
      </c>
      <c r="C19" s="60" t="s">
        <v>14120</v>
      </c>
      <c r="D19" s="233" t="s">
        <v>18273</v>
      </c>
      <c r="E19" s="62"/>
      <c r="F19" s="75"/>
      <c r="G19" s="67"/>
      <c r="H19" s="68"/>
      <c r="I19" s="76"/>
      <c r="J19" s="85"/>
      <c r="K19" s="64"/>
      <c r="L19" s="65"/>
      <c r="M19" s="99"/>
      <c r="N19" s="70"/>
      <c r="O19" s="61"/>
      <c r="P19" s="62"/>
      <c r="Q19" s="63"/>
      <c r="R19" s="75"/>
      <c r="S19" s="61"/>
      <c r="T19" s="62"/>
      <c r="U19" s="63"/>
      <c r="V19" s="75"/>
      <c r="W19" s="228">
        <f>ROUND((ROUND((_15_同援日１．０*_15・通訳),0)*(1+_15・A深夜)),0)</f>
        <v>395</v>
      </c>
      <c r="X19" s="69"/>
    </row>
    <row r="20" spans="1:24" ht="16.5" customHeight="1" x14ac:dyDescent="0.3">
      <c r="A20" s="2">
        <v>15</v>
      </c>
      <c r="B20" s="2" t="s">
        <v>3572</v>
      </c>
      <c r="C20" s="60" t="s">
        <v>14119</v>
      </c>
      <c r="D20" s="1" t="s">
        <v>17463</v>
      </c>
      <c r="E20" s="68"/>
      <c r="F20" s="70"/>
      <c r="G20" s="67"/>
      <c r="H20" s="68"/>
      <c r="I20" s="76"/>
      <c r="J20" s="83" t="s">
        <v>5895</v>
      </c>
      <c r="K20" s="64" t="s">
        <v>1</v>
      </c>
      <c r="L20" s="65">
        <v>1</v>
      </c>
      <c r="M20" s="99"/>
      <c r="N20" s="70"/>
      <c r="O20" s="66"/>
      <c r="P20" s="57"/>
      <c r="Q20" s="58"/>
      <c r="R20" s="77"/>
      <c r="S20" s="67"/>
      <c r="T20" s="68"/>
      <c r="U20" s="76"/>
      <c r="V20" s="70"/>
      <c r="W20" s="228">
        <f>ROUND((ROUND((ROUND((_15_同援日１．０*_15・通訳),0)*_15・２人),0)*(1+_15・A深夜)),0)</f>
        <v>395</v>
      </c>
      <c r="X20" s="69"/>
    </row>
    <row r="21" spans="1:24" ht="16.5" customHeight="1" x14ac:dyDescent="0.3">
      <c r="A21" s="2">
        <v>15</v>
      </c>
      <c r="B21" s="2" t="s">
        <v>3573</v>
      </c>
      <c r="C21" s="60" t="s">
        <v>14118</v>
      </c>
      <c r="D21" s="1" t="s">
        <v>8572</v>
      </c>
      <c r="E21" s="68"/>
      <c r="F21" s="70"/>
      <c r="G21" s="67"/>
      <c r="H21" s="68"/>
      <c r="I21" s="76"/>
      <c r="J21" s="85"/>
      <c r="K21" s="64"/>
      <c r="L21" s="65"/>
      <c r="M21" s="99"/>
      <c r="N21" s="70"/>
      <c r="O21" s="74" t="s">
        <v>8085</v>
      </c>
      <c r="P21" s="62"/>
      <c r="Q21" s="63"/>
      <c r="R21" s="75"/>
      <c r="S21" s="67"/>
      <c r="T21" s="68"/>
      <c r="U21" s="76"/>
      <c r="V21" s="70"/>
      <c r="W21" s="228">
        <f>ROUND((ROUND((ROUND((_15_同援日１．０*_15・通訳),0)*(1+_15・A深夜)),0)*(1+_15・盲ろう)),0)</f>
        <v>494</v>
      </c>
      <c r="X21" s="69"/>
    </row>
    <row r="22" spans="1:24" ht="16.5" customHeight="1" x14ac:dyDescent="0.3">
      <c r="A22" s="2">
        <v>15</v>
      </c>
      <c r="B22" s="2" t="s">
        <v>3574</v>
      </c>
      <c r="C22" s="60" t="s">
        <v>14117</v>
      </c>
      <c r="D22" s="1"/>
      <c r="E22" s="227">
        <v>292</v>
      </c>
      <c r="F22" s="70" t="s">
        <v>0</v>
      </c>
      <c r="G22" s="67"/>
      <c r="H22" s="68"/>
      <c r="I22" s="76"/>
      <c r="J22" s="83" t="s">
        <v>5895</v>
      </c>
      <c r="K22" s="64" t="s">
        <v>1</v>
      </c>
      <c r="L22" s="65">
        <v>1</v>
      </c>
      <c r="M22" s="99"/>
      <c r="N22" s="70"/>
      <c r="O22" s="106" t="s">
        <v>8083</v>
      </c>
      <c r="P22" s="57" t="s">
        <v>1</v>
      </c>
      <c r="Q22" s="58">
        <v>0.25</v>
      </c>
      <c r="R22" s="77" t="s">
        <v>422</v>
      </c>
      <c r="S22" s="66"/>
      <c r="T22" s="57"/>
      <c r="U22" s="58"/>
      <c r="V22" s="77"/>
      <c r="W22" s="228">
        <f>ROUND((ROUND((ROUND((ROUND((_15_同援日１．０*_15・通訳),0)*_15・２人),0)*(1+_15・A深夜)),0)*(1+_15・盲ろう)),0)</f>
        <v>494</v>
      </c>
      <c r="X22" s="69"/>
    </row>
    <row r="23" spans="1:24" ht="16.5" customHeight="1" x14ac:dyDescent="0.3">
      <c r="A23" s="2">
        <v>15</v>
      </c>
      <c r="B23" s="2" t="s">
        <v>3575</v>
      </c>
      <c r="C23" s="60" t="s">
        <v>14116</v>
      </c>
      <c r="D23" s="1"/>
      <c r="E23" s="68"/>
      <c r="F23" s="70"/>
      <c r="G23" s="67"/>
      <c r="H23" s="68"/>
      <c r="I23" s="76"/>
      <c r="J23" s="85"/>
      <c r="K23" s="64"/>
      <c r="L23" s="65"/>
      <c r="M23" s="99"/>
      <c r="N23" s="70"/>
      <c r="O23" s="61"/>
      <c r="P23" s="62"/>
      <c r="Q23" s="63"/>
      <c r="R23" s="75"/>
      <c r="S23" s="74" t="s">
        <v>18257</v>
      </c>
      <c r="T23" s="62"/>
      <c r="U23" s="63"/>
      <c r="V23" s="75"/>
      <c r="W23" s="228">
        <f>ROUND((ROUND((ROUND((_15_同援日１．０*_15・通訳),0)*(1+_15・A深夜)),0)*(1+_15・区３)),0)</f>
        <v>474</v>
      </c>
      <c r="X23" s="69"/>
    </row>
    <row r="24" spans="1:24" ht="16.5" customHeight="1" x14ac:dyDescent="0.3">
      <c r="A24" s="2">
        <v>15</v>
      </c>
      <c r="B24" s="2" t="s">
        <v>3576</v>
      </c>
      <c r="C24" s="60" t="s">
        <v>14115</v>
      </c>
      <c r="D24" s="1"/>
      <c r="E24" s="68"/>
      <c r="F24" s="70"/>
      <c r="G24" s="67"/>
      <c r="H24" s="68"/>
      <c r="I24" s="76"/>
      <c r="J24" s="83" t="s">
        <v>5895</v>
      </c>
      <c r="K24" s="64" t="s">
        <v>1</v>
      </c>
      <c r="L24" s="65">
        <v>1</v>
      </c>
      <c r="M24" s="99"/>
      <c r="N24" s="70"/>
      <c r="O24" s="66"/>
      <c r="P24" s="57"/>
      <c r="Q24" s="58"/>
      <c r="R24" s="77"/>
      <c r="S24" s="94" t="s">
        <v>8087</v>
      </c>
      <c r="T24" s="68"/>
      <c r="U24" s="76"/>
      <c r="V24" s="70"/>
      <c r="W24" s="228">
        <f>ROUND((ROUND((ROUND((ROUND((_15_同援日１．０*_15・通訳),0)*_15・２人),0)*(1+_15・A深夜)),0)*(1+_15・区３)),0)</f>
        <v>474</v>
      </c>
      <c r="X24" s="69"/>
    </row>
    <row r="25" spans="1:24" ht="16.5" customHeight="1" x14ac:dyDescent="0.3">
      <c r="A25" s="2">
        <v>15</v>
      </c>
      <c r="B25" s="2" t="s">
        <v>3577</v>
      </c>
      <c r="C25" s="60" t="s">
        <v>14114</v>
      </c>
      <c r="D25" s="1"/>
      <c r="E25" s="68"/>
      <c r="F25" s="70"/>
      <c r="G25" s="67"/>
      <c r="H25" s="68"/>
      <c r="I25" s="76"/>
      <c r="J25" s="85"/>
      <c r="K25" s="64"/>
      <c r="L25" s="65"/>
      <c r="M25" s="99"/>
      <c r="N25" s="70"/>
      <c r="O25" s="74" t="s">
        <v>18256</v>
      </c>
      <c r="P25" s="62"/>
      <c r="Q25" s="63"/>
      <c r="R25" s="75"/>
      <c r="S25" s="67"/>
      <c r="T25" s="68" t="s">
        <v>1</v>
      </c>
      <c r="U25" s="76">
        <v>0.2</v>
      </c>
      <c r="V25" s="70" t="s">
        <v>422</v>
      </c>
      <c r="W25" s="228">
        <f>ROUND((ROUND((ROUND((ROUND((_15_同援日１．０*_15・通訳),0)*(1+_15・A深夜)),0)*(1+_15・盲ろう)),0)*(1+_15・区３)),0)</f>
        <v>593</v>
      </c>
      <c r="X25" s="69"/>
    </row>
    <row r="26" spans="1:24" ht="16.5" customHeight="1" x14ac:dyDescent="0.3">
      <c r="A26" s="2">
        <v>15</v>
      </c>
      <c r="B26" s="2" t="s">
        <v>3578</v>
      </c>
      <c r="C26" s="60" t="s">
        <v>14113</v>
      </c>
      <c r="D26" s="1"/>
      <c r="E26" s="68"/>
      <c r="F26" s="70"/>
      <c r="G26" s="67"/>
      <c r="H26" s="68"/>
      <c r="I26" s="76"/>
      <c r="J26" s="83" t="s">
        <v>5895</v>
      </c>
      <c r="K26" s="64" t="s">
        <v>1</v>
      </c>
      <c r="L26" s="65">
        <v>1</v>
      </c>
      <c r="M26" s="99"/>
      <c r="N26" s="70"/>
      <c r="O26" s="106" t="s">
        <v>8083</v>
      </c>
      <c r="P26" s="57" t="s">
        <v>1</v>
      </c>
      <c r="Q26" s="58">
        <v>0.25</v>
      </c>
      <c r="R26" s="77" t="s">
        <v>422</v>
      </c>
      <c r="S26" s="66"/>
      <c r="T26" s="57"/>
      <c r="U26" s="58"/>
      <c r="V26" s="77"/>
      <c r="W26" s="228">
        <f>ROUND((ROUND((ROUND((ROUND((ROUND((_15_同援日１．０*_15・通訳),0)*_15・２人),0)*(1+_15・A深夜)),0)*(1+_15・盲ろう)),0)*(1+_15・区３)),0)</f>
        <v>593</v>
      </c>
      <c r="X26" s="69"/>
    </row>
    <row r="27" spans="1:24" ht="16.5" customHeight="1" x14ac:dyDescent="0.3">
      <c r="A27" s="2">
        <v>15</v>
      </c>
      <c r="B27" s="2" t="s">
        <v>3579</v>
      </c>
      <c r="C27" s="60" t="s">
        <v>14112</v>
      </c>
      <c r="D27" s="1"/>
      <c r="E27" s="68"/>
      <c r="F27" s="70"/>
      <c r="G27" s="67"/>
      <c r="H27" s="68"/>
      <c r="I27" s="76"/>
      <c r="J27" s="85"/>
      <c r="K27" s="64"/>
      <c r="L27" s="65"/>
      <c r="M27" s="99"/>
      <c r="N27" s="70"/>
      <c r="O27" s="61"/>
      <c r="P27" s="62"/>
      <c r="Q27" s="63"/>
      <c r="R27" s="75"/>
      <c r="S27" s="74" t="s">
        <v>18259</v>
      </c>
      <c r="T27" s="62"/>
      <c r="U27" s="63"/>
      <c r="V27" s="75"/>
      <c r="W27" s="228">
        <f>ROUND((ROUND((ROUND((_15_同援日１．０*_15・通訳),0)*(1+_15・A深夜)),0)*(1+_15・区４)),0)</f>
        <v>553</v>
      </c>
      <c r="X27" s="69"/>
    </row>
    <row r="28" spans="1:24" ht="16.5" customHeight="1" x14ac:dyDescent="0.3">
      <c r="A28" s="2">
        <v>15</v>
      </c>
      <c r="B28" s="2" t="s">
        <v>3580</v>
      </c>
      <c r="C28" s="60" t="s">
        <v>14111</v>
      </c>
      <c r="D28" s="1"/>
      <c r="E28" s="68"/>
      <c r="F28" s="70"/>
      <c r="G28" s="67"/>
      <c r="H28" s="68"/>
      <c r="I28" s="76"/>
      <c r="J28" s="83" t="s">
        <v>5895</v>
      </c>
      <c r="K28" s="64" t="s">
        <v>1</v>
      </c>
      <c r="L28" s="65">
        <v>1</v>
      </c>
      <c r="M28" s="99"/>
      <c r="N28" s="70"/>
      <c r="O28" s="66"/>
      <c r="P28" s="57"/>
      <c r="Q28" s="58"/>
      <c r="R28" s="77"/>
      <c r="S28" s="94" t="s">
        <v>18261</v>
      </c>
      <c r="T28" s="68"/>
      <c r="U28" s="76"/>
      <c r="V28" s="70"/>
      <c r="W28" s="228">
        <f>ROUND((ROUND((ROUND((ROUND((_15_同援日１．０*_15・通訳),0)*_15・２人),0)*(1+_15・A深夜)),0)*(1+_15・区４)),0)</f>
        <v>553</v>
      </c>
      <c r="X28" s="69"/>
    </row>
    <row r="29" spans="1:24" ht="16.5" customHeight="1" x14ac:dyDescent="0.3">
      <c r="A29" s="2">
        <v>15</v>
      </c>
      <c r="B29" s="2" t="s">
        <v>3581</v>
      </c>
      <c r="C29" s="60" t="s">
        <v>14110</v>
      </c>
      <c r="D29" s="1"/>
      <c r="E29" s="68"/>
      <c r="F29" s="70"/>
      <c r="G29" s="67"/>
      <c r="H29" s="68"/>
      <c r="I29" s="76"/>
      <c r="J29" s="85"/>
      <c r="K29" s="64"/>
      <c r="L29" s="65"/>
      <c r="M29" s="99"/>
      <c r="N29" s="70"/>
      <c r="O29" s="74" t="s">
        <v>18256</v>
      </c>
      <c r="P29" s="62"/>
      <c r="Q29" s="63"/>
      <c r="R29" s="75"/>
      <c r="S29" s="67"/>
      <c r="T29" s="68" t="s">
        <v>1</v>
      </c>
      <c r="U29" s="76">
        <v>0.4</v>
      </c>
      <c r="V29" s="70" t="s">
        <v>422</v>
      </c>
      <c r="W29" s="228">
        <f>ROUND((ROUND((ROUND((ROUND((_15_同援日１．０*_15・通訳),0)*(1+_15・A深夜)),0)*(1+_15・盲ろう)),0)*(1+_15・区４)),0)</f>
        <v>692</v>
      </c>
      <c r="X29" s="69"/>
    </row>
    <row r="30" spans="1:24" ht="16.5" customHeight="1" x14ac:dyDescent="0.3">
      <c r="A30" s="2">
        <v>15</v>
      </c>
      <c r="B30" s="2" t="s">
        <v>3582</v>
      </c>
      <c r="C30" s="60" t="s">
        <v>14109</v>
      </c>
      <c r="D30" s="81"/>
      <c r="E30" s="57"/>
      <c r="F30" s="77"/>
      <c r="G30" s="67"/>
      <c r="H30" s="68"/>
      <c r="I30" s="76"/>
      <c r="J30" s="83" t="s">
        <v>5895</v>
      </c>
      <c r="K30" s="64" t="s">
        <v>1</v>
      </c>
      <c r="L30" s="65">
        <v>1</v>
      </c>
      <c r="M30" s="99"/>
      <c r="N30" s="70"/>
      <c r="O30" s="106" t="s">
        <v>18255</v>
      </c>
      <c r="P30" s="57" t="s">
        <v>1</v>
      </c>
      <c r="Q30" s="58">
        <v>0.25</v>
      </c>
      <c r="R30" s="77" t="s">
        <v>422</v>
      </c>
      <c r="S30" s="66"/>
      <c r="T30" s="57"/>
      <c r="U30" s="58"/>
      <c r="V30" s="77"/>
      <c r="W30" s="228">
        <f>ROUND((ROUND((ROUND((ROUND((ROUND((_15_同援日１．０*_15・通訳),0)*_15・２人),0)*(1+_15・A深夜)),0)*(1+_15・盲ろう)),0)*(1+_15・区４)),0)</f>
        <v>692</v>
      </c>
      <c r="X30" s="69"/>
    </row>
    <row r="31" spans="1:24" ht="16.5" customHeight="1" x14ac:dyDescent="0.3">
      <c r="A31" s="2">
        <v>15</v>
      </c>
      <c r="B31" s="2" t="s">
        <v>3583</v>
      </c>
      <c r="C31" s="60" t="s">
        <v>14108</v>
      </c>
      <c r="D31" s="233" t="s">
        <v>18272</v>
      </c>
      <c r="E31" s="62"/>
      <c r="F31" s="75"/>
      <c r="G31" s="67"/>
      <c r="H31" s="68"/>
      <c r="I31" s="76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228">
        <f>ROUND((ROUND((_15_同援日１．５*_15・通訳),0)*(1+_15・A深夜)),0)</f>
        <v>569</v>
      </c>
      <c r="X31" s="69"/>
    </row>
    <row r="32" spans="1:24" ht="16.5" customHeight="1" x14ac:dyDescent="0.3">
      <c r="A32" s="2">
        <v>15</v>
      </c>
      <c r="B32" s="2" t="s">
        <v>3584</v>
      </c>
      <c r="C32" s="60" t="s">
        <v>14107</v>
      </c>
      <c r="D32" s="1" t="s">
        <v>17458</v>
      </c>
      <c r="E32" s="68"/>
      <c r="F32" s="70"/>
      <c r="G32" s="67"/>
      <c r="H32" s="68"/>
      <c r="I32" s="76"/>
      <c r="J32" s="83" t="s">
        <v>5895</v>
      </c>
      <c r="K32" s="64" t="s">
        <v>1</v>
      </c>
      <c r="L32" s="65">
        <v>1</v>
      </c>
      <c r="M32" s="99"/>
      <c r="N32" s="70"/>
      <c r="O32" s="66"/>
      <c r="P32" s="57"/>
      <c r="Q32" s="58"/>
      <c r="R32" s="77"/>
      <c r="S32" s="67"/>
      <c r="T32" s="68"/>
      <c r="U32" s="76"/>
      <c r="V32" s="70"/>
      <c r="W32" s="228">
        <f>ROUND((ROUND((ROUND((_15_同援日１．５*_15・通訳),0)*_15・２人),0)*(1+_15・A深夜)),0)</f>
        <v>569</v>
      </c>
      <c r="X32" s="69"/>
    </row>
    <row r="33" spans="1:24" ht="16.5" customHeight="1" x14ac:dyDescent="0.3">
      <c r="A33" s="2">
        <v>15</v>
      </c>
      <c r="B33" s="2" t="s">
        <v>3585</v>
      </c>
      <c r="C33" s="60" t="s">
        <v>14106</v>
      </c>
      <c r="D33" s="1" t="s">
        <v>8767</v>
      </c>
      <c r="E33" s="68"/>
      <c r="F33" s="70"/>
      <c r="G33" s="67"/>
      <c r="H33" s="68"/>
      <c r="I33" s="76"/>
      <c r="J33" s="85"/>
      <c r="K33" s="64"/>
      <c r="L33" s="65"/>
      <c r="M33" s="99"/>
      <c r="N33" s="70"/>
      <c r="O33" s="74" t="s">
        <v>18256</v>
      </c>
      <c r="P33" s="62"/>
      <c r="Q33" s="63"/>
      <c r="R33" s="75"/>
      <c r="S33" s="67"/>
      <c r="T33" s="68"/>
      <c r="U33" s="76"/>
      <c r="V33" s="70"/>
      <c r="W33" s="228">
        <f>ROUND((ROUND((ROUND((_15_同援日１．５*_15・通訳),0)*(1+_15・A深夜)),0)*(1+_15・盲ろう)),0)</f>
        <v>711</v>
      </c>
      <c r="X33" s="69"/>
    </row>
    <row r="34" spans="1:24" ht="16.5" customHeight="1" x14ac:dyDescent="0.3">
      <c r="A34" s="2">
        <v>15</v>
      </c>
      <c r="B34" s="2" t="s">
        <v>3586</v>
      </c>
      <c r="C34" s="60" t="s">
        <v>14105</v>
      </c>
      <c r="D34" s="1"/>
      <c r="E34" s="227">
        <v>421</v>
      </c>
      <c r="F34" s="70" t="s">
        <v>0</v>
      </c>
      <c r="G34" s="67"/>
      <c r="H34" s="68"/>
      <c r="I34" s="76"/>
      <c r="J34" s="83" t="s">
        <v>5895</v>
      </c>
      <c r="K34" s="64" t="s">
        <v>1</v>
      </c>
      <c r="L34" s="65">
        <v>1</v>
      </c>
      <c r="M34" s="99"/>
      <c r="N34" s="70"/>
      <c r="O34" s="106" t="s">
        <v>18255</v>
      </c>
      <c r="P34" s="57" t="s">
        <v>1</v>
      </c>
      <c r="Q34" s="58">
        <v>0.25</v>
      </c>
      <c r="R34" s="77" t="s">
        <v>422</v>
      </c>
      <c r="S34" s="66"/>
      <c r="T34" s="57"/>
      <c r="U34" s="58"/>
      <c r="V34" s="77"/>
      <c r="W34" s="228">
        <f>ROUND((ROUND((ROUND((ROUND((_15_同援日１．５*_15・通訳),0)*_15・２人),0)*(1+_15・A深夜)),0)*(1+_15・盲ろう)),0)</f>
        <v>711</v>
      </c>
      <c r="X34" s="69"/>
    </row>
    <row r="35" spans="1:24" ht="16.5" customHeight="1" x14ac:dyDescent="0.3">
      <c r="A35" s="2">
        <v>15</v>
      </c>
      <c r="B35" s="2" t="s">
        <v>3587</v>
      </c>
      <c r="C35" s="60" t="s">
        <v>14104</v>
      </c>
      <c r="D35" s="1"/>
      <c r="E35" s="68"/>
      <c r="F35" s="70"/>
      <c r="G35" s="67"/>
      <c r="H35" s="68"/>
      <c r="I35" s="76"/>
      <c r="J35" s="85"/>
      <c r="K35" s="64"/>
      <c r="L35" s="65"/>
      <c r="M35" s="99"/>
      <c r="N35" s="70"/>
      <c r="O35" s="61"/>
      <c r="P35" s="62"/>
      <c r="Q35" s="63"/>
      <c r="R35" s="75"/>
      <c r="S35" s="74" t="s">
        <v>8098</v>
      </c>
      <c r="T35" s="62"/>
      <c r="U35" s="63"/>
      <c r="V35" s="75"/>
      <c r="W35" s="228">
        <f>ROUND((ROUND((ROUND((_15_同援日１．５*_15・通訳),0)*(1+_15・A深夜)),0)*(1+_15・区３)),0)</f>
        <v>683</v>
      </c>
      <c r="X35" s="69"/>
    </row>
    <row r="36" spans="1:24" ht="16.5" customHeight="1" x14ac:dyDescent="0.3">
      <c r="A36" s="2">
        <v>15</v>
      </c>
      <c r="B36" s="2" t="s">
        <v>3588</v>
      </c>
      <c r="C36" s="60" t="s">
        <v>14103</v>
      </c>
      <c r="D36" s="1"/>
      <c r="E36" s="68"/>
      <c r="F36" s="70"/>
      <c r="G36" s="67"/>
      <c r="H36" s="68"/>
      <c r="I36" s="76"/>
      <c r="J36" s="83" t="s">
        <v>5895</v>
      </c>
      <c r="K36" s="64" t="s">
        <v>1</v>
      </c>
      <c r="L36" s="65">
        <v>1</v>
      </c>
      <c r="M36" s="99"/>
      <c r="N36" s="70"/>
      <c r="O36" s="66"/>
      <c r="P36" s="57"/>
      <c r="Q36" s="58"/>
      <c r="R36" s="77"/>
      <c r="S36" s="94" t="s">
        <v>8087</v>
      </c>
      <c r="T36" s="68"/>
      <c r="U36" s="76"/>
      <c r="V36" s="70"/>
      <c r="W36" s="228">
        <f>ROUND((ROUND((ROUND((ROUND((_15_同援日１．５*_15・通訳),0)*_15・２人),0)*(1+_15・A深夜)),0)*(1+_15・区３)),0)</f>
        <v>683</v>
      </c>
      <c r="X36" s="69"/>
    </row>
    <row r="37" spans="1:24" ht="16.5" customHeight="1" x14ac:dyDescent="0.3">
      <c r="A37" s="2">
        <v>15</v>
      </c>
      <c r="B37" s="2" t="s">
        <v>3589</v>
      </c>
      <c r="C37" s="60" t="s">
        <v>14102</v>
      </c>
      <c r="D37" s="1"/>
      <c r="E37" s="68"/>
      <c r="F37" s="70"/>
      <c r="G37" s="67"/>
      <c r="H37" s="68"/>
      <c r="I37" s="76"/>
      <c r="J37" s="85"/>
      <c r="K37" s="64"/>
      <c r="L37" s="65"/>
      <c r="M37" s="99"/>
      <c r="N37" s="70"/>
      <c r="O37" s="74" t="s">
        <v>18256</v>
      </c>
      <c r="P37" s="62"/>
      <c r="Q37" s="63"/>
      <c r="R37" s="75"/>
      <c r="S37" s="67"/>
      <c r="T37" s="68" t="s">
        <v>1</v>
      </c>
      <c r="U37" s="76">
        <v>0.2</v>
      </c>
      <c r="V37" s="70" t="s">
        <v>422</v>
      </c>
      <c r="W37" s="228">
        <f>ROUND((ROUND((ROUND((ROUND((_15_同援日１．５*_15・通訳),0)*(1+_15・A深夜)),0)*(1+_15・盲ろう)),0)*(1+_15・区３)),0)</f>
        <v>853</v>
      </c>
      <c r="X37" s="69"/>
    </row>
    <row r="38" spans="1:24" ht="16.5" customHeight="1" x14ac:dyDescent="0.3">
      <c r="A38" s="2">
        <v>15</v>
      </c>
      <c r="B38" s="2" t="s">
        <v>3590</v>
      </c>
      <c r="C38" s="60" t="s">
        <v>14101</v>
      </c>
      <c r="D38" s="1"/>
      <c r="E38" s="68"/>
      <c r="F38" s="70"/>
      <c r="G38" s="67"/>
      <c r="H38" s="68"/>
      <c r="I38" s="76"/>
      <c r="J38" s="83" t="s">
        <v>5895</v>
      </c>
      <c r="K38" s="64" t="s">
        <v>1</v>
      </c>
      <c r="L38" s="65">
        <v>1</v>
      </c>
      <c r="M38" s="99"/>
      <c r="N38" s="70"/>
      <c r="O38" s="106" t="s">
        <v>8083</v>
      </c>
      <c r="P38" s="57" t="s">
        <v>1</v>
      </c>
      <c r="Q38" s="58">
        <v>0.25</v>
      </c>
      <c r="R38" s="77" t="s">
        <v>422</v>
      </c>
      <c r="S38" s="66"/>
      <c r="T38" s="57"/>
      <c r="U38" s="58"/>
      <c r="V38" s="77"/>
      <c r="W38" s="228">
        <f>ROUND((ROUND((ROUND((ROUND((ROUND((_15_同援日１．５*_15・通訳),0)*_15・２人),0)*(1+_15・A深夜)),0)*(1+_15・盲ろう)),0)*(1+_15・区３)),0)</f>
        <v>853</v>
      </c>
      <c r="X38" s="69"/>
    </row>
    <row r="39" spans="1:24" ht="16.5" customHeight="1" x14ac:dyDescent="0.3">
      <c r="A39" s="2">
        <v>15</v>
      </c>
      <c r="B39" s="2" t="s">
        <v>3591</v>
      </c>
      <c r="C39" s="60" t="s">
        <v>14100</v>
      </c>
      <c r="D39" s="1"/>
      <c r="E39" s="68"/>
      <c r="F39" s="70"/>
      <c r="G39" s="67"/>
      <c r="H39" s="68"/>
      <c r="I39" s="76"/>
      <c r="J39" s="85"/>
      <c r="K39" s="64"/>
      <c r="L39" s="65"/>
      <c r="M39" s="99"/>
      <c r="N39" s="70"/>
      <c r="O39" s="61"/>
      <c r="P39" s="62"/>
      <c r="Q39" s="63"/>
      <c r="R39" s="75"/>
      <c r="S39" s="74" t="s">
        <v>18259</v>
      </c>
      <c r="T39" s="62"/>
      <c r="U39" s="63"/>
      <c r="V39" s="75"/>
      <c r="W39" s="228">
        <f>ROUND((ROUND((ROUND((_15_同援日１．５*_15・通訳),0)*(1+_15・A深夜)),0)*(1+_15・区４)),0)</f>
        <v>797</v>
      </c>
      <c r="X39" s="69"/>
    </row>
    <row r="40" spans="1:24" ht="16.5" customHeight="1" x14ac:dyDescent="0.3">
      <c r="A40" s="2">
        <v>15</v>
      </c>
      <c r="B40" s="2" t="s">
        <v>3592</v>
      </c>
      <c r="C40" s="60" t="s">
        <v>14099</v>
      </c>
      <c r="D40" s="1"/>
      <c r="E40" s="68"/>
      <c r="F40" s="70"/>
      <c r="G40" s="67"/>
      <c r="H40" s="68"/>
      <c r="I40" s="76"/>
      <c r="J40" s="83" t="s">
        <v>5895</v>
      </c>
      <c r="K40" s="64" t="s">
        <v>1</v>
      </c>
      <c r="L40" s="65">
        <v>1</v>
      </c>
      <c r="M40" s="99"/>
      <c r="N40" s="70"/>
      <c r="O40" s="66"/>
      <c r="P40" s="57"/>
      <c r="Q40" s="58"/>
      <c r="R40" s="77"/>
      <c r="S40" s="94" t="s">
        <v>18261</v>
      </c>
      <c r="T40" s="68"/>
      <c r="U40" s="76"/>
      <c r="V40" s="70"/>
      <c r="W40" s="228">
        <f>ROUND((ROUND((ROUND((ROUND((_15_同援日１．５*_15・通訳),0)*_15・２人),0)*(1+_15・A深夜)),0)*(1+_15・区４)),0)</f>
        <v>797</v>
      </c>
      <c r="X40" s="69"/>
    </row>
    <row r="41" spans="1:24" ht="16.5" customHeight="1" x14ac:dyDescent="0.3">
      <c r="A41" s="2">
        <v>15</v>
      </c>
      <c r="B41" s="2" t="s">
        <v>3593</v>
      </c>
      <c r="C41" s="60" t="s">
        <v>14098</v>
      </c>
      <c r="D41" s="1"/>
      <c r="E41" s="68"/>
      <c r="F41" s="70"/>
      <c r="G41" s="67"/>
      <c r="H41" s="68"/>
      <c r="I41" s="76"/>
      <c r="J41" s="85"/>
      <c r="K41" s="64"/>
      <c r="L41" s="65"/>
      <c r="M41" s="99"/>
      <c r="N41" s="70"/>
      <c r="O41" s="74" t="s">
        <v>8085</v>
      </c>
      <c r="P41" s="62"/>
      <c r="Q41" s="63"/>
      <c r="R41" s="75"/>
      <c r="S41" s="67"/>
      <c r="T41" s="68" t="s">
        <v>1</v>
      </c>
      <c r="U41" s="76">
        <v>0.4</v>
      </c>
      <c r="V41" s="70" t="s">
        <v>422</v>
      </c>
      <c r="W41" s="228">
        <f>ROUND((ROUND((ROUND((ROUND((_15_同援日１．５*_15・通訳),0)*(1+_15・A深夜)),0)*(1+_15・盲ろう)),0)*(1+_15・区４)),0)</f>
        <v>995</v>
      </c>
      <c r="X41" s="69"/>
    </row>
    <row r="42" spans="1:24" ht="16.5" customHeight="1" x14ac:dyDescent="0.3">
      <c r="A42" s="2">
        <v>15</v>
      </c>
      <c r="B42" s="2" t="s">
        <v>3594</v>
      </c>
      <c r="C42" s="60" t="s">
        <v>14097</v>
      </c>
      <c r="D42" s="81"/>
      <c r="E42" s="57"/>
      <c r="F42" s="77"/>
      <c r="G42" s="67"/>
      <c r="H42" s="68"/>
      <c r="I42" s="76"/>
      <c r="J42" s="83" t="s">
        <v>5895</v>
      </c>
      <c r="K42" s="64" t="s">
        <v>1</v>
      </c>
      <c r="L42" s="65">
        <v>1</v>
      </c>
      <c r="M42" s="99"/>
      <c r="N42" s="70"/>
      <c r="O42" s="106" t="s">
        <v>8083</v>
      </c>
      <c r="P42" s="57" t="s">
        <v>1</v>
      </c>
      <c r="Q42" s="58">
        <v>0.25</v>
      </c>
      <c r="R42" s="77" t="s">
        <v>422</v>
      </c>
      <c r="S42" s="66"/>
      <c r="T42" s="57"/>
      <c r="U42" s="58"/>
      <c r="V42" s="77"/>
      <c r="W42" s="228">
        <f>ROUND((ROUND((ROUND((ROUND((ROUND((_15_同援日１．５*_15・通訳),0)*_15・２人),0)*(1+_15・A深夜)),0)*(1+_15・盲ろう)),0)*(1+_15・区４)),0)</f>
        <v>995</v>
      </c>
      <c r="X42" s="69"/>
    </row>
    <row r="43" spans="1:24" ht="16.5" customHeight="1" x14ac:dyDescent="0.3">
      <c r="A43" s="2">
        <v>15</v>
      </c>
      <c r="B43" s="2" t="s">
        <v>3595</v>
      </c>
      <c r="C43" s="60" t="s">
        <v>14096</v>
      </c>
      <c r="D43" s="233" t="s">
        <v>18271</v>
      </c>
      <c r="E43" s="62"/>
      <c r="F43" s="75"/>
      <c r="G43" s="67"/>
      <c r="H43" s="68"/>
      <c r="I43" s="76"/>
      <c r="J43" s="85"/>
      <c r="K43" s="64"/>
      <c r="L43" s="65"/>
      <c r="M43" s="99"/>
      <c r="N43" s="70"/>
      <c r="O43" s="61"/>
      <c r="P43" s="62"/>
      <c r="Q43" s="63"/>
      <c r="R43" s="75"/>
      <c r="S43" s="61"/>
      <c r="T43" s="62"/>
      <c r="U43" s="63"/>
      <c r="V43" s="75"/>
      <c r="W43" s="228">
        <f>ROUND((ROUND((_15_同援日２．０*_15・通訳),0)*(1+_15・A深夜)),0)</f>
        <v>656</v>
      </c>
      <c r="X43" s="69"/>
    </row>
    <row r="44" spans="1:24" ht="16.5" customHeight="1" x14ac:dyDescent="0.3">
      <c r="A44" s="2">
        <v>15</v>
      </c>
      <c r="B44" s="2" t="s">
        <v>3596</v>
      </c>
      <c r="C44" s="60" t="s">
        <v>14095</v>
      </c>
      <c r="D44" s="1" t="s">
        <v>18270</v>
      </c>
      <c r="E44" s="68"/>
      <c r="F44" s="70"/>
      <c r="G44" s="67"/>
      <c r="H44" s="68"/>
      <c r="I44" s="76"/>
      <c r="J44" s="83" t="s">
        <v>5895</v>
      </c>
      <c r="K44" s="64" t="s">
        <v>1</v>
      </c>
      <c r="L44" s="65">
        <v>1</v>
      </c>
      <c r="M44" s="99"/>
      <c r="N44" s="70"/>
      <c r="O44" s="66"/>
      <c r="P44" s="57"/>
      <c r="Q44" s="58"/>
      <c r="R44" s="77"/>
      <c r="S44" s="67"/>
      <c r="T44" s="68"/>
      <c r="U44" s="76"/>
      <c r="V44" s="70"/>
      <c r="W44" s="228">
        <f>ROUND((ROUND((ROUND((_15_同援日２．０*_15・通訳),0)*_15・２人),0)*(1+_15・A深夜)),0)</f>
        <v>656</v>
      </c>
      <c r="X44" s="69"/>
    </row>
    <row r="45" spans="1:24" ht="16.5" customHeight="1" x14ac:dyDescent="0.3">
      <c r="A45" s="2">
        <v>15</v>
      </c>
      <c r="B45" s="2" t="s">
        <v>3597</v>
      </c>
      <c r="C45" s="60" t="s">
        <v>14094</v>
      </c>
      <c r="D45" s="1" t="s">
        <v>6448</v>
      </c>
      <c r="E45" s="68"/>
      <c r="F45" s="70"/>
      <c r="G45" s="67"/>
      <c r="H45" s="68"/>
      <c r="I45" s="76"/>
      <c r="J45" s="85"/>
      <c r="K45" s="64"/>
      <c r="L45" s="65"/>
      <c r="M45" s="99"/>
      <c r="N45" s="70"/>
      <c r="O45" s="74" t="s">
        <v>18256</v>
      </c>
      <c r="P45" s="62"/>
      <c r="Q45" s="63"/>
      <c r="R45" s="75"/>
      <c r="S45" s="67"/>
      <c r="T45" s="68"/>
      <c r="U45" s="76"/>
      <c r="V45" s="70"/>
      <c r="W45" s="228">
        <f>ROUND((ROUND((ROUND((_15_同援日２．０*_15・通訳),0)*(1+_15・A深夜)),0)*(1+_15・盲ろう)),0)</f>
        <v>820</v>
      </c>
      <c r="X45" s="69"/>
    </row>
    <row r="46" spans="1:24" ht="16.5" customHeight="1" x14ac:dyDescent="0.3">
      <c r="A46" s="2">
        <v>15</v>
      </c>
      <c r="B46" s="2" t="s">
        <v>3598</v>
      </c>
      <c r="C46" s="60" t="s">
        <v>14093</v>
      </c>
      <c r="D46" s="1"/>
      <c r="E46" s="227">
        <v>485</v>
      </c>
      <c r="F46" s="70" t="s">
        <v>0</v>
      </c>
      <c r="G46" s="67"/>
      <c r="H46" s="68"/>
      <c r="I46" s="76"/>
      <c r="J46" s="83" t="s">
        <v>5895</v>
      </c>
      <c r="K46" s="64" t="s">
        <v>1</v>
      </c>
      <c r="L46" s="65">
        <v>1</v>
      </c>
      <c r="M46" s="99"/>
      <c r="N46" s="70"/>
      <c r="O46" s="106" t="s">
        <v>8083</v>
      </c>
      <c r="P46" s="57" t="s">
        <v>1</v>
      </c>
      <c r="Q46" s="58">
        <v>0.25</v>
      </c>
      <c r="R46" s="77" t="s">
        <v>422</v>
      </c>
      <c r="S46" s="66"/>
      <c r="T46" s="57"/>
      <c r="U46" s="58"/>
      <c r="V46" s="77"/>
      <c r="W46" s="228">
        <f>ROUND((ROUND((ROUND((ROUND((_15_同援日２．０*_15・通訳),0)*_15・２人),0)*(1+_15・A深夜)),0)*(1+_15・盲ろう)),0)</f>
        <v>820</v>
      </c>
      <c r="X46" s="69"/>
    </row>
    <row r="47" spans="1:24" ht="16.5" customHeight="1" x14ac:dyDescent="0.3">
      <c r="A47" s="2">
        <v>15</v>
      </c>
      <c r="B47" s="2" t="s">
        <v>3599</v>
      </c>
      <c r="C47" s="60" t="s">
        <v>14092</v>
      </c>
      <c r="D47" s="1"/>
      <c r="E47" s="68"/>
      <c r="F47" s="70"/>
      <c r="G47" s="67"/>
      <c r="H47" s="68"/>
      <c r="I47" s="76"/>
      <c r="J47" s="85"/>
      <c r="K47" s="64"/>
      <c r="L47" s="65"/>
      <c r="M47" s="99"/>
      <c r="N47" s="70"/>
      <c r="O47" s="61"/>
      <c r="P47" s="62"/>
      <c r="Q47" s="63"/>
      <c r="R47" s="75"/>
      <c r="S47" s="74" t="s">
        <v>18257</v>
      </c>
      <c r="T47" s="62"/>
      <c r="U47" s="63"/>
      <c r="V47" s="75"/>
      <c r="W47" s="228">
        <f>ROUND((ROUND((ROUND((_15_同援日２．０*_15・通訳),0)*(1+_15・A深夜)),0)*(1+_15・区３)),0)</f>
        <v>787</v>
      </c>
      <c r="X47" s="69"/>
    </row>
    <row r="48" spans="1:24" ht="16.5" customHeight="1" x14ac:dyDescent="0.3">
      <c r="A48" s="2">
        <v>15</v>
      </c>
      <c r="B48" s="2" t="s">
        <v>3600</v>
      </c>
      <c r="C48" s="60" t="s">
        <v>14091</v>
      </c>
      <c r="D48" s="1"/>
      <c r="E48" s="68"/>
      <c r="F48" s="70"/>
      <c r="G48" s="67"/>
      <c r="H48" s="68"/>
      <c r="I48" s="76"/>
      <c r="J48" s="83" t="s">
        <v>5895</v>
      </c>
      <c r="K48" s="64" t="s">
        <v>1</v>
      </c>
      <c r="L48" s="65">
        <v>1</v>
      </c>
      <c r="M48" s="99"/>
      <c r="N48" s="70"/>
      <c r="O48" s="66"/>
      <c r="P48" s="57"/>
      <c r="Q48" s="58"/>
      <c r="R48" s="77"/>
      <c r="S48" s="94" t="s">
        <v>18261</v>
      </c>
      <c r="T48" s="68"/>
      <c r="U48" s="76"/>
      <c r="V48" s="70"/>
      <c r="W48" s="228">
        <f>ROUND((ROUND((ROUND((ROUND((_15_同援日２．０*_15・通訳),0)*_15・２人),0)*(1+_15・A深夜)),0)*(1+_15・区３)),0)</f>
        <v>787</v>
      </c>
      <c r="X48" s="69"/>
    </row>
    <row r="49" spans="1:24" ht="16.5" customHeight="1" x14ac:dyDescent="0.3">
      <c r="A49" s="2">
        <v>15</v>
      </c>
      <c r="B49" s="2" t="s">
        <v>3601</v>
      </c>
      <c r="C49" s="60" t="s">
        <v>14090</v>
      </c>
      <c r="D49" s="1"/>
      <c r="E49" s="68"/>
      <c r="F49" s="70"/>
      <c r="G49" s="67"/>
      <c r="H49" s="68"/>
      <c r="I49" s="76"/>
      <c r="J49" s="85"/>
      <c r="K49" s="64"/>
      <c r="L49" s="65"/>
      <c r="M49" s="99"/>
      <c r="N49" s="70"/>
      <c r="O49" s="74" t="s">
        <v>8085</v>
      </c>
      <c r="P49" s="62"/>
      <c r="Q49" s="63"/>
      <c r="R49" s="75"/>
      <c r="S49" s="67"/>
      <c r="T49" s="68" t="s">
        <v>1</v>
      </c>
      <c r="U49" s="76">
        <v>0.2</v>
      </c>
      <c r="V49" s="70" t="s">
        <v>422</v>
      </c>
      <c r="W49" s="228">
        <f>ROUND((ROUND((ROUND((ROUND((_15_同援日２．０*_15・通訳),0)*(1+_15・A深夜)),0)*(1+_15・盲ろう)),0)*(1+_15・区３)),0)</f>
        <v>984</v>
      </c>
      <c r="X49" s="69"/>
    </row>
    <row r="50" spans="1:24" ht="16.5" customHeight="1" x14ac:dyDescent="0.3">
      <c r="A50" s="2">
        <v>15</v>
      </c>
      <c r="B50" s="2" t="s">
        <v>3602</v>
      </c>
      <c r="C50" s="60" t="s">
        <v>14089</v>
      </c>
      <c r="D50" s="1"/>
      <c r="E50" s="68"/>
      <c r="F50" s="70"/>
      <c r="G50" s="67"/>
      <c r="H50" s="68"/>
      <c r="I50" s="76"/>
      <c r="J50" s="83" t="s">
        <v>5895</v>
      </c>
      <c r="K50" s="64" t="s">
        <v>1</v>
      </c>
      <c r="L50" s="65">
        <v>1</v>
      </c>
      <c r="M50" s="99"/>
      <c r="N50" s="70"/>
      <c r="O50" s="106" t="s">
        <v>18255</v>
      </c>
      <c r="P50" s="57" t="s">
        <v>1</v>
      </c>
      <c r="Q50" s="58">
        <v>0.25</v>
      </c>
      <c r="R50" s="77" t="s">
        <v>422</v>
      </c>
      <c r="S50" s="66"/>
      <c r="T50" s="57"/>
      <c r="U50" s="58"/>
      <c r="V50" s="77"/>
      <c r="W50" s="228">
        <f>ROUND((ROUND((ROUND((ROUND((ROUND((_15_同援日２．０*_15・通訳),0)*_15・２人),0)*(1+_15・A深夜)),0)*(1+_15・盲ろう)),0)*(1+_15・区３)),0)</f>
        <v>984</v>
      </c>
      <c r="X50" s="69"/>
    </row>
    <row r="51" spans="1:24" ht="16.5" customHeight="1" x14ac:dyDescent="0.3">
      <c r="A51" s="2">
        <v>15</v>
      </c>
      <c r="B51" s="2" t="s">
        <v>3603</v>
      </c>
      <c r="C51" s="60" t="s">
        <v>14088</v>
      </c>
      <c r="D51" s="1"/>
      <c r="E51" s="68"/>
      <c r="F51" s="70"/>
      <c r="G51" s="67"/>
      <c r="H51" s="68"/>
      <c r="I51" s="76"/>
      <c r="J51" s="85"/>
      <c r="K51" s="64"/>
      <c r="L51" s="65"/>
      <c r="M51" s="99"/>
      <c r="N51" s="70"/>
      <c r="O51" s="61"/>
      <c r="P51" s="62"/>
      <c r="Q51" s="63"/>
      <c r="R51" s="75"/>
      <c r="S51" s="74" t="s">
        <v>8089</v>
      </c>
      <c r="T51" s="62"/>
      <c r="U51" s="63"/>
      <c r="V51" s="75"/>
      <c r="W51" s="228">
        <f>ROUND((ROUND((ROUND((_15_同援日２．０*_15・通訳),0)*(1+_15・A深夜)),0)*(1+_15・区４)),0)</f>
        <v>918</v>
      </c>
      <c r="X51" s="69"/>
    </row>
    <row r="52" spans="1:24" ht="16.5" customHeight="1" x14ac:dyDescent="0.3">
      <c r="A52" s="2">
        <v>15</v>
      </c>
      <c r="B52" s="2" t="s">
        <v>3604</v>
      </c>
      <c r="C52" s="60" t="s">
        <v>14087</v>
      </c>
      <c r="D52" s="1"/>
      <c r="E52" s="68"/>
      <c r="F52" s="70"/>
      <c r="G52" s="67"/>
      <c r="H52" s="68"/>
      <c r="I52" s="76"/>
      <c r="J52" s="83" t="s">
        <v>5895</v>
      </c>
      <c r="K52" s="64" t="s">
        <v>1</v>
      </c>
      <c r="L52" s="65">
        <v>1</v>
      </c>
      <c r="M52" s="99"/>
      <c r="N52" s="70"/>
      <c r="O52" s="66"/>
      <c r="P52" s="57"/>
      <c r="Q52" s="58"/>
      <c r="R52" s="77"/>
      <c r="S52" s="94" t="s">
        <v>8087</v>
      </c>
      <c r="T52" s="68"/>
      <c r="U52" s="76"/>
      <c r="V52" s="70"/>
      <c r="W52" s="228">
        <f>ROUND((ROUND((ROUND((ROUND((_15_同援日２．０*_15・通訳),0)*_15・２人),0)*(1+_15・A深夜)),0)*(1+_15・区４)),0)</f>
        <v>918</v>
      </c>
      <c r="X52" s="69"/>
    </row>
    <row r="53" spans="1:24" ht="16.5" customHeight="1" x14ac:dyDescent="0.3">
      <c r="A53" s="2">
        <v>15</v>
      </c>
      <c r="B53" s="2" t="s">
        <v>3605</v>
      </c>
      <c r="C53" s="60" t="s">
        <v>14086</v>
      </c>
      <c r="D53" s="1"/>
      <c r="E53" s="68"/>
      <c r="F53" s="70"/>
      <c r="G53" s="67"/>
      <c r="H53" s="68"/>
      <c r="I53" s="76"/>
      <c r="J53" s="85"/>
      <c r="K53" s="64"/>
      <c r="L53" s="65"/>
      <c r="M53" s="99"/>
      <c r="N53" s="70"/>
      <c r="O53" s="74" t="s">
        <v>8085</v>
      </c>
      <c r="P53" s="62"/>
      <c r="Q53" s="63"/>
      <c r="R53" s="75"/>
      <c r="S53" s="67"/>
      <c r="T53" s="68" t="s">
        <v>1</v>
      </c>
      <c r="U53" s="76">
        <v>0.4</v>
      </c>
      <c r="V53" s="70" t="s">
        <v>422</v>
      </c>
      <c r="W53" s="228">
        <f>ROUND((ROUND((ROUND((ROUND((_15_同援日２．０*_15・通訳),0)*(1+_15・A深夜)),0)*(1+_15・盲ろう)),0)*(1+_15・区４)),0)</f>
        <v>1148</v>
      </c>
      <c r="X53" s="69"/>
    </row>
    <row r="54" spans="1:24" ht="16.5" customHeight="1" x14ac:dyDescent="0.3">
      <c r="A54" s="2">
        <v>15</v>
      </c>
      <c r="B54" s="2" t="s">
        <v>3606</v>
      </c>
      <c r="C54" s="60" t="s">
        <v>14085</v>
      </c>
      <c r="D54" s="81"/>
      <c r="E54" s="57"/>
      <c r="F54" s="77"/>
      <c r="G54" s="67"/>
      <c r="H54" s="68"/>
      <c r="I54" s="76"/>
      <c r="J54" s="83" t="s">
        <v>5895</v>
      </c>
      <c r="K54" s="64" t="s">
        <v>1</v>
      </c>
      <c r="L54" s="65">
        <v>1</v>
      </c>
      <c r="M54" s="99"/>
      <c r="N54" s="70"/>
      <c r="O54" s="106" t="s">
        <v>18255</v>
      </c>
      <c r="P54" s="57" t="s">
        <v>1</v>
      </c>
      <c r="Q54" s="58">
        <v>0.25</v>
      </c>
      <c r="R54" s="77" t="s">
        <v>422</v>
      </c>
      <c r="S54" s="66"/>
      <c r="T54" s="57"/>
      <c r="U54" s="58"/>
      <c r="V54" s="77"/>
      <c r="W54" s="228">
        <f>ROUND((ROUND((ROUND((ROUND((ROUND((_15_同援日２．０*_15・通訳),0)*_15・２人),0)*(1+_15・A深夜)),0)*(1+_15・盲ろう)),0)*(1+_15・区４)),0)</f>
        <v>1148</v>
      </c>
      <c r="X54" s="69"/>
    </row>
    <row r="55" spans="1:24" ht="16.5" customHeight="1" x14ac:dyDescent="0.3">
      <c r="A55" s="2">
        <v>15</v>
      </c>
      <c r="B55" s="2" t="s">
        <v>3607</v>
      </c>
      <c r="C55" s="60" t="s">
        <v>14084</v>
      </c>
      <c r="D55" s="233" t="s">
        <v>16310</v>
      </c>
      <c r="E55" s="62"/>
      <c r="F55" s="75"/>
      <c r="G55" s="67"/>
      <c r="H55" s="68"/>
      <c r="I55" s="76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228">
        <f>ROUND((ROUND((_15_同援日２．５*_15・通訳),0)*(1+_15・A深夜)),0)</f>
        <v>740</v>
      </c>
      <c r="X55" s="69"/>
    </row>
    <row r="56" spans="1:24" ht="16.5" customHeight="1" x14ac:dyDescent="0.3">
      <c r="A56" s="2">
        <v>15</v>
      </c>
      <c r="B56" s="2" t="s">
        <v>3608</v>
      </c>
      <c r="C56" s="60" t="s">
        <v>14083</v>
      </c>
      <c r="D56" s="1" t="s">
        <v>5977</v>
      </c>
      <c r="E56" s="68"/>
      <c r="F56" s="70"/>
      <c r="G56" s="67"/>
      <c r="H56" s="68"/>
      <c r="I56" s="76"/>
      <c r="J56" s="83" t="s">
        <v>5895</v>
      </c>
      <c r="K56" s="64" t="s">
        <v>1</v>
      </c>
      <c r="L56" s="65">
        <v>1</v>
      </c>
      <c r="M56" s="99"/>
      <c r="N56" s="70"/>
      <c r="O56" s="66"/>
      <c r="P56" s="57"/>
      <c r="Q56" s="58"/>
      <c r="R56" s="77"/>
      <c r="S56" s="67"/>
      <c r="T56" s="68"/>
      <c r="U56" s="76"/>
      <c r="V56" s="70"/>
      <c r="W56" s="228">
        <f>ROUND((ROUND((ROUND((_15_同援日２．５*_15・通訳),0)*_15・２人),0)*(1+_15・A深夜)),0)</f>
        <v>740</v>
      </c>
      <c r="X56" s="69"/>
    </row>
    <row r="57" spans="1:24" ht="16.5" customHeight="1" x14ac:dyDescent="0.3">
      <c r="A57" s="2">
        <v>15</v>
      </c>
      <c r="B57" s="2" t="s">
        <v>3609</v>
      </c>
      <c r="C57" s="60" t="s">
        <v>14082</v>
      </c>
      <c r="D57" s="1" t="s">
        <v>8499</v>
      </c>
      <c r="E57" s="68"/>
      <c r="F57" s="70"/>
      <c r="G57" s="67"/>
      <c r="H57" s="68"/>
      <c r="I57" s="76"/>
      <c r="J57" s="85"/>
      <c r="K57" s="64"/>
      <c r="L57" s="65"/>
      <c r="M57" s="99"/>
      <c r="N57" s="70"/>
      <c r="O57" s="74" t="s">
        <v>8085</v>
      </c>
      <c r="P57" s="62"/>
      <c r="Q57" s="63"/>
      <c r="R57" s="75"/>
      <c r="S57" s="67"/>
      <c r="T57" s="68"/>
      <c r="U57" s="76"/>
      <c r="V57" s="70"/>
      <c r="W57" s="228">
        <f>ROUND((ROUND((ROUND((_15_同援日２．５*_15・通訳),0)*(1+_15・A深夜)),0)*(1+_15・盲ろう)),0)</f>
        <v>925</v>
      </c>
      <c r="X57" s="69"/>
    </row>
    <row r="58" spans="1:24" ht="16.5" customHeight="1" x14ac:dyDescent="0.3">
      <c r="A58" s="2">
        <v>15</v>
      </c>
      <c r="B58" s="2" t="s">
        <v>3610</v>
      </c>
      <c r="C58" s="60" t="s">
        <v>14081</v>
      </c>
      <c r="D58" s="1"/>
      <c r="E58" s="227">
        <v>548</v>
      </c>
      <c r="F58" s="70" t="s">
        <v>0</v>
      </c>
      <c r="G58" s="67"/>
      <c r="H58" s="68"/>
      <c r="I58" s="76"/>
      <c r="J58" s="83" t="s">
        <v>5895</v>
      </c>
      <c r="K58" s="64" t="s">
        <v>1</v>
      </c>
      <c r="L58" s="65">
        <v>1</v>
      </c>
      <c r="M58" s="99"/>
      <c r="N58" s="70"/>
      <c r="O58" s="106" t="s">
        <v>8083</v>
      </c>
      <c r="P58" s="57" t="s">
        <v>1</v>
      </c>
      <c r="Q58" s="58">
        <v>0.25</v>
      </c>
      <c r="R58" s="77" t="s">
        <v>422</v>
      </c>
      <c r="S58" s="66"/>
      <c r="T58" s="57"/>
      <c r="U58" s="58"/>
      <c r="V58" s="77"/>
      <c r="W58" s="228">
        <f>ROUND((ROUND((ROUND((ROUND((_15_同援日２．５*_15・通訳),0)*_15・２人),0)*(1+_15・A深夜)),0)*(1+_15・盲ろう)),0)</f>
        <v>925</v>
      </c>
      <c r="X58" s="69"/>
    </row>
    <row r="59" spans="1:24" ht="16.5" customHeight="1" x14ac:dyDescent="0.3">
      <c r="A59" s="2">
        <v>15</v>
      </c>
      <c r="B59" s="2" t="s">
        <v>3611</v>
      </c>
      <c r="C59" s="60" t="s">
        <v>14080</v>
      </c>
      <c r="D59" s="1"/>
      <c r="E59" s="68"/>
      <c r="F59" s="70"/>
      <c r="G59" s="67"/>
      <c r="H59" s="68"/>
      <c r="I59" s="76"/>
      <c r="J59" s="85"/>
      <c r="K59" s="64"/>
      <c r="L59" s="65"/>
      <c r="M59" s="99"/>
      <c r="N59" s="70"/>
      <c r="O59" s="61"/>
      <c r="P59" s="62"/>
      <c r="Q59" s="63"/>
      <c r="R59" s="75"/>
      <c r="S59" s="74" t="s">
        <v>18257</v>
      </c>
      <c r="T59" s="62"/>
      <c r="U59" s="63"/>
      <c r="V59" s="75"/>
      <c r="W59" s="228">
        <f>ROUND((ROUND((ROUND((_15_同援日２．５*_15・通訳),0)*(1+_15・A深夜)),0)*(1+_15・区３)),0)</f>
        <v>888</v>
      </c>
      <c r="X59" s="69"/>
    </row>
    <row r="60" spans="1:24" ht="16.5" customHeight="1" x14ac:dyDescent="0.3">
      <c r="A60" s="2">
        <v>15</v>
      </c>
      <c r="B60" s="2" t="s">
        <v>3612</v>
      </c>
      <c r="C60" s="60" t="s">
        <v>14079</v>
      </c>
      <c r="D60" s="1"/>
      <c r="E60" s="68"/>
      <c r="F60" s="70"/>
      <c r="G60" s="67"/>
      <c r="H60" s="68"/>
      <c r="I60" s="76"/>
      <c r="J60" s="83" t="s">
        <v>5895</v>
      </c>
      <c r="K60" s="64" t="s">
        <v>1</v>
      </c>
      <c r="L60" s="65">
        <v>1</v>
      </c>
      <c r="M60" s="99"/>
      <c r="N60" s="70"/>
      <c r="O60" s="66"/>
      <c r="P60" s="57"/>
      <c r="Q60" s="58"/>
      <c r="R60" s="77"/>
      <c r="S60" s="94" t="s">
        <v>18261</v>
      </c>
      <c r="T60" s="68"/>
      <c r="U60" s="76"/>
      <c r="V60" s="70"/>
      <c r="W60" s="228">
        <f>ROUND((ROUND((ROUND((ROUND((_15_同援日２．５*_15・通訳),0)*_15・２人),0)*(1+_15・A深夜)),0)*(1+_15・区３)),0)</f>
        <v>888</v>
      </c>
      <c r="X60" s="69"/>
    </row>
    <row r="61" spans="1:24" ht="16.5" customHeight="1" x14ac:dyDescent="0.3">
      <c r="A61" s="2">
        <v>15</v>
      </c>
      <c r="B61" s="2" t="s">
        <v>3613</v>
      </c>
      <c r="C61" s="60" t="s">
        <v>14078</v>
      </c>
      <c r="D61" s="1"/>
      <c r="E61" s="68"/>
      <c r="F61" s="70"/>
      <c r="G61" s="67"/>
      <c r="H61" s="68"/>
      <c r="I61" s="76"/>
      <c r="J61" s="85"/>
      <c r="K61" s="64"/>
      <c r="L61" s="65"/>
      <c r="M61" s="99"/>
      <c r="N61" s="70"/>
      <c r="O61" s="74" t="s">
        <v>18256</v>
      </c>
      <c r="P61" s="62"/>
      <c r="Q61" s="63"/>
      <c r="R61" s="75"/>
      <c r="S61" s="67"/>
      <c r="T61" s="68" t="s">
        <v>1</v>
      </c>
      <c r="U61" s="76">
        <v>0.2</v>
      </c>
      <c r="V61" s="70" t="s">
        <v>422</v>
      </c>
      <c r="W61" s="228">
        <f>ROUND((ROUND((ROUND((ROUND((_15_同援日２．５*_15・通訳),0)*(1+_15・A深夜)),0)*(1+_15・盲ろう)),0)*(1+_15・区３)),0)</f>
        <v>1110</v>
      </c>
      <c r="X61" s="69"/>
    </row>
    <row r="62" spans="1:24" ht="16.5" customHeight="1" x14ac:dyDescent="0.3">
      <c r="A62" s="2">
        <v>15</v>
      </c>
      <c r="B62" s="2" t="s">
        <v>3614</v>
      </c>
      <c r="C62" s="60" t="s">
        <v>14077</v>
      </c>
      <c r="D62" s="1"/>
      <c r="E62" s="68"/>
      <c r="F62" s="70"/>
      <c r="G62" s="67"/>
      <c r="H62" s="68"/>
      <c r="I62" s="76"/>
      <c r="J62" s="83" t="s">
        <v>5895</v>
      </c>
      <c r="K62" s="64" t="s">
        <v>1</v>
      </c>
      <c r="L62" s="65">
        <v>1</v>
      </c>
      <c r="M62" s="99"/>
      <c r="N62" s="70"/>
      <c r="O62" s="106" t="s">
        <v>18255</v>
      </c>
      <c r="P62" s="57" t="s">
        <v>1</v>
      </c>
      <c r="Q62" s="58">
        <v>0.25</v>
      </c>
      <c r="R62" s="77" t="s">
        <v>422</v>
      </c>
      <c r="S62" s="66"/>
      <c r="T62" s="57"/>
      <c r="U62" s="58"/>
      <c r="V62" s="77"/>
      <c r="W62" s="228">
        <f>ROUND((ROUND((ROUND((ROUND((ROUND((_15_同援日２．５*_15・通訳),0)*_15・２人),0)*(1+_15・A深夜)),0)*(1+_15・盲ろう)),0)*(1+_15・区３)),0)</f>
        <v>1110</v>
      </c>
      <c r="X62" s="69"/>
    </row>
    <row r="63" spans="1:24" ht="16.5" customHeight="1" x14ac:dyDescent="0.3">
      <c r="A63" s="2">
        <v>15</v>
      </c>
      <c r="B63" s="2" t="s">
        <v>3615</v>
      </c>
      <c r="C63" s="60" t="s">
        <v>14076</v>
      </c>
      <c r="D63" s="1"/>
      <c r="E63" s="68"/>
      <c r="F63" s="70"/>
      <c r="G63" s="67"/>
      <c r="H63" s="68"/>
      <c r="I63" s="76"/>
      <c r="J63" s="85"/>
      <c r="K63" s="64"/>
      <c r="L63" s="65"/>
      <c r="M63" s="99"/>
      <c r="N63" s="70"/>
      <c r="O63" s="61"/>
      <c r="P63" s="62"/>
      <c r="Q63" s="63"/>
      <c r="R63" s="75"/>
      <c r="S63" s="74" t="s">
        <v>8089</v>
      </c>
      <c r="T63" s="62"/>
      <c r="U63" s="63"/>
      <c r="V63" s="75"/>
      <c r="W63" s="228">
        <f>ROUND((ROUND((ROUND((_15_同援日２．５*_15・通訳),0)*(1+_15・A深夜)),0)*(1+_15・区４)),0)</f>
        <v>1036</v>
      </c>
      <c r="X63" s="69"/>
    </row>
    <row r="64" spans="1:24" ht="16.5" customHeight="1" x14ac:dyDescent="0.3">
      <c r="A64" s="2">
        <v>15</v>
      </c>
      <c r="B64" s="2" t="s">
        <v>3616</v>
      </c>
      <c r="C64" s="60" t="s">
        <v>14075</v>
      </c>
      <c r="D64" s="1"/>
      <c r="E64" s="68"/>
      <c r="F64" s="70"/>
      <c r="G64" s="67"/>
      <c r="H64" s="68"/>
      <c r="I64" s="76"/>
      <c r="J64" s="83" t="s">
        <v>5895</v>
      </c>
      <c r="K64" s="64" t="s">
        <v>1</v>
      </c>
      <c r="L64" s="65">
        <v>1</v>
      </c>
      <c r="M64" s="99"/>
      <c r="N64" s="70"/>
      <c r="O64" s="66"/>
      <c r="P64" s="57"/>
      <c r="Q64" s="58"/>
      <c r="R64" s="77"/>
      <c r="S64" s="94" t="s">
        <v>18261</v>
      </c>
      <c r="T64" s="68"/>
      <c r="U64" s="76"/>
      <c r="V64" s="70"/>
      <c r="W64" s="228">
        <f>ROUND((ROUND((ROUND((ROUND((_15_同援日２．５*_15・通訳),0)*_15・２人),0)*(1+_15・A深夜)),0)*(1+_15・区４)),0)</f>
        <v>1036</v>
      </c>
      <c r="X64" s="69"/>
    </row>
    <row r="65" spans="1:24" ht="16.5" customHeight="1" x14ac:dyDescent="0.3">
      <c r="A65" s="2">
        <v>15</v>
      </c>
      <c r="B65" s="2" t="s">
        <v>3617</v>
      </c>
      <c r="C65" s="60" t="s">
        <v>14074</v>
      </c>
      <c r="D65" s="1"/>
      <c r="E65" s="68"/>
      <c r="F65" s="70"/>
      <c r="G65" s="67"/>
      <c r="H65" s="68"/>
      <c r="I65" s="76"/>
      <c r="J65" s="85"/>
      <c r="K65" s="64"/>
      <c r="L65" s="65"/>
      <c r="M65" s="99"/>
      <c r="N65" s="70"/>
      <c r="O65" s="74" t="s">
        <v>18256</v>
      </c>
      <c r="P65" s="62"/>
      <c r="Q65" s="63"/>
      <c r="R65" s="75"/>
      <c r="S65" s="67"/>
      <c r="T65" s="68" t="s">
        <v>1</v>
      </c>
      <c r="U65" s="76">
        <v>0.4</v>
      </c>
      <c r="V65" s="70" t="s">
        <v>422</v>
      </c>
      <c r="W65" s="228">
        <f>ROUND((ROUND((ROUND((ROUND((_15_同援日２．５*_15・通訳),0)*(1+_15・A深夜)),0)*(1+_15・盲ろう)),0)*(1+_15・区４)),0)</f>
        <v>1295</v>
      </c>
      <c r="X65" s="69"/>
    </row>
    <row r="66" spans="1:24" ht="16.5" customHeight="1" x14ac:dyDescent="0.3">
      <c r="A66" s="2">
        <v>15</v>
      </c>
      <c r="B66" s="2" t="s">
        <v>3618</v>
      </c>
      <c r="C66" s="60" t="s">
        <v>14073</v>
      </c>
      <c r="D66" s="81"/>
      <c r="E66" s="57"/>
      <c r="F66" s="77"/>
      <c r="G66" s="67"/>
      <c r="H66" s="68"/>
      <c r="I66" s="76"/>
      <c r="J66" s="83" t="s">
        <v>5895</v>
      </c>
      <c r="K66" s="64" t="s">
        <v>1</v>
      </c>
      <c r="L66" s="65">
        <v>1</v>
      </c>
      <c r="M66" s="99"/>
      <c r="N66" s="70"/>
      <c r="O66" s="106" t="s">
        <v>8083</v>
      </c>
      <c r="P66" s="57" t="s">
        <v>1</v>
      </c>
      <c r="Q66" s="58">
        <v>0.25</v>
      </c>
      <c r="R66" s="77" t="s">
        <v>422</v>
      </c>
      <c r="S66" s="66"/>
      <c r="T66" s="57"/>
      <c r="U66" s="58"/>
      <c r="V66" s="77"/>
      <c r="W66" s="228">
        <f>ROUND((ROUND((ROUND((ROUND((ROUND((_15_同援日２．５*_15・通訳),0)*_15・２人),0)*(1+_15・A深夜)),0)*(1+_15・盲ろう)),0)*(1+_15・区４)),0)</f>
        <v>1295</v>
      </c>
      <c r="X66" s="69"/>
    </row>
    <row r="67" spans="1:24" ht="16.5" customHeight="1" x14ac:dyDescent="0.3">
      <c r="A67" s="2">
        <v>15</v>
      </c>
      <c r="B67" s="2" t="s">
        <v>3619</v>
      </c>
      <c r="C67" s="60" t="s">
        <v>14072</v>
      </c>
      <c r="D67" s="233" t="s">
        <v>18269</v>
      </c>
      <c r="E67" s="62"/>
      <c r="F67" s="75"/>
      <c r="G67" s="67"/>
      <c r="H67" s="68"/>
      <c r="I67" s="76"/>
      <c r="J67" s="85"/>
      <c r="K67" s="64"/>
      <c r="L67" s="65"/>
      <c r="M67" s="99"/>
      <c r="N67" s="70"/>
      <c r="O67" s="61"/>
      <c r="P67" s="62"/>
      <c r="Q67" s="63"/>
      <c r="R67" s="75"/>
      <c r="S67" s="61"/>
      <c r="T67" s="62"/>
      <c r="U67" s="63"/>
      <c r="V67" s="75"/>
      <c r="W67" s="228">
        <f>ROUND((ROUND((_15_同援日３．０*_15・通訳),0)*(1+_15・A深夜)),0)</f>
        <v>825</v>
      </c>
      <c r="X67" s="69"/>
    </row>
    <row r="68" spans="1:24" ht="16.5" customHeight="1" x14ac:dyDescent="0.3">
      <c r="A68" s="2">
        <v>15</v>
      </c>
      <c r="B68" s="2" t="s">
        <v>3620</v>
      </c>
      <c r="C68" s="60" t="s">
        <v>14071</v>
      </c>
      <c r="D68" s="1" t="s">
        <v>18268</v>
      </c>
      <c r="E68" s="68"/>
      <c r="F68" s="70"/>
      <c r="G68" s="67"/>
      <c r="H68" s="68"/>
      <c r="I68" s="76"/>
      <c r="J68" s="83" t="s">
        <v>5895</v>
      </c>
      <c r="K68" s="64" t="s">
        <v>1</v>
      </c>
      <c r="L68" s="65">
        <v>1</v>
      </c>
      <c r="M68" s="99"/>
      <c r="N68" s="70"/>
      <c r="O68" s="66"/>
      <c r="P68" s="57"/>
      <c r="Q68" s="58"/>
      <c r="R68" s="77"/>
      <c r="S68" s="67"/>
      <c r="T68" s="68"/>
      <c r="U68" s="76"/>
      <c r="V68" s="70"/>
      <c r="W68" s="228">
        <f>ROUND((ROUND((ROUND((_15_同援日３．０*_15・通訳),0)*_15・２人),0)*(1+_15・A深夜)),0)</f>
        <v>825</v>
      </c>
      <c r="X68" s="69"/>
    </row>
    <row r="69" spans="1:24" ht="16.5" customHeight="1" x14ac:dyDescent="0.3">
      <c r="A69" s="2">
        <v>15</v>
      </c>
      <c r="B69" s="2" t="s">
        <v>3621</v>
      </c>
      <c r="C69" s="60" t="s">
        <v>14070</v>
      </c>
      <c r="D69" s="1" t="s">
        <v>8694</v>
      </c>
      <c r="E69" s="68"/>
      <c r="F69" s="70"/>
      <c r="G69" s="67"/>
      <c r="H69" s="68"/>
      <c r="I69" s="76"/>
      <c r="J69" s="85"/>
      <c r="K69" s="64"/>
      <c r="L69" s="65"/>
      <c r="M69" s="99"/>
      <c r="N69" s="70"/>
      <c r="O69" s="74" t="s">
        <v>18256</v>
      </c>
      <c r="P69" s="62"/>
      <c r="Q69" s="63"/>
      <c r="R69" s="75"/>
      <c r="S69" s="67"/>
      <c r="T69" s="68"/>
      <c r="U69" s="76"/>
      <c r="V69" s="70"/>
      <c r="W69" s="228">
        <f>ROUND((ROUND((ROUND((_15_同援日３．０*_15・通訳),0)*(1+_15・A深夜)),0)*(1+_15・盲ろう)),0)</f>
        <v>1031</v>
      </c>
      <c r="X69" s="69"/>
    </row>
    <row r="70" spans="1:24" ht="16.5" customHeight="1" x14ac:dyDescent="0.3">
      <c r="A70" s="2">
        <v>15</v>
      </c>
      <c r="B70" s="2" t="s">
        <v>3622</v>
      </c>
      <c r="C70" s="60" t="s">
        <v>14069</v>
      </c>
      <c r="D70" s="1"/>
      <c r="E70" s="227">
        <v>611</v>
      </c>
      <c r="F70" s="70" t="s">
        <v>0</v>
      </c>
      <c r="G70" s="67"/>
      <c r="H70" s="68"/>
      <c r="I70" s="76"/>
      <c r="J70" s="83" t="s">
        <v>5895</v>
      </c>
      <c r="K70" s="64" t="s">
        <v>1</v>
      </c>
      <c r="L70" s="65">
        <v>1</v>
      </c>
      <c r="M70" s="99"/>
      <c r="N70" s="70"/>
      <c r="O70" s="106" t="s">
        <v>18255</v>
      </c>
      <c r="P70" s="57" t="s">
        <v>1</v>
      </c>
      <c r="Q70" s="58">
        <v>0.25</v>
      </c>
      <c r="R70" s="77" t="s">
        <v>422</v>
      </c>
      <c r="S70" s="66"/>
      <c r="T70" s="57"/>
      <c r="U70" s="58"/>
      <c r="V70" s="77"/>
      <c r="W70" s="228">
        <f>ROUND((ROUND((ROUND((ROUND((_15_同援日３．０*_15・通訳),0)*_15・２人),0)*(1+_15・A深夜)),0)*(1+_15・盲ろう)),0)</f>
        <v>1031</v>
      </c>
      <c r="X70" s="69"/>
    </row>
    <row r="71" spans="1:24" ht="16.5" customHeight="1" x14ac:dyDescent="0.3">
      <c r="A71" s="2">
        <v>15</v>
      </c>
      <c r="B71" s="2" t="s">
        <v>3623</v>
      </c>
      <c r="C71" s="60" t="s">
        <v>14068</v>
      </c>
      <c r="D71" s="1"/>
      <c r="E71" s="68"/>
      <c r="F71" s="70"/>
      <c r="G71" s="67"/>
      <c r="H71" s="68"/>
      <c r="I71" s="76"/>
      <c r="J71" s="85"/>
      <c r="K71" s="64"/>
      <c r="L71" s="65"/>
      <c r="M71" s="99"/>
      <c r="N71" s="70"/>
      <c r="O71" s="61"/>
      <c r="P71" s="62"/>
      <c r="Q71" s="63"/>
      <c r="R71" s="75"/>
      <c r="S71" s="74" t="s">
        <v>18257</v>
      </c>
      <c r="T71" s="62"/>
      <c r="U71" s="63"/>
      <c r="V71" s="75"/>
      <c r="W71" s="228">
        <f>ROUND((ROUND((ROUND((_15_同援日３．０*_15・通訳),0)*(1+_15・A深夜)),0)*(1+_15・区３)),0)</f>
        <v>990</v>
      </c>
      <c r="X71" s="69"/>
    </row>
    <row r="72" spans="1:24" ht="16.5" customHeight="1" x14ac:dyDescent="0.3">
      <c r="A72" s="2">
        <v>15</v>
      </c>
      <c r="B72" s="2" t="s">
        <v>3624</v>
      </c>
      <c r="C72" s="60" t="s">
        <v>14067</v>
      </c>
      <c r="D72" s="1"/>
      <c r="E72" s="68"/>
      <c r="F72" s="70"/>
      <c r="G72" s="67"/>
      <c r="H72" s="68"/>
      <c r="I72" s="76"/>
      <c r="J72" s="83" t="s">
        <v>5895</v>
      </c>
      <c r="K72" s="64" t="s">
        <v>1</v>
      </c>
      <c r="L72" s="65">
        <v>1</v>
      </c>
      <c r="M72" s="99"/>
      <c r="N72" s="70"/>
      <c r="O72" s="66"/>
      <c r="P72" s="57"/>
      <c r="Q72" s="58"/>
      <c r="R72" s="77"/>
      <c r="S72" s="94" t="s">
        <v>18261</v>
      </c>
      <c r="T72" s="68"/>
      <c r="U72" s="76"/>
      <c r="V72" s="70"/>
      <c r="W72" s="228">
        <f>ROUND((ROUND((ROUND((ROUND((_15_同援日３．０*_15・通訳),0)*_15・２人),0)*(1+_15・A深夜)),0)*(1+_15・区３)),0)</f>
        <v>990</v>
      </c>
      <c r="X72" s="69"/>
    </row>
    <row r="73" spans="1:24" ht="16.5" customHeight="1" x14ac:dyDescent="0.3">
      <c r="A73" s="2">
        <v>15</v>
      </c>
      <c r="B73" s="2" t="s">
        <v>3625</v>
      </c>
      <c r="C73" s="60" t="s">
        <v>14066</v>
      </c>
      <c r="D73" s="1"/>
      <c r="E73" s="68"/>
      <c r="F73" s="70"/>
      <c r="G73" s="67"/>
      <c r="H73" s="68"/>
      <c r="I73" s="76"/>
      <c r="J73" s="85"/>
      <c r="K73" s="64"/>
      <c r="L73" s="65"/>
      <c r="M73" s="99"/>
      <c r="N73" s="70"/>
      <c r="O73" s="74" t="s">
        <v>8085</v>
      </c>
      <c r="P73" s="62"/>
      <c r="Q73" s="63"/>
      <c r="R73" s="75"/>
      <c r="S73" s="67"/>
      <c r="T73" s="68" t="s">
        <v>1</v>
      </c>
      <c r="U73" s="76">
        <v>0.2</v>
      </c>
      <c r="V73" s="70" t="s">
        <v>422</v>
      </c>
      <c r="W73" s="228">
        <f>ROUND((ROUND((ROUND((ROUND((_15_同援日３．０*_15・通訳),0)*(1+_15・A深夜)),0)*(1+_15・盲ろう)),0)*(1+_15・区３)),0)</f>
        <v>1237</v>
      </c>
      <c r="X73" s="69"/>
    </row>
    <row r="74" spans="1:24" ht="16.5" customHeight="1" x14ac:dyDescent="0.3">
      <c r="A74" s="2">
        <v>15</v>
      </c>
      <c r="B74" s="2" t="s">
        <v>3626</v>
      </c>
      <c r="C74" s="60" t="s">
        <v>14065</v>
      </c>
      <c r="D74" s="1"/>
      <c r="E74" s="68"/>
      <c r="F74" s="70"/>
      <c r="G74" s="67"/>
      <c r="H74" s="68"/>
      <c r="I74" s="76"/>
      <c r="J74" s="83" t="s">
        <v>5895</v>
      </c>
      <c r="K74" s="64" t="s">
        <v>1</v>
      </c>
      <c r="L74" s="65">
        <v>1</v>
      </c>
      <c r="M74" s="99"/>
      <c r="N74" s="70"/>
      <c r="O74" s="106" t="s">
        <v>18255</v>
      </c>
      <c r="P74" s="57" t="s">
        <v>1</v>
      </c>
      <c r="Q74" s="58">
        <v>0.25</v>
      </c>
      <c r="R74" s="77" t="s">
        <v>422</v>
      </c>
      <c r="S74" s="66"/>
      <c r="T74" s="57"/>
      <c r="U74" s="58"/>
      <c r="V74" s="77"/>
      <c r="W74" s="228">
        <f>ROUND((ROUND((ROUND((ROUND((ROUND((_15_同援日３．０*_15・通訳),0)*_15・２人),0)*(1+_15・A深夜)),0)*(1+_15・盲ろう)),0)*(1+_15・区３)),0)</f>
        <v>1237</v>
      </c>
      <c r="X74" s="69"/>
    </row>
    <row r="75" spans="1:24" ht="16.5" customHeight="1" x14ac:dyDescent="0.3">
      <c r="A75" s="2">
        <v>15</v>
      </c>
      <c r="B75" s="2" t="s">
        <v>3627</v>
      </c>
      <c r="C75" s="60" t="s">
        <v>14064</v>
      </c>
      <c r="D75" s="1"/>
      <c r="E75" s="68"/>
      <c r="F75" s="70"/>
      <c r="G75" s="67"/>
      <c r="H75" s="68"/>
      <c r="I75" s="76"/>
      <c r="J75" s="85"/>
      <c r="K75" s="64"/>
      <c r="L75" s="65"/>
      <c r="M75" s="99"/>
      <c r="N75" s="70"/>
      <c r="O75" s="61"/>
      <c r="P75" s="62"/>
      <c r="Q75" s="63"/>
      <c r="R75" s="75"/>
      <c r="S75" s="74" t="s">
        <v>8089</v>
      </c>
      <c r="T75" s="62"/>
      <c r="U75" s="63"/>
      <c r="V75" s="75"/>
      <c r="W75" s="228">
        <f>ROUND((ROUND((ROUND((_15_同援日３．０*_15・通訳),0)*(1+_15・A深夜)),0)*(1+_15・区４)),0)</f>
        <v>1155</v>
      </c>
      <c r="X75" s="69"/>
    </row>
    <row r="76" spans="1:24" ht="16.5" customHeight="1" x14ac:dyDescent="0.3">
      <c r="A76" s="2">
        <v>15</v>
      </c>
      <c r="B76" s="2" t="s">
        <v>3628</v>
      </c>
      <c r="C76" s="60" t="s">
        <v>14063</v>
      </c>
      <c r="D76" s="1"/>
      <c r="E76" s="68"/>
      <c r="F76" s="70"/>
      <c r="G76" s="67"/>
      <c r="H76" s="68"/>
      <c r="I76" s="76"/>
      <c r="J76" s="83" t="s">
        <v>5895</v>
      </c>
      <c r="K76" s="64" t="s">
        <v>1</v>
      </c>
      <c r="L76" s="65">
        <v>1</v>
      </c>
      <c r="M76" s="99"/>
      <c r="N76" s="70"/>
      <c r="O76" s="66"/>
      <c r="P76" s="57"/>
      <c r="Q76" s="58"/>
      <c r="R76" s="77"/>
      <c r="S76" s="94" t="s">
        <v>8087</v>
      </c>
      <c r="T76" s="68"/>
      <c r="U76" s="76"/>
      <c r="V76" s="70"/>
      <c r="W76" s="228">
        <f>ROUND((ROUND((ROUND((ROUND((_15_同援日３．０*_15・通訳),0)*_15・２人),0)*(1+_15・A深夜)),0)*(1+_15・区４)),0)</f>
        <v>1155</v>
      </c>
      <c r="X76" s="69"/>
    </row>
    <row r="77" spans="1:24" ht="16.5" customHeight="1" x14ac:dyDescent="0.3">
      <c r="A77" s="2">
        <v>15</v>
      </c>
      <c r="B77" s="2" t="s">
        <v>3629</v>
      </c>
      <c r="C77" s="60" t="s">
        <v>14062</v>
      </c>
      <c r="D77" s="1"/>
      <c r="E77" s="68"/>
      <c r="F77" s="70"/>
      <c r="G77" s="67"/>
      <c r="H77" s="68"/>
      <c r="I77" s="76"/>
      <c r="J77" s="85"/>
      <c r="K77" s="64"/>
      <c r="L77" s="65"/>
      <c r="M77" s="99"/>
      <c r="N77" s="70"/>
      <c r="O77" s="74" t="s">
        <v>18256</v>
      </c>
      <c r="P77" s="62"/>
      <c r="Q77" s="63"/>
      <c r="R77" s="75"/>
      <c r="S77" s="67"/>
      <c r="T77" s="68" t="s">
        <v>1</v>
      </c>
      <c r="U77" s="76">
        <v>0.4</v>
      </c>
      <c r="V77" s="70" t="s">
        <v>422</v>
      </c>
      <c r="W77" s="228">
        <f>ROUND((ROUND((ROUND((ROUND((_15_同援日３．０*_15・通訳),0)*(1+_15・A深夜)),0)*(1+_15・盲ろう)),0)*(1+_15・区４)),0)</f>
        <v>1443</v>
      </c>
      <c r="X77" s="69"/>
    </row>
    <row r="78" spans="1:24" ht="16.5" customHeight="1" x14ac:dyDescent="0.3">
      <c r="A78" s="2">
        <v>15</v>
      </c>
      <c r="B78" s="2" t="s">
        <v>3630</v>
      </c>
      <c r="C78" s="60" t="s">
        <v>14061</v>
      </c>
      <c r="D78" s="81"/>
      <c r="E78" s="57"/>
      <c r="F78" s="77"/>
      <c r="G78" s="67"/>
      <c r="H78" s="68"/>
      <c r="I78" s="76"/>
      <c r="J78" s="83" t="s">
        <v>5895</v>
      </c>
      <c r="K78" s="64" t="s">
        <v>1</v>
      </c>
      <c r="L78" s="65">
        <v>1</v>
      </c>
      <c r="M78" s="99"/>
      <c r="N78" s="70"/>
      <c r="O78" s="106" t="s">
        <v>18255</v>
      </c>
      <c r="P78" s="57" t="s">
        <v>1</v>
      </c>
      <c r="Q78" s="58">
        <v>0.25</v>
      </c>
      <c r="R78" s="77" t="s">
        <v>422</v>
      </c>
      <c r="S78" s="66"/>
      <c r="T78" s="57"/>
      <c r="U78" s="58"/>
      <c r="V78" s="77"/>
      <c r="W78" s="228">
        <f>ROUND((ROUND((ROUND((ROUND((ROUND((_15_同援日３．０*_15・通訳),0)*_15・２人),0)*(1+_15・A深夜)),0)*(1+_15・盲ろう)),0)*(1+_15・区４)),0)</f>
        <v>1443</v>
      </c>
      <c r="X78" s="69"/>
    </row>
    <row r="79" spans="1:24" ht="16.5" customHeight="1" x14ac:dyDescent="0.3">
      <c r="A79" s="2">
        <v>15</v>
      </c>
      <c r="B79" s="2" t="s">
        <v>3631</v>
      </c>
      <c r="C79" s="60" t="s">
        <v>14060</v>
      </c>
      <c r="D79" s="233" t="s">
        <v>16311</v>
      </c>
      <c r="E79" s="62"/>
      <c r="F79" s="75"/>
      <c r="G79" s="67"/>
      <c r="H79" s="68"/>
      <c r="I79" s="76"/>
      <c r="J79" s="85"/>
      <c r="K79" s="64"/>
      <c r="L79" s="65"/>
      <c r="M79" s="99"/>
      <c r="N79" s="70"/>
      <c r="O79" s="61"/>
      <c r="P79" s="62"/>
      <c r="Q79" s="63"/>
      <c r="R79" s="75"/>
      <c r="S79" s="61"/>
      <c r="T79" s="62"/>
      <c r="U79" s="63"/>
      <c r="V79" s="75"/>
      <c r="W79" s="228">
        <f>ROUND((ROUND((_15_同援日３．５*_15・通訳),0)*(1+_15・A深夜)),0)</f>
        <v>911</v>
      </c>
      <c r="X79" s="69"/>
    </row>
    <row r="80" spans="1:24" ht="16.5" customHeight="1" x14ac:dyDescent="0.3">
      <c r="A80" s="2">
        <v>15</v>
      </c>
      <c r="B80" s="2" t="s">
        <v>3632</v>
      </c>
      <c r="C80" s="60" t="s">
        <v>14059</v>
      </c>
      <c r="D80" s="1" t="s">
        <v>18267</v>
      </c>
      <c r="E80" s="68"/>
      <c r="F80" s="70"/>
      <c r="G80" s="67"/>
      <c r="H80" s="68"/>
      <c r="I80" s="76"/>
      <c r="J80" s="83" t="s">
        <v>5895</v>
      </c>
      <c r="K80" s="64" t="s">
        <v>1</v>
      </c>
      <c r="L80" s="65">
        <v>1</v>
      </c>
      <c r="M80" s="99"/>
      <c r="N80" s="70"/>
      <c r="O80" s="66"/>
      <c r="P80" s="57"/>
      <c r="Q80" s="58"/>
      <c r="R80" s="77"/>
      <c r="S80" s="67"/>
      <c r="T80" s="68"/>
      <c r="U80" s="76"/>
      <c r="V80" s="70"/>
      <c r="W80" s="228">
        <f>ROUND((ROUND((ROUND((_15_同援日３．５*_15・通訳),0)*_15・２人),0)*(1+_15・A深夜)),0)</f>
        <v>911</v>
      </c>
      <c r="X80" s="69"/>
    </row>
    <row r="81" spans="1:24" ht="16.5" customHeight="1" x14ac:dyDescent="0.3">
      <c r="A81" s="2">
        <v>15</v>
      </c>
      <c r="B81" s="2" t="s">
        <v>3633</v>
      </c>
      <c r="C81" s="60" t="s">
        <v>14058</v>
      </c>
      <c r="D81" s="1" t="s">
        <v>8450</v>
      </c>
      <c r="E81" s="68"/>
      <c r="F81" s="70"/>
      <c r="G81" s="67"/>
      <c r="H81" s="68"/>
      <c r="I81" s="76"/>
      <c r="J81" s="85"/>
      <c r="K81" s="64"/>
      <c r="L81" s="65"/>
      <c r="M81" s="99"/>
      <c r="N81" s="70"/>
      <c r="O81" s="74" t="s">
        <v>18256</v>
      </c>
      <c r="P81" s="62"/>
      <c r="Q81" s="63"/>
      <c r="R81" s="75"/>
      <c r="S81" s="67"/>
      <c r="T81" s="68"/>
      <c r="U81" s="76"/>
      <c r="V81" s="70"/>
      <c r="W81" s="228">
        <f>ROUND((ROUND((ROUND((_15_同援日３．５*_15・通訳),0)*(1+_15・A深夜)),0)*(1+_15・盲ろう)),0)</f>
        <v>1139</v>
      </c>
      <c r="X81" s="69"/>
    </row>
    <row r="82" spans="1:24" ht="16.5" customHeight="1" x14ac:dyDescent="0.3">
      <c r="A82" s="2">
        <v>15</v>
      </c>
      <c r="B82" s="2" t="s">
        <v>3634</v>
      </c>
      <c r="C82" s="60" t="s">
        <v>14057</v>
      </c>
      <c r="D82" s="1"/>
      <c r="E82" s="227">
        <v>674</v>
      </c>
      <c r="F82" s="70" t="s">
        <v>0</v>
      </c>
      <c r="G82" s="67"/>
      <c r="H82" s="68"/>
      <c r="I82" s="76"/>
      <c r="J82" s="83" t="s">
        <v>5895</v>
      </c>
      <c r="K82" s="64" t="s">
        <v>1</v>
      </c>
      <c r="L82" s="65">
        <v>1</v>
      </c>
      <c r="M82" s="99"/>
      <c r="N82" s="70"/>
      <c r="O82" s="106" t="s">
        <v>8083</v>
      </c>
      <c r="P82" s="57" t="s">
        <v>1</v>
      </c>
      <c r="Q82" s="58">
        <v>0.25</v>
      </c>
      <c r="R82" s="77" t="s">
        <v>422</v>
      </c>
      <c r="S82" s="66"/>
      <c r="T82" s="57"/>
      <c r="U82" s="58"/>
      <c r="V82" s="77"/>
      <c r="W82" s="228">
        <f>ROUND((ROUND((ROUND((ROUND((_15_同援日３．５*_15・通訳),0)*_15・２人),0)*(1+_15・A深夜)),0)*(1+_15・盲ろう)),0)</f>
        <v>1139</v>
      </c>
      <c r="X82" s="69"/>
    </row>
    <row r="83" spans="1:24" ht="16.5" customHeight="1" x14ac:dyDescent="0.3">
      <c r="A83" s="2">
        <v>15</v>
      </c>
      <c r="B83" s="2" t="s">
        <v>3635</v>
      </c>
      <c r="C83" s="60" t="s">
        <v>14056</v>
      </c>
      <c r="D83" s="1"/>
      <c r="E83" s="68"/>
      <c r="F83" s="70"/>
      <c r="G83" s="67"/>
      <c r="H83" s="68"/>
      <c r="I83" s="76"/>
      <c r="J83" s="85"/>
      <c r="K83" s="64"/>
      <c r="L83" s="65"/>
      <c r="M83" s="99"/>
      <c r="N83" s="70"/>
      <c r="O83" s="61"/>
      <c r="P83" s="62"/>
      <c r="Q83" s="63"/>
      <c r="R83" s="75"/>
      <c r="S83" s="74" t="s">
        <v>18257</v>
      </c>
      <c r="T83" s="62"/>
      <c r="U83" s="63"/>
      <c r="V83" s="75"/>
      <c r="W83" s="228">
        <f>ROUND((ROUND((ROUND((_15_同援日３．５*_15・通訳),0)*(1+_15・A深夜)),0)*(1+_15・区３)),0)</f>
        <v>1093</v>
      </c>
      <c r="X83" s="69"/>
    </row>
    <row r="84" spans="1:24" ht="16.5" customHeight="1" x14ac:dyDescent="0.3">
      <c r="A84" s="2">
        <v>15</v>
      </c>
      <c r="B84" s="2" t="s">
        <v>3636</v>
      </c>
      <c r="C84" s="60" t="s">
        <v>14055</v>
      </c>
      <c r="D84" s="1"/>
      <c r="E84" s="68"/>
      <c r="F84" s="70"/>
      <c r="G84" s="67"/>
      <c r="H84" s="68"/>
      <c r="I84" s="76"/>
      <c r="J84" s="83" t="s">
        <v>5895</v>
      </c>
      <c r="K84" s="64" t="s">
        <v>1</v>
      </c>
      <c r="L84" s="65">
        <v>1</v>
      </c>
      <c r="M84" s="99"/>
      <c r="N84" s="70"/>
      <c r="O84" s="66"/>
      <c r="P84" s="57"/>
      <c r="Q84" s="58"/>
      <c r="R84" s="77"/>
      <c r="S84" s="94" t="s">
        <v>8087</v>
      </c>
      <c r="T84" s="68"/>
      <c r="U84" s="76"/>
      <c r="V84" s="70"/>
      <c r="W84" s="228">
        <f>ROUND((ROUND((ROUND((ROUND((_15_同援日３．５*_15・通訳),0)*_15・２人),0)*(1+_15・A深夜)),0)*(1+_15・区３)),0)</f>
        <v>1093</v>
      </c>
      <c r="X84" s="69"/>
    </row>
    <row r="85" spans="1:24" ht="16.5" customHeight="1" x14ac:dyDescent="0.3">
      <c r="A85" s="2">
        <v>15</v>
      </c>
      <c r="B85" s="2" t="s">
        <v>3637</v>
      </c>
      <c r="C85" s="60" t="s">
        <v>14054</v>
      </c>
      <c r="D85" s="1"/>
      <c r="E85" s="68"/>
      <c r="F85" s="70"/>
      <c r="G85" s="67"/>
      <c r="H85" s="68"/>
      <c r="I85" s="76"/>
      <c r="J85" s="85"/>
      <c r="K85" s="64"/>
      <c r="L85" s="65"/>
      <c r="M85" s="99"/>
      <c r="N85" s="70"/>
      <c r="O85" s="74" t="s">
        <v>18256</v>
      </c>
      <c r="P85" s="62"/>
      <c r="Q85" s="63"/>
      <c r="R85" s="75"/>
      <c r="S85" s="67"/>
      <c r="T85" s="68" t="s">
        <v>1</v>
      </c>
      <c r="U85" s="76">
        <v>0.2</v>
      </c>
      <c r="V85" s="70" t="s">
        <v>422</v>
      </c>
      <c r="W85" s="228">
        <f>ROUND((ROUND((ROUND((ROUND((_15_同援日３．５*_15・通訳),0)*(1+_15・A深夜)),0)*(1+_15・盲ろう)),0)*(1+_15・区３)),0)</f>
        <v>1367</v>
      </c>
      <c r="X85" s="69"/>
    </row>
    <row r="86" spans="1:24" ht="16.5" customHeight="1" x14ac:dyDescent="0.3">
      <c r="A86" s="2">
        <v>15</v>
      </c>
      <c r="B86" s="2" t="s">
        <v>3638</v>
      </c>
      <c r="C86" s="60" t="s">
        <v>14053</v>
      </c>
      <c r="D86" s="1"/>
      <c r="E86" s="68"/>
      <c r="F86" s="70"/>
      <c r="G86" s="67"/>
      <c r="H86" s="68"/>
      <c r="I86" s="76"/>
      <c r="J86" s="83" t="s">
        <v>5895</v>
      </c>
      <c r="K86" s="64" t="s">
        <v>1</v>
      </c>
      <c r="L86" s="65">
        <v>1</v>
      </c>
      <c r="M86" s="99"/>
      <c r="N86" s="70"/>
      <c r="O86" s="106" t="s">
        <v>8083</v>
      </c>
      <c r="P86" s="57" t="s">
        <v>1</v>
      </c>
      <c r="Q86" s="58">
        <v>0.25</v>
      </c>
      <c r="R86" s="77" t="s">
        <v>422</v>
      </c>
      <c r="S86" s="66"/>
      <c r="T86" s="57"/>
      <c r="U86" s="58"/>
      <c r="V86" s="77"/>
      <c r="W86" s="228">
        <f>ROUND((ROUND((ROUND((ROUND((ROUND((_15_同援日３．５*_15・通訳),0)*_15・２人),0)*(1+_15・A深夜)),0)*(1+_15・盲ろう)),0)*(1+_15・区３)),0)</f>
        <v>1367</v>
      </c>
      <c r="X86" s="69"/>
    </row>
    <row r="87" spans="1:24" ht="16.5" customHeight="1" x14ac:dyDescent="0.3">
      <c r="A87" s="2">
        <v>15</v>
      </c>
      <c r="B87" s="2" t="s">
        <v>3639</v>
      </c>
      <c r="C87" s="60" t="s">
        <v>14052</v>
      </c>
      <c r="D87" s="1"/>
      <c r="E87" s="68"/>
      <c r="F87" s="70"/>
      <c r="G87" s="67"/>
      <c r="H87" s="68"/>
      <c r="I87" s="76"/>
      <c r="J87" s="85"/>
      <c r="K87" s="64"/>
      <c r="L87" s="65"/>
      <c r="M87" s="99"/>
      <c r="N87" s="70"/>
      <c r="O87" s="61"/>
      <c r="P87" s="62"/>
      <c r="Q87" s="63"/>
      <c r="R87" s="75"/>
      <c r="S87" s="74" t="s">
        <v>8089</v>
      </c>
      <c r="T87" s="62"/>
      <c r="U87" s="63"/>
      <c r="V87" s="75"/>
      <c r="W87" s="228">
        <f>ROUND((ROUND((ROUND((_15_同援日３．５*_15・通訳),0)*(1+_15・A深夜)),0)*(1+_15・区４)),0)</f>
        <v>1275</v>
      </c>
      <c r="X87" s="69"/>
    </row>
    <row r="88" spans="1:24" ht="16.5" customHeight="1" x14ac:dyDescent="0.3">
      <c r="A88" s="2">
        <v>15</v>
      </c>
      <c r="B88" s="2" t="s">
        <v>3640</v>
      </c>
      <c r="C88" s="60" t="s">
        <v>14051</v>
      </c>
      <c r="D88" s="1"/>
      <c r="E88" s="68"/>
      <c r="F88" s="70"/>
      <c r="G88" s="67"/>
      <c r="H88" s="68"/>
      <c r="I88" s="76"/>
      <c r="J88" s="83" t="s">
        <v>5895</v>
      </c>
      <c r="K88" s="64" t="s">
        <v>1</v>
      </c>
      <c r="L88" s="65">
        <v>1</v>
      </c>
      <c r="M88" s="99"/>
      <c r="N88" s="70"/>
      <c r="O88" s="66"/>
      <c r="P88" s="57"/>
      <c r="Q88" s="58"/>
      <c r="R88" s="77"/>
      <c r="S88" s="94" t="s">
        <v>8087</v>
      </c>
      <c r="T88" s="68"/>
      <c r="U88" s="76"/>
      <c r="V88" s="70"/>
      <c r="W88" s="228">
        <f>ROUND((ROUND((ROUND((ROUND((_15_同援日３．５*_15・通訳),0)*_15・２人),0)*(1+_15・A深夜)),0)*(1+_15・区４)),0)</f>
        <v>1275</v>
      </c>
      <c r="X88" s="69"/>
    </row>
    <row r="89" spans="1:24" ht="16.5" customHeight="1" x14ac:dyDescent="0.3">
      <c r="A89" s="2">
        <v>15</v>
      </c>
      <c r="B89" s="2" t="s">
        <v>3641</v>
      </c>
      <c r="C89" s="60" t="s">
        <v>14050</v>
      </c>
      <c r="D89" s="1"/>
      <c r="E89" s="68"/>
      <c r="F89" s="70"/>
      <c r="G89" s="67"/>
      <c r="H89" s="68"/>
      <c r="I89" s="76"/>
      <c r="J89" s="85"/>
      <c r="K89" s="64"/>
      <c r="L89" s="65"/>
      <c r="M89" s="99"/>
      <c r="N89" s="70"/>
      <c r="O89" s="74" t="s">
        <v>18256</v>
      </c>
      <c r="P89" s="62"/>
      <c r="Q89" s="63"/>
      <c r="R89" s="75"/>
      <c r="S89" s="67"/>
      <c r="T89" s="68" t="s">
        <v>1</v>
      </c>
      <c r="U89" s="76">
        <v>0.4</v>
      </c>
      <c r="V89" s="70" t="s">
        <v>422</v>
      </c>
      <c r="W89" s="228">
        <f>ROUND((ROUND((ROUND((ROUND((_15_同援日３．５*_15・通訳),0)*(1+_15・A深夜)),0)*(1+_15・盲ろう)),0)*(1+_15・区４)),0)</f>
        <v>1595</v>
      </c>
      <c r="X89" s="69"/>
    </row>
    <row r="90" spans="1:24" ht="16.5" customHeight="1" x14ac:dyDescent="0.3">
      <c r="A90" s="2">
        <v>15</v>
      </c>
      <c r="B90" s="2" t="s">
        <v>3642</v>
      </c>
      <c r="C90" s="60" t="s">
        <v>14049</v>
      </c>
      <c r="D90" s="81"/>
      <c r="E90" s="57"/>
      <c r="F90" s="77"/>
      <c r="G90" s="67"/>
      <c r="H90" s="68"/>
      <c r="I90" s="76"/>
      <c r="J90" s="83" t="s">
        <v>5895</v>
      </c>
      <c r="K90" s="64" t="s">
        <v>1</v>
      </c>
      <c r="L90" s="65">
        <v>1</v>
      </c>
      <c r="M90" s="99"/>
      <c r="N90" s="70"/>
      <c r="O90" s="106" t="s">
        <v>8083</v>
      </c>
      <c r="P90" s="57" t="s">
        <v>1</v>
      </c>
      <c r="Q90" s="58">
        <v>0.25</v>
      </c>
      <c r="R90" s="77" t="s">
        <v>422</v>
      </c>
      <c r="S90" s="66"/>
      <c r="T90" s="57"/>
      <c r="U90" s="58"/>
      <c r="V90" s="77"/>
      <c r="W90" s="228">
        <f>ROUND((ROUND((ROUND((ROUND((ROUND((_15_同援日３．５*_15・通訳),0)*_15・２人),0)*(1+_15・A深夜)),0)*(1+_15・盲ろう)),0)*(1+_15・区４)),0)</f>
        <v>1595</v>
      </c>
      <c r="X90" s="69"/>
    </row>
    <row r="91" spans="1:24" ht="16.5" customHeight="1" x14ac:dyDescent="0.3">
      <c r="A91" s="2">
        <v>15</v>
      </c>
      <c r="B91" s="2" t="s">
        <v>3643</v>
      </c>
      <c r="C91" s="60" t="s">
        <v>14048</v>
      </c>
      <c r="D91" s="233" t="s">
        <v>18266</v>
      </c>
      <c r="E91" s="62"/>
      <c r="F91" s="75"/>
      <c r="G91" s="67"/>
      <c r="H91" s="68"/>
      <c r="I91" s="76"/>
      <c r="J91" s="85"/>
      <c r="K91" s="64"/>
      <c r="L91" s="65"/>
      <c r="M91" s="99"/>
      <c r="N91" s="70"/>
      <c r="O91" s="61"/>
      <c r="P91" s="62"/>
      <c r="Q91" s="63"/>
      <c r="R91" s="75"/>
      <c r="S91" s="61"/>
      <c r="T91" s="62"/>
      <c r="U91" s="63"/>
      <c r="V91" s="75"/>
      <c r="W91" s="228">
        <f>ROUND((ROUND((_15_同援日４．０*_15・通訳),0)*(1+_15・A深夜)),0)</f>
        <v>995</v>
      </c>
      <c r="X91" s="69"/>
    </row>
    <row r="92" spans="1:24" ht="16.5" customHeight="1" x14ac:dyDescent="0.3">
      <c r="A92" s="2">
        <v>15</v>
      </c>
      <c r="B92" s="2" t="s">
        <v>3644</v>
      </c>
      <c r="C92" s="60" t="s">
        <v>14047</v>
      </c>
      <c r="D92" s="1" t="s">
        <v>18265</v>
      </c>
      <c r="E92" s="68"/>
      <c r="F92" s="70"/>
      <c r="G92" s="67"/>
      <c r="H92" s="68"/>
      <c r="I92" s="76"/>
      <c r="J92" s="83" t="s">
        <v>5895</v>
      </c>
      <c r="K92" s="64" t="s">
        <v>1</v>
      </c>
      <c r="L92" s="65">
        <v>1</v>
      </c>
      <c r="M92" s="99"/>
      <c r="N92" s="70"/>
      <c r="O92" s="66"/>
      <c r="P92" s="57"/>
      <c r="Q92" s="58"/>
      <c r="R92" s="77"/>
      <c r="S92" s="67"/>
      <c r="T92" s="68"/>
      <c r="U92" s="76"/>
      <c r="V92" s="70"/>
      <c r="W92" s="228">
        <f>ROUND((ROUND((ROUND((_15_同援日４．０*_15・通訳),0)*_15・２人),0)*(1+_15・A深夜)),0)</f>
        <v>995</v>
      </c>
      <c r="X92" s="69"/>
    </row>
    <row r="93" spans="1:24" ht="16.5" customHeight="1" x14ac:dyDescent="0.3">
      <c r="A93" s="2">
        <v>15</v>
      </c>
      <c r="B93" s="2" t="s">
        <v>3645</v>
      </c>
      <c r="C93" s="60" t="s">
        <v>14046</v>
      </c>
      <c r="D93" s="1" t="s">
        <v>8425</v>
      </c>
      <c r="E93" s="68"/>
      <c r="F93" s="70"/>
      <c r="G93" s="67"/>
      <c r="H93" s="68"/>
      <c r="I93" s="76"/>
      <c r="J93" s="85"/>
      <c r="K93" s="64"/>
      <c r="L93" s="65"/>
      <c r="M93" s="99"/>
      <c r="N93" s="70"/>
      <c r="O93" s="74" t="s">
        <v>8085</v>
      </c>
      <c r="P93" s="62"/>
      <c r="Q93" s="63"/>
      <c r="R93" s="75"/>
      <c r="S93" s="67"/>
      <c r="T93" s="68"/>
      <c r="U93" s="76"/>
      <c r="V93" s="70"/>
      <c r="W93" s="228">
        <f>ROUND((ROUND((ROUND((_15_同援日４．０*_15・通訳),0)*(1+_15・A深夜)),0)*(1+_15・盲ろう)),0)</f>
        <v>1244</v>
      </c>
      <c r="X93" s="69"/>
    </row>
    <row r="94" spans="1:24" ht="16.5" customHeight="1" x14ac:dyDescent="0.3">
      <c r="A94" s="2">
        <v>15</v>
      </c>
      <c r="B94" s="2" t="s">
        <v>3646</v>
      </c>
      <c r="C94" s="60" t="s">
        <v>14045</v>
      </c>
      <c r="D94" s="1"/>
      <c r="E94" s="227">
        <v>737</v>
      </c>
      <c r="F94" s="70" t="s">
        <v>0</v>
      </c>
      <c r="G94" s="67"/>
      <c r="H94" s="68"/>
      <c r="I94" s="76"/>
      <c r="J94" s="83" t="s">
        <v>5895</v>
      </c>
      <c r="K94" s="64" t="s">
        <v>1</v>
      </c>
      <c r="L94" s="65">
        <v>1</v>
      </c>
      <c r="M94" s="99"/>
      <c r="N94" s="70"/>
      <c r="O94" s="106" t="s">
        <v>18255</v>
      </c>
      <c r="P94" s="57" t="s">
        <v>1</v>
      </c>
      <c r="Q94" s="58">
        <v>0.25</v>
      </c>
      <c r="R94" s="77" t="s">
        <v>422</v>
      </c>
      <c r="S94" s="66"/>
      <c r="T94" s="57"/>
      <c r="U94" s="58"/>
      <c r="V94" s="77"/>
      <c r="W94" s="228">
        <f>ROUND((ROUND((ROUND((ROUND((_15_同援日４．０*_15・通訳),0)*_15・２人),0)*(1+_15・A深夜)),0)*(1+_15・盲ろう)),0)</f>
        <v>1244</v>
      </c>
      <c r="X94" s="69"/>
    </row>
    <row r="95" spans="1:24" ht="16.5" customHeight="1" x14ac:dyDescent="0.3">
      <c r="A95" s="2">
        <v>15</v>
      </c>
      <c r="B95" s="2" t="s">
        <v>3647</v>
      </c>
      <c r="C95" s="60" t="s">
        <v>14044</v>
      </c>
      <c r="D95" s="1"/>
      <c r="E95" s="68"/>
      <c r="F95" s="70"/>
      <c r="G95" s="67"/>
      <c r="H95" s="68"/>
      <c r="I95" s="76"/>
      <c r="J95" s="85"/>
      <c r="K95" s="64"/>
      <c r="L95" s="65"/>
      <c r="M95" s="99"/>
      <c r="N95" s="70"/>
      <c r="O95" s="61"/>
      <c r="P95" s="62"/>
      <c r="Q95" s="63"/>
      <c r="R95" s="75"/>
      <c r="S95" s="74" t="s">
        <v>8098</v>
      </c>
      <c r="T95" s="62"/>
      <c r="U95" s="63"/>
      <c r="V95" s="75"/>
      <c r="W95" s="228">
        <f>ROUND((ROUND((ROUND((_15_同援日４．０*_15・通訳),0)*(1+_15・A深夜)),0)*(1+_15・区３)),0)</f>
        <v>1194</v>
      </c>
      <c r="X95" s="69"/>
    </row>
    <row r="96" spans="1:24" ht="16.5" customHeight="1" x14ac:dyDescent="0.3">
      <c r="A96" s="2">
        <v>15</v>
      </c>
      <c r="B96" s="2" t="s">
        <v>3648</v>
      </c>
      <c r="C96" s="60" t="s">
        <v>14043</v>
      </c>
      <c r="D96" s="1"/>
      <c r="E96" s="68"/>
      <c r="F96" s="70"/>
      <c r="G96" s="67"/>
      <c r="H96" s="68"/>
      <c r="I96" s="76"/>
      <c r="J96" s="83" t="s">
        <v>5895</v>
      </c>
      <c r="K96" s="64" t="s">
        <v>1</v>
      </c>
      <c r="L96" s="65">
        <v>1</v>
      </c>
      <c r="M96" s="99"/>
      <c r="N96" s="70"/>
      <c r="O96" s="66"/>
      <c r="P96" s="57"/>
      <c r="Q96" s="58"/>
      <c r="R96" s="77"/>
      <c r="S96" s="94" t="s">
        <v>8087</v>
      </c>
      <c r="T96" s="68"/>
      <c r="U96" s="76"/>
      <c r="V96" s="70"/>
      <c r="W96" s="228">
        <f>ROUND((ROUND((ROUND((ROUND((_15_同援日４．０*_15・通訳),0)*_15・２人),0)*(1+_15・A深夜)),0)*(1+_15・区３)),0)</f>
        <v>1194</v>
      </c>
      <c r="X96" s="69"/>
    </row>
    <row r="97" spans="1:24" ht="16.5" customHeight="1" x14ac:dyDescent="0.3">
      <c r="A97" s="2">
        <v>15</v>
      </c>
      <c r="B97" s="2" t="s">
        <v>3649</v>
      </c>
      <c r="C97" s="60" t="s">
        <v>14042</v>
      </c>
      <c r="D97" s="1"/>
      <c r="E97" s="68"/>
      <c r="F97" s="70"/>
      <c r="G97" s="67"/>
      <c r="H97" s="68"/>
      <c r="I97" s="76"/>
      <c r="J97" s="85"/>
      <c r="K97" s="64"/>
      <c r="L97" s="65"/>
      <c r="M97" s="99"/>
      <c r="N97" s="70"/>
      <c r="O97" s="74" t="s">
        <v>18256</v>
      </c>
      <c r="P97" s="62"/>
      <c r="Q97" s="63"/>
      <c r="R97" s="75"/>
      <c r="S97" s="67"/>
      <c r="T97" s="68" t="s">
        <v>1</v>
      </c>
      <c r="U97" s="76">
        <v>0.2</v>
      </c>
      <c r="V97" s="70" t="s">
        <v>422</v>
      </c>
      <c r="W97" s="228">
        <f>ROUND((ROUND((ROUND((ROUND((_15_同援日４．０*_15・通訳),0)*(1+_15・A深夜)),0)*(1+_15・盲ろう)),0)*(1+_15・区３)),0)</f>
        <v>1493</v>
      </c>
      <c r="X97" s="69"/>
    </row>
    <row r="98" spans="1:24" ht="16.5" customHeight="1" x14ac:dyDescent="0.3">
      <c r="A98" s="2">
        <v>15</v>
      </c>
      <c r="B98" s="2" t="s">
        <v>3650</v>
      </c>
      <c r="C98" s="60" t="s">
        <v>14041</v>
      </c>
      <c r="D98" s="1"/>
      <c r="E98" s="68"/>
      <c r="F98" s="70"/>
      <c r="G98" s="67"/>
      <c r="H98" s="68"/>
      <c r="I98" s="76"/>
      <c r="J98" s="83" t="s">
        <v>5895</v>
      </c>
      <c r="K98" s="64" t="s">
        <v>1</v>
      </c>
      <c r="L98" s="65">
        <v>1</v>
      </c>
      <c r="M98" s="99"/>
      <c r="N98" s="70"/>
      <c r="O98" s="106" t="s">
        <v>8083</v>
      </c>
      <c r="P98" s="57" t="s">
        <v>1</v>
      </c>
      <c r="Q98" s="58">
        <v>0.25</v>
      </c>
      <c r="R98" s="77" t="s">
        <v>422</v>
      </c>
      <c r="S98" s="66"/>
      <c r="T98" s="57"/>
      <c r="U98" s="58"/>
      <c r="V98" s="77"/>
      <c r="W98" s="228">
        <f>ROUND((ROUND((ROUND((ROUND((ROUND((_15_同援日４．０*_15・通訳),0)*_15・２人),0)*(1+_15・A深夜)),0)*(1+_15・盲ろう)),0)*(1+_15・区３)),0)</f>
        <v>1493</v>
      </c>
      <c r="X98" s="69"/>
    </row>
    <row r="99" spans="1:24" ht="16.5" customHeight="1" x14ac:dyDescent="0.3">
      <c r="A99" s="2">
        <v>15</v>
      </c>
      <c r="B99" s="2" t="s">
        <v>3651</v>
      </c>
      <c r="C99" s="60" t="s">
        <v>14040</v>
      </c>
      <c r="D99" s="1"/>
      <c r="E99" s="68"/>
      <c r="F99" s="70"/>
      <c r="G99" s="67"/>
      <c r="H99" s="68"/>
      <c r="I99" s="76"/>
      <c r="J99" s="85"/>
      <c r="K99" s="64"/>
      <c r="L99" s="65"/>
      <c r="M99" s="99"/>
      <c r="N99" s="70"/>
      <c r="O99" s="61"/>
      <c r="P99" s="62"/>
      <c r="Q99" s="63"/>
      <c r="R99" s="75"/>
      <c r="S99" s="74" t="s">
        <v>18259</v>
      </c>
      <c r="T99" s="62"/>
      <c r="U99" s="63"/>
      <c r="V99" s="75"/>
      <c r="W99" s="228">
        <f>ROUND((ROUND((ROUND((_15_同援日４．０*_15・通訳),0)*(1+_15・A深夜)),0)*(1+_15・区４)),0)</f>
        <v>1393</v>
      </c>
      <c r="X99" s="69"/>
    </row>
    <row r="100" spans="1:24" ht="16.5" customHeight="1" x14ac:dyDescent="0.3">
      <c r="A100" s="2">
        <v>15</v>
      </c>
      <c r="B100" s="2" t="s">
        <v>3652</v>
      </c>
      <c r="C100" s="60" t="s">
        <v>14039</v>
      </c>
      <c r="D100" s="1"/>
      <c r="E100" s="68"/>
      <c r="F100" s="70"/>
      <c r="G100" s="67"/>
      <c r="H100" s="68"/>
      <c r="I100" s="76"/>
      <c r="J100" s="83" t="s">
        <v>5895</v>
      </c>
      <c r="K100" s="64" t="s">
        <v>1</v>
      </c>
      <c r="L100" s="65">
        <v>1</v>
      </c>
      <c r="M100" s="99"/>
      <c r="N100" s="70"/>
      <c r="O100" s="66"/>
      <c r="P100" s="57"/>
      <c r="Q100" s="58"/>
      <c r="R100" s="77"/>
      <c r="S100" s="94" t="s">
        <v>8087</v>
      </c>
      <c r="T100" s="68"/>
      <c r="U100" s="76"/>
      <c r="V100" s="70"/>
      <c r="W100" s="228">
        <f>ROUND((ROUND((ROUND((ROUND((_15_同援日４．０*_15・通訳),0)*_15・２人),0)*(1+_15・A深夜)),0)*(1+_15・区４)),0)</f>
        <v>1393</v>
      </c>
      <c r="X100" s="69"/>
    </row>
    <row r="101" spans="1:24" ht="16.5" customHeight="1" x14ac:dyDescent="0.3">
      <c r="A101" s="2">
        <v>15</v>
      </c>
      <c r="B101" s="2" t="s">
        <v>3653</v>
      </c>
      <c r="C101" s="60" t="s">
        <v>14038</v>
      </c>
      <c r="D101" s="1"/>
      <c r="E101" s="68"/>
      <c r="F101" s="70"/>
      <c r="G101" s="67"/>
      <c r="H101" s="68"/>
      <c r="I101" s="76"/>
      <c r="J101" s="85"/>
      <c r="K101" s="64"/>
      <c r="L101" s="65"/>
      <c r="M101" s="99"/>
      <c r="N101" s="70"/>
      <c r="O101" s="74" t="s">
        <v>18256</v>
      </c>
      <c r="P101" s="62"/>
      <c r="Q101" s="63"/>
      <c r="R101" s="75"/>
      <c r="S101" s="67"/>
      <c r="T101" s="68" t="s">
        <v>1</v>
      </c>
      <c r="U101" s="76">
        <v>0.4</v>
      </c>
      <c r="V101" s="70" t="s">
        <v>422</v>
      </c>
      <c r="W101" s="228">
        <f>ROUND((ROUND((ROUND((ROUND((_15_同援日４．０*_15・通訳),0)*(1+_15・A深夜)),0)*(1+_15・盲ろう)),0)*(1+_15・区４)),0)</f>
        <v>1742</v>
      </c>
      <c r="X101" s="69"/>
    </row>
    <row r="102" spans="1:24" ht="16.5" customHeight="1" x14ac:dyDescent="0.3">
      <c r="A102" s="2">
        <v>15</v>
      </c>
      <c r="B102" s="2" t="s">
        <v>3654</v>
      </c>
      <c r="C102" s="60" t="s">
        <v>14037</v>
      </c>
      <c r="D102" s="81"/>
      <c r="E102" s="57"/>
      <c r="F102" s="77"/>
      <c r="G102" s="67"/>
      <c r="H102" s="68"/>
      <c r="I102" s="76"/>
      <c r="J102" s="83" t="s">
        <v>5895</v>
      </c>
      <c r="K102" s="64" t="s">
        <v>1</v>
      </c>
      <c r="L102" s="65">
        <v>1</v>
      </c>
      <c r="M102" s="99"/>
      <c r="N102" s="70"/>
      <c r="O102" s="106" t="s">
        <v>8083</v>
      </c>
      <c r="P102" s="57" t="s">
        <v>1</v>
      </c>
      <c r="Q102" s="58">
        <v>0.25</v>
      </c>
      <c r="R102" s="77" t="s">
        <v>422</v>
      </c>
      <c r="S102" s="66"/>
      <c r="T102" s="57"/>
      <c r="U102" s="58"/>
      <c r="V102" s="77"/>
      <c r="W102" s="228">
        <f>ROUND((ROUND((ROUND((ROUND((ROUND((_15_同援日４．０*_15・通訳),0)*_15・２人),0)*(1+_15・A深夜)),0)*(1+_15・盲ろう)),0)*(1+_15・区４)),0)</f>
        <v>1742</v>
      </c>
      <c r="X102" s="69"/>
    </row>
    <row r="103" spans="1:24" ht="16.5" customHeight="1" x14ac:dyDescent="0.3">
      <c r="A103" s="2">
        <v>15</v>
      </c>
      <c r="B103" s="2" t="s">
        <v>3655</v>
      </c>
      <c r="C103" s="60" t="s">
        <v>14036</v>
      </c>
      <c r="D103" s="233" t="s">
        <v>16312</v>
      </c>
      <c r="E103" s="62"/>
      <c r="F103" s="75"/>
      <c r="G103" s="67"/>
      <c r="H103" s="68"/>
      <c r="I103" s="76"/>
      <c r="J103" s="85"/>
      <c r="K103" s="64"/>
      <c r="L103" s="65"/>
      <c r="M103" s="99"/>
      <c r="N103" s="70"/>
      <c r="O103" s="61"/>
      <c r="P103" s="62"/>
      <c r="Q103" s="63"/>
      <c r="R103" s="75"/>
      <c r="S103" s="61"/>
      <c r="T103" s="62"/>
      <c r="U103" s="63"/>
      <c r="V103" s="75"/>
      <c r="W103" s="228">
        <f>ROUND((ROUND((_15_同援日４．５*_15・通訳),0)*(1+_15・A深夜)),0)</f>
        <v>1080</v>
      </c>
      <c r="X103" s="69"/>
    </row>
    <row r="104" spans="1:24" ht="16.5" customHeight="1" x14ac:dyDescent="0.3">
      <c r="A104" s="2">
        <v>15</v>
      </c>
      <c r="B104" s="2" t="s">
        <v>3656</v>
      </c>
      <c r="C104" s="60" t="s">
        <v>14035</v>
      </c>
      <c r="D104" s="1" t="s">
        <v>18264</v>
      </c>
      <c r="E104" s="68"/>
      <c r="F104" s="70"/>
      <c r="G104" s="67"/>
      <c r="H104" s="68"/>
      <c r="I104" s="76"/>
      <c r="J104" s="83" t="s">
        <v>5895</v>
      </c>
      <c r="K104" s="64" t="s">
        <v>1</v>
      </c>
      <c r="L104" s="65">
        <v>1</v>
      </c>
      <c r="M104" s="99"/>
      <c r="N104" s="70"/>
      <c r="O104" s="66"/>
      <c r="P104" s="57"/>
      <c r="Q104" s="58"/>
      <c r="R104" s="77"/>
      <c r="S104" s="67"/>
      <c r="T104" s="68"/>
      <c r="U104" s="76"/>
      <c r="V104" s="70"/>
      <c r="W104" s="228">
        <f>ROUND((ROUND((ROUND((_15_同援日４．５*_15・通訳),0)*_15・２人),0)*(1+_15・A深夜)),0)</f>
        <v>1080</v>
      </c>
      <c r="X104" s="69"/>
    </row>
    <row r="105" spans="1:24" ht="16.5" customHeight="1" x14ac:dyDescent="0.3">
      <c r="A105" s="2">
        <v>15</v>
      </c>
      <c r="B105" s="2" t="s">
        <v>3657</v>
      </c>
      <c r="C105" s="60" t="s">
        <v>14034</v>
      </c>
      <c r="D105" s="1" t="s">
        <v>8621</v>
      </c>
      <c r="E105" s="68"/>
      <c r="F105" s="70"/>
      <c r="G105" s="67"/>
      <c r="H105" s="68"/>
      <c r="I105" s="76"/>
      <c r="J105" s="85"/>
      <c r="K105" s="64"/>
      <c r="L105" s="65"/>
      <c r="M105" s="99"/>
      <c r="N105" s="70"/>
      <c r="O105" s="74" t="s">
        <v>8085</v>
      </c>
      <c r="P105" s="62"/>
      <c r="Q105" s="63"/>
      <c r="R105" s="75"/>
      <c r="S105" s="67"/>
      <c r="T105" s="68"/>
      <c r="U105" s="76"/>
      <c r="V105" s="70"/>
      <c r="W105" s="228">
        <f>ROUND((ROUND((ROUND((_15_同援日４．５*_15・通訳),0)*(1+_15・A深夜)),0)*(1+_15・盲ろう)),0)</f>
        <v>1350</v>
      </c>
      <c r="X105" s="69"/>
    </row>
    <row r="106" spans="1:24" ht="16.5" customHeight="1" x14ac:dyDescent="0.3">
      <c r="A106" s="2">
        <v>15</v>
      </c>
      <c r="B106" s="2" t="s">
        <v>3658</v>
      </c>
      <c r="C106" s="60" t="s">
        <v>14033</v>
      </c>
      <c r="D106" s="1"/>
      <c r="E106" s="227">
        <v>800</v>
      </c>
      <c r="F106" s="70" t="s">
        <v>0</v>
      </c>
      <c r="G106" s="67"/>
      <c r="H106" s="68"/>
      <c r="I106" s="76"/>
      <c r="J106" s="83" t="s">
        <v>5895</v>
      </c>
      <c r="K106" s="64" t="s">
        <v>1</v>
      </c>
      <c r="L106" s="65">
        <v>1</v>
      </c>
      <c r="M106" s="99"/>
      <c r="N106" s="70"/>
      <c r="O106" s="106" t="s">
        <v>8083</v>
      </c>
      <c r="P106" s="57" t="s">
        <v>1</v>
      </c>
      <c r="Q106" s="58">
        <v>0.25</v>
      </c>
      <c r="R106" s="77" t="s">
        <v>422</v>
      </c>
      <c r="S106" s="66"/>
      <c r="T106" s="57"/>
      <c r="U106" s="58"/>
      <c r="V106" s="77"/>
      <c r="W106" s="228">
        <f>ROUND((ROUND((ROUND((ROUND((_15_同援日４．５*_15・通訳),0)*_15・２人),0)*(1+_15・A深夜)),0)*(1+_15・盲ろう)),0)</f>
        <v>1350</v>
      </c>
      <c r="X106" s="69"/>
    </row>
    <row r="107" spans="1:24" ht="16.5" customHeight="1" x14ac:dyDescent="0.3">
      <c r="A107" s="2">
        <v>15</v>
      </c>
      <c r="B107" s="2" t="s">
        <v>3659</v>
      </c>
      <c r="C107" s="60" t="s">
        <v>14032</v>
      </c>
      <c r="D107" s="1"/>
      <c r="E107" s="68"/>
      <c r="F107" s="70"/>
      <c r="G107" s="67"/>
      <c r="H107" s="68"/>
      <c r="I107" s="76"/>
      <c r="J107" s="85"/>
      <c r="K107" s="64"/>
      <c r="L107" s="65"/>
      <c r="M107" s="99"/>
      <c r="N107" s="70"/>
      <c r="O107" s="61"/>
      <c r="P107" s="62"/>
      <c r="Q107" s="63"/>
      <c r="R107" s="75"/>
      <c r="S107" s="74" t="s">
        <v>18257</v>
      </c>
      <c r="T107" s="62"/>
      <c r="U107" s="63"/>
      <c r="V107" s="75"/>
      <c r="W107" s="228">
        <f>ROUND((ROUND((ROUND((_15_同援日４．５*_15・通訳),0)*(1+_15・A深夜)),0)*(1+_15・区３)),0)</f>
        <v>1296</v>
      </c>
      <c r="X107" s="69"/>
    </row>
    <row r="108" spans="1:24" ht="16.5" customHeight="1" x14ac:dyDescent="0.3">
      <c r="A108" s="2">
        <v>15</v>
      </c>
      <c r="B108" s="2" t="s">
        <v>3660</v>
      </c>
      <c r="C108" s="60" t="s">
        <v>14031</v>
      </c>
      <c r="D108" s="1"/>
      <c r="E108" s="68"/>
      <c r="F108" s="70"/>
      <c r="G108" s="67"/>
      <c r="H108" s="68"/>
      <c r="I108" s="76"/>
      <c r="J108" s="83" t="s">
        <v>5895</v>
      </c>
      <c r="K108" s="64" t="s">
        <v>1</v>
      </c>
      <c r="L108" s="65">
        <v>1</v>
      </c>
      <c r="M108" s="99"/>
      <c r="N108" s="70"/>
      <c r="O108" s="66"/>
      <c r="P108" s="57"/>
      <c r="Q108" s="58"/>
      <c r="R108" s="77"/>
      <c r="S108" s="94" t="s">
        <v>18261</v>
      </c>
      <c r="T108" s="68"/>
      <c r="U108" s="76"/>
      <c r="V108" s="70"/>
      <c r="W108" s="228">
        <f>ROUND((ROUND((ROUND((ROUND((_15_同援日４．５*_15・通訳),0)*_15・２人),0)*(1+_15・A深夜)),0)*(1+_15・区３)),0)</f>
        <v>1296</v>
      </c>
      <c r="X108" s="69"/>
    </row>
    <row r="109" spans="1:24" ht="16.5" customHeight="1" x14ac:dyDescent="0.3">
      <c r="A109" s="2">
        <v>15</v>
      </c>
      <c r="B109" s="2" t="s">
        <v>3661</v>
      </c>
      <c r="C109" s="60" t="s">
        <v>14030</v>
      </c>
      <c r="D109" s="1"/>
      <c r="E109" s="68"/>
      <c r="F109" s="70"/>
      <c r="G109" s="67"/>
      <c r="H109" s="68"/>
      <c r="I109" s="76"/>
      <c r="J109" s="85"/>
      <c r="K109" s="64"/>
      <c r="L109" s="65"/>
      <c r="M109" s="99"/>
      <c r="N109" s="70"/>
      <c r="O109" s="74" t="s">
        <v>8085</v>
      </c>
      <c r="P109" s="62"/>
      <c r="Q109" s="63"/>
      <c r="R109" s="75"/>
      <c r="S109" s="67"/>
      <c r="T109" s="68" t="s">
        <v>1</v>
      </c>
      <c r="U109" s="76">
        <v>0.2</v>
      </c>
      <c r="V109" s="70" t="s">
        <v>422</v>
      </c>
      <c r="W109" s="228">
        <f>ROUND((ROUND((ROUND((ROUND((_15_同援日４．５*_15・通訳),0)*(1+_15・A深夜)),0)*(1+_15・盲ろう)),0)*(1+_15・区３)),0)</f>
        <v>1620</v>
      </c>
      <c r="X109" s="69"/>
    </row>
    <row r="110" spans="1:24" ht="16.5" customHeight="1" x14ac:dyDescent="0.3">
      <c r="A110" s="2">
        <v>15</v>
      </c>
      <c r="B110" s="2" t="s">
        <v>3662</v>
      </c>
      <c r="C110" s="60" t="s">
        <v>14029</v>
      </c>
      <c r="D110" s="1"/>
      <c r="E110" s="68"/>
      <c r="F110" s="70"/>
      <c r="G110" s="67"/>
      <c r="H110" s="68"/>
      <c r="I110" s="76"/>
      <c r="J110" s="83" t="s">
        <v>5895</v>
      </c>
      <c r="K110" s="64" t="s">
        <v>1</v>
      </c>
      <c r="L110" s="65">
        <v>1</v>
      </c>
      <c r="M110" s="99"/>
      <c r="N110" s="70"/>
      <c r="O110" s="106" t="s">
        <v>18255</v>
      </c>
      <c r="P110" s="57" t="s">
        <v>1</v>
      </c>
      <c r="Q110" s="58">
        <v>0.25</v>
      </c>
      <c r="R110" s="77" t="s">
        <v>422</v>
      </c>
      <c r="S110" s="66"/>
      <c r="T110" s="57"/>
      <c r="U110" s="58"/>
      <c r="V110" s="77"/>
      <c r="W110" s="228">
        <f>ROUND((ROUND((ROUND((ROUND((ROUND((_15_同援日４．５*_15・通訳),0)*_15・２人),0)*(1+_15・A深夜)),0)*(1+_15・盲ろう)),0)*(1+_15・区３)),0)</f>
        <v>1620</v>
      </c>
      <c r="X110" s="69"/>
    </row>
    <row r="111" spans="1:24" ht="16.5" customHeight="1" x14ac:dyDescent="0.3">
      <c r="A111" s="2">
        <v>15</v>
      </c>
      <c r="B111" s="2" t="s">
        <v>3663</v>
      </c>
      <c r="C111" s="60" t="s">
        <v>14028</v>
      </c>
      <c r="D111" s="1"/>
      <c r="E111" s="68"/>
      <c r="F111" s="70"/>
      <c r="G111" s="67"/>
      <c r="H111" s="68"/>
      <c r="I111" s="76"/>
      <c r="J111" s="85"/>
      <c r="K111" s="64"/>
      <c r="L111" s="65"/>
      <c r="M111" s="99"/>
      <c r="N111" s="70"/>
      <c r="O111" s="61"/>
      <c r="P111" s="62"/>
      <c r="Q111" s="63"/>
      <c r="R111" s="75"/>
      <c r="S111" s="74" t="s">
        <v>18259</v>
      </c>
      <c r="T111" s="62"/>
      <c r="U111" s="63"/>
      <c r="V111" s="75"/>
      <c r="W111" s="228">
        <f>ROUND((ROUND((ROUND((_15_同援日４．５*_15・通訳),0)*(1+_15・A深夜)),0)*(1+_15・区４)),0)</f>
        <v>1512</v>
      </c>
      <c r="X111" s="69"/>
    </row>
    <row r="112" spans="1:24" ht="16.5" customHeight="1" x14ac:dyDescent="0.3">
      <c r="A112" s="2">
        <v>15</v>
      </c>
      <c r="B112" s="2" t="s">
        <v>3664</v>
      </c>
      <c r="C112" s="60" t="s">
        <v>14027</v>
      </c>
      <c r="D112" s="1"/>
      <c r="E112" s="68"/>
      <c r="F112" s="70"/>
      <c r="G112" s="67"/>
      <c r="H112" s="68"/>
      <c r="I112" s="76"/>
      <c r="J112" s="83" t="s">
        <v>5895</v>
      </c>
      <c r="K112" s="64" t="s">
        <v>1</v>
      </c>
      <c r="L112" s="65">
        <v>1</v>
      </c>
      <c r="M112" s="99"/>
      <c r="N112" s="70"/>
      <c r="O112" s="66"/>
      <c r="P112" s="57"/>
      <c r="Q112" s="58"/>
      <c r="R112" s="77"/>
      <c r="S112" s="94" t="s">
        <v>8087</v>
      </c>
      <c r="T112" s="68"/>
      <c r="U112" s="76"/>
      <c r="V112" s="70"/>
      <c r="W112" s="228">
        <f>ROUND((ROUND((ROUND((ROUND((_15_同援日４．５*_15・通訳),0)*_15・２人),0)*(1+_15・A深夜)),0)*(1+_15・区４)),0)</f>
        <v>1512</v>
      </c>
      <c r="X112" s="69"/>
    </row>
    <row r="113" spans="1:24" ht="16.5" customHeight="1" x14ac:dyDescent="0.3">
      <c r="A113" s="2">
        <v>15</v>
      </c>
      <c r="B113" s="2" t="s">
        <v>3665</v>
      </c>
      <c r="C113" s="60" t="s">
        <v>14026</v>
      </c>
      <c r="D113" s="1"/>
      <c r="E113" s="68"/>
      <c r="F113" s="70"/>
      <c r="G113" s="67"/>
      <c r="H113" s="68"/>
      <c r="I113" s="76"/>
      <c r="J113" s="85"/>
      <c r="K113" s="64"/>
      <c r="L113" s="65"/>
      <c r="M113" s="99"/>
      <c r="N113" s="70"/>
      <c r="O113" s="74" t="s">
        <v>8085</v>
      </c>
      <c r="P113" s="62"/>
      <c r="Q113" s="63"/>
      <c r="R113" s="75"/>
      <c r="S113" s="67"/>
      <c r="T113" s="68" t="s">
        <v>1</v>
      </c>
      <c r="U113" s="76">
        <v>0.4</v>
      </c>
      <c r="V113" s="70" t="s">
        <v>422</v>
      </c>
      <c r="W113" s="228">
        <f>ROUND((ROUND((ROUND((ROUND((_15_同援日４．５*_15・通訳),0)*(1+_15・A深夜)),0)*(1+_15・盲ろう)),0)*(1+_15・区４)),0)</f>
        <v>1890</v>
      </c>
      <c r="X113" s="69"/>
    </row>
    <row r="114" spans="1:24" ht="16.5" customHeight="1" x14ac:dyDescent="0.3">
      <c r="A114" s="2">
        <v>15</v>
      </c>
      <c r="B114" s="2" t="s">
        <v>3666</v>
      </c>
      <c r="C114" s="60" t="s">
        <v>14025</v>
      </c>
      <c r="D114" s="81"/>
      <c r="E114" s="57"/>
      <c r="F114" s="77"/>
      <c r="G114" s="67"/>
      <c r="H114" s="68"/>
      <c r="I114" s="76"/>
      <c r="J114" s="83" t="s">
        <v>5895</v>
      </c>
      <c r="K114" s="64" t="s">
        <v>1</v>
      </c>
      <c r="L114" s="65">
        <v>1</v>
      </c>
      <c r="M114" s="99"/>
      <c r="N114" s="70"/>
      <c r="O114" s="106" t="s">
        <v>8083</v>
      </c>
      <c r="P114" s="57" t="s">
        <v>1</v>
      </c>
      <c r="Q114" s="58">
        <v>0.25</v>
      </c>
      <c r="R114" s="77" t="s">
        <v>422</v>
      </c>
      <c r="S114" s="66"/>
      <c r="T114" s="57"/>
      <c r="U114" s="58"/>
      <c r="V114" s="77"/>
      <c r="W114" s="228">
        <f>ROUND((ROUND((ROUND((ROUND((ROUND((_15_同援日４．５*_15・通訳),0)*_15・２人),0)*(1+_15・A深夜)),0)*(1+_15・盲ろう)),0)*(1+_15・区４)),0)</f>
        <v>1890</v>
      </c>
      <c r="X114" s="69"/>
    </row>
    <row r="115" spans="1:24" ht="16.5" customHeight="1" x14ac:dyDescent="0.3">
      <c r="A115" s="2">
        <v>15</v>
      </c>
      <c r="B115" s="2" t="s">
        <v>3667</v>
      </c>
      <c r="C115" s="60" t="s">
        <v>14024</v>
      </c>
      <c r="D115" s="233" t="s">
        <v>18263</v>
      </c>
      <c r="E115" s="62"/>
      <c r="F115" s="75"/>
      <c r="G115" s="67"/>
      <c r="H115" s="68"/>
      <c r="I115" s="76"/>
      <c r="J115" s="85"/>
      <c r="K115" s="64"/>
      <c r="L115" s="65"/>
      <c r="M115" s="99"/>
      <c r="N115" s="70"/>
      <c r="O115" s="61"/>
      <c r="P115" s="62"/>
      <c r="Q115" s="63"/>
      <c r="R115" s="75"/>
      <c r="S115" s="61"/>
      <c r="T115" s="62"/>
      <c r="U115" s="63"/>
      <c r="V115" s="75"/>
      <c r="W115" s="228">
        <f>ROUND((ROUND((_15_同援日５．０*_15・通訳),0)*(1+_15・A深夜)),0)</f>
        <v>1166</v>
      </c>
      <c r="X115" s="69"/>
    </row>
    <row r="116" spans="1:24" ht="16.5" customHeight="1" x14ac:dyDescent="0.3">
      <c r="A116" s="2">
        <v>15</v>
      </c>
      <c r="B116" s="2" t="s">
        <v>3668</v>
      </c>
      <c r="C116" s="60" t="s">
        <v>14023</v>
      </c>
      <c r="D116" s="1" t="s">
        <v>5952</v>
      </c>
      <c r="E116" s="68"/>
      <c r="F116" s="70"/>
      <c r="G116" s="67"/>
      <c r="H116" s="68"/>
      <c r="I116" s="76"/>
      <c r="J116" s="83" t="s">
        <v>5895</v>
      </c>
      <c r="K116" s="64" t="s">
        <v>1</v>
      </c>
      <c r="L116" s="65">
        <v>1</v>
      </c>
      <c r="M116" s="99"/>
      <c r="N116" s="70"/>
      <c r="O116" s="66"/>
      <c r="P116" s="57"/>
      <c r="Q116" s="58"/>
      <c r="R116" s="77"/>
      <c r="S116" s="67"/>
      <c r="T116" s="68"/>
      <c r="U116" s="76"/>
      <c r="V116" s="70"/>
      <c r="W116" s="228">
        <f>ROUND((ROUND((ROUND((_15_同援日５．０*_15・通訳),0)*_15・２人),0)*(1+_15・A深夜)),0)</f>
        <v>1166</v>
      </c>
      <c r="X116" s="69"/>
    </row>
    <row r="117" spans="1:24" ht="16.5" customHeight="1" x14ac:dyDescent="0.3">
      <c r="A117" s="2">
        <v>15</v>
      </c>
      <c r="B117" s="2" t="s">
        <v>3669</v>
      </c>
      <c r="C117" s="60" t="s">
        <v>14022</v>
      </c>
      <c r="D117" s="1" t="s">
        <v>9035</v>
      </c>
      <c r="E117" s="68"/>
      <c r="F117" s="70"/>
      <c r="G117" s="67"/>
      <c r="H117" s="68"/>
      <c r="I117" s="76"/>
      <c r="J117" s="85"/>
      <c r="K117" s="64"/>
      <c r="L117" s="65"/>
      <c r="M117" s="99"/>
      <c r="N117" s="70"/>
      <c r="O117" s="74" t="s">
        <v>8085</v>
      </c>
      <c r="P117" s="62"/>
      <c r="Q117" s="63"/>
      <c r="R117" s="75"/>
      <c r="S117" s="67"/>
      <c r="T117" s="68"/>
      <c r="U117" s="76"/>
      <c r="V117" s="70"/>
      <c r="W117" s="228">
        <f>ROUND((ROUND((ROUND((_15_同援日５．０*_15・通訳),0)*(1+_15・A深夜)),0)*(1+_15・盲ろう)),0)</f>
        <v>1458</v>
      </c>
      <c r="X117" s="69"/>
    </row>
    <row r="118" spans="1:24" ht="16.5" customHeight="1" x14ac:dyDescent="0.3">
      <c r="A118" s="2">
        <v>15</v>
      </c>
      <c r="B118" s="2" t="s">
        <v>3670</v>
      </c>
      <c r="C118" s="60" t="s">
        <v>14021</v>
      </c>
      <c r="D118" s="1"/>
      <c r="E118" s="227">
        <v>863</v>
      </c>
      <c r="F118" s="70" t="s">
        <v>0</v>
      </c>
      <c r="G118" s="67"/>
      <c r="H118" s="68"/>
      <c r="I118" s="76"/>
      <c r="J118" s="83" t="s">
        <v>5895</v>
      </c>
      <c r="K118" s="64" t="s">
        <v>1</v>
      </c>
      <c r="L118" s="65">
        <v>1</v>
      </c>
      <c r="M118" s="99"/>
      <c r="N118" s="70"/>
      <c r="O118" s="106" t="s">
        <v>18255</v>
      </c>
      <c r="P118" s="57" t="s">
        <v>1</v>
      </c>
      <c r="Q118" s="58">
        <v>0.25</v>
      </c>
      <c r="R118" s="77" t="s">
        <v>422</v>
      </c>
      <c r="S118" s="66"/>
      <c r="T118" s="57"/>
      <c r="U118" s="58"/>
      <c r="V118" s="77"/>
      <c r="W118" s="228">
        <f>ROUND((ROUND((ROUND((ROUND((_15_同援日５．０*_15・通訳),0)*_15・２人),0)*(1+_15・A深夜)),0)*(1+_15・盲ろう)),0)</f>
        <v>1458</v>
      </c>
      <c r="X118" s="69"/>
    </row>
    <row r="119" spans="1:24" ht="16.5" customHeight="1" x14ac:dyDescent="0.3">
      <c r="A119" s="2">
        <v>15</v>
      </c>
      <c r="B119" s="2" t="s">
        <v>3671</v>
      </c>
      <c r="C119" s="60" t="s">
        <v>14020</v>
      </c>
      <c r="D119" s="1"/>
      <c r="E119" s="68"/>
      <c r="F119" s="70"/>
      <c r="G119" s="67"/>
      <c r="H119" s="68"/>
      <c r="I119" s="76"/>
      <c r="J119" s="85"/>
      <c r="K119" s="64"/>
      <c r="L119" s="65"/>
      <c r="M119" s="99"/>
      <c r="N119" s="70"/>
      <c r="O119" s="61"/>
      <c r="P119" s="62"/>
      <c r="Q119" s="63"/>
      <c r="R119" s="75"/>
      <c r="S119" s="74" t="s">
        <v>8098</v>
      </c>
      <c r="T119" s="62"/>
      <c r="U119" s="63"/>
      <c r="V119" s="75"/>
      <c r="W119" s="228">
        <f>ROUND((ROUND((ROUND((_15_同援日５．０*_15・通訳),0)*(1+_15・A深夜)),0)*(1+_15・区３)),0)</f>
        <v>1399</v>
      </c>
      <c r="X119" s="69"/>
    </row>
    <row r="120" spans="1:24" ht="16.5" customHeight="1" x14ac:dyDescent="0.3">
      <c r="A120" s="2">
        <v>15</v>
      </c>
      <c r="B120" s="2" t="s">
        <v>3672</v>
      </c>
      <c r="C120" s="60" t="s">
        <v>14019</v>
      </c>
      <c r="D120" s="1"/>
      <c r="E120" s="68"/>
      <c r="F120" s="70"/>
      <c r="G120" s="67"/>
      <c r="H120" s="68"/>
      <c r="I120" s="76"/>
      <c r="J120" s="83" t="s">
        <v>5895</v>
      </c>
      <c r="K120" s="64" t="s">
        <v>1</v>
      </c>
      <c r="L120" s="65">
        <v>1</v>
      </c>
      <c r="M120" s="99"/>
      <c r="N120" s="70"/>
      <c r="O120" s="66"/>
      <c r="P120" s="57"/>
      <c r="Q120" s="58"/>
      <c r="R120" s="77"/>
      <c r="S120" s="94" t="s">
        <v>8087</v>
      </c>
      <c r="T120" s="68"/>
      <c r="U120" s="76"/>
      <c r="V120" s="70"/>
      <c r="W120" s="228">
        <f>ROUND((ROUND((ROUND((ROUND((_15_同援日５．０*_15・通訳),0)*_15・２人),0)*(1+_15・A深夜)),0)*(1+_15・区３)),0)</f>
        <v>1399</v>
      </c>
      <c r="X120" s="69"/>
    </row>
    <row r="121" spans="1:24" ht="16.5" customHeight="1" x14ac:dyDescent="0.3">
      <c r="A121" s="2">
        <v>15</v>
      </c>
      <c r="B121" s="2" t="s">
        <v>3673</v>
      </c>
      <c r="C121" s="60" t="s">
        <v>14018</v>
      </c>
      <c r="D121" s="1"/>
      <c r="E121" s="68"/>
      <c r="F121" s="70"/>
      <c r="G121" s="67"/>
      <c r="H121" s="68"/>
      <c r="I121" s="76"/>
      <c r="J121" s="85"/>
      <c r="K121" s="64"/>
      <c r="L121" s="65"/>
      <c r="M121" s="99"/>
      <c r="N121" s="70"/>
      <c r="O121" s="74" t="s">
        <v>8085</v>
      </c>
      <c r="P121" s="62"/>
      <c r="Q121" s="63"/>
      <c r="R121" s="75"/>
      <c r="S121" s="67"/>
      <c r="T121" s="68" t="s">
        <v>1</v>
      </c>
      <c r="U121" s="76">
        <v>0.2</v>
      </c>
      <c r="V121" s="70" t="s">
        <v>422</v>
      </c>
      <c r="W121" s="228">
        <f>ROUND((ROUND((ROUND((ROUND((_15_同援日５．０*_15・通訳),0)*(1+_15・A深夜)),0)*(1+_15・盲ろう)),0)*(1+_15・区３)),0)</f>
        <v>1750</v>
      </c>
      <c r="X121" s="69"/>
    </row>
    <row r="122" spans="1:24" ht="16.5" customHeight="1" x14ac:dyDescent="0.3">
      <c r="A122" s="2">
        <v>15</v>
      </c>
      <c r="B122" s="2" t="s">
        <v>3674</v>
      </c>
      <c r="C122" s="60" t="s">
        <v>14017</v>
      </c>
      <c r="D122" s="1"/>
      <c r="E122" s="68"/>
      <c r="F122" s="70"/>
      <c r="G122" s="67"/>
      <c r="H122" s="68"/>
      <c r="I122" s="76"/>
      <c r="J122" s="83" t="s">
        <v>5895</v>
      </c>
      <c r="K122" s="64" t="s">
        <v>1</v>
      </c>
      <c r="L122" s="65">
        <v>1</v>
      </c>
      <c r="M122" s="99"/>
      <c r="N122" s="70"/>
      <c r="O122" s="106" t="s">
        <v>8083</v>
      </c>
      <c r="P122" s="57" t="s">
        <v>1</v>
      </c>
      <c r="Q122" s="58">
        <v>0.25</v>
      </c>
      <c r="R122" s="77" t="s">
        <v>422</v>
      </c>
      <c r="S122" s="66"/>
      <c r="T122" s="57"/>
      <c r="U122" s="58"/>
      <c r="V122" s="77"/>
      <c r="W122" s="228">
        <f>ROUND((ROUND((ROUND((ROUND((ROUND((_15_同援日５．０*_15・通訳),0)*_15・２人),0)*(1+_15・A深夜)),0)*(1+_15・盲ろう)),0)*(1+_15・区３)),0)</f>
        <v>1750</v>
      </c>
      <c r="X122" s="69"/>
    </row>
    <row r="123" spans="1:24" ht="16.5" customHeight="1" x14ac:dyDescent="0.3">
      <c r="A123" s="2">
        <v>15</v>
      </c>
      <c r="B123" s="2" t="s">
        <v>3675</v>
      </c>
      <c r="C123" s="60" t="s">
        <v>14016</v>
      </c>
      <c r="D123" s="1"/>
      <c r="E123" s="68"/>
      <c r="F123" s="70"/>
      <c r="G123" s="67"/>
      <c r="H123" s="68"/>
      <c r="I123" s="76"/>
      <c r="J123" s="85"/>
      <c r="K123" s="64"/>
      <c r="L123" s="65"/>
      <c r="M123" s="99"/>
      <c r="N123" s="70"/>
      <c r="O123" s="61"/>
      <c r="P123" s="62"/>
      <c r="Q123" s="63"/>
      <c r="R123" s="75"/>
      <c r="S123" s="74" t="s">
        <v>18259</v>
      </c>
      <c r="T123" s="62"/>
      <c r="U123" s="63"/>
      <c r="V123" s="75"/>
      <c r="W123" s="228">
        <f>ROUND((ROUND((ROUND((_15_同援日５．０*_15・通訳),0)*(1+_15・A深夜)),0)*(1+_15・区４)),0)</f>
        <v>1632</v>
      </c>
      <c r="X123" s="69"/>
    </row>
    <row r="124" spans="1:24" ht="16.5" customHeight="1" x14ac:dyDescent="0.3">
      <c r="A124" s="2">
        <v>15</v>
      </c>
      <c r="B124" s="2" t="s">
        <v>3676</v>
      </c>
      <c r="C124" s="60" t="s">
        <v>14015</v>
      </c>
      <c r="D124" s="1"/>
      <c r="E124" s="68"/>
      <c r="F124" s="70"/>
      <c r="G124" s="67"/>
      <c r="H124" s="68"/>
      <c r="I124" s="76"/>
      <c r="J124" s="83" t="s">
        <v>5895</v>
      </c>
      <c r="K124" s="64" t="s">
        <v>1</v>
      </c>
      <c r="L124" s="65">
        <v>1</v>
      </c>
      <c r="M124" s="99"/>
      <c r="N124" s="70"/>
      <c r="O124" s="66"/>
      <c r="P124" s="57"/>
      <c r="Q124" s="58"/>
      <c r="R124" s="77"/>
      <c r="S124" s="94" t="s">
        <v>8087</v>
      </c>
      <c r="T124" s="68"/>
      <c r="U124" s="76"/>
      <c r="V124" s="70"/>
      <c r="W124" s="228">
        <f>ROUND((ROUND((ROUND((ROUND((_15_同援日５．０*_15・通訳),0)*_15・２人),0)*(1+_15・A深夜)),0)*(1+_15・区４)),0)</f>
        <v>1632</v>
      </c>
      <c r="X124" s="69"/>
    </row>
    <row r="125" spans="1:24" ht="16.5" customHeight="1" x14ac:dyDescent="0.3">
      <c r="A125" s="2">
        <v>15</v>
      </c>
      <c r="B125" s="2" t="s">
        <v>3677</v>
      </c>
      <c r="C125" s="60" t="s">
        <v>14014</v>
      </c>
      <c r="D125" s="1"/>
      <c r="E125" s="68"/>
      <c r="F125" s="70"/>
      <c r="G125" s="67"/>
      <c r="H125" s="68"/>
      <c r="I125" s="76"/>
      <c r="J125" s="85"/>
      <c r="K125" s="64"/>
      <c r="L125" s="65"/>
      <c r="M125" s="99"/>
      <c r="N125" s="70"/>
      <c r="O125" s="74" t="s">
        <v>8085</v>
      </c>
      <c r="P125" s="62"/>
      <c r="Q125" s="63"/>
      <c r="R125" s="75"/>
      <c r="S125" s="67"/>
      <c r="T125" s="68" t="s">
        <v>1</v>
      </c>
      <c r="U125" s="76">
        <v>0.4</v>
      </c>
      <c r="V125" s="70" t="s">
        <v>422</v>
      </c>
      <c r="W125" s="228">
        <f>ROUND((ROUND((ROUND((ROUND((_15_同援日５．０*_15・通訳),0)*(1+_15・A深夜)),0)*(1+_15・盲ろう)),0)*(1+_15・区４)),0)</f>
        <v>2041</v>
      </c>
      <c r="X125" s="69"/>
    </row>
    <row r="126" spans="1:24" ht="16.5" customHeight="1" x14ac:dyDescent="0.3">
      <c r="A126" s="2">
        <v>15</v>
      </c>
      <c r="B126" s="2" t="s">
        <v>3678</v>
      </c>
      <c r="C126" s="60" t="s">
        <v>14013</v>
      </c>
      <c r="D126" s="81"/>
      <c r="E126" s="57"/>
      <c r="F126" s="77"/>
      <c r="G126" s="67"/>
      <c r="H126" s="68"/>
      <c r="I126" s="76"/>
      <c r="J126" s="83" t="s">
        <v>5895</v>
      </c>
      <c r="K126" s="64" t="s">
        <v>1</v>
      </c>
      <c r="L126" s="65">
        <v>1</v>
      </c>
      <c r="M126" s="99"/>
      <c r="N126" s="70"/>
      <c r="O126" s="106" t="s">
        <v>18255</v>
      </c>
      <c r="P126" s="57" t="s">
        <v>1</v>
      </c>
      <c r="Q126" s="58">
        <v>0.25</v>
      </c>
      <c r="R126" s="77" t="s">
        <v>422</v>
      </c>
      <c r="S126" s="66"/>
      <c r="T126" s="57"/>
      <c r="U126" s="58"/>
      <c r="V126" s="77"/>
      <c r="W126" s="228">
        <f>ROUND((ROUND((ROUND((ROUND((ROUND((_15_同援日５．０*_15・通訳),0)*_15・２人),0)*(1+_15・A深夜)),0)*(1+_15・盲ろう)),0)*(1+_15・区４)),0)</f>
        <v>2041</v>
      </c>
      <c r="X126" s="69"/>
    </row>
    <row r="127" spans="1:24" ht="16.5" customHeight="1" x14ac:dyDescent="0.3">
      <c r="A127" s="2">
        <v>15</v>
      </c>
      <c r="B127" s="2" t="s">
        <v>3679</v>
      </c>
      <c r="C127" s="60" t="s">
        <v>14012</v>
      </c>
      <c r="D127" s="233" t="s">
        <v>16313</v>
      </c>
      <c r="E127" s="62"/>
      <c r="F127" s="75"/>
      <c r="G127" s="67"/>
      <c r="H127" s="68"/>
      <c r="I127" s="76"/>
      <c r="J127" s="85"/>
      <c r="K127" s="64"/>
      <c r="L127" s="65"/>
      <c r="M127" s="99"/>
      <c r="N127" s="70"/>
      <c r="O127" s="61"/>
      <c r="P127" s="62"/>
      <c r="Q127" s="63"/>
      <c r="R127" s="75"/>
      <c r="S127" s="61"/>
      <c r="T127" s="62"/>
      <c r="U127" s="63"/>
      <c r="V127" s="75"/>
      <c r="W127" s="120">
        <f>ROUND((ROUND((_15_同援日５．５*_15・通訳),0)*(1+_15・A深夜)),0)</f>
        <v>1250</v>
      </c>
      <c r="X127" s="69"/>
    </row>
    <row r="128" spans="1:24" ht="16.5" customHeight="1" x14ac:dyDescent="0.3">
      <c r="A128" s="2">
        <v>15</v>
      </c>
      <c r="B128" s="2" t="s">
        <v>3680</v>
      </c>
      <c r="C128" s="60" t="s">
        <v>14011</v>
      </c>
      <c r="D128" s="1" t="s">
        <v>18262</v>
      </c>
      <c r="E128" s="68"/>
      <c r="F128" s="70"/>
      <c r="G128" s="67"/>
      <c r="H128" s="68"/>
      <c r="I128" s="76"/>
      <c r="J128" s="83" t="s">
        <v>5895</v>
      </c>
      <c r="K128" s="64" t="s">
        <v>1</v>
      </c>
      <c r="L128" s="65">
        <v>1</v>
      </c>
      <c r="M128" s="99"/>
      <c r="N128" s="70"/>
      <c r="O128" s="66"/>
      <c r="P128" s="57"/>
      <c r="Q128" s="58"/>
      <c r="R128" s="77"/>
      <c r="S128" s="67"/>
      <c r="T128" s="68"/>
      <c r="U128" s="76"/>
      <c r="V128" s="70"/>
      <c r="W128" s="120">
        <f>ROUND((ROUND((ROUND((_15_同援日５．５*_15・通訳),0)*_15・２人),0)*(1+_15・A深夜)),0)</f>
        <v>1250</v>
      </c>
      <c r="X128" s="69"/>
    </row>
    <row r="129" spans="1:24" ht="16.5" customHeight="1" x14ac:dyDescent="0.3">
      <c r="A129" s="2">
        <v>15</v>
      </c>
      <c r="B129" s="2" t="s">
        <v>3681</v>
      </c>
      <c r="C129" s="60" t="s">
        <v>14010</v>
      </c>
      <c r="D129" s="1" t="s">
        <v>9010</v>
      </c>
      <c r="E129" s="68"/>
      <c r="F129" s="70"/>
      <c r="G129" s="67"/>
      <c r="H129" s="68"/>
      <c r="I129" s="76"/>
      <c r="J129" s="85"/>
      <c r="K129" s="64"/>
      <c r="L129" s="65"/>
      <c r="M129" s="99"/>
      <c r="N129" s="70"/>
      <c r="O129" s="74" t="s">
        <v>18256</v>
      </c>
      <c r="P129" s="62"/>
      <c r="Q129" s="63"/>
      <c r="R129" s="75"/>
      <c r="S129" s="67"/>
      <c r="T129" s="68"/>
      <c r="U129" s="76"/>
      <c r="V129" s="70"/>
      <c r="W129" s="120">
        <f>ROUND((ROUND((ROUND((_15_同援日５．５*_15・通訳),0)*(1+_15・A深夜)),0)*(1+_15・盲ろう)),0)</f>
        <v>1563</v>
      </c>
      <c r="X129" s="69"/>
    </row>
    <row r="130" spans="1:24" ht="16.5" customHeight="1" x14ac:dyDescent="0.3">
      <c r="A130" s="2">
        <v>15</v>
      </c>
      <c r="B130" s="2" t="s">
        <v>3682</v>
      </c>
      <c r="C130" s="60" t="s">
        <v>14009</v>
      </c>
      <c r="D130" s="1"/>
      <c r="E130" s="227">
        <v>926</v>
      </c>
      <c r="F130" s="70" t="s">
        <v>0</v>
      </c>
      <c r="G130" s="67"/>
      <c r="H130" s="68"/>
      <c r="I130" s="76"/>
      <c r="J130" s="83" t="s">
        <v>5895</v>
      </c>
      <c r="K130" s="64" t="s">
        <v>1</v>
      </c>
      <c r="L130" s="65">
        <v>1</v>
      </c>
      <c r="M130" s="99"/>
      <c r="N130" s="70"/>
      <c r="O130" s="106" t="s">
        <v>8083</v>
      </c>
      <c r="P130" s="57" t="s">
        <v>1</v>
      </c>
      <c r="Q130" s="58">
        <v>0.25</v>
      </c>
      <c r="R130" s="77" t="s">
        <v>422</v>
      </c>
      <c r="S130" s="66"/>
      <c r="T130" s="57"/>
      <c r="U130" s="58"/>
      <c r="V130" s="77"/>
      <c r="W130" s="120">
        <f>ROUND((ROUND((ROUND((ROUND((_15_同援日５．５*_15・通訳),0)*_15・２人),0)*(1+_15・A深夜)),0)*(1+_15・盲ろう)),0)</f>
        <v>1563</v>
      </c>
      <c r="X130" s="69"/>
    </row>
    <row r="131" spans="1:24" ht="16.5" customHeight="1" x14ac:dyDescent="0.3">
      <c r="A131" s="2">
        <v>15</v>
      </c>
      <c r="B131" s="2" t="s">
        <v>3683</v>
      </c>
      <c r="C131" s="60" t="s">
        <v>14008</v>
      </c>
      <c r="D131" s="1"/>
      <c r="E131" s="68"/>
      <c r="F131" s="70"/>
      <c r="G131" s="67"/>
      <c r="H131" s="68"/>
      <c r="I131" s="76"/>
      <c r="J131" s="85"/>
      <c r="K131" s="64"/>
      <c r="L131" s="65"/>
      <c r="M131" s="99"/>
      <c r="N131" s="70"/>
      <c r="O131" s="61"/>
      <c r="P131" s="62"/>
      <c r="Q131" s="63"/>
      <c r="R131" s="75"/>
      <c r="S131" s="74" t="s">
        <v>8098</v>
      </c>
      <c r="T131" s="62"/>
      <c r="U131" s="63"/>
      <c r="V131" s="75"/>
      <c r="W131" s="120">
        <f>ROUND((ROUND((ROUND((_15_同援日５．５*_15・通訳),0)*(1+_15・A深夜)),0)*(1+_15・区３)),0)</f>
        <v>1500</v>
      </c>
      <c r="X131" s="69"/>
    </row>
    <row r="132" spans="1:24" ht="16.5" customHeight="1" x14ac:dyDescent="0.3">
      <c r="A132" s="2">
        <v>15</v>
      </c>
      <c r="B132" s="2" t="s">
        <v>3684</v>
      </c>
      <c r="C132" s="60" t="s">
        <v>14007</v>
      </c>
      <c r="D132" s="1"/>
      <c r="E132" s="68"/>
      <c r="F132" s="70"/>
      <c r="G132" s="67"/>
      <c r="H132" s="68"/>
      <c r="I132" s="76"/>
      <c r="J132" s="83" t="s">
        <v>5895</v>
      </c>
      <c r="K132" s="64" t="s">
        <v>1</v>
      </c>
      <c r="L132" s="65">
        <v>1</v>
      </c>
      <c r="M132" s="99"/>
      <c r="N132" s="70"/>
      <c r="O132" s="66"/>
      <c r="P132" s="57"/>
      <c r="Q132" s="58"/>
      <c r="R132" s="77"/>
      <c r="S132" s="94" t="s">
        <v>8087</v>
      </c>
      <c r="T132" s="68"/>
      <c r="U132" s="76"/>
      <c r="V132" s="70"/>
      <c r="W132" s="120">
        <f>ROUND((ROUND((ROUND((ROUND((_15_同援日５．５*_15・通訳),0)*_15・２人),0)*(1+_15・A深夜)),0)*(1+_15・区３)),0)</f>
        <v>1500</v>
      </c>
      <c r="X132" s="69"/>
    </row>
    <row r="133" spans="1:24" ht="16.5" customHeight="1" x14ac:dyDescent="0.3">
      <c r="A133" s="2">
        <v>15</v>
      </c>
      <c r="B133" s="2" t="s">
        <v>3685</v>
      </c>
      <c r="C133" s="60" t="s">
        <v>14006</v>
      </c>
      <c r="D133" s="1"/>
      <c r="E133" s="68"/>
      <c r="F133" s="70"/>
      <c r="G133" s="67"/>
      <c r="H133" s="68"/>
      <c r="I133" s="76"/>
      <c r="J133" s="85"/>
      <c r="K133" s="64"/>
      <c r="L133" s="65"/>
      <c r="M133" s="99"/>
      <c r="N133" s="70"/>
      <c r="O133" s="74" t="s">
        <v>18256</v>
      </c>
      <c r="P133" s="62"/>
      <c r="Q133" s="63"/>
      <c r="R133" s="75"/>
      <c r="S133" s="67"/>
      <c r="T133" s="68" t="s">
        <v>1</v>
      </c>
      <c r="U133" s="76">
        <v>0.2</v>
      </c>
      <c r="V133" s="70" t="s">
        <v>422</v>
      </c>
      <c r="W133" s="120">
        <f>ROUND((ROUND((ROUND((ROUND((_15_同援日５．５*_15・通訳),0)*(1+_15・A深夜)),0)*(1+_15・盲ろう)),0)*(1+_15・区３)),0)</f>
        <v>1876</v>
      </c>
      <c r="X133" s="69"/>
    </row>
    <row r="134" spans="1:24" ht="16.5" customHeight="1" x14ac:dyDescent="0.3">
      <c r="A134" s="2">
        <v>15</v>
      </c>
      <c r="B134" s="2" t="s">
        <v>3686</v>
      </c>
      <c r="C134" s="60" t="s">
        <v>14005</v>
      </c>
      <c r="D134" s="1"/>
      <c r="E134" s="68"/>
      <c r="F134" s="70"/>
      <c r="G134" s="67"/>
      <c r="H134" s="68"/>
      <c r="I134" s="76"/>
      <c r="J134" s="83" t="s">
        <v>5895</v>
      </c>
      <c r="K134" s="64" t="s">
        <v>1</v>
      </c>
      <c r="L134" s="65">
        <v>1</v>
      </c>
      <c r="M134" s="99"/>
      <c r="N134" s="70"/>
      <c r="O134" s="106" t="s">
        <v>18255</v>
      </c>
      <c r="P134" s="57" t="s">
        <v>1</v>
      </c>
      <c r="Q134" s="58">
        <v>0.25</v>
      </c>
      <c r="R134" s="77" t="s">
        <v>422</v>
      </c>
      <c r="S134" s="66"/>
      <c r="T134" s="57"/>
      <c r="U134" s="58"/>
      <c r="V134" s="77"/>
      <c r="W134" s="120">
        <f>ROUND((ROUND((ROUND((ROUND((ROUND((_15_同援日５．５*_15・通訳),0)*_15・２人),0)*(1+_15・A深夜)),0)*(1+_15・盲ろう)),0)*(1+_15・区３)),0)</f>
        <v>1876</v>
      </c>
      <c r="X134" s="69"/>
    </row>
    <row r="135" spans="1:24" ht="16.5" customHeight="1" x14ac:dyDescent="0.3">
      <c r="A135" s="2">
        <v>15</v>
      </c>
      <c r="B135" s="2" t="s">
        <v>3687</v>
      </c>
      <c r="C135" s="60" t="s">
        <v>14004</v>
      </c>
      <c r="D135" s="1"/>
      <c r="E135" s="68"/>
      <c r="F135" s="70"/>
      <c r="G135" s="67"/>
      <c r="H135" s="68"/>
      <c r="I135" s="76"/>
      <c r="J135" s="85"/>
      <c r="K135" s="64"/>
      <c r="L135" s="65"/>
      <c r="M135" s="99"/>
      <c r="N135" s="70"/>
      <c r="O135" s="61"/>
      <c r="P135" s="62"/>
      <c r="Q135" s="63"/>
      <c r="R135" s="75"/>
      <c r="S135" s="74" t="s">
        <v>18259</v>
      </c>
      <c r="T135" s="62"/>
      <c r="U135" s="63"/>
      <c r="V135" s="75"/>
      <c r="W135" s="120">
        <f>ROUND((ROUND((ROUND((_15_同援日５．５*_15・通訳),0)*(1+_15・A深夜)),0)*(1+_15・区４)),0)</f>
        <v>1750</v>
      </c>
      <c r="X135" s="69"/>
    </row>
    <row r="136" spans="1:24" ht="16.5" customHeight="1" x14ac:dyDescent="0.3">
      <c r="A136" s="2">
        <v>15</v>
      </c>
      <c r="B136" s="2" t="s">
        <v>3688</v>
      </c>
      <c r="C136" s="60" t="s">
        <v>14003</v>
      </c>
      <c r="D136" s="1"/>
      <c r="E136" s="68"/>
      <c r="F136" s="70"/>
      <c r="G136" s="67"/>
      <c r="H136" s="68"/>
      <c r="I136" s="76"/>
      <c r="J136" s="83" t="s">
        <v>5895</v>
      </c>
      <c r="K136" s="64" t="s">
        <v>1</v>
      </c>
      <c r="L136" s="65">
        <v>1</v>
      </c>
      <c r="M136" s="99"/>
      <c r="N136" s="70"/>
      <c r="O136" s="66"/>
      <c r="P136" s="57"/>
      <c r="Q136" s="58"/>
      <c r="R136" s="77"/>
      <c r="S136" s="94" t="s">
        <v>18261</v>
      </c>
      <c r="T136" s="68"/>
      <c r="U136" s="76"/>
      <c r="V136" s="70"/>
      <c r="W136" s="120">
        <f>ROUND((ROUND((ROUND((ROUND((_15_同援日５．５*_15・通訳),0)*_15・２人),0)*(1+_15・A深夜)),0)*(1+_15・区４)),0)</f>
        <v>1750</v>
      </c>
      <c r="X136" s="69"/>
    </row>
    <row r="137" spans="1:24" ht="16.5" customHeight="1" x14ac:dyDescent="0.3">
      <c r="A137" s="2">
        <v>15</v>
      </c>
      <c r="B137" s="2" t="s">
        <v>3689</v>
      </c>
      <c r="C137" s="60" t="s">
        <v>14002</v>
      </c>
      <c r="D137" s="1"/>
      <c r="E137" s="68"/>
      <c r="F137" s="70"/>
      <c r="G137" s="67"/>
      <c r="H137" s="68"/>
      <c r="I137" s="76"/>
      <c r="J137" s="85"/>
      <c r="K137" s="64"/>
      <c r="L137" s="65"/>
      <c r="M137" s="99"/>
      <c r="N137" s="70"/>
      <c r="O137" s="74" t="s">
        <v>18256</v>
      </c>
      <c r="P137" s="62"/>
      <c r="Q137" s="63"/>
      <c r="R137" s="75"/>
      <c r="S137" s="67"/>
      <c r="T137" s="68" t="s">
        <v>1</v>
      </c>
      <c r="U137" s="76">
        <v>0.4</v>
      </c>
      <c r="V137" s="70" t="s">
        <v>422</v>
      </c>
      <c r="W137" s="120">
        <f>ROUND((ROUND((ROUND((ROUND((_15_同援日５．５*_15・通訳),0)*(1+_15・A深夜)),0)*(1+_15・盲ろう)),0)*(1+_15・区４)),0)</f>
        <v>2188</v>
      </c>
      <c r="X137" s="69"/>
    </row>
    <row r="138" spans="1:24" ht="16.5" customHeight="1" x14ac:dyDescent="0.3">
      <c r="A138" s="2">
        <v>15</v>
      </c>
      <c r="B138" s="2" t="s">
        <v>3690</v>
      </c>
      <c r="C138" s="60" t="s">
        <v>14001</v>
      </c>
      <c r="D138" s="81"/>
      <c r="E138" s="57"/>
      <c r="F138" s="77"/>
      <c r="G138" s="67"/>
      <c r="H138" s="68"/>
      <c r="I138" s="76"/>
      <c r="J138" s="83" t="s">
        <v>5895</v>
      </c>
      <c r="K138" s="64" t="s">
        <v>1</v>
      </c>
      <c r="L138" s="65">
        <v>1</v>
      </c>
      <c r="M138" s="99"/>
      <c r="N138" s="70"/>
      <c r="O138" s="106" t="s">
        <v>18255</v>
      </c>
      <c r="P138" s="57" t="s">
        <v>1</v>
      </c>
      <c r="Q138" s="58">
        <v>0.25</v>
      </c>
      <c r="R138" s="77" t="s">
        <v>422</v>
      </c>
      <c r="S138" s="66"/>
      <c r="T138" s="57"/>
      <c r="U138" s="58"/>
      <c r="V138" s="77"/>
      <c r="W138" s="120">
        <f>ROUND((ROUND((ROUND((ROUND((ROUND((_15_同援日５．５*_15・通訳),0)*_15・２人),0)*(1+_15・A深夜)),0)*(1+_15・盲ろう)),0)*(1+_15・区４)),0)</f>
        <v>2188</v>
      </c>
      <c r="X138" s="69"/>
    </row>
    <row r="139" spans="1:24" ht="16.5" customHeight="1" x14ac:dyDescent="0.3">
      <c r="A139" s="2">
        <v>15</v>
      </c>
      <c r="B139" s="2" t="s">
        <v>3691</v>
      </c>
      <c r="C139" s="60" t="s">
        <v>14000</v>
      </c>
      <c r="D139" s="233" t="s">
        <v>18260</v>
      </c>
      <c r="E139" s="62"/>
      <c r="F139" s="75"/>
      <c r="G139" s="67"/>
      <c r="H139" s="68"/>
      <c r="I139" s="76"/>
      <c r="J139" s="85"/>
      <c r="K139" s="64"/>
      <c r="L139" s="65"/>
      <c r="M139" s="99"/>
      <c r="N139" s="70"/>
      <c r="O139" s="61"/>
      <c r="P139" s="62"/>
      <c r="Q139" s="63"/>
      <c r="R139" s="75"/>
      <c r="S139" s="61"/>
      <c r="T139" s="62"/>
      <c r="U139" s="63"/>
      <c r="V139" s="75"/>
      <c r="W139" s="228">
        <f>ROUND((ROUND((_15_同援日６．０*_15・通訳),0)*(1+_15・A深夜)),0)</f>
        <v>1335</v>
      </c>
      <c r="X139" s="69"/>
    </row>
    <row r="140" spans="1:24" ht="16.5" customHeight="1" x14ac:dyDescent="0.3">
      <c r="A140" s="2">
        <v>15</v>
      </c>
      <c r="B140" s="2" t="s">
        <v>3692</v>
      </c>
      <c r="C140" s="60" t="s">
        <v>13999</v>
      </c>
      <c r="D140" s="1" t="s">
        <v>5943</v>
      </c>
      <c r="E140" s="68"/>
      <c r="F140" s="70"/>
      <c r="G140" s="67"/>
      <c r="H140" s="68"/>
      <c r="I140" s="76"/>
      <c r="J140" s="83" t="s">
        <v>5895</v>
      </c>
      <c r="K140" s="64" t="s">
        <v>1</v>
      </c>
      <c r="L140" s="65">
        <v>1</v>
      </c>
      <c r="M140" s="99"/>
      <c r="N140" s="70"/>
      <c r="O140" s="66"/>
      <c r="P140" s="57"/>
      <c r="Q140" s="58"/>
      <c r="R140" s="77"/>
      <c r="S140" s="67"/>
      <c r="T140" s="68"/>
      <c r="U140" s="76"/>
      <c r="V140" s="70"/>
      <c r="W140" s="228">
        <f>ROUND((ROUND((ROUND((_15_同援日６．０*_15・通訳),0)*_15・２人),0)*(1+_15・A深夜)),0)</f>
        <v>1335</v>
      </c>
      <c r="X140" s="69"/>
    </row>
    <row r="141" spans="1:24" ht="16.5" customHeight="1" x14ac:dyDescent="0.3">
      <c r="A141" s="2">
        <v>15</v>
      </c>
      <c r="B141" s="2" t="s">
        <v>3693</v>
      </c>
      <c r="C141" s="60" t="s">
        <v>13998</v>
      </c>
      <c r="D141" s="1" t="s">
        <v>8985</v>
      </c>
      <c r="E141" s="68"/>
      <c r="F141" s="70"/>
      <c r="G141" s="67"/>
      <c r="H141" s="68"/>
      <c r="I141" s="76"/>
      <c r="J141" s="85"/>
      <c r="K141" s="64"/>
      <c r="L141" s="65"/>
      <c r="M141" s="99"/>
      <c r="N141" s="70"/>
      <c r="O141" s="74" t="s">
        <v>8085</v>
      </c>
      <c r="P141" s="62"/>
      <c r="Q141" s="63"/>
      <c r="R141" s="75"/>
      <c r="S141" s="67"/>
      <c r="T141" s="68"/>
      <c r="U141" s="76"/>
      <c r="V141" s="70"/>
      <c r="W141" s="228">
        <f>ROUND((ROUND((ROUND((_15_同援日６．０*_15・通訳),0)*(1+_15・A深夜)),0)*(1+_15・盲ろう)),0)</f>
        <v>1669</v>
      </c>
      <c r="X141" s="69"/>
    </row>
    <row r="142" spans="1:24" ht="16.5" customHeight="1" x14ac:dyDescent="0.3">
      <c r="A142" s="2">
        <v>15</v>
      </c>
      <c r="B142" s="2" t="s">
        <v>3694</v>
      </c>
      <c r="C142" s="60" t="s">
        <v>13997</v>
      </c>
      <c r="D142" s="1"/>
      <c r="E142" s="227">
        <v>989</v>
      </c>
      <c r="F142" s="70" t="s">
        <v>0</v>
      </c>
      <c r="G142" s="67"/>
      <c r="H142" s="68"/>
      <c r="I142" s="76"/>
      <c r="J142" s="83" t="s">
        <v>5895</v>
      </c>
      <c r="K142" s="64" t="s">
        <v>1</v>
      </c>
      <c r="L142" s="65">
        <v>1</v>
      </c>
      <c r="M142" s="99"/>
      <c r="N142" s="70"/>
      <c r="O142" s="106" t="s">
        <v>18255</v>
      </c>
      <c r="P142" s="57" t="s">
        <v>1</v>
      </c>
      <c r="Q142" s="58">
        <v>0.25</v>
      </c>
      <c r="R142" s="77" t="s">
        <v>422</v>
      </c>
      <c r="S142" s="66"/>
      <c r="T142" s="57"/>
      <c r="U142" s="58"/>
      <c r="V142" s="77"/>
      <c r="W142" s="228">
        <f>ROUND((ROUND((ROUND((ROUND((_15_同援日６．０*_15・通訳),0)*_15・２人),0)*(1+_15・A深夜)),0)*(1+_15・盲ろう)),0)</f>
        <v>1669</v>
      </c>
      <c r="X142" s="69"/>
    </row>
    <row r="143" spans="1:24" ht="16.5" customHeight="1" x14ac:dyDescent="0.3">
      <c r="A143" s="2">
        <v>15</v>
      </c>
      <c r="B143" s="2" t="s">
        <v>3695</v>
      </c>
      <c r="C143" s="60" t="s">
        <v>13996</v>
      </c>
      <c r="D143" s="1"/>
      <c r="E143" s="68"/>
      <c r="F143" s="70"/>
      <c r="G143" s="67"/>
      <c r="H143" s="68"/>
      <c r="I143" s="76"/>
      <c r="J143" s="85"/>
      <c r="K143" s="64"/>
      <c r="L143" s="65"/>
      <c r="M143" s="99"/>
      <c r="N143" s="70"/>
      <c r="O143" s="61"/>
      <c r="P143" s="62"/>
      <c r="Q143" s="63"/>
      <c r="R143" s="75"/>
      <c r="S143" s="74" t="s">
        <v>8098</v>
      </c>
      <c r="T143" s="62"/>
      <c r="U143" s="63"/>
      <c r="V143" s="75"/>
      <c r="W143" s="228">
        <f>ROUND((ROUND((ROUND((_15_同援日６．０*_15・通訳),0)*(1+_15・A深夜)),0)*(1+_15・区３)),0)</f>
        <v>1602</v>
      </c>
      <c r="X143" s="69"/>
    </row>
    <row r="144" spans="1:24" ht="16.5" customHeight="1" x14ac:dyDescent="0.3">
      <c r="A144" s="2">
        <v>15</v>
      </c>
      <c r="B144" s="2" t="s">
        <v>3696</v>
      </c>
      <c r="C144" s="60" t="s">
        <v>13995</v>
      </c>
      <c r="D144" s="1"/>
      <c r="E144" s="68"/>
      <c r="F144" s="70"/>
      <c r="G144" s="67"/>
      <c r="H144" s="68"/>
      <c r="I144" s="76"/>
      <c r="J144" s="83" t="s">
        <v>5895</v>
      </c>
      <c r="K144" s="64" t="s">
        <v>1</v>
      </c>
      <c r="L144" s="65">
        <v>1</v>
      </c>
      <c r="M144" s="99"/>
      <c r="N144" s="70"/>
      <c r="O144" s="66"/>
      <c r="P144" s="57"/>
      <c r="Q144" s="58"/>
      <c r="R144" s="77"/>
      <c r="S144" s="94" t="s">
        <v>8087</v>
      </c>
      <c r="T144" s="68"/>
      <c r="U144" s="76"/>
      <c r="V144" s="70"/>
      <c r="W144" s="228">
        <f>ROUND((ROUND((ROUND((ROUND((_15_同援日６．０*_15・通訳),0)*_15・２人),0)*(1+_15・A深夜)),0)*(1+_15・区３)),0)</f>
        <v>1602</v>
      </c>
      <c r="X144" s="69"/>
    </row>
    <row r="145" spans="1:24" ht="16.5" customHeight="1" x14ac:dyDescent="0.3">
      <c r="A145" s="2">
        <v>15</v>
      </c>
      <c r="B145" s="2" t="s">
        <v>3697</v>
      </c>
      <c r="C145" s="60" t="s">
        <v>13994</v>
      </c>
      <c r="D145" s="1"/>
      <c r="E145" s="68"/>
      <c r="F145" s="70"/>
      <c r="G145" s="67"/>
      <c r="H145" s="68"/>
      <c r="I145" s="76"/>
      <c r="J145" s="85"/>
      <c r="K145" s="64"/>
      <c r="L145" s="65"/>
      <c r="M145" s="99"/>
      <c r="N145" s="70"/>
      <c r="O145" s="74" t="s">
        <v>18256</v>
      </c>
      <c r="P145" s="62"/>
      <c r="Q145" s="63"/>
      <c r="R145" s="75"/>
      <c r="S145" s="67"/>
      <c r="T145" s="68" t="s">
        <v>1</v>
      </c>
      <c r="U145" s="76">
        <v>0.2</v>
      </c>
      <c r="V145" s="70" t="s">
        <v>422</v>
      </c>
      <c r="W145" s="228">
        <f>ROUND((ROUND((ROUND((ROUND((_15_同援日６．０*_15・通訳),0)*(1+_15・A深夜)),0)*(1+_15・盲ろう)),0)*(1+_15・区３)),0)</f>
        <v>2003</v>
      </c>
      <c r="X145" s="69"/>
    </row>
    <row r="146" spans="1:24" ht="16.5" customHeight="1" x14ac:dyDescent="0.3">
      <c r="A146" s="2">
        <v>15</v>
      </c>
      <c r="B146" s="2" t="s">
        <v>3698</v>
      </c>
      <c r="C146" s="60" t="s">
        <v>13993</v>
      </c>
      <c r="D146" s="1"/>
      <c r="E146" s="68"/>
      <c r="F146" s="70"/>
      <c r="G146" s="67"/>
      <c r="H146" s="68"/>
      <c r="I146" s="76"/>
      <c r="J146" s="83" t="s">
        <v>5895</v>
      </c>
      <c r="K146" s="64" t="s">
        <v>1</v>
      </c>
      <c r="L146" s="65">
        <v>1</v>
      </c>
      <c r="M146" s="99"/>
      <c r="N146" s="70"/>
      <c r="O146" s="106" t="s">
        <v>18255</v>
      </c>
      <c r="P146" s="57" t="s">
        <v>1</v>
      </c>
      <c r="Q146" s="58">
        <v>0.25</v>
      </c>
      <c r="R146" s="77" t="s">
        <v>422</v>
      </c>
      <c r="S146" s="66"/>
      <c r="T146" s="57"/>
      <c r="U146" s="58"/>
      <c r="V146" s="77"/>
      <c r="W146" s="228">
        <f>ROUND((ROUND((ROUND((ROUND((ROUND((_15_同援日６．０*_15・通訳),0)*_15・２人),0)*(1+_15・A深夜)),0)*(1+_15・盲ろう)),0)*(1+_15・区３)),0)</f>
        <v>2003</v>
      </c>
      <c r="X146" s="69"/>
    </row>
    <row r="147" spans="1:24" ht="16.5" customHeight="1" x14ac:dyDescent="0.3">
      <c r="A147" s="2">
        <v>15</v>
      </c>
      <c r="B147" s="2" t="s">
        <v>3699</v>
      </c>
      <c r="C147" s="60" t="s">
        <v>13992</v>
      </c>
      <c r="D147" s="1"/>
      <c r="E147" s="68"/>
      <c r="F147" s="70"/>
      <c r="G147" s="67"/>
      <c r="H147" s="68"/>
      <c r="I147" s="76"/>
      <c r="J147" s="85"/>
      <c r="K147" s="64"/>
      <c r="L147" s="65"/>
      <c r="M147" s="99"/>
      <c r="N147" s="70"/>
      <c r="O147" s="61"/>
      <c r="P147" s="62"/>
      <c r="Q147" s="63"/>
      <c r="R147" s="75"/>
      <c r="S147" s="74" t="s">
        <v>18259</v>
      </c>
      <c r="T147" s="62"/>
      <c r="U147" s="63"/>
      <c r="V147" s="75"/>
      <c r="W147" s="228">
        <f>ROUND((ROUND((ROUND((_15_同援日６．０*_15・通訳),0)*(1+_15・A深夜)),0)*(1+_15・区４)),0)</f>
        <v>1869</v>
      </c>
      <c r="X147" s="69"/>
    </row>
    <row r="148" spans="1:24" ht="16.5" customHeight="1" x14ac:dyDescent="0.3">
      <c r="A148" s="2">
        <v>15</v>
      </c>
      <c r="B148" s="2" t="s">
        <v>3700</v>
      </c>
      <c r="C148" s="60" t="s">
        <v>13991</v>
      </c>
      <c r="D148" s="1"/>
      <c r="E148" s="68"/>
      <c r="F148" s="70"/>
      <c r="G148" s="67"/>
      <c r="H148" s="68"/>
      <c r="I148" s="76"/>
      <c r="J148" s="83" t="s">
        <v>5895</v>
      </c>
      <c r="K148" s="64" t="s">
        <v>1</v>
      </c>
      <c r="L148" s="65">
        <v>1</v>
      </c>
      <c r="M148" s="99"/>
      <c r="N148" s="70"/>
      <c r="O148" s="66"/>
      <c r="P148" s="57"/>
      <c r="Q148" s="58"/>
      <c r="R148" s="77"/>
      <c r="S148" s="94" t="s">
        <v>8087</v>
      </c>
      <c r="T148" s="68"/>
      <c r="U148" s="76"/>
      <c r="V148" s="70"/>
      <c r="W148" s="228">
        <f>ROUND((ROUND((ROUND((ROUND((_15_同援日６．０*_15・通訳),0)*_15・２人),0)*(1+_15・A深夜)),0)*(1+_15・区４)),0)</f>
        <v>1869</v>
      </c>
      <c r="X148" s="69"/>
    </row>
    <row r="149" spans="1:24" ht="16.5" customHeight="1" x14ac:dyDescent="0.3">
      <c r="A149" s="2">
        <v>15</v>
      </c>
      <c r="B149" s="2" t="s">
        <v>3701</v>
      </c>
      <c r="C149" s="60" t="s">
        <v>13990</v>
      </c>
      <c r="D149" s="1"/>
      <c r="E149" s="68"/>
      <c r="F149" s="70"/>
      <c r="G149" s="67"/>
      <c r="H149" s="68"/>
      <c r="I149" s="76"/>
      <c r="J149" s="85"/>
      <c r="K149" s="64"/>
      <c r="L149" s="65"/>
      <c r="M149" s="99"/>
      <c r="N149" s="70"/>
      <c r="O149" s="74" t="s">
        <v>8085</v>
      </c>
      <c r="P149" s="62"/>
      <c r="Q149" s="63"/>
      <c r="R149" s="75"/>
      <c r="S149" s="67"/>
      <c r="T149" s="68" t="s">
        <v>1</v>
      </c>
      <c r="U149" s="76">
        <v>0.4</v>
      </c>
      <c r="V149" s="70" t="s">
        <v>422</v>
      </c>
      <c r="W149" s="228">
        <f>ROUND((ROUND((ROUND((ROUND((_15_同援日６．０*_15・通訳),0)*(1+_15・A深夜)),0)*(1+_15・盲ろう)),0)*(1+_15・区４)),0)</f>
        <v>2337</v>
      </c>
      <c r="X149" s="69"/>
    </row>
    <row r="150" spans="1:24" ht="16.5" customHeight="1" x14ac:dyDescent="0.3">
      <c r="A150" s="2">
        <v>15</v>
      </c>
      <c r="B150" s="2" t="s">
        <v>3702</v>
      </c>
      <c r="C150" s="60" t="s">
        <v>13989</v>
      </c>
      <c r="D150" s="81"/>
      <c r="E150" s="57"/>
      <c r="F150" s="77"/>
      <c r="G150" s="67"/>
      <c r="H150" s="68"/>
      <c r="I150" s="76"/>
      <c r="J150" s="83" t="s">
        <v>5895</v>
      </c>
      <c r="K150" s="64" t="s">
        <v>1</v>
      </c>
      <c r="L150" s="65">
        <v>1</v>
      </c>
      <c r="M150" s="99"/>
      <c r="N150" s="70"/>
      <c r="O150" s="106" t="s">
        <v>8083</v>
      </c>
      <c r="P150" s="57" t="s">
        <v>1</v>
      </c>
      <c r="Q150" s="58">
        <v>0.25</v>
      </c>
      <c r="R150" s="77" t="s">
        <v>422</v>
      </c>
      <c r="S150" s="66"/>
      <c r="T150" s="57"/>
      <c r="U150" s="58"/>
      <c r="V150" s="77"/>
      <c r="W150" s="228">
        <f>ROUND((ROUND((ROUND((ROUND((ROUND((_15_同援日６．０*_15・通訳),0)*_15・２人),0)*(1+_15・A深夜)),0)*(1+_15・盲ろう)),0)*(1+_15・区４)),0)</f>
        <v>2337</v>
      </c>
      <c r="X150" s="69"/>
    </row>
    <row r="151" spans="1:24" ht="16.5" customHeight="1" x14ac:dyDescent="0.3">
      <c r="A151" s="2">
        <v>15</v>
      </c>
      <c r="B151" s="2" t="s">
        <v>3703</v>
      </c>
      <c r="C151" s="60" t="s">
        <v>13988</v>
      </c>
      <c r="D151" s="233" t="s">
        <v>18258</v>
      </c>
      <c r="E151" s="62"/>
      <c r="F151" s="75"/>
      <c r="G151" s="67"/>
      <c r="H151" s="68"/>
      <c r="I151" s="76"/>
      <c r="J151" s="85"/>
      <c r="K151" s="64"/>
      <c r="L151" s="65"/>
      <c r="M151" s="99"/>
      <c r="N151" s="70"/>
      <c r="O151" s="61"/>
      <c r="P151" s="62"/>
      <c r="Q151" s="63"/>
      <c r="R151" s="75"/>
      <c r="S151" s="61"/>
      <c r="T151" s="62"/>
      <c r="U151" s="63"/>
      <c r="V151" s="75"/>
      <c r="W151" s="228">
        <f>ROUND((ROUND((_15_同援日６．５*_15・通訳),0)*(1+_15・A深夜)),0)</f>
        <v>1421</v>
      </c>
      <c r="X151" s="69"/>
    </row>
    <row r="152" spans="1:24" ht="16.5" customHeight="1" x14ac:dyDescent="0.3">
      <c r="A152" s="2">
        <v>15</v>
      </c>
      <c r="B152" s="2" t="s">
        <v>3704</v>
      </c>
      <c r="C152" s="60" t="s">
        <v>13987</v>
      </c>
      <c r="D152" s="1" t="s">
        <v>5938</v>
      </c>
      <c r="E152" s="68"/>
      <c r="F152" s="70"/>
      <c r="G152" s="67"/>
      <c r="H152" s="68"/>
      <c r="I152" s="76"/>
      <c r="J152" s="83" t="s">
        <v>5895</v>
      </c>
      <c r="K152" s="64" t="s">
        <v>1</v>
      </c>
      <c r="L152" s="65">
        <v>1</v>
      </c>
      <c r="M152" s="99"/>
      <c r="N152" s="70"/>
      <c r="O152" s="66"/>
      <c r="P152" s="57"/>
      <c r="Q152" s="58"/>
      <c r="R152" s="77"/>
      <c r="S152" s="67"/>
      <c r="T152" s="68"/>
      <c r="U152" s="76"/>
      <c r="V152" s="70"/>
      <c r="W152" s="228">
        <f>ROUND((ROUND((ROUND((_15_同援日６．５*_15・通訳),0)*_15・２人),0)*(1+_15・A深夜)),0)</f>
        <v>1421</v>
      </c>
      <c r="X152" s="69"/>
    </row>
    <row r="153" spans="1:24" ht="16.5" customHeight="1" x14ac:dyDescent="0.3">
      <c r="A153" s="2">
        <v>15</v>
      </c>
      <c r="B153" s="2" t="s">
        <v>3705</v>
      </c>
      <c r="C153" s="60" t="s">
        <v>13986</v>
      </c>
      <c r="D153" s="1" t="s">
        <v>8960</v>
      </c>
      <c r="E153" s="68"/>
      <c r="F153" s="70"/>
      <c r="G153" s="67"/>
      <c r="H153" s="68"/>
      <c r="I153" s="76"/>
      <c r="J153" s="85"/>
      <c r="K153" s="64"/>
      <c r="L153" s="65"/>
      <c r="M153" s="99"/>
      <c r="N153" s="70"/>
      <c r="O153" s="74" t="s">
        <v>18256</v>
      </c>
      <c r="P153" s="62"/>
      <c r="Q153" s="63"/>
      <c r="R153" s="75"/>
      <c r="S153" s="67"/>
      <c r="T153" s="68"/>
      <c r="U153" s="76"/>
      <c r="V153" s="70"/>
      <c r="W153" s="228">
        <f>ROUND((ROUND((ROUND((_15_同援日６．５*_15・通訳),0)*(1+_15・A深夜)),0)*(1+_15・盲ろう)),0)</f>
        <v>1776</v>
      </c>
      <c r="X153" s="69"/>
    </row>
    <row r="154" spans="1:24" ht="16.5" customHeight="1" x14ac:dyDescent="0.3">
      <c r="A154" s="2">
        <v>15</v>
      </c>
      <c r="B154" s="2" t="s">
        <v>3706</v>
      </c>
      <c r="C154" s="60" t="s">
        <v>13985</v>
      </c>
      <c r="D154" s="1"/>
      <c r="E154" s="227">
        <v>1052</v>
      </c>
      <c r="F154" s="70" t="s">
        <v>0</v>
      </c>
      <c r="G154" s="67"/>
      <c r="H154" s="68"/>
      <c r="I154" s="76"/>
      <c r="J154" s="83" t="s">
        <v>5895</v>
      </c>
      <c r="K154" s="64" t="s">
        <v>1</v>
      </c>
      <c r="L154" s="65">
        <v>1</v>
      </c>
      <c r="M154" s="99"/>
      <c r="N154" s="70"/>
      <c r="O154" s="106" t="s">
        <v>8083</v>
      </c>
      <c r="P154" s="57" t="s">
        <v>1</v>
      </c>
      <c r="Q154" s="58">
        <v>0.25</v>
      </c>
      <c r="R154" s="77" t="s">
        <v>422</v>
      </c>
      <c r="S154" s="66"/>
      <c r="T154" s="57"/>
      <c r="U154" s="58"/>
      <c r="V154" s="77"/>
      <c r="W154" s="228">
        <f>ROUND((ROUND((ROUND((ROUND((_15_同援日６．５*_15・通訳),0)*_15・２人),0)*(1+_15・A深夜)),0)*(1+_15・盲ろう)),0)</f>
        <v>1776</v>
      </c>
      <c r="X154" s="69"/>
    </row>
    <row r="155" spans="1:24" ht="16.5" customHeight="1" x14ac:dyDescent="0.3">
      <c r="A155" s="2">
        <v>15</v>
      </c>
      <c r="B155" s="2" t="s">
        <v>3707</v>
      </c>
      <c r="C155" s="60" t="s">
        <v>13984</v>
      </c>
      <c r="D155" s="1"/>
      <c r="E155" s="68"/>
      <c r="F155" s="70"/>
      <c r="G155" s="67"/>
      <c r="H155" s="68"/>
      <c r="I155" s="76"/>
      <c r="J155" s="85"/>
      <c r="K155" s="64"/>
      <c r="L155" s="65"/>
      <c r="M155" s="99"/>
      <c r="N155" s="70"/>
      <c r="O155" s="61"/>
      <c r="P155" s="62"/>
      <c r="Q155" s="63"/>
      <c r="R155" s="75"/>
      <c r="S155" s="74" t="s">
        <v>18257</v>
      </c>
      <c r="T155" s="62"/>
      <c r="U155" s="63"/>
      <c r="V155" s="75"/>
      <c r="W155" s="228">
        <f>ROUND((ROUND((ROUND((_15_同援日６．５*_15・通訳),0)*(1+_15・A深夜)),0)*(1+_15・区３)),0)</f>
        <v>1705</v>
      </c>
      <c r="X155" s="69"/>
    </row>
    <row r="156" spans="1:24" ht="16.5" customHeight="1" x14ac:dyDescent="0.3">
      <c r="A156" s="2">
        <v>15</v>
      </c>
      <c r="B156" s="2" t="s">
        <v>3708</v>
      </c>
      <c r="C156" s="60" t="s">
        <v>13983</v>
      </c>
      <c r="D156" s="1"/>
      <c r="E156" s="68"/>
      <c r="F156" s="70"/>
      <c r="G156" s="67"/>
      <c r="H156" s="68"/>
      <c r="I156" s="76"/>
      <c r="J156" s="83" t="s">
        <v>5895</v>
      </c>
      <c r="K156" s="64" t="s">
        <v>1</v>
      </c>
      <c r="L156" s="65">
        <v>1</v>
      </c>
      <c r="M156" s="99"/>
      <c r="N156" s="70"/>
      <c r="O156" s="66"/>
      <c r="P156" s="57"/>
      <c r="Q156" s="58"/>
      <c r="R156" s="77"/>
      <c r="S156" s="94" t="s">
        <v>8087</v>
      </c>
      <c r="T156" s="68"/>
      <c r="U156" s="76"/>
      <c r="V156" s="70"/>
      <c r="W156" s="228">
        <f>ROUND((ROUND((ROUND((ROUND((_15_同援日６．５*_15・通訳),0)*_15・２人),0)*(1+_15・A深夜)),0)*(1+_15・区３)),0)</f>
        <v>1705</v>
      </c>
      <c r="X156" s="69"/>
    </row>
    <row r="157" spans="1:24" ht="16.5" customHeight="1" x14ac:dyDescent="0.3">
      <c r="A157" s="2">
        <v>15</v>
      </c>
      <c r="B157" s="2" t="s">
        <v>3709</v>
      </c>
      <c r="C157" s="60" t="s">
        <v>13982</v>
      </c>
      <c r="D157" s="1"/>
      <c r="E157" s="68"/>
      <c r="F157" s="70"/>
      <c r="G157" s="67"/>
      <c r="H157" s="68"/>
      <c r="I157" s="76"/>
      <c r="J157" s="85"/>
      <c r="K157" s="64"/>
      <c r="L157" s="65"/>
      <c r="M157" s="99"/>
      <c r="N157" s="70"/>
      <c r="O157" s="74" t="s">
        <v>18256</v>
      </c>
      <c r="P157" s="62"/>
      <c r="Q157" s="63"/>
      <c r="R157" s="75"/>
      <c r="S157" s="67"/>
      <c r="T157" s="68" t="s">
        <v>1</v>
      </c>
      <c r="U157" s="76">
        <v>0.2</v>
      </c>
      <c r="V157" s="70" t="s">
        <v>422</v>
      </c>
      <c r="W157" s="228">
        <f>ROUND((ROUND((ROUND((ROUND((_15_同援日６．５*_15・通訳),0)*(1+_15・A深夜)),0)*(1+_15・盲ろう)),0)*(1+_15・区３)),0)</f>
        <v>2131</v>
      </c>
      <c r="X157" s="69"/>
    </row>
    <row r="158" spans="1:24" ht="16.5" customHeight="1" x14ac:dyDescent="0.3">
      <c r="A158" s="2">
        <v>15</v>
      </c>
      <c r="B158" s="2" t="s">
        <v>3710</v>
      </c>
      <c r="C158" s="60" t="s">
        <v>13981</v>
      </c>
      <c r="D158" s="1"/>
      <c r="E158" s="68"/>
      <c r="F158" s="70"/>
      <c r="G158" s="67"/>
      <c r="H158" s="68"/>
      <c r="I158" s="76"/>
      <c r="J158" s="83" t="s">
        <v>5895</v>
      </c>
      <c r="K158" s="64" t="s">
        <v>1</v>
      </c>
      <c r="L158" s="65">
        <v>1</v>
      </c>
      <c r="M158" s="99"/>
      <c r="N158" s="70"/>
      <c r="O158" s="106" t="s">
        <v>18255</v>
      </c>
      <c r="P158" s="57" t="s">
        <v>1</v>
      </c>
      <c r="Q158" s="58">
        <v>0.25</v>
      </c>
      <c r="R158" s="77" t="s">
        <v>422</v>
      </c>
      <c r="S158" s="66"/>
      <c r="T158" s="57"/>
      <c r="U158" s="58"/>
      <c r="V158" s="77"/>
      <c r="W158" s="228">
        <f>ROUND((ROUND((ROUND((ROUND((ROUND((_15_同援日６．５*_15・通訳),0)*_15・２人),0)*(1+_15・A深夜)),0)*(1+_15・盲ろう)),0)*(1+_15・区３)),0)</f>
        <v>2131</v>
      </c>
      <c r="X158" s="69"/>
    </row>
    <row r="159" spans="1:24" ht="16.5" customHeight="1" x14ac:dyDescent="0.3">
      <c r="A159" s="2">
        <v>15</v>
      </c>
      <c r="B159" s="2" t="s">
        <v>3711</v>
      </c>
      <c r="C159" s="60" t="s">
        <v>13980</v>
      </c>
      <c r="D159" s="1"/>
      <c r="E159" s="68"/>
      <c r="F159" s="70"/>
      <c r="G159" s="67"/>
      <c r="H159" s="68"/>
      <c r="I159" s="76"/>
      <c r="J159" s="85"/>
      <c r="K159" s="64"/>
      <c r="L159" s="65"/>
      <c r="M159" s="99"/>
      <c r="N159" s="70"/>
      <c r="O159" s="61"/>
      <c r="P159" s="62"/>
      <c r="Q159" s="63"/>
      <c r="R159" s="75"/>
      <c r="S159" s="74" t="s">
        <v>8089</v>
      </c>
      <c r="T159" s="62"/>
      <c r="U159" s="63"/>
      <c r="V159" s="75"/>
      <c r="W159" s="228">
        <f>ROUND((ROUND((ROUND((_15_同援日６．５*_15・通訳),0)*(1+_15・A深夜)),0)*(1+_15・区４)),0)</f>
        <v>1989</v>
      </c>
      <c r="X159" s="69"/>
    </row>
    <row r="160" spans="1:24" ht="16.5" customHeight="1" x14ac:dyDescent="0.3">
      <c r="A160" s="2">
        <v>15</v>
      </c>
      <c r="B160" s="2" t="s">
        <v>3712</v>
      </c>
      <c r="C160" s="60" t="s">
        <v>13979</v>
      </c>
      <c r="D160" s="1"/>
      <c r="E160" s="68"/>
      <c r="F160" s="70"/>
      <c r="G160" s="67"/>
      <c r="H160" s="68"/>
      <c r="I160" s="76"/>
      <c r="J160" s="83" t="s">
        <v>5895</v>
      </c>
      <c r="K160" s="64" t="s">
        <v>1</v>
      </c>
      <c r="L160" s="65">
        <v>1</v>
      </c>
      <c r="M160" s="99"/>
      <c r="N160" s="70"/>
      <c r="O160" s="66"/>
      <c r="P160" s="57"/>
      <c r="Q160" s="58"/>
      <c r="R160" s="77"/>
      <c r="S160" s="94" t="s">
        <v>8087</v>
      </c>
      <c r="T160" s="68"/>
      <c r="U160" s="76"/>
      <c r="V160" s="70"/>
      <c r="W160" s="228">
        <f>ROUND((ROUND((ROUND((ROUND((_15_同援日６．５*_15・通訳),0)*_15・２人),0)*(1+_15・A深夜)),0)*(1+_15・区４)),0)</f>
        <v>1989</v>
      </c>
      <c r="X160" s="69"/>
    </row>
    <row r="161" spans="1:24" ht="16.5" customHeight="1" x14ac:dyDescent="0.3">
      <c r="A161" s="2">
        <v>15</v>
      </c>
      <c r="B161" s="2" t="s">
        <v>3713</v>
      </c>
      <c r="C161" s="60" t="s">
        <v>13978</v>
      </c>
      <c r="D161" s="1"/>
      <c r="E161" s="68"/>
      <c r="F161" s="70"/>
      <c r="G161" s="67"/>
      <c r="H161" s="68"/>
      <c r="I161" s="76"/>
      <c r="J161" s="85"/>
      <c r="K161" s="64"/>
      <c r="L161" s="65"/>
      <c r="M161" s="99"/>
      <c r="N161" s="70"/>
      <c r="O161" s="74" t="s">
        <v>8085</v>
      </c>
      <c r="P161" s="62"/>
      <c r="Q161" s="63"/>
      <c r="R161" s="75"/>
      <c r="S161" s="67"/>
      <c r="T161" s="68" t="s">
        <v>1</v>
      </c>
      <c r="U161" s="76">
        <v>0.4</v>
      </c>
      <c r="V161" s="70" t="s">
        <v>422</v>
      </c>
      <c r="W161" s="228">
        <f>ROUND((ROUND((ROUND((ROUND((_15_同援日６．５*_15・通訳),0)*(1+_15・A深夜)),0)*(1+_15・盲ろう)),0)*(1+_15・区４)),0)</f>
        <v>2486</v>
      </c>
      <c r="X161" s="69"/>
    </row>
    <row r="162" spans="1:24" ht="16.5" customHeight="1" x14ac:dyDescent="0.3">
      <c r="A162" s="2">
        <v>15</v>
      </c>
      <c r="B162" s="2" t="s">
        <v>3714</v>
      </c>
      <c r="C162" s="60" t="s">
        <v>13977</v>
      </c>
      <c r="D162" s="81"/>
      <c r="E162" s="57"/>
      <c r="F162" s="77"/>
      <c r="G162" s="66"/>
      <c r="H162" s="57"/>
      <c r="I162" s="58"/>
      <c r="J162" s="83" t="s">
        <v>5895</v>
      </c>
      <c r="K162" s="64" t="s">
        <v>1</v>
      </c>
      <c r="L162" s="65">
        <v>1</v>
      </c>
      <c r="M162" s="101"/>
      <c r="N162" s="77"/>
      <c r="O162" s="106" t="s">
        <v>18255</v>
      </c>
      <c r="P162" s="57" t="s">
        <v>1</v>
      </c>
      <c r="Q162" s="58">
        <v>0.25</v>
      </c>
      <c r="R162" s="77" t="s">
        <v>422</v>
      </c>
      <c r="S162" s="66"/>
      <c r="T162" s="57"/>
      <c r="U162" s="58"/>
      <c r="V162" s="77"/>
      <c r="W162" s="228">
        <f>ROUND((ROUND((ROUND((ROUND((ROUND((_15_同援日６．５*_15・通訳),0)*_15・２人),0)*(1+_15・A深夜)),0)*(1+_15・盲ろう)),0)*(1+_15・区４)),0)</f>
        <v>2486</v>
      </c>
      <c r="X162" s="71"/>
    </row>
    <row r="163" spans="1:24" ht="16.5" customHeight="1" x14ac:dyDescent="0.3"/>
    <row r="164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0000"/>
    <pageSetUpPr fitToPage="1"/>
  </sheetPr>
  <dimension ref="A1:AC18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15.62890625" style="46" customWidth="1"/>
    <col min="11" max="11" width="3.1015625" style="46" bestFit="1" customWidth="1"/>
    <col min="12" max="12" width="4.1015625" style="47" bestFit="1" customWidth="1"/>
    <col min="13" max="13" width="25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4.1015625" style="47" bestFit="1" customWidth="1"/>
    <col min="19" max="19" width="4.734375" style="46" bestFit="1" customWidth="1"/>
    <col min="20" max="20" width="21.62890625" style="46" customWidth="1"/>
    <col min="21" max="21" width="3.1015625" style="46" bestFit="1" customWidth="1"/>
    <col min="22" max="22" width="4.1015625" style="47" bestFit="1" customWidth="1"/>
    <col min="23" max="23" width="4.734375" style="46" bestFit="1" customWidth="1"/>
    <col min="24" max="24" width="8.62890625" style="46" customWidth="1"/>
    <col min="25" max="25" width="3.1015625" style="46" bestFit="1" customWidth="1"/>
    <col min="26" max="26" width="4.1015625" style="47" bestFit="1" customWidth="1"/>
    <col min="27" max="27" width="4.734375" style="46" bestFit="1" customWidth="1"/>
    <col min="28" max="28" width="6.3671875" style="84" bestFit="1" customWidth="1"/>
    <col min="29" max="29" width="7.734375" style="48" bestFit="1" customWidth="1"/>
    <col min="30" max="16384" width="9" style="49"/>
  </cols>
  <sheetData>
    <row r="1" spans="1:29" ht="16.5" customHeight="1" x14ac:dyDescent="0.3"/>
    <row r="2" spans="1:29" ht="16.5" customHeight="1" x14ac:dyDescent="0.3"/>
    <row r="3" spans="1:29" ht="16.5" customHeight="1" x14ac:dyDescent="0.3"/>
    <row r="4" spans="1:29" ht="16.5" customHeight="1" x14ac:dyDescent="0.3">
      <c r="B4" s="229" t="s">
        <v>18294</v>
      </c>
      <c r="C4" s="131"/>
      <c r="D4" s="72"/>
    </row>
    <row r="5" spans="1:29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4"/>
      <c r="S5" s="53"/>
      <c r="T5" s="53"/>
      <c r="U5" s="53"/>
      <c r="V5" s="54"/>
      <c r="W5" s="53"/>
      <c r="X5" s="53"/>
      <c r="Y5" s="53"/>
      <c r="Z5" s="54"/>
      <c r="AA5" s="53"/>
      <c r="AB5" s="55" t="s">
        <v>5869</v>
      </c>
      <c r="AC5" s="55" t="s">
        <v>5871</v>
      </c>
    </row>
    <row r="6" spans="1:29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80" t="s">
        <v>18293</v>
      </c>
      <c r="H6" s="86"/>
      <c r="I6" s="87"/>
      <c r="J6" s="57"/>
      <c r="K6" s="57"/>
      <c r="L6" s="58"/>
      <c r="M6" s="57"/>
      <c r="N6" s="57"/>
      <c r="O6" s="58"/>
      <c r="P6" s="58"/>
      <c r="Q6" s="57"/>
      <c r="R6" s="58"/>
      <c r="S6" s="57"/>
      <c r="T6" s="57"/>
      <c r="U6" s="57"/>
      <c r="V6" s="58"/>
      <c r="W6" s="57"/>
      <c r="X6" s="57"/>
      <c r="Y6" s="57"/>
      <c r="Z6" s="58"/>
      <c r="AA6" s="57"/>
      <c r="AB6" s="59" t="s">
        <v>5870</v>
      </c>
      <c r="AC6" s="59" t="s">
        <v>0</v>
      </c>
    </row>
    <row r="7" spans="1:29" ht="16.5" customHeight="1" x14ac:dyDescent="0.3">
      <c r="A7" s="2">
        <v>15</v>
      </c>
      <c r="B7" s="2" t="s">
        <v>3715</v>
      </c>
      <c r="C7" s="60" t="s">
        <v>14313</v>
      </c>
      <c r="D7" s="233" t="s">
        <v>18292</v>
      </c>
      <c r="E7" s="235"/>
      <c r="F7" s="75"/>
      <c r="G7" s="233" t="s">
        <v>18280</v>
      </c>
      <c r="H7" s="62"/>
      <c r="I7" s="75"/>
      <c r="J7" s="61"/>
      <c r="K7" s="62"/>
      <c r="L7" s="63"/>
      <c r="M7" s="83"/>
      <c r="N7" s="64"/>
      <c r="O7" s="65"/>
      <c r="P7" s="98"/>
      <c r="Q7" s="75"/>
      <c r="R7" s="98"/>
      <c r="S7" s="75"/>
      <c r="T7" s="74"/>
      <c r="U7" s="62"/>
      <c r="V7" s="63"/>
      <c r="W7" s="75"/>
      <c r="X7" s="74"/>
      <c r="Y7" s="62"/>
      <c r="Z7" s="63"/>
      <c r="AA7" s="75"/>
      <c r="AB7" s="228">
        <f>ROUND((ROUND((_15_同援日０．５*_15・通訳),0)*(1+_15・A深夜)),0)+ROUND((ROUND((_15_同援日０．５＿０．５*_15・通訳),0)*(1+_15・B早朝)),0)</f>
        <v>370</v>
      </c>
      <c r="AC7" s="52" t="s">
        <v>5863</v>
      </c>
    </row>
    <row r="8" spans="1:29" ht="16.5" customHeight="1" x14ac:dyDescent="0.3">
      <c r="A8" s="2">
        <v>15</v>
      </c>
      <c r="B8" s="2" t="s">
        <v>3716</v>
      </c>
      <c r="C8" s="60" t="s">
        <v>14312</v>
      </c>
      <c r="D8" s="1" t="s">
        <v>7928</v>
      </c>
      <c r="E8" s="68"/>
      <c r="F8" s="70"/>
      <c r="G8" s="1" t="s">
        <v>7928</v>
      </c>
      <c r="H8" s="68"/>
      <c r="I8" s="70"/>
      <c r="J8" s="67"/>
      <c r="K8" s="68"/>
      <c r="L8" s="76"/>
      <c r="M8" s="83" t="s">
        <v>5895</v>
      </c>
      <c r="N8" s="64" t="s">
        <v>1</v>
      </c>
      <c r="O8" s="65">
        <v>1</v>
      </c>
      <c r="P8" s="99"/>
      <c r="Q8" s="70"/>
      <c r="R8" s="99"/>
      <c r="S8" s="70"/>
      <c r="T8" s="81"/>
      <c r="U8" s="57"/>
      <c r="V8" s="58"/>
      <c r="W8" s="77"/>
      <c r="X8" s="1"/>
      <c r="Y8" s="68"/>
      <c r="Z8" s="76"/>
      <c r="AA8" s="70"/>
      <c r="AB8" s="228">
        <f>ROUND((ROUND((ROUND((_15_同援日０．５*_15・通訳),0)*_15・２人),0)*(1+_15・A深夜)),0)+ROUND((ROUND((ROUND((_15_同援日０．５＿０．５*_15・通訳),0)*_15・２人),0)*(1+_15・B早朝)),0)</f>
        <v>370</v>
      </c>
      <c r="AC8" s="69"/>
    </row>
    <row r="9" spans="1:29" ht="16.5" customHeight="1" x14ac:dyDescent="0.3">
      <c r="A9" s="2">
        <v>15</v>
      </c>
      <c r="B9" s="2" t="s">
        <v>3717</v>
      </c>
      <c r="C9" s="60" t="s">
        <v>14311</v>
      </c>
      <c r="D9" s="1"/>
      <c r="E9" s="68"/>
      <c r="F9" s="70"/>
      <c r="G9" s="1"/>
      <c r="H9" s="68"/>
      <c r="I9" s="70"/>
      <c r="J9" s="67"/>
      <c r="K9" s="68"/>
      <c r="L9" s="76"/>
      <c r="M9" s="83"/>
      <c r="N9" s="64"/>
      <c r="O9" s="65"/>
      <c r="P9" s="99"/>
      <c r="Q9" s="70"/>
      <c r="R9" s="99"/>
      <c r="S9" s="70"/>
      <c r="T9" s="74" t="s">
        <v>18275</v>
      </c>
      <c r="U9" s="62"/>
      <c r="V9" s="63"/>
      <c r="W9" s="75"/>
      <c r="X9" s="1"/>
      <c r="Y9" s="68"/>
      <c r="Z9" s="76"/>
      <c r="AA9" s="70"/>
      <c r="AB9" s="228">
        <f>ROUND((ROUND((ROUND((_15_同援日０．５*_15・通訳),0)*(1+_15・A深夜)),0)*(1+_15・盲ろう)),0)+ROUND((ROUND((ROUND((_15_同援日０．５＿０．５*_15・通訳),0)*(1+_15・B早朝)),0)*(1+_15・盲ろう)),0)</f>
        <v>462</v>
      </c>
      <c r="AC9" s="69"/>
    </row>
    <row r="10" spans="1:29" ht="16.5" customHeight="1" x14ac:dyDescent="0.3">
      <c r="A10" s="2">
        <v>15</v>
      </c>
      <c r="B10" s="2" t="s">
        <v>3718</v>
      </c>
      <c r="C10" s="60" t="s">
        <v>14310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67"/>
      <c r="K10" s="68"/>
      <c r="L10" s="76"/>
      <c r="M10" s="83" t="s">
        <v>5895</v>
      </c>
      <c r="N10" s="64" t="s">
        <v>1</v>
      </c>
      <c r="O10" s="65">
        <v>1</v>
      </c>
      <c r="P10" s="99"/>
      <c r="Q10" s="70"/>
      <c r="R10" s="99"/>
      <c r="S10" s="70"/>
      <c r="T10" s="81" t="s">
        <v>18274</v>
      </c>
      <c r="U10" s="57" t="s">
        <v>1</v>
      </c>
      <c r="V10" s="58">
        <v>0.25</v>
      </c>
      <c r="W10" s="77" t="s">
        <v>422</v>
      </c>
      <c r="X10" s="81"/>
      <c r="Y10" s="57"/>
      <c r="Z10" s="58"/>
      <c r="AA10" s="77"/>
      <c r="AB10" s="228">
        <f>ROUND((ROUND((ROUND((ROUND((_15_同援日０．５*_15・通訳),0)*_15・２人),0)*(1+_15・A深夜)),0)*(1+_15・盲ろう)),0)+ROUND((ROUND((ROUND((ROUND((_15_同援日０．５＿０．５*_15・通訳),0)*_15・２人),0)*(1+_15・B早朝)),0)*(1+_15・盲ろう)),0)</f>
        <v>462</v>
      </c>
      <c r="AC10" s="69"/>
    </row>
    <row r="11" spans="1:29" ht="16.5" customHeight="1" x14ac:dyDescent="0.3">
      <c r="A11" s="2">
        <v>15</v>
      </c>
      <c r="B11" s="2" t="s">
        <v>3719</v>
      </c>
      <c r="C11" s="60" t="s">
        <v>14309</v>
      </c>
      <c r="D11" s="1"/>
      <c r="E11" s="68"/>
      <c r="F11" s="70"/>
      <c r="G11" s="1"/>
      <c r="H11" s="68"/>
      <c r="I11" s="70"/>
      <c r="J11" s="67"/>
      <c r="K11" s="68"/>
      <c r="L11" s="76"/>
      <c r="M11" s="83"/>
      <c r="N11" s="64"/>
      <c r="O11" s="65"/>
      <c r="P11" s="99"/>
      <c r="Q11" s="70"/>
      <c r="R11" s="99"/>
      <c r="S11" s="70"/>
      <c r="T11" s="74"/>
      <c r="U11" s="62"/>
      <c r="V11" s="63"/>
      <c r="W11" s="75"/>
      <c r="X11" s="74" t="s">
        <v>18278</v>
      </c>
      <c r="Y11" s="62"/>
      <c r="Z11" s="63"/>
      <c r="AA11" s="75"/>
      <c r="AB11" s="228">
        <f>ROUND((ROUND((ROUND((_15_同援日０．５*_15・通訳),0)*(1+_15・A深夜)),0)*(1+_15・区３)),0)+ROUND((ROUND((ROUND((_15_同援日０．５＿０．５*_15・通訳),0)*(1+_15・B早朝)),0)*(1+_15・区３)),0)</f>
        <v>444</v>
      </c>
      <c r="AC11" s="69"/>
    </row>
    <row r="12" spans="1:29" ht="16.5" customHeight="1" x14ac:dyDescent="0.3">
      <c r="A12" s="2">
        <v>15</v>
      </c>
      <c r="B12" s="2" t="s">
        <v>3720</v>
      </c>
      <c r="C12" s="60" t="s">
        <v>14308</v>
      </c>
      <c r="D12" s="1"/>
      <c r="E12" s="68"/>
      <c r="F12" s="70"/>
      <c r="G12" s="1"/>
      <c r="H12" s="68"/>
      <c r="I12" s="70"/>
      <c r="J12" s="1" t="s">
        <v>13802</v>
      </c>
      <c r="K12" s="68"/>
      <c r="L12" s="76"/>
      <c r="M12" s="83" t="s">
        <v>5895</v>
      </c>
      <c r="N12" s="64" t="s">
        <v>1</v>
      </c>
      <c r="O12" s="65">
        <v>1</v>
      </c>
      <c r="P12" s="99" t="s">
        <v>7920</v>
      </c>
      <c r="Q12" s="70"/>
      <c r="R12" s="99" t="s">
        <v>7895</v>
      </c>
      <c r="S12" s="70"/>
      <c r="T12" s="81"/>
      <c r="U12" s="57"/>
      <c r="V12" s="58"/>
      <c r="W12" s="77"/>
      <c r="X12" s="1" t="s">
        <v>17970</v>
      </c>
      <c r="Y12" s="68"/>
      <c r="Z12" s="76"/>
      <c r="AA12" s="70"/>
      <c r="AB12" s="228">
        <f>ROUND((ROUND((ROUND((ROUND((_15_同援日０．５*_15・通訳),0)*_15・２人),0)*(1+_15・A深夜)),0)*(1+_15・区３)),0)+ROUND((ROUND((ROUND((ROUND((_15_同援日０．５＿０．５*_15・通訳),0)*_15・２人),0)*(1+_15・B早朝)),0)*(1+_15・区３)),0)</f>
        <v>444</v>
      </c>
      <c r="AC12" s="69"/>
    </row>
    <row r="13" spans="1:29" ht="16.5" customHeight="1" x14ac:dyDescent="0.3">
      <c r="A13" s="2">
        <v>15</v>
      </c>
      <c r="B13" s="2" t="s">
        <v>3721</v>
      </c>
      <c r="C13" s="60" t="s">
        <v>14307</v>
      </c>
      <c r="D13" s="1"/>
      <c r="E13" s="68"/>
      <c r="F13" s="70"/>
      <c r="G13" s="1"/>
      <c r="H13" s="68"/>
      <c r="I13" s="70"/>
      <c r="J13" s="94" t="s">
        <v>13800</v>
      </c>
      <c r="K13" s="68" t="s">
        <v>1</v>
      </c>
      <c r="L13" s="76">
        <v>0.9</v>
      </c>
      <c r="M13" s="83"/>
      <c r="N13" s="64"/>
      <c r="O13" s="65"/>
      <c r="P13" s="99"/>
      <c r="Q13" s="100" t="s">
        <v>14306</v>
      </c>
      <c r="R13" s="99"/>
      <c r="S13" s="100" t="s">
        <v>16963</v>
      </c>
      <c r="T13" s="74" t="s">
        <v>18275</v>
      </c>
      <c r="U13" s="62"/>
      <c r="V13" s="63"/>
      <c r="W13" s="75"/>
      <c r="X13" s="1"/>
      <c r="Y13" s="68" t="s">
        <v>1</v>
      </c>
      <c r="Z13" s="76">
        <v>0.2</v>
      </c>
      <c r="AA13" s="70" t="s">
        <v>422</v>
      </c>
      <c r="AB13" s="228">
        <f>ROUND((ROUND((ROUND((ROUND((_15_同援日０．５*_15・通訳),0)*(1+_15・A深夜)),0)*(1+_15・盲ろう)),0)*(1+_15・区３)),0)+ROUND((ROUND((ROUND((ROUND((_15_同援日０．５＿０．５*_15・通訳),0)*(1+_15・B早朝)),0)*(1+_15・盲ろう)),0)*(1+_15・区３)),0)</f>
        <v>554</v>
      </c>
      <c r="AC13" s="69"/>
    </row>
    <row r="14" spans="1:29" ht="16.5" customHeight="1" x14ac:dyDescent="0.3">
      <c r="A14" s="2">
        <v>15</v>
      </c>
      <c r="B14" s="2" t="s">
        <v>3722</v>
      </c>
      <c r="C14" s="60" t="s">
        <v>14305</v>
      </c>
      <c r="D14" s="1"/>
      <c r="E14" s="68"/>
      <c r="F14" s="70"/>
      <c r="G14" s="1"/>
      <c r="H14" s="68"/>
      <c r="I14" s="70"/>
      <c r="J14" s="67"/>
      <c r="K14" s="68"/>
      <c r="L14" s="76"/>
      <c r="M14" s="83" t="s">
        <v>5895</v>
      </c>
      <c r="N14" s="64" t="s">
        <v>1</v>
      </c>
      <c r="O14" s="65">
        <v>1</v>
      </c>
      <c r="P14" s="99"/>
      <c r="Q14" s="70"/>
      <c r="R14" s="99"/>
      <c r="S14" s="70"/>
      <c r="T14" s="81" t="s">
        <v>18274</v>
      </c>
      <c r="U14" s="57" t="s">
        <v>1</v>
      </c>
      <c r="V14" s="58">
        <v>0.25</v>
      </c>
      <c r="W14" s="77" t="s">
        <v>422</v>
      </c>
      <c r="X14" s="81"/>
      <c r="Y14" s="57"/>
      <c r="Z14" s="58"/>
      <c r="AA14" s="77"/>
      <c r="AB14" s="228">
        <f>ROUND((ROUND((ROUND((ROUND((ROUND((_15_同援日０．５*_15・通訳),0)*_15・２人),0)*(1+_15・A深夜)),0)*(1+_15・盲ろう)),0)*(1+_15・区３)),0)+ROUND((ROUND((ROUND((ROUND((ROUND((_15_同援日０．５＿０．５*_15・通訳),0)*_15・２人),0)*(1+_15・B早朝)),0)*(1+_15・盲ろう)),0)*(1+_15・区３)),0)</f>
        <v>554</v>
      </c>
      <c r="AC14" s="69"/>
    </row>
    <row r="15" spans="1:29" ht="16.5" customHeight="1" x14ac:dyDescent="0.3">
      <c r="A15" s="2">
        <v>15</v>
      </c>
      <c r="B15" s="2" t="s">
        <v>3723</v>
      </c>
      <c r="C15" s="60" t="s">
        <v>14304</v>
      </c>
      <c r="D15" s="1"/>
      <c r="E15" s="68"/>
      <c r="F15" s="70"/>
      <c r="G15" s="1"/>
      <c r="H15" s="68"/>
      <c r="I15" s="70"/>
      <c r="J15" s="67"/>
      <c r="K15" s="68"/>
      <c r="L15" s="76"/>
      <c r="M15" s="83"/>
      <c r="N15" s="64"/>
      <c r="O15" s="65"/>
      <c r="P15" s="67" t="s">
        <v>1</v>
      </c>
      <c r="Q15" s="93">
        <v>0.5</v>
      </c>
      <c r="R15" s="67" t="s">
        <v>1</v>
      </c>
      <c r="S15" s="93">
        <v>0.25</v>
      </c>
      <c r="T15" s="74"/>
      <c r="U15" s="62"/>
      <c r="V15" s="63"/>
      <c r="W15" s="75"/>
      <c r="X15" s="74" t="s">
        <v>18277</v>
      </c>
      <c r="Y15" s="62"/>
      <c r="Z15" s="63"/>
      <c r="AA15" s="75"/>
      <c r="AB15" s="228">
        <f>ROUND((ROUND((ROUND((_15_同援日０．５*_15・通訳),0)*(1+_15・A深夜)),0)*(1+_15・区４)),0)+ROUND((ROUND((ROUND((_15_同援日０．５＿０．５*_15・通訳),0)*(1+_15・B早朝)),0)*(1+_15・区４)),0)</f>
        <v>518</v>
      </c>
      <c r="AC15" s="69"/>
    </row>
    <row r="16" spans="1:29" ht="16.5" customHeight="1" x14ac:dyDescent="0.3">
      <c r="A16" s="2">
        <v>15</v>
      </c>
      <c r="B16" s="2" t="s">
        <v>3724</v>
      </c>
      <c r="C16" s="60" t="s">
        <v>14303</v>
      </c>
      <c r="D16" s="1"/>
      <c r="E16" s="68"/>
      <c r="F16" s="70"/>
      <c r="G16" s="1"/>
      <c r="H16" s="68"/>
      <c r="I16" s="70"/>
      <c r="J16" s="67"/>
      <c r="K16" s="68"/>
      <c r="L16" s="76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99"/>
      <c r="S16" s="100" t="s">
        <v>422</v>
      </c>
      <c r="T16" s="81"/>
      <c r="U16" s="57"/>
      <c r="V16" s="58"/>
      <c r="W16" s="77"/>
      <c r="X16" s="1" t="s">
        <v>18276</v>
      </c>
      <c r="Y16" s="68"/>
      <c r="Z16" s="76"/>
      <c r="AA16" s="70"/>
      <c r="AB16" s="228">
        <f>ROUND((ROUND((ROUND((ROUND((_15_同援日０．５*_15・通訳),0)*_15・２人),0)*(1+_15・A深夜)),0)*(1+_15・区４)),0)+ROUND((ROUND((ROUND((ROUND((_15_同援日０．５＿０．５*_15・通訳),0)*_15・２人),0)*(1+_15・B早朝)),0)*(1+_15・区４)),0)</f>
        <v>518</v>
      </c>
      <c r="AC16" s="69"/>
    </row>
    <row r="17" spans="1:29" ht="16.5" customHeight="1" x14ac:dyDescent="0.3">
      <c r="A17" s="2">
        <v>15</v>
      </c>
      <c r="B17" s="2" t="s">
        <v>3725</v>
      </c>
      <c r="C17" s="60" t="s">
        <v>14302</v>
      </c>
      <c r="D17" s="1"/>
      <c r="E17" s="68"/>
      <c r="F17" s="70"/>
      <c r="G17" s="1"/>
      <c r="H17" s="68"/>
      <c r="I17" s="70"/>
      <c r="J17" s="67"/>
      <c r="K17" s="68"/>
      <c r="L17" s="76"/>
      <c r="M17" s="83"/>
      <c r="N17" s="64"/>
      <c r="O17" s="65"/>
      <c r="P17" s="99"/>
      <c r="Q17" s="70"/>
      <c r="R17" s="99"/>
      <c r="S17" s="70"/>
      <c r="T17" s="74" t="s">
        <v>18275</v>
      </c>
      <c r="U17" s="62"/>
      <c r="V17" s="63"/>
      <c r="W17" s="75"/>
      <c r="X17" s="1"/>
      <c r="Y17" s="68" t="s">
        <v>1</v>
      </c>
      <c r="Z17" s="76">
        <v>0.4</v>
      </c>
      <c r="AA17" s="70" t="s">
        <v>422</v>
      </c>
      <c r="AB17" s="228">
        <f>ROUND((ROUND((ROUND((ROUND((_15_同援日０．５*_15・通訳),0)*(1+_15・A深夜)),0)*(1+_15・盲ろう)),0)*(1+_15・区４)),0)+ROUND((ROUND((ROUND((ROUND((_15_同援日０．５＿０．５*_15・通訳),0)*(1+_15・B早朝)),0)*(1+_15・盲ろう)),0)*(1+_15・区４)),0)</f>
        <v>646</v>
      </c>
      <c r="AC17" s="69"/>
    </row>
    <row r="18" spans="1:29" ht="16.5" customHeight="1" x14ac:dyDescent="0.3">
      <c r="A18" s="2">
        <v>15</v>
      </c>
      <c r="B18" s="2" t="s">
        <v>3726</v>
      </c>
      <c r="C18" s="60" t="s">
        <v>14301</v>
      </c>
      <c r="D18" s="1"/>
      <c r="E18" s="68"/>
      <c r="F18" s="70"/>
      <c r="G18" s="81"/>
      <c r="H18" s="57"/>
      <c r="I18" s="77"/>
      <c r="J18" s="67"/>
      <c r="K18" s="68"/>
      <c r="L18" s="76"/>
      <c r="M18" s="83" t="s">
        <v>5895</v>
      </c>
      <c r="N18" s="64" t="s">
        <v>1</v>
      </c>
      <c r="O18" s="65">
        <v>1</v>
      </c>
      <c r="P18" s="99"/>
      <c r="Q18" s="70"/>
      <c r="R18" s="99"/>
      <c r="S18" s="70"/>
      <c r="T18" s="81" t="s">
        <v>18274</v>
      </c>
      <c r="U18" s="57" t="s">
        <v>1</v>
      </c>
      <c r="V18" s="58">
        <v>0.25</v>
      </c>
      <c r="W18" s="77" t="s">
        <v>422</v>
      </c>
      <c r="X18" s="81"/>
      <c r="Y18" s="57"/>
      <c r="Z18" s="58"/>
      <c r="AA18" s="77"/>
      <c r="AB18" s="228">
        <f>ROUND((ROUND((ROUND((ROUND((ROUND((_15_同援日０．５*_15・通訳),0)*_15・２人),0)*(1+_15・A深夜)),0)*(1+_15・盲ろう)),0)*(1+_15・区４)),0)+ROUND((ROUND((ROUND((ROUND((ROUND((_15_同援日０．５＿０．５*_15・通訳),0)*_15・２人),0)*(1+_15・B早朝)),0)*(1+_15・盲ろう)),0)*(1+_15・区４)),0)</f>
        <v>646</v>
      </c>
      <c r="AC18" s="69"/>
    </row>
    <row r="19" spans="1:29" ht="16.5" customHeight="1" x14ac:dyDescent="0.3">
      <c r="A19" s="2">
        <v>15</v>
      </c>
      <c r="B19" s="2" t="s">
        <v>3727</v>
      </c>
      <c r="C19" s="60" t="s">
        <v>14300</v>
      </c>
      <c r="D19" s="1"/>
      <c r="E19" s="68"/>
      <c r="F19" s="70"/>
      <c r="G19" s="233" t="s">
        <v>18283</v>
      </c>
      <c r="H19" s="62"/>
      <c r="I19" s="75"/>
      <c r="J19" s="67"/>
      <c r="K19" s="68"/>
      <c r="L19" s="76"/>
      <c r="M19" s="83"/>
      <c r="N19" s="64"/>
      <c r="O19" s="65"/>
      <c r="P19" s="99"/>
      <c r="Q19" s="70"/>
      <c r="R19" s="99"/>
      <c r="S19" s="70"/>
      <c r="T19" s="74"/>
      <c r="U19" s="62"/>
      <c r="V19" s="63"/>
      <c r="W19" s="75"/>
      <c r="X19" s="74"/>
      <c r="Y19" s="62"/>
      <c r="Z19" s="63"/>
      <c r="AA19" s="75"/>
      <c r="AB19" s="228">
        <f>ROUND((ROUND((_15_同援日０．５*_15・通訳),0)*(1+_15・A深夜)),0)+ROUND((ROUND((_15_同援日０．５＿１．０*_15・通訳),0)*(1+_15・B早朝)),0)</f>
        <v>515</v>
      </c>
      <c r="AC19" s="69"/>
    </row>
    <row r="20" spans="1:29" ht="16.5" customHeight="1" x14ac:dyDescent="0.3">
      <c r="A20" s="2">
        <v>15</v>
      </c>
      <c r="B20" s="2" t="s">
        <v>3728</v>
      </c>
      <c r="C20" s="60" t="s">
        <v>14299</v>
      </c>
      <c r="D20" s="1"/>
      <c r="E20" s="68"/>
      <c r="F20" s="70"/>
      <c r="G20" s="1" t="s">
        <v>18282</v>
      </c>
      <c r="H20" s="68"/>
      <c r="I20" s="70"/>
      <c r="J20" s="67"/>
      <c r="K20" s="68"/>
      <c r="L20" s="76"/>
      <c r="M20" s="83" t="s">
        <v>5895</v>
      </c>
      <c r="N20" s="64" t="s">
        <v>1</v>
      </c>
      <c r="O20" s="65">
        <v>1</v>
      </c>
      <c r="P20" s="99"/>
      <c r="Q20" s="70"/>
      <c r="R20" s="99"/>
      <c r="S20" s="70"/>
      <c r="T20" s="81"/>
      <c r="U20" s="57"/>
      <c r="V20" s="58"/>
      <c r="W20" s="77"/>
      <c r="X20" s="1"/>
      <c r="Y20" s="68"/>
      <c r="Z20" s="76"/>
      <c r="AA20" s="70"/>
      <c r="AB20" s="228">
        <f>ROUND((ROUND((ROUND((_15_同援日０．５*_15・通訳),0)*_15・２人),0)*(1+_15・A深夜)),0)+ROUND((ROUND((ROUND((_15_同援日０．５＿１．０*_15・通訳),0)*_15・２人),0)*(1+_15・B早朝)),0)</f>
        <v>515</v>
      </c>
      <c r="AC20" s="69"/>
    </row>
    <row r="21" spans="1:29" ht="16.5" customHeight="1" x14ac:dyDescent="0.3">
      <c r="A21" s="2">
        <v>15</v>
      </c>
      <c r="B21" s="2" t="s">
        <v>3729</v>
      </c>
      <c r="C21" s="60" t="s">
        <v>14298</v>
      </c>
      <c r="D21" s="1"/>
      <c r="E21" s="68"/>
      <c r="F21" s="70"/>
      <c r="G21" s="1" t="s">
        <v>8572</v>
      </c>
      <c r="H21" s="68"/>
      <c r="I21" s="70"/>
      <c r="J21" s="67"/>
      <c r="K21" s="68"/>
      <c r="L21" s="76"/>
      <c r="M21" s="83"/>
      <c r="N21" s="64"/>
      <c r="O21" s="65"/>
      <c r="P21" s="99"/>
      <c r="Q21" s="70"/>
      <c r="R21" s="99"/>
      <c r="S21" s="70"/>
      <c r="T21" s="74" t="s">
        <v>18275</v>
      </c>
      <c r="U21" s="62"/>
      <c r="V21" s="63"/>
      <c r="W21" s="75"/>
      <c r="X21" s="1"/>
      <c r="Y21" s="68"/>
      <c r="Z21" s="76"/>
      <c r="AA21" s="70"/>
      <c r="AB21" s="228">
        <f>ROUND((ROUND((ROUND((_15_同援日０．５*_15・通訳),0)*(1+_15・A深夜)),0)*(1+_15・盲ろう)),0)+ROUND((ROUND((ROUND((_15_同援日０．５＿１．０*_15・通訳),0)*(1+_15・B早朝)),0)*(1+_15・盲ろう)),0)</f>
        <v>644</v>
      </c>
      <c r="AC21" s="69"/>
    </row>
    <row r="22" spans="1:29" ht="16.5" customHeight="1" x14ac:dyDescent="0.3">
      <c r="A22" s="2">
        <v>15</v>
      </c>
      <c r="B22" s="2" t="s">
        <v>3730</v>
      </c>
      <c r="C22" s="60" t="s">
        <v>14297</v>
      </c>
      <c r="D22" s="1"/>
      <c r="E22" s="68"/>
      <c r="F22" s="70"/>
      <c r="G22" s="1"/>
      <c r="H22" s="227">
        <v>237</v>
      </c>
      <c r="I22" s="70" t="s">
        <v>0</v>
      </c>
      <c r="J22" s="67"/>
      <c r="K22" s="68"/>
      <c r="L22" s="76"/>
      <c r="M22" s="83" t="s">
        <v>5895</v>
      </c>
      <c r="N22" s="64" t="s">
        <v>1</v>
      </c>
      <c r="O22" s="65">
        <v>1</v>
      </c>
      <c r="P22" s="99"/>
      <c r="Q22" s="70"/>
      <c r="R22" s="99"/>
      <c r="S22" s="70"/>
      <c r="T22" s="81" t="s">
        <v>18274</v>
      </c>
      <c r="U22" s="57" t="s">
        <v>1</v>
      </c>
      <c r="V22" s="58">
        <v>0.25</v>
      </c>
      <c r="W22" s="77" t="s">
        <v>422</v>
      </c>
      <c r="X22" s="81"/>
      <c r="Y22" s="57"/>
      <c r="Z22" s="58"/>
      <c r="AA22" s="77"/>
      <c r="AB22" s="228">
        <f>ROUND((ROUND((ROUND((ROUND((_15_同援日０．５*_15・通訳),0)*_15・２人),0)*(1+_15・A深夜)),0)*(1+_15・盲ろう)),0)+ROUND((ROUND((ROUND((ROUND((_15_同援日０．５＿１．０*_15・通訳),0)*_15・２人),0)*(1+_15・B早朝)),0)*(1+_15・盲ろう)),0)</f>
        <v>644</v>
      </c>
      <c r="AC22" s="69"/>
    </row>
    <row r="23" spans="1:29" ht="16.5" customHeight="1" x14ac:dyDescent="0.3">
      <c r="A23" s="2">
        <v>15</v>
      </c>
      <c r="B23" s="2" t="s">
        <v>3731</v>
      </c>
      <c r="C23" s="60" t="s">
        <v>14296</v>
      </c>
      <c r="D23" s="1"/>
      <c r="E23" s="68"/>
      <c r="F23" s="70"/>
      <c r="G23" s="1"/>
      <c r="H23" s="68"/>
      <c r="I23" s="70"/>
      <c r="J23" s="67"/>
      <c r="K23" s="68"/>
      <c r="L23" s="76"/>
      <c r="M23" s="83"/>
      <c r="N23" s="64"/>
      <c r="O23" s="65"/>
      <c r="P23" s="99"/>
      <c r="Q23" s="70"/>
      <c r="R23" s="99"/>
      <c r="S23" s="70"/>
      <c r="T23" s="74"/>
      <c r="U23" s="62"/>
      <c r="V23" s="63"/>
      <c r="W23" s="75"/>
      <c r="X23" s="74" t="s">
        <v>18278</v>
      </c>
      <c r="Y23" s="62"/>
      <c r="Z23" s="63"/>
      <c r="AA23" s="75"/>
      <c r="AB23" s="228">
        <f>ROUND((ROUND((ROUND((_15_同援日０．５*_15・通訳),0)*(1+_15・A深夜)),0)*(1+_15・区３)),0)+ROUND((ROUND((ROUND((_15_同援日０．５＿１．０*_15・通訳),0)*(1+_15・B早朝)),0)*(1+_15・区３)),0)</f>
        <v>618</v>
      </c>
      <c r="AC23" s="69"/>
    </row>
    <row r="24" spans="1:29" ht="16.5" customHeight="1" x14ac:dyDescent="0.3">
      <c r="A24" s="2">
        <v>15</v>
      </c>
      <c r="B24" s="2" t="s">
        <v>3732</v>
      </c>
      <c r="C24" s="60" t="s">
        <v>14295</v>
      </c>
      <c r="D24" s="1"/>
      <c r="E24" s="68"/>
      <c r="F24" s="70"/>
      <c r="G24" s="1"/>
      <c r="H24" s="68"/>
      <c r="I24" s="70"/>
      <c r="J24" s="67"/>
      <c r="K24" s="68"/>
      <c r="L24" s="76"/>
      <c r="M24" s="83" t="s">
        <v>5895</v>
      </c>
      <c r="N24" s="64" t="s">
        <v>1</v>
      </c>
      <c r="O24" s="65">
        <v>1</v>
      </c>
      <c r="P24" s="99"/>
      <c r="Q24" s="70"/>
      <c r="R24" s="99"/>
      <c r="S24" s="70"/>
      <c r="T24" s="81"/>
      <c r="U24" s="57"/>
      <c r="V24" s="58"/>
      <c r="W24" s="77"/>
      <c r="X24" s="1" t="s">
        <v>18276</v>
      </c>
      <c r="Y24" s="68"/>
      <c r="Z24" s="76"/>
      <c r="AA24" s="70"/>
      <c r="AB24" s="228">
        <f>ROUND((ROUND((ROUND((ROUND((_15_同援日０．５*_15・通訳),0)*_15・２人),0)*(1+_15・A深夜)),0)*(1+_15・区３)),0)+ROUND((ROUND((ROUND((ROUND((_15_同援日０．５＿１．０*_15・通訳),0)*_15・２人),0)*(1+_15・B早朝)),0)*(1+_15・区３)),0)</f>
        <v>618</v>
      </c>
      <c r="AC24" s="69"/>
    </row>
    <row r="25" spans="1:29" ht="16.5" customHeight="1" x14ac:dyDescent="0.3">
      <c r="A25" s="2">
        <v>15</v>
      </c>
      <c r="B25" s="2" t="s">
        <v>3733</v>
      </c>
      <c r="C25" s="60" t="s">
        <v>14294</v>
      </c>
      <c r="D25" s="1"/>
      <c r="E25" s="68"/>
      <c r="F25" s="70"/>
      <c r="G25" s="1"/>
      <c r="H25" s="68"/>
      <c r="I25" s="70"/>
      <c r="J25" s="67"/>
      <c r="K25" s="68"/>
      <c r="L25" s="76"/>
      <c r="M25" s="83"/>
      <c r="N25" s="64"/>
      <c r="O25" s="65"/>
      <c r="P25" s="99"/>
      <c r="Q25" s="70"/>
      <c r="R25" s="99"/>
      <c r="S25" s="70"/>
      <c r="T25" s="74" t="s">
        <v>18275</v>
      </c>
      <c r="U25" s="62"/>
      <c r="V25" s="63"/>
      <c r="W25" s="75"/>
      <c r="X25" s="1"/>
      <c r="Y25" s="68" t="s">
        <v>1</v>
      </c>
      <c r="Z25" s="76">
        <v>0.2</v>
      </c>
      <c r="AA25" s="70" t="s">
        <v>422</v>
      </c>
      <c r="AB25" s="228">
        <f>ROUND((ROUND((ROUND((ROUND((_15_同援日０．５*_15・通訳),0)*(1+_15・A深夜)),0)*(1+_15・盲ろう)),0)*(1+_15・区３)),0)+ROUND((ROUND((ROUND((ROUND((_15_同援日０．５＿１．０*_15・通訳),0)*(1+_15・B早朝)),0)*(1+_15・盲ろう)),0)*(1+_15・区３)),0)</f>
        <v>773</v>
      </c>
      <c r="AC25" s="69"/>
    </row>
    <row r="26" spans="1:29" ht="16.5" customHeight="1" x14ac:dyDescent="0.3">
      <c r="A26" s="2">
        <v>15</v>
      </c>
      <c r="B26" s="2" t="s">
        <v>3734</v>
      </c>
      <c r="C26" s="60" t="s">
        <v>14293</v>
      </c>
      <c r="D26" s="1"/>
      <c r="E26" s="68"/>
      <c r="F26" s="70"/>
      <c r="G26" s="1"/>
      <c r="H26" s="68"/>
      <c r="I26" s="70"/>
      <c r="J26" s="67"/>
      <c r="K26" s="68"/>
      <c r="L26" s="76"/>
      <c r="M26" s="83" t="s">
        <v>5895</v>
      </c>
      <c r="N26" s="64" t="s">
        <v>1</v>
      </c>
      <c r="O26" s="65">
        <v>1</v>
      </c>
      <c r="P26" s="99"/>
      <c r="Q26" s="70"/>
      <c r="R26" s="99"/>
      <c r="S26" s="70"/>
      <c r="T26" s="81" t="s">
        <v>17968</v>
      </c>
      <c r="U26" s="57" t="s">
        <v>1</v>
      </c>
      <c r="V26" s="58">
        <v>0.25</v>
      </c>
      <c r="W26" s="77" t="s">
        <v>422</v>
      </c>
      <c r="X26" s="81"/>
      <c r="Y26" s="57"/>
      <c r="Z26" s="58"/>
      <c r="AA26" s="77"/>
      <c r="AB26" s="228">
        <f>ROUND((ROUND((ROUND((ROUND((ROUND((_15_同援日０．５*_15・通訳),0)*_15・２人),0)*(1+_15・A深夜)),0)*(1+_15・盲ろう)),0)*(1+_15・区３)),0)+ROUND((ROUND((ROUND((ROUND((ROUND((_15_同援日０．５＿１．０*_15・通訳),0)*_15・２人),0)*(1+_15・B早朝)),0)*(1+_15・盲ろう)),0)*(1+_15・区３)),0)</f>
        <v>773</v>
      </c>
      <c r="AC26" s="69"/>
    </row>
    <row r="27" spans="1:29" ht="16.5" customHeight="1" x14ac:dyDescent="0.3">
      <c r="A27" s="2">
        <v>15</v>
      </c>
      <c r="B27" s="2" t="s">
        <v>3735</v>
      </c>
      <c r="C27" s="60" t="s">
        <v>14292</v>
      </c>
      <c r="D27" s="1"/>
      <c r="E27" s="68"/>
      <c r="F27" s="70"/>
      <c r="G27" s="1"/>
      <c r="H27" s="68"/>
      <c r="I27" s="70"/>
      <c r="J27" s="67"/>
      <c r="K27" s="68"/>
      <c r="L27" s="76"/>
      <c r="M27" s="83"/>
      <c r="N27" s="64"/>
      <c r="O27" s="65"/>
      <c r="P27" s="99"/>
      <c r="Q27" s="70"/>
      <c r="R27" s="99"/>
      <c r="S27" s="70"/>
      <c r="T27" s="74"/>
      <c r="U27" s="62"/>
      <c r="V27" s="63"/>
      <c r="W27" s="75"/>
      <c r="X27" s="74" t="s">
        <v>18277</v>
      </c>
      <c r="Y27" s="62"/>
      <c r="Z27" s="63"/>
      <c r="AA27" s="75"/>
      <c r="AB27" s="228">
        <f>ROUND((ROUND((ROUND((_15_同援日０．５*_15・通訳),0)*(1+_15・A深夜)),0)*(1+_15・区４)),0)+ROUND((ROUND((ROUND((_15_同援日０．５＿１．０*_15・通訳),0)*(1+_15・B早朝)),0)*(1+_15・区４)),0)</f>
        <v>721</v>
      </c>
      <c r="AC27" s="69"/>
    </row>
    <row r="28" spans="1:29" ht="16.5" customHeight="1" x14ac:dyDescent="0.3">
      <c r="A28" s="2">
        <v>15</v>
      </c>
      <c r="B28" s="2" t="s">
        <v>3736</v>
      </c>
      <c r="C28" s="60" t="s">
        <v>14291</v>
      </c>
      <c r="D28" s="1"/>
      <c r="E28" s="68"/>
      <c r="F28" s="70"/>
      <c r="G28" s="1"/>
      <c r="H28" s="68"/>
      <c r="I28" s="70"/>
      <c r="J28" s="67"/>
      <c r="K28" s="68"/>
      <c r="L28" s="76"/>
      <c r="M28" s="83" t="s">
        <v>5895</v>
      </c>
      <c r="N28" s="64" t="s">
        <v>1</v>
      </c>
      <c r="O28" s="65">
        <v>1</v>
      </c>
      <c r="P28" s="99"/>
      <c r="Q28" s="70"/>
      <c r="R28" s="99"/>
      <c r="S28" s="70"/>
      <c r="T28" s="81"/>
      <c r="U28" s="57"/>
      <c r="V28" s="58"/>
      <c r="W28" s="77"/>
      <c r="X28" s="1" t="s">
        <v>18276</v>
      </c>
      <c r="Y28" s="68"/>
      <c r="Z28" s="76"/>
      <c r="AA28" s="70"/>
      <c r="AB28" s="228">
        <f>ROUND((ROUND((ROUND((ROUND((_15_同援日０．５*_15・通訳),0)*_15・２人),0)*(1+_15・A深夜)),0)*(1+_15・区４)),0)+ROUND((ROUND((ROUND((ROUND((_15_同援日０．５＿１．０*_15・通訳),0)*_15・２人),0)*(1+_15・B早朝)),0)*(1+_15・区４)),0)</f>
        <v>721</v>
      </c>
      <c r="AC28" s="69"/>
    </row>
    <row r="29" spans="1:29" ht="16.5" customHeight="1" x14ac:dyDescent="0.3">
      <c r="A29" s="2">
        <v>15</v>
      </c>
      <c r="B29" s="2" t="s">
        <v>3737</v>
      </c>
      <c r="C29" s="60" t="s">
        <v>14290</v>
      </c>
      <c r="D29" s="1"/>
      <c r="E29" s="68"/>
      <c r="F29" s="70"/>
      <c r="G29" s="1"/>
      <c r="H29" s="68"/>
      <c r="I29" s="70"/>
      <c r="J29" s="67"/>
      <c r="K29" s="68"/>
      <c r="L29" s="76"/>
      <c r="M29" s="83"/>
      <c r="N29" s="64"/>
      <c r="O29" s="65"/>
      <c r="P29" s="99"/>
      <c r="Q29" s="70"/>
      <c r="R29" s="99"/>
      <c r="S29" s="70"/>
      <c r="T29" s="74" t="s">
        <v>18275</v>
      </c>
      <c r="U29" s="62"/>
      <c r="V29" s="63"/>
      <c r="W29" s="75"/>
      <c r="X29" s="1"/>
      <c r="Y29" s="68" t="s">
        <v>1</v>
      </c>
      <c r="Z29" s="76">
        <v>0.4</v>
      </c>
      <c r="AA29" s="70" t="s">
        <v>422</v>
      </c>
      <c r="AB29" s="228">
        <f>ROUND((ROUND((ROUND((ROUND((_15_同援日０．５*_15・通訳),0)*(1+_15・A深夜)),0)*(1+_15・盲ろう)),0)*(1+_15・区４)),0)+ROUND((ROUND((ROUND((ROUND((_15_同援日０．５＿１．０*_15・通訳),0)*(1+_15・B早朝)),0)*(1+_15・盲ろう)),0)*(1+_15・区４)),0)</f>
        <v>901</v>
      </c>
      <c r="AC29" s="69"/>
    </row>
    <row r="30" spans="1:29" ht="16.5" customHeight="1" x14ac:dyDescent="0.3">
      <c r="A30" s="2">
        <v>15</v>
      </c>
      <c r="B30" s="2" t="s">
        <v>3738</v>
      </c>
      <c r="C30" s="60" t="s">
        <v>14289</v>
      </c>
      <c r="D30" s="1"/>
      <c r="E30" s="68"/>
      <c r="F30" s="70"/>
      <c r="G30" s="81"/>
      <c r="H30" s="57"/>
      <c r="I30" s="77"/>
      <c r="J30" s="67"/>
      <c r="K30" s="68"/>
      <c r="L30" s="76"/>
      <c r="M30" s="83" t="s">
        <v>5895</v>
      </c>
      <c r="N30" s="64" t="s">
        <v>1</v>
      </c>
      <c r="O30" s="65">
        <v>1</v>
      </c>
      <c r="P30" s="99"/>
      <c r="Q30" s="70"/>
      <c r="R30" s="99"/>
      <c r="S30" s="70"/>
      <c r="T30" s="81" t="s">
        <v>18274</v>
      </c>
      <c r="U30" s="57" t="s">
        <v>1</v>
      </c>
      <c r="V30" s="58">
        <v>0.25</v>
      </c>
      <c r="W30" s="77" t="s">
        <v>422</v>
      </c>
      <c r="X30" s="81"/>
      <c r="Y30" s="57"/>
      <c r="Z30" s="58"/>
      <c r="AA30" s="77"/>
      <c r="AB30" s="228">
        <f>ROUND((ROUND((ROUND((ROUND((ROUND((_15_同援日０．５*_15・通訳),0)*_15・２人),0)*(1+_15・A深夜)),0)*(1+_15・盲ろう)),0)*(1+_15・区４)),0)+ROUND((ROUND((ROUND((ROUND((ROUND((_15_同援日０．５＿１．０*_15・通訳),0)*_15・２人),0)*(1+_15・B早朝)),0)*(1+_15・盲ろう)),0)*(1+_15・区４)),0)</f>
        <v>901</v>
      </c>
      <c r="AC30" s="69"/>
    </row>
    <row r="31" spans="1:29" ht="16.5" customHeight="1" x14ac:dyDescent="0.3">
      <c r="A31" s="2">
        <v>15</v>
      </c>
      <c r="B31" s="2" t="s">
        <v>3739</v>
      </c>
      <c r="C31" s="60" t="s">
        <v>14288</v>
      </c>
      <c r="D31" s="1"/>
      <c r="E31" s="68"/>
      <c r="F31" s="70"/>
      <c r="G31" s="233" t="s">
        <v>16907</v>
      </c>
      <c r="H31" s="62"/>
      <c r="I31" s="75"/>
      <c r="J31" s="67"/>
      <c r="K31" s="68"/>
      <c r="L31" s="76"/>
      <c r="M31" s="83"/>
      <c r="N31" s="64"/>
      <c r="O31" s="65"/>
      <c r="P31" s="99"/>
      <c r="Q31" s="70"/>
      <c r="R31" s="99"/>
      <c r="S31" s="70"/>
      <c r="T31" s="74"/>
      <c r="U31" s="62"/>
      <c r="V31" s="63"/>
      <c r="W31" s="75"/>
      <c r="X31" s="74"/>
      <c r="Y31" s="62"/>
      <c r="Z31" s="63"/>
      <c r="AA31" s="75"/>
      <c r="AB31" s="228">
        <f>ROUND((ROUND((_15_同援日０．５*_15・通訳),0)*(1+_15・A深夜)),0)+ROUND((ROUND((_15_同援日０．５＿１．５*_15・通訳),0)*(1+_15・B早朝)),0)</f>
        <v>588</v>
      </c>
      <c r="AC31" s="69"/>
    </row>
    <row r="32" spans="1:29" ht="16.5" customHeight="1" x14ac:dyDescent="0.3">
      <c r="A32" s="2">
        <v>15</v>
      </c>
      <c r="B32" s="2" t="s">
        <v>3740</v>
      </c>
      <c r="C32" s="60" t="s">
        <v>14287</v>
      </c>
      <c r="D32" s="1"/>
      <c r="E32" s="68"/>
      <c r="F32" s="70"/>
      <c r="G32" s="1" t="s">
        <v>18286</v>
      </c>
      <c r="H32" s="68"/>
      <c r="I32" s="70"/>
      <c r="J32" s="67"/>
      <c r="K32" s="68"/>
      <c r="L32" s="76"/>
      <c r="M32" s="83" t="s">
        <v>5895</v>
      </c>
      <c r="N32" s="64" t="s">
        <v>1</v>
      </c>
      <c r="O32" s="65">
        <v>1</v>
      </c>
      <c r="P32" s="99"/>
      <c r="Q32" s="70"/>
      <c r="R32" s="99"/>
      <c r="S32" s="70"/>
      <c r="T32" s="81"/>
      <c r="U32" s="57"/>
      <c r="V32" s="58"/>
      <c r="W32" s="77"/>
      <c r="X32" s="1"/>
      <c r="Y32" s="68"/>
      <c r="Z32" s="76"/>
      <c r="AA32" s="70"/>
      <c r="AB32" s="228">
        <f>ROUND((ROUND((ROUND((_15_同援日０．５*_15・通訳),0)*_15・２人),0)*(1+_15・A深夜)),0)+ROUND((ROUND((ROUND((_15_同援日０．５＿１．５*_15・通訳),0)*_15・２人),0)*(1+_15・B早朝)),0)</f>
        <v>588</v>
      </c>
      <c r="AC32" s="69"/>
    </row>
    <row r="33" spans="1:29" ht="16.5" customHeight="1" x14ac:dyDescent="0.3">
      <c r="A33" s="2">
        <v>15</v>
      </c>
      <c r="B33" s="2" t="s">
        <v>3741</v>
      </c>
      <c r="C33" s="60" t="s">
        <v>14286</v>
      </c>
      <c r="D33" s="1"/>
      <c r="E33" s="68"/>
      <c r="F33" s="70"/>
      <c r="G33" s="1" t="s">
        <v>8767</v>
      </c>
      <c r="H33" s="68"/>
      <c r="I33" s="70"/>
      <c r="J33" s="67"/>
      <c r="K33" s="68"/>
      <c r="L33" s="76"/>
      <c r="M33" s="83"/>
      <c r="N33" s="64"/>
      <c r="O33" s="65"/>
      <c r="P33" s="99"/>
      <c r="Q33" s="70"/>
      <c r="R33" s="99"/>
      <c r="S33" s="70"/>
      <c r="T33" s="74" t="s">
        <v>18275</v>
      </c>
      <c r="U33" s="62"/>
      <c r="V33" s="63"/>
      <c r="W33" s="75"/>
      <c r="X33" s="1"/>
      <c r="Y33" s="68"/>
      <c r="Z33" s="76"/>
      <c r="AA33" s="70"/>
      <c r="AB33" s="228">
        <f>ROUND((ROUND((ROUND((_15_同援日０．５*_15・通訳),0)*(1+_15・A深夜)),0)*(1+_15・盲ろう)),0)+ROUND((ROUND((ROUND((_15_同援日０．５＿１．５*_15・通訳),0)*(1+_15・B早朝)),0)*(1+_15・盲ろう)),0)</f>
        <v>735</v>
      </c>
      <c r="AC33" s="69"/>
    </row>
    <row r="34" spans="1:29" ht="16.5" customHeight="1" x14ac:dyDescent="0.3">
      <c r="A34" s="2">
        <v>15</v>
      </c>
      <c r="B34" s="2" t="s">
        <v>3742</v>
      </c>
      <c r="C34" s="60" t="s">
        <v>14285</v>
      </c>
      <c r="D34" s="1"/>
      <c r="E34" s="68"/>
      <c r="F34" s="70"/>
      <c r="G34" s="1"/>
      <c r="H34" s="227">
        <v>301</v>
      </c>
      <c r="I34" s="70" t="s">
        <v>0</v>
      </c>
      <c r="J34" s="67"/>
      <c r="K34" s="68"/>
      <c r="L34" s="76"/>
      <c r="M34" s="83" t="s">
        <v>5895</v>
      </c>
      <c r="N34" s="64" t="s">
        <v>1</v>
      </c>
      <c r="O34" s="65">
        <v>1</v>
      </c>
      <c r="P34" s="99"/>
      <c r="Q34" s="70"/>
      <c r="R34" s="99"/>
      <c r="S34" s="70"/>
      <c r="T34" s="81" t="s">
        <v>18274</v>
      </c>
      <c r="U34" s="57" t="s">
        <v>1</v>
      </c>
      <c r="V34" s="58">
        <v>0.25</v>
      </c>
      <c r="W34" s="77" t="s">
        <v>422</v>
      </c>
      <c r="X34" s="81"/>
      <c r="Y34" s="57"/>
      <c r="Z34" s="58"/>
      <c r="AA34" s="77"/>
      <c r="AB34" s="228">
        <f>ROUND((ROUND((ROUND((ROUND((_15_同援日０．５*_15・通訳),0)*_15・２人),0)*(1+_15・A深夜)),0)*(1+_15・盲ろう)),0)+ROUND((ROUND((ROUND((ROUND((_15_同援日０．５＿１．５*_15・通訳),0)*_15・２人),0)*(1+_15・B早朝)),0)*(1+_15・盲ろう)),0)</f>
        <v>735</v>
      </c>
      <c r="AC34" s="69"/>
    </row>
    <row r="35" spans="1:29" ht="16.5" customHeight="1" x14ac:dyDescent="0.3">
      <c r="A35" s="2">
        <v>15</v>
      </c>
      <c r="B35" s="2" t="s">
        <v>3743</v>
      </c>
      <c r="C35" s="60" t="s">
        <v>14284</v>
      </c>
      <c r="D35" s="1"/>
      <c r="E35" s="68"/>
      <c r="F35" s="70"/>
      <c r="G35" s="1"/>
      <c r="H35" s="68"/>
      <c r="I35" s="70"/>
      <c r="J35" s="67"/>
      <c r="K35" s="68"/>
      <c r="L35" s="76"/>
      <c r="M35" s="83"/>
      <c r="N35" s="64"/>
      <c r="O35" s="65"/>
      <c r="P35" s="99"/>
      <c r="Q35" s="70"/>
      <c r="R35" s="99"/>
      <c r="S35" s="70"/>
      <c r="T35" s="74"/>
      <c r="U35" s="62"/>
      <c r="V35" s="63"/>
      <c r="W35" s="75"/>
      <c r="X35" s="74" t="s">
        <v>18278</v>
      </c>
      <c r="Y35" s="62"/>
      <c r="Z35" s="63"/>
      <c r="AA35" s="75"/>
      <c r="AB35" s="228">
        <f>ROUND((ROUND((ROUND((_15_同援日０．５*_15・通訳),0)*(1+_15・A深夜)),0)*(1+_15・区３)),0)+ROUND((ROUND((ROUND((_15_同援日０．５＿１．５*_15・通訳),0)*(1+_15・B早朝)),0)*(1+_15・区３)),0)</f>
        <v>706</v>
      </c>
      <c r="AC35" s="69"/>
    </row>
    <row r="36" spans="1:29" ht="16.5" customHeight="1" x14ac:dyDescent="0.3">
      <c r="A36" s="2">
        <v>15</v>
      </c>
      <c r="B36" s="2" t="s">
        <v>3744</v>
      </c>
      <c r="C36" s="60" t="s">
        <v>14283</v>
      </c>
      <c r="D36" s="1"/>
      <c r="E36" s="68"/>
      <c r="F36" s="70"/>
      <c r="G36" s="1"/>
      <c r="H36" s="68"/>
      <c r="I36" s="70"/>
      <c r="J36" s="67"/>
      <c r="K36" s="68"/>
      <c r="L36" s="76"/>
      <c r="M36" s="83" t="s">
        <v>5895</v>
      </c>
      <c r="N36" s="64" t="s">
        <v>1</v>
      </c>
      <c r="O36" s="65">
        <v>1</v>
      </c>
      <c r="P36" s="99"/>
      <c r="Q36" s="70"/>
      <c r="R36" s="99"/>
      <c r="S36" s="70"/>
      <c r="T36" s="81"/>
      <c r="U36" s="57"/>
      <c r="V36" s="58"/>
      <c r="W36" s="77"/>
      <c r="X36" s="1" t="s">
        <v>18276</v>
      </c>
      <c r="Y36" s="68"/>
      <c r="Z36" s="76"/>
      <c r="AA36" s="70"/>
      <c r="AB36" s="228">
        <f>ROUND((ROUND((ROUND((ROUND((_15_同援日０．５*_15・通訳),0)*_15・２人),0)*(1+_15・A深夜)),0)*(1+_15・区３)),0)+ROUND((ROUND((ROUND((ROUND((_15_同援日０．５＿１．５*_15・通訳),0)*_15・２人),0)*(1+_15・B早朝)),0)*(1+_15・区３)),0)</f>
        <v>706</v>
      </c>
      <c r="AC36" s="69"/>
    </row>
    <row r="37" spans="1:29" ht="16.5" customHeight="1" x14ac:dyDescent="0.3">
      <c r="A37" s="2">
        <v>15</v>
      </c>
      <c r="B37" s="2" t="s">
        <v>3745</v>
      </c>
      <c r="C37" s="60" t="s">
        <v>14282</v>
      </c>
      <c r="D37" s="1"/>
      <c r="E37" s="68"/>
      <c r="F37" s="70"/>
      <c r="G37" s="1"/>
      <c r="H37" s="68"/>
      <c r="I37" s="70"/>
      <c r="J37" s="67"/>
      <c r="K37" s="68"/>
      <c r="L37" s="76"/>
      <c r="M37" s="83"/>
      <c r="N37" s="64"/>
      <c r="O37" s="65"/>
      <c r="P37" s="99"/>
      <c r="Q37" s="70"/>
      <c r="R37" s="99"/>
      <c r="S37" s="70"/>
      <c r="T37" s="74" t="s">
        <v>18275</v>
      </c>
      <c r="U37" s="62"/>
      <c r="V37" s="63"/>
      <c r="W37" s="75"/>
      <c r="X37" s="1"/>
      <c r="Y37" s="68" t="s">
        <v>1</v>
      </c>
      <c r="Z37" s="76">
        <v>0.2</v>
      </c>
      <c r="AA37" s="70" t="s">
        <v>422</v>
      </c>
      <c r="AB37" s="228">
        <f>ROUND((ROUND((ROUND((ROUND((_15_同援日０．５*_15・通訳),0)*(1+_15・A深夜)),0)*(1+_15・盲ろう)),0)*(1+_15・区３)),0)+ROUND((ROUND((ROUND((ROUND((_15_同援日０．５＿１．５*_15・通訳),0)*(1+_15・B早朝)),0)*(1+_15・盲ろう)),0)*(1+_15・区３)),0)</f>
        <v>882</v>
      </c>
      <c r="AC37" s="69"/>
    </row>
    <row r="38" spans="1:29" ht="16.5" customHeight="1" x14ac:dyDescent="0.3">
      <c r="A38" s="2">
        <v>15</v>
      </c>
      <c r="B38" s="2" t="s">
        <v>3746</v>
      </c>
      <c r="C38" s="60" t="s">
        <v>14281</v>
      </c>
      <c r="D38" s="1"/>
      <c r="E38" s="68"/>
      <c r="F38" s="70"/>
      <c r="G38" s="1"/>
      <c r="H38" s="68"/>
      <c r="I38" s="70"/>
      <c r="J38" s="67"/>
      <c r="K38" s="68"/>
      <c r="L38" s="76"/>
      <c r="M38" s="83" t="s">
        <v>5895</v>
      </c>
      <c r="N38" s="64" t="s">
        <v>1</v>
      </c>
      <c r="O38" s="65">
        <v>1</v>
      </c>
      <c r="P38" s="99"/>
      <c r="Q38" s="70"/>
      <c r="R38" s="99"/>
      <c r="S38" s="70"/>
      <c r="T38" s="81" t="s">
        <v>18274</v>
      </c>
      <c r="U38" s="57" t="s">
        <v>1</v>
      </c>
      <c r="V38" s="58">
        <v>0.25</v>
      </c>
      <c r="W38" s="77" t="s">
        <v>422</v>
      </c>
      <c r="X38" s="81"/>
      <c r="Y38" s="57"/>
      <c r="Z38" s="58"/>
      <c r="AA38" s="77"/>
      <c r="AB38" s="228">
        <f>ROUND((ROUND((ROUND((ROUND((ROUND((_15_同援日０．５*_15・通訳),0)*_15・２人),0)*(1+_15・A深夜)),0)*(1+_15・盲ろう)),0)*(1+_15・区３)),0)+ROUND((ROUND((ROUND((ROUND((ROUND((_15_同援日０．５＿１．５*_15・通訳),0)*_15・２人),0)*(1+_15・B早朝)),0)*(1+_15・盲ろう)),0)*(1+_15・区３)),0)</f>
        <v>882</v>
      </c>
      <c r="AC38" s="69"/>
    </row>
    <row r="39" spans="1:29" ht="16.5" customHeight="1" x14ac:dyDescent="0.3">
      <c r="A39" s="2">
        <v>15</v>
      </c>
      <c r="B39" s="2" t="s">
        <v>3747</v>
      </c>
      <c r="C39" s="60" t="s">
        <v>14280</v>
      </c>
      <c r="D39" s="1"/>
      <c r="E39" s="68"/>
      <c r="F39" s="70"/>
      <c r="G39" s="1"/>
      <c r="H39" s="68"/>
      <c r="I39" s="70"/>
      <c r="J39" s="67"/>
      <c r="K39" s="68"/>
      <c r="L39" s="76"/>
      <c r="M39" s="83"/>
      <c r="N39" s="64"/>
      <c r="O39" s="65"/>
      <c r="P39" s="99"/>
      <c r="Q39" s="70"/>
      <c r="R39" s="99"/>
      <c r="S39" s="70"/>
      <c r="T39" s="74"/>
      <c r="U39" s="62"/>
      <c r="V39" s="63"/>
      <c r="W39" s="75"/>
      <c r="X39" s="74" t="s">
        <v>18277</v>
      </c>
      <c r="Y39" s="62"/>
      <c r="Z39" s="63"/>
      <c r="AA39" s="75"/>
      <c r="AB39" s="228">
        <f>ROUND((ROUND((ROUND((_15_同援日０．５*_15・通訳),0)*(1+_15・A深夜)),0)*(1+_15・区４)),0)+ROUND((ROUND((ROUND((_15_同援日０．５＿１．５*_15・通訳),0)*(1+_15・B早朝)),0)*(1+_15・区４)),0)</f>
        <v>824</v>
      </c>
      <c r="AC39" s="69"/>
    </row>
    <row r="40" spans="1:29" ht="16.5" customHeight="1" x14ac:dyDescent="0.3">
      <c r="A40" s="2">
        <v>15</v>
      </c>
      <c r="B40" s="2" t="s">
        <v>3748</v>
      </c>
      <c r="C40" s="60" t="s">
        <v>14279</v>
      </c>
      <c r="D40" s="1"/>
      <c r="E40" s="68"/>
      <c r="F40" s="70"/>
      <c r="G40" s="1"/>
      <c r="H40" s="68"/>
      <c r="I40" s="70"/>
      <c r="J40" s="67"/>
      <c r="K40" s="68"/>
      <c r="L40" s="76"/>
      <c r="M40" s="83" t="s">
        <v>5895</v>
      </c>
      <c r="N40" s="64" t="s">
        <v>1</v>
      </c>
      <c r="O40" s="65">
        <v>1</v>
      </c>
      <c r="P40" s="99"/>
      <c r="Q40" s="70"/>
      <c r="R40" s="99"/>
      <c r="S40" s="70"/>
      <c r="T40" s="81"/>
      <c r="U40" s="57"/>
      <c r="V40" s="58"/>
      <c r="W40" s="77"/>
      <c r="X40" s="1" t="s">
        <v>18276</v>
      </c>
      <c r="Y40" s="68"/>
      <c r="Z40" s="76"/>
      <c r="AA40" s="70"/>
      <c r="AB40" s="228">
        <f>ROUND((ROUND((ROUND((ROUND((_15_同援日０．５*_15・通訳),0)*_15・２人),0)*(1+_15・A深夜)),0)*(1+_15・区４)),0)+ROUND((ROUND((ROUND((ROUND((_15_同援日０．５＿１．５*_15・通訳),0)*_15・２人),0)*(1+_15・B早朝)),0)*(1+_15・区４)),0)</f>
        <v>824</v>
      </c>
      <c r="AC40" s="69"/>
    </row>
    <row r="41" spans="1:29" ht="16.5" customHeight="1" x14ac:dyDescent="0.3">
      <c r="A41" s="2">
        <v>15</v>
      </c>
      <c r="B41" s="2" t="s">
        <v>3749</v>
      </c>
      <c r="C41" s="60" t="s">
        <v>14278</v>
      </c>
      <c r="D41" s="1"/>
      <c r="E41" s="68"/>
      <c r="F41" s="70"/>
      <c r="G41" s="1"/>
      <c r="H41" s="68"/>
      <c r="I41" s="70"/>
      <c r="J41" s="67"/>
      <c r="K41" s="68"/>
      <c r="L41" s="76"/>
      <c r="M41" s="83"/>
      <c r="N41" s="64"/>
      <c r="O41" s="65"/>
      <c r="P41" s="99"/>
      <c r="Q41" s="70"/>
      <c r="R41" s="99"/>
      <c r="S41" s="70"/>
      <c r="T41" s="74" t="s">
        <v>18275</v>
      </c>
      <c r="U41" s="62"/>
      <c r="V41" s="63"/>
      <c r="W41" s="75"/>
      <c r="X41" s="1"/>
      <c r="Y41" s="68" t="s">
        <v>1</v>
      </c>
      <c r="Z41" s="76">
        <v>0.4</v>
      </c>
      <c r="AA41" s="70" t="s">
        <v>422</v>
      </c>
      <c r="AB41" s="228">
        <f>ROUND((ROUND((ROUND((ROUND((_15_同援日０．５*_15・通訳),0)*(1+_15・A深夜)),0)*(1+_15・盲ろう)),0)*(1+_15・区４)),0)+ROUND((ROUND((ROUND((ROUND((_15_同援日０．５＿１．５*_15・通訳),0)*(1+_15・B早朝)),0)*(1+_15・盲ろう)),0)*(1+_15・区４)),0)</f>
        <v>1029</v>
      </c>
      <c r="AC41" s="69"/>
    </row>
    <row r="42" spans="1:29" ht="16.5" customHeight="1" x14ac:dyDescent="0.3">
      <c r="A42" s="2">
        <v>15</v>
      </c>
      <c r="B42" s="2" t="s">
        <v>3750</v>
      </c>
      <c r="C42" s="60" t="s">
        <v>14277</v>
      </c>
      <c r="D42" s="1"/>
      <c r="E42" s="68"/>
      <c r="F42" s="70"/>
      <c r="G42" s="81"/>
      <c r="H42" s="57"/>
      <c r="I42" s="77"/>
      <c r="J42" s="67"/>
      <c r="K42" s="68"/>
      <c r="L42" s="76"/>
      <c r="M42" s="83" t="s">
        <v>5895</v>
      </c>
      <c r="N42" s="64" t="s">
        <v>1</v>
      </c>
      <c r="O42" s="65">
        <v>1</v>
      </c>
      <c r="P42" s="99"/>
      <c r="Q42" s="70"/>
      <c r="R42" s="99"/>
      <c r="S42" s="70"/>
      <c r="T42" s="81" t="s">
        <v>18274</v>
      </c>
      <c r="U42" s="57" t="s">
        <v>1</v>
      </c>
      <c r="V42" s="58">
        <v>0.25</v>
      </c>
      <c r="W42" s="77" t="s">
        <v>422</v>
      </c>
      <c r="X42" s="81"/>
      <c r="Y42" s="57"/>
      <c r="Z42" s="58"/>
      <c r="AA42" s="77"/>
      <c r="AB42" s="228">
        <f>ROUND((ROUND((ROUND((ROUND((ROUND((_15_同援日０．５*_15・通訳),0)*_15・２人),0)*(1+_15・A深夜)),0)*(1+_15・盲ろう)),0)*(1+_15・区４)),0)+ROUND((ROUND((ROUND((ROUND((ROUND((_15_同援日０．５＿１．５*_15・通訳),0)*_15・２人),0)*(1+_15・B早朝)),0)*(1+_15・盲ろう)),0)*(1+_15・区４)),0)</f>
        <v>1029</v>
      </c>
      <c r="AC42" s="69"/>
    </row>
    <row r="43" spans="1:29" ht="16.5" customHeight="1" x14ac:dyDescent="0.3">
      <c r="A43" s="2">
        <v>15</v>
      </c>
      <c r="B43" s="2" t="s">
        <v>3751</v>
      </c>
      <c r="C43" s="60" t="s">
        <v>14276</v>
      </c>
      <c r="D43" s="1"/>
      <c r="E43" s="68"/>
      <c r="F43" s="70"/>
      <c r="G43" s="233" t="s">
        <v>6053</v>
      </c>
      <c r="H43" s="62"/>
      <c r="I43" s="75"/>
      <c r="J43" s="67"/>
      <c r="K43" s="68"/>
      <c r="L43" s="76"/>
      <c r="M43" s="83"/>
      <c r="N43" s="64"/>
      <c r="O43" s="65"/>
      <c r="P43" s="99"/>
      <c r="Q43" s="70"/>
      <c r="R43" s="99"/>
      <c r="S43" s="70"/>
      <c r="T43" s="74"/>
      <c r="U43" s="62"/>
      <c r="V43" s="63"/>
      <c r="W43" s="75"/>
      <c r="X43" s="74"/>
      <c r="Y43" s="62"/>
      <c r="Z43" s="63"/>
      <c r="AA43" s="75"/>
      <c r="AB43" s="228">
        <f>ROUND((ROUND((_15_同援日０．５*_15・通訳),0)*(1+_15・A深夜)),0)+ROUND((ROUND((_15_同援日０．５＿２．０*_15・通訳),0)*(1+_15・B早朝)),0)</f>
        <v>659</v>
      </c>
      <c r="AC43" s="69"/>
    </row>
    <row r="44" spans="1:29" ht="16.5" customHeight="1" x14ac:dyDescent="0.3">
      <c r="A44" s="2">
        <v>15</v>
      </c>
      <c r="B44" s="2" t="s">
        <v>3752</v>
      </c>
      <c r="C44" s="60" t="s">
        <v>14275</v>
      </c>
      <c r="D44" s="1"/>
      <c r="E44" s="68"/>
      <c r="F44" s="70"/>
      <c r="G44" s="1" t="s">
        <v>18284</v>
      </c>
      <c r="H44" s="68"/>
      <c r="I44" s="70"/>
      <c r="J44" s="67"/>
      <c r="K44" s="68"/>
      <c r="L44" s="76"/>
      <c r="M44" s="83" t="s">
        <v>5895</v>
      </c>
      <c r="N44" s="64" t="s">
        <v>1</v>
      </c>
      <c r="O44" s="65">
        <v>1</v>
      </c>
      <c r="P44" s="99"/>
      <c r="Q44" s="70"/>
      <c r="R44" s="99"/>
      <c r="S44" s="70"/>
      <c r="T44" s="81"/>
      <c r="U44" s="57"/>
      <c r="V44" s="58"/>
      <c r="W44" s="77"/>
      <c r="X44" s="1"/>
      <c r="Y44" s="68"/>
      <c r="Z44" s="76"/>
      <c r="AA44" s="70"/>
      <c r="AB44" s="228">
        <f>ROUND((ROUND((ROUND((_15_同援日０．５*_15・通訳),0)*_15・２人),0)*(1+_15・A深夜)),0)+ROUND((ROUND((ROUND((_15_同援日０．５＿２．０*_15・通訳),0)*_15・２人),0)*(1+_15・B早朝)),0)</f>
        <v>659</v>
      </c>
      <c r="AC44" s="69"/>
    </row>
    <row r="45" spans="1:29" ht="16.5" customHeight="1" x14ac:dyDescent="0.3">
      <c r="A45" s="2">
        <v>15</v>
      </c>
      <c r="B45" s="2" t="s">
        <v>3753</v>
      </c>
      <c r="C45" s="60" t="s">
        <v>14274</v>
      </c>
      <c r="D45" s="1"/>
      <c r="E45" s="68"/>
      <c r="F45" s="70"/>
      <c r="G45" s="1" t="s">
        <v>6448</v>
      </c>
      <c r="H45" s="68"/>
      <c r="I45" s="70"/>
      <c r="J45" s="67"/>
      <c r="K45" s="68"/>
      <c r="L45" s="76"/>
      <c r="M45" s="83"/>
      <c r="N45" s="64"/>
      <c r="O45" s="65"/>
      <c r="P45" s="99"/>
      <c r="Q45" s="70"/>
      <c r="R45" s="99"/>
      <c r="S45" s="70"/>
      <c r="T45" s="74" t="s">
        <v>18275</v>
      </c>
      <c r="U45" s="62"/>
      <c r="V45" s="63"/>
      <c r="W45" s="75"/>
      <c r="X45" s="1"/>
      <c r="Y45" s="68"/>
      <c r="Z45" s="76"/>
      <c r="AA45" s="70"/>
      <c r="AB45" s="228">
        <f>ROUND((ROUND((ROUND((_15_同援日０．５*_15・通訳),0)*(1+_15・A深夜)),0)*(1+_15・盲ろう)),0)+ROUND((ROUND((ROUND((_15_同援日０．５＿２．０*_15・通訳),0)*(1+_15・B早朝)),0)*(1+_15・盲ろう)),0)</f>
        <v>824</v>
      </c>
      <c r="AC45" s="69"/>
    </row>
    <row r="46" spans="1:29" ht="16.5" customHeight="1" x14ac:dyDescent="0.3">
      <c r="A46" s="2">
        <v>15</v>
      </c>
      <c r="B46" s="2" t="s">
        <v>3754</v>
      </c>
      <c r="C46" s="60" t="s">
        <v>14273</v>
      </c>
      <c r="D46" s="1"/>
      <c r="E46" s="68"/>
      <c r="F46" s="70"/>
      <c r="G46" s="1"/>
      <c r="H46" s="227">
        <v>364</v>
      </c>
      <c r="I46" s="70" t="s">
        <v>0</v>
      </c>
      <c r="J46" s="67"/>
      <c r="K46" s="68"/>
      <c r="L46" s="76"/>
      <c r="M46" s="83" t="s">
        <v>5895</v>
      </c>
      <c r="N46" s="64" t="s">
        <v>1</v>
      </c>
      <c r="O46" s="65">
        <v>1</v>
      </c>
      <c r="P46" s="99"/>
      <c r="Q46" s="70"/>
      <c r="R46" s="99"/>
      <c r="S46" s="70"/>
      <c r="T46" s="81" t="s">
        <v>18274</v>
      </c>
      <c r="U46" s="57" t="s">
        <v>1</v>
      </c>
      <c r="V46" s="58">
        <v>0.25</v>
      </c>
      <c r="W46" s="77" t="s">
        <v>422</v>
      </c>
      <c r="X46" s="81"/>
      <c r="Y46" s="57"/>
      <c r="Z46" s="58"/>
      <c r="AA46" s="77"/>
      <c r="AB46" s="228">
        <f>ROUND((ROUND((ROUND((ROUND((_15_同援日０．５*_15・通訳),0)*_15・２人),0)*(1+_15・A深夜)),0)*(1+_15・盲ろう)),0)+ROUND((ROUND((ROUND((ROUND((_15_同援日０．５＿２．０*_15・通訳),0)*_15・２人),0)*(1+_15・B早朝)),0)*(1+_15・盲ろう)),0)</f>
        <v>824</v>
      </c>
      <c r="AC46" s="69"/>
    </row>
    <row r="47" spans="1:29" ht="16.5" customHeight="1" x14ac:dyDescent="0.3">
      <c r="A47" s="2">
        <v>15</v>
      </c>
      <c r="B47" s="2" t="s">
        <v>3755</v>
      </c>
      <c r="C47" s="60" t="s">
        <v>14272</v>
      </c>
      <c r="D47" s="1"/>
      <c r="E47" s="68"/>
      <c r="F47" s="70"/>
      <c r="G47" s="1"/>
      <c r="H47" s="68"/>
      <c r="I47" s="70"/>
      <c r="J47" s="67"/>
      <c r="K47" s="68"/>
      <c r="L47" s="76"/>
      <c r="M47" s="83"/>
      <c r="N47" s="64"/>
      <c r="O47" s="65"/>
      <c r="P47" s="99"/>
      <c r="Q47" s="70"/>
      <c r="R47" s="99"/>
      <c r="S47" s="70"/>
      <c r="T47" s="74"/>
      <c r="U47" s="62"/>
      <c r="V47" s="63"/>
      <c r="W47" s="75"/>
      <c r="X47" s="74" t="s">
        <v>18278</v>
      </c>
      <c r="Y47" s="62"/>
      <c r="Z47" s="63"/>
      <c r="AA47" s="75"/>
      <c r="AB47" s="228">
        <f>ROUND((ROUND((ROUND((_15_同援日０．５*_15・通訳),0)*(1+_15・A深夜)),0)*(1+_15・区３)),0)+ROUND((ROUND((ROUND((_15_同援日０．５＿２．０*_15・通訳),0)*(1+_15・B早朝)),0)*(1+_15・区３)),0)</f>
        <v>791</v>
      </c>
      <c r="AC47" s="69"/>
    </row>
    <row r="48" spans="1:29" ht="16.5" customHeight="1" x14ac:dyDescent="0.3">
      <c r="A48" s="2">
        <v>15</v>
      </c>
      <c r="B48" s="2" t="s">
        <v>3756</v>
      </c>
      <c r="C48" s="60" t="s">
        <v>14271</v>
      </c>
      <c r="D48" s="1"/>
      <c r="E48" s="68"/>
      <c r="F48" s="70"/>
      <c r="G48" s="1"/>
      <c r="H48" s="68"/>
      <c r="I48" s="70"/>
      <c r="J48" s="67"/>
      <c r="K48" s="68"/>
      <c r="L48" s="76"/>
      <c r="M48" s="83" t="s">
        <v>5895</v>
      </c>
      <c r="N48" s="64" t="s">
        <v>1</v>
      </c>
      <c r="O48" s="65">
        <v>1</v>
      </c>
      <c r="P48" s="99"/>
      <c r="Q48" s="70"/>
      <c r="R48" s="99"/>
      <c r="S48" s="70"/>
      <c r="T48" s="81"/>
      <c r="U48" s="57"/>
      <c r="V48" s="58"/>
      <c r="W48" s="77"/>
      <c r="X48" s="1" t="s">
        <v>18276</v>
      </c>
      <c r="Y48" s="68"/>
      <c r="Z48" s="76"/>
      <c r="AA48" s="70"/>
      <c r="AB48" s="228">
        <f>ROUND((ROUND((ROUND((ROUND((_15_同援日０．５*_15・通訳),0)*_15・２人),0)*(1+_15・A深夜)),0)*(1+_15・区３)),0)+ROUND((ROUND((ROUND((ROUND((_15_同援日０．５＿２．０*_15・通訳),0)*_15・２人),0)*(1+_15・B早朝)),0)*(1+_15・区３)),0)</f>
        <v>791</v>
      </c>
      <c r="AC48" s="69"/>
    </row>
    <row r="49" spans="1:29" ht="16.5" customHeight="1" x14ac:dyDescent="0.3">
      <c r="A49" s="2">
        <v>15</v>
      </c>
      <c r="B49" s="2" t="s">
        <v>3757</v>
      </c>
      <c r="C49" s="60" t="s">
        <v>14270</v>
      </c>
      <c r="D49" s="1"/>
      <c r="E49" s="68"/>
      <c r="F49" s="70"/>
      <c r="G49" s="1"/>
      <c r="H49" s="68"/>
      <c r="I49" s="70"/>
      <c r="J49" s="67"/>
      <c r="K49" s="68"/>
      <c r="L49" s="76"/>
      <c r="M49" s="83"/>
      <c r="N49" s="64"/>
      <c r="O49" s="65"/>
      <c r="P49" s="99"/>
      <c r="Q49" s="70"/>
      <c r="R49" s="99"/>
      <c r="S49" s="70"/>
      <c r="T49" s="74" t="s">
        <v>17969</v>
      </c>
      <c r="U49" s="62"/>
      <c r="V49" s="63"/>
      <c r="W49" s="75"/>
      <c r="X49" s="1"/>
      <c r="Y49" s="68" t="s">
        <v>1</v>
      </c>
      <c r="Z49" s="76">
        <v>0.2</v>
      </c>
      <c r="AA49" s="70" t="s">
        <v>422</v>
      </c>
      <c r="AB49" s="228">
        <f>ROUND((ROUND((ROUND((ROUND((_15_同援日０．５*_15・通訳),0)*(1+_15・A深夜)),0)*(1+_15・盲ろう)),0)*(1+_15・区３)),0)+ROUND((ROUND((ROUND((ROUND((_15_同援日０．５＿２．０*_15・通訳),0)*(1+_15・B早朝)),0)*(1+_15・盲ろう)),0)*(1+_15・区３)),0)</f>
        <v>989</v>
      </c>
      <c r="AC49" s="69"/>
    </row>
    <row r="50" spans="1:29" ht="16.5" customHeight="1" x14ac:dyDescent="0.3">
      <c r="A50" s="2">
        <v>15</v>
      </c>
      <c r="B50" s="2" t="s">
        <v>3758</v>
      </c>
      <c r="C50" s="60" t="s">
        <v>14269</v>
      </c>
      <c r="D50" s="1"/>
      <c r="E50" s="68"/>
      <c r="F50" s="70"/>
      <c r="G50" s="1"/>
      <c r="H50" s="68"/>
      <c r="I50" s="70"/>
      <c r="J50" s="67"/>
      <c r="K50" s="68"/>
      <c r="L50" s="76"/>
      <c r="M50" s="83" t="s">
        <v>5895</v>
      </c>
      <c r="N50" s="64" t="s">
        <v>1</v>
      </c>
      <c r="O50" s="65">
        <v>1</v>
      </c>
      <c r="P50" s="99"/>
      <c r="Q50" s="70"/>
      <c r="R50" s="99"/>
      <c r="S50" s="70"/>
      <c r="T50" s="81" t="s">
        <v>18274</v>
      </c>
      <c r="U50" s="57" t="s">
        <v>1</v>
      </c>
      <c r="V50" s="58">
        <v>0.25</v>
      </c>
      <c r="W50" s="77" t="s">
        <v>422</v>
      </c>
      <c r="X50" s="81"/>
      <c r="Y50" s="57"/>
      <c r="Z50" s="58"/>
      <c r="AA50" s="77"/>
      <c r="AB50" s="228">
        <f>ROUND((ROUND((ROUND((ROUND((ROUND((_15_同援日０．５*_15・通訳),0)*_15・２人),0)*(1+_15・A深夜)),0)*(1+_15・盲ろう)),0)*(1+_15・区３)),0)+ROUND((ROUND((ROUND((ROUND((ROUND((_15_同援日０．５＿２．０*_15・通訳),0)*_15・２人),0)*(1+_15・B早朝)),0)*(1+_15・盲ろう)),0)*(1+_15・区３)),0)</f>
        <v>989</v>
      </c>
      <c r="AC50" s="69"/>
    </row>
    <row r="51" spans="1:29" ht="16.5" customHeight="1" x14ac:dyDescent="0.3">
      <c r="A51" s="2">
        <v>15</v>
      </c>
      <c r="B51" s="2" t="s">
        <v>3759</v>
      </c>
      <c r="C51" s="60" t="s">
        <v>14268</v>
      </c>
      <c r="D51" s="1"/>
      <c r="E51" s="68"/>
      <c r="F51" s="70"/>
      <c r="G51" s="1"/>
      <c r="H51" s="68"/>
      <c r="I51" s="70"/>
      <c r="J51" s="67"/>
      <c r="K51" s="68"/>
      <c r="L51" s="76"/>
      <c r="M51" s="83"/>
      <c r="N51" s="64"/>
      <c r="O51" s="65"/>
      <c r="P51" s="99"/>
      <c r="Q51" s="70"/>
      <c r="R51" s="99"/>
      <c r="S51" s="70"/>
      <c r="T51" s="74"/>
      <c r="U51" s="62"/>
      <c r="V51" s="63"/>
      <c r="W51" s="75"/>
      <c r="X51" s="74" t="s">
        <v>18277</v>
      </c>
      <c r="Y51" s="62"/>
      <c r="Z51" s="63"/>
      <c r="AA51" s="75"/>
      <c r="AB51" s="228">
        <f>ROUND((ROUND((ROUND((_15_同援日０．５*_15・通訳),0)*(1+_15・A深夜)),0)*(1+_15・区４)),0)+ROUND((ROUND((ROUND((_15_同援日０．５＿２．０*_15・通訳),0)*(1+_15・B早朝)),0)*(1+_15・区４)),0)</f>
        <v>923</v>
      </c>
      <c r="AC51" s="69"/>
    </row>
    <row r="52" spans="1:29" ht="16.5" customHeight="1" x14ac:dyDescent="0.3">
      <c r="A52" s="2">
        <v>15</v>
      </c>
      <c r="B52" s="2" t="s">
        <v>3760</v>
      </c>
      <c r="C52" s="60" t="s">
        <v>14267</v>
      </c>
      <c r="D52" s="1"/>
      <c r="E52" s="68"/>
      <c r="F52" s="70"/>
      <c r="G52" s="1"/>
      <c r="H52" s="68"/>
      <c r="I52" s="70"/>
      <c r="J52" s="67"/>
      <c r="K52" s="68"/>
      <c r="L52" s="76"/>
      <c r="M52" s="83" t="s">
        <v>5895</v>
      </c>
      <c r="N52" s="64" t="s">
        <v>1</v>
      </c>
      <c r="O52" s="65">
        <v>1</v>
      </c>
      <c r="P52" s="99"/>
      <c r="Q52" s="70"/>
      <c r="R52" s="99"/>
      <c r="S52" s="70"/>
      <c r="T52" s="81"/>
      <c r="U52" s="57"/>
      <c r="V52" s="58"/>
      <c r="W52" s="77"/>
      <c r="X52" s="1" t="s">
        <v>17970</v>
      </c>
      <c r="Y52" s="68"/>
      <c r="Z52" s="76"/>
      <c r="AA52" s="70"/>
      <c r="AB52" s="228">
        <f>ROUND((ROUND((ROUND((ROUND((_15_同援日０．５*_15・通訳),0)*_15・２人),0)*(1+_15・A深夜)),0)*(1+_15・区４)),0)+ROUND((ROUND((ROUND((ROUND((_15_同援日０．５＿２．０*_15・通訳),0)*_15・２人),0)*(1+_15・B早朝)),0)*(1+_15・区４)),0)</f>
        <v>923</v>
      </c>
      <c r="AC52" s="69"/>
    </row>
    <row r="53" spans="1:29" ht="16.5" customHeight="1" x14ac:dyDescent="0.3">
      <c r="A53" s="2">
        <v>15</v>
      </c>
      <c r="B53" s="2" t="s">
        <v>3761</v>
      </c>
      <c r="C53" s="60" t="s">
        <v>14266</v>
      </c>
      <c r="D53" s="1"/>
      <c r="E53" s="68"/>
      <c r="F53" s="70"/>
      <c r="G53" s="1"/>
      <c r="H53" s="68"/>
      <c r="I53" s="70"/>
      <c r="J53" s="67"/>
      <c r="K53" s="68"/>
      <c r="L53" s="76"/>
      <c r="M53" s="83"/>
      <c r="N53" s="64"/>
      <c r="O53" s="65"/>
      <c r="P53" s="99"/>
      <c r="Q53" s="70"/>
      <c r="R53" s="99"/>
      <c r="S53" s="70"/>
      <c r="T53" s="74" t="s">
        <v>18275</v>
      </c>
      <c r="U53" s="62"/>
      <c r="V53" s="63"/>
      <c r="W53" s="75"/>
      <c r="X53" s="1"/>
      <c r="Y53" s="68" t="s">
        <v>1</v>
      </c>
      <c r="Z53" s="76">
        <v>0.4</v>
      </c>
      <c r="AA53" s="70" t="s">
        <v>422</v>
      </c>
      <c r="AB53" s="228">
        <f>ROUND((ROUND((ROUND((ROUND((_15_同援日０．５*_15・通訳),0)*(1+_15・A深夜)),0)*(1+_15・盲ろう)),0)*(1+_15・区４)),0)+ROUND((ROUND((ROUND((ROUND((_15_同援日０．５＿２．０*_15・通訳),0)*(1+_15・B早朝)),0)*(1+_15・盲ろう)),0)*(1+_15・区４)),0)</f>
        <v>1153</v>
      </c>
      <c r="AC53" s="69"/>
    </row>
    <row r="54" spans="1:29" ht="16.5" customHeight="1" x14ac:dyDescent="0.3">
      <c r="A54" s="2">
        <v>15</v>
      </c>
      <c r="B54" s="2" t="s">
        <v>3762</v>
      </c>
      <c r="C54" s="60" t="s">
        <v>14265</v>
      </c>
      <c r="D54" s="1"/>
      <c r="E54" s="68"/>
      <c r="F54" s="70"/>
      <c r="G54" s="81"/>
      <c r="H54" s="57"/>
      <c r="I54" s="77"/>
      <c r="J54" s="67"/>
      <c r="K54" s="68"/>
      <c r="L54" s="76"/>
      <c r="M54" s="83" t="s">
        <v>5895</v>
      </c>
      <c r="N54" s="64" t="s">
        <v>1</v>
      </c>
      <c r="O54" s="65">
        <v>1</v>
      </c>
      <c r="P54" s="99"/>
      <c r="Q54" s="70"/>
      <c r="R54" s="99"/>
      <c r="S54" s="70"/>
      <c r="T54" s="81" t="s">
        <v>18274</v>
      </c>
      <c r="U54" s="57" t="s">
        <v>1</v>
      </c>
      <c r="V54" s="58">
        <v>0.25</v>
      </c>
      <c r="W54" s="77" t="s">
        <v>422</v>
      </c>
      <c r="X54" s="81"/>
      <c r="Y54" s="57"/>
      <c r="Z54" s="58"/>
      <c r="AA54" s="77"/>
      <c r="AB54" s="228">
        <f>ROUND((ROUND((ROUND((ROUND((ROUND((_15_同援日０．５*_15・通訳),0)*_15・２人),0)*(1+_15・A深夜)),0)*(1+_15・盲ろう)),0)*(1+_15・区４)),0)+ROUND((ROUND((ROUND((ROUND((ROUND((_15_同援日０．５＿２．０*_15・通訳),0)*_15・２人),0)*(1+_15・B早朝)),0)*(1+_15・盲ろう)),0)*(1+_15・区４)),0)</f>
        <v>1153</v>
      </c>
      <c r="AC54" s="69"/>
    </row>
    <row r="55" spans="1:29" ht="16.5" customHeight="1" x14ac:dyDescent="0.3">
      <c r="A55" s="2">
        <v>15</v>
      </c>
      <c r="B55" s="2" t="s">
        <v>3763</v>
      </c>
      <c r="C55" s="60" t="s">
        <v>14264</v>
      </c>
      <c r="D55" s="1"/>
      <c r="E55" s="68"/>
      <c r="F55" s="70"/>
      <c r="G55" s="233" t="s">
        <v>18291</v>
      </c>
      <c r="H55" s="62"/>
      <c r="I55" s="75"/>
      <c r="J55" s="67"/>
      <c r="K55" s="68"/>
      <c r="L55" s="76"/>
      <c r="M55" s="83"/>
      <c r="N55" s="64"/>
      <c r="O55" s="65"/>
      <c r="P55" s="99"/>
      <c r="Q55" s="70"/>
      <c r="R55" s="99"/>
      <c r="S55" s="70"/>
      <c r="T55" s="74"/>
      <c r="U55" s="62"/>
      <c r="V55" s="63"/>
      <c r="W55" s="75"/>
      <c r="X55" s="74"/>
      <c r="Y55" s="62"/>
      <c r="Z55" s="63"/>
      <c r="AA55" s="75"/>
      <c r="AB55" s="228">
        <f>ROUND((ROUND((_15_同援日０．５*_15・通訳),0)*(1+_15・A深夜)),0)+ROUND((ROUND((_15_同援日０．５＿２．５*_15・通訳),0)*(1+_15・B早朝)),0)</f>
        <v>729</v>
      </c>
      <c r="AC55" s="69"/>
    </row>
    <row r="56" spans="1:29" ht="16.5" customHeight="1" x14ac:dyDescent="0.3">
      <c r="A56" s="2">
        <v>15</v>
      </c>
      <c r="B56" s="2" t="s">
        <v>3764</v>
      </c>
      <c r="C56" s="60" t="s">
        <v>14263</v>
      </c>
      <c r="D56" s="1"/>
      <c r="E56" s="68"/>
      <c r="F56" s="70"/>
      <c r="G56" s="1" t="s">
        <v>18279</v>
      </c>
      <c r="H56" s="68"/>
      <c r="I56" s="70"/>
      <c r="J56" s="67"/>
      <c r="K56" s="68"/>
      <c r="L56" s="76"/>
      <c r="M56" s="83" t="s">
        <v>5895</v>
      </c>
      <c r="N56" s="64" t="s">
        <v>1</v>
      </c>
      <c r="O56" s="65">
        <v>1</v>
      </c>
      <c r="P56" s="99"/>
      <c r="Q56" s="70"/>
      <c r="R56" s="99"/>
      <c r="S56" s="70"/>
      <c r="T56" s="81"/>
      <c r="U56" s="57"/>
      <c r="V56" s="58"/>
      <c r="W56" s="77"/>
      <c r="X56" s="1"/>
      <c r="Y56" s="68"/>
      <c r="Z56" s="76"/>
      <c r="AA56" s="70"/>
      <c r="AB56" s="228">
        <f>ROUND((ROUND((ROUND((_15_同援日０．５*_15・通訳),0)*_15・２人),0)*(1+_15・A深夜)),0)+ROUND((ROUND((ROUND((_15_同援日０．５＿２．５*_15・通訳),0)*_15・２人),0)*(1+_15・B早朝)),0)</f>
        <v>729</v>
      </c>
      <c r="AC56" s="69"/>
    </row>
    <row r="57" spans="1:29" ht="16.5" customHeight="1" x14ac:dyDescent="0.3">
      <c r="A57" s="2">
        <v>15</v>
      </c>
      <c r="B57" s="2" t="s">
        <v>3765</v>
      </c>
      <c r="C57" s="60" t="s">
        <v>14262</v>
      </c>
      <c r="D57" s="1"/>
      <c r="E57" s="68"/>
      <c r="F57" s="70"/>
      <c r="G57" s="1" t="s">
        <v>8499</v>
      </c>
      <c r="H57" s="68"/>
      <c r="I57" s="70"/>
      <c r="J57" s="67"/>
      <c r="K57" s="68"/>
      <c r="L57" s="76"/>
      <c r="M57" s="83"/>
      <c r="N57" s="64"/>
      <c r="O57" s="65"/>
      <c r="P57" s="99"/>
      <c r="Q57" s="70"/>
      <c r="R57" s="99"/>
      <c r="S57" s="70"/>
      <c r="T57" s="74" t="s">
        <v>18275</v>
      </c>
      <c r="U57" s="62"/>
      <c r="V57" s="63"/>
      <c r="W57" s="75"/>
      <c r="X57" s="1"/>
      <c r="Y57" s="68"/>
      <c r="Z57" s="76"/>
      <c r="AA57" s="70"/>
      <c r="AB57" s="228">
        <f>ROUND((ROUND((ROUND((_15_同援日０．５*_15・通訳),0)*(1+_15・A深夜)),0)*(1+_15・盲ろう)),0)+ROUND((ROUND((ROUND((_15_同援日０．５＿２．５*_15・通訳),0)*(1+_15・B早朝)),0)*(1+_15・盲ろう)),0)</f>
        <v>911</v>
      </c>
      <c r="AC57" s="69"/>
    </row>
    <row r="58" spans="1:29" ht="16.5" customHeight="1" x14ac:dyDescent="0.3">
      <c r="A58" s="2">
        <v>15</v>
      </c>
      <c r="B58" s="2" t="s">
        <v>3766</v>
      </c>
      <c r="C58" s="60" t="s">
        <v>14261</v>
      </c>
      <c r="D58" s="1"/>
      <c r="E58" s="68"/>
      <c r="F58" s="70"/>
      <c r="G58" s="1"/>
      <c r="H58" s="227">
        <v>427</v>
      </c>
      <c r="I58" s="70" t="s">
        <v>0</v>
      </c>
      <c r="J58" s="67"/>
      <c r="K58" s="68"/>
      <c r="L58" s="76"/>
      <c r="M58" s="83" t="s">
        <v>5895</v>
      </c>
      <c r="N58" s="64" t="s">
        <v>1</v>
      </c>
      <c r="O58" s="65">
        <v>1</v>
      </c>
      <c r="P58" s="99"/>
      <c r="Q58" s="70"/>
      <c r="R58" s="99"/>
      <c r="S58" s="70"/>
      <c r="T58" s="81" t="s">
        <v>8083</v>
      </c>
      <c r="U58" s="57" t="s">
        <v>1</v>
      </c>
      <c r="V58" s="58">
        <v>0.25</v>
      </c>
      <c r="W58" s="77" t="s">
        <v>422</v>
      </c>
      <c r="X58" s="81"/>
      <c r="Y58" s="57"/>
      <c r="Z58" s="58"/>
      <c r="AA58" s="77"/>
      <c r="AB58" s="228">
        <f>ROUND((ROUND((ROUND((ROUND((_15_同援日０．５*_15・通訳),0)*_15・２人),0)*(1+_15・A深夜)),0)*(1+_15・盲ろう)),0)+ROUND((ROUND((ROUND((ROUND((_15_同援日０．５＿２．５*_15・通訳),0)*_15・２人),0)*(1+_15・B早朝)),0)*(1+_15・盲ろう)),0)</f>
        <v>911</v>
      </c>
      <c r="AC58" s="69"/>
    </row>
    <row r="59" spans="1:29" ht="16.5" customHeight="1" x14ac:dyDescent="0.3">
      <c r="A59" s="2">
        <v>15</v>
      </c>
      <c r="B59" s="2" t="s">
        <v>3767</v>
      </c>
      <c r="C59" s="60" t="s">
        <v>14260</v>
      </c>
      <c r="D59" s="1"/>
      <c r="E59" s="68"/>
      <c r="F59" s="70"/>
      <c r="G59" s="1"/>
      <c r="H59" s="68"/>
      <c r="I59" s="70"/>
      <c r="J59" s="67"/>
      <c r="K59" s="68"/>
      <c r="L59" s="76"/>
      <c r="M59" s="83"/>
      <c r="N59" s="64"/>
      <c r="O59" s="65"/>
      <c r="P59" s="99"/>
      <c r="Q59" s="70"/>
      <c r="R59" s="99"/>
      <c r="S59" s="70"/>
      <c r="T59" s="74"/>
      <c r="U59" s="62"/>
      <c r="V59" s="63"/>
      <c r="W59" s="75"/>
      <c r="X59" s="74" t="s">
        <v>18278</v>
      </c>
      <c r="Y59" s="62"/>
      <c r="Z59" s="63"/>
      <c r="AA59" s="75"/>
      <c r="AB59" s="228">
        <f>ROUND((ROUND((ROUND((_15_同援日０．５*_15・通訳),0)*(1+_15・A深夜)),0)*(1+_15・区３)),0)+ROUND((ROUND((ROUND((_15_同援日０．５＿２．５*_15・通訳),0)*(1+_15・B早朝)),0)*(1+_15・区３)),0)</f>
        <v>875</v>
      </c>
      <c r="AC59" s="69"/>
    </row>
    <row r="60" spans="1:29" ht="16.5" customHeight="1" x14ac:dyDescent="0.3">
      <c r="A60" s="2">
        <v>15</v>
      </c>
      <c r="B60" s="2" t="s">
        <v>3768</v>
      </c>
      <c r="C60" s="60" t="s">
        <v>14259</v>
      </c>
      <c r="D60" s="1"/>
      <c r="E60" s="68"/>
      <c r="F60" s="70"/>
      <c r="G60" s="1"/>
      <c r="H60" s="68"/>
      <c r="I60" s="70"/>
      <c r="J60" s="67"/>
      <c r="K60" s="68"/>
      <c r="L60" s="76"/>
      <c r="M60" s="83" t="s">
        <v>5895</v>
      </c>
      <c r="N60" s="64" t="s">
        <v>1</v>
      </c>
      <c r="O60" s="65">
        <v>1</v>
      </c>
      <c r="P60" s="99"/>
      <c r="Q60" s="70"/>
      <c r="R60" s="99"/>
      <c r="S60" s="70"/>
      <c r="T60" s="81"/>
      <c r="U60" s="57"/>
      <c r="V60" s="58"/>
      <c r="W60" s="77"/>
      <c r="X60" s="1" t="s">
        <v>18276</v>
      </c>
      <c r="Y60" s="68"/>
      <c r="Z60" s="76"/>
      <c r="AA60" s="70"/>
      <c r="AB60" s="228">
        <f>ROUND((ROUND((ROUND((ROUND((_15_同援日０．５*_15・通訳),0)*_15・２人),0)*(1+_15・A深夜)),0)*(1+_15・区３)),0)+ROUND((ROUND((ROUND((ROUND((_15_同援日０．５＿２．５*_15・通訳),0)*_15・２人),0)*(1+_15・B早朝)),0)*(1+_15・区３)),0)</f>
        <v>875</v>
      </c>
      <c r="AC60" s="69"/>
    </row>
    <row r="61" spans="1:29" ht="16.5" customHeight="1" x14ac:dyDescent="0.3">
      <c r="A61" s="2">
        <v>15</v>
      </c>
      <c r="B61" s="2" t="s">
        <v>3769</v>
      </c>
      <c r="C61" s="60" t="s">
        <v>14258</v>
      </c>
      <c r="D61" s="1"/>
      <c r="E61" s="68"/>
      <c r="F61" s="70"/>
      <c r="G61" s="1"/>
      <c r="H61" s="68"/>
      <c r="I61" s="70"/>
      <c r="J61" s="67"/>
      <c r="K61" s="68"/>
      <c r="L61" s="76"/>
      <c r="M61" s="83"/>
      <c r="N61" s="64"/>
      <c r="O61" s="65"/>
      <c r="P61" s="99"/>
      <c r="Q61" s="70"/>
      <c r="R61" s="99"/>
      <c r="S61" s="70"/>
      <c r="T61" s="74" t="s">
        <v>18275</v>
      </c>
      <c r="U61" s="62"/>
      <c r="V61" s="63"/>
      <c r="W61" s="75"/>
      <c r="X61" s="1"/>
      <c r="Y61" s="68" t="s">
        <v>1</v>
      </c>
      <c r="Z61" s="76">
        <v>0.2</v>
      </c>
      <c r="AA61" s="70" t="s">
        <v>422</v>
      </c>
      <c r="AB61" s="228">
        <f>ROUND((ROUND((ROUND((ROUND((_15_同援日０．５*_15・通訳),0)*(1+_15・A深夜)),0)*(1+_15・盲ろう)),0)*(1+_15・区３)),0)+ROUND((ROUND((ROUND((ROUND((_15_同援日０．５＿２．５*_15・通訳),0)*(1+_15・B早朝)),0)*(1+_15・盲ろう)),0)*(1+_15・区３)),0)</f>
        <v>1093</v>
      </c>
      <c r="AC61" s="69"/>
    </row>
    <row r="62" spans="1:29" ht="16.5" customHeight="1" x14ac:dyDescent="0.3">
      <c r="A62" s="2">
        <v>15</v>
      </c>
      <c r="B62" s="2" t="s">
        <v>3770</v>
      </c>
      <c r="C62" s="60" t="s">
        <v>14257</v>
      </c>
      <c r="D62" s="1"/>
      <c r="E62" s="68"/>
      <c r="F62" s="70"/>
      <c r="G62" s="1"/>
      <c r="H62" s="68"/>
      <c r="I62" s="70"/>
      <c r="J62" s="67"/>
      <c r="K62" s="68"/>
      <c r="L62" s="76"/>
      <c r="M62" s="83" t="s">
        <v>5895</v>
      </c>
      <c r="N62" s="64" t="s">
        <v>1</v>
      </c>
      <c r="O62" s="65">
        <v>1</v>
      </c>
      <c r="P62" s="99"/>
      <c r="Q62" s="70"/>
      <c r="R62" s="99"/>
      <c r="S62" s="70"/>
      <c r="T62" s="81" t="s">
        <v>17968</v>
      </c>
      <c r="U62" s="57" t="s">
        <v>1</v>
      </c>
      <c r="V62" s="58">
        <v>0.25</v>
      </c>
      <c r="W62" s="77" t="s">
        <v>422</v>
      </c>
      <c r="X62" s="81"/>
      <c r="Y62" s="57"/>
      <c r="Z62" s="58"/>
      <c r="AA62" s="77"/>
      <c r="AB62" s="228">
        <f>ROUND((ROUND((ROUND((ROUND((ROUND((_15_同援日０．５*_15・通訳),0)*_15・２人),0)*(1+_15・A深夜)),0)*(1+_15・盲ろう)),0)*(1+_15・区３)),0)+ROUND((ROUND((ROUND((ROUND((ROUND((_15_同援日０．５＿２．５*_15・通訳),0)*_15・２人),0)*(1+_15・B早朝)),0)*(1+_15・盲ろう)),0)*(1+_15・区３)),0)</f>
        <v>1093</v>
      </c>
      <c r="AC62" s="69"/>
    </row>
    <row r="63" spans="1:29" ht="16.5" customHeight="1" x14ac:dyDescent="0.3">
      <c r="A63" s="2">
        <v>15</v>
      </c>
      <c r="B63" s="2" t="s">
        <v>3771</v>
      </c>
      <c r="C63" s="60" t="s">
        <v>14256</v>
      </c>
      <c r="D63" s="1"/>
      <c r="E63" s="68"/>
      <c r="F63" s="70"/>
      <c r="G63" s="1"/>
      <c r="H63" s="68"/>
      <c r="I63" s="70"/>
      <c r="J63" s="67"/>
      <c r="K63" s="68"/>
      <c r="L63" s="76"/>
      <c r="M63" s="83"/>
      <c r="N63" s="64"/>
      <c r="O63" s="65"/>
      <c r="P63" s="99"/>
      <c r="Q63" s="70"/>
      <c r="R63" s="99"/>
      <c r="S63" s="70"/>
      <c r="T63" s="74"/>
      <c r="U63" s="62"/>
      <c r="V63" s="63"/>
      <c r="W63" s="75"/>
      <c r="X63" s="74" t="s">
        <v>18277</v>
      </c>
      <c r="Y63" s="62"/>
      <c r="Z63" s="63"/>
      <c r="AA63" s="75"/>
      <c r="AB63" s="228">
        <f>ROUND((ROUND((ROUND((_15_同援日０．５*_15・通訳),0)*(1+_15・A深夜)),0)*(1+_15・区４)),0)+ROUND((ROUND((ROUND((_15_同援日０．５＿２．５*_15・通訳),0)*(1+_15・B早朝)),0)*(1+_15・区４)),0)</f>
        <v>1021</v>
      </c>
      <c r="AC63" s="69"/>
    </row>
    <row r="64" spans="1:29" ht="16.5" customHeight="1" x14ac:dyDescent="0.3">
      <c r="A64" s="2">
        <v>15</v>
      </c>
      <c r="B64" s="2" t="s">
        <v>3772</v>
      </c>
      <c r="C64" s="60" t="s">
        <v>14255</v>
      </c>
      <c r="D64" s="1"/>
      <c r="E64" s="68"/>
      <c r="F64" s="70"/>
      <c r="G64" s="1"/>
      <c r="H64" s="68"/>
      <c r="I64" s="70"/>
      <c r="J64" s="67"/>
      <c r="K64" s="68"/>
      <c r="L64" s="76"/>
      <c r="M64" s="83" t="s">
        <v>5895</v>
      </c>
      <c r="N64" s="64" t="s">
        <v>1</v>
      </c>
      <c r="O64" s="65">
        <v>1</v>
      </c>
      <c r="P64" s="99"/>
      <c r="Q64" s="70"/>
      <c r="R64" s="99"/>
      <c r="S64" s="70"/>
      <c r="T64" s="81"/>
      <c r="U64" s="57"/>
      <c r="V64" s="58"/>
      <c r="W64" s="77"/>
      <c r="X64" s="1" t="s">
        <v>18276</v>
      </c>
      <c r="Y64" s="68"/>
      <c r="Z64" s="76"/>
      <c r="AA64" s="70"/>
      <c r="AB64" s="228">
        <f>ROUND((ROUND((ROUND((ROUND((_15_同援日０．５*_15・通訳),0)*_15・２人),0)*(1+_15・A深夜)),0)*(1+_15・区４)),0)+ROUND((ROUND((ROUND((ROUND((_15_同援日０．５＿２．５*_15・通訳),0)*_15・２人),0)*(1+_15・B早朝)),0)*(1+_15・区４)),0)</f>
        <v>1021</v>
      </c>
      <c r="AC64" s="69"/>
    </row>
    <row r="65" spans="1:29" ht="16.5" customHeight="1" x14ac:dyDescent="0.3">
      <c r="A65" s="2">
        <v>15</v>
      </c>
      <c r="B65" s="2" t="s">
        <v>3773</v>
      </c>
      <c r="C65" s="60" t="s">
        <v>14254</v>
      </c>
      <c r="D65" s="1"/>
      <c r="E65" s="68"/>
      <c r="F65" s="70"/>
      <c r="G65" s="1"/>
      <c r="H65" s="68"/>
      <c r="I65" s="70"/>
      <c r="J65" s="67"/>
      <c r="K65" s="68"/>
      <c r="L65" s="76"/>
      <c r="M65" s="83"/>
      <c r="N65" s="64"/>
      <c r="O65" s="65"/>
      <c r="P65" s="99"/>
      <c r="Q65" s="70"/>
      <c r="R65" s="99"/>
      <c r="S65" s="70"/>
      <c r="T65" s="74" t="s">
        <v>18275</v>
      </c>
      <c r="U65" s="62"/>
      <c r="V65" s="63"/>
      <c r="W65" s="75"/>
      <c r="X65" s="1"/>
      <c r="Y65" s="68" t="s">
        <v>1</v>
      </c>
      <c r="Z65" s="76">
        <v>0.4</v>
      </c>
      <c r="AA65" s="70" t="s">
        <v>422</v>
      </c>
      <c r="AB65" s="228">
        <f>ROUND((ROUND((ROUND((ROUND((_15_同援日０．５*_15・通訳),0)*(1+_15・A深夜)),0)*(1+_15・盲ろう)),0)*(1+_15・区４)),0)+ROUND((ROUND((ROUND((ROUND((_15_同援日０．５＿２．５*_15・通訳),0)*(1+_15・B早朝)),0)*(1+_15・盲ろう)),0)*(1+_15・区４)),0)</f>
        <v>1275</v>
      </c>
      <c r="AC65" s="69"/>
    </row>
    <row r="66" spans="1:29" ht="16.5" customHeight="1" x14ac:dyDescent="0.3">
      <c r="A66" s="2">
        <v>15</v>
      </c>
      <c r="B66" s="2" t="s">
        <v>3774</v>
      </c>
      <c r="C66" s="60" t="s">
        <v>14253</v>
      </c>
      <c r="D66" s="81"/>
      <c r="E66" s="57"/>
      <c r="F66" s="77"/>
      <c r="G66" s="81"/>
      <c r="H66" s="57"/>
      <c r="I66" s="77"/>
      <c r="J66" s="67"/>
      <c r="K66" s="68"/>
      <c r="L66" s="76"/>
      <c r="M66" s="83" t="s">
        <v>5895</v>
      </c>
      <c r="N66" s="64" t="s">
        <v>1</v>
      </c>
      <c r="O66" s="65">
        <v>1</v>
      </c>
      <c r="P66" s="99"/>
      <c r="Q66" s="70"/>
      <c r="R66" s="99"/>
      <c r="S66" s="70"/>
      <c r="T66" s="81" t="s">
        <v>18274</v>
      </c>
      <c r="U66" s="57" t="s">
        <v>1</v>
      </c>
      <c r="V66" s="58">
        <v>0.25</v>
      </c>
      <c r="W66" s="77" t="s">
        <v>422</v>
      </c>
      <c r="X66" s="81"/>
      <c r="Y66" s="57"/>
      <c r="Z66" s="58"/>
      <c r="AA66" s="77"/>
      <c r="AB66" s="228">
        <f>ROUND((ROUND((ROUND((ROUND((ROUND((_15_同援日０．５*_15・通訳),0)*_15・２人),0)*(1+_15・A深夜)),0)*(1+_15・盲ろう)),0)*(1+_15・区４)),0)+ROUND((ROUND((ROUND((ROUND((ROUND((_15_同援日０．５＿２．５*_15・通訳),0)*_15・２人),0)*(1+_15・B早朝)),0)*(1+_15・盲ろう)),0)*(1+_15・区４)),0)</f>
        <v>1275</v>
      </c>
      <c r="AC66" s="69"/>
    </row>
    <row r="67" spans="1:29" ht="16.5" customHeight="1" x14ac:dyDescent="0.3">
      <c r="A67" s="2">
        <v>15</v>
      </c>
      <c r="B67" s="2" t="s">
        <v>3775</v>
      </c>
      <c r="C67" s="60" t="s">
        <v>14252</v>
      </c>
      <c r="D67" s="233" t="s">
        <v>18290</v>
      </c>
      <c r="E67" s="235"/>
      <c r="F67" s="75"/>
      <c r="G67" s="233" t="s">
        <v>18280</v>
      </c>
      <c r="H67" s="62"/>
      <c r="I67" s="75"/>
      <c r="J67" s="67"/>
      <c r="K67" s="68"/>
      <c r="L67" s="76"/>
      <c r="M67" s="83"/>
      <c r="N67" s="64"/>
      <c r="O67" s="65"/>
      <c r="P67" s="99"/>
      <c r="Q67" s="70"/>
      <c r="R67" s="99"/>
      <c r="S67" s="70"/>
      <c r="T67" s="74"/>
      <c r="U67" s="62"/>
      <c r="V67" s="63"/>
      <c r="W67" s="75"/>
      <c r="X67" s="74"/>
      <c r="Y67" s="62"/>
      <c r="Z67" s="63"/>
      <c r="AA67" s="75"/>
      <c r="AB67" s="228">
        <f>ROUND((ROUND((_15_同援日１．０*_15・通訳),0)*(1+_15・A深夜)),0)+ROUND((ROUND((_15_同援日１．０＿０．５*_15・通訳),0)*(1+_15・B早朝)),0)</f>
        <v>540</v>
      </c>
      <c r="AC67" s="69"/>
    </row>
    <row r="68" spans="1:29" ht="16.5" customHeight="1" x14ac:dyDescent="0.3">
      <c r="A68" s="2">
        <v>15</v>
      </c>
      <c r="B68" s="2" t="s">
        <v>3776</v>
      </c>
      <c r="C68" s="60" t="s">
        <v>14251</v>
      </c>
      <c r="D68" s="1" t="s">
        <v>18282</v>
      </c>
      <c r="E68" s="68"/>
      <c r="F68" s="70"/>
      <c r="G68" s="1" t="s">
        <v>7928</v>
      </c>
      <c r="H68" s="68"/>
      <c r="I68" s="70"/>
      <c r="J68" s="67"/>
      <c r="K68" s="68"/>
      <c r="L68" s="76"/>
      <c r="M68" s="83" t="s">
        <v>5895</v>
      </c>
      <c r="N68" s="64" t="s">
        <v>1</v>
      </c>
      <c r="O68" s="65">
        <v>1</v>
      </c>
      <c r="P68" s="99"/>
      <c r="Q68" s="70"/>
      <c r="R68" s="99"/>
      <c r="S68" s="70"/>
      <c r="T68" s="81"/>
      <c r="U68" s="57"/>
      <c r="V68" s="58"/>
      <c r="W68" s="77"/>
      <c r="X68" s="1"/>
      <c r="Y68" s="68"/>
      <c r="Z68" s="76"/>
      <c r="AA68" s="70"/>
      <c r="AB68" s="228">
        <f>ROUND((ROUND((ROUND((_15_同援日１．０*_15・通訳),0)*_15・２人),0)*(1+_15・A深夜)),0)+ROUND((ROUND((ROUND((_15_同援日１．０＿０．５*_15・通訳),0)*_15・２人),0)*(1+_15・B早朝)),0)</f>
        <v>540</v>
      </c>
      <c r="AC68" s="69"/>
    </row>
    <row r="69" spans="1:29" ht="16.5" customHeight="1" x14ac:dyDescent="0.3">
      <c r="A69" s="2">
        <v>15</v>
      </c>
      <c r="B69" s="2" t="s">
        <v>3777</v>
      </c>
      <c r="C69" s="60" t="s">
        <v>14250</v>
      </c>
      <c r="D69" s="1" t="s">
        <v>8572</v>
      </c>
      <c r="E69" s="68"/>
      <c r="F69" s="70"/>
      <c r="G69" s="1"/>
      <c r="H69" s="68"/>
      <c r="I69" s="70"/>
      <c r="J69" s="67"/>
      <c r="K69" s="68"/>
      <c r="L69" s="76"/>
      <c r="M69" s="83"/>
      <c r="N69" s="64"/>
      <c r="O69" s="65"/>
      <c r="P69" s="99"/>
      <c r="Q69" s="70"/>
      <c r="R69" s="99"/>
      <c r="S69" s="70"/>
      <c r="T69" s="74" t="s">
        <v>18275</v>
      </c>
      <c r="U69" s="62"/>
      <c r="V69" s="63"/>
      <c r="W69" s="75"/>
      <c r="X69" s="1"/>
      <c r="Y69" s="68"/>
      <c r="Z69" s="76"/>
      <c r="AA69" s="70"/>
      <c r="AB69" s="228">
        <f>ROUND((ROUND((ROUND((_15_同援日１．０*_15・通訳),0)*(1+_15・A深夜)),0)*(1+_15・盲ろう)),0)+ROUND((ROUND((ROUND((_15_同援日１．０＿０．５*_15・通訳),0)*(1+_15・B早朝)),0)*(1+_15・盲ろう)),0)</f>
        <v>675</v>
      </c>
      <c r="AC69" s="69"/>
    </row>
    <row r="70" spans="1:29" ht="16.5" customHeight="1" x14ac:dyDescent="0.3">
      <c r="A70" s="2">
        <v>15</v>
      </c>
      <c r="B70" s="2" t="s">
        <v>3778</v>
      </c>
      <c r="C70" s="60" t="s">
        <v>14249</v>
      </c>
      <c r="D70" s="1"/>
      <c r="E70" s="227">
        <v>292</v>
      </c>
      <c r="F70" s="70" t="s">
        <v>0</v>
      </c>
      <c r="G70" s="1"/>
      <c r="H70" s="119">
        <v>129</v>
      </c>
      <c r="I70" s="70" t="s">
        <v>0</v>
      </c>
      <c r="J70" s="67"/>
      <c r="K70" s="68"/>
      <c r="L70" s="76"/>
      <c r="M70" s="83" t="s">
        <v>5895</v>
      </c>
      <c r="N70" s="64" t="s">
        <v>1</v>
      </c>
      <c r="O70" s="65">
        <v>1</v>
      </c>
      <c r="P70" s="99"/>
      <c r="Q70" s="70"/>
      <c r="R70" s="99"/>
      <c r="S70" s="70"/>
      <c r="T70" s="81" t="s">
        <v>18274</v>
      </c>
      <c r="U70" s="57" t="s">
        <v>1</v>
      </c>
      <c r="V70" s="58">
        <v>0.25</v>
      </c>
      <c r="W70" s="77" t="s">
        <v>422</v>
      </c>
      <c r="X70" s="81"/>
      <c r="Y70" s="57"/>
      <c r="Z70" s="58"/>
      <c r="AA70" s="77"/>
      <c r="AB70" s="228">
        <f>ROUND((ROUND((ROUND((ROUND((_15_同援日１．０*_15・通訳),0)*_15・２人),0)*(1+_15・A深夜)),0)*(1+_15・盲ろう)),0)+ROUND((ROUND((ROUND((ROUND((_15_同援日１．０＿０．５*_15・通訳),0)*_15・２人),0)*(1+_15・B早朝)),0)*(1+_15・盲ろう)),0)</f>
        <v>675</v>
      </c>
      <c r="AC70" s="69"/>
    </row>
    <row r="71" spans="1:29" ht="16.5" customHeight="1" x14ac:dyDescent="0.3">
      <c r="A71" s="2">
        <v>15</v>
      </c>
      <c r="B71" s="2" t="s">
        <v>3779</v>
      </c>
      <c r="C71" s="60" t="s">
        <v>14248</v>
      </c>
      <c r="D71" s="1"/>
      <c r="E71" s="68"/>
      <c r="F71" s="70"/>
      <c r="G71" s="1"/>
      <c r="H71" s="68"/>
      <c r="I71" s="70"/>
      <c r="J71" s="67"/>
      <c r="K71" s="68"/>
      <c r="L71" s="76"/>
      <c r="M71" s="83"/>
      <c r="N71" s="64"/>
      <c r="O71" s="65"/>
      <c r="P71" s="99"/>
      <c r="Q71" s="70"/>
      <c r="R71" s="99"/>
      <c r="S71" s="70"/>
      <c r="T71" s="74"/>
      <c r="U71" s="62"/>
      <c r="V71" s="63"/>
      <c r="W71" s="75"/>
      <c r="X71" s="74" t="s">
        <v>18278</v>
      </c>
      <c r="Y71" s="62"/>
      <c r="Z71" s="63"/>
      <c r="AA71" s="75"/>
      <c r="AB71" s="228">
        <f>ROUND((ROUND((ROUND((_15_同援日１．０*_15・通訳),0)*(1+_15・A深夜)),0)*(1+_15・区３)),0)+ROUND((ROUND((ROUND((_15_同援日１．０＿０．５*_15・通訳),0)*(1+_15・B早朝)),0)*(1+_15・区３)),0)</f>
        <v>648</v>
      </c>
      <c r="AC71" s="69"/>
    </row>
    <row r="72" spans="1:29" ht="16.5" customHeight="1" x14ac:dyDescent="0.3">
      <c r="A72" s="2">
        <v>15</v>
      </c>
      <c r="B72" s="2" t="s">
        <v>3780</v>
      </c>
      <c r="C72" s="60" t="s">
        <v>14247</v>
      </c>
      <c r="D72" s="1"/>
      <c r="E72" s="68"/>
      <c r="F72" s="70"/>
      <c r="G72" s="1"/>
      <c r="H72" s="68"/>
      <c r="I72" s="70"/>
      <c r="J72" s="67"/>
      <c r="K72" s="68"/>
      <c r="L72" s="76"/>
      <c r="M72" s="83" t="s">
        <v>5895</v>
      </c>
      <c r="N72" s="64" t="s">
        <v>1</v>
      </c>
      <c r="O72" s="65">
        <v>1</v>
      </c>
      <c r="P72" s="99"/>
      <c r="Q72" s="70"/>
      <c r="R72" s="99"/>
      <c r="S72" s="70"/>
      <c r="T72" s="81"/>
      <c r="U72" s="57"/>
      <c r="V72" s="58"/>
      <c r="W72" s="77"/>
      <c r="X72" s="1" t="s">
        <v>18276</v>
      </c>
      <c r="Y72" s="68"/>
      <c r="Z72" s="76"/>
      <c r="AA72" s="70"/>
      <c r="AB72" s="228">
        <f>ROUND((ROUND((ROUND((ROUND((_15_同援日１．０*_15・通訳),0)*_15・２人),0)*(1+_15・A深夜)),0)*(1+_15・区３)),0)+ROUND((ROUND((ROUND((ROUND((_15_同援日１．０＿０．５*_15・通訳),0)*_15・２人),0)*(1+_15・B早朝)),0)*(1+_15・区３)),0)</f>
        <v>648</v>
      </c>
      <c r="AC72" s="69"/>
    </row>
    <row r="73" spans="1:29" ht="16.5" customHeight="1" x14ac:dyDescent="0.3">
      <c r="A73" s="2">
        <v>15</v>
      </c>
      <c r="B73" s="2" t="s">
        <v>3781</v>
      </c>
      <c r="C73" s="60" t="s">
        <v>14246</v>
      </c>
      <c r="D73" s="1"/>
      <c r="E73" s="68"/>
      <c r="F73" s="70"/>
      <c r="G73" s="1"/>
      <c r="H73" s="68"/>
      <c r="I73" s="70"/>
      <c r="J73" s="67"/>
      <c r="K73" s="68"/>
      <c r="L73" s="76"/>
      <c r="M73" s="83"/>
      <c r="N73" s="64"/>
      <c r="O73" s="65"/>
      <c r="P73" s="99"/>
      <c r="Q73" s="70"/>
      <c r="R73" s="99"/>
      <c r="S73" s="70"/>
      <c r="T73" s="74" t="s">
        <v>18275</v>
      </c>
      <c r="U73" s="62"/>
      <c r="V73" s="63"/>
      <c r="W73" s="75"/>
      <c r="X73" s="1"/>
      <c r="Y73" s="68" t="s">
        <v>1</v>
      </c>
      <c r="Z73" s="76">
        <v>0.2</v>
      </c>
      <c r="AA73" s="70" t="s">
        <v>422</v>
      </c>
      <c r="AB73" s="228">
        <f>ROUND((ROUND((ROUND((ROUND((_15_同援日１．０*_15・通訳),0)*(1+_15・A深夜)),0)*(1+_15・盲ろう)),0)*(1+_15・区３)),0)+ROUND((ROUND((ROUND((ROUND((_15_同援日１．０＿０．５*_15・通訳),0)*(1+_15・B早朝)),0)*(1+_15・盲ろう)),0)*(1+_15・区３)),0)</f>
        <v>810</v>
      </c>
      <c r="AC73" s="69"/>
    </row>
    <row r="74" spans="1:29" ht="16.5" customHeight="1" x14ac:dyDescent="0.3">
      <c r="A74" s="2">
        <v>15</v>
      </c>
      <c r="B74" s="2" t="s">
        <v>3782</v>
      </c>
      <c r="C74" s="60" t="s">
        <v>14245</v>
      </c>
      <c r="D74" s="1"/>
      <c r="E74" s="68"/>
      <c r="F74" s="70"/>
      <c r="G74" s="1"/>
      <c r="H74" s="68"/>
      <c r="I74" s="70"/>
      <c r="J74" s="67"/>
      <c r="K74" s="68"/>
      <c r="L74" s="76"/>
      <c r="M74" s="83" t="s">
        <v>5895</v>
      </c>
      <c r="N74" s="64" t="s">
        <v>1</v>
      </c>
      <c r="O74" s="65">
        <v>1</v>
      </c>
      <c r="P74" s="99"/>
      <c r="Q74" s="70"/>
      <c r="R74" s="99"/>
      <c r="S74" s="70"/>
      <c r="T74" s="81" t="s">
        <v>18274</v>
      </c>
      <c r="U74" s="57" t="s">
        <v>1</v>
      </c>
      <c r="V74" s="58">
        <v>0.25</v>
      </c>
      <c r="W74" s="77" t="s">
        <v>422</v>
      </c>
      <c r="X74" s="81"/>
      <c r="Y74" s="57"/>
      <c r="Z74" s="58"/>
      <c r="AA74" s="77"/>
      <c r="AB74" s="228">
        <f>ROUND((ROUND((ROUND((ROUND((ROUND((_15_同援日１．０*_15・通訳),0)*_15・２人),0)*(1+_15・A深夜)),0)*(1+_15・盲ろう)),0)*(1+_15・区３)),0)+ROUND((ROUND((ROUND((ROUND((ROUND((_15_同援日１．０＿０．５*_15・通訳),0)*_15・２人),0)*(1+_15・B早朝)),0)*(1+_15・盲ろう)),0)*(1+_15・区３)),0)</f>
        <v>810</v>
      </c>
      <c r="AC74" s="69"/>
    </row>
    <row r="75" spans="1:29" ht="16.5" customHeight="1" x14ac:dyDescent="0.3">
      <c r="A75" s="2">
        <v>15</v>
      </c>
      <c r="B75" s="2" t="s">
        <v>3783</v>
      </c>
      <c r="C75" s="60" t="s">
        <v>14244</v>
      </c>
      <c r="D75" s="1"/>
      <c r="E75" s="68"/>
      <c r="F75" s="70"/>
      <c r="G75" s="1"/>
      <c r="H75" s="68"/>
      <c r="I75" s="70"/>
      <c r="J75" s="67"/>
      <c r="K75" s="68"/>
      <c r="L75" s="76"/>
      <c r="M75" s="83"/>
      <c r="N75" s="64"/>
      <c r="O75" s="65"/>
      <c r="P75" s="99"/>
      <c r="Q75" s="70"/>
      <c r="R75" s="99"/>
      <c r="S75" s="70"/>
      <c r="T75" s="74"/>
      <c r="U75" s="62"/>
      <c r="V75" s="63"/>
      <c r="W75" s="75"/>
      <c r="X75" s="74" t="s">
        <v>18277</v>
      </c>
      <c r="Y75" s="62"/>
      <c r="Z75" s="63"/>
      <c r="AA75" s="75"/>
      <c r="AB75" s="228">
        <f>ROUND((ROUND((ROUND((_15_同援日１．０*_15・通訳),0)*(1+_15・A深夜)),0)*(1+_15・区４)),0)+ROUND((ROUND((ROUND((_15_同援日１．０＿０．５*_15・通訳),0)*(1+_15・B早朝)),0)*(1+_15・区４)),0)</f>
        <v>756</v>
      </c>
      <c r="AC75" s="69"/>
    </row>
    <row r="76" spans="1:29" ht="16.5" customHeight="1" x14ac:dyDescent="0.3">
      <c r="A76" s="2">
        <v>15</v>
      </c>
      <c r="B76" s="2" t="s">
        <v>3784</v>
      </c>
      <c r="C76" s="60" t="s">
        <v>14243</v>
      </c>
      <c r="D76" s="1"/>
      <c r="E76" s="68"/>
      <c r="F76" s="70"/>
      <c r="G76" s="1"/>
      <c r="H76" s="68"/>
      <c r="I76" s="70"/>
      <c r="J76" s="67"/>
      <c r="K76" s="68"/>
      <c r="L76" s="76"/>
      <c r="M76" s="83" t="s">
        <v>5895</v>
      </c>
      <c r="N76" s="64" t="s">
        <v>1</v>
      </c>
      <c r="O76" s="65">
        <v>1</v>
      </c>
      <c r="P76" s="99"/>
      <c r="Q76" s="70"/>
      <c r="R76" s="99"/>
      <c r="S76" s="70"/>
      <c r="T76" s="81"/>
      <c r="U76" s="57"/>
      <c r="V76" s="58"/>
      <c r="W76" s="77"/>
      <c r="X76" s="1" t="s">
        <v>18276</v>
      </c>
      <c r="Y76" s="68"/>
      <c r="Z76" s="76"/>
      <c r="AA76" s="70"/>
      <c r="AB76" s="228">
        <f>ROUND((ROUND((ROUND((ROUND((_15_同援日１．０*_15・通訳),0)*_15・２人),0)*(1+_15・A深夜)),0)*(1+_15・区４)),0)+ROUND((ROUND((ROUND((ROUND((_15_同援日１．０＿０．５*_15・通訳),0)*_15・２人),0)*(1+_15・B早朝)),0)*(1+_15・区４)),0)</f>
        <v>756</v>
      </c>
      <c r="AC76" s="69"/>
    </row>
    <row r="77" spans="1:29" ht="16.5" customHeight="1" x14ac:dyDescent="0.3">
      <c r="A77" s="2">
        <v>15</v>
      </c>
      <c r="B77" s="2" t="s">
        <v>3785</v>
      </c>
      <c r="C77" s="60" t="s">
        <v>14242</v>
      </c>
      <c r="D77" s="1"/>
      <c r="E77" s="68"/>
      <c r="F77" s="70"/>
      <c r="G77" s="1"/>
      <c r="H77" s="68"/>
      <c r="I77" s="70"/>
      <c r="J77" s="67"/>
      <c r="K77" s="68"/>
      <c r="L77" s="76"/>
      <c r="M77" s="83"/>
      <c r="N77" s="64"/>
      <c r="O77" s="65"/>
      <c r="P77" s="99"/>
      <c r="Q77" s="70"/>
      <c r="R77" s="99"/>
      <c r="S77" s="70"/>
      <c r="T77" s="74" t="s">
        <v>18275</v>
      </c>
      <c r="U77" s="62"/>
      <c r="V77" s="63"/>
      <c r="W77" s="75"/>
      <c r="X77" s="1"/>
      <c r="Y77" s="68" t="s">
        <v>1</v>
      </c>
      <c r="Z77" s="76">
        <v>0.4</v>
      </c>
      <c r="AA77" s="70" t="s">
        <v>422</v>
      </c>
      <c r="AB77" s="228">
        <f>ROUND((ROUND((ROUND((ROUND((_15_同援日１．０*_15・通訳),0)*(1+_15・A深夜)),0)*(1+_15・盲ろう)),0)*(1+_15・区４)),0)+ROUND((ROUND((ROUND((ROUND((_15_同援日１．０＿０．５*_15・通訳),0)*(1+_15・B早朝)),0)*(1+_15・盲ろう)),0)*(1+_15・区４)),0)</f>
        <v>945</v>
      </c>
      <c r="AC77" s="69"/>
    </row>
    <row r="78" spans="1:29" ht="16.5" customHeight="1" x14ac:dyDescent="0.3">
      <c r="A78" s="2">
        <v>15</v>
      </c>
      <c r="B78" s="2" t="s">
        <v>3786</v>
      </c>
      <c r="C78" s="60" t="s">
        <v>14241</v>
      </c>
      <c r="D78" s="1"/>
      <c r="E78" s="68"/>
      <c r="F78" s="70"/>
      <c r="G78" s="81"/>
      <c r="H78" s="57"/>
      <c r="I78" s="77"/>
      <c r="J78" s="67"/>
      <c r="K78" s="68"/>
      <c r="L78" s="76"/>
      <c r="M78" s="83" t="s">
        <v>5895</v>
      </c>
      <c r="N78" s="64" t="s">
        <v>1</v>
      </c>
      <c r="O78" s="65">
        <v>1</v>
      </c>
      <c r="P78" s="99"/>
      <c r="Q78" s="70"/>
      <c r="R78" s="99"/>
      <c r="S78" s="70"/>
      <c r="T78" s="81" t="s">
        <v>18274</v>
      </c>
      <c r="U78" s="57" t="s">
        <v>1</v>
      </c>
      <c r="V78" s="58">
        <v>0.25</v>
      </c>
      <c r="W78" s="77" t="s">
        <v>422</v>
      </c>
      <c r="X78" s="81"/>
      <c r="Y78" s="57"/>
      <c r="Z78" s="58"/>
      <c r="AA78" s="77"/>
      <c r="AB78" s="228">
        <f>ROUND((ROUND((ROUND((ROUND((ROUND((_15_同援日１．０*_15・通訳),0)*_15・２人),0)*(1+_15・A深夜)),0)*(1+_15・盲ろう)),0)*(1+_15・区４)),0)+ROUND((ROUND((ROUND((ROUND((ROUND((_15_同援日１．０＿０．５*_15・通訳),0)*_15・２人),0)*(1+_15・B早朝)),0)*(1+_15・盲ろう)),0)*(1+_15・区４)),0)</f>
        <v>945</v>
      </c>
      <c r="AC78" s="69"/>
    </row>
    <row r="79" spans="1:29" ht="16.5" customHeight="1" x14ac:dyDescent="0.3">
      <c r="A79" s="2">
        <v>15</v>
      </c>
      <c r="B79" s="2" t="s">
        <v>3787</v>
      </c>
      <c r="C79" s="60" t="s">
        <v>14240</v>
      </c>
      <c r="D79" s="1"/>
      <c r="E79" s="68"/>
      <c r="F79" s="70"/>
      <c r="G79" s="233" t="s">
        <v>18283</v>
      </c>
      <c r="H79" s="62"/>
      <c r="I79" s="75"/>
      <c r="J79" s="67"/>
      <c r="K79" s="68"/>
      <c r="L79" s="76"/>
      <c r="M79" s="83"/>
      <c r="N79" s="64"/>
      <c r="O79" s="65"/>
      <c r="P79" s="99"/>
      <c r="Q79" s="70"/>
      <c r="R79" s="99"/>
      <c r="S79" s="70"/>
      <c r="T79" s="74"/>
      <c r="U79" s="62"/>
      <c r="V79" s="63"/>
      <c r="W79" s="75"/>
      <c r="X79" s="74"/>
      <c r="Y79" s="62"/>
      <c r="Z79" s="63"/>
      <c r="AA79" s="75"/>
      <c r="AB79" s="228">
        <f>ROUND((ROUND((_15_同援日１．０*_15・通訳),0)*(1+_15・A深夜)),0)+ROUND((ROUND((_15_同援日１．０＿１．０*_15・通訳),0)*(1+_15・B早朝)),0)</f>
        <v>613</v>
      </c>
      <c r="AC79" s="69"/>
    </row>
    <row r="80" spans="1:29" ht="16.5" customHeight="1" x14ac:dyDescent="0.3">
      <c r="A80" s="2">
        <v>15</v>
      </c>
      <c r="B80" s="2" t="s">
        <v>3788</v>
      </c>
      <c r="C80" s="60" t="s">
        <v>14239</v>
      </c>
      <c r="D80" s="1"/>
      <c r="E80" s="68"/>
      <c r="F80" s="70"/>
      <c r="G80" s="1" t="s">
        <v>18282</v>
      </c>
      <c r="H80" s="68"/>
      <c r="I80" s="70"/>
      <c r="J80" s="67"/>
      <c r="K80" s="68"/>
      <c r="L80" s="76"/>
      <c r="M80" s="83" t="s">
        <v>5895</v>
      </c>
      <c r="N80" s="64" t="s">
        <v>1</v>
      </c>
      <c r="O80" s="65">
        <v>1</v>
      </c>
      <c r="P80" s="99"/>
      <c r="Q80" s="70"/>
      <c r="R80" s="99"/>
      <c r="S80" s="70"/>
      <c r="T80" s="81"/>
      <c r="U80" s="57"/>
      <c r="V80" s="58"/>
      <c r="W80" s="77"/>
      <c r="X80" s="1"/>
      <c r="Y80" s="68"/>
      <c r="Z80" s="76"/>
      <c r="AA80" s="70"/>
      <c r="AB80" s="228">
        <f>ROUND((ROUND((ROUND((_15_同援日１．０*_15・通訳),0)*_15・２人),0)*(1+_15・A深夜)),0)+ROUND((ROUND((ROUND((_15_同援日１．０＿１．０*_15・通訳),0)*_15・２人),0)*(1+_15・B早朝)),0)</f>
        <v>613</v>
      </c>
      <c r="AC80" s="69"/>
    </row>
    <row r="81" spans="1:29" ht="16.5" customHeight="1" x14ac:dyDescent="0.3">
      <c r="A81" s="2">
        <v>15</v>
      </c>
      <c r="B81" s="2" t="s">
        <v>3789</v>
      </c>
      <c r="C81" s="60" t="s">
        <v>14238</v>
      </c>
      <c r="D81" s="1"/>
      <c r="E81" s="68"/>
      <c r="F81" s="70"/>
      <c r="G81" s="1" t="s">
        <v>8572</v>
      </c>
      <c r="H81" s="68"/>
      <c r="I81" s="70"/>
      <c r="J81" s="67"/>
      <c r="K81" s="68"/>
      <c r="L81" s="76"/>
      <c r="M81" s="83"/>
      <c r="N81" s="64"/>
      <c r="O81" s="65"/>
      <c r="P81" s="99"/>
      <c r="Q81" s="70"/>
      <c r="R81" s="99"/>
      <c r="S81" s="70"/>
      <c r="T81" s="74" t="s">
        <v>18275</v>
      </c>
      <c r="U81" s="62"/>
      <c r="V81" s="63"/>
      <c r="W81" s="75"/>
      <c r="X81" s="1"/>
      <c r="Y81" s="68"/>
      <c r="Z81" s="76"/>
      <c r="AA81" s="70"/>
      <c r="AB81" s="228">
        <f>ROUND((ROUND((ROUND((_15_同援日１．０*_15・通訳),0)*(1+_15・A深夜)),0)*(1+_15・盲ろう)),0)+ROUND((ROUND((ROUND((_15_同援日１．０＿１．０*_15・通訳),0)*(1+_15・B早朝)),0)*(1+_15・盲ろう)),0)</f>
        <v>767</v>
      </c>
      <c r="AC81" s="69"/>
    </row>
    <row r="82" spans="1:29" ht="16.5" customHeight="1" x14ac:dyDescent="0.3">
      <c r="A82" s="2">
        <v>15</v>
      </c>
      <c r="B82" s="2" t="s">
        <v>3790</v>
      </c>
      <c r="C82" s="60" t="s">
        <v>14237</v>
      </c>
      <c r="D82" s="1"/>
      <c r="E82" s="68"/>
      <c r="F82" s="70"/>
      <c r="G82" s="1"/>
      <c r="H82" s="119">
        <v>193</v>
      </c>
      <c r="I82" s="70" t="s">
        <v>0</v>
      </c>
      <c r="J82" s="67"/>
      <c r="K82" s="68"/>
      <c r="L82" s="76"/>
      <c r="M82" s="83" t="s">
        <v>5895</v>
      </c>
      <c r="N82" s="64" t="s">
        <v>1</v>
      </c>
      <c r="O82" s="65">
        <v>1</v>
      </c>
      <c r="P82" s="99"/>
      <c r="Q82" s="70"/>
      <c r="R82" s="99"/>
      <c r="S82" s="70"/>
      <c r="T82" s="81" t="s">
        <v>18274</v>
      </c>
      <c r="U82" s="57" t="s">
        <v>1</v>
      </c>
      <c r="V82" s="58">
        <v>0.25</v>
      </c>
      <c r="W82" s="77" t="s">
        <v>422</v>
      </c>
      <c r="X82" s="81"/>
      <c r="Y82" s="57"/>
      <c r="Z82" s="58"/>
      <c r="AA82" s="77"/>
      <c r="AB82" s="228">
        <f>ROUND((ROUND((ROUND((ROUND((_15_同援日１．０*_15・通訳),0)*_15・２人),0)*(1+_15・A深夜)),0)*(1+_15・盲ろう)),0)+ROUND((ROUND((ROUND((ROUND((_15_同援日１．０＿１．０*_15・通訳),0)*_15・２人),0)*(1+_15・B早朝)),0)*(1+_15・盲ろう)),0)</f>
        <v>767</v>
      </c>
      <c r="AC82" s="69"/>
    </row>
    <row r="83" spans="1:29" ht="16.5" customHeight="1" x14ac:dyDescent="0.3">
      <c r="A83" s="2">
        <v>15</v>
      </c>
      <c r="B83" s="2" t="s">
        <v>3791</v>
      </c>
      <c r="C83" s="60" t="s">
        <v>14236</v>
      </c>
      <c r="D83" s="1"/>
      <c r="E83" s="68"/>
      <c r="F83" s="70"/>
      <c r="G83" s="1"/>
      <c r="H83" s="68"/>
      <c r="I83" s="70"/>
      <c r="J83" s="67"/>
      <c r="K83" s="68"/>
      <c r="L83" s="76"/>
      <c r="M83" s="83"/>
      <c r="N83" s="64"/>
      <c r="O83" s="65"/>
      <c r="P83" s="99"/>
      <c r="Q83" s="70"/>
      <c r="R83" s="99"/>
      <c r="S83" s="70"/>
      <c r="T83" s="74"/>
      <c r="U83" s="62"/>
      <c r="V83" s="63"/>
      <c r="W83" s="75"/>
      <c r="X83" s="74" t="s">
        <v>18278</v>
      </c>
      <c r="Y83" s="62"/>
      <c r="Z83" s="63"/>
      <c r="AA83" s="75"/>
      <c r="AB83" s="228">
        <f>ROUND((ROUND((ROUND((_15_同援日１．０*_15・通訳),0)*(1+_15・A深夜)),0)*(1+_15・区３)),0)+ROUND((ROUND((ROUND((_15_同援日１．０＿１．０*_15・通訳),0)*(1+_15・B早朝)),0)*(1+_15・区３)),0)</f>
        <v>736</v>
      </c>
      <c r="AC83" s="69"/>
    </row>
    <row r="84" spans="1:29" ht="16.5" customHeight="1" x14ac:dyDescent="0.3">
      <c r="A84" s="2">
        <v>15</v>
      </c>
      <c r="B84" s="2" t="s">
        <v>3792</v>
      </c>
      <c r="C84" s="60" t="s">
        <v>14235</v>
      </c>
      <c r="D84" s="1"/>
      <c r="E84" s="68"/>
      <c r="F84" s="70"/>
      <c r="G84" s="1"/>
      <c r="H84" s="68"/>
      <c r="I84" s="70"/>
      <c r="J84" s="67"/>
      <c r="K84" s="68"/>
      <c r="L84" s="76"/>
      <c r="M84" s="83" t="s">
        <v>5895</v>
      </c>
      <c r="N84" s="64" t="s">
        <v>1</v>
      </c>
      <c r="O84" s="65">
        <v>1</v>
      </c>
      <c r="P84" s="99"/>
      <c r="Q84" s="70"/>
      <c r="R84" s="99"/>
      <c r="S84" s="70"/>
      <c r="T84" s="81"/>
      <c r="U84" s="57"/>
      <c r="V84" s="58"/>
      <c r="W84" s="77"/>
      <c r="X84" s="1" t="s">
        <v>18276</v>
      </c>
      <c r="Y84" s="68"/>
      <c r="Z84" s="76"/>
      <c r="AA84" s="70"/>
      <c r="AB84" s="228">
        <f>ROUND((ROUND((ROUND((ROUND((_15_同援日１．０*_15・通訳),0)*_15・２人),0)*(1+_15・A深夜)),0)*(1+_15・区３)),0)+ROUND((ROUND((ROUND((ROUND((_15_同援日１．０＿１．０*_15・通訳),0)*_15・２人),0)*(1+_15・B早朝)),0)*(1+_15・区３)),0)</f>
        <v>736</v>
      </c>
      <c r="AC84" s="69"/>
    </row>
    <row r="85" spans="1:29" ht="16.5" customHeight="1" x14ac:dyDescent="0.3">
      <c r="A85" s="2">
        <v>15</v>
      </c>
      <c r="B85" s="2" t="s">
        <v>3793</v>
      </c>
      <c r="C85" s="60" t="s">
        <v>14234</v>
      </c>
      <c r="D85" s="1"/>
      <c r="E85" s="68"/>
      <c r="F85" s="70"/>
      <c r="G85" s="1"/>
      <c r="H85" s="68"/>
      <c r="I85" s="70"/>
      <c r="J85" s="67"/>
      <c r="K85" s="68"/>
      <c r="L85" s="76"/>
      <c r="M85" s="83"/>
      <c r="N85" s="64"/>
      <c r="O85" s="65"/>
      <c r="P85" s="99"/>
      <c r="Q85" s="70"/>
      <c r="R85" s="99"/>
      <c r="S85" s="70"/>
      <c r="T85" s="74" t="s">
        <v>18275</v>
      </c>
      <c r="U85" s="62"/>
      <c r="V85" s="63"/>
      <c r="W85" s="75"/>
      <c r="X85" s="1"/>
      <c r="Y85" s="68" t="s">
        <v>1</v>
      </c>
      <c r="Z85" s="76">
        <v>0.2</v>
      </c>
      <c r="AA85" s="70" t="s">
        <v>422</v>
      </c>
      <c r="AB85" s="228">
        <f>ROUND((ROUND((ROUND((ROUND((_15_同援日１．０*_15・通訳),0)*(1+_15・A深夜)),0)*(1+_15・盲ろう)),0)*(1+_15・区３)),0)+ROUND((ROUND((ROUND((ROUND((_15_同援日１．０＿１．０*_15・通訳),0)*(1+_15・B早朝)),0)*(1+_15・盲ろう)),0)*(1+_15・区３)),0)</f>
        <v>921</v>
      </c>
      <c r="AC85" s="69"/>
    </row>
    <row r="86" spans="1:29" ht="16.5" customHeight="1" x14ac:dyDescent="0.3">
      <c r="A86" s="2">
        <v>15</v>
      </c>
      <c r="B86" s="2" t="s">
        <v>3794</v>
      </c>
      <c r="C86" s="60" t="s">
        <v>14233</v>
      </c>
      <c r="D86" s="1"/>
      <c r="E86" s="68"/>
      <c r="F86" s="70"/>
      <c r="G86" s="1"/>
      <c r="H86" s="68"/>
      <c r="I86" s="70"/>
      <c r="J86" s="67"/>
      <c r="K86" s="68"/>
      <c r="L86" s="76"/>
      <c r="M86" s="83" t="s">
        <v>5895</v>
      </c>
      <c r="N86" s="64" t="s">
        <v>1</v>
      </c>
      <c r="O86" s="65">
        <v>1</v>
      </c>
      <c r="P86" s="99"/>
      <c r="Q86" s="70"/>
      <c r="R86" s="99"/>
      <c r="S86" s="70"/>
      <c r="T86" s="81" t="s">
        <v>17968</v>
      </c>
      <c r="U86" s="57" t="s">
        <v>1</v>
      </c>
      <c r="V86" s="58">
        <v>0.25</v>
      </c>
      <c r="W86" s="77" t="s">
        <v>422</v>
      </c>
      <c r="X86" s="81"/>
      <c r="Y86" s="57"/>
      <c r="Z86" s="58"/>
      <c r="AA86" s="77"/>
      <c r="AB86" s="228">
        <f>ROUND((ROUND((ROUND((ROUND((ROUND((_15_同援日１．０*_15・通訳),0)*_15・２人),0)*(1+_15・A深夜)),0)*(1+_15・盲ろう)),0)*(1+_15・区３)),0)+ROUND((ROUND((ROUND((ROUND((ROUND((_15_同援日１．０＿１．０*_15・通訳),0)*_15・２人),0)*(1+_15・B早朝)),0)*(1+_15・盲ろう)),0)*(1+_15・区３)),0)</f>
        <v>921</v>
      </c>
      <c r="AC86" s="69"/>
    </row>
    <row r="87" spans="1:29" ht="16.5" customHeight="1" x14ac:dyDescent="0.3">
      <c r="A87" s="2">
        <v>15</v>
      </c>
      <c r="B87" s="2" t="s">
        <v>3795</v>
      </c>
      <c r="C87" s="60" t="s">
        <v>14232</v>
      </c>
      <c r="D87" s="1"/>
      <c r="E87" s="68"/>
      <c r="F87" s="70"/>
      <c r="G87" s="1"/>
      <c r="H87" s="68"/>
      <c r="I87" s="70"/>
      <c r="J87" s="67"/>
      <c r="K87" s="68"/>
      <c r="L87" s="76"/>
      <c r="M87" s="83"/>
      <c r="N87" s="64"/>
      <c r="O87" s="65"/>
      <c r="P87" s="99"/>
      <c r="Q87" s="70"/>
      <c r="R87" s="99"/>
      <c r="S87" s="70"/>
      <c r="T87" s="74"/>
      <c r="U87" s="62"/>
      <c r="V87" s="63"/>
      <c r="W87" s="75"/>
      <c r="X87" s="74" t="s">
        <v>18277</v>
      </c>
      <c r="Y87" s="62"/>
      <c r="Z87" s="63"/>
      <c r="AA87" s="75"/>
      <c r="AB87" s="228">
        <f>ROUND((ROUND((ROUND((_15_同援日１．０*_15・通訳),0)*(1+_15・A深夜)),0)*(1+_15・区４)),0)+ROUND((ROUND((ROUND((_15_同援日１．０＿１．０*_15・通訳),0)*(1+_15・B早朝)),0)*(1+_15・区４)),0)</f>
        <v>858</v>
      </c>
      <c r="AC87" s="69"/>
    </row>
    <row r="88" spans="1:29" ht="16.5" customHeight="1" x14ac:dyDescent="0.3">
      <c r="A88" s="2">
        <v>15</v>
      </c>
      <c r="B88" s="2" t="s">
        <v>3796</v>
      </c>
      <c r="C88" s="60" t="s">
        <v>14231</v>
      </c>
      <c r="D88" s="1"/>
      <c r="E88" s="68"/>
      <c r="F88" s="70"/>
      <c r="G88" s="1"/>
      <c r="H88" s="68"/>
      <c r="I88" s="70"/>
      <c r="J88" s="67"/>
      <c r="K88" s="68"/>
      <c r="L88" s="76"/>
      <c r="M88" s="83" t="s">
        <v>5895</v>
      </c>
      <c r="N88" s="64" t="s">
        <v>1</v>
      </c>
      <c r="O88" s="65">
        <v>1</v>
      </c>
      <c r="P88" s="99"/>
      <c r="Q88" s="70"/>
      <c r="R88" s="99"/>
      <c r="S88" s="70"/>
      <c r="T88" s="81"/>
      <c r="U88" s="57"/>
      <c r="V88" s="58"/>
      <c r="W88" s="77"/>
      <c r="X88" s="1" t="s">
        <v>18276</v>
      </c>
      <c r="Y88" s="68"/>
      <c r="Z88" s="76"/>
      <c r="AA88" s="70"/>
      <c r="AB88" s="228">
        <f>ROUND((ROUND((ROUND((ROUND((_15_同援日１．０*_15・通訳),0)*_15・２人),0)*(1+_15・A深夜)),0)*(1+_15・区４)),0)+ROUND((ROUND((ROUND((ROUND((_15_同援日１．０＿１．０*_15・通訳),0)*_15・２人),0)*(1+_15・B早朝)),0)*(1+_15・区４)),0)</f>
        <v>858</v>
      </c>
      <c r="AC88" s="69"/>
    </row>
    <row r="89" spans="1:29" ht="16.5" customHeight="1" x14ac:dyDescent="0.3">
      <c r="A89" s="2">
        <v>15</v>
      </c>
      <c r="B89" s="2" t="s">
        <v>3797</v>
      </c>
      <c r="C89" s="60" t="s">
        <v>14230</v>
      </c>
      <c r="D89" s="1"/>
      <c r="E89" s="68"/>
      <c r="F89" s="70"/>
      <c r="G89" s="1"/>
      <c r="H89" s="68"/>
      <c r="I89" s="70"/>
      <c r="J89" s="67"/>
      <c r="K89" s="68"/>
      <c r="L89" s="76"/>
      <c r="M89" s="83"/>
      <c r="N89" s="64"/>
      <c r="O89" s="65"/>
      <c r="P89" s="99"/>
      <c r="Q89" s="70"/>
      <c r="R89" s="99"/>
      <c r="S89" s="70"/>
      <c r="T89" s="74" t="s">
        <v>18275</v>
      </c>
      <c r="U89" s="62"/>
      <c r="V89" s="63"/>
      <c r="W89" s="75"/>
      <c r="X89" s="1"/>
      <c r="Y89" s="68" t="s">
        <v>1</v>
      </c>
      <c r="Z89" s="76">
        <v>0.4</v>
      </c>
      <c r="AA89" s="70" t="s">
        <v>422</v>
      </c>
      <c r="AB89" s="228">
        <f>ROUND((ROUND((ROUND((ROUND((_15_同援日１．０*_15・通訳),0)*(1+_15・A深夜)),0)*(1+_15・盲ろう)),0)*(1+_15・区４)),0)+ROUND((ROUND((ROUND((ROUND((_15_同援日１．０＿１．０*_15・通訳),0)*(1+_15・B早朝)),0)*(1+_15・盲ろう)),0)*(1+_15・区４)),0)</f>
        <v>1074</v>
      </c>
      <c r="AC89" s="69"/>
    </row>
    <row r="90" spans="1:29" ht="16.5" customHeight="1" x14ac:dyDescent="0.3">
      <c r="A90" s="2">
        <v>15</v>
      </c>
      <c r="B90" s="2" t="s">
        <v>3798</v>
      </c>
      <c r="C90" s="60" t="s">
        <v>14229</v>
      </c>
      <c r="D90" s="1"/>
      <c r="E90" s="68"/>
      <c r="F90" s="70"/>
      <c r="G90" s="81"/>
      <c r="H90" s="57"/>
      <c r="I90" s="77"/>
      <c r="J90" s="67"/>
      <c r="K90" s="68"/>
      <c r="L90" s="76"/>
      <c r="M90" s="83" t="s">
        <v>5895</v>
      </c>
      <c r="N90" s="64" t="s">
        <v>1</v>
      </c>
      <c r="O90" s="65">
        <v>1</v>
      </c>
      <c r="P90" s="99"/>
      <c r="Q90" s="70"/>
      <c r="R90" s="99"/>
      <c r="S90" s="70"/>
      <c r="T90" s="81" t="s">
        <v>18274</v>
      </c>
      <c r="U90" s="57" t="s">
        <v>1</v>
      </c>
      <c r="V90" s="58">
        <v>0.25</v>
      </c>
      <c r="W90" s="77" t="s">
        <v>422</v>
      </c>
      <c r="X90" s="81"/>
      <c r="Y90" s="57"/>
      <c r="Z90" s="58"/>
      <c r="AA90" s="77"/>
      <c r="AB90" s="228">
        <f>ROUND((ROUND((ROUND((ROUND((ROUND((_15_同援日１．０*_15・通訳),0)*_15・２人),0)*(1+_15・A深夜)),0)*(1+_15・盲ろう)),0)*(1+_15・区４)),0)+ROUND((ROUND((ROUND((ROUND((ROUND((_15_同援日１．０＿１．０*_15・通訳),0)*_15・２人),0)*(1+_15・B早朝)),0)*(1+_15・盲ろう)),0)*(1+_15・区４)),0)</f>
        <v>1074</v>
      </c>
      <c r="AC90" s="69"/>
    </row>
    <row r="91" spans="1:29" ht="16.5" customHeight="1" x14ac:dyDescent="0.3">
      <c r="A91" s="2">
        <v>15</v>
      </c>
      <c r="B91" s="2" t="s">
        <v>3799</v>
      </c>
      <c r="C91" s="60" t="s">
        <v>14228</v>
      </c>
      <c r="D91" s="1"/>
      <c r="E91" s="68"/>
      <c r="F91" s="70"/>
      <c r="G91" s="233" t="s">
        <v>18287</v>
      </c>
      <c r="H91" s="62"/>
      <c r="I91" s="75"/>
      <c r="J91" s="67"/>
      <c r="K91" s="68"/>
      <c r="L91" s="76"/>
      <c r="M91" s="83"/>
      <c r="N91" s="64"/>
      <c r="O91" s="65"/>
      <c r="P91" s="99"/>
      <c r="Q91" s="70"/>
      <c r="R91" s="99"/>
      <c r="S91" s="70"/>
      <c r="T91" s="74"/>
      <c r="U91" s="62"/>
      <c r="V91" s="63"/>
      <c r="W91" s="75"/>
      <c r="X91" s="74"/>
      <c r="Y91" s="62"/>
      <c r="Z91" s="63"/>
      <c r="AA91" s="75"/>
      <c r="AB91" s="228">
        <f>ROUND((ROUND((_15_同援日１．０*_15・通訳),0)*(1+_15・A深夜)),0)+ROUND((ROUND((_15_同援日１．０＿１．５*_15・通訳),0)*(1+_15・B早朝)),0)</f>
        <v>683</v>
      </c>
      <c r="AC91" s="69"/>
    </row>
    <row r="92" spans="1:29" ht="16.5" customHeight="1" x14ac:dyDescent="0.3">
      <c r="A92" s="2">
        <v>15</v>
      </c>
      <c r="B92" s="2" t="s">
        <v>3800</v>
      </c>
      <c r="C92" s="60" t="s">
        <v>14227</v>
      </c>
      <c r="D92" s="1"/>
      <c r="E92" s="68"/>
      <c r="F92" s="70"/>
      <c r="G92" s="1" t="s">
        <v>18286</v>
      </c>
      <c r="H92" s="68"/>
      <c r="I92" s="70"/>
      <c r="J92" s="67"/>
      <c r="K92" s="68"/>
      <c r="L92" s="76"/>
      <c r="M92" s="83" t="s">
        <v>5895</v>
      </c>
      <c r="N92" s="64" t="s">
        <v>1</v>
      </c>
      <c r="O92" s="65">
        <v>1</v>
      </c>
      <c r="P92" s="99"/>
      <c r="Q92" s="70"/>
      <c r="R92" s="99"/>
      <c r="S92" s="70"/>
      <c r="T92" s="81"/>
      <c r="U92" s="57"/>
      <c r="V92" s="58"/>
      <c r="W92" s="77"/>
      <c r="X92" s="1"/>
      <c r="Y92" s="68"/>
      <c r="Z92" s="76"/>
      <c r="AA92" s="70"/>
      <c r="AB92" s="228">
        <f>ROUND((ROUND((ROUND((_15_同援日１．０*_15・通訳),0)*_15・２人),0)*(1+_15・A深夜)),0)+ROUND((ROUND((ROUND((_15_同援日１．０＿１．５*_15・通訳),0)*_15・２人),0)*(1+_15・B早朝)),0)</f>
        <v>683</v>
      </c>
      <c r="AC92" s="69"/>
    </row>
    <row r="93" spans="1:29" ht="16.5" customHeight="1" x14ac:dyDescent="0.3">
      <c r="A93" s="2">
        <v>15</v>
      </c>
      <c r="B93" s="2" t="s">
        <v>3801</v>
      </c>
      <c r="C93" s="60" t="s">
        <v>14226</v>
      </c>
      <c r="D93" s="1"/>
      <c r="E93" s="68"/>
      <c r="F93" s="70"/>
      <c r="G93" s="1" t="s">
        <v>8767</v>
      </c>
      <c r="H93" s="68"/>
      <c r="I93" s="70"/>
      <c r="J93" s="67"/>
      <c r="K93" s="68"/>
      <c r="L93" s="76"/>
      <c r="M93" s="83"/>
      <c r="N93" s="64"/>
      <c r="O93" s="65"/>
      <c r="P93" s="99"/>
      <c r="Q93" s="70"/>
      <c r="R93" s="99"/>
      <c r="S93" s="70"/>
      <c r="T93" s="74" t="s">
        <v>8085</v>
      </c>
      <c r="U93" s="62"/>
      <c r="V93" s="63"/>
      <c r="W93" s="75"/>
      <c r="X93" s="1"/>
      <c r="Y93" s="68"/>
      <c r="Z93" s="76"/>
      <c r="AA93" s="70"/>
      <c r="AB93" s="228">
        <f>ROUND((ROUND((ROUND((_15_同援日１．０*_15・通訳),0)*(1+_15・A深夜)),0)*(1+_15・盲ろう)),0)+ROUND((ROUND((ROUND((_15_同援日１．０＿１．５*_15・通訳),0)*(1+_15・B早朝)),0)*(1+_15・盲ろう)),0)</f>
        <v>854</v>
      </c>
      <c r="AC93" s="69"/>
    </row>
    <row r="94" spans="1:29" ht="16.5" customHeight="1" x14ac:dyDescent="0.3">
      <c r="A94" s="2">
        <v>15</v>
      </c>
      <c r="B94" s="2" t="s">
        <v>3802</v>
      </c>
      <c r="C94" s="60" t="s">
        <v>14225</v>
      </c>
      <c r="D94" s="1"/>
      <c r="E94" s="68"/>
      <c r="F94" s="70"/>
      <c r="G94" s="1"/>
      <c r="H94" s="119">
        <v>256</v>
      </c>
      <c r="I94" s="70" t="s">
        <v>0</v>
      </c>
      <c r="J94" s="67"/>
      <c r="K94" s="68"/>
      <c r="L94" s="76"/>
      <c r="M94" s="83" t="s">
        <v>5895</v>
      </c>
      <c r="N94" s="64" t="s">
        <v>1</v>
      </c>
      <c r="O94" s="65">
        <v>1</v>
      </c>
      <c r="P94" s="99"/>
      <c r="Q94" s="70"/>
      <c r="R94" s="99"/>
      <c r="S94" s="70"/>
      <c r="T94" s="81" t="s">
        <v>18274</v>
      </c>
      <c r="U94" s="57" t="s">
        <v>1</v>
      </c>
      <c r="V94" s="58">
        <v>0.25</v>
      </c>
      <c r="W94" s="77" t="s">
        <v>422</v>
      </c>
      <c r="X94" s="81"/>
      <c r="Y94" s="57"/>
      <c r="Z94" s="58"/>
      <c r="AA94" s="77"/>
      <c r="AB94" s="228">
        <f>ROUND((ROUND((ROUND((ROUND((_15_同援日１．０*_15・通訳),0)*_15・２人),0)*(1+_15・A深夜)),0)*(1+_15・盲ろう)),0)+ROUND((ROUND((ROUND((ROUND((_15_同援日１．０＿１．５*_15・通訳),0)*_15・２人),0)*(1+_15・B早朝)),0)*(1+_15・盲ろう)),0)</f>
        <v>854</v>
      </c>
      <c r="AC94" s="69"/>
    </row>
    <row r="95" spans="1:29" ht="16.5" customHeight="1" x14ac:dyDescent="0.3">
      <c r="A95" s="2">
        <v>15</v>
      </c>
      <c r="B95" s="2" t="s">
        <v>3803</v>
      </c>
      <c r="C95" s="60" t="s">
        <v>14224</v>
      </c>
      <c r="D95" s="1"/>
      <c r="E95" s="68"/>
      <c r="F95" s="70"/>
      <c r="G95" s="1"/>
      <c r="H95" s="68"/>
      <c r="I95" s="70"/>
      <c r="J95" s="67"/>
      <c r="K95" s="68"/>
      <c r="L95" s="76"/>
      <c r="M95" s="83"/>
      <c r="N95" s="64"/>
      <c r="O95" s="65"/>
      <c r="P95" s="99"/>
      <c r="Q95" s="70"/>
      <c r="R95" s="99"/>
      <c r="S95" s="70"/>
      <c r="T95" s="74"/>
      <c r="U95" s="62"/>
      <c r="V95" s="63"/>
      <c r="W95" s="75"/>
      <c r="X95" s="74" t="s">
        <v>8098</v>
      </c>
      <c r="Y95" s="62"/>
      <c r="Z95" s="63"/>
      <c r="AA95" s="75"/>
      <c r="AB95" s="228">
        <f>ROUND((ROUND((ROUND((_15_同援日１．０*_15・通訳),0)*(1+_15・A深夜)),0)*(1+_15・区３)),0)+ROUND((ROUND((ROUND((_15_同援日１．０＿１．５*_15・通訳),0)*(1+_15・B早朝)),0)*(1+_15・区３)),0)</f>
        <v>820</v>
      </c>
      <c r="AC95" s="69"/>
    </row>
    <row r="96" spans="1:29" ht="16.5" customHeight="1" x14ac:dyDescent="0.3">
      <c r="A96" s="2">
        <v>15</v>
      </c>
      <c r="B96" s="2" t="s">
        <v>3804</v>
      </c>
      <c r="C96" s="60" t="s">
        <v>14223</v>
      </c>
      <c r="D96" s="1"/>
      <c r="E96" s="68"/>
      <c r="F96" s="70"/>
      <c r="G96" s="1"/>
      <c r="H96" s="68"/>
      <c r="I96" s="70"/>
      <c r="J96" s="67"/>
      <c r="K96" s="68"/>
      <c r="L96" s="76"/>
      <c r="M96" s="83" t="s">
        <v>5895</v>
      </c>
      <c r="N96" s="64" t="s">
        <v>1</v>
      </c>
      <c r="O96" s="65">
        <v>1</v>
      </c>
      <c r="P96" s="99"/>
      <c r="Q96" s="70"/>
      <c r="R96" s="99"/>
      <c r="S96" s="70"/>
      <c r="T96" s="81"/>
      <c r="U96" s="57"/>
      <c r="V96" s="58"/>
      <c r="W96" s="77"/>
      <c r="X96" s="1" t="s">
        <v>18276</v>
      </c>
      <c r="Y96" s="68"/>
      <c r="Z96" s="76"/>
      <c r="AA96" s="70"/>
      <c r="AB96" s="228">
        <f>ROUND((ROUND((ROUND((ROUND((_15_同援日１．０*_15・通訳),0)*_15・２人),0)*(1+_15・A深夜)),0)*(1+_15・区３)),0)+ROUND((ROUND((ROUND((ROUND((_15_同援日１．０＿１．５*_15・通訳),0)*_15・２人),0)*(1+_15・B早朝)),0)*(1+_15・区３)),0)</f>
        <v>820</v>
      </c>
      <c r="AC96" s="69"/>
    </row>
    <row r="97" spans="1:29" ht="16.5" customHeight="1" x14ac:dyDescent="0.3">
      <c r="A97" s="2">
        <v>15</v>
      </c>
      <c r="B97" s="2" t="s">
        <v>3805</v>
      </c>
      <c r="C97" s="60" t="s">
        <v>14222</v>
      </c>
      <c r="D97" s="1"/>
      <c r="E97" s="68"/>
      <c r="F97" s="70"/>
      <c r="G97" s="1"/>
      <c r="H97" s="68"/>
      <c r="I97" s="70"/>
      <c r="J97" s="67"/>
      <c r="K97" s="68"/>
      <c r="L97" s="76"/>
      <c r="M97" s="83"/>
      <c r="N97" s="64"/>
      <c r="O97" s="65"/>
      <c r="P97" s="99"/>
      <c r="Q97" s="70"/>
      <c r="R97" s="99"/>
      <c r="S97" s="70"/>
      <c r="T97" s="74" t="s">
        <v>18275</v>
      </c>
      <c r="U97" s="62"/>
      <c r="V97" s="63"/>
      <c r="W97" s="75"/>
      <c r="X97" s="1"/>
      <c r="Y97" s="68" t="s">
        <v>1</v>
      </c>
      <c r="Z97" s="76">
        <v>0.2</v>
      </c>
      <c r="AA97" s="70" t="s">
        <v>422</v>
      </c>
      <c r="AB97" s="228">
        <f>ROUND((ROUND((ROUND((ROUND((_15_同援日１．０*_15・通訳),0)*(1+_15・A深夜)),0)*(1+_15・盲ろう)),0)*(1+_15・区３)),0)+ROUND((ROUND((ROUND((ROUND((_15_同援日１．０＿１．５*_15・通訳),0)*(1+_15・B早朝)),0)*(1+_15・盲ろう)),0)*(1+_15・区３)),0)</f>
        <v>1025</v>
      </c>
      <c r="AC97" s="69"/>
    </row>
    <row r="98" spans="1:29" ht="16.5" customHeight="1" x14ac:dyDescent="0.3">
      <c r="A98" s="2">
        <v>15</v>
      </c>
      <c r="B98" s="2" t="s">
        <v>3806</v>
      </c>
      <c r="C98" s="60" t="s">
        <v>14221</v>
      </c>
      <c r="D98" s="1"/>
      <c r="E98" s="68"/>
      <c r="F98" s="70"/>
      <c r="G98" s="1"/>
      <c r="H98" s="68"/>
      <c r="I98" s="70"/>
      <c r="J98" s="67"/>
      <c r="K98" s="68"/>
      <c r="L98" s="76"/>
      <c r="M98" s="83" t="s">
        <v>5895</v>
      </c>
      <c r="N98" s="64" t="s">
        <v>1</v>
      </c>
      <c r="O98" s="65">
        <v>1</v>
      </c>
      <c r="P98" s="99"/>
      <c r="Q98" s="70"/>
      <c r="R98" s="99"/>
      <c r="S98" s="70"/>
      <c r="T98" s="81" t="s">
        <v>18274</v>
      </c>
      <c r="U98" s="57" t="s">
        <v>1</v>
      </c>
      <c r="V98" s="58">
        <v>0.25</v>
      </c>
      <c r="W98" s="77" t="s">
        <v>422</v>
      </c>
      <c r="X98" s="81"/>
      <c r="Y98" s="57"/>
      <c r="Z98" s="58"/>
      <c r="AA98" s="77"/>
      <c r="AB98" s="228">
        <f>ROUND((ROUND((ROUND((ROUND((ROUND((_15_同援日１．０*_15・通訳),0)*_15・２人),0)*(1+_15・A深夜)),0)*(1+_15・盲ろう)),0)*(1+_15・区３)),0)+ROUND((ROUND((ROUND((ROUND((ROUND((_15_同援日１．０＿１．５*_15・通訳),0)*_15・２人),0)*(1+_15・B早朝)),0)*(1+_15・盲ろう)),0)*(1+_15・区３)),0)</f>
        <v>1025</v>
      </c>
      <c r="AC98" s="69"/>
    </row>
    <row r="99" spans="1:29" ht="16.5" customHeight="1" x14ac:dyDescent="0.3">
      <c r="A99" s="2">
        <v>15</v>
      </c>
      <c r="B99" s="2" t="s">
        <v>3807</v>
      </c>
      <c r="C99" s="60" t="s">
        <v>14220</v>
      </c>
      <c r="D99" s="1"/>
      <c r="E99" s="68"/>
      <c r="F99" s="70"/>
      <c r="G99" s="1"/>
      <c r="H99" s="68"/>
      <c r="I99" s="70"/>
      <c r="J99" s="67"/>
      <c r="K99" s="68"/>
      <c r="L99" s="76"/>
      <c r="M99" s="83"/>
      <c r="N99" s="64"/>
      <c r="O99" s="65"/>
      <c r="P99" s="99"/>
      <c r="Q99" s="70"/>
      <c r="R99" s="99"/>
      <c r="S99" s="70"/>
      <c r="T99" s="74"/>
      <c r="U99" s="62"/>
      <c r="V99" s="63"/>
      <c r="W99" s="75"/>
      <c r="X99" s="74" t="s">
        <v>18277</v>
      </c>
      <c r="Y99" s="62"/>
      <c r="Z99" s="63"/>
      <c r="AA99" s="75"/>
      <c r="AB99" s="228">
        <f>ROUND((ROUND((ROUND((_15_同援日１．０*_15・通訳),0)*(1+_15・A深夜)),0)*(1+_15・区４)),0)+ROUND((ROUND((ROUND((_15_同援日１．０＿１．５*_15・通訳),0)*(1+_15・B早朝)),0)*(1+_15・区４)),0)</f>
        <v>956</v>
      </c>
      <c r="AC99" s="69"/>
    </row>
    <row r="100" spans="1:29" ht="16.5" customHeight="1" x14ac:dyDescent="0.3">
      <c r="A100" s="2">
        <v>15</v>
      </c>
      <c r="B100" s="2" t="s">
        <v>3808</v>
      </c>
      <c r="C100" s="60" t="s">
        <v>14219</v>
      </c>
      <c r="D100" s="1"/>
      <c r="E100" s="68"/>
      <c r="F100" s="70"/>
      <c r="G100" s="1"/>
      <c r="H100" s="68"/>
      <c r="I100" s="70"/>
      <c r="J100" s="67"/>
      <c r="K100" s="68"/>
      <c r="L100" s="76"/>
      <c r="M100" s="83" t="s">
        <v>5895</v>
      </c>
      <c r="N100" s="64" t="s">
        <v>1</v>
      </c>
      <c r="O100" s="65">
        <v>1</v>
      </c>
      <c r="P100" s="99"/>
      <c r="Q100" s="70"/>
      <c r="R100" s="99"/>
      <c r="S100" s="70"/>
      <c r="T100" s="81"/>
      <c r="U100" s="57"/>
      <c r="V100" s="58"/>
      <c r="W100" s="77"/>
      <c r="X100" s="1" t="s">
        <v>18276</v>
      </c>
      <c r="Y100" s="68"/>
      <c r="Z100" s="76"/>
      <c r="AA100" s="70"/>
      <c r="AB100" s="228">
        <f>ROUND((ROUND((ROUND((ROUND((_15_同援日１．０*_15・通訳),0)*_15・２人),0)*(1+_15・A深夜)),0)*(1+_15・区４)),0)+ROUND((ROUND((ROUND((ROUND((_15_同援日１．０＿１．５*_15・通訳),0)*_15・２人),0)*(1+_15・B早朝)),0)*(1+_15・区４)),0)</f>
        <v>956</v>
      </c>
      <c r="AC100" s="69"/>
    </row>
    <row r="101" spans="1:29" ht="16.5" customHeight="1" x14ac:dyDescent="0.3">
      <c r="A101" s="2">
        <v>15</v>
      </c>
      <c r="B101" s="2" t="s">
        <v>3809</v>
      </c>
      <c r="C101" s="60" t="s">
        <v>14218</v>
      </c>
      <c r="D101" s="1"/>
      <c r="E101" s="68"/>
      <c r="F101" s="70"/>
      <c r="G101" s="1"/>
      <c r="H101" s="68"/>
      <c r="I101" s="70"/>
      <c r="J101" s="67"/>
      <c r="K101" s="68"/>
      <c r="L101" s="76"/>
      <c r="M101" s="83"/>
      <c r="N101" s="64"/>
      <c r="O101" s="65"/>
      <c r="P101" s="99"/>
      <c r="Q101" s="70"/>
      <c r="R101" s="99"/>
      <c r="S101" s="70"/>
      <c r="T101" s="74" t="s">
        <v>18275</v>
      </c>
      <c r="U101" s="62"/>
      <c r="V101" s="63"/>
      <c r="W101" s="75"/>
      <c r="X101" s="1"/>
      <c r="Y101" s="68" t="s">
        <v>1</v>
      </c>
      <c r="Z101" s="76">
        <v>0.4</v>
      </c>
      <c r="AA101" s="70" t="s">
        <v>422</v>
      </c>
      <c r="AB101" s="228">
        <f>ROUND((ROUND((ROUND((ROUND((_15_同援日１．０*_15・通訳),0)*(1+_15・A深夜)),0)*(1+_15・盲ろう)),0)*(1+_15・区４)),0)+ROUND((ROUND((ROUND((ROUND((_15_同援日１．０＿１．５*_15・通訳),0)*(1+_15・B早朝)),0)*(1+_15・盲ろう)),0)*(1+_15・区４)),0)</f>
        <v>1196</v>
      </c>
      <c r="AC101" s="69"/>
    </row>
    <row r="102" spans="1:29" ht="16.5" customHeight="1" x14ac:dyDescent="0.3">
      <c r="A102" s="2">
        <v>15</v>
      </c>
      <c r="B102" s="2" t="s">
        <v>3810</v>
      </c>
      <c r="C102" s="60" t="s">
        <v>14217</v>
      </c>
      <c r="D102" s="1"/>
      <c r="E102" s="68"/>
      <c r="F102" s="70"/>
      <c r="G102" s="81"/>
      <c r="H102" s="57"/>
      <c r="I102" s="77"/>
      <c r="J102" s="67"/>
      <c r="K102" s="68"/>
      <c r="L102" s="76"/>
      <c r="M102" s="83" t="s">
        <v>5895</v>
      </c>
      <c r="N102" s="64" t="s">
        <v>1</v>
      </c>
      <c r="O102" s="65">
        <v>1</v>
      </c>
      <c r="P102" s="99"/>
      <c r="Q102" s="70"/>
      <c r="R102" s="99"/>
      <c r="S102" s="70"/>
      <c r="T102" s="81" t="s">
        <v>18274</v>
      </c>
      <c r="U102" s="57" t="s">
        <v>1</v>
      </c>
      <c r="V102" s="58">
        <v>0.25</v>
      </c>
      <c r="W102" s="77" t="s">
        <v>422</v>
      </c>
      <c r="X102" s="81"/>
      <c r="Y102" s="57"/>
      <c r="Z102" s="58"/>
      <c r="AA102" s="77"/>
      <c r="AB102" s="228">
        <f>ROUND((ROUND((ROUND((ROUND((ROUND((_15_同援日１．０*_15・通訳),0)*_15・２人),0)*(1+_15・A深夜)),0)*(1+_15・盲ろう)),0)*(1+_15・区４)),0)+ROUND((ROUND((ROUND((ROUND((ROUND((_15_同援日１．０＿１．５*_15・通訳),0)*_15・２人),0)*(1+_15・B早朝)),0)*(1+_15・盲ろう)),0)*(1+_15・区４)),0)</f>
        <v>1196</v>
      </c>
      <c r="AC102" s="69"/>
    </row>
    <row r="103" spans="1:29" ht="16.5" customHeight="1" x14ac:dyDescent="0.3">
      <c r="A103" s="2">
        <v>15</v>
      </c>
      <c r="B103" s="2" t="s">
        <v>3811</v>
      </c>
      <c r="C103" s="60" t="s">
        <v>14216</v>
      </c>
      <c r="D103" s="1"/>
      <c r="E103" s="68"/>
      <c r="F103" s="70"/>
      <c r="G103" s="233" t="s">
        <v>18289</v>
      </c>
      <c r="H103" s="62"/>
      <c r="I103" s="75"/>
      <c r="J103" s="67"/>
      <c r="K103" s="68"/>
      <c r="L103" s="76"/>
      <c r="M103" s="83"/>
      <c r="N103" s="64"/>
      <c r="O103" s="65"/>
      <c r="P103" s="99"/>
      <c r="Q103" s="70"/>
      <c r="R103" s="99"/>
      <c r="S103" s="70"/>
      <c r="T103" s="74"/>
      <c r="U103" s="62"/>
      <c r="V103" s="63"/>
      <c r="W103" s="75"/>
      <c r="X103" s="74"/>
      <c r="Y103" s="62"/>
      <c r="Z103" s="63"/>
      <c r="AA103" s="75"/>
      <c r="AB103" s="228">
        <f>ROUND((ROUND((_15_同援日１．０*_15・通訳),0)*(1+_15・A深夜)),0)+ROUND((ROUND((_15_同援日１．０＿２．０*_15・通訳),0)*(1+_15・B早朝)),0)</f>
        <v>754</v>
      </c>
      <c r="AC103" s="69"/>
    </row>
    <row r="104" spans="1:29" ht="16.5" customHeight="1" x14ac:dyDescent="0.3">
      <c r="A104" s="2">
        <v>15</v>
      </c>
      <c r="B104" s="2" t="s">
        <v>3812</v>
      </c>
      <c r="C104" s="60" t="s">
        <v>14215</v>
      </c>
      <c r="D104" s="1"/>
      <c r="E104" s="68"/>
      <c r="F104" s="70"/>
      <c r="G104" s="1" t="s">
        <v>18284</v>
      </c>
      <c r="H104" s="68"/>
      <c r="I104" s="70"/>
      <c r="J104" s="67"/>
      <c r="K104" s="68"/>
      <c r="L104" s="76"/>
      <c r="M104" s="83" t="s">
        <v>5895</v>
      </c>
      <c r="N104" s="64" t="s">
        <v>1</v>
      </c>
      <c r="O104" s="65">
        <v>1</v>
      </c>
      <c r="P104" s="99"/>
      <c r="Q104" s="70"/>
      <c r="R104" s="99"/>
      <c r="S104" s="70"/>
      <c r="T104" s="81"/>
      <c r="U104" s="57"/>
      <c r="V104" s="58"/>
      <c r="W104" s="77"/>
      <c r="X104" s="1"/>
      <c r="Y104" s="68"/>
      <c r="Z104" s="76"/>
      <c r="AA104" s="70"/>
      <c r="AB104" s="228">
        <f>ROUND((ROUND((ROUND((_15_同援日１．０*_15・通訳),0)*_15・２人),0)*(1+_15・A深夜)),0)+ROUND((ROUND((ROUND((_15_同援日１．０＿２．０*_15・通訳),0)*_15・２人),0)*(1+_15・B早朝)),0)</f>
        <v>754</v>
      </c>
      <c r="AC104" s="69"/>
    </row>
    <row r="105" spans="1:29" ht="16.5" customHeight="1" x14ac:dyDescent="0.3">
      <c r="A105" s="2">
        <v>15</v>
      </c>
      <c r="B105" s="2" t="s">
        <v>3813</v>
      </c>
      <c r="C105" s="60" t="s">
        <v>14214</v>
      </c>
      <c r="D105" s="1"/>
      <c r="E105" s="68"/>
      <c r="F105" s="70"/>
      <c r="G105" s="1" t="s">
        <v>6448</v>
      </c>
      <c r="H105" s="68"/>
      <c r="I105" s="70"/>
      <c r="J105" s="67"/>
      <c r="K105" s="68"/>
      <c r="L105" s="76"/>
      <c r="M105" s="83"/>
      <c r="N105" s="64"/>
      <c r="O105" s="65"/>
      <c r="P105" s="99"/>
      <c r="Q105" s="70"/>
      <c r="R105" s="99"/>
      <c r="S105" s="70"/>
      <c r="T105" s="74" t="s">
        <v>18275</v>
      </c>
      <c r="U105" s="62"/>
      <c r="V105" s="63"/>
      <c r="W105" s="75"/>
      <c r="X105" s="1"/>
      <c r="Y105" s="68"/>
      <c r="Z105" s="76"/>
      <c r="AA105" s="70"/>
      <c r="AB105" s="228">
        <f>ROUND((ROUND((ROUND((_15_同援日１．０*_15・通訳),0)*(1+_15・A深夜)),0)*(1+_15・盲ろう)),0)+ROUND((ROUND((ROUND((_15_同援日１．０＿２．０*_15・通訳),0)*(1+_15・B早朝)),0)*(1+_15・盲ろう)),0)</f>
        <v>943</v>
      </c>
      <c r="AC105" s="69"/>
    </row>
    <row r="106" spans="1:29" ht="16.5" customHeight="1" x14ac:dyDescent="0.3">
      <c r="A106" s="2">
        <v>15</v>
      </c>
      <c r="B106" s="2" t="s">
        <v>3814</v>
      </c>
      <c r="C106" s="60" t="s">
        <v>14213</v>
      </c>
      <c r="D106" s="1"/>
      <c r="E106" s="68"/>
      <c r="F106" s="70"/>
      <c r="G106" s="1"/>
      <c r="H106" s="119">
        <v>319</v>
      </c>
      <c r="I106" s="70" t="s">
        <v>0</v>
      </c>
      <c r="J106" s="67"/>
      <c r="K106" s="68"/>
      <c r="L106" s="76"/>
      <c r="M106" s="83" t="s">
        <v>5895</v>
      </c>
      <c r="N106" s="64" t="s">
        <v>1</v>
      </c>
      <c r="O106" s="65">
        <v>1</v>
      </c>
      <c r="P106" s="99"/>
      <c r="Q106" s="70"/>
      <c r="R106" s="99"/>
      <c r="S106" s="70"/>
      <c r="T106" s="81" t="s">
        <v>18274</v>
      </c>
      <c r="U106" s="57" t="s">
        <v>1</v>
      </c>
      <c r="V106" s="58">
        <v>0.25</v>
      </c>
      <c r="W106" s="77" t="s">
        <v>422</v>
      </c>
      <c r="X106" s="81"/>
      <c r="Y106" s="57"/>
      <c r="Z106" s="58"/>
      <c r="AA106" s="77"/>
      <c r="AB106" s="228">
        <f>ROUND((ROUND((ROUND((ROUND((_15_同援日１．０*_15・通訳),0)*_15・２人),0)*(1+_15・A深夜)),0)*(1+_15・盲ろう)),0)+ROUND((ROUND((ROUND((ROUND((_15_同援日１．０＿２．０*_15・通訳),0)*_15・２人),0)*(1+_15・B早朝)),0)*(1+_15・盲ろう)),0)</f>
        <v>943</v>
      </c>
      <c r="AC106" s="69"/>
    </row>
    <row r="107" spans="1:29" ht="16.5" customHeight="1" x14ac:dyDescent="0.3">
      <c r="A107" s="2">
        <v>15</v>
      </c>
      <c r="B107" s="2" t="s">
        <v>3815</v>
      </c>
      <c r="C107" s="60" t="s">
        <v>14212</v>
      </c>
      <c r="D107" s="1"/>
      <c r="E107" s="68"/>
      <c r="F107" s="70"/>
      <c r="G107" s="1"/>
      <c r="H107" s="68"/>
      <c r="I107" s="70"/>
      <c r="J107" s="67"/>
      <c r="K107" s="68"/>
      <c r="L107" s="76"/>
      <c r="M107" s="83"/>
      <c r="N107" s="64"/>
      <c r="O107" s="65"/>
      <c r="P107" s="99"/>
      <c r="Q107" s="70"/>
      <c r="R107" s="99"/>
      <c r="S107" s="70"/>
      <c r="T107" s="74"/>
      <c r="U107" s="62"/>
      <c r="V107" s="63"/>
      <c r="W107" s="75"/>
      <c r="X107" s="74" t="s">
        <v>18278</v>
      </c>
      <c r="Y107" s="62"/>
      <c r="Z107" s="63"/>
      <c r="AA107" s="75"/>
      <c r="AB107" s="228">
        <f>ROUND((ROUND((ROUND((_15_同援日１．０*_15・通訳),0)*(1+_15・A深夜)),0)*(1+_15・区３)),0)+ROUND((ROUND((ROUND((_15_同援日１．０＿２．０*_15・通訳),0)*(1+_15・B早朝)),0)*(1+_15・区３)),0)</f>
        <v>905</v>
      </c>
      <c r="AC107" s="69"/>
    </row>
    <row r="108" spans="1:29" ht="16.5" customHeight="1" x14ac:dyDescent="0.3">
      <c r="A108" s="2">
        <v>15</v>
      </c>
      <c r="B108" s="2" t="s">
        <v>3816</v>
      </c>
      <c r="C108" s="60" t="s">
        <v>14211</v>
      </c>
      <c r="D108" s="1"/>
      <c r="E108" s="68"/>
      <c r="F108" s="70"/>
      <c r="G108" s="1"/>
      <c r="H108" s="68"/>
      <c r="I108" s="70"/>
      <c r="J108" s="67"/>
      <c r="K108" s="68"/>
      <c r="L108" s="76"/>
      <c r="M108" s="83" t="s">
        <v>5895</v>
      </c>
      <c r="N108" s="64" t="s">
        <v>1</v>
      </c>
      <c r="O108" s="65">
        <v>1</v>
      </c>
      <c r="P108" s="99"/>
      <c r="Q108" s="70"/>
      <c r="R108" s="99"/>
      <c r="S108" s="70"/>
      <c r="T108" s="81"/>
      <c r="U108" s="57"/>
      <c r="V108" s="58"/>
      <c r="W108" s="77"/>
      <c r="X108" s="1" t="s">
        <v>18276</v>
      </c>
      <c r="Y108" s="68"/>
      <c r="Z108" s="76"/>
      <c r="AA108" s="70"/>
      <c r="AB108" s="228">
        <f>ROUND((ROUND((ROUND((ROUND((_15_同援日１．０*_15・通訳),0)*_15・２人),0)*(1+_15・A深夜)),0)*(1+_15・区３)),0)+ROUND((ROUND((ROUND((ROUND((_15_同援日１．０＿２．０*_15・通訳),0)*_15・２人),0)*(1+_15・B早朝)),0)*(1+_15・区３)),0)</f>
        <v>905</v>
      </c>
      <c r="AC108" s="69"/>
    </row>
    <row r="109" spans="1:29" ht="16.5" customHeight="1" x14ac:dyDescent="0.3">
      <c r="A109" s="2">
        <v>15</v>
      </c>
      <c r="B109" s="2" t="s">
        <v>3817</v>
      </c>
      <c r="C109" s="60" t="s">
        <v>14210</v>
      </c>
      <c r="D109" s="1"/>
      <c r="E109" s="68"/>
      <c r="F109" s="70"/>
      <c r="G109" s="1"/>
      <c r="H109" s="68"/>
      <c r="I109" s="70"/>
      <c r="J109" s="67"/>
      <c r="K109" s="68"/>
      <c r="L109" s="76"/>
      <c r="M109" s="83"/>
      <c r="N109" s="64"/>
      <c r="O109" s="65"/>
      <c r="P109" s="99"/>
      <c r="Q109" s="70"/>
      <c r="R109" s="99"/>
      <c r="S109" s="70"/>
      <c r="T109" s="74" t="s">
        <v>18275</v>
      </c>
      <c r="U109" s="62"/>
      <c r="V109" s="63"/>
      <c r="W109" s="75"/>
      <c r="X109" s="1"/>
      <c r="Y109" s="68" t="s">
        <v>1</v>
      </c>
      <c r="Z109" s="76">
        <v>0.2</v>
      </c>
      <c r="AA109" s="70" t="s">
        <v>422</v>
      </c>
      <c r="AB109" s="228">
        <f>ROUND((ROUND((ROUND((ROUND((_15_同援日１．０*_15・通訳),0)*(1+_15・A深夜)),0)*(1+_15・盲ろう)),0)*(1+_15・区３)),0)+ROUND((ROUND((ROUND((ROUND((_15_同援日１．０＿２．０*_15・通訳),0)*(1+_15・B早朝)),0)*(1+_15・盲ろう)),0)*(1+_15・区３)),0)</f>
        <v>1132</v>
      </c>
      <c r="AC109" s="69"/>
    </row>
    <row r="110" spans="1:29" ht="16.5" customHeight="1" x14ac:dyDescent="0.3">
      <c r="A110" s="2">
        <v>15</v>
      </c>
      <c r="B110" s="2" t="s">
        <v>3818</v>
      </c>
      <c r="C110" s="60" t="s">
        <v>14209</v>
      </c>
      <c r="D110" s="1"/>
      <c r="E110" s="68"/>
      <c r="F110" s="70"/>
      <c r="G110" s="1"/>
      <c r="H110" s="68"/>
      <c r="I110" s="70"/>
      <c r="J110" s="67"/>
      <c r="K110" s="68"/>
      <c r="L110" s="76"/>
      <c r="M110" s="83" t="s">
        <v>5895</v>
      </c>
      <c r="N110" s="64" t="s">
        <v>1</v>
      </c>
      <c r="O110" s="65">
        <v>1</v>
      </c>
      <c r="P110" s="99"/>
      <c r="Q110" s="70"/>
      <c r="R110" s="99"/>
      <c r="S110" s="70"/>
      <c r="T110" s="81" t="s">
        <v>18274</v>
      </c>
      <c r="U110" s="57" t="s">
        <v>1</v>
      </c>
      <c r="V110" s="58">
        <v>0.25</v>
      </c>
      <c r="W110" s="77" t="s">
        <v>422</v>
      </c>
      <c r="X110" s="81"/>
      <c r="Y110" s="57"/>
      <c r="Z110" s="58"/>
      <c r="AA110" s="77"/>
      <c r="AB110" s="228">
        <f>ROUND((ROUND((ROUND((ROUND((ROUND((_15_同援日１．０*_15・通訳),0)*_15・２人),0)*(1+_15・A深夜)),0)*(1+_15・盲ろう)),0)*(1+_15・区３)),0)+ROUND((ROUND((ROUND((ROUND((ROUND((_15_同援日１．０＿２．０*_15・通訳),0)*_15・２人),0)*(1+_15・B早朝)),0)*(1+_15・盲ろう)),0)*(1+_15・区３)),0)</f>
        <v>1132</v>
      </c>
      <c r="AC110" s="69"/>
    </row>
    <row r="111" spans="1:29" ht="16.5" customHeight="1" x14ac:dyDescent="0.3">
      <c r="A111" s="2">
        <v>15</v>
      </c>
      <c r="B111" s="2" t="s">
        <v>3819</v>
      </c>
      <c r="C111" s="60" t="s">
        <v>14208</v>
      </c>
      <c r="D111" s="1"/>
      <c r="E111" s="68"/>
      <c r="F111" s="70"/>
      <c r="G111" s="1"/>
      <c r="H111" s="68"/>
      <c r="I111" s="70"/>
      <c r="J111" s="67"/>
      <c r="K111" s="68"/>
      <c r="L111" s="76"/>
      <c r="M111" s="83"/>
      <c r="N111" s="64"/>
      <c r="O111" s="65"/>
      <c r="P111" s="99"/>
      <c r="Q111" s="70"/>
      <c r="R111" s="99"/>
      <c r="S111" s="70"/>
      <c r="T111" s="74"/>
      <c r="U111" s="62"/>
      <c r="V111" s="63"/>
      <c r="W111" s="75"/>
      <c r="X111" s="74" t="s">
        <v>18277</v>
      </c>
      <c r="Y111" s="62"/>
      <c r="Z111" s="63"/>
      <c r="AA111" s="75"/>
      <c r="AB111" s="228">
        <f>ROUND((ROUND((ROUND((_15_同援日１．０*_15・通訳),0)*(1+_15・A深夜)),0)*(1+_15・区４)),0)+ROUND((ROUND((ROUND((_15_同援日１．０＿２．０*_15・通訳),0)*(1+_15・B早朝)),0)*(1+_15・区４)),0)</f>
        <v>1056</v>
      </c>
      <c r="AC111" s="69"/>
    </row>
    <row r="112" spans="1:29" ht="16.5" customHeight="1" x14ac:dyDescent="0.3">
      <c r="A112" s="2">
        <v>15</v>
      </c>
      <c r="B112" s="2" t="s">
        <v>3820</v>
      </c>
      <c r="C112" s="60" t="s">
        <v>14207</v>
      </c>
      <c r="D112" s="1"/>
      <c r="E112" s="68"/>
      <c r="F112" s="70"/>
      <c r="G112" s="1"/>
      <c r="H112" s="68"/>
      <c r="I112" s="70"/>
      <c r="J112" s="67"/>
      <c r="K112" s="68"/>
      <c r="L112" s="76"/>
      <c r="M112" s="83" t="s">
        <v>5895</v>
      </c>
      <c r="N112" s="64" t="s">
        <v>1</v>
      </c>
      <c r="O112" s="65">
        <v>1</v>
      </c>
      <c r="P112" s="99"/>
      <c r="Q112" s="70"/>
      <c r="R112" s="99"/>
      <c r="S112" s="70"/>
      <c r="T112" s="81"/>
      <c r="U112" s="57"/>
      <c r="V112" s="58"/>
      <c r="W112" s="77"/>
      <c r="X112" s="1" t="s">
        <v>17970</v>
      </c>
      <c r="Y112" s="68"/>
      <c r="Z112" s="76"/>
      <c r="AA112" s="70"/>
      <c r="AB112" s="228">
        <f>ROUND((ROUND((ROUND((ROUND((_15_同援日１．０*_15・通訳),0)*_15・２人),0)*(1+_15・A深夜)),0)*(1+_15・区４)),0)+ROUND((ROUND((ROUND((ROUND((_15_同援日１．０＿２．０*_15・通訳),0)*_15・２人),0)*(1+_15・B早朝)),0)*(1+_15・区４)),0)</f>
        <v>1056</v>
      </c>
      <c r="AC112" s="69"/>
    </row>
    <row r="113" spans="1:29" ht="16.5" customHeight="1" x14ac:dyDescent="0.3">
      <c r="A113" s="2">
        <v>15</v>
      </c>
      <c r="B113" s="2" t="s">
        <v>3821</v>
      </c>
      <c r="C113" s="60" t="s">
        <v>14206</v>
      </c>
      <c r="D113" s="1"/>
      <c r="E113" s="68"/>
      <c r="F113" s="70"/>
      <c r="G113" s="1"/>
      <c r="H113" s="68"/>
      <c r="I113" s="70"/>
      <c r="J113" s="67"/>
      <c r="K113" s="68"/>
      <c r="L113" s="76"/>
      <c r="M113" s="83"/>
      <c r="N113" s="64"/>
      <c r="O113" s="65"/>
      <c r="P113" s="99"/>
      <c r="Q113" s="70"/>
      <c r="R113" s="99"/>
      <c r="S113" s="70"/>
      <c r="T113" s="74" t="s">
        <v>8085</v>
      </c>
      <c r="U113" s="62"/>
      <c r="V113" s="63"/>
      <c r="W113" s="75"/>
      <c r="X113" s="1"/>
      <c r="Y113" s="68" t="s">
        <v>1</v>
      </c>
      <c r="Z113" s="76">
        <v>0.4</v>
      </c>
      <c r="AA113" s="70" t="s">
        <v>422</v>
      </c>
      <c r="AB113" s="228">
        <f>ROUND((ROUND((ROUND((ROUND((_15_同援日１．０*_15・通訳),0)*(1+_15・A深夜)),0)*(1+_15・盲ろう)),0)*(1+_15・区４)),0)+ROUND((ROUND((ROUND((ROUND((_15_同援日１．０＿２．０*_15・通訳),0)*(1+_15・B早朝)),0)*(1+_15・盲ろう)),0)*(1+_15・区４)),0)</f>
        <v>1321</v>
      </c>
      <c r="AC113" s="69"/>
    </row>
    <row r="114" spans="1:29" ht="16.5" customHeight="1" x14ac:dyDescent="0.3">
      <c r="A114" s="2">
        <v>15</v>
      </c>
      <c r="B114" s="2" t="s">
        <v>3822</v>
      </c>
      <c r="C114" s="60" t="s">
        <v>14205</v>
      </c>
      <c r="D114" s="81"/>
      <c r="E114" s="57"/>
      <c r="F114" s="77"/>
      <c r="G114" s="81"/>
      <c r="H114" s="57"/>
      <c r="I114" s="77"/>
      <c r="J114" s="67"/>
      <c r="K114" s="68"/>
      <c r="L114" s="76"/>
      <c r="M114" s="83" t="s">
        <v>5895</v>
      </c>
      <c r="N114" s="64" t="s">
        <v>1</v>
      </c>
      <c r="O114" s="65">
        <v>1</v>
      </c>
      <c r="P114" s="99"/>
      <c r="Q114" s="70"/>
      <c r="R114" s="99"/>
      <c r="S114" s="70"/>
      <c r="T114" s="81" t="s">
        <v>18274</v>
      </c>
      <c r="U114" s="57" t="s">
        <v>1</v>
      </c>
      <c r="V114" s="58">
        <v>0.25</v>
      </c>
      <c r="W114" s="77" t="s">
        <v>422</v>
      </c>
      <c r="X114" s="81"/>
      <c r="Y114" s="57"/>
      <c r="Z114" s="58"/>
      <c r="AA114" s="77"/>
      <c r="AB114" s="228">
        <f>ROUND((ROUND((ROUND((ROUND((ROUND((_15_同援日１．０*_15・通訳),0)*_15・２人),0)*(1+_15・A深夜)),0)*(1+_15・盲ろう)),0)*(1+_15・区４)),0)+ROUND((ROUND((ROUND((ROUND((ROUND((_15_同援日１．０＿２．０*_15・通訳),0)*_15・２人),0)*(1+_15・B早朝)),0)*(1+_15・盲ろう)),0)*(1+_15・区４)),0)</f>
        <v>1321</v>
      </c>
      <c r="AC114" s="69"/>
    </row>
    <row r="115" spans="1:29" ht="16.5" customHeight="1" x14ac:dyDescent="0.3">
      <c r="A115" s="2">
        <v>15</v>
      </c>
      <c r="B115" s="2" t="s">
        <v>3823</v>
      </c>
      <c r="C115" s="60" t="s">
        <v>14204</v>
      </c>
      <c r="D115" s="233" t="s">
        <v>18288</v>
      </c>
      <c r="E115" s="235"/>
      <c r="F115" s="75"/>
      <c r="G115" s="233" t="s">
        <v>18280</v>
      </c>
      <c r="H115" s="62"/>
      <c r="I115" s="75"/>
      <c r="J115" s="67"/>
      <c r="K115" s="68"/>
      <c r="L115" s="76"/>
      <c r="M115" s="83"/>
      <c r="N115" s="64"/>
      <c r="O115" s="65"/>
      <c r="P115" s="99"/>
      <c r="Q115" s="70"/>
      <c r="R115" s="99"/>
      <c r="S115" s="70"/>
      <c r="T115" s="74"/>
      <c r="U115" s="62"/>
      <c r="V115" s="63"/>
      <c r="W115" s="75"/>
      <c r="X115" s="74"/>
      <c r="Y115" s="62"/>
      <c r="Z115" s="63"/>
      <c r="AA115" s="75"/>
      <c r="AB115" s="228">
        <f>ROUND((ROUND((_15_同援日１．５*_15・通訳),0)*(1+_15・A深夜)),0)+ROUND((ROUND((_15_同援日１．５＿０．５*_15・通訳),0)*(1+_15・B早朝)),0)</f>
        <v>642</v>
      </c>
      <c r="AC115" s="69"/>
    </row>
    <row r="116" spans="1:29" ht="16.5" customHeight="1" x14ac:dyDescent="0.3">
      <c r="A116" s="2">
        <v>15</v>
      </c>
      <c r="B116" s="2" t="s">
        <v>3824</v>
      </c>
      <c r="C116" s="60" t="s">
        <v>14203</v>
      </c>
      <c r="D116" s="1" t="s">
        <v>18286</v>
      </c>
      <c r="E116" s="68"/>
      <c r="F116" s="70"/>
      <c r="G116" s="1" t="s">
        <v>7928</v>
      </c>
      <c r="H116" s="68"/>
      <c r="I116" s="70"/>
      <c r="J116" s="67"/>
      <c r="K116" s="68"/>
      <c r="L116" s="76"/>
      <c r="M116" s="83" t="s">
        <v>5895</v>
      </c>
      <c r="N116" s="64" t="s">
        <v>1</v>
      </c>
      <c r="O116" s="65">
        <v>1</v>
      </c>
      <c r="P116" s="99"/>
      <c r="Q116" s="70"/>
      <c r="R116" s="99"/>
      <c r="S116" s="70"/>
      <c r="T116" s="81"/>
      <c r="U116" s="57"/>
      <c r="V116" s="58"/>
      <c r="W116" s="77"/>
      <c r="X116" s="1"/>
      <c r="Y116" s="68"/>
      <c r="Z116" s="76"/>
      <c r="AA116" s="70"/>
      <c r="AB116" s="228">
        <f>ROUND((ROUND((ROUND((_15_同援日１．５*_15・通訳),0)*_15・２人),0)*(1+_15・A深夜)),0)+ROUND((ROUND((ROUND((_15_同援日１．５＿０．５*_15・通訳),0)*_15・２人),0)*(1+_15・B早朝)),0)</f>
        <v>642</v>
      </c>
      <c r="AC116" s="69"/>
    </row>
    <row r="117" spans="1:29" ht="16.5" customHeight="1" x14ac:dyDescent="0.3">
      <c r="A117" s="2">
        <v>15</v>
      </c>
      <c r="B117" s="2" t="s">
        <v>3825</v>
      </c>
      <c r="C117" s="60" t="s">
        <v>14202</v>
      </c>
      <c r="D117" s="1" t="s">
        <v>8767</v>
      </c>
      <c r="E117" s="68"/>
      <c r="F117" s="70"/>
      <c r="G117" s="1"/>
      <c r="H117" s="68"/>
      <c r="I117" s="70"/>
      <c r="J117" s="67"/>
      <c r="K117" s="68"/>
      <c r="L117" s="76"/>
      <c r="M117" s="83"/>
      <c r="N117" s="64"/>
      <c r="O117" s="65"/>
      <c r="P117" s="99"/>
      <c r="Q117" s="70"/>
      <c r="R117" s="99"/>
      <c r="S117" s="70"/>
      <c r="T117" s="74" t="s">
        <v>18275</v>
      </c>
      <c r="U117" s="62"/>
      <c r="V117" s="63"/>
      <c r="W117" s="75"/>
      <c r="X117" s="1"/>
      <c r="Y117" s="68"/>
      <c r="Z117" s="76"/>
      <c r="AA117" s="70"/>
      <c r="AB117" s="228">
        <f>ROUND((ROUND((ROUND((_15_同援日１．５*_15・通訳),0)*(1+_15・A深夜)),0)*(1+_15・盲ろう)),0)+ROUND((ROUND((ROUND((_15_同援日１．５＿０．５*_15・通訳),0)*(1+_15・B早朝)),0)*(1+_15・盲ろう)),0)</f>
        <v>802</v>
      </c>
      <c r="AC117" s="69"/>
    </row>
    <row r="118" spans="1:29" ht="16.5" customHeight="1" x14ac:dyDescent="0.3">
      <c r="A118" s="2">
        <v>15</v>
      </c>
      <c r="B118" s="2" t="s">
        <v>3826</v>
      </c>
      <c r="C118" s="60" t="s">
        <v>14201</v>
      </c>
      <c r="D118" s="1"/>
      <c r="E118" s="227">
        <v>421</v>
      </c>
      <c r="F118" s="70" t="s">
        <v>0</v>
      </c>
      <c r="G118" s="1"/>
      <c r="H118" s="119">
        <v>64</v>
      </c>
      <c r="I118" s="70" t="s">
        <v>0</v>
      </c>
      <c r="J118" s="67"/>
      <c r="K118" s="68"/>
      <c r="L118" s="76"/>
      <c r="M118" s="83" t="s">
        <v>5895</v>
      </c>
      <c r="N118" s="64" t="s">
        <v>1</v>
      </c>
      <c r="O118" s="65">
        <v>1</v>
      </c>
      <c r="P118" s="99"/>
      <c r="Q118" s="70"/>
      <c r="R118" s="99"/>
      <c r="S118" s="70"/>
      <c r="T118" s="81" t="s">
        <v>18274</v>
      </c>
      <c r="U118" s="57" t="s">
        <v>1</v>
      </c>
      <c r="V118" s="58">
        <v>0.25</v>
      </c>
      <c r="W118" s="77" t="s">
        <v>422</v>
      </c>
      <c r="X118" s="81"/>
      <c r="Y118" s="57"/>
      <c r="Z118" s="58"/>
      <c r="AA118" s="77"/>
      <c r="AB118" s="228">
        <f>ROUND((ROUND((ROUND((ROUND((_15_同援日１．５*_15・通訳),0)*_15・２人),0)*(1+_15・A深夜)),0)*(1+_15・盲ろう)),0)+ROUND((ROUND((ROUND((ROUND((_15_同援日１．５＿０．５*_15・通訳),0)*_15・２人),0)*(1+_15・B早朝)),0)*(1+_15・盲ろう)),0)</f>
        <v>802</v>
      </c>
      <c r="AC118" s="69"/>
    </row>
    <row r="119" spans="1:29" ht="16.5" customHeight="1" x14ac:dyDescent="0.3">
      <c r="A119" s="2">
        <v>15</v>
      </c>
      <c r="B119" s="2" t="s">
        <v>3827</v>
      </c>
      <c r="C119" s="60" t="s">
        <v>14200</v>
      </c>
      <c r="D119" s="1"/>
      <c r="E119" s="68"/>
      <c r="F119" s="70"/>
      <c r="G119" s="1"/>
      <c r="H119" s="68"/>
      <c r="I119" s="70"/>
      <c r="J119" s="67"/>
      <c r="K119" s="68"/>
      <c r="L119" s="76"/>
      <c r="M119" s="83"/>
      <c r="N119" s="64"/>
      <c r="O119" s="65"/>
      <c r="P119" s="99"/>
      <c r="Q119" s="70"/>
      <c r="R119" s="99"/>
      <c r="S119" s="70"/>
      <c r="T119" s="74"/>
      <c r="U119" s="62"/>
      <c r="V119" s="63"/>
      <c r="W119" s="75"/>
      <c r="X119" s="74" t="s">
        <v>18278</v>
      </c>
      <c r="Y119" s="62"/>
      <c r="Z119" s="63"/>
      <c r="AA119" s="75"/>
      <c r="AB119" s="228">
        <f>ROUND((ROUND((ROUND((_15_同援日１．５*_15・通訳),0)*(1+_15・A深夜)),0)*(1+_15・区３)),0)+ROUND((ROUND((ROUND((_15_同援日１．５＿０．５*_15・通訳),0)*(1+_15・B早朝)),0)*(1+_15・区３)),0)</f>
        <v>771</v>
      </c>
      <c r="AC119" s="69"/>
    </row>
    <row r="120" spans="1:29" ht="16.5" customHeight="1" x14ac:dyDescent="0.3">
      <c r="A120" s="2">
        <v>15</v>
      </c>
      <c r="B120" s="2" t="s">
        <v>3828</v>
      </c>
      <c r="C120" s="60" t="s">
        <v>14199</v>
      </c>
      <c r="D120" s="1"/>
      <c r="E120" s="68"/>
      <c r="F120" s="70"/>
      <c r="G120" s="1"/>
      <c r="H120" s="68"/>
      <c r="I120" s="70"/>
      <c r="J120" s="67"/>
      <c r="K120" s="68"/>
      <c r="L120" s="76"/>
      <c r="M120" s="83" t="s">
        <v>5895</v>
      </c>
      <c r="N120" s="64" t="s">
        <v>1</v>
      </c>
      <c r="O120" s="65">
        <v>1</v>
      </c>
      <c r="P120" s="99"/>
      <c r="Q120" s="70"/>
      <c r="R120" s="99"/>
      <c r="S120" s="70"/>
      <c r="T120" s="81"/>
      <c r="U120" s="57"/>
      <c r="V120" s="58"/>
      <c r="W120" s="77"/>
      <c r="X120" s="1" t="s">
        <v>18276</v>
      </c>
      <c r="Y120" s="68"/>
      <c r="Z120" s="76"/>
      <c r="AA120" s="70"/>
      <c r="AB120" s="228">
        <f>ROUND((ROUND((ROUND((ROUND((_15_同援日１．５*_15・通訳),0)*_15・２人),0)*(1+_15・A深夜)),0)*(1+_15・区３)),0)+ROUND((ROUND((ROUND((ROUND((_15_同援日１．５＿０．５*_15・通訳),0)*_15・２人),0)*(1+_15・B早朝)),0)*(1+_15・区３)),0)</f>
        <v>771</v>
      </c>
      <c r="AC120" s="69"/>
    </row>
    <row r="121" spans="1:29" ht="16.5" customHeight="1" x14ac:dyDescent="0.3">
      <c r="A121" s="2">
        <v>15</v>
      </c>
      <c r="B121" s="2" t="s">
        <v>3829</v>
      </c>
      <c r="C121" s="60" t="s">
        <v>14198</v>
      </c>
      <c r="D121" s="1"/>
      <c r="E121" s="68"/>
      <c r="F121" s="70"/>
      <c r="G121" s="1"/>
      <c r="H121" s="68"/>
      <c r="I121" s="70"/>
      <c r="J121" s="67"/>
      <c r="K121" s="68"/>
      <c r="L121" s="76"/>
      <c r="M121" s="83"/>
      <c r="N121" s="64"/>
      <c r="O121" s="65"/>
      <c r="P121" s="99"/>
      <c r="Q121" s="70"/>
      <c r="R121" s="99"/>
      <c r="S121" s="70"/>
      <c r="T121" s="74" t="s">
        <v>18275</v>
      </c>
      <c r="U121" s="62"/>
      <c r="V121" s="63"/>
      <c r="W121" s="75"/>
      <c r="X121" s="1"/>
      <c r="Y121" s="68" t="s">
        <v>1</v>
      </c>
      <c r="Z121" s="76">
        <v>0.2</v>
      </c>
      <c r="AA121" s="70" t="s">
        <v>422</v>
      </c>
      <c r="AB121" s="228">
        <f>ROUND((ROUND((ROUND((ROUND((_15_同援日１．５*_15・通訳),0)*(1+_15・A深夜)),0)*(1+_15・盲ろう)),0)*(1+_15・区３)),0)+ROUND((ROUND((ROUND((ROUND((_15_同援日１．５＿０．５*_15・通訳),0)*(1+_15・B早朝)),0)*(1+_15・盲ろう)),0)*(1+_15・区３)),0)</f>
        <v>962</v>
      </c>
      <c r="AC121" s="69"/>
    </row>
    <row r="122" spans="1:29" ht="16.5" customHeight="1" x14ac:dyDescent="0.3">
      <c r="A122" s="2">
        <v>15</v>
      </c>
      <c r="B122" s="2" t="s">
        <v>3830</v>
      </c>
      <c r="C122" s="60" t="s">
        <v>14197</v>
      </c>
      <c r="D122" s="1"/>
      <c r="E122" s="68"/>
      <c r="F122" s="70"/>
      <c r="G122" s="1"/>
      <c r="H122" s="68"/>
      <c r="I122" s="70"/>
      <c r="J122" s="67"/>
      <c r="K122" s="68"/>
      <c r="L122" s="76"/>
      <c r="M122" s="83" t="s">
        <v>5895</v>
      </c>
      <c r="N122" s="64" t="s">
        <v>1</v>
      </c>
      <c r="O122" s="65">
        <v>1</v>
      </c>
      <c r="P122" s="99"/>
      <c r="Q122" s="70"/>
      <c r="R122" s="99"/>
      <c r="S122" s="70"/>
      <c r="T122" s="81" t="s">
        <v>8083</v>
      </c>
      <c r="U122" s="57" t="s">
        <v>1</v>
      </c>
      <c r="V122" s="58">
        <v>0.25</v>
      </c>
      <c r="W122" s="77" t="s">
        <v>422</v>
      </c>
      <c r="X122" s="81"/>
      <c r="Y122" s="57"/>
      <c r="Z122" s="58"/>
      <c r="AA122" s="77"/>
      <c r="AB122" s="228">
        <f>ROUND((ROUND((ROUND((ROUND((ROUND((_15_同援日１．５*_15・通訳),0)*_15・２人),0)*(1+_15・A深夜)),0)*(1+_15・盲ろう)),0)*(1+_15・区３)),0)+ROUND((ROUND((ROUND((ROUND((ROUND((_15_同援日１．５＿０．５*_15・通訳),0)*_15・２人),0)*(1+_15・B早朝)),0)*(1+_15・盲ろう)),0)*(1+_15・区３)),0)</f>
        <v>962</v>
      </c>
      <c r="AC122" s="69"/>
    </row>
    <row r="123" spans="1:29" ht="16.5" customHeight="1" x14ac:dyDescent="0.3">
      <c r="A123" s="2">
        <v>15</v>
      </c>
      <c r="B123" s="2" t="s">
        <v>3831</v>
      </c>
      <c r="C123" s="60" t="s">
        <v>14196</v>
      </c>
      <c r="D123" s="1"/>
      <c r="E123" s="68"/>
      <c r="F123" s="70"/>
      <c r="G123" s="1"/>
      <c r="H123" s="68"/>
      <c r="I123" s="70"/>
      <c r="J123" s="67"/>
      <c r="K123" s="68"/>
      <c r="L123" s="76"/>
      <c r="M123" s="83"/>
      <c r="N123" s="64"/>
      <c r="O123" s="65"/>
      <c r="P123" s="99"/>
      <c r="Q123" s="70"/>
      <c r="R123" s="99"/>
      <c r="S123" s="70"/>
      <c r="T123" s="74"/>
      <c r="U123" s="62"/>
      <c r="V123" s="63"/>
      <c r="W123" s="75"/>
      <c r="X123" s="74" t="s">
        <v>18277</v>
      </c>
      <c r="Y123" s="62"/>
      <c r="Z123" s="63"/>
      <c r="AA123" s="75"/>
      <c r="AB123" s="228">
        <f>ROUND((ROUND((ROUND((_15_同援日１．５*_15・通訳),0)*(1+_15・A深夜)),0)*(1+_15・区４)),0)+ROUND((ROUND((ROUND((_15_同援日１．５＿０．５*_15・通訳),0)*(1+_15・B早朝)),0)*(1+_15・区４)),0)</f>
        <v>899</v>
      </c>
      <c r="AC123" s="69"/>
    </row>
    <row r="124" spans="1:29" ht="16.5" customHeight="1" x14ac:dyDescent="0.3">
      <c r="A124" s="2">
        <v>15</v>
      </c>
      <c r="B124" s="2" t="s">
        <v>3832</v>
      </c>
      <c r="C124" s="60" t="s">
        <v>14195</v>
      </c>
      <c r="D124" s="1"/>
      <c r="E124" s="68"/>
      <c r="F124" s="70"/>
      <c r="G124" s="1"/>
      <c r="H124" s="68"/>
      <c r="I124" s="70"/>
      <c r="J124" s="67"/>
      <c r="K124" s="68"/>
      <c r="L124" s="76"/>
      <c r="M124" s="83" t="s">
        <v>5895</v>
      </c>
      <c r="N124" s="64" t="s">
        <v>1</v>
      </c>
      <c r="O124" s="65">
        <v>1</v>
      </c>
      <c r="P124" s="99"/>
      <c r="Q124" s="70"/>
      <c r="R124" s="99"/>
      <c r="S124" s="70"/>
      <c r="T124" s="81"/>
      <c r="U124" s="57"/>
      <c r="V124" s="58"/>
      <c r="W124" s="77"/>
      <c r="X124" s="1" t="s">
        <v>18276</v>
      </c>
      <c r="Y124" s="68"/>
      <c r="Z124" s="76"/>
      <c r="AA124" s="70"/>
      <c r="AB124" s="228">
        <f>ROUND((ROUND((ROUND((ROUND((_15_同援日１．５*_15・通訳),0)*_15・２人),0)*(1+_15・A深夜)),0)*(1+_15・区４)),0)+ROUND((ROUND((ROUND((ROUND((_15_同援日１．５＿０．５*_15・通訳),0)*_15・２人),0)*(1+_15・B早朝)),0)*(1+_15・区４)),0)</f>
        <v>899</v>
      </c>
      <c r="AC124" s="69"/>
    </row>
    <row r="125" spans="1:29" ht="16.5" customHeight="1" x14ac:dyDescent="0.3">
      <c r="A125" s="2">
        <v>15</v>
      </c>
      <c r="B125" s="2" t="s">
        <v>3833</v>
      </c>
      <c r="C125" s="60" t="s">
        <v>14194</v>
      </c>
      <c r="D125" s="1"/>
      <c r="E125" s="68"/>
      <c r="F125" s="70"/>
      <c r="G125" s="1"/>
      <c r="H125" s="68"/>
      <c r="I125" s="70"/>
      <c r="J125" s="67"/>
      <c r="K125" s="68"/>
      <c r="L125" s="76"/>
      <c r="M125" s="83"/>
      <c r="N125" s="64"/>
      <c r="O125" s="65"/>
      <c r="P125" s="99"/>
      <c r="Q125" s="70"/>
      <c r="R125" s="99"/>
      <c r="S125" s="70"/>
      <c r="T125" s="74" t="s">
        <v>18275</v>
      </c>
      <c r="U125" s="62"/>
      <c r="V125" s="63"/>
      <c r="W125" s="75"/>
      <c r="X125" s="1"/>
      <c r="Y125" s="68" t="s">
        <v>1</v>
      </c>
      <c r="Z125" s="76">
        <v>0.4</v>
      </c>
      <c r="AA125" s="70" t="s">
        <v>422</v>
      </c>
      <c r="AB125" s="228">
        <f>ROUND((ROUND((ROUND((ROUND((_15_同援日１．５*_15・通訳),0)*(1+_15・A深夜)),0)*(1+_15・盲ろう)),0)*(1+_15・区４)),0)+ROUND((ROUND((ROUND((ROUND((_15_同援日１．５＿０．５*_15・通訳),0)*(1+_15・B早朝)),0)*(1+_15・盲ろう)),0)*(1+_15・区４)),0)</f>
        <v>1122</v>
      </c>
      <c r="AC125" s="69"/>
    </row>
    <row r="126" spans="1:29" ht="16.5" customHeight="1" x14ac:dyDescent="0.3">
      <c r="A126" s="2">
        <v>15</v>
      </c>
      <c r="B126" s="2" t="s">
        <v>3834</v>
      </c>
      <c r="C126" s="60" t="s">
        <v>14193</v>
      </c>
      <c r="D126" s="1"/>
      <c r="E126" s="68"/>
      <c r="F126" s="70"/>
      <c r="G126" s="81"/>
      <c r="H126" s="57"/>
      <c r="I126" s="77"/>
      <c r="J126" s="67"/>
      <c r="K126" s="68"/>
      <c r="L126" s="76"/>
      <c r="M126" s="83" t="s">
        <v>5895</v>
      </c>
      <c r="N126" s="64" t="s">
        <v>1</v>
      </c>
      <c r="O126" s="65">
        <v>1</v>
      </c>
      <c r="P126" s="99"/>
      <c r="Q126" s="70"/>
      <c r="R126" s="99"/>
      <c r="S126" s="70"/>
      <c r="T126" s="81" t="s">
        <v>18274</v>
      </c>
      <c r="U126" s="57" t="s">
        <v>1</v>
      </c>
      <c r="V126" s="58">
        <v>0.25</v>
      </c>
      <c r="W126" s="77" t="s">
        <v>422</v>
      </c>
      <c r="X126" s="81"/>
      <c r="Y126" s="57"/>
      <c r="Z126" s="58"/>
      <c r="AA126" s="77"/>
      <c r="AB126" s="228">
        <f>ROUND((ROUND((ROUND((ROUND((ROUND((_15_同援日１．５*_15・通訳),0)*_15・２人),0)*(1+_15・A深夜)),0)*(1+_15・盲ろう)),0)*(1+_15・区４)),0)+ROUND((ROUND((ROUND((ROUND((ROUND((_15_同援日１．５＿０．５*_15・通訳),0)*_15・２人),0)*(1+_15・B早朝)),0)*(1+_15・盲ろう)),0)*(1+_15・区４)),0)</f>
        <v>1122</v>
      </c>
      <c r="AC126" s="69"/>
    </row>
    <row r="127" spans="1:29" ht="16.5" customHeight="1" x14ac:dyDescent="0.3">
      <c r="A127" s="2">
        <v>15</v>
      </c>
      <c r="B127" s="2" t="s">
        <v>3835</v>
      </c>
      <c r="C127" s="60" t="s">
        <v>14192</v>
      </c>
      <c r="D127" s="1"/>
      <c r="E127" s="68"/>
      <c r="F127" s="70"/>
      <c r="G127" s="233" t="s">
        <v>18283</v>
      </c>
      <c r="H127" s="62"/>
      <c r="I127" s="75"/>
      <c r="J127" s="67"/>
      <c r="K127" s="68"/>
      <c r="L127" s="76"/>
      <c r="M127" s="83"/>
      <c r="N127" s="64"/>
      <c r="O127" s="65"/>
      <c r="P127" s="99"/>
      <c r="Q127" s="70"/>
      <c r="R127" s="99"/>
      <c r="S127" s="70"/>
      <c r="T127" s="74"/>
      <c r="U127" s="62"/>
      <c r="V127" s="63"/>
      <c r="W127" s="75"/>
      <c r="X127" s="74"/>
      <c r="Y127" s="62"/>
      <c r="Z127" s="63"/>
      <c r="AA127" s="75"/>
      <c r="AB127" s="228">
        <f>ROUND((ROUND((_15_同援日１．５*_15・通訳),0)*(1+_15・A深夜)),0)+ROUND((ROUND((_15_同援日１．５＿１．０*_15・通訳),0)*(1+_15・B早朝)),0)</f>
        <v>712</v>
      </c>
      <c r="AC127" s="69"/>
    </row>
    <row r="128" spans="1:29" ht="16.5" customHeight="1" x14ac:dyDescent="0.3">
      <c r="A128" s="2">
        <v>15</v>
      </c>
      <c r="B128" s="2" t="s">
        <v>3836</v>
      </c>
      <c r="C128" s="60" t="s">
        <v>14191</v>
      </c>
      <c r="D128" s="1"/>
      <c r="E128" s="68"/>
      <c r="F128" s="70"/>
      <c r="G128" s="1" t="s">
        <v>18282</v>
      </c>
      <c r="H128" s="68"/>
      <c r="I128" s="70"/>
      <c r="J128" s="67"/>
      <c r="K128" s="68"/>
      <c r="L128" s="76"/>
      <c r="M128" s="83" t="s">
        <v>5895</v>
      </c>
      <c r="N128" s="64" t="s">
        <v>1</v>
      </c>
      <c r="O128" s="65">
        <v>1</v>
      </c>
      <c r="P128" s="99"/>
      <c r="Q128" s="70"/>
      <c r="R128" s="99"/>
      <c r="S128" s="70"/>
      <c r="T128" s="81"/>
      <c r="U128" s="57"/>
      <c r="V128" s="58"/>
      <c r="W128" s="77"/>
      <c r="X128" s="1"/>
      <c r="Y128" s="68"/>
      <c r="Z128" s="76"/>
      <c r="AA128" s="70"/>
      <c r="AB128" s="228">
        <f>ROUND((ROUND((ROUND((_15_同援日１．５*_15・通訳),0)*_15・２人),0)*(1+_15・A深夜)),0)+ROUND((ROUND((ROUND((_15_同援日１．５＿１．０*_15・通訳),0)*_15・２人),0)*(1+_15・B早朝)),0)</f>
        <v>712</v>
      </c>
      <c r="AC128" s="69"/>
    </row>
    <row r="129" spans="1:29" ht="16.5" customHeight="1" x14ac:dyDescent="0.3">
      <c r="A129" s="2">
        <v>15</v>
      </c>
      <c r="B129" s="2" t="s">
        <v>3837</v>
      </c>
      <c r="C129" s="60" t="s">
        <v>14190</v>
      </c>
      <c r="D129" s="1"/>
      <c r="E129" s="68"/>
      <c r="F129" s="70"/>
      <c r="G129" s="1" t="s">
        <v>8572</v>
      </c>
      <c r="H129" s="68"/>
      <c r="I129" s="70"/>
      <c r="J129" s="67"/>
      <c r="K129" s="68"/>
      <c r="L129" s="76"/>
      <c r="M129" s="83"/>
      <c r="N129" s="64"/>
      <c r="O129" s="65"/>
      <c r="P129" s="99"/>
      <c r="Q129" s="70"/>
      <c r="R129" s="99"/>
      <c r="S129" s="70"/>
      <c r="T129" s="74" t="s">
        <v>8085</v>
      </c>
      <c r="U129" s="62"/>
      <c r="V129" s="63"/>
      <c r="W129" s="75"/>
      <c r="X129" s="1"/>
      <c r="Y129" s="68"/>
      <c r="Z129" s="76"/>
      <c r="AA129" s="70"/>
      <c r="AB129" s="228">
        <f>ROUND((ROUND((ROUND((_15_同援日１．５*_15・通訳),0)*(1+_15・A深夜)),0)*(1+_15・盲ろう)),0)+ROUND((ROUND((ROUND((_15_同援日１．５＿１．０*_15・通訳),0)*(1+_15・B早朝)),0)*(1+_15・盲ろう)),0)</f>
        <v>890</v>
      </c>
      <c r="AC129" s="69"/>
    </row>
    <row r="130" spans="1:29" ht="16.5" customHeight="1" x14ac:dyDescent="0.3">
      <c r="A130" s="2">
        <v>15</v>
      </c>
      <c r="B130" s="2" t="s">
        <v>3838</v>
      </c>
      <c r="C130" s="60" t="s">
        <v>14189</v>
      </c>
      <c r="D130" s="1"/>
      <c r="E130" s="68"/>
      <c r="F130" s="70"/>
      <c r="G130" s="1"/>
      <c r="H130" s="119">
        <v>127</v>
      </c>
      <c r="I130" s="70" t="s">
        <v>0</v>
      </c>
      <c r="J130" s="67"/>
      <c r="K130" s="68"/>
      <c r="L130" s="76"/>
      <c r="M130" s="83" t="s">
        <v>5895</v>
      </c>
      <c r="N130" s="64" t="s">
        <v>1</v>
      </c>
      <c r="O130" s="65">
        <v>1</v>
      </c>
      <c r="P130" s="99"/>
      <c r="Q130" s="70"/>
      <c r="R130" s="99"/>
      <c r="S130" s="70"/>
      <c r="T130" s="81" t="s">
        <v>18274</v>
      </c>
      <c r="U130" s="57" t="s">
        <v>1</v>
      </c>
      <c r="V130" s="58">
        <v>0.25</v>
      </c>
      <c r="W130" s="77" t="s">
        <v>422</v>
      </c>
      <c r="X130" s="81"/>
      <c r="Y130" s="57"/>
      <c r="Z130" s="58"/>
      <c r="AA130" s="77"/>
      <c r="AB130" s="228">
        <f>ROUND((ROUND((ROUND((ROUND((_15_同援日１．５*_15・通訳),0)*_15・２人),0)*(1+_15・A深夜)),0)*(1+_15・盲ろう)),0)+ROUND((ROUND((ROUND((ROUND((_15_同援日１．５＿１．０*_15・通訳),0)*_15・２人),0)*(1+_15・B早朝)),0)*(1+_15・盲ろう)),0)</f>
        <v>890</v>
      </c>
      <c r="AC130" s="69"/>
    </row>
    <row r="131" spans="1:29" ht="16.5" customHeight="1" x14ac:dyDescent="0.3">
      <c r="A131" s="2">
        <v>15</v>
      </c>
      <c r="B131" s="2" t="s">
        <v>3839</v>
      </c>
      <c r="C131" s="60" t="s">
        <v>14188</v>
      </c>
      <c r="D131" s="1"/>
      <c r="E131" s="68"/>
      <c r="F131" s="70"/>
      <c r="G131" s="1"/>
      <c r="H131" s="68"/>
      <c r="I131" s="70"/>
      <c r="J131" s="67"/>
      <c r="K131" s="68"/>
      <c r="L131" s="76"/>
      <c r="M131" s="83"/>
      <c r="N131" s="64"/>
      <c r="O131" s="65"/>
      <c r="P131" s="99"/>
      <c r="Q131" s="70"/>
      <c r="R131" s="99"/>
      <c r="S131" s="70"/>
      <c r="T131" s="74"/>
      <c r="U131" s="62"/>
      <c r="V131" s="63"/>
      <c r="W131" s="75"/>
      <c r="X131" s="74" t="s">
        <v>18278</v>
      </c>
      <c r="Y131" s="62"/>
      <c r="Z131" s="63"/>
      <c r="AA131" s="75"/>
      <c r="AB131" s="228">
        <f>ROUND((ROUND((ROUND((_15_同援日１．５*_15・通訳),0)*(1+_15・A深夜)),0)*(1+_15・区３)),0)+ROUND((ROUND((ROUND((_15_同援日１．５＿１．０*_15・通訳),0)*(1+_15・B早朝)),0)*(1+_15・区３)),0)</f>
        <v>855</v>
      </c>
      <c r="AC131" s="69"/>
    </row>
    <row r="132" spans="1:29" ht="16.5" customHeight="1" x14ac:dyDescent="0.3">
      <c r="A132" s="2">
        <v>15</v>
      </c>
      <c r="B132" s="2" t="s">
        <v>3840</v>
      </c>
      <c r="C132" s="60" t="s">
        <v>14187</v>
      </c>
      <c r="D132" s="1"/>
      <c r="E132" s="68"/>
      <c r="F132" s="70"/>
      <c r="G132" s="1"/>
      <c r="H132" s="68"/>
      <c r="I132" s="70"/>
      <c r="J132" s="67"/>
      <c r="K132" s="68"/>
      <c r="L132" s="76"/>
      <c r="M132" s="83" t="s">
        <v>5895</v>
      </c>
      <c r="N132" s="64" t="s">
        <v>1</v>
      </c>
      <c r="O132" s="65">
        <v>1</v>
      </c>
      <c r="P132" s="99"/>
      <c r="Q132" s="70"/>
      <c r="R132" s="99"/>
      <c r="S132" s="70"/>
      <c r="T132" s="81"/>
      <c r="U132" s="57"/>
      <c r="V132" s="58"/>
      <c r="W132" s="77"/>
      <c r="X132" s="1" t="s">
        <v>18276</v>
      </c>
      <c r="Y132" s="68"/>
      <c r="Z132" s="76"/>
      <c r="AA132" s="70"/>
      <c r="AB132" s="228">
        <f>ROUND((ROUND((ROUND((ROUND((_15_同援日１．５*_15・通訳),0)*_15・２人),0)*(1+_15・A深夜)),0)*(1+_15・区３)),0)+ROUND((ROUND((ROUND((ROUND((_15_同援日１．５＿１．０*_15・通訳),0)*_15・２人),0)*(1+_15・B早朝)),0)*(1+_15・区３)),0)</f>
        <v>855</v>
      </c>
      <c r="AC132" s="69"/>
    </row>
    <row r="133" spans="1:29" ht="16.5" customHeight="1" x14ac:dyDescent="0.3">
      <c r="A133" s="2">
        <v>15</v>
      </c>
      <c r="B133" s="2" t="s">
        <v>3841</v>
      </c>
      <c r="C133" s="60" t="s">
        <v>14186</v>
      </c>
      <c r="D133" s="1"/>
      <c r="E133" s="68"/>
      <c r="F133" s="70"/>
      <c r="G133" s="1"/>
      <c r="H133" s="68"/>
      <c r="I133" s="70"/>
      <c r="J133" s="67"/>
      <c r="K133" s="68"/>
      <c r="L133" s="76"/>
      <c r="M133" s="83"/>
      <c r="N133" s="64"/>
      <c r="O133" s="65"/>
      <c r="P133" s="99"/>
      <c r="Q133" s="70"/>
      <c r="R133" s="99"/>
      <c r="S133" s="70"/>
      <c r="T133" s="74" t="s">
        <v>18275</v>
      </c>
      <c r="U133" s="62"/>
      <c r="V133" s="63"/>
      <c r="W133" s="75"/>
      <c r="X133" s="1"/>
      <c r="Y133" s="68" t="s">
        <v>1</v>
      </c>
      <c r="Z133" s="76">
        <v>0.2</v>
      </c>
      <c r="AA133" s="70" t="s">
        <v>422</v>
      </c>
      <c r="AB133" s="228">
        <f>ROUND((ROUND((ROUND((ROUND((_15_同援日１．５*_15・通訳),0)*(1+_15・A深夜)),0)*(1+_15・盲ろう)),0)*(1+_15・区３)),0)+ROUND((ROUND((ROUND((ROUND((_15_同援日１．５＿１．０*_15・通訳),0)*(1+_15・B早朝)),0)*(1+_15・盲ろう)),0)*(1+_15・区３)),0)</f>
        <v>1068</v>
      </c>
      <c r="AC133" s="69"/>
    </row>
    <row r="134" spans="1:29" ht="16.5" customHeight="1" x14ac:dyDescent="0.3">
      <c r="A134" s="2">
        <v>15</v>
      </c>
      <c r="B134" s="2" t="s">
        <v>3842</v>
      </c>
      <c r="C134" s="60" t="s">
        <v>14185</v>
      </c>
      <c r="D134" s="1"/>
      <c r="E134" s="68"/>
      <c r="F134" s="70"/>
      <c r="G134" s="1"/>
      <c r="H134" s="68"/>
      <c r="I134" s="70"/>
      <c r="J134" s="67"/>
      <c r="K134" s="68"/>
      <c r="L134" s="76"/>
      <c r="M134" s="83" t="s">
        <v>5895</v>
      </c>
      <c r="N134" s="64" t="s">
        <v>1</v>
      </c>
      <c r="O134" s="65">
        <v>1</v>
      </c>
      <c r="P134" s="99"/>
      <c r="Q134" s="70"/>
      <c r="R134" s="99"/>
      <c r="S134" s="70"/>
      <c r="T134" s="81" t="s">
        <v>18274</v>
      </c>
      <c r="U134" s="57" t="s">
        <v>1</v>
      </c>
      <c r="V134" s="58">
        <v>0.25</v>
      </c>
      <c r="W134" s="77" t="s">
        <v>422</v>
      </c>
      <c r="X134" s="81"/>
      <c r="Y134" s="57"/>
      <c r="Z134" s="58"/>
      <c r="AA134" s="77"/>
      <c r="AB134" s="228">
        <f>ROUND((ROUND((ROUND((ROUND((ROUND((_15_同援日１．５*_15・通訳),0)*_15・２人),0)*(1+_15・A深夜)),0)*(1+_15・盲ろう)),0)*(1+_15・区３)),0)+ROUND((ROUND((ROUND((ROUND((ROUND((_15_同援日１．５＿１．０*_15・通訳),0)*_15・２人),0)*(1+_15・B早朝)),0)*(1+_15・盲ろう)),0)*(1+_15・区３)),0)</f>
        <v>1068</v>
      </c>
      <c r="AC134" s="69"/>
    </row>
    <row r="135" spans="1:29" ht="16.5" customHeight="1" x14ac:dyDescent="0.3">
      <c r="A135" s="2">
        <v>15</v>
      </c>
      <c r="B135" s="2" t="s">
        <v>3843</v>
      </c>
      <c r="C135" s="60" t="s">
        <v>14184</v>
      </c>
      <c r="D135" s="1"/>
      <c r="E135" s="68"/>
      <c r="F135" s="70"/>
      <c r="G135" s="1"/>
      <c r="H135" s="68"/>
      <c r="I135" s="70"/>
      <c r="J135" s="67"/>
      <c r="K135" s="68"/>
      <c r="L135" s="76"/>
      <c r="M135" s="83"/>
      <c r="N135" s="64"/>
      <c r="O135" s="65"/>
      <c r="P135" s="99"/>
      <c r="Q135" s="70"/>
      <c r="R135" s="99"/>
      <c r="S135" s="70"/>
      <c r="T135" s="74"/>
      <c r="U135" s="62"/>
      <c r="V135" s="63"/>
      <c r="W135" s="75"/>
      <c r="X135" s="74" t="s">
        <v>18277</v>
      </c>
      <c r="Y135" s="62"/>
      <c r="Z135" s="63"/>
      <c r="AA135" s="75"/>
      <c r="AB135" s="228">
        <f>ROUND((ROUND((ROUND((_15_同援日１．５*_15・通訳),0)*(1+_15・A深夜)),0)*(1+_15・区４)),0)+ROUND((ROUND((ROUND((_15_同援日１．５＿１．０*_15・通訳),0)*(1+_15・B早朝)),0)*(1+_15・区４)),0)</f>
        <v>997</v>
      </c>
      <c r="AC135" s="69"/>
    </row>
    <row r="136" spans="1:29" ht="16.5" customHeight="1" x14ac:dyDescent="0.3">
      <c r="A136" s="2">
        <v>15</v>
      </c>
      <c r="B136" s="2" t="s">
        <v>3844</v>
      </c>
      <c r="C136" s="60" t="s">
        <v>14183</v>
      </c>
      <c r="D136" s="1"/>
      <c r="E136" s="68"/>
      <c r="F136" s="70"/>
      <c r="G136" s="1"/>
      <c r="H136" s="68"/>
      <c r="I136" s="70"/>
      <c r="J136" s="67"/>
      <c r="K136" s="68"/>
      <c r="L136" s="76"/>
      <c r="M136" s="83" t="s">
        <v>5895</v>
      </c>
      <c r="N136" s="64" t="s">
        <v>1</v>
      </c>
      <c r="O136" s="65">
        <v>1</v>
      </c>
      <c r="P136" s="99"/>
      <c r="Q136" s="70"/>
      <c r="R136" s="99"/>
      <c r="S136" s="70"/>
      <c r="T136" s="81"/>
      <c r="U136" s="57"/>
      <c r="V136" s="58"/>
      <c r="W136" s="77"/>
      <c r="X136" s="1" t="s">
        <v>18276</v>
      </c>
      <c r="Y136" s="68"/>
      <c r="Z136" s="76"/>
      <c r="AA136" s="70"/>
      <c r="AB136" s="228">
        <f>ROUND((ROUND((ROUND((ROUND((_15_同援日１．５*_15・通訳),0)*_15・２人),0)*(1+_15・A深夜)),0)*(1+_15・区４)),0)+ROUND((ROUND((ROUND((ROUND((_15_同援日１．５＿１．０*_15・通訳),0)*_15・２人),0)*(1+_15・B早朝)),0)*(1+_15・区４)),0)</f>
        <v>997</v>
      </c>
      <c r="AC136" s="69"/>
    </row>
    <row r="137" spans="1:29" ht="16.5" customHeight="1" x14ac:dyDescent="0.3">
      <c r="A137" s="2">
        <v>15</v>
      </c>
      <c r="B137" s="2" t="s">
        <v>3845</v>
      </c>
      <c r="C137" s="60" t="s">
        <v>14182</v>
      </c>
      <c r="D137" s="1"/>
      <c r="E137" s="68"/>
      <c r="F137" s="70"/>
      <c r="G137" s="1"/>
      <c r="H137" s="68"/>
      <c r="I137" s="70"/>
      <c r="J137" s="67"/>
      <c r="K137" s="68"/>
      <c r="L137" s="76"/>
      <c r="M137" s="83"/>
      <c r="N137" s="64"/>
      <c r="O137" s="65"/>
      <c r="P137" s="99"/>
      <c r="Q137" s="70"/>
      <c r="R137" s="99"/>
      <c r="S137" s="70"/>
      <c r="T137" s="74" t="s">
        <v>18275</v>
      </c>
      <c r="U137" s="62"/>
      <c r="V137" s="63"/>
      <c r="W137" s="75"/>
      <c r="X137" s="1"/>
      <c r="Y137" s="68" t="s">
        <v>1</v>
      </c>
      <c r="Z137" s="76">
        <v>0.4</v>
      </c>
      <c r="AA137" s="70" t="s">
        <v>422</v>
      </c>
      <c r="AB137" s="228">
        <f>ROUND((ROUND((ROUND((ROUND((_15_同援日１．５*_15・通訳),0)*(1+_15・A深夜)),0)*(1+_15・盲ろう)),0)*(1+_15・区４)),0)+ROUND((ROUND((ROUND((ROUND((_15_同援日１．５＿１．０*_15・通訳),0)*(1+_15・B早朝)),0)*(1+_15・盲ろう)),0)*(1+_15・区４)),0)</f>
        <v>1246</v>
      </c>
      <c r="AC137" s="69"/>
    </row>
    <row r="138" spans="1:29" ht="16.5" customHeight="1" x14ac:dyDescent="0.3">
      <c r="A138" s="2">
        <v>15</v>
      </c>
      <c r="B138" s="2" t="s">
        <v>3846</v>
      </c>
      <c r="C138" s="60" t="s">
        <v>14181</v>
      </c>
      <c r="D138" s="1"/>
      <c r="E138" s="68"/>
      <c r="F138" s="70"/>
      <c r="G138" s="81"/>
      <c r="H138" s="57"/>
      <c r="I138" s="77"/>
      <c r="J138" s="67"/>
      <c r="K138" s="68"/>
      <c r="L138" s="76"/>
      <c r="M138" s="83" t="s">
        <v>5895</v>
      </c>
      <c r="N138" s="64" t="s">
        <v>1</v>
      </c>
      <c r="O138" s="65">
        <v>1</v>
      </c>
      <c r="P138" s="99"/>
      <c r="Q138" s="70"/>
      <c r="R138" s="99"/>
      <c r="S138" s="70"/>
      <c r="T138" s="81" t="s">
        <v>17968</v>
      </c>
      <c r="U138" s="57" t="s">
        <v>1</v>
      </c>
      <c r="V138" s="58">
        <v>0.25</v>
      </c>
      <c r="W138" s="77" t="s">
        <v>422</v>
      </c>
      <c r="X138" s="81"/>
      <c r="Y138" s="57"/>
      <c r="Z138" s="58"/>
      <c r="AA138" s="77"/>
      <c r="AB138" s="228">
        <f>ROUND((ROUND((ROUND((ROUND((ROUND((_15_同援日１．５*_15・通訳),0)*_15・２人),0)*(1+_15・A深夜)),0)*(1+_15・盲ろう)),0)*(1+_15・区４)),0)+ROUND((ROUND((ROUND((ROUND((ROUND((_15_同援日１．５＿１．０*_15・通訳),0)*_15・２人),0)*(1+_15・B早朝)),0)*(1+_15・盲ろう)),0)*(1+_15・区４)),0)</f>
        <v>1246</v>
      </c>
      <c r="AC138" s="69"/>
    </row>
    <row r="139" spans="1:29" ht="16.5" customHeight="1" x14ac:dyDescent="0.3">
      <c r="A139" s="2">
        <v>15</v>
      </c>
      <c r="B139" s="2" t="s">
        <v>3847</v>
      </c>
      <c r="C139" s="60" t="s">
        <v>14180</v>
      </c>
      <c r="D139" s="1"/>
      <c r="E139" s="68"/>
      <c r="F139" s="70"/>
      <c r="G139" s="233" t="s">
        <v>18287</v>
      </c>
      <c r="H139" s="62"/>
      <c r="I139" s="75"/>
      <c r="J139" s="67"/>
      <c r="K139" s="68"/>
      <c r="L139" s="76"/>
      <c r="M139" s="83"/>
      <c r="N139" s="64"/>
      <c r="O139" s="65"/>
      <c r="P139" s="99"/>
      <c r="Q139" s="70"/>
      <c r="R139" s="99"/>
      <c r="S139" s="70"/>
      <c r="T139" s="74"/>
      <c r="U139" s="62"/>
      <c r="V139" s="63"/>
      <c r="W139" s="75"/>
      <c r="X139" s="74"/>
      <c r="Y139" s="62"/>
      <c r="Z139" s="63"/>
      <c r="AA139" s="75"/>
      <c r="AB139" s="228">
        <f>ROUND((ROUND((_15_同援日１．５*_15・通訳),0)*(1+_15・A深夜)),0)+ROUND((ROUND((_15_同援日１．５＿１．５*_15・通訳),0)*(1+_15・B早朝)),0)</f>
        <v>783</v>
      </c>
      <c r="AC139" s="69"/>
    </row>
    <row r="140" spans="1:29" ht="16.5" customHeight="1" x14ac:dyDescent="0.3">
      <c r="A140" s="2">
        <v>15</v>
      </c>
      <c r="B140" s="2" t="s">
        <v>3848</v>
      </c>
      <c r="C140" s="60" t="s">
        <v>14179</v>
      </c>
      <c r="D140" s="1"/>
      <c r="E140" s="68"/>
      <c r="F140" s="70"/>
      <c r="G140" s="1" t="s">
        <v>18286</v>
      </c>
      <c r="H140" s="68"/>
      <c r="I140" s="70"/>
      <c r="J140" s="67"/>
      <c r="K140" s="68"/>
      <c r="L140" s="76"/>
      <c r="M140" s="83" t="s">
        <v>5895</v>
      </c>
      <c r="N140" s="64" t="s">
        <v>1</v>
      </c>
      <c r="O140" s="65">
        <v>1</v>
      </c>
      <c r="P140" s="99"/>
      <c r="Q140" s="70"/>
      <c r="R140" s="99"/>
      <c r="S140" s="70"/>
      <c r="T140" s="81"/>
      <c r="U140" s="57"/>
      <c r="V140" s="58"/>
      <c r="W140" s="77"/>
      <c r="X140" s="1"/>
      <c r="Y140" s="68"/>
      <c r="Z140" s="76"/>
      <c r="AA140" s="70"/>
      <c r="AB140" s="228">
        <f>ROUND((ROUND((ROUND((_15_同援日１．５*_15・通訳),0)*_15・２人),0)*(1+_15・A深夜)),0)+ROUND((ROUND((ROUND((_15_同援日１．５＿１．５*_15・通訳),0)*_15・２人),0)*(1+_15・B早朝)),0)</f>
        <v>783</v>
      </c>
      <c r="AC140" s="69"/>
    </row>
    <row r="141" spans="1:29" ht="16.5" customHeight="1" x14ac:dyDescent="0.3">
      <c r="A141" s="2">
        <v>15</v>
      </c>
      <c r="B141" s="2" t="s">
        <v>3849</v>
      </c>
      <c r="C141" s="60" t="s">
        <v>14178</v>
      </c>
      <c r="D141" s="1"/>
      <c r="E141" s="68"/>
      <c r="F141" s="70"/>
      <c r="G141" s="1" t="s">
        <v>8767</v>
      </c>
      <c r="H141" s="68"/>
      <c r="I141" s="70"/>
      <c r="J141" s="67"/>
      <c r="K141" s="68"/>
      <c r="L141" s="76"/>
      <c r="M141" s="83"/>
      <c r="N141" s="64"/>
      <c r="O141" s="65"/>
      <c r="P141" s="99"/>
      <c r="Q141" s="70"/>
      <c r="R141" s="99"/>
      <c r="S141" s="70"/>
      <c r="T141" s="74" t="s">
        <v>17969</v>
      </c>
      <c r="U141" s="62"/>
      <c r="V141" s="63"/>
      <c r="W141" s="75"/>
      <c r="X141" s="1"/>
      <c r="Y141" s="68"/>
      <c r="Z141" s="76"/>
      <c r="AA141" s="70"/>
      <c r="AB141" s="228">
        <f>ROUND((ROUND((ROUND((_15_同援日１．５*_15・通訳),0)*(1+_15・A深夜)),0)*(1+_15・盲ろう)),0)+ROUND((ROUND((ROUND((_15_同援日１．５＿１．５*_15・通訳),0)*(1+_15・B早朝)),0)*(1+_15・盲ろう)),0)</f>
        <v>979</v>
      </c>
      <c r="AC141" s="69"/>
    </row>
    <row r="142" spans="1:29" ht="16.5" customHeight="1" x14ac:dyDescent="0.3">
      <c r="A142" s="2">
        <v>15</v>
      </c>
      <c r="B142" s="2" t="s">
        <v>3850</v>
      </c>
      <c r="C142" s="60" t="s">
        <v>14177</v>
      </c>
      <c r="D142" s="1"/>
      <c r="E142" s="68"/>
      <c r="F142" s="70"/>
      <c r="G142" s="1"/>
      <c r="H142" s="119">
        <v>190</v>
      </c>
      <c r="I142" s="70" t="s">
        <v>0</v>
      </c>
      <c r="J142" s="67"/>
      <c r="K142" s="68"/>
      <c r="L142" s="76"/>
      <c r="M142" s="83" t="s">
        <v>5895</v>
      </c>
      <c r="N142" s="64" t="s">
        <v>1</v>
      </c>
      <c r="O142" s="65">
        <v>1</v>
      </c>
      <c r="P142" s="99"/>
      <c r="Q142" s="70"/>
      <c r="R142" s="99"/>
      <c r="S142" s="70"/>
      <c r="T142" s="81" t="s">
        <v>18274</v>
      </c>
      <c r="U142" s="57" t="s">
        <v>1</v>
      </c>
      <c r="V142" s="58">
        <v>0.25</v>
      </c>
      <c r="W142" s="77" t="s">
        <v>422</v>
      </c>
      <c r="X142" s="81"/>
      <c r="Y142" s="57"/>
      <c r="Z142" s="58"/>
      <c r="AA142" s="77"/>
      <c r="AB142" s="228">
        <f>ROUND((ROUND((ROUND((ROUND((_15_同援日１．５*_15・通訳),0)*_15・２人),0)*(1+_15・A深夜)),0)*(1+_15・盲ろう)),0)+ROUND((ROUND((ROUND((ROUND((_15_同援日１．５＿１．５*_15・通訳),0)*_15・２人),0)*(1+_15・B早朝)),0)*(1+_15・盲ろう)),0)</f>
        <v>979</v>
      </c>
      <c r="AC142" s="69"/>
    </row>
    <row r="143" spans="1:29" ht="16.5" customHeight="1" x14ac:dyDescent="0.3">
      <c r="A143" s="2">
        <v>15</v>
      </c>
      <c r="B143" s="2" t="s">
        <v>3851</v>
      </c>
      <c r="C143" s="60" t="s">
        <v>14176</v>
      </c>
      <c r="D143" s="1"/>
      <c r="E143" s="68"/>
      <c r="F143" s="70"/>
      <c r="G143" s="1"/>
      <c r="H143" s="68"/>
      <c r="I143" s="70"/>
      <c r="J143" s="67"/>
      <c r="K143" s="68"/>
      <c r="L143" s="76"/>
      <c r="M143" s="83"/>
      <c r="N143" s="64"/>
      <c r="O143" s="65"/>
      <c r="P143" s="99"/>
      <c r="Q143" s="70"/>
      <c r="R143" s="99"/>
      <c r="S143" s="70"/>
      <c r="T143" s="74"/>
      <c r="U143" s="62"/>
      <c r="V143" s="63"/>
      <c r="W143" s="75"/>
      <c r="X143" s="74" t="s">
        <v>8098</v>
      </c>
      <c r="Y143" s="62"/>
      <c r="Z143" s="63"/>
      <c r="AA143" s="75"/>
      <c r="AB143" s="228">
        <f>ROUND((ROUND((ROUND((_15_同援日１．５*_15・通訳),0)*(1+_15・A深夜)),0)*(1+_15・区３)),0)+ROUND((ROUND((ROUND((_15_同援日１．５＿１．５*_15・通訳),0)*(1+_15・B早朝)),0)*(1+_15・区３)),0)</f>
        <v>940</v>
      </c>
      <c r="AC143" s="69"/>
    </row>
    <row r="144" spans="1:29" ht="16.5" customHeight="1" x14ac:dyDescent="0.3">
      <c r="A144" s="2">
        <v>15</v>
      </c>
      <c r="B144" s="2" t="s">
        <v>3852</v>
      </c>
      <c r="C144" s="60" t="s">
        <v>14175</v>
      </c>
      <c r="D144" s="1"/>
      <c r="E144" s="68"/>
      <c r="F144" s="70"/>
      <c r="G144" s="1"/>
      <c r="H144" s="68"/>
      <c r="I144" s="70"/>
      <c r="J144" s="67"/>
      <c r="K144" s="68"/>
      <c r="L144" s="76"/>
      <c r="M144" s="83" t="s">
        <v>5895</v>
      </c>
      <c r="N144" s="64" t="s">
        <v>1</v>
      </c>
      <c r="O144" s="65">
        <v>1</v>
      </c>
      <c r="P144" s="99"/>
      <c r="Q144" s="70"/>
      <c r="R144" s="99"/>
      <c r="S144" s="70"/>
      <c r="T144" s="81"/>
      <c r="U144" s="57"/>
      <c r="V144" s="58"/>
      <c r="W144" s="77"/>
      <c r="X144" s="1" t="s">
        <v>18276</v>
      </c>
      <c r="Y144" s="68"/>
      <c r="Z144" s="76"/>
      <c r="AA144" s="70"/>
      <c r="AB144" s="228">
        <f>ROUND((ROUND((ROUND((ROUND((_15_同援日１．５*_15・通訳),0)*_15・２人),0)*(1+_15・A深夜)),0)*(1+_15・区３)),0)+ROUND((ROUND((ROUND((ROUND((_15_同援日１．５＿１．５*_15・通訳),0)*_15・２人),0)*(1+_15・B早朝)),0)*(1+_15・区３)),0)</f>
        <v>940</v>
      </c>
      <c r="AC144" s="69"/>
    </row>
    <row r="145" spans="1:29" ht="16.5" customHeight="1" x14ac:dyDescent="0.3">
      <c r="A145" s="2">
        <v>15</v>
      </c>
      <c r="B145" s="2" t="s">
        <v>3853</v>
      </c>
      <c r="C145" s="60" t="s">
        <v>14174</v>
      </c>
      <c r="D145" s="1"/>
      <c r="E145" s="68"/>
      <c r="F145" s="70"/>
      <c r="G145" s="1"/>
      <c r="H145" s="68"/>
      <c r="I145" s="70"/>
      <c r="J145" s="67"/>
      <c r="K145" s="68"/>
      <c r="L145" s="76"/>
      <c r="M145" s="83"/>
      <c r="N145" s="64"/>
      <c r="O145" s="65"/>
      <c r="P145" s="99"/>
      <c r="Q145" s="70"/>
      <c r="R145" s="99"/>
      <c r="S145" s="70"/>
      <c r="T145" s="74" t="s">
        <v>18275</v>
      </c>
      <c r="U145" s="62"/>
      <c r="V145" s="63"/>
      <c r="W145" s="75"/>
      <c r="X145" s="1"/>
      <c r="Y145" s="68" t="s">
        <v>1</v>
      </c>
      <c r="Z145" s="76">
        <v>0.2</v>
      </c>
      <c r="AA145" s="70" t="s">
        <v>422</v>
      </c>
      <c r="AB145" s="228">
        <f>ROUND((ROUND((ROUND((ROUND((_15_同援日１．５*_15・通訳),0)*(1+_15・A深夜)),0)*(1+_15・盲ろう)),0)*(1+_15・区３)),0)+ROUND((ROUND((ROUND((ROUND((_15_同援日１．５＿１．５*_15・通訳),0)*(1+_15・B早朝)),0)*(1+_15・盲ろう)),0)*(1+_15・区３)),0)</f>
        <v>1175</v>
      </c>
      <c r="AC145" s="69"/>
    </row>
    <row r="146" spans="1:29" ht="16.5" customHeight="1" x14ac:dyDescent="0.3">
      <c r="A146" s="2">
        <v>15</v>
      </c>
      <c r="B146" s="2" t="s">
        <v>3854</v>
      </c>
      <c r="C146" s="60" t="s">
        <v>14173</v>
      </c>
      <c r="D146" s="1"/>
      <c r="E146" s="68"/>
      <c r="F146" s="70"/>
      <c r="G146" s="1"/>
      <c r="H146" s="68"/>
      <c r="I146" s="70"/>
      <c r="J146" s="67"/>
      <c r="K146" s="68"/>
      <c r="L146" s="76"/>
      <c r="M146" s="83" t="s">
        <v>5895</v>
      </c>
      <c r="N146" s="64" t="s">
        <v>1</v>
      </c>
      <c r="O146" s="65">
        <v>1</v>
      </c>
      <c r="P146" s="99"/>
      <c r="Q146" s="70"/>
      <c r="R146" s="99"/>
      <c r="S146" s="70"/>
      <c r="T146" s="81" t="s">
        <v>18274</v>
      </c>
      <c r="U146" s="57" t="s">
        <v>1</v>
      </c>
      <c r="V146" s="58">
        <v>0.25</v>
      </c>
      <c r="W146" s="77" t="s">
        <v>422</v>
      </c>
      <c r="X146" s="81"/>
      <c r="Y146" s="57"/>
      <c r="Z146" s="58"/>
      <c r="AA146" s="77"/>
      <c r="AB146" s="228">
        <f>ROUND((ROUND((ROUND((ROUND((ROUND((_15_同援日１．５*_15・通訳),0)*_15・２人),0)*(1+_15・A深夜)),0)*(1+_15・盲ろう)),0)*(1+_15・区３)),0)+ROUND((ROUND((ROUND((ROUND((ROUND((_15_同援日１．５＿１．５*_15・通訳),0)*_15・２人),0)*(1+_15・B早朝)),0)*(1+_15・盲ろう)),0)*(1+_15・区３)),0)</f>
        <v>1175</v>
      </c>
      <c r="AC146" s="69"/>
    </row>
    <row r="147" spans="1:29" ht="16.5" customHeight="1" x14ac:dyDescent="0.3">
      <c r="A147" s="2">
        <v>15</v>
      </c>
      <c r="B147" s="2" t="s">
        <v>3855</v>
      </c>
      <c r="C147" s="60" t="s">
        <v>14172</v>
      </c>
      <c r="D147" s="1"/>
      <c r="E147" s="68"/>
      <c r="F147" s="70"/>
      <c r="G147" s="1"/>
      <c r="H147" s="68"/>
      <c r="I147" s="70"/>
      <c r="J147" s="67"/>
      <c r="K147" s="68"/>
      <c r="L147" s="76"/>
      <c r="M147" s="83"/>
      <c r="N147" s="64"/>
      <c r="O147" s="65"/>
      <c r="P147" s="99"/>
      <c r="Q147" s="70"/>
      <c r="R147" s="99"/>
      <c r="S147" s="70"/>
      <c r="T147" s="74"/>
      <c r="U147" s="62"/>
      <c r="V147" s="63"/>
      <c r="W147" s="75"/>
      <c r="X147" s="74" t="s">
        <v>18277</v>
      </c>
      <c r="Y147" s="62"/>
      <c r="Z147" s="63"/>
      <c r="AA147" s="75"/>
      <c r="AB147" s="228">
        <f>ROUND((ROUND((ROUND((_15_同援日１．５*_15・通訳),0)*(1+_15・A深夜)),0)*(1+_15・区４)),0)+ROUND((ROUND((ROUND((_15_同援日１．５＿１．５*_15・通訳),0)*(1+_15・B早朝)),0)*(1+_15・区４)),0)</f>
        <v>1097</v>
      </c>
      <c r="AC147" s="69"/>
    </row>
    <row r="148" spans="1:29" ht="16.5" customHeight="1" x14ac:dyDescent="0.3">
      <c r="A148" s="2">
        <v>15</v>
      </c>
      <c r="B148" s="2" t="s">
        <v>3856</v>
      </c>
      <c r="C148" s="60" t="s">
        <v>14171</v>
      </c>
      <c r="D148" s="1"/>
      <c r="E148" s="68"/>
      <c r="F148" s="70"/>
      <c r="G148" s="1"/>
      <c r="H148" s="68"/>
      <c r="I148" s="70"/>
      <c r="J148" s="67"/>
      <c r="K148" s="68"/>
      <c r="L148" s="76"/>
      <c r="M148" s="83" t="s">
        <v>5895</v>
      </c>
      <c r="N148" s="64" t="s">
        <v>1</v>
      </c>
      <c r="O148" s="65">
        <v>1</v>
      </c>
      <c r="P148" s="99"/>
      <c r="Q148" s="70"/>
      <c r="R148" s="99"/>
      <c r="S148" s="70"/>
      <c r="T148" s="81"/>
      <c r="U148" s="57"/>
      <c r="V148" s="58"/>
      <c r="W148" s="77"/>
      <c r="X148" s="1" t="s">
        <v>18276</v>
      </c>
      <c r="Y148" s="68"/>
      <c r="Z148" s="76"/>
      <c r="AA148" s="70"/>
      <c r="AB148" s="228">
        <f>ROUND((ROUND((ROUND((ROUND((_15_同援日１．５*_15・通訳),0)*_15・２人),0)*(1+_15・A深夜)),0)*(1+_15・区４)),0)+ROUND((ROUND((ROUND((ROUND((_15_同援日１．５＿１．５*_15・通訳),0)*_15・２人),0)*(1+_15・B早朝)),0)*(1+_15・区４)),0)</f>
        <v>1097</v>
      </c>
      <c r="AC148" s="69"/>
    </row>
    <row r="149" spans="1:29" ht="16.5" customHeight="1" x14ac:dyDescent="0.3">
      <c r="A149" s="2">
        <v>15</v>
      </c>
      <c r="B149" s="2" t="s">
        <v>3857</v>
      </c>
      <c r="C149" s="60" t="s">
        <v>14170</v>
      </c>
      <c r="D149" s="1"/>
      <c r="E149" s="68"/>
      <c r="F149" s="70"/>
      <c r="G149" s="1"/>
      <c r="H149" s="68"/>
      <c r="I149" s="70"/>
      <c r="J149" s="67"/>
      <c r="K149" s="68"/>
      <c r="L149" s="76"/>
      <c r="M149" s="83"/>
      <c r="N149" s="64"/>
      <c r="O149" s="65"/>
      <c r="P149" s="99"/>
      <c r="Q149" s="70"/>
      <c r="R149" s="99"/>
      <c r="S149" s="70"/>
      <c r="T149" s="74" t="s">
        <v>18275</v>
      </c>
      <c r="U149" s="62"/>
      <c r="V149" s="63"/>
      <c r="W149" s="75"/>
      <c r="X149" s="1"/>
      <c r="Y149" s="68" t="s">
        <v>1</v>
      </c>
      <c r="Z149" s="76">
        <v>0.4</v>
      </c>
      <c r="AA149" s="70" t="s">
        <v>422</v>
      </c>
      <c r="AB149" s="228">
        <f>ROUND((ROUND((ROUND((ROUND((_15_同援日１．５*_15・通訳),0)*(1+_15・A深夜)),0)*(1+_15・盲ろう)),0)*(1+_15・区４)),0)+ROUND((ROUND((ROUND((ROUND((_15_同援日１．５＿１．５*_15・通訳),0)*(1+_15・B早朝)),0)*(1+_15・盲ろう)),0)*(1+_15・区４)),0)</f>
        <v>1370</v>
      </c>
      <c r="AC149" s="69"/>
    </row>
    <row r="150" spans="1:29" ht="16.5" customHeight="1" x14ac:dyDescent="0.3">
      <c r="A150" s="2">
        <v>15</v>
      </c>
      <c r="B150" s="2" t="s">
        <v>3858</v>
      </c>
      <c r="C150" s="60" t="s">
        <v>14169</v>
      </c>
      <c r="D150" s="81"/>
      <c r="E150" s="57"/>
      <c r="F150" s="77"/>
      <c r="G150" s="81"/>
      <c r="H150" s="57"/>
      <c r="I150" s="77"/>
      <c r="J150" s="67"/>
      <c r="K150" s="68"/>
      <c r="L150" s="76"/>
      <c r="M150" s="83" t="s">
        <v>5895</v>
      </c>
      <c r="N150" s="64" t="s">
        <v>1</v>
      </c>
      <c r="O150" s="65">
        <v>1</v>
      </c>
      <c r="P150" s="99"/>
      <c r="Q150" s="70"/>
      <c r="R150" s="99"/>
      <c r="S150" s="70"/>
      <c r="T150" s="81" t="s">
        <v>8083</v>
      </c>
      <c r="U150" s="57" t="s">
        <v>1</v>
      </c>
      <c r="V150" s="58">
        <v>0.25</v>
      </c>
      <c r="W150" s="77" t="s">
        <v>422</v>
      </c>
      <c r="X150" s="81"/>
      <c r="Y150" s="57"/>
      <c r="Z150" s="58"/>
      <c r="AA150" s="77"/>
      <c r="AB150" s="228">
        <f>ROUND((ROUND((ROUND((ROUND((ROUND((_15_同援日１．５*_15・通訳),0)*_15・２人),0)*(1+_15・A深夜)),0)*(1+_15・盲ろう)),0)*(1+_15・区４)),0)+ROUND((ROUND((ROUND((ROUND((ROUND((_15_同援日１．５＿１．５*_15・通訳),0)*_15・２人),0)*(1+_15・B早朝)),0)*(1+_15・盲ろう)),0)*(1+_15・区４)),0)</f>
        <v>1370</v>
      </c>
      <c r="AC150" s="69"/>
    </row>
    <row r="151" spans="1:29" ht="16.5" customHeight="1" x14ac:dyDescent="0.3">
      <c r="A151" s="2">
        <v>15</v>
      </c>
      <c r="B151" s="2" t="s">
        <v>3859</v>
      </c>
      <c r="C151" s="60" t="s">
        <v>14168</v>
      </c>
      <c r="D151" s="233" t="s">
        <v>18285</v>
      </c>
      <c r="E151" s="235"/>
      <c r="F151" s="75"/>
      <c r="G151" s="233" t="s">
        <v>18280</v>
      </c>
      <c r="H151" s="62"/>
      <c r="I151" s="75"/>
      <c r="J151" s="67"/>
      <c r="K151" s="68"/>
      <c r="L151" s="76"/>
      <c r="M151" s="83"/>
      <c r="N151" s="64"/>
      <c r="O151" s="65"/>
      <c r="P151" s="99"/>
      <c r="Q151" s="70"/>
      <c r="R151" s="99"/>
      <c r="S151" s="70"/>
      <c r="T151" s="74"/>
      <c r="U151" s="62"/>
      <c r="V151" s="63"/>
      <c r="W151" s="75"/>
      <c r="X151" s="74"/>
      <c r="Y151" s="62"/>
      <c r="Z151" s="63"/>
      <c r="AA151" s="75"/>
      <c r="AB151" s="228">
        <f>ROUND((ROUND((_15_同援日２．０*_15・通訳),0)*(1+_15・A深夜)),0)+ROUND((ROUND((_15_同援日２．０＿０．５*_15・通訳),0)*(1+_15・B早朝)),0)</f>
        <v>727</v>
      </c>
      <c r="AC151" s="69"/>
    </row>
    <row r="152" spans="1:29" ht="16.5" customHeight="1" x14ac:dyDescent="0.3">
      <c r="A152" s="2">
        <v>15</v>
      </c>
      <c r="B152" s="2" t="s">
        <v>3860</v>
      </c>
      <c r="C152" s="60" t="s">
        <v>14167</v>
      </c>
      <c r="D152" s="1" t="s">
        <v>18284</v>
      </c>
      <c r="E152" s="68"/>
      <c r="F152" s="70"/>
      <c r="G152" s="1" t="s">
        <v>7928</v>
      </c>
      <c r="H152" s="68"/>
      <c r="I152" s="70"/>
      <c r="J152" s="67"/>
      <c r="K152" s="68"/>
      <c r="L152" s="76"/>
      <c r="M152" s="83" t="s">
        <v>5895</v>
      </c>
      <c r="N152" s="64" t="s">
        <v>1</v>
      </c>
      <c r="O152" s="65">
        <v>1</v>
      </c>
      <c r="P152" s="99"/>
      <c r="Q152" s="70"/>
      <c r="R152" s="99"/>
      <c r="S152" s="70"/>
      <c r="T152" s="81"/>
      <c r="U152" s="57"/>
      <c r="V152" s="58"/>
      <c r="W152" s="77"/>
      <c r="X152" s="1"/>
      <c r="Y152" s="68"/>
      <c r="Z152" s="76"/>
      <c r="AA152" s="70"/>
      <c r="AB152" s="228">
        <f>ROUND((ROUND((ROUND((_15_同援日２．０*_15・通訳),0)*_15・２人),0)*(1+_15・A深夜)),0)+ROUND((ROUND((ROUND((_15_同援日２．０＿０．５*_15・通訳),0)*_15・２人),0)*(1+_15・B早朝)),0)</f>
        <v>727</v>
      </c>
      <c r="AC152" s="69"/>
    </row>
    <row r="153" spans="1:29" ht="16.5" customHeight="1" x14ac:dyDescent="0.3">
      <c r="A153" s="2">
        <v>15</v>
      </c>
      <c r="B153" s="2" t="s">
        <v>3861</v>
      </c>
      <c r="C153" s="60" t="s">
        <v>14166</v>
      </c>
      <c r="D153" s="1" t="s">
        <v>6448</v>
      </c>
      <c r="E153" s="68"/>
      <c r="F153" s="70"/>
      <c r="G153" s="1"/>
      <c r="H153" s="68"/>
      <c r="I153" s="70"/>
      <c r="J153" s="67"/>
      <c r="K153" s="68"/>
      <c r="L153" s="76"/>
      <c r="M153" s="83"/>
      <c r="N153" s="64"/>
      <c r="O153" s="65"/>
      <c r="P153" s="99"/>
      <c r="Q153" s="70"/>
      <c r="R153" s="99"/>
      <c r="S153" s="70"/>
      <c r="T153" s="74" t="s">
        <v>17969</v>
      </c>
      <c r="U153" s="62"/>
      <c r="V153" s="63"/>
      <c r="W153" s="75"/>
      <c r="X153" s="1"/>
      <c r="Y153" s="68"/>
      <c r="Z153" s="76"/>
      <c r="AA153" s="70"/>
      <c r="AB153" s="228">
        <f>ROUND((ROUND((ROUND((_15_同援日２．０*_15・通訳),0)*(1+_15・A深夜)),0)*(1+_15・盲ろう)),0)+ROUND((ROUND((ROUND((_15_同援日２．０＿０．５*_15・通訳),0)*(1+_15・B早朝)),0)*(1+_15・盲ろう)),0)</f>
        <v>909</v>
      </c>
      <c r="AC153" s="69"/>
    </row>
    <row r="154" spans="1:29" ht="16.5" customHeight="1" x14ac:dyDescent="0.3">
      <c r="A154" s="2">
        <v>15</v>
      </c>
      <c r="B154" s="2" t="s">
        <v>3862</v>
      </c>
      <c r="C154" s="60" t="s">
        <v>14165</v>
      </c>
      <c r="D154" s="1"/>
      <c r="E154" s="227">
        <v>485</v>
      </c>
      <c r="F154" s="70" t="s">
        <v>0</v>
      </c>
      <c r="G154" s="1"/>
      <c r="H154" s="119">
        <v>63</v>
      </c>
      <c r="I154" s="70" t="s">
        <v>0</v>
      </c>
      <c r="J154" s="67"/>
      <c r="K154" s="68"/>
      <c r="L154" s="76"/>
      <c r="M154" s="83" t="s">
        <v>5895</v>
      </c>
      <c r="N154" s="64" t="s">
        <v>1</v>
      </c>
      <c r="O154" s="65">
        <v>1</v>
      </c>
      <c r="P154" s="99"/>
      <c r="Q154" s="70"/>
      <c r="R154" s="99"/>
      <c r="S154" s="70"/>
      <c r="T154" s="81" t="s">
        <v>18274</v>
      </c>
      <c r="U154" s="57" t="s">
        <v>1</v>
      </c>
      <c r="V154" s="58">
        <v>0.25</v>
      </c>
      <c r="W154" s="77" t="s">
        <v>422</v>
      </c>
      <c r="X154" s="81"/>
      <c r="Y154" s="57"/>
      <c r="Z154" s="58"/>
      <c r="AA154" s="77"/>
      <c r="AB154" s="228">
        <f>ROUND((ROUND((ROUND((ROUND((_15_同援日２．０*_15・通訳),0)*_15・２人),0)*(1+_15・A深夜)),0)*(1+_15・盲ろう)),0)+ROUND((ROUND((ROUND((ROUND((_15_同援日２．０＿０．５*_15・通訳),0)*_15・２人),0)*(1+_15・B早朝)),0)*(1+_15・盲ろう)),0)</f>
        <v>909</v>
      </c>
      <c r="AC154" s="69"/>
    </row>
    <row r="155" spans="1:29" ht="16.5" customHeight="1" x14ac:dyDescent="0.3">
      <c r="A155" s="2">
        <v>15</v>
      </c>
      <c r="B155" s="2" t="s">
        <v>3863</v>
      </c>
      <c r="C155" s="60" t="s">
        <v>14164</v>
      </c>
      <c r="D155" s="1"/>
      <c r="E155" s="68"/>
      <c r="F155" s="70"/>
      <c r="G155" s="1"/>
      <c r="H155" s="68"/>
      <c r="I155" s="70"/>
      <c r="J155" s="67"/>
      <c r="K155" s="68"/>
      <c r="L155" s="76"/>
      <c r="M155" s="83"/>
      <c r="N155" s="64"/>
      <c r="O155" s="65"/>
      <c r="P155" s="99"/>
      <c r="Q155" s="70"/>
      <c r="R155" s="99"/>
      <c r="S155" s="70"/>
      <c r="T155" s="74"/>
      <c r="U155" s="62"/>
      <c r="V155" s="63"/>
      <c r="W155" s="75"/>
      <c r="X155" s="74" t="s">
        <v>18278</v>
      </c>
      <c r="Y155" s="62"/>
      <c r="Z155" s="63"/>
      <c r="AA155" s="75"/>
      <c r="AB155" s="228">
        <f>ROUND((ROUND((ROUND((_15_同援日２．０*_15・通訳),0)*(1+_15・A深夜)),0)*(1+_15・区３)),0)+ROUND((ROUND((ROUND((_15_同援日２．０＿０．５*_15・通訳),0)*(1+_15・B早朝)),0)*(1+_15・区３)),0)</f>
        <v>872</v>
      </c>
      <c r="AC155" s="69"/>
    </row>
    <row r="156" spans="1:29" ht="16.5" customHeight="1" x14ac:dyDescent="0.3">
      <c r="A156" s="2">
        <v>15</v>
      </c>
      <c r="B156" s="2" t="s">
        <v>3864</v>
      </c>
      <c r="C156" s="60" t="s">
        <v>14163</v>
      </c>
      <c r="D156" s="1"/>
      <c r="E156" s="68"/>
      <c r="F156" s="70"/>
      <c r="G156" s="1"/>
      <c r="H156" s="68"/>
      <c r="I156" s="70"/>
      <c r="J156" s="67"/>
      <c r="K156" s="68"/>
      <c r="L156" s="76"/>
      <c r="M156" s="83" t="s">
        <v>5895</v>
      </c>
      <c r="N156" s="64" t="s">
        <v>1</v>
      </c>
      <c r="O156" s="65">
        <v>1</v>
      </c>
      <c r="P156" s="99"/>
      <c r="Q156" s="70"/>
      <c r="R156" s="99"/>
      <c r="S156" s="70"/>
      <c r="T156" s="81"/>
      <c r="U156" s="57"/>
      <c r="V156" s="58"/>
      <c r="W156" s="77"/>
      <c r="X156" s="1" t="s">
        <v>18276</v>
      </c>
      <c r="Y156" s="68"/>
      <c r="Z156" s="76"/>
      <c r="AA156" s="70"/>
      <c r="AB156" s="228">
        <f>ROUND((ROUND((ROUND((ROUND((_15_同援日２．０*_15・通訳),0)*_15・２人),0)*(1+_15・A深夜)),0)*(1+_15・区３)),0)+ROUND((ROUND((ROUND((ROUND((_15_同援日２．０＿０．５*_15・通訳),0)*_15・２人),0)*(1+_15・B早朝)),0)*(1+_15・区３)),0)</f>
        <v>872</v>
      </c>
      <c r="AC156" s="69"/>
    </row>
    <row r="157" spans="1:29" ht="16.5" customHeight="1" x14ac:dyDescent="0.3">
      <c r="A157" s="2">
        <v>15</v>
      </c>
      <c r="B157" s="2" t="s">
        <v>3865</v>
      </c>
      <c r="C157" s="60" t="s">
        <v>14162</v>
      </c>
      <c r="D157" s="1"/>
      <c r="E157" s="68"/>
      <c r="F157" s="70"/>
      <c r="G157" s="1"/>
      <c r="H157" s="68"/>
      <c r="I157" s="70"/>
      <c r="J157" s="67"/>
      <c r="K157" s="68"/>
      <c r="L157" s="76"/>
      <c r="M157" s="83"/>
      <c r="N157" s="64"/>
      <c r="O157" s="65"/>
      <c r="P157" s="99"/>
      <c r="Q157" s="70"/>
      <c r="R157" s="99"/>
      <c r="S157" s="70"/>
      <c r="T157" s="74" t="s">
        <v>18275</v>
      </c>
      <c r="U157" s="62"/>
      <c r="V157" s="63"/>
      <c r="W157" s="75"/>
      <c r="X157" s="1"/>
      <c r="Y157" s="68" t="s">
        <v>1</v>
      </c>
      <c r="Z157" s="76">
        <v>0.2</v>
      </c>
      <c r="AA157" s="70" t="s">
        <v>422</v>
      </c>
      <c r="AB157" s="228">
        <f>ROUND((ROUND((ROUND((ROUND((_15_同援日２．０*_15・通訳),0)*(1+_15・A深夜)),0)*(1+_15・盲ろう)),0)*(1+_15・区３)),0)+ROUND((ROUND((ROUND((ROUND((_15_同援日２．０＿０．５*_15・通訳),0)*(1+_15・B早朝)),0)*(1+_15・盲ろう)),0)*(1+_15・区３)),0)</f>
        <v>1091</v>
      </c>
      <c r="AC157" s="69"/>
    </row>
    <row r="158" spans="1:29" ht="16.5" customHeight="1" x14ac:dyDescent="0.3">
      <c r="A158" s="2">
        <v>15</v>
      </c>
      <c r="B158" s="2" t="s">
        <v>3866</v>
      </c>
      <c r="C158" s="60" t="s">
        <v>14161</v>
      </c>
      <c r="D158" s="1"/>
      <c r="E158" s="68"/>
      <c r="F158" s="70"/>
      <c r="G158" s="1"/>
      <c r="H158" s="68"/>
      <c r="I158" s="70"/>
      <c r="J158" s="67"/>
      <c r="K158" s="68"/>
      <c r="L158" s="76"/>
      <c r="M158" s="83" t="s">
        <v>5895</v>
      </c>
      <c r="N158" s="64" t="s">
        <v>1</v>
      </c>
      <c r="O158" s="65">
        <v>1</v>
      </c>
      <c r="P158" s="99"/>
      <c r="Q158" s="70"/>
      <c r="R158" s="99"/>
      <c r="S158" s="70"/>
      <c r="T158" s="81" t="s">
        <v>8083</v>
      </c>
      <c r="U158" s="57" t="s">
        <v>1</v>
      </c>
      <c r="V158" s="58">
        <v>0.25</v>
      </c>
      <c r="W158" s="77" t="s">
        <v>422</v>
      </c>
      <c r="X158" s="81"/>
      <c r="Y158" s="57"/>
      <c r="Z158" s="58"/>
      <c r="AA158" s="77"/>
      <c r="AB158" s="228">
        <f>ROUND((ROUND((ROUND((ROUND((ROUND((_15_同援日２．０*_15・通訳),0)*_15・２人),0)*(1+_15・A深夜)),0)*(1+_15・盲ろう)),0)*(1+_15・区３)),0)+ROUND((ROUND((ROUND((ROUND((ROUND((_15_同援日２．０＿０．５*_15・通訳),0)*_15・２人),0)*(1+_15・B早朝)),0)*(1+_15・盲ろう)),0)*(1+_15・区３)),0)</f>
        <v>1091</v>
      </c>
      <c r="AC158" s="69"/>
    </row>
    <row r="159" spans="1:29" ht="16.5" customHeight="1" x14ac:dyDescent="0.3">
      <c r="A159" s="2">
        <v>15</v>
      </c>
      <c r="B159" s="2" t="s">
        <v>3867</v>
      </c>
      <c r="C159" s="60" t="s">
        <v>14160</v>
      </c>
      <c r="D159" s="1"/>
      <c r="E159" s="68"/>
      <c r="F159" s="70"/>
      <c r="G159" s="1"/>
      <c r="H159" s="68"/>
      <c r="I159" s="70"/>
      <c r="J159" s="67"/>
      <c r="K159" s="68"/>
      <c r="L159" s="76"/>
      <c r="M159" s="83"/>
      <c r="N159" s="64"/>
      <c r="O159" s="65"/>
      <c r="P159" s="99"/>
      <c r="Q159" s="70"/>
      <c r="R159" s="99"/>
      <c r="S159" s="70"/>
      <c r="T159" s="74"/>
      <c r="U159" s="62"/>
      <c r="V159" s="63"/>
      <c r="W159" s="75"/>
      <c r="X159" s="74" t="s">
        <v>18277</v>
      </c>
      <c r="Y159" s="62"/>
      <c r="Z159" s="63"/>
      <c r="AA159" s="75"/>
      <c r="AB159" s="228">
        <f>ROUND((ROUND((ROUND((_15_同援日２．０*_15・通訳),0)*(1+_15・A深夜)),0)*(1+_15・区４)),0)+ROUND((ROUND((ROUND((_15_同援日２．０＿０．５*_15・通訳),0)*(1+_15・B早朝)),0)*(1+_15・区４)),0)</f>
        <v>1017</v>
      </c>
      <c r="AC159" s="69"/>
    </row>
    <row r="160" spans="1:29" ht="16.5" customHeight="1" x14ac:dyDescent="0.3">
      <c r="A160" s="2">
        <v>15</v>
      </c>
      <c r="B160" s="2" t="s">
        <v>3868</v>
      </c>
      <c r="C160" s="60" t="s">
        <v>14159</v>
      </c>
      <c r="D160" s="1"/>
      <c r="E160" s="68"/>
      <c r="F160" s="70"/>
      <c r="G160" s="1"/>
      <c r="H160" s="68"/>
      <c r="I160" s="70"/>
      <c r="J160" s="67"/>
      <c r="K160" s="68"/>
      <c r="L160" s="76"/>
      <c r="M160" s="83" t="s">
        <v>5895</v>
      </c>
      <c r="N160" s="64" t="s">
        <v>1</v>
      </c>
      <c r="O160" s="65">
        <v>1</v>
      </c>
      <c r="P160" s="99"/>
      <c r="Q160" s="70"/>
      <c r="R160" s="99"/>
      <c r="S160" s="70"/>
      <c r="T160" s="81"/>
      <c r="U160" s="57"/>
      <c r="V160" s="58"/>
      <c r="W160" s="77"/>
      <c r="X160" s="1" t="s">
        <v>18276</v>
      </c>
      <c r="Y160" s="68"/>
      <c r="Z160" s="76"/>
      <c r="AA160" s="70"/>
      <c r="AB160" s="228">
        <f>ROUND((ROUND((ROUND((ROUND((_15_同援日２．０*_15・通訳),0)*_15・２人),0)*(1+_15・A深夜)),0)*(1+_15・区４)),0)+ROUND((ROUND((ROUND((ROUND((_15_同援日２．０＿０．５*_15・通訳),0)*_15・２人),0)*(1+_15・B早朝)),0)*(1+_15・区４)),0)</f>
        <v>1017</v>
      </c>
      <c r="AC160" s="69"/>
    </row>
    <row r="161" spans="1:29" ht="16.5" customHeight="1" x14ac:dyDescent="0.3">
      <c r="A161" s="2">
        <v>15</v>
      </c>
      <c r="B161" s="2" t="s">
        <v>3869</v>
      </c>
      <c r="C161" s="60" t="s">
        <v>14158</v>
      </c>
      <c r="D161" s="1"/>
      <c r="E161" s="68"/>
      <c r="F161" s="70"/>
      <c r="G161" s="1"/>
      <c r="H161" s="68"/>
      <c r="I161" s="70"/>
      <c r="J161" s="67"/>
      <c r="K161" s="68"/>
      <c r="L161" s="76"/>
      <c r="M161" s="83"/>
      <c r="N161" s="64"/>
      <c r="O161" s="65"/>
      <c r="P161" s="99"/>
      <c r="Q161" s="70"/>
      <c r="R161" s="99"/>
      <c r="S161" s="70"/>
      <c r="T161" s="74" t="s">
        <v>18275</v>
      </c>
      <c r="U161" s="62"/>
      <c r="V161" s="63"/>
      <c r="W161" s="75"/>
      <c r="X161" s="1"/>
      <c r="Y161" s="68" t="s">
        <v>1</v>
      </c>
      <c r="Z161" s="76">
        <v>0.4</v>
      </c>
      <c r="AA161" s="70" t="s">
        <v>422</v>
      </c>
      <c r="AB161" s="228">
        <f>ROUND((ROUND((ROUND((ROUND((_15_同援日２．０*_15・通訳),0)*(1+_15・A深夜)),0)*(1+_15・盲ろう)),0)*(1+_15・区４)),0)+ROUND((ROUND((ROUND((ROUND((_15_同援日２．０＿０．５*_15・通訳),0)*(1+_15・B早朝)),0)*(1+_15・盲ろう)),0)*(1+_15・区４)),0)</f>
        <v>1273</v>
      </c>
      <c r="AC161" s="69"/>
    </row>
    <row r="162" spans="1:29" ht="16.5" customHeight="1" x14ac:dyDescent="0.3">
      <c r="A162" s="2">
        <v>15</v>
      </c>
      <c r="B162" s="2" t="s">
        <v>3870</v>
      </c>
      <c r="C162" s="60" t="s">
        <v>14157</v>
      </c>
      <c r="D162" s="1"/>
      <c r="E162" s="68"/>
      <c r="F162" s="70"/>
      <c r="G162" s="81"/>
      <c r="H162" s="57"/>
      <c r="I162" s="77"/>
      <c r="J162" s="67"/>
      <c r="K162" s="68"/>
      <c r="L162" s="76"/>
      <c r="M162" s="83" t="s">
        <v>5895</v>
      </c>
      <c r="N162" s="64" t="s">
        <v>1</v>
      </c>
      <c r="O162" s="65">
        <v>1</v>
      </c>
      <c r="P162" s="99"/>
      <c r="Q162" s="70"/>
      <c r="R162" s="99"/>
      <c r="S162" s="70"/>
      <c r="T162" s="81" t="s">
        <v>18274</v>
      </c>
      <c r="U162" s="57" t="s">
        <v>1</v>
      </c>
      <c r="V162" s="58">
        <v>0.25</v>
      </c>
      <c r="W162" s="77" t="s">
        <v>422</v>
      </c>
      <c r="X162" s="81"/>
      <c r="Y162" s="57"/>
      <c r="Z162" s="58"/>
      <c r="AA162" s="77"/>
      <c r="AB162" s="228">
        <f>ROUND((ROUND((ROUND((ROUND((ROUND((_15_同援日２．０*_15・通訳),0)*_15・２人),0)*(1+_15・A深夜)),0)*(1+_15・盲ろう)),0)*(1+_15・区４)),0)+ROUND((ROUND((ROUND((ROUND((ROUND((_15_同援日２．０＿０．５*_15・通訳),0)*_15・２人),0)*(1+_15・B早朝)),0)*(1+_15・盲ろう)),0)*(1+_15・区４)),0)</f>
        <v>1273</v>
      </c>
      <c r="AC162" s="69"/>
    </row>
    <row r="163" spans="1:29" ht="16.5" customHeight="1" x14ac:dyDescent="0.3">
      <c r="A163" s="2">
        <v>15</v>
      </c>
      <c r="B163" s="2" t="s">
        <v>3871</v>
      </c>
      <c r="C163" s="60" t="s">
        <v>14156</v>
      </c>
      <c r="D163" s="1"/>
      <c r="E163" s="68"/>
      <c r="F163" s="70"/>
      <c r="G163" s="233" t="s">
        <v>18283</v>
      </c>
      <c r="H163" s="62"/>
      <c r="I163" s="75"/>
      <c r="J163" s="67"/>
      <c r="K163" s="68"/>
      <c r="L163" s="76"/>
      <c r="M163" s="83"/>
      <c r="N163" s="64"/>
      <c r="O163" s="65"/>
      <c r="P163" s="99"/>
      <c r="Q163" s="70"/>
      <c r="R163" s="99"/>
      <c r="S163" s="70"/>
      <c r="T163" s="74"/>
      <c r="U163" s="62"/>
      <c r="V163" s="63"/>
      <c r="W163" s="75"/>
      <c r="X163" s="74"/>
      <c r="Y163" s="62"/>
      <c r="Z163" s="63"/>
      <c r="AA163" s="75"/>
      <c r="AB163" s="228">
        <f>ROUND((ROUND((_15_同援日２．０*_15・通訳),0)*(1+_15・A深夜)),0)+ROUND((ROUND((_15_同援日２．０＿１．０*_15・通訳),0)*(1+_15・B早朝)),0)</f>
        <v>797</v>
      </c>
      <c r="AC163" s="69"/>
    </row>
    <row r="164" spans="1:29" ht="16.5" customHeight="1" x14ac:dyDescent="0.3">
      <c r="A164" s="2">
        <v>15</v>
      </c>
      <c r="B164" s="2" t="s">
        <v>3872</v>
      </c>
      <c r="C164" s="60" t="s">
        <v>14155</v>
      </c>
      <c r="D164" s="1"/>
      <c r="E164" s="68"/>
      <c r="F164" s="70"/>
      <c r="G164" s="1" t="s">
        <v>18282</v>
      </c>
      <c r="H164" s="68"/>
      <c r="I164" s="70"/>
      <c r="J164" s="67"/>
      <c r="K164" s="68"/>
      <c r="L164" s="76"/>
      <c r="M164" s="83" t="s">
        <v>5895</v>
      </c>
      <c r="N164" s="64" t="s">
        <v>1</v>
      </c>
      <c r="O164" s="65">
        <v>1</v>
      </c>
      <c r="P164" s="99"/>
      <c r="Q164" s="70"/>
      <c r="R164" s="99"/>
      <c r="S164" s="70"/>
      <c r="T164" s="81"/>
      <c r="U164" s="57"/>
      <c r="V164" s="58"/>
      <c r="W164" s="77"/>
      <c r="X164" s="1"/>
      <c r="Y164" s="68"/>
      <c r="Z164" s="76"/>
      <c r="AA164" s="70"/>
      <c r="AB164" s="228">
        <f>ROUND((ROUND((ROUND((_15_同援日２．０*_15・通訳),0)*_15・２人),0)*(1+_15・A深夜)),0)+ROUND((ROUND((ROUND((_15_同援日２．０＿１．０*_15・通訳),0)*_15・２人),0)*(1+_15・B早朝)),0)</f>
        <v>797</v>
      </c>
      <c r="AC164" s="69"/>
    </row>
    <row r="165" spans="1:29" ht="16.5" customHeight="1" x14ac:dyDescent="0.3">
      <c r="A165" s="2">
        <v>15</v>
      </c>
      <c r="B165" s="2" t="s">
        <v>3873</v>
      </c>
      <c r="C165" s="60" t="s">
        <v>14154</v>
      </c>
      <c r="D165" s="1"/>
      <c r="E165" s="68"/>
      <c r="F165" s="70"/>
      <c r="G165" s="1" t="s">
        <v>8572</v>
      </c>
      <c r="H165" s="68"/>
      <c r="I165" s="70"/>
      <c r="J165" s="67"/>
      <c r="K165" s="68"/>
      <c r="L165" s="76"/>
      <c r="M165" s="83"/>
      <c r="N165" s="64"/>
      <c r="O165" s="65"/>
      <c r="P165" s="99"/>
      <c r="Q165" s="70"/>
      <c r="R165" s="99"/>
      <c r="S165" s="70"/>
      <c r="T165" s="74" t="s">
        <v>18275</v>
      </c>
      <c r="U165" s="62"/>
      <c r="V165" s="63"/>
      <c r="W165" s="75"/>
      <c r="X165" s="1"/>
      <c r="Y165" s="68"/>
      <c r="Z165" s="76"/>
      <c r="AA165" s="70"/>
      <c r="AB165" s="228">
        <f>ROUND((ROUND((ROUND((_15_同援日２．０*_15・通訳),0)*(1+_15・A深夜)),0)*(1+_15・盲ろう)),0)+ROUND((ROUND((ROUND((_15_同援日２．０＿１．０*_15・通訳),0)*(1+_15・B早朝)),0)*(1+_15・盲ろう)),0)</f>
        <v>996</v>
      </c>
      <c r="AC165" s="69"/>
    </row>
    <row r="166" spans="1:29" ht="16.5" customHeight="1" x14ac:dyDescent="0.3">
      <c r="A166" s="2">
        <v>15</v>
      </c>
      <c r="B166" s="2" t="s">
        <v>3874</v>
      </c>
      <c r="C166" s="60" t="s">
        <v>14153</v>
      </c>
      <c r="D166" s="1"/>
      <c r="E166" s="68"/>
      <c r="F166" s="70"/>
      <c r="G166" s="1"/>
      <c r="H166" s="119">
        <v>126</v>
      </c>
      <c r="I166" s="70" t="s">
        <v>0</v>
      </c>
      <c r="J166" s="67"/>
      <c r="K166" s="68"/>
      <c r="L166" s="76"/>
      <c r="M166" s="83" t="s">
        <v>5895</v>
      </c>
      <c r="N166" s="64" t="s">
        <v>1</v>
      </c>
      <c r="O166" s="65">
        <v>1</v>
      </c>
      <c r="P166" s="99"/>
      <c r="Q166" s="70"/>
      <c r="R166" s="99"/>
      <c r="S166" s="70"/>
      <c r="T166" s="81" t="s">
        <v>17968</v>
      </c>
      <c r="U166" s="57" t="s">
        <v>1</v>
      </c>
      <c r="V166" s="58">
        <v>0.25</v>
      </c>
      <c r="W166" s="77" t="s">
        <v>422</v>
      </c>
      <c r="X166" s="81"/>
      <c r="Y166" s="57"/>
      <c r="Z166" s="58"/>
      <c r="AA166" s="77"/>
      <c r="AB166" s="228">
        <f>ROUND((ROUND((ROUND((ROUND((_15_同援日２．０*_15・通訳),0)*_15・２人),0)*(1+_15・A深夜)),0)*(1+_15・盲ろう)),0)+ROUND((ROUND((ROUND((ROUND((_15_同援日２．０＿１．０*_15・通訳),0)*_15・２人),0)*(1+_15・B早朝)),0)*(1+_15・盲ろう)),0)</f>
        <v>996</v>
      </c>
      <c r="AC166" s="69"/>
    </row>
    <row r="167" spans="1:29" ht="16.5" customHeight="1" x14ac:dyDescent="0.3">
      <c r="A167" s="2">
        <v>15</v>
      </c>
      <c r="B167" s="2" t="s">
        <v>3875</v>
      </c>
      <c r="C167" s="60" t="s">
        <v>14152</v>
      </c>
      <c r="D167" s="1"/>
      <c r="E167" s="68"/>
      <c r="F167" s="70"/>
      <c r="G167" s="1"/>
      <c r="H167" s="68"/>
      <c r="I167" s="70"/>
      <c r="J167" s="67"/>
      <c r="K167" s="68"/>
      <c r="L167" s="76"/>
      <c r="M167" s="83"/>
      <c r="N167" s="64"/>
      <c r="O167" s="65"/>
      <c r="P167" s="99"/>
      <c r="Q167" s="70"/>
      <c r="R167" s="99"/>
      <c r="S167" s="70"/>
      <c r="T167" s="74"/>
      <c r="U167" s="62"/>
      <c r="V167" s="63"/>
      <c r="W167" s="75"/>
      <c r="X167" s="74" t="s">
        <v>18278</v>
      </c>
      <c r="Y167" s="62"/>
      <c r="Z167" s="63"/>
      <c r="AA167" s="75"/>
      <c r="AB167" s="228">
        <f>ROUND((ROUND((ROUND((_15_同援日２．０*_15・通訳),0)*(1+_15・A深夜)),0)*(1+_15・区３)),0)+ROUND((ROUND((ROUND((_15_同援日２．０＿１．０*_15・通訳),0)*(1+_15・B早朝)),0)*(1+_15・区３)),0)</f>
        <v>956</v>
      </c>
      <c r="AC167" s="69"/>
    </row>
    <row r="168" spans="1:29" ht="16.5" customHeight="1" x14ac:dyDescent="0.3">
      <c r="A168" s="2">
        <v>15</v>
      </c>
      <c r="B168" s="2" t="s">
        <v>3876</v>
      </c>
      <c r="C168" s="60" t="s">
        <v>14151</v>
      </c>
      <c r="D168" s="1"/>
      <c r="E168" s="68"/>
      <c r="F168" s="70"/>
      <c r="G168" s="1"/>
      <c r="H168" s="68"/>
      <c r="I168" s="70"/>
      <c r="J168" s="67"/>
      <c r="K168" s="68"/>
      <c r="L168" s="76"/>
      <c r="M168" s="83" t="s">
        <v>5895</v>
      </c>
      <c r="N168" s="64" t="s">
        <v>1</v>
      </c>
      <c r="O168" s="65">
        <v>1</v>
      </c>
      <c r="P168" s="99"/>
      <c r="Q168" s="70"/>
      <c r="R168" s="99"/>
      <c r="S168" s="70"/>
      <c r="T168" s="81"/>
      <c r="U168" s="57"/>
      <c r="V168" s="58"/>
      <c r="W168" s="77"/>
      <c r="X168" s="1" t="s">
        <v>18276</v>
      </c>
      <c r="Y168" s="68"/>
      <c r="Z168" s="76"/>
      <c r="AA168" s="70"/>
      <c r="AB168" s="228">
        <f>ROUND((ROUND((ROUND((ROUND((_15_同援日２．０*_15・通訳),0)*_15・２人),0)*(1+_15・A深夜)),0)*(1+_15・区３)),0)+ROUND((ROUND((ROUND((ROUND((_15_同援日２．０＿１．０*_15・通訳),0)*_15・２人),0)*(1+_15・B早朝)),0)*(1+_15・区３)),0)</f>
        <v>956</v>
      </c>
      <c r="AC168" s="69"/>
    </row>
    <row r="169" spans="1:29" ht="16.5" customHeight="1" x14ac:dyDescent="0.3">
      <c r="A169" s="2">
        <v>15</v>
      </c>
      <c r="B169" s="2" t="s">
        <v>3877</v>
      </c>
      <c r="C169" s="60" t="s">
        <v>14150</v>
      </c>
      <c r="D169" s="1"/>
      <c r="E169" s="68"/>
      <c r="F169" s="70"/>
      <c r="G169" s="1"/>
      <c r="H169" s="68"/>
      <c r="I169" s="70"/>
      <c r="J169" s="67"/>
      <c r="K169" s="68"/>
      <c r="L169" s="76"/>
      <c r="M169" s="83"/>
      <c r="N169" s="64"/>
      <c r="O169" s="65"/>
      <c r="P169" s="99"/>
      <c r="Q169" s="70"/>
      <c r="R169" s="99"/>
      <c r="S169" s="70"/>
      <c r="T169" s="74" t="s">
        <v>18275</v>
      </c>
      <c r="U169" s="62"/>
      <c r="V169" s="63"/>
      <c r="W169" s="75"/>
      <c r="X169" s="1"/>
      <c r="Y169" s="68" t="s">
        <v>1</v>
      </c>
      <c r="Z169" s="76">
        <v>0.2</v>
      </c>
      <c r="AA169" s="70" t="s">
        <v>422</v>
      </c>
      <c r="AB169" s="228">
        <f>ROUND((ROUND((ROUND((ROUND((_15_同援日２．０*_15・通訳),0)*(1+_15・A深夜)),0)*(1+_15・盲ろう)),0)*(1+_15・区３)),0)+ROUND((ROUND((ROUND((ROUND((_15_同援日２．０＿１．０*_15・通訳),0)*(1+_15・B早朝)),0)*(1+_15・盲ろう)),0)*(1+_15・区３)),0)</f>
        <v>1195</v>
      </c>
      <c r="AC169" s="69"/>
    </row>
    <row r="170" spans="1:29" ht="16.5" customHeight="1" x14ac:dyDescent="0.3">
      <c r="A170" s="2">
        <v>15</v>
      </c>
      <c r="B170" s="2" t="s">
        <v>3878</v>
      </c>
      <c r="C170" s="60" t="s">
        <v>14149</v>
      </c>
      <c r="D170" s="1"/>
      <c r="E170" s="68"/>
      <c r="F170" s="70"/>
      <c r="G170" s="1"/>
      <c r="H170" s="68"/>
      <c r="I170" s="70"/>
      <c r="J170" s="67"/>
      <c r="K170" s="68"/>
      <c r="L170" s="76"/>
      <c r="M170" s="83" t="s">
        <v>5895</v>
      </c>
      <c r="N170" s="64" t="s">
        <v>1</v>
      </c>
      <c r="O170" s="65">
        <v>1</v>
      </c>
      <c r="P170" s="99"/>
      <c r="Q170" s="70"/>
      <c r="R170" s="99"/>
      <c r="S170" s="70"/>
      <c r="T170" s="81" t="s">
        <v>18274</v>
      </c>
      <c r="U170" s="57" t="s">
        <v>1</v>
      </c>
      <c r="V170" s="58">
        <v>0.25</v>
      </c>
      <c r="W170" s="77" t="s">
        <v>422</v>
      </c>
      <c r="X170" s="81"/>
      <c r="Y170" s="57"/>
      <c r="Z170" s="58"/>
      <c r="AA170" s="77"/>
      <c r="AB170" s="228">
        <f>ROUND((ROUND((ROUND((ROUND((ROUND((_15_同援日２．０*_15・通訳),0)*_15・２人),0)*(1+_15・A深夜)),0)*(1+_15・盲ろう)),0)*(1+_15・区３)),0)+ROUND((ROUND((ROUND((ROUND((ROUND((_15_同援日２．０＿１．０*_15・通訳),0)*_15・２人),0)*(1+_15・B早朝)),0)*(1+_15・盲ろう)),0)*(1+_15・区３)),0)</f>
        <v>1195</v>
      </c>
      <c r="AC170" s="69"/>
    </row>
    <row r="171" spans="1:29" ht="16.5" customHeight="1" x14ac:dyDescent="0.3">
      <c r="A171" s="2">
        <v>15</v>
      </c>
      <c r="B171" s="2" t="s">
        <v>3879</v>
      </c>
      <c r="C171" s="60" t="s">
        <v>14148</v>
      </c>
      <c r="D171" s="1"/>
      <c r="E171" s="68"/>
      <c r="F171" s="70"/>
      <c r="G171" s="1"/>
      <c r="H171" s="68"/>
      <c r="I171" s="70"/>
      <c r="J171" s="67"/>
      <c r="K171" s="68"/>
      <c r="L171" s="76"/>
      <c r="M171" s="83"/>
      <c r="N171" s="64"/>
      <c r="O171" s="65"/>
      <c r="P171" s="99"/>
      <c r="Q171" s="70"/>
      <c r="R171" s="99"/>
      <c r="S171" s="70"/>
      <c r="T171" s="74"/>
      <c r="U171" s="62"/>
      <c r="V171" s="63"/>
      <c r="W171" s="75"/>
      <c r="X171" s="74" t="s">
        <v>18277</v>
      </c>
      <c r="Y171" s="62"/>
      <c r="Z171" s="63"/>
      <c r="AA171" s="75"/>
      <c r="AB171" s="228">
        <f>ROUND((ROUND((ROUND((_15_同援日２．０*_15・通訳),0)*(1+_15・A深夜)),0)*(1+_15・区４)),0)+ROUND((ROUND((ROUND((_15_同援日２．０＿１．０*_15・通訳),0)*(1+_15・B早朝)),0)*(1+_15・区４)),0)</f>
        <v>1115</v>
      </c>
      <c r="AC171" s="69"/>
    </row>
    <row r="172" spans="1:29" ht="16.5" customHeight="1" x14ac:dyDescent="0.3">
      <c r="A172" s="2">
        <v>15</v>
      </c>
      <c r="B172" s="2" t="s">
        <v>3880</v>
      </c>
      <c r="C172" s="60" t="s">
        <v>14147</v>
      </c>
      <c r="D172" s="1"/>
      <c r="E172" s="68"/>
      <c r="F172" s="70"/>
      <c r="G172" s="1"/>
      <c r="H172" s="68"/>
      <c r="I172" s="70"/>
      <c r="J172" s="67"/>
      <c r="K172" s="68"/>
      <c r="L172" s="76"/>
      <c r="M172" s="83" t="s">
        <v>5895</v>
      </c>
      <c r="N172" s="64" t="s">
        <v>1</v>
      </c>
      <c r="O172" s="65">
        <v>1</v>
      </c>
      <c r="P172" s="99"/>
      <c r="Q172" s="70"/>
      <c r="R172" s="99"/>
      <c r="S172" s="70"/>
      <c r="T172" s="81"/>
      <c r="U172" s="57"/>
      <c r="V172" s="58"/>
      <c r="W172" s="77"/>
      <c r="X172" s="1" t="s">
        <v>18276</v>
      </c>
      <c r="Y172" s="68"/>
      <c r="Z172" s="76"/>
      <c r="AA172" s="70"/>
      <c r="AB172" s="228">
        <f>ROUND((ROUND((ROUND((ROUND((_15_同援日２．０*_15・通訳),0)*_15・２人),0)*(1+_15・A深夜)),0)*(1+_15・区４)),0)+ROUND((ROUND((ROUND((ROUND((_15_同援日２．０＿１．０*_15・通訳),0)*_15・２人),0)*(1+_15・B早朝)),0)*(1+_15・区４)),0)</f>
        <v>1115</v>
      </c>
      <c r="AC172" s="69"/>
    </row>
    <row r="173" spans="1:29" ht="16.5" customHeight="1" x14ac:dyDescent="0.3">
      <c r="A173" s="2">
        <v>15</v>
      </c>
      <c r="B173" s="2" t="s">
        <v>3881</v>
      </c>
      <c r="C173" s="60" t="s">
        <v>14146</v>
      </c>
      <c r="D173" s="1"/>
      <c r="E173" s="68"/>
      <c r="F173" s="70"/>
      <c r="G173" s="1"/>
      <c r="H173" s="68"/>
      <c r="I173" s="70"/>
      <c r="J173" s="67"/>
      <c r="K173" s="68"/>
      <c r="L173" s="76"/>
      <c r="M173" s="83"/>
      <c r="N173" s="64"/>
      <c r="O173" s="65"/>
      <c r="P173" s="99"/>
      <c r="Q173" s="70"/>
      <c r="R173" s="99"/>
      <c r="S173" s="70"/>
      <c r="T173" s="74" t="s">
        <v>18275</v>
      </c>
      <c r="U173" s="62"/>
      <c r="V173" s="63"/>
      <c r="W173" s="75"/>
      <c r="X173" s="1"/>
      <c r="Y173" s="68" t="s">
        <v>1</v>
      </c>
      <c r="Z173" s="76">
        <v>0.4</v>
      </c>
      <c r="AA173" s="70" t="s">
        <v>422</v>
      </c>
      <c r="AB173" s="228">
        <f>ROUND((ROUND((ROUND((ROUND((_15_同援日２．０*_15・通訳),0)*(1+_15・A深夜)),0)*(1+_15・盲ろう)),0)*(1+_15・区４)),0)+ROUND((ROUND((ROUND((ROUND((_15_同援日２．０＿１．０*_15・通訳),0)*(1+_15・B早朝)),0)*(1+_15・盲ろう)),0)*(1+_15・区４)),0)</f>
        <v>1394</v>
      </c>
      <c r="AC173" s="69"/>
    </row>
    <row r="174" spans="1:29" ht="16.5" customHeight="1" x14ac:dyDescent="0.3">
      <c r="A174" s="2">
        <v>15</v>
      </c>
      <c r="B174" s="2" t="s">
        <v>3882</v>
      </c>
      <c r="C174" s="60" t="s">
        <v>14145</v>
      </c>
      <c r="D174" s="81"/>
      <c r="E174" s="57"/>
      <c r="F174" s="77"/>
      <c r="G174" s="81"/>
      <c r="H174" s="57"/>
      <c r="I174" s="77"/>
      <c r="J174" s="67"/>
      <c r="K174" s="68"/>
      <c r="L174" s="76"/>
      <c r="M174" s="83" t="s">
        <v>5895</v>
      </c>
      <c r="N174" s="64" t="s">
        <v>1</v>
      </c>
      <c r="O174" s="65">
        <v>1</v>
      </c>
      <c r="P174" s="99"/>
      <c r="Q174" s="70"/>
      <c r="R174" s="99"/>
      <c r="S174" s="70"/>
      <c r="T174" s="81" t="s">
        <v>18274</v>
      </c>
      <c r="U174" s="57" t="s">
        <v>1</v>
      </c>
      <c r="V174" s="58">
        <v>0.25</v>
      </c>
      <c r="W174" s="77" t="s">
        <v>422</v>
      </c>
      <c r="X174" s="81"/>
      <c r="Y174" s="57"/>
      <c r="Z174" s="58"/>
      <c r="AA174" s="77"/>
      <c r="AB174" s="228">
        <f>ROUND((ROUND((ROUND((ROUND((ROUND((_15_同援日２．０*_15・通訳),0)*_15・２人),0)*(1+_15・A深夜)),0)*(1+_15・盲ろう)),0)*(1+_15・区４)),0)+ROUND((ROUND((ROUND((ROUND((ROUND((_15_同援日２．０＿１．０*_15・通訳),0)*_15・２人),0)*(1+_15・B早朝)),0)*(1+_15・盲ろう)),0)*(1+_15・区４)),0)</f>
        <v>1394</v>
      </c>
      <c r="AC174" s="69"/>
    </row>
    <row r="175" spans="1:29" ht="16.5" customHeight="1" x14ac:dyDescent="0.3">
      <c r="A175" s="2">
        <v>15</v>
      </c>
      <c r="B175" s="2" t="s">
        <v>3883</v>
      </c>
      <c r="C175" s="60" t="s">
        <v>14144</v>
      </c>
      <c r="D175" s="233" t="s">
        <v>18281</v>
      </c>
      <c r="E175" s="235"/>
      <c r="F175" s="75"/>
      <c r="G175" s="233" t="s">
        <v>18280</v>
      </c>
      <c r="H175" s="62"/>
      <c r="I175" s="75"/>
      <c r="J175" s="67"/>
      <c r="K175" s="68"/>
      <c r="L175" s="76"/>
      <c r="M175" s="83"/>
      <c r="N175" s="64"/>
      <c r="O175" s="65"/>
      <c r="P175" s="99"/>
      <c r="Q175" s="70"/>
      <c r="R175" s="99"/>
      <c r="S175" s="70"/>
      <c r="T175" s="74"/>
      <c r="U175" s="62"/>
      <c r="V175" s="63"/>
      <c r="W175" s="75"/>
      <c r="X175" s="74"/>
      <c r="Y175" s="62"/>
      <c r="Z175" s="63"/>
      <c r="AA175" s="75"/>
      <c r="AB175" s="228">
        <f>ROUND((ROUND((_15_同援日２．５*_15・通訳),0)*(1+_15・A深夜)),0)+ROUND((ROUND((_15_同援日２．５＿０．５*_15・通訳),0)*(1+_15・B早朝)),0)</f>
        <v>811</v>
      </c>
      <c r="AC175" s="69"/>
    </row>
    <row r="176" spans="1:29" ht="16.5" customHeight="1" x14ac:dyDescent="0.3">
      <c r="A176" s="2">
        <v>15</v>
      </c>
      <c r="B176" s="2" t="s">
        <v>3884</v>
      </c>
      <c r="C176" s="60" t="s">
        <v>14143</v>
      </c>
      <c r="D176" s="1" t="s">
        <v>18279</v>
      </c>
      <c r="E176" s="68"/>
      <c r="F176" s="70"/>
      <c r="G176" s="1" t="s">
        <v>7928</v>
      </c>
      <c r="H176" s="68"/>
      <c r="I176" s="70"/>
      <c r="J176" s="67"/>
      <c r="K176" s="68"/>
      <c r="L176" s="76"/>
      <c r="M176" s="83" t="s">
        <v>5895</v>
      </c>
      <c r="N176" s="64" t="s">
        <v>1</v>
      </c>
      <c r="O176" s="65">
        <v>1</v>
      </c>
      <c r="P176" s="99"/>
      <c r="Q176" s="70"/>
      <c r="R176" s="99"/>
      <c r="S176" s="70"/>
      <c r="T176" s="81"/>
      <c r="U176" s="57"/>
      <c r="V176" s="58"/>
      <c r="W176" s="77"/>
      <c r="X176" s="1"/>
      <c r="Y176" s="68"/>
      <c r="Z176" s="76"/>
      <c r="AA176" s="70"/>
      <c r="AB176" s="228">
        <f>ROUND((ROUND((ROUND((_15_同援日２．５*_15・通訳),0)*_15・２人),0)*(1+_15・A深夜)),0)+ROUND((ROUND((ROUND((_15_同援日２．５＿０．５*_15・通訳),0)*_15・２人),0)*(1+_15・B早朝)),0)</f>
        <v>811</v>
      </c>
      <c r="AC176" s="69"/>
    </row>
    <row r="177" spans="1:29" ht="16.5" customHeight="1" x14ac:dyDescent="0.3">
      <c r="A177" s="2">
        <v>15</v>
      </c>
      <c r="B177" s="2" t="s">
        <v>3885</v>
      </c>
      <c r="C177" s="60" t="s">
        <v>14142</v>
      </c>
      <c r="D177" s="1" t="s">
        <v>8499</v>
      </c>
      <c r="E177" s="68"/>
      <c r="F177" s="70"/>
      <c r="G177" s="1"/>
      <c r="H177" s="68"/>
      <c r="I177" s="70"/>
      <c r="J177" s="67"/>
      <c r="K177" s="68"/>
      <c r="L177" s="76"/>
      <c r="M177" s="83"/>
      <c r="N177" s="64"/>
      <c r="O177" s="65"/>
      <c r="P177" s="99"/>
      <c r="Q177" s="70"/>
      <c r="R177" s="99"/>
      <c r="S177" s="70"/>
      <c r="T177" s="74" t="s">
        <v>18275</v>
      </c>
      <c r="U177" s="62"/>
      <c r="V177" s="63"/>
      <c r="W177" s="75"/>
      <c r="X177" s="1"/>
      <c r="Y177" s="68"/>
      <c r="Z177" s="76"/>
      <c r="AA177" s="70"/>
      <c r="AB177" s="228">
        <f>ROUND((ROUND((ROUND((_15_同援日２．５*_15・通訳),0)*(1+_15・A深夜)),0)*(1+_15・盲ろう)),0)+ROUND((ROUND((ROUND((_15_同援日２．５＿０．５*_15・通訳),0)*(1+_15・B早朝)),0)*(1+_15・盲ろう)),0)</f>
        <v>1014</v>
      </c>
      <c r="AC177" s="69"/>
    </row>
    <row r="178" spans="1:29" ht="16.5" customHeight="1" x14ac:dyDescent="0.3">
      <c r="A178" s="2">
        <v>15</v>
      </c>
      <c r="B178" s="2" t="s">
        <v>3886</v>
      </c>
      <c r="C178" s="60" t="s">
        <v>14141</v>
      </c>
      <c r="D178" s="1"/>
      <c r="E178" s="227">
        <v>548</v>
      </c>
      <c r="F178" s="70" t="s">
        <v>0</v>
      </c>
      <c r="G178" s="1"/>
      <c r="H178" s="119">
        <v>63</v>
      </c>
      <c r="I178" s="70" t="s">
        <v>0</v>
      </c>
      <c r="J178" s="67"/>
      <c r="K178" s="68"/>
      <c r="L178" s="76"/>
      <c r="M178" s="83" t="s">
        <v>5895</v>
      </c>
      <c r="N178" s="64" t="s">
        <v>1</v>
      </c>
      <c r="O178" s="65">
        <v>1</v>
      </c>
      <c r="P178" s="99"/>
      <c r="Q178" s="70"/>
      <c r="R178" s="99"/>
      <c r="S178" s="70"/>
      <c r="T178" s="81" t="s">
        <v>18274</v>
      </c>
      <c r="U178" s="57" t="s">
        <v>1</v>
      </c>
      <c r="V178" s="58">
        <v>0.25</v>
      </c>
      <c r="W178" s="77" t="s">
        <v>422</v>
      </c>
      <c r="X178" s="81"/>
      <c r="Y178" s="57"/>
      <c r="Z178" s="58"/>
      <c r="AA178" s="77"/>
      <c r="AB178" s="228">
        <f>ROUND((ROUND((ROUND((ROUND((_15_同援日２．５*_15・通訳),0)*_15・２人),0)*(1+_15・A深夜)),0)*(1+_15・盲ろう)),0)+ROUND((ROUND((ROUND((ROUND((_15_同援日２．５＿０．５*_15・通訳),0)*_15・２人),0)*(1+_15・B早朝)),0)*(1+_15・盲ろう)),0)</f>
        <v>1014</v>
      </c>
      <c r="AC178" s="69"/>
    </row>
    <row r="179" spans="1:29" ht="16.5" customHeight="1" x14ac:dyDescent="0.3">
      <c r="A179" s="2">
        <v>15</v>
      </c>
      <c r="B179" s="2" t="s">
        <v>3887</v>
      </c>
      <c r="C179" s="60" t="s">
        <v>14140</v>
      </c>
      <c r="D179" s="1"/>
      <c r="E179" s="68"/>
      <c r="F179" s="70"/>
      <c r="G179" s="1"/>
      <c r="H179" s="68"/>
      <c r="I179" s="70"/>
      <c r="J179" s="67"/>
      <c r="K179" s="68"/>
      <c r="L179" s="76"/>
      <c r="M179" s="83"/>
      <c r="N179" s="64"/>
      <c r="O179" s="65"/>
      <c r="P179" s="99"/>
      <c r="Q179" s="70"/>
      <c r="R179" s="99"/>
      <c r="S179" s="70"/>
      <c r="T179" s="74"/>
      <c r="U179" s="62"/>
      <c r="V179" s="63"/>
      <c r="W179" s="75"/>
      <c r="X179" s="74" t="s">
        <v>18278</v>
      </c>
      <c r="Y179" s="62"/>
      <c r="Z179" s="63"/>
      <c r="AA179" s="75"/>
      <c r="AB179" s="228">
        <f>ROUND((ROUND((ROUND((_15_同援日２．５*_15・通訳),0)*(1+_15・A深夜)),0)*(1+_15・区３)),0)+ROUND((ROUND((ROUND((_15_同援日２．５＿０．５*_15・通訳),0)*(1+_15・B早朝)),0)*(1+_15・区３)),0)</f>
        <v>973</v>
      </c>
      <c r="AC179" s="69"/>
    </row>
    <row r="180" spans="1:29" ht="16.5" customHeight="1" x14ac:dyDescent="0.3">
      <c r="A180" s="2">
        <v>15</v>
      </c>
      <c r="B180" s="2" t="s">
        <v>3888</v>
      </c>
      <c r="C180" s="60" t="s">
        <v>14139</v>
      </c>
      <c r="D180" s="1"/>
      <c r="E180" s="68"/>
      <c r="F180" s="70"/>
      <c r="G180" s="1"/>
      <c r="H180" s="68"/>
      <c r="I180" s="70"/>
      <c r="J180" s="67"/>
      <c r="K180" s="68"/>
      <c r="L180" s="76"/>
      <c r="M180" s="83" t="s">
        <v>5895</v>
      </c>
      <c r="N180" s="64" t="s">
        <v>1</v>
      </c>
      <c r="O180" s="65">
        <v>1</v>
      </c>
      <c r="P180" s="99"/>
      <c r="Q180" s="70"/>
      <c r="R180" s="99"/>
      <c r="S180" s="70"/>
      <c r="T180" s="81"/>
      <c r="U180" s="57"/>
      <c r="V180" s="58"/>
      <c r="W180" s="77"/>
      <c r="X180" s="1" t="s">
        <v>18276</v>
      </c>
      <c r="Y180" s="68"/>
      <c r="Z180" s="76"/>
      <c r="AA180" s="70"/>
      <c r="AB180" s="228">
        <f>ROUND((ROUND((ROUND((ROUND((_15_同援日２．５*_15・通訳),0)*_15・２人),0)*(1+_15・A深夜)),0)*(1+_15・区３)),0)+ROUND((ROUND((ROUND((ROUND((_15_同援日２．５＿０．５*_15・通訳),0)*_15・２人),0)*(1+_15・B早朝)),0)*(1+_15・区３)),0)</f>
        <v>973</v>
      </c>
      <c r="AC180" s="69"/>
    </row>
    <row r="181" spans="1:29" ht="16.5" customHeight="1" x14ac:dyDescent="0.3">
      <c r="A181" s="2">
        <v>15</v>
      </c>
      <c r="B181" s="2" t="s">
        <v>3889</v>
      </c>
      <c r="C181" s="60" t="s">
        <v>14138</v>
      </c>
      <c r="D181" s="1"/>
      <c r="E181" s="68"/>
      <c r="F181" s="70"/>
      <c r="G181" s="1"/>
      <c r="H181" s="68"/>
      <c r="I181" s="70"/>
      <c r="J181" s="67"/>
      <c r="K181" s="68"/>
      <c r="L181" s="76"/>
      <c r="M181" s="83"/>
      <c r="N181" s="64"/>
      <c r="O181" s="65"/>
      <c r="P181" s="99"/>
      <c r="Q181" s="70"/>
      <c r="R181" s="99"/>
      <c r="S181" s="70"/>
      <c r="T181" s="74" t="s">
        <v>18275</v>
      </c>
      <c r="U181" s="62"/>
      <c r="V181" s="63"/>
      <c r="W181" s="75"/>
      <c r="X181" s="1"/>
      <c r="Y181" s="68" t="s">
        <v>1</v>
      </c>
      <c r="Z181" s="76">
        <v>0.2</v>
      </c>
      <c r="AA181" s="70" t="s">
        <v>422</v>
      </c>
      <c r="AB181" s="228">
        <f>ROUND((ROUND((ROUND((ROUND((_15_同援日２．５*_15・通訳),0)*(1+_15・A深夜)),0)*(1+_15・盲ろう)),0)*(1+_15・区３)),0)+ROUND((ROUND((ROUND((ROUND((_15_同援日２．５＿０．５*_15・通訳),0)*(1+_15・B早朝)),0)*(1+_15・盲ろう)),0)*(1+_15・区３)),0)</f>
        <v>1217</v>
      </c>
      <c r="AC181" s="69"/>
    </row>
    <row r="182" spans="1:29" ht="16.5" customHeight="1" x14ac:dyDescent="0.3">
      <c r="A182" s="2">
        <v>15</v>
      </c>
      <c r="B182" s="2" t="s">
        <v>3890</v>
      </c>
      <c r="C182" s="60" t="s">
        <v>14137</v>
      </c>
      <c r="D182" s="1"/>
      <c r="E182" s="68"/>
      <c r="F182" s="70"/>
      <c r="G182" s="1"/>
      <c r="H182" s="68"/>
      <c r="I182" s="70"/>
      <c r="J182" s="67"/>
      <c r="K182" s="68"/>
      <c r="L182" s="76"/>
      <c r="M182" s="83" t="s">
        <v>5895</v>
      </c>
      <c r="N182" s="64" t="s">
        <v>1</v>
      </c>
      <c r="O182" s="65">
        <v>1</v>
      </c>
      <c r="P182" s="99"/>
      <c r="Q182" s="70"/>
      <c r="R182" s="99"/>
      <c r="S182" s="70"/>
      <c r="T182" s="81" t="s">
        <v>18274</v>
      </c>
      <c r="U182" s="57" t="s">
        <v>1</v>
      </c>
      <c r="V182" s="58">
        <v>0.25</v>
      </c>
      <c r="W182" s="77" t="s">
        <v>422</v>
      </c>
      <c r="X182" s="81"/>
      <c r="Y182" s="57"/>
      <c r="Z182" s="58"/>
      <c r="AA182" s="77"/>
      <c r="AB182" s="228">
        <f>ROUND((ROUND((ROUND((ROUND((ROUND((_15_同援日２．５*_15・通訳),0)*_15・２人),0)*(1+_15・A深夜)),0)*(1+_15・盲ろう)),0)*(1+_15・区３)),0)+ROUND((ROUND((ROUND((ROUND((ROUND((_15_同援日２．５＿０．５*_15・通訳),0)*_15・２人),0)*(1+_15・B早朝)),0)*(1+_15・盲ろう)),0)*(1+_15・区３)),0)</f>
        <v>1217</v>
      </c>
      <c r="AC182" s="69"/>
    </row>
    <row r="183" spans="1:29" ht="16.5" customHeight="1" x14ac:dyDescent="0.3">
      <c r="A183" s="2">
        <v>15</v>
      </c>
      <c r="B183" s="2" t="s">
        <v>3891</v>
      </c>
      <c r="C183" s="60" t="s">
        <v>14136</v>
      </c>
      <c r="D183" s="1"/>
      <c r="E183" s="68"/>
      <c r="F183" s="70"/>
      <c r="G183" s="1"/>
      <c r="H183" s="68"/>
      <c r="I183" s="70"/>
      <c r="J183" s="67"/>
      <c r="K183" s="68"/>
      <c r="L183" s="76"/>
      <c r="M183" s="83"/>
      <c r="N183" s="64"/>
      <c r="O183" s="65"/>
      <c r="P183" s="99"/>
      <c r="Q183" s="70"/>
      <c r="R183" s="99"/>
      <c r="S183" s="70"/>
      <c r="T183" s="74"/>
      <c r="U183" s="62"/>
      <c r="V183" s="63"/>
      <c r="W183" s="75"/>
      <c r="X183" s="74" t="s">
        <v>18277</v>
      </c>
      <c r="Y183" s="62"/>
      <c r="Z183" s="63"/>
      <c r="AA183" s="75"/>
      <c r="AB183" s="228">
        <f>ROUND((ROUND((ROUND((_15_同援日２．５*_15・通訳),0)*(1+_15・A深夜)),0)*(1+_15・区４)),0)+ROUND((ROUND((ROUND((_15_同援日２．５＿０．５*_15・通訳),0)*(1+_15・B早朝)),0)*(1+_15・区４)),0)</f>
        <v>1135</v>
      </c>
      <c r="AC183" s="69"/>
    </row>
    <row r="184" spans="1:29" ht="16.5" customHeight="1" x14ac:dyDescent="0.3">
      <c r="A184" s="2">
        <v>15</v>
      </c>
      <c r="B184" s="2" t="s">
        <v>3892</v>
      </c>
      <c r="C184" s="60" t="s">
        <v>14135</v>
      </c>
      <c r="D184" s="1"/>
      <c r="E184" s="68"/>
      <c r="F184" s="70"/>
      <c r="G184" s="1"/>
      <c r="H184" s="68"/>
      <c r="I184" s="70"/>
      <c r="J184" s="67"/>
      <c r="K184" s="68"/>
      <c r="L184" s="76"/>
      <c r="M184" s="83" t="s">
        <v>5895</v>
      </c>
      <c r="N184" s="64" t="s">
        <v>1</v>
      </c>
      <c r="O184" s="65">
        <v>1</v>
      </c>
      <c r="P184" s="99"/>
      <c r="Q184" s="70"/>
      <c r="R184" s="99"/>
      <c r="S184" s="70"/>
      <c r="T184" s="81"/>
      <c r="U184" s="57"/>
      <c r="V184" s="58"/>
      <c r="W184" s="77"/>
      <c r="X184" s="1" t="s">
        <v>18276</v>
      </c>
      <c r="Y184" s="68"/>
      <c r="Z184" s="76"/>
      <c r="AA184" s="70"/>
      <c r="AB184" s="228">
        <f>ROUND((ROUND((ROUND((ROUND((_15_同援日２．５*_15・通訳),0)*_15・２人),0)*(1+_15・A深夜)),0)*(1+_15・区４)),0)+ROUND((ROUND((ROUND((ROUND((_15_同援日２．５＿０．５*_15・通訳),0)*_15・２人),0)*(1+_15・B早朝)),0)*(1+_15・区４)),0)</f>
        <v>1135</v>
      </c>
      <c r="AC184" s="69"/>
    </row>
    <row r="185" spans="1:29" ht="16.5" customHeight="1" x14ac:dyDescent="0.3">
      <c r="A185" s="2">
        <v>15</v>
      </c>
      <c r="B185" s="2" t="s">
        <v>3893</v>
      </c>
      <c r="C185" s="60" t="s">
        <v>14134</v>
      </c>
      <c r="D185" s="1"/>
      <c r="E185" s="68"/>
      <c r="F185" s="70"/>
      <c r="G185" s="1"/>
      <c r="H185" s="68"/>
      <c r="I185" s="70"/>
      <c r="J185" s="67"/>
      <c r="K185" s="68"/>
      <c r="L185" s="76"/>
      <c r="M185" s="83"/>
      <c r="N185" s="64"/>
      <c r="O185" s="65"/>
      <c r="P185" s="99"/>
      <c r="Q185" s="70"/>
      <c r="R185" s="99"/>
      <c r="S185" s="70"/>
      <c r="T185" s="74" t="s">
        <v>18275</v>
      </c>
      <c r="U185" s="62"/>
      <c r="V185" s="63"/>
      <c r="W185" s="75"/>
      <c r="X185" s="1"/>
      <c r="Y185" s="68" t="s">
        <v>1</v>
      </c>
      <c r="Z185" s="76">
        <v>0.4</v>
      </c>
      <c r="AA185" s="70" t="s">
        <v>422</v>
      </c>
      <c r="AB185" s="228">
        <f>ROUND((ROUND((ROUND((ROUND((_15_同援日２．５*_15・通訳),0)*(1+_15・A深夜)),0)*(1+_15・盲ろう)),0)*(1+_15・区４)),0)+ROUND((ROUND((ROUND((ROUND((_15_同援日２．５＿０．５*_15・通訳),0)*(1+_15・B早朝)),0)*(1+_15・盲ろう)),0)*(1+_15・区４)),0)</f>
        <v>1420</v>
      </c>
      <c r="AC185" s="69"/>
    </row>
    <row r="186" spans="1:29" ht="16.5" customHeight="1" x14ac:dyDescent="0.3">
      <c r="A186" s="2">
        <v>15</v>
      </c>
      <c r="B186" s="2" t="s">
        <v>3894</v>
      </c>
      <c r="C186" s="60" t="s">
        <v>14133</v>
      </c>
      <c r="D186" s="81"/>
      <c r="E186" s="57"/>
      <c r="F186" s="77"/>
      <c r="G186" s="81"/>
      <c r="H186" s="57"/>
      <c r="I186" s="77"/>
      <c r="J186" s="66"/>
      <c r="K186" s="57"/>
      <c r="L186" s="58"/>
      <c r="M186" s="83" t="s">
        <v>5895</v>
      </c>
      <c r="N186" s="64" t="s">
        <v>1</v>
      </c>
      <c r="O186" s="65">
        <v>1</v>
      </c>
      <c r="P186" s="101"/>
      <c r="Q186" s="77"/>
      <c r="R186" s="101"/>
      <c r="S186" s="77"/>
      <c r="T186" s="81" t="s">
        <v>18274</v>
      </c>
      <c r="U186" s="57" t="s">
        <v>1</v>
      </c>
      <c r="V186" s="58">
        <v>0.25</v>
      </c>
      <c r="W186" s="77" t="s">
        <v>422</v>
      </c>
      <c r="X186" s="81"/>
      <c r="Y186" s="57"/>
      <c r="Z186" s="58"/>
      <c r="AA186" s="77"/>
      <c r="AB186" s="228">
        <f>ROUND((ROUND((ROUND((ROUND((ROUND((_15_同援日２．５*_15・通訳),0)*_15・２人),0)*(1+_15・A深夜)),0)*(1+_15・盲ろう)),0)*(1+_15・区４)),0)+ROUND((ROUND((ROUND((ROUND((ROUND((_15_同援日２．５＿０．５*_15・通訳),0)*_15・２人),0)*(1+_15・B早朝)),0)*(1+_15・盲ろう)),0)*(1+_15・区４)),0)</f>
        <v>1420</v>
      </c>
      <c r="AC186" s="71"/>
    </row>
    <row r="187" spans="1:29" ht="16.5" customHeight="1" x14ac:dyDescent="0.3"/>
    <row r="188" spans="1:2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1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0000"/>
    <pageSetUpPr fitToPage="1"/>
  </sheetPr>
  <dimension ref="A1:AA18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14.62890625" style="46" customWidth="1"/>
    <col min="11" max="11" width="3.1015625" style="46" bestFit="1" customWidth="1"/>
    <col min="12" max="12" width="4.1015625" style="47" bestFit="1" customWidth="1"/>
    <col min="13" max="13" width="25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21.62890625" style="46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8.62890625" style="46" customWidth="1"/>
    <col min="23" max="23" width="3.1015625" style="46" bestFit="1" customWidth="1"/>
    <col min="24" max="24" width="4.1015625" style="47" bestFit="1" customWidth="1"/>
    <col min="25" max="25" width="4.734375" style="46" bestFit="1" customWidth="1"/>
    <col min="26" max="26" width="6.3671875" style="84" bestFit="1" customWidth="1"/>
    <col min="27" max="27" width="7.734375" style="48" bestFit="1" customWidth="1"/>
    <col min="28" max="16384" width="9" style="49"/>
  </cols>
  <sheetData>
    <row r="1" spans="1:27" ht="16.5" customHeight="1" x14ac:dyDescent="0.3"/>
    <row r="2" spans="1:27" ht="16.5" customHeight="1" x14ac:dyDescent="0.3"/>
    <row r="3" spans="1:27" ht="16.5" customHeight="1" x14ac:dyDescent="0.3"/>
    <row r="4" spans="1:27" ht="16.5" customHeight="1" x14ac:dyDescent="0.3">
      <c r="B4" s="229" t="s">
        <v>18315</v>
      </c>
      <c r="C4" s="131"/>
      <c r="D4" s="72"/>
    </row>
    <row r="5" spans="1:27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3"/>
      <c r="S5" s="53"/>
      <c r="T5" s="54"/>
      <c r="U5" s="53"/>
      <c r="V5" s="53"/>
      <c r="W5" s="53"/>
      <c r="X5" s="54"/>
      <c r="Y5" s="53"/>
      <c r="Z5" s="55" t="s">
        <v>5869</v>
      </c>
      <c r="AA5" s="55" t="s">
        <v>5871</v>
      </c>
    </row>
    <row r="6" spans="1:27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73"/>
      <c r="H6" s="57"/>
      <c r="I6" s="57"/>
      <c r="J6" s="57"/>
      <c r="K6" s="57"/>
      <c r="L6" s="58"/>
      <c r="M6" s="57"/>
      <c r="N6" s="57"/>
      <c r="O6" s="58"/>
      <c r="P6" s="58"/>
      <c r="Q6" s="57"/>
      <c r="R6" s="57"/>
      <c r="S6" s="57"/>
      <c r="T6" s="58"/>
      <c r="U6" s="57"/>
      <c r="V6" s="57"/>
      <c r="W6" s="57"/>
      <c r="X6" s="58"/>
      <c r="Y6" s="57"/>
      <c r="Z6" s="59" t="s">
        <v>5870</v>
      </c>
      <c r="AA6" s="59" t="s">
        <v>0</v>
      </c>
    </row>
    <row r="7" spans="1:27" ht="16.5" customHeight="1" x14ac:dyDescent="0.3">
      <c r="A7" s="2">
        <v>15</v>
      </c>
      <c r="B7" s="2" t="s">
        <v>3895</v>
      </c>
      <c r="C7" s="60" t="s">
        <v>14493</v>
      </c>
      <c r="D7" s="233" t="s">
        <v>18314</v>
      </c>
      <c r="E7" s="235"/>
      <c r="F7" s="75"/>
      <c r="G7" s="233" t="s">
        <v>18302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61"/>
      <c r="S7" s="62"/>
      <c r="T7" s="63"/>
      <c r="U7" s="75"/>
      <c r="V7" s="61"/>
      <c r="W7" s="62"/>
      <c r="X7" s="63"/>
      <c r="Y7" s="75"/>
      <c r="Z7" s="228">
        <f>ROUND((ROUND((_15_同援日０．５*_15・通訳),0)*(1+_15・A早朝)),0)+ROUND((_15_同援日０．５＿０．５*_15・通訳),0)</f>
        <v>305</v>
      </c>
      <c r="AA7" s="52" t="s">
        <v>5863</v>
      </c>
    </row>
    <row r="8" spans="1:27" ht="16.5" customHeight="1" x14ac:dyDescent="0.3">
      <c r="A8" s="2">
        <v>15</v>
      </c>
      <c r="B8" s="2" t="s">
        <v>3896</v>
      </c>
      <c r="C8" s="60" t="s">
        <v>14492</v>
      </c>
      <c r="D8" s="1" t="s">
        <v>7928</v>
      </c>
      <c r="E8" s="68"/>
      <c r="F8" s="70"/>
      <c r="G8" s="1" t="s">
        <v>7928</v>
      </c>
      <c r="H8" s="68"/>
      <c r="I8" s="70"/>
      <c r="J8" s="67"/>
      <c r="K8" s="68"/>
      <c r="L8" s="76"/>
      <c r="M8" s="83" t="s">
        <v>5895</v>
      </c>
      <c r="N8" s="64" t="s">
        <v>1</v>
      </c>
      <c r="O8" s="65">
        <v>1</v>
      </c>
      <c r="P8" s="99"/>
      <c r="Q8" s="70"/>
      <c r="R8" s="66"/>
      <c r="S8" s="57"/>
      <c r="T8" s="58"/>
      <c r="U8" s="77"/>
      <c r="V8" s="67"/>
      <c r="W8" s="68"/>
      <c r="X8" s="76"/>
      <c r="Y8" s="70"/>
      <c r="Z8" s="228">
        <f>ROUND((ROUND((ROUND((_15_同援日０．５*_15・通訳),0)*_15・２人),0)*(1+_15・A早朝)),0)+ROUND((ROUND((_15_同援日０．５＿０．５*_15・通訳),0)*_15・２人),0)</f>
        <v>305</v>
      </c>
      <c r="AA8" s="69"/>
    </row>
    <row r="9" spans="1:27" ht="16.5" customHeight="1" x14ac:dyDescent="0.3">
      <c r="A9" s="2">
        <v>15</v>
      </c>
      <c r="B9" s="2" t="s">
        <v>3897</v>
      </c>
      <c r="C9" s="60" t="s">
        <v>14491</v>
      </c>
      <c r="D9" s="1"/>
      <c r="E9" s="68"/>
      <c r="F9" s="70"/>
      <c r="G9" s="1"/>
      <c r="H9" s="68"/>
      <c r="I9" s="70"/>
      <c r="J9" s="67"/>
      <c r="K9" s="68"/>
      <c r="L9" s="76"/>
      <c r="M9" s="85"/>
      <c r="N9" s="64"/>
      <c r="O9" s="65"/>
      <c r="P9" s="99"/>
      <c r="Q9" s="70"/>
      <c r="R9" s="74" t="s">
        <v>18296</v>
      </c>
      <c r="S9" s="62"/>
      <c r="T9" s="63"/>
      <c r="U9" s="75"/>
      <c r="V9" s="67"/>
      <c r="W9" s="68"/>
      <c r="X9" s="76"/>
      <c r="Y9" s="70"/>
      <c r="Z9" s="228">
        <f>ROUND((ROUND((ROUND((_15_同援日０．５*_15・通訳),0)*(1+_15・A早朝)),0)*(1+_15・盲ろう)),0)+ROUND((ROUND((_15_同援日０．５＿０．５*_15・通訳),0)*(1+_15・盲ろう)),0)</f>
        <v>381</v>
      </c>
      <c r="AA9" s="69"/>
    </row>
    <row r="10" spans="1:27" ht="16.5" customHeight="1" x14ac:dyDescent="0.3">
      <c r="A10" s="2">
        <v>15</v>
      </c>
      <c r="B10" s="2" t="s">
        <v>3898</v>
      </c>
      <c r="C10" s="60" t="s">
        <v>14490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67"/>
      <c r="K10" s="68"/>
      <c r="L10" s="76"/>
      <c r="M10" s="83" t="s">
        <v>5895</v>
      </c>
      <c r="N10" s="64" t="s">
        <v>1</v>
      </c>
      <c r="O10" s="65">
        <v>1</v>
      </c>
      <c r="P10" s="99"/>
      <c r="Q10" s="70"/>
      <c r="R10" s="106" t="s">
        <v>18295</v>
      </c>
      <c r="S10" s="57" t="s">
        <v>1</v>
      </c>
      <c r="T10" s="58">
        <v>0.25</v>
      </c>
      <c r="U10" s="77" t="s">
        <v>422</v>
      </c>
      <c r="V10" s="66"/>
      <c r="W10" s="57"/>
      <c r="X10" s="58"/>
      <c r="Y10" s="77"/>
      <c r="Z10" s="228">
        <f>ROUND((ROUND((ROUND((ROUND((_15_同援日０．５*_15・通訳),0)*_15・２人),0)*(1+_15・A早朝)),0)*(1+_15・盲ろう)),0)+ROUND((ROUND((ROUND((_15_同援日０．５＿０．５*_15・通訳),0)*_15・２人),0)*(1+_15・盲ろう)),0)</f>
        <v>381</v>
      </c>
      <c r="AA10" s="69"/>
    </row>
    <row r="11" spans="1:27" ht="16.5" customHeight="1" x14ac:dyDescent="0.3">
      <c r="A11" s="2">
        <v>15</v>
      </c>
      <c r="B11" s="2" t="s">
        <v>3899</v>
      </c>
      <c r="C11" s="60" t="s">
        <v>14489</v>
      </c>
      <c r="D11" s="1"/>
      <c r="E11" s="68"/>
      <c r="F11" s="70"/>
      <c r="G11" s="1"/>
      <c r="H11" s="68"/>
      <c r="I11" s="70"/>
      <c r="J11" s="67"/>
      <c r="K11" s="68"/>
      <c r="L11" s="76"/>
      <c r="M11" s="85"/>
      <c r="N11" s="64"/>
      <c r="O11" s="65"/>
      <c r="P11" s="99"/>
      <c r="Q11" s="70"/>
      <c r="R11" s="61"/>
      <c r="S11" s="62"/>
      <c r="T11" s="63"/>
      <c r="U11" s="75"/>
      <c r="V11" s="74" t="s">
        <v>18299</v>
      </c>
      <c r="W11" s="62"/>
      <c r="X11" s="63"/>
      <c r="Y11" s="75"/>
      <c r="Z11" s="228">
        <f>ROUND((ROUND((ROUND((_15_同援日０．５*_15・通訳),0)*(1+_15・A早朝)),0)*(1+_15・区３)),0)+ROUND((ROUND((_15_同援日０．５＿０．５*_15・通訳),0)*(1+_15・区３)),0)</f>
        <v>366</v>
      </c>
      <c r="AA11" s="69"/>
    </row>
    <row r="12" spans="1:27" ht="16.5" customHeight="1" x14ac:dyDescent="0.3">
      <c r="A12" s="2">
        <v>15</v>
      </c>
      <c r="B12" s="2" t="s">
        <v>3900</v>
      </c>
      <c r="C12" s="60" t="s">
        <v>14488</v>
      </c>
      <c r="D12" s="1"/>
      <c r="E12" s="68"/>
      <c r="F12" s="70"/>
      <c r="G12" s="1"/>
      <c r="H12" s="68"/>
      <c r="I12" s="70"/>
      <c r="J12" s="1" t="s">
        <v>13802</v>
      </c>
      <c r="K12" s="68"/>
      <c r="L12" s="76"/>
      <c r="M12" s="83" t="s">
        <v>5895</v>
      </c>
      <c r="N12" s="64" t="s">
        <v>1</v>
      </c>
      <c r="O12" s="65">
        <v>1</v>
      </c>
      <c r="P12" s="108" t="s">
        <v>7895</v>
      </c>
      <c r="Q12" s="70"/>
      <c r="R12" s="66"/>
      <c r="S12" s="57"/>
      <c r="T12" s="58"/>
      <c r="U12" s="77"/>
      <c r="V12" s="94" t="s">
        <v>18297</v>
      </c>
      <c r="W12" s="68"/>
      <c r="X12" s="76"/>
      <c r="Y12" s="70"/>
      <c r="Z12" s="228">
        <f>ROUND((ROUND((ROUND((ROUND((_15_同援日０．５*_15・通訳),0)*_15・２人),0)*(1+_15・A早朝)),0)*(1+_15・区３)),0)+ROUND((ROUND((ROUND((_15_同援日０．５＿０．５*_15・通訳),0)*_15・２人),0)*(1+_15・区３)),0)</f>
        <v>366</v>
      </c>
      <c r="AA12" s="69"/>
    </row>
    <row r="13" spans="1:27" ht="16.5" customHeight="1" x14ac:dyDescent="0.3">
      <c r="A13" s="2">
        <v>15</v>
      </c>
      <c r="B13" s="2" t="s">
        <v>3901</v>
      </c>
      <c r="C13" s="60" t="s">
        <v>14487</v>
      </c>
      <c r="D13" s="1"/>
      <c r="E13" s="68"/>
      <c r="F13" s="70"/>
      <c r="G13" s="1"/>
      <c r="H13" s="68"/>
      <c r="I13" s="70"/>
      <c r="J13" s="94" t="s">
        <v>13800</v>
      </c>
      <c r="K13" s="68" t="s">
        <v>1</v>
      </c>
      <c r="L13" s="76">
        <v>0.9</v>
      </c>
      <c r="M13" s="85"/>
      <c r="N13" s="64"/>
      <c r="O13" s="65"/>
      <c r="P13" s="99"/>
      <c r="Q13" s="110" t="s">
        <v>14306</v>
      </c>
      <c r="R13" s="74" t="s">
        <v>18296</v>
      </c>
      <c r="S13" s="62"/>
      <c r="T13" s="63"/>
      <c r="U13" s="75"/>
      <c r="V13" s="67"/>
      <c r="W13" s="68" t="s">
        <v>1</v>
      </c>
      <c r="X13" s="76">
        <v>0.2</v>
      </c>
      <c r="Y13" s="70" t="s">
        <v>422</v>
      </c>
      <c r="Z13" s="228">
        <f>ROUND((ROUND((ROUND((ROUND((_15_同援日０．５*_15・通訳),0)*(1+_15・A早朝)),0)*(1+_15・盲ろう)),0)*(1+_15・区３)),0)+ROUND((ROUND((ROUND((_15_同援日０．５＿０．５*_15・通訳),0)*(1+_15・盲ろう)),0)*(1+_15・区３)),0)</f>
        <v>457</v>
      </c>
      <c r="AA13" s="69"/>
    </row>
    <row r="14" spans="1:27" ht="16.5" customHeight="1" x14ac:dyDescent="0.3">
      <c r="A14" s="2">
        <v>15</v>
      </c>
      <c r="B14" s="2" t="s">
        <v>3902</v>
      </c>
      <c r="C14" s="60" t="s">
        <v>14486</v>
      </c>
      <c r="D14" s="1"/>
      <c r="E14" s="68"/>
      <c r="F14" s="70"/>
      <c r="G14" s="1"/>
      <c r="H14" s="68"/>
      <c r="I14" s="70"/>
      <c r="J14" s="67"/>
      <c r="K14" s="68"/>
      <c r="L14" s="76"/>
      <c r="M14" s="83" t="s">
        <v>5895</v>
      </c>
      <c r="N14" s="64" t="s">
        <v>1</v>
      </c>
      <c r="O14" s="65">
        <v>1</v>
      </c>
      <c r="P14" s="99"/>
      <c r="Q14" s="70"/>
      <c r="R14" s="106" t="s">
        <v>18295</v>
      </c>
      <c r="S14" s="57" t="s">
        <v>1</v>
      </c>
      <c r="T14" s="58">
        <v>0.25</v>
      </c>
      <c r="U14" s="77" t="s">
        <v>422</v>
      </c>
      <c r="V14" s="66"/>
      <c r="W14" s="57"/>
      <c r="X14" s="58"/>
      <c r="Y14" s="77"/>
      <c r="Z14" s="228">
        <f>ROUND((ROUND((ROUND((ROUND((ROUND((_15_同援日０．５*_15・通訳),0)*_15・２人),0)*(1+_15・A早朝)),0)*(1+_15・盲ろう)),0)*(1+_15・区３)),0)+ROUND((ROUND((ROUND((ROUND((_15_同援日０．５＿０．５*_15・通訳),0)*_15・２人),0)*(1+_15・盲ろう)),0)*(1+_15・区３)),0)</f>
        <v>457</v>
      </c>
      <c r="AA14" s="69"/>
    </row>
    <row r="15" spans="1:27" ht="16.5" customHeight="1" x14ac:dyDescent="0.3">
      <c r="A15" s="2">
        <v>15</v>
      </c>
      <c r="B15" s="2" t="s">
        <v>3903</v>
      </c>
      <c r="C15" s="60" t="s">
        <v>14485</v>
      </c>
      <c r="D15" s="1"/>
      <c r="E15" s="68"/>
      <c r="F15" s="70"/>
      <c r="G15" s="1"/>
      <c r="H15" s="68"/>
      <c r="I15" s="70"/>
      <c r="J15" s="67"/>
      <c r="K15" s="68"/>
      <c r="L15" s="76"/>
      <c r="M15" s="85"/>
      <c r="N15" s="64"/>
      <c r="O15" s="65"/>
      <c r="P15" s="67" t="s">
        <v>1</v>
      </c>
      <c r="Q15" s="93">
        <v>0.25</v>
      </c>
      <c r="R15" s="61"/>
      <c r="S15" s="62"/>
      <c r="T15" s="63"/>
      <c r="U15" s="75"/>
      <c r="V15" s="74" t="s">
        <v>18298</v>
      </c>
      <c r="W15" s="62"/>
      <c r="X15" s="63"/>
      <c r="Y15" s="75"/>
      <c r="Z15" s="228">
        <f>ROUND((ROUND((ROUND((_15_同援日０．５*_15・通訳),0)*(1+_15・A早朝)),0)*(1+_15・区４)),0)+ROUND((ROUND((_15_同援日０．５＿０．５*_15・通訳),0)*(1+_15・区４)),0)</f>
        <v>427</v>
      </c>
      <c r="AA15" s="69"/>
    </row>
    <row r="16" spans="1:27" ht="16.5" customHeight="1" x14ac:dyDescent="0.3">
      <c r="A16" s="2">
        <v>15</v>
      </c>
      <c r="B16" s="2" t="s">
        <v>3904</v>
      </c>
      <c r="C16" s="60" t="s">
        <v>14484</v>
      </c>
      <c r="D16" s="1"/>
      <c r="E16" s="68"/>
      <c r="F16" s="70"/>
      <c r="G16" s="1"/>
      <c r="H16" s="68"/>
      <c r="I16" s="70"/>
      <c r="J16" s="67"/>
      <c r="K16" s="68"/>
      <c r="L16" s="76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66"/>
      <c r="S16" s="57"/>
      <c r="T16" s="58"/>
      <c r="U16" s="77"/>
      <c r="V16" s="94" t="s">
        <v>18297</v>
      </c>
      <c r="W16" s="68"/>
      <c r="X16" s="76"/>
      <c r="Y16" s="70"/>
      <c r="Z16" s="228">
        <f>ROUND((ROUND((ROUND((ROUND((_15_同援日０．５*_15・通訳),0)*_15・２人),0)*(1+_15・A早朝)),0)*(1+_15・区４)),0)+ROUND((ROUND((ROUND((_15_同援日０．５＿０．５*_15・通訳),0)*_15・２人),0)*(1+_15・区４)),0)</f>
        <v>427</v>
      </c>
      <c r="AA16" s="69"/>
    </row>
    <row r="17" spans="1:27" ht="16.5" customHeight="1" x14ac:dyDescent="0.3">
      <c r="A17" s="2">
        <v>15</v>
      </c>
      <c r="B17" s="2" t="s">
        <v>3905</v>
      </c>
      <c r="C17" s="60" t="s">
        <v>14483</v>
      </c>
      <c r="D17" s="1"/>
      <c r="E17" s="68"/>
      <c r="F17" s="70"/>
      <c r="G17" s="1"/>
      <c r="H17" s="68"/>
      <c r="I17" s="70"/>
      <c r="J17" s="67"/>
      <c r="K17" s="68"/>
      <c r="L17" s="76"/>
      <c r="M17" s="85"/>
      <c r="N17" s="64"/>
      <c r="O17" s="65"/>
      <c r="P17" s="99"/>
      <c r="Q17" s="70"/>
      <c r="R17" s="74" t="s">
        <v>18296</v>
      </c>
      <c r="S17" s="62"/>
      <c r="T17" s="63"/>
      <c r="U17" s="75"/>
      <c r="V17" s="67"/>
      <c r="W17" s="68" t="s">
        <v>1</v>
      </c>
      <c r="X17" s="76">
        <v>0.4</v>
      </c>
      <c r="Y17" s="70" t="s">
        <v>422</v>
      </c>
      <c r="Z17" s="228">
        <f>ROUND((ROUND((ROUND((ROUND((_15_同援日０．５*_15・通訳),0)*(1+_15・A早朝)),0)*(1+_15・盲ろう)),0)*(1+_15・区４)),0)+ROUND((ROUND((ROUND((_15_同援日０．５＿０．５*_15・通訳),0)*(1+_15・盲ろう)),0)*(1+_15・区４)),0)</f>
        <v>533</v>
      </c>
      <c r="AA17" s="69"/>
    </row>
    <row r="18" spans="1:27" ht="16.5" customHeight="1" x14ac:dyDescent="0.3">
      <c r="A18" s="2">
        <v>15</v>
      </c>
      <c r="B18" s="2" t="s">
        <v>3906</v>
      </c>
      <c r="C18" s="60" t="s">
        <v>14482</v>
      </c>
      <c r="D18" s="1"/>
      <c r="E18" s="68"/>
      <c r="F18" s="70"/>
      <c r="G18" s="81"/>
      <c r="H18" s="57"/>
      <c r="I18" s="77"/>
      <c r="J18" s="67"/>
      <c r="K18" s="68"/>
      <c r="L18" s="76"/>
      <c r="M18" s="83" t="s">
        <v>5895</v>
      </c>
      <c r="N18" s="64" t="s">
        <v>1</v>
      </c>
      <c r="O18" s="65">
        <v>1</v>
      </c>
      <c r="P18" s="99"/>
      <c r="Q18" s="70"/>
      <c r="R18" s="106" t="s">
        <v>18295</v>
      </c>
      <c r="S18" s="57" t="s">
        <v>1</v>
      </c>
      <c r="T18" s="58">
        <v>0.25</v>
      </c>
      <c r="U18" s="77" t="s">
        <v>422</v>
      </c>
      <c r="V18" s="66"/>
      <c r="W18" s="57"/>
      <c r="X18" s="58"/>
      <c r="Y18" s="77"/>
      <c r="Z18" s="228">
        <f>ROUND((ROUND((ROUND((ROUND((ROUND((_15_同援日０．５*_15・通訳),0)*_15・２人),0)*(1+_15・A早朝)),0)*(1+_15・盲ろう)),0)*(1+_15・区４)),0)+ROUND((ROUND((ROUND((ROUND((_15_同援日０．５＿０．５*_15・通訳),0)*_15・２人),0)*(1+_15・盲ろう)),0)*(1+_15・区４)),0)</f>
        <v>533</v>
      </c>
      <c r="AA18" s="69"/>
    </row>
    <row r="19" spans="1:27" ht="16.5" customHeight="1" x14ac:dyDescent="0.3">
      <c r="A19" s="2">
        <v>15</v>
      </c>
      <c r="B19" s="2" t="s">
        <v>3907</v>
      </c>
      <c r="C19" s="60" t="s">
        <v>14481</v>
      </c>
      <c r="D19" s="1"/>
      <c r="E19" s="68"/>
      <c r="F19" s="70"/>
      <c r="G19" s="233" t="s">
        <v>18305</v>
      </c>
      <c r="H19" s="62"/>
      <c r="I19" s="75"/>
      <c r="J19" s="67"/>
      <c r="K19" s="68"/>
      <c r="L19" s="76"/>
      <c r="M19" s="85"/>
      <c r="N19" s="64"/>
      <c r="O19" s="65"/>
      <c r="P19" s="99"/>
      <c r="Q19" s="70"/>
      <c r="R19" s="61"/>
      <c r="S19" s="62"/>
      <c r="T19" s="63"/>
      <c r="U19" s="75"/>
      <c r="V19" s="61"/>
      <c r="W19" s="62"/>
      <c r="X19" s="63"/>
      <c r="Y19" s="75"/>
      <c r="Z19" s="228">
        <f>ROUND((ROUND((_15_同援日０．５*_15・通訳),0)*(1+_15・A早朝)),0)+ROUND((_15_同援日０．５＿１．０*_15・通訳),0)</f>
        <v>421</v>
      </c>
      <c r="AA19" s="69"/>
    </row>
    <row r="20" spans="1:27" ht="16.5" customHeight="1" x14ac:dyDescent="0.3">
      <c r="A20" s="2">
        <v>15</v>
      </c>
      <c r="B20" s="2" t="s">
        <v>3908</v>
      </c>
      <c r="C20" s="60" t="s">
        <v>14480</v>
      </c>
      <c r="D20" s="1"/>
      <c r="E20" s="68"/>
      <c r="F20" s="70"/>
      <c r="G20" s="1" t="s">
        <v>18304</v>
      </c>
      <c r="H20" s="68"/>
      <c r="I20" s="70"/>
      <c r="J20" s="67"/>
      <c r="K20" s="68"/>
      <c r="L20" s="76"/>
      <c r="M20" s="83" t="s">
        <v>5895</v>
      </c>
      <c r="N20" s="64" t="s">
        <v>1</v>
      </c>
      <c r="O20" s="65">
        <v>1</v>
      </c>
      <c r="P20" s="99"/>
      <c r="Q20" s="70"/>
      <c r="R20" s="66"/>
      <c r="S20" s="57"/>
      <c r="T20" s="58"/>
      <c r="U20" s="77"/>
      <c r="V20" s="67"/>
      <c r="W20" s="68"/>
      <c r="X20" s="76"/>
      <c r="Y20" s="70"/>
      <c r="Z20" s="228">
        <f>ROUND((ROUND((ROUND((_15_同援日０．５*_15・通訳),0)*_15・２人),0)*(1+_15・A早朝)),0)+ROUND((ROUND((_15_同援日０．５＿１．０*_15・通訳),0)*_15・２人),0)</f>
        <v>421</v>
      </c>
      <c r="AA20" s="69"/>
    </row>
    <row r="21" spans="1:27" ht="16.5" customHeight="1" x14ac:dyDescent="0.3">
      <c r="A21" s="2">
        <v>15</v>
      </c>
      <c r="B21" s="2" t="s">
        <v>3909</v>
      </c>
      <c r="C21" s="60" t="s">
        <v>14479</v>
      </c>
      <c r="D21" s="1"/>
      <c r="E21" s="68"/>
      <c r="F21" s="70"/>
      <c r="G21" s="1" t="s">
        <v>8572</v>
      </c>
      <c r="H21" s="68"/>
      <c r="I21" s="70"/>
      <c r="J21" s="67"/>
      <c r="K21" s="68"/>
      <c r="L21" s="76"/>
      <c r="M21" s="85"/>
      <c r="N21" s="64"/>
      <c r="O21" s="65"/>
      <c r="P21" s="99"/>
      <c r="Q21" s="70"/>
      <c r="R21" s="74" t="s">
        <v>18296</v>
      </c>
      <c r="S21" s="62"/>
      <c r="T21" s="63"/>
      <c r="U21" s="75"/>
      <c r="V21" s="67"/>
      <c r="W21" s="68"/>
      <c r="X21" s="76"/>
      <c r="Y21" s="70"/>
      <c r="Z21" s="228">
        <f>ROUND((ROUND((ROUND((_15_同援日０．５*_15・通訳),0)*(1+_15・A早朝)),0)*(1+_15・盲ろう)),0)+ROUND((ROUND((_15_同援日０．５＿１．０*_15・通訳),0)*(1+_15・盲ろう)),0)</f>
        <v>526</v>
      </c>
      <c r="AA21" s="69"/>
    </row>
    <row r="22" spans="1:27" ht="16.5" customHeight="1" x14ac:dyDescent="0.3">
      <c r="A22" s="2">
        <v>15</v>
      </c>
      <c r="B22" s="2" t="s">
        <v>3910</v>
      </c>
      <c r="C22" s="60" t="s">
        <v>14478</v>
      </c>
      <c r="D22" s="1"/>
      <c r="E22" s="68"/>
      <c r="F22" s="70"/>
      <c r="G22" s="1"/>
      <c r="H22" s="227">
        <v>237</v>
      </c>
      <c r="I22" s="70" t="s">
        <v>0</v>
      </c>
      <c r="J22" s="67"/>
      <c r="K22" s="68"/>
      <c r="L22" s="76"/>
      <c r="M22" s="83" t="s">
        <v>5895</v>
      </c>
      <c r="N22" s="64" t="s">
        <v>1</v>
      </c>
      <c r="O22" s="65">
        <v>1</v>
      </c>
      <c r="P22" s="99"/>
      <c r="Q22" s="70"/>
      <c r="R22" s="106" t="s">
        <v>18295</v>
      </c>
      <c r="S22" s="57" t="s">
        <v>1</v>
      </c>
      <c r="T22" s="58">
        <v>0.25</v>
      </c>
      <c r="U22" s="77" t="s">
        <v>422</v>
      </c>
      <c r="V22" s="66"/>
      <c r="W22" s="57"/>
      <c r="X22" s="58"/>
      <c r="Y22" s="77"/>
      <c r="Z22" s="228">
        <f>ROUND((ROUND((ROUND((ROUND((_15_同援日０．５*_15・通訳),0)*_15・２人),0)*(1+_15・A早朝)),0)*(1+_15・盲ろう)),0)+ROUND((ROUND((ROUND((_15_同援日０．５＿１．０*_15・通訳),0)*_15・２人),0)*(1+_15・盲ろう)),0)</f>
        <v>526</v>
      </c>
      <c r="AA22" s="69"/>
    </row>
    <row r="23" spans="1:27" ht="16.5" customHeight="1" x14ac:dyDescent="0.3">
      <c r="A23" s="2">
        <v>15</v>
      </c>
      <c r="B23" s="2" t="s">
        <v>3911</v>
      </c>
      <c r="C23" s="60" t="s">
        <v>14477</v>
      </c>
      <c r="D23" s="1"/>
      <c r="E23" s="68"/>
      <c r="F23" s="70"/>
      <c r="G23" s="1"/>
      <c r="H23" s="68"/>
      <c r="I23" s="70"/>
      <c r="J23" s="67"/>
      <c r="K23" s="68"/>
      <c r="L23" s="76"/>
      <c r="M23" s="85"/>
      <c r="N23" s="64"/>
      <c r="O23" s="65"/>
      <c r="P23" s="99"/>
      <c r="Q23" s="70"/>
      <c r="R23" s="61"/>
      <c r="S23" s="62"/>
      <c r="T23" s="63"/>
      <c r="U23" s="75"/>
      <c r="V23" s="74" t="s">
        <v>18299</v>
      </c>
      <c r="W23" s="62"/>
      <c r="X23" s="63"/>
      <c r="Y23" s="75"/>
      <c r="Z23" s="228">
        <f>ROUND((ROUND((ROUND((_15_同援日０．５*_15・通訳),0)*(1+_15・A早朝)),0)*(1+_15・区３)),0)+ROUND((ROUND((_15_同援日０．５＿１．０*_15・通訳),0)*(1+_15・区３)),0)</f>
        <v>506</v>
      </c>
      <c r="AA23" s="69"/>
    </row>
    <row r="24" spans="1:27" ht="16.5" customHeight="1" x14ac:dyDescent="0.3">
      <c r="A24" s="2">
        <v>15</v>
      </c>
      <c r="B24" s="2" t="s">
        <v>3912</v>
      </c>
      <c r="C24" s="60" t="s">
        <v>14476</v>
      </c>
      <c r="D24" s="1"/>
      <c r="E24" s="68"/>
      <c r="F24" s="70"/>
      <c r="G24" s="1"/>
      <c r="H24" s="68"/>
      <c r="I24" s="70"/>
      <c r="J24" s="67"/>
      <c r="K24" s="68"/>
      <c r="L24" s="76"/>
      <c r="M24" s="83" t="s">
        <v>5895</v>
      </c>
      <c r="N24" s="64" t="s">
        <v>1</v>
      </c>
      <c r="O24" s="65">
        <v>1</v>
      </c>
      <c r="P24" s="99"/>
      <c r="Q24" s="70"/>
      <c r="R24" s="66"/>
      <c r="S24" s="57"/>
      <c r="T24" s="58"/>
      <c r="U24" s="77"/>
      <c r="V24" s="94" t="s">
        <v>18297</v>
      </c>
      <c r="W24" s="68"/>
      <c r="X24" s="76"/>
      <c r="Y24" s="70"/>
      <c r="Z24" s="228">
        <f>ROUND((ROUND((ROUND((ROUND((_15_同援日０．５*_15・通訳),0)*_15・２人),0)*(1+_15・A早朝)),0)*(1+_15・区３)),0)+ROUND((ROUND((ROUND((_15_同援日０．５＿１．０*_15・通訳),0)*_15・２人),0)*(1+_15・区３)),0)</f>
        <v>506</v>
      </c>
      <c r="AA24" s="69"/>
    </row>
    <row r="25" spans="1:27" ht="16.5" customHeight="1" x14ac:dyDescent="0.3">
      <c r="A25" s="2">
        <v>15</v>
      </c>
      <c r="B25" s="2" t="s">
        <v>3913</v>
      </c>
      <c r="C25" s="60" t="s">
        <v>14475</v>
      </c>
      <c r="D25" s="1"/>
      <c r="E25" s="68"/>
      <c r="F25" s="70"/>
      <c r="G25" s="1"/>
      <c r="H25" s="68"/>
      <c r="I25" s="70"/>
      <c r="J25" s="67"/>
      <c r="K25" s="68"/>
      <c r="L25" s="76"/>
      <c r="M25" s="85"/>
      <c r="N25" s="64"/>
      <c r="O25" s="65"/>
      <c r="P25" s="99"/>
      <c r="Q25" s="70"/>
      <c r="R25" s="74" t="s">
        <v>18296</v>
      </c>
      <c r="S25" s="62"/>
      <c r="T25" s="63"/>
      <c r="U25" s="75"/>
      <c r="V25" s="67"/>
      <c r="W25" s="68" t="s">
        <v>1</v>
      </c>
      <c r="X25" s="76">
        <v>0.2</v>
      </c>
      <c r="Y25" s="70" t="s">
        <v>422</v>
      </c>
      <c r="Z25" s="228">
        <f>ROUND((ROUND((ROUND((ROUND((_15_同援日０．５*_15・通訳),0)*(1+_15・A早朝)),0)*(1+_15・盲ろう)),0)*(1+_15・区３)),0)+ROUND((ROUND((ROUND((_15_同援日０．５＿１．０*_15・通訳),0)*(1+_15・盲ろう)),0)*(1+_15・区３)),0)</f>
        <v>631</v>
      </c>
      <c r="AA25" s="69"/>
    </row>
    <row r="26" spans="1:27" ht="16.5" customHeight="1" x14ac:dyDescent="0.3">
      <c r="A26" s="2">
        <v>15</v>
      </c>
      <c r="B26" s="2" t="s">
        <v>3914</v>
      </c>
      <c r="C26" s="60" t="s">
        <v>14474</v>
      </c>
      <c r="D26" s="1"/>
      <c r="E26" s="68"/>
      <c r="F26" s="70"/>
      <c r="G26" s="1"/>
      <c r="H26" s="68"/>
      <c r="I26" s="70"/>
      <c r="J26" s="67"/>
      <c r="K26" s="68"/>
      <c r="L26" s="76"/>
      <c r="M26" s="83" t="s">
        <v>5895</v>
      </c>
      <c r="N26" s="64" t="s">
        <v>1</v>
      </c>
      <c r="O26" s="65">
        <v>1</v>
      </c>
      <c r="P26" s="99"/>
      <c r="Q26" s="70"/>
      <c r="R26" s="106" t="s">
        <v>18295</v>
      </c>
      <c r="S26" s="57" t="s">
        <v>1</v>
      </c>
      <c r="T26" s="58">
        <v>0.25</v>
      </c>
      <c r="U26" s="77" t="s">
        <v>422</v>
      </c>
      <c r="V26" s="66"/>
      <c r="W26" s="57"/>
      <c r="X26" s="58"/>
      <c r="Y26" s="77"/>
      <c r="Z26" s="228">
        <f>ROUND((ROUND((ROUND((ROUND((ROUND((_15_同援日０．５*_15・通訳),0)*_15・２人),0)*(1+_15・A早朝)),0)*(1+_15・盲ろう)),0)*(1+_15・区３)),0)+ROUND((ROUND((ROUND((ROUND((_15_同援日０．５＿１．０*_15・通訳),0)*_15・２人),0)*(1+_15・盲ろう)),0)*(1+_15・区３)),0)</f>
        <v>631</v>
      </c>
      <c r="AA26" s="69"/>
    </row>
    <row r="27" spans="1:27" ht="16.5" customHeight="1" x14ac:dyDescent="0.3">
      <c r="A27" s="2">
        <v>15</v>
      </c>
      <c r="B27" s="2" t="s">
        <v>3915</v>
      </c>
      <c r="C27" s="60" t="s">
        <v>14473</v>
      </c>
      <c r="D27" s="1"/>
      <c r="E27" s="68"/>
      <c r="F27" s="70"/>
      <c r="G27" s="1"/>
      <c r="H27" s="68"/>
      <c r="I27" s="70"/>
      <c r="J27" s="67"/>
      <c r="K27" s="68"/>
      <c r="L27" s="76"/>
      <c r="M27" s="85"/>
      <c r="N27" s="64"/>
      <c r="O27" s="65"/>
      <c r="P27" s="99"/>
      <c r="Q27" s="70"/>
      <c r="R27" s="61"/>
      <c r="S27" s="62"/>
      <c r="T27" s="63"/>
      <c r="U27" s="75"/>
      <c r="V27" s="74" t="s">
        <v>18298</v>
      </c>
      <c r="W27" s="62"/>
      <c r="X27" s="63"/>
      <c r="Y27" s="75"/>
      <c r="Z27" s="228">
        <f>ROUND((ROUND((ROUND((_15_同援日０．５*_15・通訳),0)*(1+_15・A早朝)),0)*(1+_15・区４)),0)+ROUND((ROUND((_15_同援日０．５＿１．０*_15・通訳),0)*(1+_15・区４)),0)</f>
        <v>589</v>
      </c>
      <c r="AA27" s="69"/>
    </row>
    <row r="28" spans="1:27" ht="16.5" customHeight="1" x14ac:dyDescent="0.3">
      <c r="A28" s="2">
        <v>15</v>
      </c>
      <c r="B28" s="2" t="s">
        <v>3916</v>
      </c>
      <c r="C28" s="60" t="s">
        <v>14472</v>
      </c>
      <c r="D28" s="1"/>
      <c r="E28" s="68"/>
      <c r="F28" s="70"/>
      <c r="G28" s="1"/>
      <c r="H28" s="68"/>
      <c r="I28" s="70"/>
      <c r="J28" s="67"/>
      <c r="K28" s="68"/>
      <c r="L28" s="76"/>
      <c r="M28" s="83" t="s">
        <v>5895</v>
      </c>
      <c r="N28" s="64" t="s">
        <v>1</v>
      </c>
      <c r="O28" s="65">
        <v>1</v>
      </c>
      <c r="P28" s="99"/>
      <c r="Q28" s="70"/>
      <c r="R28" s="66"/>
      <c r="S28" s="57"/>
      <c r="T28" s="58"/>
      <c r="U28" s="77"/>
      <c r="V28" s="94" t="s">
        <v>18297</v>
      </c>
      <c r="W28" s="68"/>
      <c r="X28" s="76"/>
      <c r="Y28" s="70"/>
      <c r="Z28" s="228">
        <f>ROUND((ROUND((ROUND((ROUND((_15_同援日０．５*_15・通訳),0)*_15・２人),0)*(1+_15・A早朝)),0)*(1+_15・区４)),0)+ROUND((ROUND((ROUND((_15_同援日０．５＿１．０*_15・通訳),0)*_15・２人),0)*(1+_15・区４)),0)</f>
        <v>589</v>
      </c>
      <c r="AA28" s="69"/>
    </row>
    <row r="29" spans="1:27" ht="16.5" customHeight="1" x14ac:dyDescent="0.3">
      <c r="A29" s="2">
        <v>15</v>
      </c>
      <c r="B29" s="2" t="s">
        <v>3917</v>
      </c>
      <c r="C29" s="60" t="s">
        <v>14471</v>
      </c>
      <c r="D29" s="1"/>
      <c r="E29" s="68"/>
      <c r="F29" s="70"/>
      <c r="G29" s="1"/>
      <c r="H29" s="68"/>
      <c r="I29" s="70"/>
      <c r="J29" s="67"/>
      <c r="K29" s="68"/>
      <c r="L29" s="76"/>
      <c r="M29" s="85"/>
      <c r="N29" s="64"/>
      <c r="O29" s="65"/>
      <c r="P29" s="99"/>
      <c r="Q29" s="70"/>
      <c r="R29" s="74" t="s">
        <v>18296</v>
      </c>
      <c r="S29" s="62"/>
      <c r="T29" s="63"/>
      <c r="U29" s="75"/>
      <c r="V29" s="67"/>
      <c r="W29" s="68" t="s">
        <v>1</v>
      </c>
      <c r="X29" s="76">
        <v>0.4</v>
      </c>
      <c r="Y29" s="70" t="s">
        <v>422</v>
      </c>
      <c r="Z29" s="228">
        <f>ROUND((ROUND((ROUND((ROUND((_15_同援日０．５*_15・通訳),0)*(1+_15・A早朝)),0)*(1+_15・盲ろう)),0)*(1+_15・区４)),0)+ROUND((ROUND((ROUND((_15_同援日０．５＿１．０*_15・通訳),0)*(1+_15・盲ろう)),0)*(1+_15・区４)),0)</f>
        <v>736</v>
      </c>
      <c r="AA29" s="69"/>
    </row>
    <row r="30" spans="1:27" ht="16.5" customHeight="1" x14ac:dyDescent="0.3">
      <c r="A30" s="2">
        <v>15</v>
      </c>
      <c r="B30" s="2" t="s">
        <v>3918</v>
      </c>
      <c r="C30" s="60" t="s">
        <v>14470</v>
      </c>
      <c r="D30" s="1"/>
      <c r="E30" s="68"/>
      <c r="F30" s="70"/>
      <c r="G30" s="81"/>
      <c r="H30" s="57"/>
      <c r="I30" s="77"/>
      <c r="J30" s="67"/>
      <c r="K30" s="68"/>
      <c r="L30" s="76"/>
      <c r="M30" s="83" t="s">
        <v>5895</v>
      </c>
      <c r="N30" s="64" t="s">
        <v>1</v>
      </c>
      <c r="O30" s="65">
        <v>1</v>
      </c>
      <c r="P30" s="99"/>
      <c r="Q30" s="70"/>
      <c r="R30" s="106" t="s">
        <v>18295</v>
      </c>
      <c r="S30" s="57" t="s">
        <v>1</v>
      </c>
      <c r="T30" s="58">
        <v>0.25</v>
      </c>
      <c r="U30" s="77" t="s">
        <v>422</v>
      </c>
      <c r="V30" s="66"/>
      <c r="W30" s="57"/>
      <c r="X30" s="58"/>
      <c r="Y30" s="77"/>
      <c r="Z30" s="228">
        <f>ROUND((ROUND((ROUND((ROUND((ROUND((_15_同援日０．５*_15・通訳),0)*_15・２人),0)*(1+_15・A早朝)),0)*(1+_15・盲ろう)),0)*(1+_15・区４)),0)+ROUND((ROUND((ROUND((ROUND((_15_同援日０．５＿１．０*_15・通訳),0)*_15・２人),0)*(1+_15・盲ろう)),0)*(1+_15・区４)),0)</f>
        <v>736</v>
      </c>
      <c r="AA30" s="69"/>
    </row>
    <row r="31" spans="1:27" ht="16.5" customHeight="1" x14ac:dyDescent="0.3">
      <c r="A31" s="2">
        <v>15</v>
      </c>
      <c r="B31" s="2" t="s">
        <v>3919</v>
      </c>
      <c r="C31" s="60" t="s">
        <v>14469</v>
      </c>
      <c r="D31" s="1"/>
      <c r="E31" s="68"/>
      <c r="F31" s="70"/>
      <c r="G31" s="233" t="s">
        <v>18311</v>
      </c>
      <c r="H31" s="62"/>
      <c r="I31" s="75"/>
      <c r="J31" s="67"/>
      <c r="K31" s="68"/>
      <c r="L31" s="76"/>
      <c r="M31" s="85"/>
      <c r="N31" s="64"/>
      <c r="O31" s="65"/>
      <c r="P31" s="99"/>
      <c r="Q31" s="70"/>
      <c r="R31" s="61"/>
      <c r="S31" s="62"/>
      <c r="T31" s="63"/>
      <c r="U31" s="75"/>
      <c r="V31" s="61"/>
      <c r="W31" s="62"/>
      <c r="X31" s="63"/>
      <c r="Y31" s="75"/>
      <c r="Z31" s="228">
        <f>ROUND((ROUND((_15_同援日０．５*_15・通訳),0)*(1+_15・A早朝)),0)+ROUND((_15_同援日０．５＿１．５*_15・通訳),0)</f>
        <v>479</v>
      </c>
      <c r="AA31" s="69"/>
    </row>
    <row r="32" spans="1:27" ht="16.5" customHeight="1" x14ac:dyDescent="0.3">
      <c r="A32" s="2">
        <v>15</v>
      </c>
      <c r="B32" s="2" t="s">
        <v>3920</v>
      </c>
      <c r="C32" s="60" t="s">
        <v>14468</v>
      </c>
      <c r="D32" s="1"/>
      <c r="E32" s="68"/>
      <c r="F32" s="70"/>
      <c r="G32" s="1" t="s">
        <v>18308</v>
      </c>
      <c r="H32" s="68"/>
      <c r="I32" s="70"/>
      <c r="J32" s="67"/>
      <c r="K32" s="68"/>
      <c r="L32" s="76"/>
      <c r="M32" s="83" t="s">
        <v>5895</v>
      </c>
      <c r="N32" s="64" t="s">
        <v>1</v>
      </c>
      <c r="O32" s="65">
        <v>1</v>
      </c>
      <c r="P32" s="99"/>
      <c r="Q32" s="70"/>
      <c r="R32" s="66"/>
      <c r="S32" s="57"/>
      <c r="T32" s="58"/>
      <c r="U32" s="77"/>
      <c r="V32" s="67"/>
      <c r="W32" s="68"/>
      <c r="X32" s="76"/>
      <c r="Y32" s="70"/>
      <c r="Z32" s="228">
        <f>ROUND((ROUND((ROUND((_15_同援日０．５*_15・通訳),0)*_15・２人),0)*(1+_15・A早朝)),0)+ROUND((ROUND((_15_同援日０．５＿１．５*_15・通訳),0)*_15・２人),0)</f>
        <v>479</v>
      </c>
      <c r="AA32" s="69"/>
    </row>
    <row r="33" spans="1:27" ht="16.5" customHeight="1" x14ac:dyDescent="0.3">
      <c r="A33" s="2">
        <v>15</v>
      </c>
      <c r="B33" s="2" t="s">
        <v>3921</v>
      </c>
      <c r="C33" s="60" t="s">
        <v>14467</v>
      </c>
      <c r="D33" s="1"/>
      <c r="E33" s="68"/>
      <c r="F33" s="70"/>
      <c r="G33" s="1" t="s">
        <v>8767</v>
      </c>
      <c r="H33" s="68"/>
      <c r="I33" s="70"/>
      <c r="J33" s="67"/>
      <c r="K33" s="68"/>
      <c r="L33" s="76"/>
      <c r="M33" s="85"/>
      <c r="N33" s="64"/>
      <c r="O33" s="65"/>
      <c r="P33" s="99"/>
      <c r="Q33" s="70"/>
      <c r="R33" s="74" t="s">
        <v>18296</v>
      </c>
      <c r="S33" s="62"/>
      <c r="T33" s="63"/>
      <c r="U33" s="75"/>
      <c r="V33" s="67"/>
      <c r="W33" s="68"/>
      <c r="X33" s="76"/>
      <c r="Y33" s="70"/>
      <c r="Z33" s="228">
        <f>ROUND((ROUND((ROUND((_15_同援日０．５*_15・通訳),0)*(1+_15・A早朝)),0)*(1+_15・盲ろう)),0)+ROUND((ROUND((_15_同援日０．５＿１．５*_15・通訳),0)*(1+_15・盲ろう)),0)</f>
        <v>599</v>
      </c>
      <c r="AA33" s="69"/>
    </row>
    <row r="34" spans="1:27" ht="16.5" customHeight="1" x14ac:dyDescent="0.3">
      <c r="A34" s="2">
        <v>15</v>
      </c>
      <c r="B34" s="2" t="s">
        <v>3922</v>
      </c>
      <c r="C34" s="60" t="s">
        <v>14466</v>
      </c>
      <c r="D34" s="1"/>
      <c r="E34" s="68"/>
      <c r="F34" s="70"/>
      <c r="G34" s="1"/>
      <c r="H34" s="227">
        <v>301</v>
      </c>
      <c r="I34" s="70" t="s">
        <v>0</v>
      </c>
      <c r="J34" s="67"/>
      <c r="K34" s="68"/>
      <c r="L34" s="76"/>
      <c r="M34" s="83" t="s">
        <v>5895</v>
      </c>
      <c r="N34" s="64" t="s">
        <v>1</v>
      </c>
      <c r="O34" s="65">
        <v>1</v>
      </c>
      <c r="P34" s="99"/>
      <c r="Q34" s="70"/>
      <c r="R34" s="106" t="s">
        <v>18295</v>
      </c>
      <c r="S34" s="57" t="s">
        <v>1</v>
      </c>
      <c r="T34" s="58">
        <v>0.25</v>
      </c>
      <c r="U34" s="77" t="s">
        <v>422</v>
      </c>
      <c r="V34" s="66"/>
      <c r="W34" s="57"/>
      <c r="X34" s="58"/>
      <c r="Y34" s="77"/>
      <c r="Z34" s="228">
        <f>ROUND((ROUND((ROUND((ROUND((_15_同援日０．５*_15・通訳),0)*_15・２人),0)*(1+_15・A早朝)),0)*(1+_15・盲ろう)),0)+ROUND((ROUND((ROUND((_15_同援日０．５＿１．５*_15・通訳),0)*_15・２人),0)*(1+_15・盲ろう)),0)</f>
        <v>599</v>
      </c>
      <c r="AA34" s="69"/>
    </row>
    <row r="35" spans="1:27" ht="16.5" customHeight="1" x14ac:dyDescent="0.3">
      <c r="A35" s="2">
        <v>15</v>
      </c>
      <c r="B35" s="2" t="s">
        <v>3923</v>
      </c>
      <c r="C35" s="60" t="s">
        <v>14465</v>
      </c>
      <c r="D35" s="1"/>
      <c r="E35" s="68"/>
      <c r="F35" s="70"/>
      <c r="G35" s="1"/>
      <c r="H35" s="68"/>
      <c r="I35" s="70"/>
      <c r="J35" s="67"/>
      <c r="K35" s="68"/>
      <c r="L35" s="76"/>
      <c r="M35" s="85"/>
      <c r="N35" s="64"/>
      <c r="O35" s="65"/>
      <c r="P35" s="99"/>
      <c r="Q35" s="70"/>
      <c r="R35" s="61"/>
      <c r="S35" s="62"/>
      <c r="T35" s="63"/>
      <c r="U35" s="75"/>
      <c r="V35" s="74" t="s">
        <v>18299</v>
      </c>
      <c r="W35" s="62"/>
      <c r="X35" s="63"/>
      <c r="Y35" s="75"/>
      <c r="Z35" s="228">
        <f>ROUND((ROUND((ROUND((_15_同援日０．５*_15・通訳),0)*(1+_15・A早朝)),0)*(1+_15・区３)),0)+ROUND((ROUND((_15_同援日０．５＿１．５*_15・通訳),0)*(1+_15・区３)),0)</f>
        <v>575</v>
      </c>
      <c r="AA35" s="69"/>
    </row>
    <row r="36" spans="1:27" ht="16.5" customHeight="1" x14ac:dyDescent="0.3">
      <c r="A36" s="2">
        <v>15</v>
      </c>
      <c r="B36" s="2" t="s">
        <v>3924</v>
      </c>
      <c r="C36" s="60" t="s">
        <v>14464</v>
      </c>
      <c r="D36" s="1"/>
      <c r="E36" s="68"/>
      <c r="F36" s="70"/>
      <c r="G36" s="1"/>
      <c r="H36" s="68"/>
      <c r="I36" s="70"/>
      <c r="J36" s="67"/>
      <c r="K36" s="68"/>
      <c r="L36" s="76"/>
      <c r="M36" s="83" t="s">
        <v>5895</v>
      </c>
      <c r="N36" s="64" t="s">
        <v>1</v>
      </c>
      <c r="O36" s="65">
        <v>1</v>
      </c>
      <c r="P36" s="99"/>
      <c r="Q36" s="70"/>
      <c r="R36" s="66"/>
      <c r="S36" s="57"/>
      <c r="T36" s="58"/>
      <c r="U36" s="77"/>
      <c r="V36" s="94" t="s">
        <v>18297</v>
      </c>
      <c r="W36" s="68"/>
      <c r="X36" s="76"/>
      <c r="Y36" s="70"/>
      <c r="Z36" s="228">
        <f>ROUND((ROUND((ROUND((ROUND((_15_同援日０．５*_15・通訳),0)*_15・２人),0)*(1+_15・A早朝)),0)*(1+_15・区３)),0)+ROUND((ROUND((ROUND((_15_同援日０．５＿１．５*_15・通訳),0)*_15・２人),0)*(1+_15・区３)),0)</f>
        <v>575</v>
      </c>
      <c r="AA36" s="69"/>
    </row>
    <row r="37" spans="1:27" ht="16.5" customHeight="1" x14ac:dyDescent="0.3">
      <c r="A37" s="2">
        <v>15</v>
      </c>
      <c r="B37" s="2" t="s">
        <v>3925</v>
      </c>
      <c r="C37" s="60" t="s">
        <v>14463</v>
      </c>
      <c r="D37" s="1"/>
      <c r="E37" s="68"/>
      <c r="F37" s="70"/>
      <c r="G37" s="1"/>
      <c r="H37" s="68"/>
      <c r="I37" s="70"/>
      <c r="J37" s="67"/>
      <c r="K37" s="68"/>
      <c r="L37" s="76"/>
      <c r="M37" s="85"/>
      <c r="N37" s="64"/>
      <c r="O37" s="65"/>
      <c r="P37" s="99"/>
      <c r="Q37" s="70"/>
      <c r="R37" s="74" t="s">
        <v>18296</v>
      </c>
      <c r="S37" s="62"/>
      <c r="T37" s="63"/>
      <c r="U37" s="75"/>
      <c r="V37" s="67"/>
      <c r="W37" s="68" t="s">
        <v>1</v>
      </c>
      <c r="X37" s="76">
        <v>0.2</v>
      </c>
      <c r="Y37" s="70" t="s">
        <v>422</v>
      </c>
      <c r="Z37" s="228">
        <f>ROUND((ROUND((ROUND((ROUND((_15_同援日０．５*_15・通訳),0)*(1+_15・A早朝)),0)*(1+_15・盲ろう)),0)*(1+_15・区３)),0)+ROUND((ROUND((ROUND((_15_同援日０．５＿１．５*_15・通訳),0)*(1+_15・盲ろう)),0)*(1+_15・区３)),0)</f>
        <v>719</v>
      </c>
      <c r="AA37" s="69"/>
    </row>
    <row r="38" spans="1:27" ht="16.5" customHeight="1" x14ac:dyDescent="0.3">
      <c r="A38" s="2">
        <v>15</v>
      </c>
      <c r="B38" s="2" t="s">
        <v>3926</v>
      </c>
      <c r="C38" s="60" t="s">
        <v>14462</v>
      </c>
      <c r="D38" s="1"/>
      <c r="E38" s="68"/>
      <c r="F38" s="70"/>
      <c r="G38" s="1"/>
      <c r="H38" s="68"/>
      <c r="I38" s="70"/>
      <c r="J38" s="67"/>
      <c r="K38" s="68"/>
      <c r="L38" s="76"/>
      <c r="M38" s="83" t="s">
        <v>5895</v>
      </c>
      <c r="N38" s="64" t="s">
        <v>1</v>
      </c>
      <c r="O38" s="65">
        <v>1</v>
      </c>
      <c r="P38" s="99"/>
      <c r="Q38" s="70"/>
      <c r="R38" s="106" t="s">
        <v>18295</v>
      </c>
      <c r="S38" s="57" t="s">
        <v>1</v>
      </c>
      <c r="T38" s="58">
        <v>0.25</v>
      </c>
      <c r="U38" s="77" t="s">
        <v>422</v>
      </c>
      <c r="V38" s="66"/>
      <c r="W38" s="57"/>
      <c r="X38" s="58"/>
      <c r="Y38" s="77"/>
      <c r="Z38" s="228">
        <f>ROUND((ROUND((ROUND((ROUND((ROUND((_15_同援日０．５*_15・通訳),0)*_15・２人),0)*(1+_15・A早朝)),0)*(1+_15・盲ろう)),0)*(1+_15・区３)),0)+ROUND((ROUND((ROUND((ROUND((_15_同援日０．５＿１．５*_15・通訳),0)*_15・２人),0)*(1+_15・盲ろう)),0)*(1+_15・区３)),0)</f>
        <v>719</v>
      </c>
      <c r="AA38" s="69"/>
    </row>
    <row r="39" spans="1:27" ht="16.5" customHeight="1" x14ac:dyDescent="0.3">
      <c r="A39" s="2">
        <v>15</v>
      </c>
      <c r="B39" s="2" t="s">
        <v>3927</v>
      </c>
      <c r="C39" s="60" t="s">
        <v>14461</v>
      </c>
      <c r="D39" s="1"/>
      <c r="E39" s="68"/>
      <c r="F39" s="70"/>
      <c r="G39" s="1"/>
      <c r="H39" s="68"/>
      <c r="I39" s="70"/>
      <c r="J39" s="67"/>
      <c r="K39" s="68"/>
      <c r="L39" s="76"/>
      <c r="M39" s="85"/>
      <c r="N39" s="64"/>
      <c r="O39" s="65"/>
      <c r="P39" s="99"/>
      <c r="Q39" s="70"/>
      <c r="R39" s="61"/>
      <c r="S39" s="62"/>
      <c r="T39" s="63"/>
      <c r="U39" s="75"/>
      <c r="V39" s="74" t="s">
        <v>18298</v>
      </c>
      <c r="W39" s="62"/>
      <c r="X39" s="63"/>
      <c r="Y39" s="75"/>
      <c r="Z39" s="228">
        <f>ROUND((ROUND((ROUND((_15_同援日０．５*_15・通訳),0)*(1+_15・A早朝)),0)*(1+_15・区４)),0)+ROUND((ROUND((_15_同援日０．５＿１．５*_15・通訳),0)*(1+_15・区４)),0)</f>
        <v>670</v>
      </c>
      <c r="AA39" s="69"/>
    </row>
    <row r="40" spans="1:27" ht="16.5" customHeight="1" x14ac:dyDescent="0.3">
      <c r="A40" s="2">
        <v>15</v>
      </c>
      <c r="B40" s="2" t="s">
        <v>3928</v>
      </c>
      <c r="C40" s="60" t="s">
        <v>14460</v>
      </c>
      <c r="D40" s="1"/>
      <c r="E40" s="68"/>
      <c r="F40" s="70"/>
      <c r="G40" s="1"/>
      <c r="H40" s="68"/>
      <c r="I40" s="70"/>
      <c r="J40" s="67"/>
      <c r="K40" s="68"/>
      <c r="L40" s="76"/>
      <c r="M40" s="83" t="s">
        <v>5895</v>
      </c>
      <c r="N40" s="64" t="s">
        <v>1</v>
      </c>
      <c r="O40" s="65">
        <v>1</v>
      </c>
      <c r="P40" s="99"/>
      <c r="Q40" s="70"/>
      <c r="R40" s="66"/>
      <c r="S40" s="57"/>
      <c r="T40" s="58"/>
      <c r="U40" s="77"/>
      <c r="V40" s="94" t="s">
        <v>18297</v>
      </c>
      <c r="W40" s="68"/>
      <c r="X40" s="76"/>
      <c r="Y40" s="70"/>
      <c r="Z40" s="228">
        <f>ROUND((ROUND((ROUND((ROUND((_15_同援日０．５*_15・通訳),0)*_15・２人),0)*(1+_15・A早朝)),0)*(1+_15・区４)),0)+ROUND((ROUND((ROUND((_15_同援日０．５＿１．５*_15・通訳),0)*_15・２人),0)*(1+_15・区４)),0)</f>
        <v>670</v>
      </c>
      <c r="AA40" s="69"/>
    </row>
    <row r="41" spans="1:27" ht="16.5" customHeight="1" x14ac:dyDescent="0.3">
      <c r="A41" s="2">
        <v>15</v>
      </c>
      <c r="B41" s="2" t="s">
        <v>3929</v>
      </c>
      <c r="C41" s="60" t="s">
        <v>14459</v>
      </c>
      <c r="D41" s="1"/>
      <c r="E41" s="68"/>
      <c r="F41" s="70"/>
      <c r="G41" s="1"/>
      <c r="H41" s="68"/>
      <c r="I41" s="70"/>
      <c r="J41" s="67"/>
      <c r="K41" s="68"/>
      <c r="L41" s="76"/>
      <c r="M41" s="85"/>
      <c r="N41" s="64"/>
      <c r="O41" s="65"/>
      <c r="P41" s="99"/>
      <c r="Q41" s="70"/>
      <c r="R41" s="74" t="s">
        <v>18296</v>
      </c>
      <c r="S41" s="62"/>
      <c r="T41" s="63"/>
      <c r="U41" s="75"/>
      <c r="V41" s="67"/>
      <c r="W41" s="68" t="s">
        <v>1</v>
      </c>
      <c r="X41" s="76">
        <v>0.4</v>
      </c>
      <c r="Y41" s="70" t="s">
        <v>422</v>
      </c>
      <c r="Z41" s="228">
        <f>ROUND((ROUND((ROUND((ROUND((_15_同援日０．５*_15・通訳),0)*(1+_15・A早朝)),0)*(1+_15・盲ろう)),0)*(1+_15・区４)),0)+ROUND((ROUND((ROUND((_15_同援日０．５＿１．５*_15・通訳),0)*(1+_15・盲ろう)),0)*(1+_15・区４)),0)</f>
        <v>839</v>
      </c>
      <c r="AA41" s="69"/>
    </row>
    <row r="42" spans="1:27" ht="16.5" customHeight="1" x14ac:dyDescent="0.3">
      <c r="A42" s="2">
        <v>15</v>
      </c>
      <c r="B42" s="2" t="s">
        <v>3930</v>
      </c>
      <c r="C42" s="60" t="s">
        <v>14458</v>
      </c>
      <c r="D42" s="1"/>
      <c r="E42" s="68"/>
      <c r="F42" s="70"/>
      <c r="G42" s="81"/>
      <c r="H42" s="57"/>
      <c r="I42" s="77"/>
      <c r="J42" s="67"/>
      <c r="K42" s="68"/>
      <c r="L42" s="76"/>
      <c r="M42" s="83" t="s">
        <v>5895</v>
      </c>
      <c r="N42" s="64" t="s">
        <v>1</v>
      </c>
      <c r="O42" s="65">
        <v>1</v>
      </c>
      <c r="P42" s="99"/>
      <c r="Q42" s="70"/>
      <c r="R42" s="106" t="s">
        <v>18295</v>
      </c>
      <c r="S42" s="57" t="s">
        <v>1</v>
      </c>
      <c r="T42" s="58">
        <v>0.25</v>
      </c>
      <c r="U42" s="77" t="s">
        <v>422</v>
      </c>
      <c r="V42" s="66"/>
      <c r="W42" s="57"/>
      <c r="X42" s="58"/>
      <c r="Y42" s="77"/>
      <c r="Z42" s="228">
        <f>ROUND((ROUND((ROUND((ROUND((ROUND((_15_同援日０．５*_15・通訳),0)*_15・２人),0)*(1+_15・A早朝)),0)*(1+_15・盲ろう)),0)*(1+_15・区４)),0)+ROUND((ROUND((ROUND((ROUND((_15_同援日０．５＿１．５*_15・通訳),0)*_15・２人),0)*(1+_15・盲ろう)),0)*(1+_15・区４)),0)</f>
        <v>839</v>
      </c>
      <c r="AA42" s="69"/>
    </row>
    <row r="43" spans="1:27" ht="16.5" customHeight="1" x14ac:dyDescent="0.3">
      <c r="A43" s="2">
        <v>15</v>
      </c>
      <c r="B43" s="2" t="s">
        <v>3931</v>
      </c>
      <c r="C43" s="60" t="s">
        <v>14457</v>
      </c>
      <c r="D43" s="1"/>
      <c r="E43" s="68"/>
      <c r="F43" s="70"/>
      <c r="G43" s="233" t="s">
        <v>18310</v>
      </c>
      <c r="H43" s="62"/>
      <c r="I43" s="75"/>
      <c r="J43" s="67"/>
      <c r="K43" s="68"/>
      <c r="L43" s="76"/>
      <c r="M43" s="85"/>
      <c r="N43" s="64"/>
      <c r="O43" s="65"/>
      <c r="P43" s="99"/>
      <c r="Q43" s="70"/>
      <c r="R43" s="61"/>
      <c r="S43" s="62"/>
      <c r="T43" s="63"/>
      <c r="U43" s="75"/>
      <c r="V43" s="61"/>
      <c r="W43" s="62"/>
      <c r="X43" s="63"/>
      <c r="Y43" s="75"/>
      <c r="Z43" s="228">
        <f>ROUND((ROUND((_15_同援日０．５*_15・通訳),0)*(1+_15・A早朝)),0)+ROUND((_15_同援日０．５＿２．０*_15・通訳),0)</f>
        <v>536</v>
      </c>
      <c r="AA43" s="69"/>
    </row>
    <row r="44" spans="1:27" ht="16.5" customHeight="1" x14ac:dyDescent="0.3">
      <c r="A44" s="2">
        <v>15</v>
      </c>
      <c r="B44" s="2" t="s">
        <v>3932</v>
      </c>
      <c r="C44" s="60" t="s">
        <v>14456</v>
      </c>
      <c r="D44" s="1"/>
      <c r="E44" s="68"/>
      <c r="F44" s="70"/>
      <c r="G44" s="1" t="s">
        <v>18306</v>
      </c>
      <c r="H44" s="68"/>
      <c r="I44" s="70"/>
      <c r="J44" s="67"/>
      <c r="K44" s="68"/>
      <c r="L44" s="76"/>
      <c r="M44" s="83" t="s">
        <v>5895</v>
      </c>
      <c r="N44" s="64" t="s">
        <v>1</v>
      </c>
      <c r="O44" s="65">
        <v>1</v>
      </c>
      <c r="P44" s="99"/>
      <c r="Q44" s="70"/>
      <c r="R44" s="66"/>
      <c r="S44" s="57"/>
      <c r="T44" s="58"/>
      <c r="U44" s="77"/>
      <c r="V44" s="67"/>
      <c r="W44" s="68"/>
      <c r="X44" s="76"/>
      <c r="Y44" s="70"/>
      <c r="Z44" s="228">
        <f>ROUND((ROUND((ROUND((_15_同援日０．５*_15・通訳),0)*_15・２人),0)*(1+_15・A早朝)),0)+ROUND((ROUND((_15_同援日０．５＿２．０*_15・通訳),0)*_15・２人),0)</f>
        <v>536</v>
      </c>
      <c r="AA44" s="69"/>
    </row>
    <row r="45" spans="1:27" ht="16.5" customHeight="1" x14ac:dyDescent="0.3">
      <c r="A45" s="2">
        <v>15</v>
      </c>
      <c r="B45" s="2" t="s">
        <v>3933</v>
      </c>
      <c r="C45" s="60" t="s">
        <v>14455</v>
      </c>
      <c r="D45" s="1"/>
      <c r="E45" s="68"/>
      <c r="F45" s="70"/>
      <c r="G45" s="1" t="s">
        <v>6448</v>
      </c>
      <c r="H45" s="68"/>
      <c r="I45" s="70"/>
      <c r="J45" s="67"/>
      <c r="K45" s="68"/>
      <c r="L45" s="76"/>
      <c r="M45" s="85"/>
      <c r="N45" s="64"/>
      <c r="O45" s="65"/>
      <c r="P45" s="99"/>
      <c r="Q45" s="70"/>
      <c r="R45" s="74" t="s">
        <v>18296</v>
      </c>
      <c r="S45" s="62"/>
      <c r="T45" s="63"/>
      <c r="U45" s="75"/>
      <c r="V45" s="67"/>
      <c r="W45" s="68"/>
      <c r="X45" s="76"/>
      <c r="Y45" s="70"/>
      <c r="Z45" s="228">
        <f>ROUND((ROUND((ROUND((_15_同援日０．５*_15・通訳),0)*(1+_15・A早朝)),0)*(1+_15・盲ろう)),0)+ROUND((ROUND((_15_同援日０．５＿２．０*_15・通訳),0)*(1+_15・盲ろう)),0)</f>
        <v>670</v>
      </c>
      <c r="AA45" s="69"/>
    </row>
    <row r="46" spans="1:27" ht="16.5" customHeight="1" x14ac:dyDescent="0.3">
      <c r="A46" s="2">
        <v>15</v>
      </c>
      <c r="B46" s="2" t="s">
        <v>3934</v>
      </c>
      <c r="C46" s="60" t="s">
        <v>14454</v>
      </c>
      <c r="D46" s="1"/>
      <c r="E46" s="68"/>
      <c r="F46" s="70"/>
      <c r="G46" s="1"/>
      <c r="H46" s="227">
        <v>364</v>
      </c>
      <c r="I46" s="70" t="s">
        <v>0</v>
      </c>
      <c r="J46" s="67"/>
      <c r="K46" s="68"/>
      <c r="L46" s="76"/>
      <c r="M46" s="83" t="s">
        <v>5895</v>
      </c>
      <c r="N46" s="64" t="s">
        <v>1</v>
      </c>
      <c r="O46" s="65">
        <v>1</v>
      </c>
      <c r="P46" s="99"/>
      <c r="Q46" s="70"/>
      <c r="R46" s="106" t="s">
        <v>18295</v>
      </c>
      <c r="S46" s="57" t="s">
        <v>1</v>
      </c>
      <c r="T46" s="58">
        <v>0.25</v>
      </c>
      <c r="U46" s="77" t="s">
        <v>422</v>
      </c>
      <c r="V46" s="66"/>
      <c r="W46" s="57"/>
      <c r="X46" s="58"/>
      <c r="Y46" s="77"/>
      <c r="Z46" s="228">
        <f>ROUND((ROUND((ROUND((ROUND((_15_同援日０．５*_15・通訳),0)*_15・２人),0)*(1+_15・A早朝)),0)*(1+_15・盲ろう)),0)+ROUND((ROUND((ROUND((_15_同援日０．５＿２．０*_15・通訳),0)*_15・２人),0)*(1+_15・盲ろう)),0)</f>
        <v>670</v>
      </c>
      <c r="AA46" s="69"/>
    </row>
    <row r="47" spans="1:27" ht="16.5" customHeight="1" x14ac:dyDescent="0.3">
      <c r="A47" s="2">
        <v>15</v>
      </c>
      <c r="B47" s="2" t="s">
        <v>3935</v>
      </c>
      <c r="C47" s="60" t="s">
        <v>14453</v>
      </c>
      <c r="D47" s="1"/>
      <c r="E47" s="68"/>
      <c r="F47" s="70"/>
      <c r="G47" s="1"/>
      <c r="H47" s="68"/>
      <c r="I47" s="70"/>
      <c r="J47" s="67"/>
      <c r="K47" s="68"/>
      <c r="L47" s="76"/>
      <c r="M47" s="85"/>
      <c r="N47" s="64"/>
      <c r="O47" s="65"/>
      <c r="P47" s="99"/>
      <c r="Q47" s="70"/>
      <c r="R47" s="61"/>
      <c r="S47" s="62"/>
      <c r="T47" s="63"/>
      <c r="U47" s="75"/>
      <c r="V47" s="74" t="s">
        <v>18299</v>
      </c>
      <c r="W47" s="62"/>
      <c r="X47" s="63"/>
      <c r="Y47" s="75"/>
      <c r="Z47" s="228">
        <f>ROUND((ROUND((ROUND((_15_同援日０．５*_15・通訳),0)*(1+_15・A早朝)),0)*(1+_15・区３)),0)+ROUND((ROUND((_15_同援日０．５＿２．０*_15・通訳),0)*(1+_15・区３)),0)</f>
        <v>644</v>
      </c>
      <c r="AA47" s="69"/>
    </row>
    <row r="48" spans="1:27" ht="16.5" customHeight="1" x14ac:dyDescent="0.3">
      <c r="A48" s="2">
        <v>15</v>
      </c>
      <c r="B48" s="2" t="s">
        <v>3936</v>
      </c>
      <c r="C48" s="60" t="s">
        <v>14452</v>
      </c>
      <c r="D48" s="1"/>
      <c r="E48" s="68"/>
      <c r="F48" s="70"/>
      <c r="G48" s="1"/>
      <c r="H48" s="68"/>
      <c r="I48" s="70"/>
      <c r="J48" s="67"/>
      <c r="K48" s="68"/>
      <c r="L48" s="76"/>
      <c r="M48" s="83" t="s">
        <v>5895</v>
      </c>
      <c r="N48" s="64" t="s">
        <v>1</v>
      </c>
      <c r="O48" s="65">
        <v>1</v>
      </c>
      <c r="P48" s="99"/>
      <c r="Q48" s="70"/>
      <c r="R48" s="66"/>
      <c r="S48" s="57"/>
      <c r="T48" s="58"/>
      <c r="U48" s="77"/>
      <c r="V48" s="94" t="s">
        <v>18297</v>
      </c>
      <c r="W48" s="68"/>
      <c r="X48" s="76"/>
      <c r="Y48" s="70"/>
      <c r="Z48" s="228">
        <f>ROUND((ROUND((ROUND((ROUND((_15_同援日０．５*_15・通訳),0)*_15・２人),0)*(1+_15・A早朝)),0)*(1+_15・区３)),0)+ROUND((ROUND((ROUND((_15_同援日０．５＿２．０*_15・通訳),0)*_15・２人),0)*(1+_15・区３)),0)</f>
        <v>644</v>
      </c>
      <c r="AA48" s="69"/>
    </row>
    <row r="49" spans="1:27" ht="16.5" customHeight="1" x14ac:dyDescent="0.3">
      <c r="A49" s="2">
        <v>15</v>
      </c>
      <c r="B49" s="2" t="s">
        <v>3937</v>
      </c>
      <c r="C49" s="60" t="s">
        <v>14451</v>
      </c>
      <c r="D49" s="1"/>
      <c r="E49" s="68"/>
      <c r="F49" s="70"/>
      <c r="G49" s="1"/>
      <c r="H49" s="68"/>
      <c r="I49" s="70"/>
      <c r="J49" s="67"/>
      <c r="K49" s="68"/>
      <c r="L49" s="76"/>
      <c r="M49" s="85"/>
      <c r="N49" s="64"/>
      <c r="O49" s="65"/>
      <c r="P49" s="99"/>
      <c r="Q49" s="70"/>
      <c r="R49" s="74" t="s">
        <v>18296</v>
      </c>
      <c r="S49" s="62"/>
      <c r="T49" s="63"/>
      <c r="U49" s="75"/>
      <c r="V49" s="67"/>
      <c r="W49" s="68" t="s">
        <v>1</v>
      </c>
      <c r="X49" s="76">
        <v>0.2</v>
      </c>
      <c r="Y49" s="70" t="s">
        <v>422</v>
      </c>
      <c r="Z49" s="228">
        <f>ROUND((ROUND((ROUND((ROUND((_15_同援日０．５*_15・通訳),0)*(1+_15・A早朝)),0)*(1+_15・盲ろう)),0)*(1+_15・区３)),0)+ROUND((ROUND((ROUND((_15_同援日０．５＿２．０*_15・通訳),0)*(1+_15・盲ろう)),0)*(1+_15・区３)),0)</f>
        <v>804</v>
      </c>
      <c r="AA49" s="69"/>
    </row>
    <row r="50" spans="1:27" ht="16.5" customHeight="1" x14ac:dyDescent="0.3">
      <c r="A50" s="2">
        <v>15</v>
      </c>
      <c r="B50" s="2" t="s">
        <v>3938</v>
      </c>
      <c r="C50" s="60" t="s">
        <v>14450</v>
      </c>
      <c r="D50" s="1"/>
      <c r="E50" s="68"/>
      <c r="F50" s="70"/>
      <c r="G50" s="1"/>
      <c r="H50" s="68"/>
      <c r="I50" s="70"/>
      <c r="J50" s="67"/>
      <c r="K50" s="68"/>
      <c r="L50" s="76"/>
      <c r="M50" s="83" t="s">
        <v>5895</v>
      </c>
      <c r="N50" s="64" t="s">
        <v>1</v>
      </c>
      <c r="O50" s="65">
        <v>1</v>
      </c>
      <c r="P50" s="99"/>
      <c r="Q50" s="70"/>
      <c r="R50" s="106" t="s">
        <v>18295</v>
      </c>
      <c r="S50" s="57" t="s">
        <v>1</v>
      </c>
      <c r="T50" s="58">
        <v>0.25</v>
      </c>
      <c r="U50" s="77" t="s">
        <v>422</v>
      </c>
      <c r="V50" s="66"/>
      <c r="W50" s="57"/>
      <c r="X50" s="58"/>
      <c r="Y50" s="77"/>
      <c r="Z50" s="228">
        <f>ROUND((ROUND((ROUND((ROUND((ROUND((_15_同援日０．５*_15・通訳),0)*_15・２人),0)*(1+_15・A早朝)),0)*(1+_15・盲ろう)),0)*(1+_15・区３)),0)+ROUND((ROUND((ROUND((ROUND((_15_同援日０．５＿２．０*_15・通訳),0)*_15・２人),0)*(1+_15・盲ろう)),0)*(1+_15・区３)),0)</f>
        <v>804</v>
      </c>
      <c r="AA50" s="69"/>
    </row>
    <row r="51" spans="1:27" ht="16.5" customHeight="1" x14ac:dyDescent="0.3">
      <c r="A51" s="2">
        <v>15</v>
      </c>
      <c r="B51" s="2" t="s">
        <v>3939</v>
      </c>
      <c r="C51" s="60" t="s">
        <v>14449</v>
      </c>
      <c r="D51" s="1"/>
      <c r="E51" s="68"/>
      <c r="F51" s="70"/>
      <c r="G51" s="1"/>
      <c r="H51" s="68"/>
      <c r="I51" s="70"/>
      <c r="J51" s="67"/>
      <c r="K51" s="68"/>
      <c r="L51" s="76"/>
      <c r="M51" s="85"/>
      <c r="N51" s="64"/>
      <c r="O51" s="65"/>
      <c r="P51" s="99"/>
      <c r="Q51" s="70"/>
      <c r="R51" s="61"/>
      <c r="S51" s="62"/>
      <c r="T51" s="63"/>
      <c r="U51" s="75"/>
      <c r="V51" s="74" t="s">
        <v>18298</v>
      </c>
      <c r="W51" s="62"/>
      <c r="X51" s="63"/>
      <c r="Y51" s="75"/>
      <c r="Z51" s="228">
        <f>ROUND((ROUND((ROUND((_15_同援日０．５*_15・通訳),0)*(1+_15・A早朝)),0)*(1+_15・区４)),0)+ROUND((ROUND((_15_同援日０．５＿２．０*_15・通訳),0)*(1+_15・区４)),0)</f>
        <v>750</v>
      </c>
      <c r="AA51" s="69"/>
    </row>
    <row r="52" spans="1:27" ht="16.5" customHeight="1" x14ac:dyDescent="0.3">
      <c r="A52" s="2">
        <v>15</v>
      </c>
      <c r="B52" s="2" t="s">
        <v>3940</v>
      </c>
      <c r="C52" s="60" t="s">
        <v>14448</v>
      </c>
      <c r="D52" s="1"/>
      <c r="E52" s="68"/>
      <c r="F52" s="70"/>
      <c r="G52" s="1"/>
      <c r="H52" s="68"/>
      <c r="I52" s="70"/>
      <c r="J52" s="67"/>
      <c r="K52" s="68"/>
      <c r="L52" s="76"/>
      <c r="M52" s="83" t="s">
        <v>5895</v>
      </c>
      <c r="N52" s="64" t="s">
        <v>1</v>
      </c>
      <c r="O52" s="65">
        <v>1</v>
      </c>
      <c r="P52" s="99"/>
      <c r="Q52" s="70"/>
      <c r="R52" s="66"/>
      <c r="S52" s="57"/>
      <c r="T52" s="58"/>
      <c r="U52" s="77"/>
      <c r="V52" s="94" t="s">
        <v>18297</v>
      </c>
      <c r="W52" s="68"/>
      <c r="X52" s="76"/>
      <c r="Y52" s="70"/>
      <c r="Z52" s="228">
        <f>ROUND((ROUND((ROUND((ROUND((_15_同援日０．５*_15・通訳),0)*_15・２人),0)*(1+_15・A早朝)),0)*(1+_15・区４)),0)+ROUND((ROUND((ROUND((_15_同援日０．５＿２．０*_15・通訳),0)*_15・２人),0)*(1+_15・区４)),0)</f>
        <v>750</v>
      </c>
      <c r="AA52" s="69"/>
    </row>
    <row r="53" spans="1:27" ht="16.5" customHeight="1" x14ac:dyDescent="0.3">
      <c r="A53" s="2">
        <v>15</v>
      </c>
      <c r="B53" s="2" t="s">
        <v>3941</v>
      </c>
      <c r="C53" s="60" t="s">
        <v>14447</v>
      </c>
      <c r="D53" s="1"/>
      <c r="E53" s="68"/>
      <c r="F53" s="70"/>
      <c r="G53" s="1"/>
      <c r="H53" s="68"/>
      <c r="I53" s="70"/>
      <c r="J53" s="67"/>
      <c r="K53" s="68"/>
      <c r="L53" s="76"/>
      <c r="M53" s="85"/>
      <c r="N53" s="64"/>
      <c r="O53" s="65"/>
      <c r="P53" s="99"/>
      <c r="Q53" s="70"/>
      <c r="R53" s="74" t="s">
        <v>18296</v>
      </c>
      <c r="S53" s="62"/>
      <c r="T53" s="63"/>
      <c r="U53" s="75"/>
      <c r="V53" s="67"/>
      <c r="W53" s="68" t="s">
        <v>1</v>
      </c>
      <c r="X53" s="76">
        <v>0.4</v>
      </c>
      <c r="Y53" s="70" t="s">
        <v>422</v>
      </c>
      <c r="Z53" s="228">
        <f>ROUND((ROUND((ROUND((ROUND((_15_同援日０．５*_15・通訳),0)*(1+_15・A早朝)),0)*(1+_15・盲ろう)),0)*(1+_15・区４)),0)+ROUND((ROUND((ROUND((_15_同援日０．５＿２．０*_15・通訳),0)*(1+_15・盲ろう)),0)*(1+_15・区４)),0)</f>
        <v>938</v>
      </c>
      <c r="AA53" s="69"/>
    </row>
    <row r="54" spans="1:27" ht="16.5" customHeight="1" x14ac:dyDescent="0.3">
      <c r="A54" s="2">
        <v>15</v>
      </c>
      <c r="B54" s="2" t="s">
        <v>3942</v>
      </c>
      <c r="C54" s="60" t="s">
        <v>14446</v>
      </c>
      <c r="D54" s="1"/>
      <c r="E54" s="68"/>
      <c r="F54" s="70"/>
      <c r="G54" s="81"/>
      <c r="H54" s="57"/>
      <c r="I54" s="77"/>
      <c r="J54" s="67"/>
      <c r="K54" s="68"/>
      <c r="L54" s="76"/>
      <c r="M54" s="83" t="s">
        <v>5895</v>
      </c>
      <c r="N54" s="64" t="s">
        <v>1</v>
      </c>
      <c r="O54" s="65">
        <v>1</v>
      </c>
      <c r="P54" s="99"/>
      <c r="Q54" s="70"/>
      <c r="R54" s="106" t="s">
        <v>18295</v>
      </c>
      <c r="S54" s="57" t="s">
        <v>1</v>
      </c>
      <c r="T54" s="58">
        <v>0.25</v>
      </c>
      <c r="U54" s="77" t="s">
        <v>422</v>
      </c>
      <c r="V54" s="66"/>
      <c r="W54" s="57"/>
      <c r="X54" s="58"/>
      <c r="Y54" s="77"/>
      <c r="Z54" s="228">
        <f>ROUND((ROUND((ROUND((ROUND((ROUND((_15_同援日０．５*_15・通訳),0)*_15・２人),0)*(1+_15・A早朝)),0)*(1+_15・盲ろう)),0)*(1+_15・区４)),0)+ROUND((ROUND((ROUND((ROUND((_15_同援日０．５＿２．０*_15・通訳),0)*_15・２人),0)*(1+_15・盲ろう)),0)*(1+_15・区４)),0)</f>
        <v>938</v>
      </c>
      <c r="AA54" s="69"/>
    </row>
    <row r="55" spans="1:27" ht="16.5" customHeight="1" x14ac:dyDescent="0.3">
      <c r="A55" s="2">
        <v>15</v>
      </c>
      <c r="B55" s="2" t="s">
        <v>3943</v>
      </c>
      <c r="C55" s="60" t="s">
        <v>14445</v>
      </c>
      <c r="D55" s="1"/>
      <c r="E55" s="68"/>
      <c r="F55" s="70"/>
      <c r="G55" s="233" t="s">
        <v>18313</v>
      </c>
      <c r="H55" s="62"/>
      <c r="I55" s="75"/>
      <c r="J55" s="67"/>
      <c r="K55" s="68"/>
      <c r="L55" s="76"/>
      <c r="M55" s="85"/>
      <c r="N55" s="64"/>
      <c r="O55" s="65"/>
      <c r="P55" s="99"/>
      <c r="Q55" s="70"/>
      <c r="R55" s="61"/>
      <c r="S55" s="62"/>
      <c r="T55" s="63"/>
      <c r="U55" s="75"/>
      <c r="V55" s="61"/>
      <c r="W55" s="62"/>
      <c r="X55" s="63"/>
      <c r="Y55" s="75"/>
      <c r="Z55" s="228">
        <f>ROUND((ROUND((_15_同援日０．５*_15・通訳),0)*(1+_15・A早朝)),0)+ROUND((_15_同援日０．５＿２．５*_15・通訳),0)</f>
        <v>592</v>
      </c>
      <c r="AA55" s="69"/>
    </row>
    <row r="56" spans="1:27" ht="16.5" customHeight="1" x14ac:dyDescent="0.3">
      <c r="A56" s="2">
        <v>15</v>
      </c>
      <c r="B56" s="2" t="s">
        <v>3944</v>
      </c>
      <c r="C56" s="60" t="s">
        <v>14444</v>
      </c>
      <c r="D56" s="1"/>
      <c r="E56" s="68"/>
      <c r="F56" s="70"/>
      <c r="G56" s="1" t="s">
        <v>18301</v>
      </c>
      <c r="H56" s="68"/>
      <c r="I56" s="70"/>
      <c r="J56" s="67"/>
      <c r="K56" s="68"/>
      <c r="L56" s="76"/>
      <c r="M56" s="83" t="s">
        <v>5895</v>
      </c>
      <c r="N56" s="64" t="s">
        <v>1</v>
      </c>
      <c r="O56" s="65">
        <v>1</v>
      </c>
      <c r="P56" s="99"/>
      <c r="Q56" s="70"/>
      <c r="R56" s="66"/>
      <c r="S56" s="57"/>
      <c r="T56" s="58"/>
      <c r="U56" s="77"/>
      <c r="V56" s="67"/>
      <c r="W56" s="68"/>
      <c r="X56" s="76"/>
      <c r="Y56" s="70"/>
      <c r="Z56" s="228">
        <f>ROUND((ROUND((ROUND((_15_同援日０．５*_15・通訳),0)*_15・２人),0)*(1+_15・A早朝)),0)+ROUND((ROUND((_15_同援日０．５＿２．５*_15・通訳),0)*_15・２人),0)</f>
        <v>592</v>
      </c>
      <c r="AA56" s="69"/>
    </row>
    <row r="57" spans="1:27" ht="16.5" customHeight="1" x14ac:dyDescent="0.3">
      <c r="A57" s="2">
        <v>15</v>
      </c>
      <c r="B57" s="2" t="s">
        <v>3945</v>
      </c>
      <c r="C57" s="60" t="s">
        <v>14443</v>
      </c>
      <c r="D57" s="1"/>
      <c r="E57" s="68"/>
      <c r="F57" s="70"/>
      <c r="G57" s="1" t="s">
        <v>8499</v>
      </c>
      <c r="H57" s="68"/>
      <c r="I57" s="70"/>
      <c r="J57" s="67"/>
      <c r="K57" s="68"/>
      <c r="L57" s="76"/>
      <c r="M57" s="85"/>
      <c r="N57" s="64"/>
      <c r="O57" s="65"/>
      <c r="P57" s="99"/>
      <c r="Q57" s="70"/>
      <c r="R57" s="74" t="s">
        <v>18296</v>
      </c>
      <c r="S57" s="62"/>
      <c r="T57" s="63"/>
      <c r="U57" s="75"/>
      <c r="V57" s="67"/>
      <c r="W57" s="68"/>
      <c r="X57" s="76"/>
      <c r="Y57" s="70"/>
      <c r="Z57" s="228">
        <f>ROUND((ROUND((ROUND((_15_同援日０．５*_15・通訳),0)*(1+_15・A早朝)),0)*(1+_15・盲ろう)),0)+ROUND((ROUND((_15_同援日０．５＿２．５*_15・通訳),0)*(1+_15・盲ろう)),0)</f>
        <v>740</v>
      </c>
      <c r="AA57" s="69"/>
    </row>
    <row r="58" spans="1:27" ht="16.5" customHeight="1" x14ac:dyDescent="0.3">
      <c r="A58" s="2">
        <v>15</v>
      </c>
      <c r="B58" s="2" t="s">
        <v>3946</v>
      </c>
      <c r="C58" s="60" t="s">
        <v>14442</v>
      </c>
      <c r="D58" s="1"/>
      <c r="E58" s="68"/>
      <c r="F58" s="70"/>
      <c r="G58" s="1"/>
      <c r="H58" s="227">
        <v>427</v>
      </c>
      <c r="I58" s="70" t="s">
        <v>0</v>
      </c>
      <c r="J58" s="67"/>
      <c r="K58" s="68"/>
      <c r="L58" s="76"/>
      <c r="M58" s="83" t="s">
        <v>5895</v>
      </c>
      <c r="N58" s="64" t="s">
        <v>1</v>
      </c>
      <c r="O58" s="65">
        <v>1</v>
      </c>
      <c r="P58" s="99"/>
      <c r="Q58" s="70"/>
      <c r="R58" s="106" t="s">
        <v>18295</v>
      </c>
      <c r="S58" s="57" t="s">
        <v>1</v>
      </c>
      <c r="T58" s="58">
        <v>0.25</v>
      </c>
      <c r="U58" s="77" t="s">
        <v>422</v>
      </c>
      <c r="V58" s="66"/>
      <c r="W58" s="57"/>
      <c r="X58" s="58"/>
      <c r="Y58" s="77"/>
      <c r="Z58" s="228">
        <f>ROUND((ROUND((ROUND((ROUND((_15_同援日０．５*_15・通訳),0)*_15・２人),0)*(1+_15・A早朝)),0)*(1+_15・盲ろう)),0)+ROUND((ROUND((ROUND((_15_同援日０．５＿２．５*_15・通訳),0)*_15・２人),0)*(1+_15・盲ろう)),0)</f>
        <v>740</v>
      </c>
      <c r="AA58" s="69"/>
    </row>
    <row r="59" spans="1:27" ht="16.5" customHeight="1" x14ac:dyDescent="0.3">
      <c r="A59" s="2">
        <v>15</v>
      </c>
      <c r="B59" s="2" t="s">
        <v>3947</v>
      </c>
      <c r="C59" s="60" t="s">
        <v>14441</v>
      </c>
      <c r="D59" s="1"/>
      <c r="E59" s="68"/>
      <c r="F59" s="70"/>
      <c r="G59" s="1"/>
      <c r="H59" s="68"/>
      <c r="I59" s="70"/>
      <c r="J59" s="67"/>
      <c r="K59" s="68"/>
      <c r="L59" s="76"/>
      <c r="M59" s="85"/>
      <c r="N59" s="64"/>
      <c r="O59" s="65"/>
      <c r="P59" s="99"/>
      <c r="Q59" s="70"/>
      <c r="R59" s="61"/>
      <c r="S59" s="62"/>
      <c r="T59" s="63"/>
      <c r="U59" s="75"/>
      <c r="V59" s="74" t="s">
        <v>18299</v>
      </c>
      <c r="W59" s="62"/>
      <c r="X59" s="63"/>
      <c r="Y59" s="75"/>
      <c r="Z59" s="228">
        <f>ROUND((ROUND((ROUND((_15_同援日０．５*_15・通訳),0)*(1+_15・A早朝)),0)*(1+_15・区３)),0)+ROUND((ROUND((_15_同援日０．５＿２．５*_15・通訳),0)*(1+_15・区３)),0)</f>
        <v>711</v>
      </c>
      <c r="AA59" s="69"/>
    </row>
    <row r="60" spans="1:27" ht="16.5" customHeight="1" x14ac:dyDescent="0.3">
      <c r="A60" s="2">
        <v>15</v>
      </c>
      <c r="B60" s="2" t="s">
        <v>3948</v>
      </c>
      <c r="C60" s="60" t="s">
        <v>14440</v>
      </c>
      <c r="D60" s="1"/>
      <c r="E60" s="68"/>
      <c r="F60" s="70"/>
      <c r="G60" s="1"/>
      <c r="H60" s="68"/>
      <c r="I60" s="70"/>
      <c r="J60" s="67"/>
      <c r="K60" s="68"/>
      <c r="L60" s="76"/>
      <c r="M60" s="83" t="s">
        <v>5895</v>
      </c>
      <c r="N60" s="64" t="s">
        <v>1</v>
      </c>
      <c r="O60" s="65">
        <v>1</v>
      </c>
      <c r="P60" s="99"/>
      <c r="Q60" s="70"/>
      <c r="R60" s="66"/>
      <c r="S60" s="57"/>
      <c r="T60" s="58"/>
      <c r="U60" s="77"/>
      <c r="V60" s="94" t="s">
        <v>18297</v>
      </c>
      <c r="W60" s="68"/>
      <c r="X60" s="76"/>
      <c r="Y60" s="70"/>
      <c r="Z60" s="228">
        <f>ROUND((ROUND((ROUND((ROUND((_15_同援日０．５*_15・通訳),0)*_15・２人),0)*(1+_15・A早朝)),0)*(1+_15・区３)),0)+ROUND((ROUND((ROUND((_15_同援日０．５＿２．５*_15・通訳),0)*_15・２人),0)*(1+_15・区３)),0)</f>
        <v>711</v>
      </c>
      <c r="AA60" s="69"/>
    </row>
    <row r="61" spans="1:27" ht="16.5" customHeight="1" x14ac:dyDescent="0.3">
      <c r="A61" s="2">
        <v>15</v>
      </c>
      <c r="B61" s="2" t="s">
        <v>3949</v>
      </c>
      <c r="C61" s="60" t="s">
        <v>14439</v>
      </c>
      <c r="D61" s="1"/>
      <c r="E61" s="68"/>
      <c r="F61" s="70"/>
      <c r="G61" s="1"/>
      <c r="H61" s="68"/>
      <c r="I61" s="70"/>
      <c r="J61" s="67"/>
      <c r="K61" s="68"/>
      <c r="L61" s="76"/>
      <c r="M61" s="85"/>
      <c r="N61" s="64"/>
      <c r="O61" s="65"/>
      <c r="P61" s="99"/>
      <c r="Q61" s="70"/>
      <c r="R61" s="74" t="s">
        <v>18296</v>
      </c>
      <c r="S61" s="62"/>
      <c r="T61" s="63"/>
      <c r="U61" s="75"/>
      <c r="V61" s="67"/>
      <c r="W61" s="68" t="s">
        <v>1</v>
      </c>
      <c r="X61" s="76">
        <v>0.2</v>
      </c>
      <c r="Y61" s="70" t="s">
        <v>422</v>
      </c>
      <c r="Z61" s="228">
        <f>ROUND((ROUND((ROUND((ROUND((_15_同援日０．５*_15・通訳),0)*(1+_15・A早朝)),0)*(1+_15・盲ろう)),0)*(1+_15・区３)),0)+ROUND((ROUND((ROUND((_15_同援日０．５＿２．５*_15・通訳),0)*(1+_15・盲ろう)),0)*(1+_15・区３)),0)</f>
        <v>888</v>
      </c>
      <c r="AA61" s="69"/>
    </row>
    <row r="62" spans="1:27" ht="16.5" customHeight="1" x14ac:dyDescent="0.3">
      <c r="A62" s="2">
        <v>15</v>
      </c>
      <c r="B62" s="2" t="s">
        <v>3950</v>
      </c>
      <c r="C62" s="60" t="s">
        <v>14438</v>
      </c>
      <c r="D62" s="1"/>
      <c r="E62" s="68"/>
      <c r="F62" s="70"/>
      <c r="G62" s="1"/>
      <c r="H62" s="68"/>
      <c r="I62" s="70"/>
      <c r="J62" s="67"/>
      <c r="K62" s="68"/>
      <c r="L62" s="76"/>
      <c r="M62" s="83" t="s">
        <v>5895</v>
      </c>
      <c r="N62" s="64" t="s">
        <v>1</v>
      </c>
      <c r="O62" s="65">
        <v>1</v>
      </c>
      <c r="P62" s="99"/>
      <c r="Q62" s="70"/>
      <c r="R62" s="106" t="s">
        <v>18295</v>
      </c>
      <c r="S62" s="57" t="s">
        <v>1</v>
      </c>
      <c r="T62" s="58">
        <v>0.25</v>
      </c>
      <c r="U62" s="77" t="s">
        <v>422</v>
      </c>
      <c r="V62" s="66"/>
      <c r="W62" s="57"/>
      <c r="X62" s="58"/>
      <c r="Y62" s="77"/>
      <c r="Z62" s="228">
        <f>ROUND((ROUND((ROUND((ROUND((ROUND((_15_同援日０．５*_15・通訳),0)*_15・２人),0)*(1+_15・A早朝)),0)*(1+_15・盲ろう)),0)*(1+_15・区３)),0)+ROUND((ROUND((ROUND((ROUND((_15_同援日０．５＿２．５*_15・通訳),0)*_15・２人),0)*(1+_15・盲ろう)),0)*(1+_15・区３)),0)</f>
        <v>888</v>
      </c>
      <c r="AA62" s="69"/>
    </row>
    <row r="63" spans="1:27" ht="16.5" customHeight="1" x14ac:dyDescent="0.3">
      <c r="A63" s="2">
        <v>15</v>
      </c>
      <c r="B63" s="2" t="s">
        <v>3951</v>
      </c>
      <c r="C63" s="60" t="s">
        <v>14437</v>
      </c>
      <c r="D63" s="1"/>
      <c r="E63" s="68"/>
      <c r="F63" s="70"/>
      <c r="G63" s="1"/>
      <c r="H63" s="68"/>
      <c r="I63" s="70"/>
      <c r="J63" s="67"/>
      <c r="K63" s="68"/>
      <c r="L63" s="76"/>
      <c r="M63" s="85"/>
      <c r="N63" s="64"/>
      <c r="O63" s="65"/>
      <c r="P63" s="99"/>
      <c r="Q63" s="70"/>
      <c r="R63" s="61"/>
      <c r="S63" s="62"/>
      <c r="T63" s="63"/>
      <c r="U63" s="75"/>
      <c r="V63" s="74" t="s">
        <v>18298</v>
      </c>
      <c r="W63" s="62"/>
      <c r="X63" s="63"/>
      <c r="Y63" s="75"/>
      <c r="Z63" s="228">
        <f>ROUND((ROUND((ROUND((_15_同援日０．５*_15・通訳),0)*(1+_15・A早朝)),0)*(1+_15・区４)),0)+ROUND((ROUND((_15_同援日０．５＿２．５*_15・通訳),0)*(1+_15・区４)),0)</f>
        <v>829</v>
      </c>
      <c r="AA63" s="69"/>
    </row>
    <row r="64" spans="1:27" ht="16.5" customHeight="1" x14ac:dyDescent="0.3">
      <c r="A64" s="2">
        <v>15</v>
      </c>
      <c r="B64" s="2" t="s">
        <v>3952</v>
      </c>
      <c r="C64" s="60" t="s">
        <v>14436</v>
      </c>
      <c r="D64" s="1"/>
      <c r="E64" s="68"/>
      <c r="F64" s="70"/>
      <c r="G64" s="1"/>
      <c r="H64" s="68"/>
      <c r="I64" s="70"/>
      <c r="J64" s="67"/>
      <c r="K64" s="68"/>
      <c r="L64" s="76"/>
      <c r="M64" s="83" t="s">
        <v>5895</v>
      </c>
      <c r="N64" s="64" t="s">
        <v>1</v>
      </c>
      <c r="O64" s="65">
        <v>1</v>
      </c>
      <c r="P64" s="99"/>
      <c r="Q64" s="70"/>
      <c r="R64" s="66"/>
      <c r="S64" s="57"/>
      <c r="T64" s="58"/>
      <c r="U64" s="77"/>
      <c r="V64" s="94" t="s">
        <v>18297</v>
      </c>
      <c r="W64" s="68"/>
      <c r="X64" s="76"/>
      <c r="Y64" s="70"/>
      <c r="Z64" s="228">
        <f>ROUND((ROUND((ROUND((ROUND((_15_同援日０．５*_15・通訳),0)*_15・２人),0)*(1+_15・A早朝)),0)*(1+_15・区４)),0)+ROUND((ROUND((ROUND((_15_同援日０．５＿２．５*_15・通訳),0)*_15・２人),0)*(1+_15・区４)),0)</f>
        <v>829</v>
      </c>
      <c r="AA64" s="69"/>
    </row>
    <row r="65" spans="1:27" ht="16.5" customHeight="1" x14ac:dyDescent="0.3">
      <c r="A65" s="2">
        <v>15</v>
      </c>
      <c r="B65" s="2" t="s">
        <v>3953</v>
      </c>
      <c r="C65" s="60" t="s">
        <v>14435</v>
      </c>
      <c r="D65" s="1"/>
      <c r="E65" s="68"/>
      <c r="F65" s="70"/>
      <c r="G65" s="1"/>
      <c r="H65" s="68"/>
      <c r="I65" s="70"/>
      <c r="J65" s="67"/>
      <c r="K65" s="68"/>
      <c r="L65" s="76"/>
      <c r="M65" s="85"/>
      <c r="N65" s="64"/>
      <c r="O65" s="65"/>
      <c r="P65" s="99"/>
      <c r="Q65" s="70"/>
      <c r="R65" s="74" t="s">
        <v>18296</v>
      </c>
      <c r="S65" s="62"/>
      <c r="T65" s="63"/>
      <c r="U65" s="75"/>
      <c r="V65" s="67"/>
      <c r="W65" s="68" t="s">
        <v>1</v>
      </c>
      <c r="X65" s="76">
        <v>0.4</v>
      </c>
      <c r="Y65" s="70" t="s">
        <v>422</v>
      </c>
      <c r="Z65" s="228">
        <f>ROUND((ROUND((ROUND((ROUND((_15_同援日０．５*_15・通訳),0)*(1+_15・A早朝)),0)*(1+_15・盲ろう)),0)*(1+_15・区４)),0)+ROUND((ROUND((ROUND((_15_同援日０．５＿２．５*_15・通訳),0)*(1+_15・盲ろう)),0)*(1+_15・区４)),0)</f>
        <v>1036</v>
      </c>
      <c r="AA65" s="69"/>
    </row>
    <row r="66" spans="1:27" ht="16.5" customHeight="1" x14ac:dyDescent="0.3">
      <c r="A66" s="2">
        <v>15</v>
      </c>
      <c r="B66" s="2" t="s">
        <v>3954</v>
      </c>
      <c r="C66" s="60" t="s">
        <v>14434</v>
      </c>
      <c r="D66" s="81"/>
      <c r="E66" s="57"/>
      <c r="F66" s="77"/>
      <c r="G66" s="81"/>
      <c r="H66" s="57"/>
      <c r="I66" s="77"/>
      <c r="J66" s="67"/>
      <c r="K66" s="68"/>
      <c r="L66" s="76"/>
      <c r="M66" s="83" t="s">
        <v>5895</v>
      </c>
      <c r="N66" s="64" t="s">
        <v>1</v>
      </c>
      <c r="O66" s="65">
        <v>1</v>
      </c>
      <c r="P66" s="99"/>
      <c r="Q66" s="70"/>
      <c r="R66" s="106" t="s">
        <v>18295</v>
      </c>
      <c r="S66" s="57" t="s">
        <v>1</v>
      </c>
      <c r="T66" s="58">
        <v>0.25</v>
      </c>
      <c r="U66" s="77" t="s">
        <v>422</v>
      </c>
      <c r="V66" s="66"/>
      <c r="W66" s="57"/>
      <c r="X66" s="58"/>
      <c r="Y66" s="77"/>
      <c r="Z66" s="228">
        <f>ROUND((ROUND((ROUND((ROUND((ROUND((_15_同援日０．５*_15・通訳),0)*_15・２人),0)*(1+_15・A早朝)),0)*(1+_15・盲ろう)),0)*(1+_15・区４)),0)+ROUND((ROUND((ROUND((ROUND((_15_同援日０．５＿２．５*_15・通訳),0)*_15・２人),0)*(1+_15・盲ろう)),0)*(1+_15・区４)),0)</f>
        <v>1036</v>
      </c>
      <c r="AA66" s="69"/>
    </row>
    <row r="67" spans="1:27" ht="16.5" customHeight="1" x14ac:dyDescent="0.3">
      <c r="A67" s="2">
        <v>15</v>
      </c>
      <c r="B67" s="2" t="s">
        <v>3955</v>
      </c>
      <c r="C67" s="60" t="s">
        <v>14433</v>
      </c>
      <c r="D67" s="233" t="s">
        <v>18312</v>
      </c>
      <c r="E67" s="235"/>
      <c r="F67" s="75"/>
      <c r="G67" s="233" t="s">
        <v>18302</v>
      </c>
      <c r="H67" s="62"/>
      <c r="I67" s="75"/>
      <c r="J67" s="67"/>
      <c r="K67" s="68"/>
      <c r="L67" s="76"/>
      <c r="M67" s="85"/>
      <c r="N67" s="64"/>
      <c r="O67" s="65"/>
      <c r="P67" s="99"/>
      <c r="Q67" s="70"/>
      <c r="R67" s="61"/>
      <c r="S67" s="62"/>
      <c r="T67" s="63"/>
      <c r="U67" s="75"/>
      <c r="V67" s="61"/>
      <c r="W67" s="62"/>
      <c r="X67" s="63"/>
      <c r="Y67" s="75"/>
      <c r="Z67" s="228">
        <f>ROUND((ROUND((_15_同援日１．０*_15・通訳),0)*(1+_15・A早朝)),0)+ROUND((_15_同援日１．０＿０．５*_15・通訳),0)</f>
        <v>445</v>
      </c>
      <c r="AA67" s="69"/>
    </row>
    <row r="68" spans="1:27" ht="16.5" customHeight="1" x14ac:dyDescent="0.3">
      <c r="A68" s="2">
        <v>15</v>
      </c>
      <c r="B68" s="2" t="s">
        <v>3956</v>
      </c>
      <c r="C68" s="60" t="s">
        <v>14432</v>
      </c>
      <c r="D68" s="1" t="s">
        <v>18304</v>
      </c>
      <c r="E68" s="68"/>
      <c r="F68" s="70"/>
      <c r="G68" s="1" t="s">
        <v>7928</v>
      </c>
      <c r="H68" s="68"/>
      <c r="I68" s="70"/>
      <c r="J68" s="67"/>
      <c r="K68" s="68"/>
      <c r="L68" s="76"/>
      <c r="M68" s="83" t="s">
        <v>5895</v>
      </c>
      <c r="N68" s="64" t="s">
        <v>1</v>
      </c>
      <c r="O68" s="65">
        <v>1</v>
      </c>
      <c r="P68" s="99"/>
      <c r="Q68" s="70"/>
      <c r="R68" s="66"/>
      <c r="S68" s="57"/>
      <c r="T68" s="58"/>
      <c r="U68" s="77"/>
      <c r="V68" s="67"/>
      <c r="W68" s="68"/>
      <c r="X68" s="76"/>
      <c r="Y68" s="70"/>
      <c r="Z68" s="228">
        <f>ROUND((ROUND((ROUND((_15_同援日１．０*_15・通訳),0)*_15・２人),0)*(1+_15・A早朝)),0)+ROUND((ROUND((_15_同援日１．０＿０．５*_15・通訳),0)*_15・２人),0)</f>
        <v>445</v>
      </c>
      <c r="AA68" s="69"/>
    </row>
    <row r="69" spans="1:27" ht="16.5" customHeight="1" x14ac:dyDescent="0.3">
      <c r="A69" s="2">
        <v>15</v>
      </c>
      <c r="B69" s="2" t="s">
        <v>3957</v>
      </c>
      <c r="C69" s="60" t="s">
        <v>14431</v>
      </c>
      <c r="D69" s="1" t="s">
        <v>8572</v>
      </c>
      <c r="E69" s="68"/>
      <c r="F69" s="70"/>
      <c r="G69" s="1"/>
      <c r="H69" s="68"/>
      <c r="I69" s="70"/>
      <c r="J69" s="67"/>
      <c r="K69" s="68"/>
      <c r="L69" s="76"/>
      <c r="M69" s="85"/>
      <c r="N69" s="64"/>
      <c r="O69" s="65"/>
      <c r="P69" s="99"/>
      <c r="Q69" s="70"/>
      <c r="R69" s="74" t="s">
        <v>18296</v>
      </c>
      <c r="S69" s="62"/>
      <c r="T69" s="63"/>
      <c r="U69" s="75"/>
      <c r="V69" s="67"/>
      <c r="W69" s="68"/>
      <c r="X69" s="76"/>
      <c r="Y69" s="70"/>
      <c r="Z69" s="228">
        <f>ROUND((ROUND((ROUND((_15_同援日１．０*_15・通訳),0)*(1+_15・A早朝)),0)*(1+_15・盲ろう)),0)+ROUND((ROUND((_15_同援日１．０＿０．５*_15・通訳),0)*(1+_15・盲ろう)),0)</f>
        <v>556</v>
      </c>
      <c r="AA69" s="69"/>
    </row>
    <row r="70" spans="1:27" ht="16.5" customHeight="1" x14ac:dyDescent="0.3">
      <c r="A70" s="2">
        <v>15</v>
      </c>
      <c r="B70" s="2" t="s">
        <v>3958</v>
      </c>
      <c r="C70" s="60" t="s">
        <v>14430</v>
      </c>
      <c r="D70" s="1"/>
      <c r="E70" s="227">
        <v>292</v>
      </c>
      <c r="F70" s="70" t="s">
        <v>0</v>
      </c>
      <c r="G70" s="1"/>
      <c r="H70" s="119">
        <v>129</v>
      </c>
      <c r="I70" s="70" t="s">
        <v>0</v>
      </c>
      <c r="J70" s="67"/>
      <c r="K70" s="68"/>
      <c r="L70" s="76"/>
      <c r="M70" s="83" t="s">
        <v>5895</v>
      </c>
      <c r="N70" s="64" t="s">
        <v>1</v>
      </c>
      <c r="O70" s="65">
        <v>1</v>
      </c>
      <c r="P70" s="99"/>
      <c r="Q70" s="70"/>
      <c r="R70" s="106" t="s">
        <v>18295</v>
      </c>
      <c r="S70" s="57" t="s">
        <v>1</v>
      </c>
      <c r="T70" s="58">
        <v>0.25</v>
      </c>
      <c r="U70" s="77" t="s">
        <v>422</v>
      </c>
      <c r="V70" s="66"/>
      <c r="W70" s="57"/>
      <c r="X70" s="58"/>
      <c r="Y70" s="77"/>
      <c r="Z70" s="228">
        <f>ROUND((ROUND((ROUND((ROUND((_15_同援日１．０*_15・通訳),0)*_15・２人),0)*(1+_15・A早朝)),0)*(1+_15・盲ろう)),0)+ROUND((ROUND((ROUND((_15_同援日１．０＿０．５*_15・通訳),0)*_15・２人),0)*(1+_15・盲ろう)),0)</f>
        <v>556</v>
      </c>
      <c r="AA70" s="69"/>
    </row>
    <row r="71" spans="1:27" ht="16.5" customHeight="1" x14ac:dyDescent="0.3">
      <c r="A71" s="2">
        <v>15</v>
      </c>
      <c r="B71" s="2" t="s">
        <v>3959</v>
      </c>
      <c r="C71" s="60" t="s">
        <v>14429</v>
      </c>
      <c r="D71" s="1"/>
      <c r="E71" s="68"/>
      <c r="F71" s="70"/>
      <c r="G71" s="1"/>
      <c r="H71" s="68"/>
      <c r="I71" s="70"/>
      <c r="J71" s="67"/>
      <c r="K71" s="68"/>
      <c r="L71" s="76"/>
      <c r="M71" s="85"/>
      <c r="N71" s="64"/>
      <c r="O71" s="65"/>
      <c r="P71" s="99"/>
      <c r="Q71" s="70"/>
      <c r="R71" s="61"/>
      <c r="S71" s="62"/>
      <c r="T71" s="63"/>
      <c r="U71" s="75"/>
      <c r="V71" s="74" t="s">
        <v>18299</v>
      </c>
      <c r="W71" s="62"/>
      <c r="X71" s="63"/>
      <c r="Y71" s="75"/>
      <c r="Z71" s="228">
        <f>ROUND((ROUND((ROUND((_15_同援日１．０*_15・通訳),0)*(1+_15・A早朝)),0)*(1+_15・区３)),0)+ROUND((ROUND((_15_同援日１．０＿０．５*_15・通訳),0)*(1+_15・区３)),0)</f>
        <v>534</v>
      </c>
      <c r="AA71" s="69"/>
    </row>
    <row r="72" spans="1:27" ht="16.5" customHeight="1" x14ac:dyDescent="0.3">
      <c r="A72" s="2">
        <v>15</v>
      </c>
      <c r="B72" s="2" t="s">
        <v>3960</v>
      </c>
      <c r="C72" s="60" t="s">
        <v>14428</v>
      </c>
      <c r="D72" s="1"/>
      <c r="E72" s="68"/>
      <c r="F72" s="70"/>
      <c r="G72" s="1"/>
      <c r="H72" s="68"/>
      <c r="I72" s="70"/>
      <c r="J72" s="67"/>
      <c r="K72" s="68"/>
      <c r="L72" s="76"/>
      <c r="M72" s="83" t="s">
        <v>5895</v>
      </c>
      <c r="N72" s="64" t="s">
        <v>1</v>
      </c>
      <c r="O72" s="65">
        <v>1</v>
      </c>
      <c r="P72" s="99"/>
      <c r="Q72" s="70"/>
      <c r="R72" s="66"/>
      <c r="S72" s="57"/>
      <c r="T72" s="58"/>
      <c r="U72" s="77"/>
      <c r="V72" s="94" t="s">
        <v>18297</v>
      </c>
      <c r="W72" s="68"/>
      <c r="X72" s="76"/>
      <c r="Y72" s="70"/>
      <c r="Z72" s="228">
        <f>ROUND((ROUND((ROUND((ROUND((_15_同援日１．０*_15・通訳),0)*_15・２人),0)*(1+_15・A早朝)),0)*(1+_15・区３)),0)+ROUND((ROUND((ROUND((_15_同援日１．０＿０．５*_15・通訳),0)*_15・２人),0)*(1+_15・区３)),0)</f>
        <v>534</v>
      </c>
      <c r="AA72" s="69"/>
    </row>
    <row r="73" spans="1:27" ht="16.5" customHeight="1" x14ac:dyDescent="0.3">
      <c r="A73" s="2">
        <v>15</v>
      </c>
      <c r="B73" s="2" t="s">
        <v>3961</v>
      </c>
      <c r="C73" s="60" t="s">
        <v>14427</v>
      </c>
      <c r="D73" s="1"/>
      <c r="E73" s="68"/>
      <c r="F73" s="70"/>
      <c r="G73" s="1"/>
      <c r="H73" s="68"/>
      <c r="I73" s="70"/>
      <c r="J73" s="67"/>
      <c r="K73" s="68"/>
      <c r="L73" s="76"/>
      <c r="M73" s="85"/>
      <c r="N73" s="64"/>
      <c r="O73" s="65"/>
      <c r="P73" s="99"/>
      <c r="Q73" s="70"/>
      <c r="R73" s="74" t="s">
        <v>18296</v>
      </c>
      <c r="S73" s="62"/>
      <c r="T73" s="63"/>
      <c r="U73" s="75"/>
      <c r="V73" s="67"/>
      <c r="W73" s="68" t="s">
        <v>1</v>
      </c>
      <c r="X73" s="76">
        <v>0.2</v>
      </c>
      <c r="Y73" s="70" t="s">
        <v>422</v>
      </c>
      <c r="Z73" s="228">
        <f>ROUND((ROUND((ROUND((ROUND((_15_同援日１．０*_15・通訳),0)*(1+_15・A早朝)),0)*(1+_15・盲ろう)),0)*(1+_15・区３)),0)+ROUND((ROUND((ROUND((_15_同援日１．０＿０．５*_15・通訳),0)*(1+_15・盲ろう)),0)*(1+_15・区３)),0)</f>
        <v>667</v>
      </c>
      <c r="AA73" s="69"/>
    </row>
    <row r="74" spans="1:27" ht="16.5" customHeight="1" x14ac:dyDescent="0.3">
      <c r="A74" s="2">
        <v>15</v>
      </c>
      <c r="B74" s="2" t="s">
        <v>3962</v>
      </c>
      <c r="C74" s="60" t="s">
        <v>14426</v>
      </c>
      <c r="D74" s="1"/>
      <c r="E74" s="68"/>
      <c r="F74" s="70"/>
      <c r="G74" s="1"/>
      <c r="H74" s="68"/>
      <c r="I74" s="70"/>
      <c r="J74" s="67"/>
      <c r="K74" s="68"/>
      <c r="L74" s="76"/>
      <c r="M74" s="83" t="s">
        <v>5895</v>
      </c>
      <c r="N74" s="64" t="s">
        <v>1</v>
      </c>
      <c r="O74" s="65">
        <v>1</v>
      </c>
      <c r="P74" s="99"/>
      <c r="Q74" s="70"/>
      <c r="R74" s="106" t="s">
        <v>18295</v>
      </c>
      <c r="S74" s="57" t="s">
        <v>1</v>
      </c>
      <c r="T74" s="58">
        <v>0.25</v>
      </c>
      <c r="U74" s="77" t="s">
        <v>422</v>
      </c>
      <c r="V74" s="66"/>
      <c r="W74" s="57"/>
      <c r="X74" s="58"/>
      <c r="Y74" s="77"/>
      <c r="Z74" s="228">
        <f>ROUND((ROUND((ROUND((ROUND((ROUND((_15_同援日１．０*_15・通訳),0)*_15・２人),0)*(1+_15・A早朝)),0)*(1+_15・盲ろう)),0)*(1+_15・区３)),0)+ROUND((ROUND((ROUND((ROUND((_15_同援日１．０＿０．５*_15・通訳),0)*_15・２人),0)*(1+_15・盲ろう)),0)*(1+_15・区３)),0)</f>
        <v>667</v>
      </c>
      <c r="AA74" s="69"/>
    </row>
    <row r="75" spans="1:27" ht="16.5" customHeight="1" x14ac:dyDescent="0.3">
      <c r="A75" s="2">
        <v>15</v>
      </c>
      <c r="B75" s="2" t="s">
        <v>3963</v>
      </c>
      <c r="C75" s="60" t="s">
        <v>14425</v>
      </c>
      <c r="D75" s="1"/>
      <c r="E75" s="68"/>
      <c r="F75" s="70"/>
      <c r="G75" s="1"/>
      <c r="H75" s="68"/>
      <c r="I75" s="70"/>
      <c r="J75" s="67"/>
      <c r="K75" s="68"/>
      <c r="L75" s="76"/>
      <c r="M75" s="85"/>
      <c r="N75" s="64"/>
      <c r="O75" s="65"/>
      <c r="P75" s="99"/>
      <c r="Q75" s="70"/>
      <c r="R75" s="61"/>
      <c r="S75" s="62"/>
      <c r="T75" s="63"/>
      <c r="U75" s="75"/>
      <c r="V75" s="74" t="s">
        <v>18298</v>
      </c>
      <c r="W75" s="62"/>
      <c r="X75" s="63"/>
      <c r="Y75" s="75"/>
      <c r="Z75" s="228">
        <f>ROUND((ROUND((ROUND((_15_同援日１．０*_15・通訳),0)*(1+_15・A早朝)),0)*(1+_15・区４)),0)+ROUND((ROUND((_15_同援日１．０＿０．５*_15・通訳),0)*(1+_15・区４)),0)</f>
        <v>623</v>
      </c>
      <c r="AA75" s="69"/>
    </row>
    <row r="76" spans="1:27" ht="16.5" customHeight="1" x14ac:dyDescent="0.3">
      <c r="A76" s="2">
        <v>15</v>
      </c>
      <c r="B76" s="2" t="s">
        <v>3964</v>
      </c>
      <c r="C76" s="60" t="s">
        <v>14424</v>
      </c>
      <c r="D76" s="1"/>
      <c r="E76" s="68"/>
      <c r="F76" s="70"/>
      <c r="G76" s="1"/>
      <c r="H76" s="68"/>
      <c r="I76" s="70"/>
      <c r="J76" s="67"/>
      <c r="K76" s="68"/>
      <c r="L76" s="76"/>
      <c r="M76" s="83" t="s">
        <v>5895</v>
      </c>
      <c r="N76" s="64" t="s">
        <v>1</v>
      </c>
      <c r="O76" s="65">
        <v>1</v>
      </c>
      <c r="P76" s="99"/>
      <c r="Q76" s="70"/>
      <c r="R76" s="66"/>
      <c r="S76" s="57"/>
      <c r="T76" s="58"/>
      <c r="U76" s="77"/>
      <c r="V76" s="94" t="s">
        <v>18297</v>
      </c>
      <c r="W76" s="68"/>
      <c r="X76" s="76"/>
      <c r="Y76" s="70"/>
      <c r="Z76" s="228">
        <f>ROUND((ROUND((ROUND((ROUND((_15_同援日１．０*_15・通訳),0)*_15・２人),0)*(1+_15・A早朝)),0)*(1+_15・区４)),0)+ROUND((ROUND((ROUND((_15_同援日１．０＿０．５*_15・通訳),0)*_15・２人),0)*(1+_15・区４)),0)</f>
        <v>623</v>
      </c>
      <c r="AA76" s="69"/>
    </row>
    <row r="77" spans="1:27" ht="16.5" customHeight="1" x14ac:dyDescent="0.3">
      <c r="A77" s="2">
        <v>15</v>
      </c>
      <c r="B77" s="2" t="s">
        <v>3965</v>
      </c>
      <c r="C77" s="60" t="s">
        <v>14423</v>
      </c>
      <c r="D77" s="1"/>
      <c r="E77" s="68"/>
      <c r="F77" s="70"/>
      <c r="G77" s="1"/>
      <c r="H77" s="68"/>
      <c r="I77" s="70"/>
      <c r="J77" s="67"/>
      <c r="K77" s="68"/>
      <c r="L77" s="76"/>
      <c r="M77" s="85"/>
      <c r="N77" s="64"/>
      <c r="O77" s="65"/>
      <c r="P77" s="99"/>
      <c r="Q77" s="70"/>
      <c r="R77" s="74" t="s">
        <v>18296</v>
      </c>
      <c r="S77" s="62"/>
      <c r="T77" s="63"/>
      <c r="U77" s="75"/>
      <c r="V77" s="67"/>
      <c r="W77" s="68" t="s">
        <v>1</v>
      </c>
      <c r="X77" s="76">
        <v>0.4</v>
      </c>
      <c r="Y77" s="70" t="s">
        <v>422</v>
      </c>
      <c r="Z77" s="228">
        <f>ROUND((ROUND((ROUND((ROUND((_15_同援日１．０*_15・通訳),0)*(1+_15・A早朝)),0)*(1+_15・盲ろう)),0)*(1+_15・区４)),0)+ROUND((ROUND((ROUND((_15_同援日１．０＿０．５*_15・通訳),0)*(1+_15・盲ろう)),0)*(1+_15・区４)),0)</f>
        <v>778</v>
      </c>
      <c r="AA77" s="69"/>
    </row>
    <row r="78" spans="1:27" ht="16.5" customHeight="1" x14ac:dyDescent="0.3">
      <c r="A78" s="2">
        <v>15</v>
      </c>
      <c r="B78" s="2" t="s">
        <v>3966</v>
      </c>
      <c r="C78" s="60" t="s">
        <v>14422</v>
      </c>
      <c r="D78" s="1"/>
      <c r="E78" s="68"/>
      <c r="F78" s="70"/>
      <c r="G78" s="81"/>
      <c r="H78" s="57"/>
      <c r="I78" s="77"/>
      <c r="J78" s="67"/>
      <c r="K78" s="68"/>
      <c r="L78" s="76"/>
      <c r="M78" s="83" t="s">
        <v>5895</v>
      </c>
      <c r="N78" s="64" t="s">
        <v>1</v>
      </c>
      <c r="O78" s="65">
        <v>1</v>
      </c>
      <c r="P78" s="99"/>
      <c r="Q78" s="70"/>
      <c r="R78" s="106" t="s">
        <v>18295</v>
      </c>
      <c r="S78" s="57" t="s">
        <v>1</v>
      </c>
      <c r="T78" s="58">
        <v>0.25</v>
      </c>
      <c r="U78" s="77" t="s">
        <v>422</v>
      </c>
      <c r="V78" s="66"/>
      <c r="W78" s="57"/>
      <c r="X78" s="58"/>
      <c r="Y78" s="77"/>
      <c r="Z78" s="228">
        <f>ROUND((ROUND((ROUND((ROUND((ROUND((_15_同援日１．０*_15・通訳),0)*_15・２人),0)*(1+_15・A早朝)),0)*(1+_15・盲ろう)),0)*(1+_15・区４)),0)+ROUND((ROUND((ROUND((ROUND((_15_同援日１．０＿０．５*_15・通訳),0)*_15・２人),0)*(1+_15・盲ろう)),0)*(1+_15・区４)),0)</f>
        <v>778</v>
      </c>
      <c r="AA78" s="69"/>
    </row>
    <row r="79" spans="1:27" ht="16.5" customHeight="1" x14ac:dyDescent="0.3">
      <c r="A79" s="2">
        <v>15</v>
      </c>
      <c r="B79" s="2" t="s">
        <v>3967</v>
      </c>
      <c r="C79" s="60" t="s">
        <v>14421</v>
      </c>
      <c r="D79" s="1"/>
      <c r="E79" s="68"/>
      <c r="F79" s="70"/>
      <c r="G79" s="233" t="s">
        <v>18305</v>
      </c>
      <c r="H79" s="62"/>
      <c r="I79" s="75"/>
      <c r="J79" s="67"/>
      <c r="K79" s="68"/>
      <c r="L79" s="76"/>
      <c r="M79" s="85"/>
      <c r="N79" s="64"/>
      <c r="O79" s="65"/>
      <c r="P79" s="99"/>
      <c r="Q79" s="70"/>
      <c r="R79" s="61"/>
      <c r="S79" s="62"/>
      <c r="T79" s="63"/>
      <c r="U79" s="75"/>
      <c r="V79" s="61"/>
      <c r="W79" s="62"/>
      <c r="X79" s="63"/>
      <c r="Y79" s="75"/>
      <c r="Z79" s="228">
        <f>ROUND((ROUND((_15_同援日１．０*_15・通訳),0)*(1+_15・A早朝)),0)+ROUND((_15_同援日１．０＿１．０*_15・通訳),0)</f>
        <v>503</v>
      </c>
      <c r="AA79" s="69"/>
    </row>
    <row r="80" spans="1:27" ht="16.5" customHeight="1" x14ac:dyDescent="0.3">
      <c r="A80" s="2">
        <v>15</v>
      </c>
      <c r="B80" s="2" t="s">
        <v>3968</v>
      </c>
      <c r="C80" s="60" t="s">
        <v>14420</v>
      </c>
      <c r="D80" s="1"/>
      <c r="E80" s="68"/>
      <c r="F80" s="70"/>
      <c r="G80" s="1" t="s">
        <v>18304</v>
      </c>
      <c r="H80" s="68"/>
      <c r="I80" s="70"/>
      <c r="J80" s="67"/>
      <c r="K80" s="68"/>
      <c r="L80" s="76"/>
      <c r="M80" s="83" t="s">
        <v>5895</v>
      </c>
      <c r="N80" s="64" t="s">
        <v>1</v>
      </c>
      <c r="O80" s="65">
        <v>1</v>
      </c>
      <c r="P80" s="99"/>
      <c r="Q80" s="70"/>
      <c r="R80" s="66"/>
      <c r="S80" s="57"/>
      <c r="T80" s="58"/>
      <c r="U80" s="77"/>
      <c r="V80" s="67"/>
      <c r="W80" s="68"/>
      <c r="X80" s="76"/>
      <c r="Y80" s="70"/>
      <c r="Z80" s="228">
        <f>ROUND((ROUND((ROUND((_15_同援日１．０*_15・通訳),0)*_15・２人),0)*(1+_15・A早朝)),0)+ROUND((ROUND((_15_同援日１．０＿１．０*_15・通訳),0)*_15・２人),0)</f>
        <v>503</v>
      </c>
      <c r="AA80" s="69"/>
    </row>
    <row r="81" spans="1:27" ht="16.5" customHeight="1" x14ac:dyDescent="0.3">
      <c r="A81" s="2">
        <v>15</v>
      </c>
      <c r="B81" s="2" t="s">
        <v>3969</v>
      </c>
      <c r="C81" s="60" t="s">
        <v>14419</v>
      </c>
      <c r="D81" s="1"/>
      <c r="E81" s="68"/>
      <c r="F81" s="70"/>
      <c r="G81" s="1" t="s">
        <v>8572</v>
      </c>
      <c r="H81" s="68"/>
      <c r="I81" s="70"/>
      <c r="J81" s="67"/>
      <c r="K81" s="68"/>
      <c r="L81" s="76"/>
      <c r="M81" s="85"/>
      <c r="N81" s="64"/>
      <c r="O81" s="65"/>
      <c r="P81" s="99"/>
      <c r="Q81" s="70"/>
      <c r="R81" s="74" t="s">
        <v>18296</v>
      </c>
      <c r="S81" s="62"/>
      <c r="T81" s="63"/>
      <c r="U81" s="75"/>
      <c r="V81" s="67"/>
      <c r="W81" s="68"/>
      <c r="X81" s="76"/>
      <c r="Y81" s="70"/>
      <c r="Z81" s="228">
        <f>ROUND((ROUND((ROUND((_15_同援日１．０*_15・通訳),0)*(1+_15・A早朝)),0)*(1+_15・盲ろう)),0)+ROUND((ROUND((_15_同援日１．０＿１．０*_15・通訳),0)*(1+_15・盲ろう)),0)</f>
        <v>629</v>
      </c>
      <c r="AA81" s="69"/>
    </row>
    <row r="82" spans="1:27" ht="16.5" customHeight="1" x14ac:dyDescent="0.3">
      <c r="A82" s="2">
        <v>15</v>
      </c>
      <c r="B82" s="2" t="s">
        <v>3970</v>
      </c>
      <c r="C82" s="60" t="s">
        <v>14418</v>
      </c>
      <c r="D82" s="1"/>
      <c r="E82" s="68"/>
      <c r="F82" s="70"/>
      <c r="G82" s="1"/>
      <c r="H82" s="119">
        <v>193</v>
      </c>
      <c r="I82" s="70" t="s">
        <v>0</v>
      </c>
      <c r="J82" s="67"/>
      <c r="K82" s="68"/>
      <c r="L82" s="76"/>
      <c r="M82" s="83" t="s">
        <v>5895</v>
      </c>
      <c r="N82" s="64" t="s">
        <v>1</v>
      </c>
      <c r="O82" s="65">
        <v>1</v>
      </c>
      <c r="P82" s="99"/>
      <c r="Q82" s="70"/>
      <c r="R82" s="106" t="s">
        <v>18295</v>
      </c>
      <c r="S82" s="57" t="s">
        <v>1</v>
      </c>
      <c r="T82" s="58">
        <v>0.25</v>
      </c>
      <c r="U82" s="77" t="s">
        <v>422</v>
      </c>
      <c r="V82" s="66"/>
      <c r="W82" s="57"/>
      <c r="X82" s="58"/>
      <c r="Y82" s="77"/>
      <c r="Z82" s="228">
        <f>ROUND((ROUND((ROUND((ROUND((_15_同援日１．０*_15・通訳),0)*_15・２人),0)*(1+_15・A早朝)),0)*(1+_15・盲ろう)),0)+ROUND((ROUND((ROUND((_15_同援日１．０＿１．０*_15・通訳),0)*_15・２人),0)*(1+_15・盲ろう)),0)</f>
        <v>629</v>
      </c>
      <c r="AA82" s="69"/>
    </row>
    <row r="83" spans="1:27" ht="16.5" customHeight="1" x14ac:dyDescent="0.3">
      <c r="A83" s="2">
        <v>15</v>
      </c>
      <c r="B83" s="2" t="s">
        <v>3971</v>
      </c>
      <c r="C83" s="60" t="s">
        <v>14417</v>
      </c>
      <c r="D83" s="1"/>
      <c r="E83" s="68"/>
      <c r="F83" s="70"/>
      <c r="G83" s="1"/>
      <c r="H83" s="68"/>
      <c r="I83" s="70"/>
      <c r="J83" s="67"/>
      <c r="K83" s="68"/>
      <c r="L83" s="76"/>
      <c r="M83" s="85"/>
      <c r="N83" s="64"/>
      <c r="O83" s="65"/>
      <c r="P83" s="99"/>
      <c r="Q83" s="70"/>
      <c r="R83" s="61"/>
      <c r="S83" s="62"/>
      <c r="T83" s="63"/>
      <c r="U83" s="75"/>
      <c r="V83" s="74" t="s">
        <v>18299</v>
      </c>
      <c r="W83" s="62"/>
      <c r="X83" s="63"/>
      <c r="Y83" s="75"/>
      <c r="Z83" s="228">
        <f>ROUND((ROUND((ROUND((_15_同援日１．０*_15・通訳),0)*(1+_15・A早朝)),0)*(1+_15・区３)),0)+ROUND((ROUND((_15_同援日１．０＿１．０*_15・通訳),0)*(1+_15・区３)),0)</f>
        <v>604</v>
      </c>
      <c r="AA83" s="69"/>
    </row>
    <row r="84" spans="1:27" ht="16.5" customHeight="1" x14ac:dyDescent="0.3">
      <c r="A84" s="2">
        <v>15</v>
      </c>
      <c r="B84" s="2" t="s">
        <v>3972</v>
      </c>
      <c r="C84" s="60" t="s">
        <v>14416</v>
      </c>
      <c r="D84" s="1"/>
      <c r="E84" s="68"/>
      <c r="F84" s="70"/>
      <c r="G84" s="1"/>
      <c r="H84" s="68"/>
      <c r="I84" s="70"/>
      <c r="J84" s="67"/>
      <c r="K84" s="68"/>
      <c r="L84" s="76"/>
      <c r="M84" s="83" t="s">
        <v>5895</v>
      </c>
      <c r="N84" s="64" t="s">
        <v>1</v>
      </c>
      <c r="O84" s="65">
        <v>1</v>
      </c>
      <c r="P84" s="99"/>
      <c r="Q84" s="70"/>
      <c r="R84" s="66"/>
      <c r="S84" s="57"/>
      <c r="T84" s="58"/>
      <c r="U84" s="77"/>
      <c r="V84" s="94" t="s">
        <v>18297</v>
      </c>
      <c r="W84" s="68"/>
      <c r="X84" s="76"/>
      <c r="Y84" s="70"/>
      <c r="Z84" s="228">
        <f>ROUND((ROUND((ROUND((ROUND((_15_同援日１．０*_15・通訳),0)*_15・２人),0)*(1+_15・A早朝)),0)*(1+_15・区３)),0)+ROUND((ROUND((ROUND((_15_同援日１．０＿１．０*_15・通訳),0)*_15・２人),0)*(1+_15・区３)),0)</f>
        <v>604</v>
      </c>
      <c r="AA84" s="69"/>
    </row>
    <row r="85" spans="1:27" ht="16.5" customHeight="1" x14ac:dyDescent="0.3">
      <c r="A85" s="2">
        <v>15</v>
      </c>
      <c r="B85" s="2" t="s">
        <v>3973</v>
      </c>
      <c r="C85" s="60" t="s">
        <v>14415</v>
      </c>
      <c r="D85" s="1"/>
      <c r="E85" s="68"/>
      <c r="F85" s="70"/>
      <c r="G85" s="1"/>
      <c r="H85" s="68"/>
      <c r="I85" s="70"/>
      <c r="J85" s="67"/>
      <c r="K85" s="68"/>
      <c r="L85" s="76"/>
      <c r="M85" s="85"/>
      <c r="N85" s="64"/>
      <c r="O85" s="65"/>
      <c r="P85" s="99"/>
      <c r="Q85" s="70"/>
      <c r="R85" s="74" t="s">
        <v>18296</v>
      </c>
      <c r="S85" s="62"/>
      <c r="T85" s="63"/>
      <c r="U85" s="75"/>
      <c r="V85" s="67"/>
      <c r="W85" s="68" t="s">
        <v>1</v>
      </c>
      <c r="X85" s="76">
        <v>0.2</v>
      </c>
      <c r="Y85" s="70" t="s">
        <v>422</v>
      </c>
      <c r="Z85" s="228">
        <f>ROUND((ROUND((ROUND((ROUND((_15_同援日１．０*_15・通訳),0)*(1+_15・A早朝)),0)*(1+_15・盲ろう)),0)*(1+_15・区３)),0)+ROUND((ROUND((ROUND((_15_同援日１．０＿１．０*_15・通訳),0)*(1+_15・盲ろう)),0)*(1+_15・区３)),0)</f>
        <v>755</v>
      </c>
      <c r="AA85" s="69"/>
    </row>
    <row r="86" spans="1:27" ht="16.5" customHeight="1" x14ac:dyDescent="0.3">
      <c r="A86" s="2">
        <v>15</v>
      </c>
      <c r="B86" s="2" t="s">
        <v>3974</v>
      </c>
      <c r="C86" s="60" t="s">
        <v>14414</v>
      </c>
      <c r="D86" s="1"/>
      <c r="E86" s="68"/>
      <c r="F86" s="70"/>
      <c r="G86" s="1"/>
      <c r="H86" s="68"/>
      <c r="I86" s="70"/>
      <c r="J86" s="67"/>
      <c r="K86" s="68"/>
      <c r="L86" s="76"/>
      <c r="M86" s="83" t="s">
        <v>5895</v>
      </c>
      <c r="N86" s="64" t="s">
        <v>1</v>
      </c>
      <c r="O86" s="65">
        <v>1</v>
      </c>
      <c r="P86" s="99"/>
      <c r="Q86" s="70"/>
      <c r="R86" s="106" t="s">
        <v>18295</v>
      </c>
      <c r="S86" s="57" t="s">
        <v>1</v>
      </c>
      <c r="T86" s="58">
        <v>0.25</v>
      </c>
      <c r="U86" s="77" t="s">
        <v>422</v>
      </c>
      <c r="V86" s="66"/>
      <c r="W86" s="57"/>
      <c r="X86" s="58"/>
      <c r="Y86" s="77"/>
      <c r="Z86" s="228">
        <f>ROUND((ROUND((ROUND((ROUND((ROUND((_15_同援日１．０*_15・通訳),0)*_15・２人),0)*(1+_15・A早朝)),0)*(1+_15・盲ろう)),0)*(1+_15・区３)),0)+ROUND((ROUND((ROUND((ROUND((_15_同援日１．０＿１．０*_15・通訳),0)*_15・２人),0)*(1+_15・盲ろう)),0)*(1+_15・区３)),0)</f>
        <v>755</v>
      </c>
      <c r="AA86" s="69"/>
    </row>
    <row r="87" spans="1:27" ht="16.5" customHeight="1" x14ac:dyDescent="0.3">
      <c r="A87" s="2">
        <v>15</v>
      </c>
      <c r="B87" s="2" t="s">
        <v>3975</v>
      </c>
      <c r="C87" s="60" t="s">
        <v>14413</v>
      </c>
      <c r="D87" s="1"/>
      <c r="E87" s="68"/>
      <c r="F87" s="70"/>
      <c r="G87" s="1"/>
      <c r="H87" s="68"/>
      <c r="I87" s="70"/>
      <c r="J87" s="67"/>
      <c r="K87" s="68"/>
      <c r="L87" s="76"/>
      <c r="M87" s="85"/>
      <c r="N87" s="64"/>
      <c r="O87" s="65"/>
      <c r="P87" s="99"/>
      <c r="Q87" s="70"/>
      <c r="R87" s="61"/>
      <c r="S87" s="62"/>
      <c r="T87" s="63"/>
      <c r="U87" s="75"/>
      <c r="V87" s="74" t="s">
        <v>18298</v>
      </c>
      <c r="W87" s="62"/>
      <c r="X87" s="63"/>
      <c r="Y87" s="75"/>
      <c r="Z87" s="228">
        <f>ROUND((ROUND((ROUND((_15_同援日１．０*_15・通訳),0)*(1+_15・A早朝)),0)*(1+_15・区４)),0)+ROUND((ROUND((_15_同援日１．０＿１．０*_15・通訳),0)*(1+_15・区４)),0)</f>
        <v>705</v>
      </c>
      <c r="AA87" s="69"/>
    </row>
    <row r="88" spans="1:27" ht="16.5" customHeight="1" x14ac:dyDescent="0.3">
      <c r="A88" s="2">
        <v>15</v>
      </c>
      <c r="B88" s="2" t="s">
        <v>3976</v>
      </c>
      <c r="C88" s="60" t="s">
        <v>14412</v>
      </c>
      <c r="D88" s="1"/>
      <c r="E88" s="68"/>
      <c r="F88" s="70"/>
      <c r="G88" s="1"/>
      <c r="H88" s="68"/>
      <c r="I88" s="70"/>
      <c r="J88" s="67"/>
      <c r="K88" s="68"/>
      <c r="L88" s="76"/>
      <c r="M88" s="83" t="s">
        <v>5895</v>
      </c>
      <c r="N88" s="64" t="s">
        <v>1</v>
      </c>
      <c r="O88" s="65">
        <v>1</v>
      </c>
      <c r="P88" s="99"/>
      <c r="Q88" s="70"/>
      <c r="R88" s="66"/>
      <c r="S88" s="57"/>
      <c r="T88" s="58"/>
      <c r="U88" s="77"/>
      <c r="V88" s="94" t="s">
        <v>8087</v>
      </c>
      <c r="W88" s="68"/>
      <c r="X88" s="76"/>
      <c r="Y88" s="70"/>
      <c r="Z88" s="228">
        <f>ROUND((ROUND((ROUND((ROUND((_15_同援日１．０*_15・通訳),0)*_15・２人),0)*(1+_15・A早朝)),0)*(1+_15・区４)),0)+ROUND((ROUND((ROUND((_15_同援日１．０＿１．０*_15・通訳),0)*_15・２人),0)*(1+_15・区４)),0)</f>
        <v>705</v>
      </c>
      <c r="AA88" s="69"/>
    </row>
    <row r="89" spans="1:27" ht="16.5" customHeight="1" x14ac:dyDescent="0.3">
      <c r="A89" s="2">
        <v>15</v>
      </c>
      <c r="B89" s="2" t="s">
        <v>3977</v>
      </c>
      <c r="C89" s="60" t="s">
        <v>14411</v>
      </c>
      <c r="D89" s="1"/>
      <c r="E89" s="68"/>
      <c r="F89" s="70"/>
      <c r="G89" s="1"/>
      <c r="H89" s="68"/>
      <c r="I89" s="70"/>
      <c r="J89" s="67"/>
      <c r="K89" s="68"/>
      <c r="L89" s="76"/>
      <c r="M89" s="85"/>
      <c r="N89" s="64"/>
      <c r="O89" s="65"/>
      <c r="P89" s="99"/>
      <c r="Q89" s="70"/>
      <c r="R89" s="74" t="s">
        <v>18296</v>
      </c>
      <c r="S89" s="62"/>
      <c r="T89" s="63"/>
      <c r="U89" s="75"/>
      <c r="V89" s="67"/>
      <c r="W89" s="68" t="s">
        <v>1</v>
      </c>
      <c r="X89" s="76">
        <v>0.4</v>
      </c>
      <c r="Y89" s="70" t="s">
        <v>422</v>
      </c>
      <c r="Z89" s="228">
        <f>ROUND((ROUND((ROUND((ROUND((_15_同援日１．０*_15・通訳),0)*(1+_15・A早朝)),0)*(1+_15・盲ろう)),0)*(1+_15・区４)),0)+ROUND((ROUND((ROUND((_15_同援日１．０＿１．０*_15・通訳),0)*(1+_15・盲ろう)),0)*(1+_15・区４)),0)</f>
        <v>880</v>
      </c>
      <c r="AA89" s="69"/>
    </row>
    <row r="90" spans="1:27" ht="16.5" customHeight="1" x14ac:dyDescent="0.3">
      <c r="A90" s="2">
        <v>15</v>
      </c>
      <c r="B90" s="2" t="s">
        <v>3978</v>
      </c>
      <c r="C90" s="60" t="s">
        <v>14410</v>
      </c>
      <c r="D90" s="1"/>
      <c r="E90" s="68"/>
      <c r="F90" s="70"/>
      <c r="G90" s="81"/>
      <c r="H90" s="57"/>
      <c r="I90" s="77"/>
      <c r="J90" s="67"/>
      <c r="K90" s="68"/>
      <c r="L90" s="76"/>
      <c r="M90" s="83" t="s">
        <v>5895</v>
      </c>
      <c r="N90" s="64" t="s">
        <v>1</v>
      </c>
      <c r="O90" s="65">
        <v>1</v>
      </c>
      <c r="P90" s="99"/>
      <c r="Q90" s="70"/>
      <c r="R90" s="106" t="s">
        <v>18295</v>
      </c>
      <c r="S90" s="57" t="s">
        <v>1</v>
      </c>
      <c r="T90" s="58">
        <v>0.25</v>
      </c>
      <c r="U90" s="77" t="s">
        <v>422</v>
      </c>
      <c r="V90" s="66"/>
      <c r="W90" s="57"/>
      <c r="X90" s="58"/>
      <c r="Y90" s="77"/>
      <c r="Z90" s="228">
        <f>ROUND((ROUND((ROUND((ROUND((ROUND((_15_同援日１．０*_15・通訳),0)*_15・２人),0)*(1+_15・A早朝)),0)*(1+_15・盲ろう)),0)*(1+_15・区４)),0)+ROUND((ROUND((ROUND((ROUND((_15_同援日１．０＿１．０*_15・通訳),0)*_15・２人),0)*(1+_15・盲ろう)),0)*(1+_15・区４)),0)</f>
        <v>880</v>
      </c>
      <c r="AA90" s="69"/>
    </row>
    <row r="91" spans="1:27" ht="16.5" customHeight="1" x14ac:dyDescent="0.3">
      <c r="A91" s="2">
        <v>15</v>
      </c>
      <c r="B91" s="2" t="s">
        <v>3979</v>
      </c>
      <c r="C91" s="60" t="s">
        <v>14409</v>
      </c>
      <c r="D91" s="1"/>
      <c r="E91" s="68"/>
      <c r="F91" s="70"/>
      <c r="G91" s="233" t="s">
        <v>18311</v>
      </c>
      <c r="H91" s="62"/>
      <c r="I91" s="75"/>
      <c r="J91" s="67"/>
      <c r="K91" s="68"/>
      <c r="L91" s="76"/>
      <c r="M91" s="85"/>
      <c r="N91" s="64"/>
      <c r="O91" s="65"/>
      <c r="P91" s="99"/>
      <c r="Q91" s="70"/>
      <c r="R91" s="61"/>
      <c r="S91" s="62"/>
      <c r="T91" s="63"/>
      <c r="U91" s="75"/>
      <c r="V91" s="61"/>
      <c r="W91" s="62"/>
      <c r="X91" s="63"/>
      <c r="Y91" s="75"/>
      <c r="Z91" s="228">
        <f>ROUND((ROUND((_15_同援日１．０*_15・通訳),0)*(1+_15・A早朝)),0)+ROUND((_15_同援日１．０＿１．５*_15・通訳),0)</f>
        <v>559</v>
      </c>
      <c r="AA91" s="69"/>
    </row>
    <row r="92" spans="1:27" ht="16.5" customHeight="1" x14ac:dyDescent="0.3">
      <c r="A92" s="2">
        <v>15</v>
      </c>
      <c r="B92" s="2" t="s">
        <v>3980</v>
      </c>
      <c r="C92" s="60" t="s">
        <v>14408</v>
      </c>
      <c r="D92" s="1"/>
      <c r="E92" s="68"/>
      <c r="F92" s="70"/>
      <c r="G92" s="1" t="s">
        <v>18308</v>
      </c>
      <c r="H92" s="68"/>
      <c r="I92" s="70"/>
      <c r="J92" s="67"/>
      <c r="K92" s="68"/>
      <c r="L92" s="76"/>
      <c r="M92" s="83" t="s">
        <v>5895</v>
      </c>
      <c r="N92" s="64" t="s">
        <v>1</v>
      </c>
      <c r="O92" s="65">
        <v>1</v>
      </c>
      <c r="P92" s="99"/>
      <c r="Q92" s="70"/>
      <c r="R92" s="66"/>
      <c r="S92" s="57"/>
      <c r="T92" s="58"/>
      <c r="U92" s="77"/>
      <c r="V92" s="67"/>
      <c r="W92" s="68"/>
      <c r="X92" s="76"/>
      <c r="Y92" s="70"/>
      <c r="Z92" s="228">
        <f>ROUND((ROUND((ROUND((_15_同援日１．０*_15・通訳),0)*_15・２人),0)*(1+_15・A早朝)),0)+ROUND((ROUND((_15_同援日１．０＿１．５*_15・通訳),0)*_15・２人),0)</f>
        <v>559</v>
      </c>
      <c r="AA92" s="69"/>
    </row>
    <row r="93" spans="1:27" ht="16.5" customHeight="1" x14ac:dyDescent="0.3">
      <c r="A93" s="2">
        <v>15</v>
      </c>
      <c r="B93" s="2" t="s">
        <v>3981</v>
      </c>
      <c r="C93" s="60" t="s">
        <v>14407</v>
      </c>
      <c r="D93" s="1"/>
      <c r="E93" s="68"/>
      <c r="F93" s="70"/>
      <c r="G93" s="1" t="s">
        <v>8767</v>
      </c>
      <c r="H93" s="68"/>
      <c r="I93" s="70"/>
      <c r="J93" s="67"/>
      <c r="K93" s="68"/>
      <c r="L93" s="76"/>
      <c r="M93" s="85"/>
      <c r="N93" s="64"/>
      <c r="O93" s="65"/>
      <c r="P93" s="99"/>
      <c r="Q93" s="70"/>
      <c r="R93" s="74" t="s">
        <v>18296</v>
      </c>
      <c r="S93" s="62"/>
      <c r="T93" s="63"/>
      <c r="U93" s="75"/>
      <c r="V93" s="67"/>
      <c r="W93" s="68"/>
      <c r="X93" s="76"/>
      <c r="Y93" s="70"/>
      <c r="Z93" s="228">
        <f>ROUND((ROUND((ROUND((_15_同援日１．０*_15・通訳),0)*(1+_15・A早朝)),0)*(1+_15・盲ろう)),0)+ROUND((ROUND((_15_同援日１．０＿１．５*_15・通訳),0)*(1+_15・盲ろう)),0)</f>
        <v>699</v>
      </c>
      <c r="AA93" s="69"/>
    </row>
    <row r="94" spans="1:27" ht="16.5" customHeight="1" x14ac:dyDescent="0.3">
      <c r="A94" s="2">
        <v>15</v>
      </c>
      <c r="B94" s="2" t="s">
        <v>3982</v>
      </c>
      <c r="C94" s="60" t="s">
        <v>14406</v>
      </c>
      <c r="D94" s="1"/>
      <c r="E94" s="68"/>
      <c r="F94" s="70"/>
      <c r="G94" s="1"/>
      <c r="H94" s="119">
        <v>256</v>
      </c>
      <c r="I94" s="70" t="s">
        <v>0</v>
      </c>
      <c r="J94" s="67"/>
      <c r="K94" s="68"/>
      <c r="L94" s="76"/>
      <c r="M94" s="83" t="s">
        <v>5895</v>
      </c>
      <c r="N94" s="64" t="s">
        <v>1</v>
      </c>
      <c r="O94" s="65">
        <v>1</v>
      </c>
      <c r="P94" s="99"/>
      <c r="Q94" s="70"/>
      <c r="R94" s="106" t="s">
        <v>18295</v>
      </c>
      <c r="S94" s="57" t="s">
        <v>1</v>
      </c>
      <c r="T94" s="58">
        <v>0.25</v>
      </c>
      <c r="U94" s="77" t="s">
        <v>422</v>
      </c>
      <c r="V94" s="66"/>
      <c r="W94" s="57"/>
      <c r="X94" s="58"/>
      <c r="Y94" s="77"/>
      <c r="Z94" s="228">
        <f>ROUND((ROUND((ROUND((ROUND((_15_同援日１．０*_15・通訳),0)*_15・２人),0)*(1+_15・A早朝)),0)*(1+_15・盲ろう)),0)+ROUND((ROUND((ROUND((_15_同援日１．０＿１．５*_15・通訳),0)*_15・２人),0)*(1+_15・盲ろう)),0)</f>
        <v>699</v>
      </c>
      <c r="AA94" s="69"/>
    </row>
    <row r="95" spans="1:27" ht="16.5" customHeight="1" x14ac:dyDescent="0.3">
      <c r="A95" s="2">
        <v>15</v>
      </c>
      <c r="B95" s="2" t="s">
        <v>3983</v>
      </c>
      <c r="C95" s="60" t="s">
        <v>14405</v>
      </c>
      <c r="D95" s="1"/>
      <c r="E95" s="68"/>
      <c r="F95" s="70"/>
      <c r="G95" s="1"/>
      <c r="H95" s="68"/>
      <c r="I95" s="70"/>
      <c r="J95" s="67"/>
      <c r="K95" s="68"/>
      <c r="L95" s="76"/>
      <c r="M95" s="85"/>
      <c r="N95" s="64"/>
      <c r="O95" s="65"/>
      <c r="P95" s="99"/>
      <c r="Q95" s="70"/>
      <c r="R95" s="61"/>
      <c r="S95" s="62"/>
      <c r="T95" s="63"/>
      <c r="U95" s="75"/>
      <c r="V95" s="74" t="s">
        <v>8098</v>
      </c>
      <c r="W95" s="62"/>
      <c r="X95" s="63"/>
      <c r="Y95" s="75"/>
      <c r="Z95" s="228">
        <f>ROUND((ROUND((ROUND((_15_同援日１．０*_15・通訳),0)*(1+_15・A早朝)),0)*(1+_15・区３)),0)+ROUND((ROUND((_15_同援日１．０＿１．５*_15・通訳),0)*(1+_15・区３)),0)</f>
        <v>671</v>
      </c>
      <c r="AA95" s="69"/>
    </row>
    <row r="96" spans="1:27" ht="16.5" customHeight="1" x14ac:dyDescent="0.3">
      <c r="A96" s="2">
        <v>15</v>
      </c>
      <c r="B96" s="2" t="s">
        <v>3984</v>
      </c>
      <c r="C96" s="60" t="s">
        <v>14404</v>
      </c>
      <c r="D96" s="1"/>
      <c r="E96" s="68"/>
      <c r="F96" s="70"/>
      <c r="G96" s="1"/>
      <c r="H96" s="68"/>
      <c r="I96" s="70"/>
      <c r="J96" s="67"/>
      <c r="K96" s="68"/>
      <c r="L96" s="76"/>
      <c r="M96" s="83" t="s">
        <v>5895</v>
      </c>
      <c r="N96" s="64" t="s">
        <v>1</v>
      </c>
      <c r="O96" s="65">
        <v>1</v>
      </c>
      <c r="P96" s="99"/>
      <c r="Q96" s="70"/>
      <c r="R96" s="66"/>
      <c r="S96" s="57"/>
      <c r="T96" s="58"/>
      <c r="U96" s="77"/>
      <c r="V96" s="94" t="s">
        <v>18297</v>
      </c>
      <c r="W96" s="68"/>
      <c r="X96" s="76"/>
      <c r="Y96" s="70"/>
      <c r="Z96" s="228">
        <f>ROUND((ROUND((ROUND((ROUND((_15_同援日１．０*_15・通訳),0)*_15・２人),0)*(1+_15・A早朝)),0)*(1+_15・区３)),0)+ROUND((ROUND((ROUND((_15_同援日１．０＿１．５*_15・通訳),0)*_15・２人),0)*(1+_15・区３)),0)</f>
        <v>671</v>
      </c>
      <c r="AA96" s="69"/>
    </row>
    <row r="97" spans="1:27" ht="16.5" customHeight="1" x14ac:dyDescent="0.3">
      <c r="A97" s="2">
        <v>15</v>
      </c>
      <c r="B97" s="2" t="s">
        <v>3985</v>
      </c>
      <c r="C97" s="60" t="s">
        <v>14403</v>
      </c>
      <c r="D97" s="1"/>
      <c r="E97" s="68"/>
      <c r="F97" s="70"/>
      <c r="G97" s="1"/>
      <c r="H97" s="68"/>
      <c r="I97" s="70"/>
      <c r="J97" s="67"/>
      <c r="K97" s="68"/>
      <c r="L97" s="76"/>
      <c r="M97" s="85"/>
      <c r="N97" s="64"/>
      <c r="O97" s="65"/>
      <c r="P97" s="99"/>
      <c r="Q97" s="70"/>
      <c r="R97" s="74" t="s">
        <v>18296</v>
      </c>
      <c r="S97" s="62"/>
      <c r="T97" s="63"/>
      <c r="U97" s="75"/>
      <c r="V97" s="67"/>
      <c r="W97" s="68" t="s">
        <v>1</v>
      </c>
      <c r="X97" s="76">
        <v>0.2</v>
      </c>
      <c r="Y97" s="70" t="s">
        <v>422</v>
      </c>
      <c r="Z97" s="228">
        <f>ROUND((ROUND((ROUND((ROUND((_15_同援日１．０*_15・通訳),0)*(1+_15・A早朝)),0)*(1+_15・盲ろう)),0)*(1+_15・区３)),0)+ROUND((ROUND((ROUND((_15_同援日１．０＿１．５*_15・通訳),0)*(1+_15・盲ろう)),0)*(1+_15・区３)),0)</f>
        <v>839</v>
      </c>
      <c r="AA97" s="69"/>
    </row>
    <row r="98" spans="1:27" ht="16.5" customHeight="1" x14ac:dyDescent="0.3">
      <c r="A98" s="2">
        <v>15</v>
      </c>
      <c r="B98" s="2" t="s">
        <v>3986</v>
      </c>
      <c r="C98" s="60" t="s">
        <v>14402</v>
      </c>
      <c r="D98" s="1"/>
      <c r="E98" s="68"/>
      <c r="F98" s="70"/>
      <c r="G98" s="1"/>
      <c r="H98" s="68"/>
      <c r="I98" s="70"/>
      <c r="J98" s="67"/>
      <c r="K98" s="68"/>
      <c r="L98" s="76"/>
      <c r="M98" s="83" t="s">
        <v>5895</v>
      </c>
      <c r="N98" s="64" t="s">
        <v>1</v>
      </c>
      <c r="O98" s="65">
        <v>1</v>
      </c>
      <c r="P98" s="99"/>
      <c r="Q98" s="70"/>
      <c r="R98" s="106" t="s">
        <v>18295</v>
      </c>
      <c r="S98" s="57" t="s">
        <v>1</v>
      </c>
      <c r="T98" s="58">
        <v>0.25</v>
      </c>
      <c r="U98" s="77" t="s">
        <v>422</v>
      </c>
      <c r="V98" s="66"/>
      <c r="W98" s="57"/>
      <c r="X98" s="58"/>
      <c r="Y98" s="77"/>
      <c r="Z98" s="228">
        <f>ROUND((ROUND((ROUND((ROUND((ROUND((_15_同援日１．０*_15・通訳),0)*_15・２人),0)*(1+_15・A早朝)),0)*(1+_15・盲ろう)),0)*(1+_15・区３)),0)+ROUND((ROUND((ROUND((ROUND((_15_同援日１．０＿１．５*_15・通訳),0)*_15・２人),0)*(1+_15・盲ろう)),0)*(1+_15・区３)),0)</f>
        <v>839</v>
      </c>
      <c r="AA98" s="69"/>
    </row>
    <row r="99" spans="1:27" ht="16.5" customHeight="1" x14ac:dyDescent="0.3">
      <c r="A99" s="2">
        <v>15</v>
      </c>
      <c r="B99" s="2" t="s">
        <v>3987</v>
      </c>
      <c r="C99" s="60" t="s">
        <v>14401</v>
      </c>
      <c r="D99" s="1"/>
      <c r="E99" s="68"/>
      <c r="F99" s="70"/>
      <c r="G99" s="1"/>
      <c r="H99" s="68"/>
      <c r="I99" s="70"/>
      <c r="J99" s="67"/>
      <c r="K99" s="68"/>
      <c r="L99" s="76"/>
      <c r="M99" s="85"/>
      <c r="N99" s="64"/>
      <c r="O99" s="65"/>
      <c r="P99" s="99"/>
      <c r="Q99" s="70"/>
      <c r="R99" s="61"/>
      <c r="S99" s="62"/>
      <c r="T99" s="63"/>
      <c r="U99" s="75"/>
      <c r="V99" s="74" t="s">
        <v>18298</v>
      </c>
      <c r="W99" s="62"/>
      <c r="X99" s="63"/>
      <c r="Y99" s="75"/>
      <c r="Z99" s="228">
        <f>ROUND((ROUND((ROUND((_15_同援日１．０*_15・通訳),0)*(1+_15・A早朝)),0)*(1+_15・区４)),0)+ROUND((ROUND((_15_同援日１．０＿１．５*_15・通訳),0)*(1+_15・区４)),0)</f>
        <v>783</v>
      </c>
      <c r="AA99" s="69"/>
    </row>
    <row r="100" spans="1:27" ht="16.5" customHeight="1" x14ac:dyDescent="0.3">
      <c r="A100" s="2">
        <v>15</v>
      </c>
      <c r="B100" s="2" t="s">
        <v>3988</v>
      </c>
      <c r="C100" s="60" t="s">
        <v>14400</v>
      </c>
      <c r="D100" s="1"/>
      <c r="E100" s="68"/>
      <c r="F100" s="70"/>
      <c r="G100" s="1"/>
      <c r="H100" s="68"/>
      <c r="I100" s="70"/>
      <c r="J100" s="67"/>
      <c r="K100" s="68"/>
      <c r="L100" s="76"/>
      <c r="M100" s="83" t="s">
        <v>5895</v>
      </c>
      <c r="N100" s="64" t="s">
        <v>1</v>
      </c>
      <c r="O100" s="65">
        <v>1</v>
      </c>
      <c r="P100" s="99"/>
      <c r="Q100" s="70"/>
      <c r="R100" s="66"/>
      <c r="S100" s="57"/>
      <c r="T100" s="58"/>
      <c r="U100" s="77"/>
      <c r="V100" s="94" t="s">
        <v>18297</v>
      </c>
      <c r="W100" s="68"/>
      <c r="X100" s="76"/>
      <c r="Y100" s="70"/>
      <c r="Z100" s="228">
        <f>ROUND((ROUND((ROUND((ROUND((_15_同援日１．０*_15・通訳),0)*_15・２人),0)*(1+_15・A早朝)),0)*(1+_15・区４)),0)+ROUND((ROUND((ROUND((_15_同援日１．０＿１．５*_15・通訳),0)*_15・２人),0)*(1+_15・区４)),0)</f>
        <v>783</v>
      </c>
      <c r="AA100" s="69"/>
    </row>
    <row r="101" spans="1:27" ht="16.5" customHeight="1" x14ac:dyDescent="0.3">
      <c r="A101" s="2">
        <v>15</v>
      </c>
      <c r="B101" s="2" t="s">
        <v>3989</v>
      </c>
      <c r="C101" s="60" t="s">
        <v>14399</v>
      </c>
      <c r="D101" s="1"/>
      <c r="E101" s="68"/>
      <c r="F101" s="70"/>
      <c r="G101" s="1"/>
      <c r="H101" s="68"/>
      <c r="I101" s="70"/>
      <c r="J101" s="67"/>
      <c r="K101" s="68"/>
      <c r="L101" s="76"/>
      <c r="M101" s="85"/>
      <c r="N101" s="64"/>
      <c r="O101" s="65"/>
      <c r="P101" s="99"/>
      <c r="Q101" s="70"/>
      <c r="R101" s="74" t="s">
        <v>18296</v>
      </c>
      <c r="S101" s="62"/>
      <c r="T101" s="63"/>
      <c r="U101" s="75"/>
      <c r="V101" s="67"/>
      <c r="W101" s="68" t="s">
        <v>1</v>
      </c>
      <c r="X101" s="76">
        <v>0.4</v>
      </c>
      <c r="Y101" s="70" t="s">
        <v>422</v>
      </c>
      <c r="Z101" s="228">
        <f>ROUND((ROUND((ROUND((ROUND((_15_同援日１．０*_15・通訳),0)*(1+_15・A早朝)),0)*(1+_15・盲ろう)),0)*(1+_15・区４)),0)+ROUND((ROUND((ROUND((_15_同援日１．０＿１．５*_15・通訳),0)*(1+_15・盲ろう)),0)*(1+_15・区４)),0)</f>
        <v>978</v>
      </c>
      <c r="AA101" s="69"/>
    </row>
    <row r="102" spans="1:27" ht="16.5" customHeight="1" x14ac:dyDescent="0.3">
      <c r="A102" s="2">
        <v>15</v>
      </c>
      <c r="B102" s="2" t="s">
        <v>3990</v>
      </c>
      <c r="C102" s="60" t="s">
        <v>14398</v>
      </c>
      <c r="D102" s="1"/>
      <c r="E102" s="68"/>
      <c r="F102" s="70"/>
      <c r="G102" s="81"/>
      <c r="H102" s="57"/>
      <c r="I102" s="77"/>
      <c r="J102" s="67"/>
      <c r="K102" s="68"/>
      <c r="L102" s="76"/>
      <c r="M102" s="83" t="s">
        <v>5895</v>
      </c>
      <c r="N102" s="64" t="s">
        <v>1</v>
      </c>
      <c r="O102" s="65">
        <v>1</v>
      </c>
      <c r="P102" s="99"/>
      <c r="Q102" s="70"/>
      <c r="R102" s="106" t="s">
        <v>18295</v>
      </c>
      <c r="S102" s="57" t="s">
        <v>1</v>
      </c>
      <c r="T102" s="58">
        <v>0.25</v>
      </c>
      <c r="U102" s="77" t="s">
        <v>422</v>
      </c>
      <c r="V102" s="66"/>
      <c r="W102" s="57"/>
      <c r="X102" s="58"/>
      <c r="Y102" s="77"/>
      <c r="Z102" s="228">
        <f>ROUND((ROUND((ROUND((ROUND((ROUND((_15_同援日１．０*_15・通訳),0)*_15・２人),0)*(1+_15・A早朝)),0)*(1+_15・盲ろう)),0)*(1+_15・区４)),0)+ROUND((ROUND((ROUND((ROUND((_15_同援日１．０＿１．５*_15・通訳),0)*_15・２人),0)*(1+_15・盲ろう)),0)*(1+_15・区４)),0)</f>
        <v>978</v>
      </c>
      <c r="AA102" s="69"/>
    </row>
    <row r="103" spans="1:27" ht="16.5" customHeight="1" x14ac:dyDescent="0.3">
      <c r="A103" s="2">
        <v>15</v>
      </c>
      <c r="B103" s="2" t="s">
        <v>3991</v>
      </c>
      <c r="C103" s="60" t="s">
        <v>14397</v>
      </c>
      <c r="D103" s="1"/>
      <c r="E103" s="68"/>
      <c r="F103" s="70"/>
      <c r="G103" s="233" t="s">
        <v>18310</v>
      </c>
      <c r="H103" s="62"/>
      <c r="I103" s="75"/>
      <c r="J103" s="67"/>
      <c r="K103" s="68"/>
      <c r="L103" s="76"/>
      <c r="M103" s="85"/>
      <c r="N103" s="64"/>
      <c r="O103" s="65"/>
      <c r="P103" s="99"/>
      <c r="Q103" s="70"/>
      <c r="R103" s="61"/>
      <c r="S103" s="62"/>
      <c r="T103" s="63"/>
      <c r="U103" s="75"/>
      <c r="V103" s="61"/>
      <c r="W103" s="62"/>
      <c r="X103" s="63"/>
      <c r="Y103" s="75"/>
      <c r="Z103" s="228">
        <f>ROUND((ROUND((_15_同援日１．０*_15・通訳),0)*(1+_15・A早朝)),0)+ROUND((_15_同援日１．０＿２．０*_15・通訳),0)</f>
        <v>616</v>
      </c>
      <c r="AA103" s="69"/>
    </row>
    <row r="104" spans="1:27" ht="16.5" customHeight="1" x14ac:dyDescent="0.3">
      <c r="A104" s="2">
        <v>15</v>
      </c>
      <c r="B104" s="2" t="s">
        <v>3992</v>
      </c>
      <c r="C104" s="60" t="s">
        <v>14396</v>
      </c>
      <c r="D104" s="1"/>
      <c r="E104" s="68"/>
      <c r="F104" s="70"/>
      <c r="G104" s="1" t="s">
        <v>18306</v>
      </c>
      <c r="H104" s="68"/>
      <c r="I104" s="70"/>
      <c r="J104" s="67"/>
      <c r="K104" s="68"/>
      <c r="L104" s="76"/>
      <c r="M104" s="83" t="s">
        <v>5895</v>
      </c>
      <c r="N104" s="64" t="s">
        <v>1</v>
      </c>
      <c r="O104" s="65">
        <v>1</v>
      </c>
      <c r="P104" s="99"/>
      <c r="Q104" s="70"/>
      <c r="R104" s="66"/>
      <c r="S104" s="57"/>
      <c r="T104" s="58"/>
      <c r="U104" s="77"/>
      <c r="V104" s="67"/>
      <c r="W104" s="68"/>
      <c r="X104" s="76"/>
      <c r="Y104" s="70"/>
      <c r="Z104" s="228">
        <f>ROUND((ROUND((ROUND((_15_同援日１．０*_15・通訳),0)*_15・２人),0)*(1+_15・A早朝)),0)+ROUND((ROUND((_15_同援日１．０＿２．０*_15・通訳),0)*_15・２人),0)</f>
        <v>616</v>
      </c>
      <c r="AA104" s="69"/>
    </row>
    <row r="105" spans="1:27" ht="16.5" customHeight="1" x14ac:dyDescent="0.3">
      <c r="A105" s="2">
        <v>15</v>
      </c>
      <c r="B105" s="2" t="s">
        <v>3993</v>
      </c>
      <c r="C105" s="60" t="s">
        <v>14395</v>
      </c>
      <c r="D105" s="1"/>
      <c r="E105" s="68"/>
      <c r="F105" s="70"/>
      <c r="G105" s="1" t="s">
        <v>6448</v>
      </c>
      <c r="H105" s="68"/>
      <c r="I105" s="70"/>
      <c r="J105" s="67"/>
      <c r="K105" s="68"/>
      <c r="L105" s="76"/>
      <c r="M105" s="85"/>
      <c r="N105" s="64"/>
      <c r="O105" s="65"/>
      <c r="P105" s="99"/>
      <c r="Q105" s="70"/>
      <c r="R105" s="74" t="s">
        <v>18296</v>
      </c>
      <c r="S105" s="62"/>
      <c r="T105" s="63"/>
      <c r="U105" s="75"/>
      <c r="V105" s="67"/>
      <c r="W105" s="68"/>
      <c r="X105" s="76"/>
      <c r="Y105" s="70"/>
      <c r="Z105" s="228">
        <f>ROUND((ROUND((ROUND((_15_同援日１．０*_15・通訳),0)*(1+_15・A早朝)),0)*(1+_15・盲ろう)),0)+ROUND((ROUND((_15_同援日１．０＿２．０*_15・通訳),0)*(1+_15・盲ろう)),0)</f>
        <v>770</v>
      </c>
      <c r="AA105" s="69"/>
    </row>
    <row r="106" spans="1:27" ht="16.5" customHeight="1" x14ac:dyDescent="0.3">
      <c r="A106" s="2">
        <v>15</v>
      </c>
      <c r="B106" s="2" t="s">
        <v>3994</v>
      </c>
      <c r="C106" s="60" t="s">
        <v>14394</v>
      </c>
      <c r="D106" s="1"/>
      <c r="E106" s="68"/>
      <c r="F106" s="70"/>
      <c r="G106" s="1"/>
      <c r="H106" s="119">
        <v>319</v>
      </c>
      <c r="I106" s="70" t="s">
        <v>0</v>
      </c>
      <c r="J106" s="67"/>
      <c r="K106" s="68"/>
      <c r="L106" s="76"/>
      <c r="M106" s="83" t="s">
        <v>5895</v>
      </c>
      <c r="N106" s="64" t="s">
        <v>1</v>
      </c>
      <c r="O106" s="65">
        <v>1</v>
      </c>
      <c r="P106" s="99"/>
      <c r="Q106" s="70"/>
      <c r="R106" s="106" t="s">
        <v>18295</v>
      </c>
      <c r="S106" s="57" t="s">
        <v>1</v>
      </c>
      <c r="T106" s="58">
        <v>0.25</v>
      </c>
      <c r="U106" s="77" t="s">
        <v>422</v>
      </c>
      <c r="V106" s="66"/>
      <c r="W106" s="57"/>
      <c r="X106" s="58"/>
      <c r="Y106" s="77"/>
      <c r="Z106" s="228">
        <f>ROUND((ROUND((ROUND((ROUND((_15_同援日１．０*_15・通訳),0)*_15・２人),0)*(1+_15・A早朝)),0)*(1+_15・盲ろう)),0)+ROUND((ROUND((ROUND((_15_同援日１．０＿２．０*_15・通訳),0)*_15・２人),0)*(1+_15・盲ろう)),0)</f>
        <v>770</v>
      </c>
      <c r="AA106" s="69"/>
    </row>
    <row r="107" spans="1:27" ht="16.5" customHeight="1" x14ac:dyDescent="0.3">
      <c r="A107" s="2">
        <v>15</v>
      </c>
      <c r="B107" s="2" t="s">
        <v>3995</v>
      </c>
      <c r="C107" s="60" t="s">
        <v>14393</v>
      </c>
      <c r="D107" s="1"/>
      <c r="E107" s="68"/>
      <c r="F107" s="70"/>
      <c r="G107" s="1"/>
      <c r="H107" s="68"/>
      <c r="I107" s="70"/>
      <c r="J107" s="67"/>
      <c r="K107" s="68"/>
      <c r="L107" s="76"/>
      <c r="M107" s="85"/>
      <c r="N107" s="64"/>
      <c r="O107" s="65"/>
      <c r="P107" s="99"/>
      <c r="Q107" s="70"/>
      <c r="R107" s="61"/>
      <c r="S107" s="62"/>
      <c r="T107" s="63"/>
      <c r="U107" s="75"/>
      <c r="V107" s="74" t="s">
        <v>18299</v>
      </c>
      <c r="W107" s="62"/>
      <c r="X107" s="63"/>
      <c r="Y107" s="75"/>
      <c r="Z107" s="228">
        <f>ROUND((ROUND((ROUND((_15_同援日１．０*_15・通訳),0)*(1+_15・A早朝)),0)*(1+_15・区３)),0)+ROUND((ROUND((_15_同援日１．０＿２．０*_15・通訳),0)*(1+_15・区３)),0)</f>
        <v>739</v>
      </c>
      <c r="AA107" s="69"/>
    </row>
    <row r="108" spans="1:27" ht="16.5" customHeight="1" x14ac:dyDescent="0.3">
      <c r="A108" s="2">
        <v>15</v>
      </c>
      <c r="B108" s="2" t="s">
        <v>3996</v>
      </c>
      <c r="C108" s="60" t="s">
        <v>14392</v>
      </c>
      <c r="D108" s="1"/>
      <c r="E108" s="68"/>
      <c r="F108" s="70"/>
      <c r="G108" s="1"/>
      <c r="H108" s="68"/>
      <c r="I108" s="70"/>
      <c r="J108" s="67"/>
      <c r="K108" s="68"/>
      <c r="L108" s="76"/>
      <c r="M108" s="83" t="s">
        <v>5895</v>
      </c>
      <c r="N108" s="64" t="s">
        <v>1</v>
      </c>
      <c r="O108" s="65">
        <v>1</v>
      </c>
      <c r="P108" s="99"/>
      <c r="Q108" s="70"/>
      <c r="R108" s="66"/>
      <c r="S108" s="57"/>
      <c r="T108" s="58"/>
      <c r="U108" s="77"/>
      <c r="V108" s="94" t="s">
        <v>18297</v>
      </c>
      <c r="W108" s="68"/>
      <c r="X108" s="76"/>
      <c r="Y108" s="70"/>
      <c r="Z108" s="228">
        <f>ROUND((ROUND((ROUND((ROUND((_15_同援日１．０*_15・通訳),0)*_15・２人),0)*(1+_15・A早朝)),0)*(1+_15・区３)),0)+ROUND((ROUND((ROUND((_15_同援日１．０＿２．０*_15・通訳),0)*_15・２人),0)*(1+_15・区３)),0)</f>
        <v>739</v>
      </c>
      <c r="AA108" s="69"/>
    </row>
    <row r="109" spans="1:27" ht="16.5" customHeight="1" x14ac:dyDescent="0.3">
      <c r="A109" s="2">
        <v>15</v>
      </c>
      <c r="B109" s="2" t="s">
        <v>3997</v>
      </c>
      <c r="C109" s="60" t="s">
        <v>14391</v>
      </c>
      <c r="D109" s="1"/>
      <c r="E109" s="68"/>
      <c r="F109" s="70"/>
      <c r="G109" s="1"/>
      <c r="H109" s="68"/>
      <c r="I109" s="70"/>
      <c r="J109" s="67"/>
      <c r="K109" s="68"/>
      <c r="L109" s="76"/>
      <c r="M109" s="85"/>
      <c r="N109" s="64"/>
      <c r="O109" s="65"/>
      <c r="P109" s="99"/>
      <c r="Q109" s="70"/>
      <c r="R109" s="74" t="s">
        <v>18296</v>
      </c>
      <c r="S109" s="62"/>
      <c r="T109" s="63"/>
      <c r="U109" s="75"/>
      <c r="V109" s="67"/>
      <c r="W109" s="68" t="s">
        <v>1</v>
      </c>
      <c r="X109" s="76">
        <v>0.2</v>
      </c>
      <c r="Y109" s="70" t="s">
        <v>422</v>
      </c>
      <c r="Z109" s="228">
        <f>ROUND((ROUND((ROUND((ROUND((_15_同援日１．０*_15・通訳),0)*(1+_15・A早朝)),0)*(1+_15・盲ろう)),0)*(1+_15・区３)),0)+ROUND((ROUND((ROUND((_15_同援日１．０＿２．０*_15・通訳),0)*(1+_15・盲ろう)),0)*(1+_15・区３)),0)</f>
        <v>924</v>
      </c>
      <c r="AA109" s="69"/>
    </row>
    <row r="110" spans="1:27" ht="16.5" customHeight="1" x14ac:dyDescent="0.3">
      <c r="A110" s="2">
        <v>15</v>
      </c>
      <c r="B110" s="2" t="s">
        <v>3998</v>
      </c>
      <c r="C110" s="60" t="s">
        <v>14390</v>
      </c>
      <c r="D110" s="1"/>
      <c r="E110" s="68"/>
      <c r="F110" s="70"/>
      <c r="G110" s="1"/>
      <c r="H110" s="68"/>
      <c r="I110" s="70"/>
      <c r="J110" s="67"/>
      <c r="K110" s="68"/>
      <c r="L110" s="76"/>
      <c r="M110" s="83" t="s">
        <v>5895</v>
      </c>
      <c r="N110" s="64" t="s">
        <v>1</v>
      </c>
      <c r="O110" s="65">
        <v>1</v>
      </c>
      <c r="P110" s="99"/>
      <c r="Q110" s="70"/>
      <c r="R110" s="106" t="s">
        <v>18295</v>
      </c>
      <c r="S110" s="57" t="s">
        <v>1</v>
      </c>
      <c r="T110" s="58">
        <v>0.25</v>
      </c>
      <c r="U110" s="77" t="s">
        <v>422</v>
      </c>
      <c r="V110" s="66"/>
      <c r="W110" s="57"/>
      <c r="X110" s="58"/>
      <c r="Y110" s="77"/>
      <c r="Z110" s="228">
        <f>ROUND((ROUND((ROUND((ROUND((ROUND((_15_同援日１．０*_15・通訳),0)*_15・２人),0)*(1+_15・A早朝)),0)*(1+_15・盲ろう)),0)*(1+_15・区３)),0)+ROUND((ROUND((ROUND((ROUND((_15_同援日１．０＿２．０*_15・通訳),0)*_15・２人),0)*(1+_15・盲ろう)),0)*(1+_15・区３)),0)</f>
        <v>924</v>
      </c>
      <c r="AA110" s="69"/>
    </row>
    <row r="111" spans="1:27" ht="16.5" customHeight="1" x14ac:dyDescent="0.3">
      <c r="A111" s="2">
        <v>15</v>
      </c>
      <c r="B111" s="2" t="s">
        <v>3999</v>
      </c>
      <c r="C111" s="60" t="s">
        <v>14389</v>
      </c>
      <c r="D111" s="1"/>
      <c r="E111" s="68"/>
      <c r="F111" s="70"/>
      <c r="G111" s="1"/>
      <c r="H111" s="68"/>
      <c r="I111" s="70"/>
      <c r="J111" s="67"/>
      <c r="K111" s="68"/>
      <c r="L111" s="76"/>
      <c r="M111" s="85"/>
      <c r="N111" s="64"/>
      <c r="O111" s="65"/>
      <c r="P111" s="99"/>
      <c r="Q111" s="70"/>
      <c r="R111" s="61"/>
      <c r="S111" s="62"/>
      <c r="T111" s="63"/>
      <c r="U111" s="75"/>
      <c r="V111" s="74" t="s">
        <v>18298</v>
      </c>
      <c r="W111" s="62"/>
      <c r="X111" s="63"/>
      <c r="Y111" s="75"/>
      <c r="Z111" s="228">
        <f>ROUND((ROUND((ROUND((_15_同援日１．０*_15・通訳),0)*(1+_15・A早朝)),0)*(1+_15・区４)),0)+ROUND((ROUND((_15_同援日１．０＿２．０*_15・通訳),0)*(1+_15・区４)),0)</f>
        <v>863</v>
      </c>
      <c r="AA111" s="69"/>
    </row>
    <row r="112" spans="1:27" ht="16.5" customHeight="1" x14ac:dyDescent="0.3">
      <c r="A112" s="2">
        <v>15</v>
      </c>
      <c r="B112" s="2" t="s">
        <v>4000</v>
      </c>
      <c r="C112" s="60" t="s">
        <v>14388</v>
      </c>
      <c r="D112" s="1"/>
      <c r="E112" s="68"/>
      <c r="F112" s="70"/>
      <c r="G112" s="1"/>
      <c r="H112" s="68"/>
      <c r="I112" s="70"/>
      <c r="J112" s="67"/>
      <c r="K112" s="68"/>
      <c r="L112" s="76"/>
      <c r="M112" s="83" t="s">
        <v>5895</v>
      </c>
      <c r="N112" s="64" t="s">
        <v>1</v>
      </c>
      <c r="O112" s="65">
        <v>1</v>
      </c>
      <c r="P112" s="99"/>
      <c r="Q112" s="70"/>
      <c r="R112" s="66"/>
      <c r="S112" s="57"/>
      <c r="T112" s="58"/>
      <c r="U112" s="77"/>
      <c r="V112" s="94" t="s">
        <v>18297</v>
      </c>
      <c r="W112" s="68"/>
      <c r="X112" s="76"/>
      <c r="Y112" s="70"/>
      <c r="Z112" s="228">
        <f>ROUND((ROUND((ROUND((ROUND((_15_同援日１．０*_15・通訳),0)*_15・２人),0)*(1+_15・A早朝)),0)*(1+_15・区４)),0)+ROUND((ROUND((ROUND((_15_同援日１．０＿２．０*_15・通訳),0)*_15・２人),0)*(1+_15・区４)),0)</f>
        <v>863</v>
      </c>
      <c r="AA112" s="69"/>
    </row>
    <row r="113" spans="1:27" ht="16.5" customHeight="1" x14ac:dyDescent="0.3">
      <c r="A113" s="2">
        <v>15</v>
      </c>
      <c r="B113" s="2" t="s">
        <v>4001</v>
      </c>
      <c r="C113" s="60" t="s">
        <v>14387</v>
      </c>
      <c r="D113" s="1"/>
      <c r="E113" s="68"/>
      <c r="F113" s="70"/>
      <c r="G113" s="1"/>
      <c r="H113" s="68"/>
      <c r="I113" s="70"/>
      <c r="J113" s="67"/>
      <c r="K113" s="68"/>
      <c r="L113" s="76"/>
      <c r="M113" s="85"/>
      <c r="N113" s="64"/>
      <c r="O113" s="65"/>
      <c r="P113" s="99"/>
      <c r="Q113" s="70"/>
      <c r="R113" s="74" t="s">
        <v>8085</v>
      </c>
      <c r="S113" s="62"/>
      <c r="T113" s="63"/>
      <c r="U113" s="75"/>
      <c r="V113" s="67"/>
      <c r="W113" s="68" t="s">
        <v>1</v>
      </c>
      <c r="X113" s="76">
        <v>0.4</v>
      </c>
      <c r="Y113" s="70" t="s">
        <v>422</v>
      </c>
      <c r="Z113" s="228">
        <f>ROUND((ROUND((ROUND((ROUND((_15_同援日１．０*_15・通訳),0)*(1+_15・A早朝)),0)*(1+_15・盲ろう)),0)*(1+_15・区４)),0)+ROUND((ROUND((ROUND((_15_同援日１．０＿２．０*_15・通訳),0)*(1+_15・盲ろう)),0)*(1+_15・区４)),0)</f>
        <v>1078</v>
      </c>
      <c r="AA113" s="69"/>
    </row>
    <row r="114" spans="1:27" ht="16.5" customHeight="1" x14ac:dyDescent="0.3">
      <c r="A114" s="2">
        <v>15</v>
      </c>
      <c r="B114" s="2" t="s">
        <v>4002</v>
      </c>
      <c r="C114" s="60" t="s">
        <v>14386</v>
      </c>
      <c r="D114" s="81"/>
      <c r="E114" s="57"/>
      <c r="F114" s="77"/>
      <c r="G114" s="81"/>
      <c r="H114" s="57"/>
      <c r="I114" s="77"/>
      <c r="J114" s="67"/>
      <c r="K114" s="68"/>
      <c r="L114" s="76"/>
      <c r="M114" s="83" t="s">
        <v>5895</v>
      </c>
      <c r="N114" s="64" t="s">
        <v>1</v>
      </c>
      <c r="O114" s="65">
        <v>1</v>
      </c>
      <c r="P114" s="99"/>
      <c r="Q114" s="70"/>
      <c r="R114" s="106" t="s">
        <v>18295</v>
      </c>
      <c r="S114" s="57" t="s">
        <v>1</v>
      </c>
      <c r="T114" s="58">
        <v>0.25</v>
      </c>
      <c r="U114" s="77" t="s">
        <v>422</v>
      </c>
      <c r="V114" s="66"/>
      <c r="W114" s="57"/>
      <c r="X114" s="58"/>
      <c r="Y114" s="77"/>
      <c r="Z114" s="228">
        <f>ROUND((ROUND((ROUND((ROUND((ROUND((_15_同援日１．０*_15・通訳),0)*_15・２人),0)*(1+_15・A早朝)),0)*(1+_15・盲ろう)),0)*(1+_15・区４)),0)+ROUND((ROUND((ROUND((ROUND((_15_同援日１．０＿２．０*_15・通訳),0)*_15・２人),0)*(1+_15・盲ろう)),0)*(1+_15・区４)),0)</f>
        <v>1078</v>
      </c>
      <c r="AA114" s="69"/>
    </row>
    <row r="115" spans="1:27" ht="16.5" customHeight="1" x14ac:dyDescent="0.3">
      <c r="A115" s="2">
        <v>15</v>
      </c>
      <c r="B115" s="2" t="s">
        <v>4003</v>
      </c>
      <c r="C115" s="60" t="s">
        <v>14385</v>
      </c>
      <c r="D115" s="233" t="s">
        <v>18309</v>
      </c>
      <c r="E115" s="235"/>
      <c r="F115" s="75"/>
      <c r="G115" s="233" t="s">
        <v>18302</v>
      </c>
      <c r="H115" s="62"/>
      <c r="I115" s="75"/>
      <c r="J115" s="67"/>
      <c r="K115" s="68"/>
      <c r="L115" s="76"/>
      <c r="M115" s="85"/>
      <c r="N115" s="64"/>
      <c r="O115" s="65"/>
      <c r="P115" s="99"/>
      <c r="Q115" s="70"/>
      <c r="R115" s="61"/>
      <c r="S115" s="62"/>
      <c r="T115" s="63"/>
      <c r="U115" s="75"/>
      <c r="V115" s="61"/>
      <c r="W115" s="62"/>
      <c r="X115" s="63"/>
      <c r="Y115" s="75"/>
      <c r="Z115" s="228">
        <f>ROUND((ROUND((_15_同援日１．５*_15・通訳),0)*(1+_15・A早朝)),0)+ROUND((_15_同援日１．５＿０．５*_15・通訳),0)</f>
        <v>532</v>
      </c>
      <c r="AA115" s="69"/>
    </row>
    <row r="116" spans="1:27" ht="16.5" customHeight="1" x14ac:dyDescent="0.3">
      <c r="A116" s="2">
        <v>15</v>
      </c>
      <c r="B116" s="2" t="s">
        <v>4004</v>
      </c>
      <c r="C116" s="60" t="s">
        <v>14384</v>
      </c>
      <c r="D116" s="1" t="s">
        <v>18308</v>
      </c>
      <c r="E116" s="68"/>
      <c r="F116" s="70"/>
      <c r="G116" s="1" t="s">
        <v>7928</v>
      </c>
      <c r="H116" s="68"/>
      <c r="I116" s="70"/>
      <c r="J116" s="67"/>
      <c r="K116" s="68"/>
      <c r="L116" s="76"/>
      <c r="M116" s="83" t="s">
        <v>5895</v>
      </c>
      <c r="N116" s="64" t="s">
        <v>1</v>
      </c>
      <c r="O116" s="65">
        <v>1</v>
      </c>
      <c r="P116" s="99"/>
      <c r="Q116" s="70"/>
      <c r="R116" s="66"/>
      <c r="S116" s="57"/>
      <c r="T116" s="58"/>
      <c r="U116" s="77"/>
      <c r="V116" s="67"/>
      <c r="W116" s="68"/>
      <c r="X116" s="76"/>
      <c r="Y116" s="70"/>
      <c r="Z116" s="228">
        <f>ROUND((ROUND((ROUND((_15_同援日１．５*_15・通訳),0)*_15・２人),0)*(1+_15・A早朝)),0)+ROUND((ROUND((_15_同援日１．５＿０．５*_15・通訳),0)*_15・２人),0)</f>
        <v>532</v>
      </c>
      <c r="AA116" s="69"/>
    </row>
    <row r="117" spans="1:27" ht="16.5" customHeight="1" x14ac:dyDescent="0.3">
      <c r="A117" s="2">
        <v>15</v>
      </c>
      <c r="B117" s="2" t="s">
        <v>4005</v>
      </c>
      <c r="C117" s="60" t="s">
        <v>14383</v>
      </c>
      <c r="D117" s="1" t="s">
        <v>8767</v>
      </c>
      <c r="E117" s="68"/>
      <c r="F117" s="70"/>
      <c r="G117" s="1"/>
      <c r="H117" s="68"/>
      <c r="I117" s="70"/>
      <c r="J117" s="67"/>
      <c r="K117" s="68"/>
      <c r="L117" s="76"/>
      <c r="M117" s="85"/>
      <c r="N117" s="64"/>
      <c r="O117" s="65"/>
      <c r="P117" s="99"/>
      <c r="Q117" s="70"/>
      <c r="R117" s="74" t="s">
        <v>18296</v>
      </c>
      <c r="S117" s="62"/>
      <c r="T117" s="63"/>
      <c r="U117" s="75"/>
      <c r="V117" s="67"/>
      <c r="W117" s="68"/>
      <c r="X117" s="76"/>
      <c r="Y117" s="70"/>
      <c r="Z117" s="228">
        <f>ROUND((ROUND((ROUND((_15_同援日１．５*_15・通訳),0)*(1+_15・A早朝)),0)*(1+_15・盲ろう)),0)+ROUND((ROUND((_15_同援日１．５＿０．５*_15・通訳),0)*(1+_15・盲ろう)),0)</f>
        <v>666</v>
      </c>
      <c r="AA117" s="69"/>
    </row>
    <row r="118" spans="1:27" ht="16.5" customHeight="1" x14ac:dyDescent="0.3">
      <c r="A118" s="2">
        <v>15</v>
      </c>
      <c r="B118" s="2" t="s">
        <v>4006</v>
      </c>
      <c r="C118" s="60" t="s">
        <v>14382</v>
      </c>
      <c r="D118" s="1"/>
      <c r="E118" s="227">
        <v>421</v>
      </c>
      <c r="F118" s="70" t="s">
        <v>0</v>
      </c>
      <c r="G118" s="1"/>
      <c r="H118" s="119">
        <v>64</v>
      </c>
      <c r="I118" s="70" t="s">
        <v>0</v>
      </c>
      <c r="J118" s="67"/>
      <c r="K118" s="68"/>
      <c r="L118" s="76"/>
      <c r="M118" s="83" t="s">
        <v>5895</v>
      </c>
      <c r="N118" s="64" t="s">
        <v>1</v>
      </c>
      <c r="O118" s="65">
        <v>1</v>
      </c>
      <c r="P118" s="99"/>
      <c r="Q118" s="70"/>
      <c r="R118" s="106" t="s">
        <v>18295</v>
      </c>
      <c r="S118" s="57" t="s">
        <v>1</v>
      </c>
      <c r="T118" s="58">
        <v>0.25</v>
      </c>
      <c r="U118" s="77" t="s">
        <v>422</v>
      </c>
      <c r="V118" s="66"/>
      <c r="W118" s="57"/>
      <c r="X118" s="58"/>
      <c r="Y118" s="77"/>
      <c r="Z118" s="228">
        <f>ROUND((ROUND((ROUND((ROUND((_15_同援日１．５*_15・通訳),0)*_15・２人),0)*(1+_15・A早朝)),0)*(1+_15・盲ろう)),0)+ROUND((ROUND((ROUND((_15_同援日１．５＿０．５*_15・通訳),0)*_15・２人),0)*(1+_15・盲ろう)),0)</f>
        <v>666</v>
      </c>
      <c r="AA118" s="69"/>
    </row>
    <row r="119" spans="1:27" ht="16.5" customHeight="1" x14ac:dyDescent="0.3">
      <c r="A119" s="2">
        <v>15</v>
      </c>
      <c r="B119" s="2" t="s">
        <v>4007</v>
      </c>
      <c r="C119" s="60" t="s">
        <v>14381</v>
      </c>
      <c r="D119" s="1"/>
      <c r="E119" s="68"/>
      <c r="F119" s="70"/>
      <c r="G119" s="1"/>
      <c r="H119" s="68"/>
      <c r="I119" s="70"/>
      <c r="J119" s="67"/>
      <c r="K119" s="68"/>
      <c r="L119" s="76"/>
      <c r="M119" s="85"/>
      <c r="N119" s="64"/>
      <c r="O119" s="65"/>
      <c r="P119" s="99"/>
      <c r="Q119" s="70"/>
      <c r="R119" s="61"/>
      <c r="S119" s="62"/>
      <c r="T119" s="63"/>
      <c r="U119" s="75"/>
      <c r="V119" s="74" t="s">
        <v>18299</v>
      </c>
      <c r="W119" s="62"/>
      <c r="X119" s="63"/>
      <c r="Y119" s="75"/>
      <c r="Z119" s="228">
        <f>ROUND((ROUND((ROUND((_15_同援日１．５*_15・通訳),0)*(1+_15・A早朝)),0)*(1+_15・区３)),0)+ROUND((ROUND((_15_同援日１．５＿０．５*_15・通訳),0)*(1+_15・区３)),0)</f>
        <v>639</v>
      </c>
      <c r="AA119" s="69"/>
    </row>
    <row r="120" spans="1:27" ht="16.5" customHeight="1" x14ac:dyDescent="0.3">
      <c r="A120" s="2">
        <v>15</v>
      </c>
      <c r="B120" s="2" t="s">
        <v>4008</v>
      </c>
      <c r="C120" s="60" t="s">
        <v>14380</v>
      </c>
      <c r="D120" s="1"/>
      <c r="E120" s="68"/>
      <c r="F120" s="70"/>
      <c r="G120" s="1"/>
      <c r="H120" s="68"/>
      <c r="I120" s="70"/>
      <c r="J120" s="67"/>
      <c r="K120" s="68"/>
      <c r="L120" s="76"/>
      <c r="M120" s="83" t="s">
        <v>5895</v>
      </c>
      <c r="N120" s="64" t="s">
        <v>1</v>
      </c>
      <c r="O120" s="65">
        <v>1</v>
      </c>
      <c r="P120" s="99"/>
      <c r="Q120" s="70"/>
      <c r="R120" s="66"/>
      <c r="S120" s="57"/>
      <c r="T120" s="58"/>
      <c r="U120" s="77"/>
      <c r="V120" s="94" t="s">
        <v>18297</v>
      </c>
      <c r="W120" s="68"/>
      <c r="X120" s="76"/>
      <c r="Y120" s="70"/>
      <c r="Z120" s="228">
        <f>ROUND((ROUND((ROUND((ROUND((_15_同援日１．５*_15・通訳),0)*_15・２人),0)*(1+_15・A早朝)),0)*(1+_15・区３)),0)+ROUND((ROUND((ROUND((_15_同援日１．５＿０．５*_15・通訳),0)*_15・２人),0)*(1+_15・区３)),0)</f>
        <v>639</v>
      </c>
      <c r="AA120" s="69"/>
    </row>
    <row r="121" spans="1:27" ht="16.5" customHeight="1" x14ac:dyDescent="0.3">
      <c r="A121" s="2">
        <v>15</v>
      </c>
      <c r="B121" s="2" t="s">
        <v>4009</v>
      </c>
      <c r="C121" s="60" t="s">
        <v>14379</v>
      </c>
      <c r="D121" s="1"/>
      <c r="E121" s="68"/>
      <c r="F121" s="70"/>
      <c r="G121" s="1"/>
      <c r="H121" s="68"/>
      <c r="I121" s="70"/>
      <c r="J121" s="67"/>
      <c r="K121" s="68"/>
      <c r="L121" s="76"/>
      <c r="M121" s="85"/>
      <c r="N121" s="64"/>
      <c r="O121" s="65"/>
      <c r="P121" s="99"/>
      <c r="Q121" s="70"/>
      <c r="R121" s="74" t="s">
        <v>18296</v>
      </c>
      <c r="S121" s="62"/>
      <c r="T121" s="63"/>
      <c r="U121" s="75"/>
      <c r="V121" s="67"/>
      <c r="W121" s="68" t="s">
        <v>1</v>
      </c>
      <c r="X121" s="76">
        <v>0.2</v>
      </c>
      <c r="Y121" s="70" t="s">
        <v>422</v>
      </c>
      <c r="Z121" s="228">
        <f>ROUND((ROUND((ROUND((ROUND((_15_同援日１．５*_15・通訳),0)*(1+_15・A早朝)),0)*(1+_15・盲ろう)),0)*(1+_15・区３)),0)+ROUND((ROUND((ROUND((_15_同援日１．５＿０．５*_15・通訳),0)*(1+_15・盲ろう)),0)*(1+_15・区３)),0)</f>
        <v>800</v>
      </c>
      <c r="AA121" s="69"/>
    </row>
    <row r="122" spans="1:27" ht="16.5" customHeight="1" x14ac:dyDescent="0.3">
      <c r="A122" s="2">
        <v>15</v>
      </c>
      <c r="B122" s="2" t="s">
        <v>4010</v>
      </c>
      <c r="C122" s="60" t="s">
        <v>14378</v>
      </c>
      <c r="D122" s="1"/>
      <c r="E122" s="68"/>
      <c r="F122" s="70"/>
      <c r="G122" s="1"/>
      <c r="H122" s="68"/>
      <c r="I122" s="70"/>
      <c r="J122" s="67"/>
      <c r="K122" s="68"/>
      <c r="L122" s="76"/>
      <c r="M122" s="83" t="s">
        <v>5895</v>
      </c>
      <c r="N122" s="64" t="s">
        <v>1</v>
      </c>
      <c r="O122" s="65">
        <v>1</v>
      </c>
      <c r="P122" s="99"/>
      <c r="Q122" s="70"/>
      <c r="R122" s="106" t="s">
        <v>8083</v>
      </c>
      <c r="S122" s="57" t="s">
        <v>1</v>
      </c>
      <c r="T122" s="58">
        <v>0.25</v>
      </c>
      <c r="U122" s="77" t="s">
        <v>422</v>
      </c>
      <c r="V122" s="66"/>
      <c r="W122" s="57"/>
      <c r="X122" s="58"/>
      <c r="Y122" s="77"/>
      <c r="Z122" s="228">
        <f>ROUND((ROUND((ROUND((ROUND((ROUND((_15_同援日１．５*_15・通訳),0)*_15・２人),0)*(1+_15・A早朝)),0)*(1+_15・盲ろう)),0)*(1+_15・区３)),0)+ROUND((ROUND((ROUND((ROUND((_15_同援日１．５＿０．５*_15・通訳),0)*_15・２人),0)*(1+_15・盲ろう)),0)*(1+_15・区３)),0)</f>
        <v>800</v>
      </c>
      <c r="AA122" s="69"/>
    </row>
    <row r="123" spans="1:27" ht="16.5" customHeight="1" x14ac:dyDescent="0.3">
      <c r="A123" s="2">
        <v>15</v>
      </c>
      <c r="B123" s="2" t="s">
        <v>4011</v>
      </c>
      <c r="C123" s="60" t="s">
        <v>14377</v>
      </c>
      <c r="D123" s="1"/>
      <c r="E123" s="68"/>
      <c r="F123" s="70"/>
      <c r="G123" s="1"/>
      <c r="H123" s="68"/>
      <c r="I123" s="70"/>
      <c r="J123" s="67"/>
      <c r="K123" s="68"/>
      <c r="L123" s="76"/>
      <c r="M123" s="85"/>
      <c r="N123" s="64"/>
      <c r="O123" s="65"/>
      <c r="P123" s="99"/>
      <c r="Q123" s="70"/>
      <c r="R123" s="61"/>
      <c r="S123" s="62"/>
      <c r="T123" s="63"/>
      <c r="U123" s="75"/>
      <c r="V123" s="74" t="s">
        <v>8089</v>
      </c>
      <c r="W123" s="62"/>
      <c r="X123" s="63"/>
      <c r="Y123" s="75"/>
      <c r="Z123" s="228">
        <f>ROUND((ROUND((ROUND((_15_同援日１．５*_15・通訳),0)*(1+_15・A早朝)),0)*(1+_15・区４)),0)+ROUND((ROUND((_15_同援日１．５＿０．５*_15・通訳),0)*(1+_15・区４)),0)</f>
        <v>745</v>
      </c>
      <c r="AA123" s="69"/>
    </row>
    <row r="124" spans="1:27" ht="16.5" customHeight="1" x14ac:dyDescent="0.3">
      <c r="A124" s="2">
        <v>15</v>
      </c>
      <c r="B124" s="2" t="s">
        <v>4012</v>
      </c>
      <c r="C124" s="60" t="s">
        <v>14376</v>
      </c>
      <c r="D124" s="1"/>
      <c r="E124" s="68"/>
      <c r="F124" s="70"/>
      <c r="G124" s="1"/>
      <c r="H124" s="68"/>
      <c r="I124" s="70"/>
      <c r="J124" s="67"/>
      <c r="K124" s="68"/>
      <c r="L124" s="76"/>
      <c r="M124" s="83" t="s">
        <v>5895</v>
      </c>
      <c r="N124" s="64" t="s">
        <v>1</v>
      </c>
      <c r="O124" s="65">
        <v>1</v>
      </c>
      <c r="P124" s="99"/>
      <c r="Q124" s="70"/>
      <c r="R124" s="66"/>
      <c r="S124" s="57"/>
      <c r="T124" s="58"/>
      <c r="U124" s="77"/>
      <c r="V124" s="94" t="s">
        <v>18297</v>
      </c>
      <c r="W124" s="68"/>
      <c r="X124" s="76"/>
      <c r="Y124" s="70"/>
      <c r="Z124" s="228">
        <f>ROUND((ROUND((ROUND((ROUND((_15_同援日１．５*_15・通訳),0)*_15・２人),0)*(1+_15・A早朝)),0)*(1+_15・区４)),0)+ROUND((ROUND((ROUND((_15_同援日１．５＿０．５*_15・通訳),0)*_15・２人),0)*(1+_15・区４)),0)</f>
        <v>745</v>
      </c>
      <c r="AA124" s="69"/>
    </row>
    <row r="125" spans="1:27" ht="16.5" customHeight="1" x14ac:dyDescent="0.3">
      <c r="A125" s="2">
        <v>15</v>
      </c>
      <c r="B125" s="2" t="s">
        <v>4013</v>
      </c>
      <c r="C125" s="60" t="s">
        <v>14375</v>
      </c>
      <c r="D125" s="1"/>
      <c r="E125" s="68"/>
      <c r="F125" s="70"/>
      <c r="G125" s="1"/>
      <c r="H125" s="68"/>
      <c r="I125" s="70"/>
      <c r="J125" s="67"/>
      <c r="K125" s="68"/>
      <c r="L125" s="76"/>
      <c r="M125" s="85"/>
      <c r="N125" s="64"/>
      <c r="O125" s="65"/>
      <c r="P125" s="99"/>
      <c r="Q125" s="70"/>
      <c r="R125" s="74" t="s">
        <v>18296</v>
      </c>
      <c r="S125" s="62"/>
      <c r="T125" s="63"/>
      <c r="U125" s="75"/>
      <c r="V125" s="67"/>
      <c r="W125" s="68" t="s">
        <v>1</v>
      </c>
      <c r="X125" s="76">
        <v>0.4</v>
      </c>
      <c r="Y125" s="70" t="s">
        <v>422</v>
      </c>
      <c r="Z125" s="228">
        <f>ROUND((ROUND((ROUND((ROUND((_15_同援日１．５*_15・通訳),0)*(1+_15・A早朝)),0)*(1+_15・盲ろう)),0)*(1+_15・区４)),0)+ROUND((ROUND((ROUND((_15_同援日１．５＿０．５*_15・通訳),0)*(1+_15・盲ろう)),0)*(1+_15・区４)),0)</f>
        <v>932</v>
      </c>
      <c r="AA125" s="69"/>
    </row>
    <row r="126" spans="1:27" ht="16.5" customHeight="1" x14ac:dyDescent="0.3">
      <c r="A126" s="2">
        <v>15</v>
      </c>
      <c r="B126" s="2" t="s">
        <v>4014</v>
      </c>
      <c r="C126" s="60" t="s">
        <v>14374</v>
      </c>
      <c r="D126" s="1"/>
      <c r="E126" s="68"/>
      <c r="F126" s="70"/>
      <c r="G126" s="81"/>
      <c r="H126" s="57"/>
      <c r="I126" s="77"/>
      <c r="J126" s="67"/>
      <c r="K126" s="68"/>
      <c r="L126" s="76"/>
      <c r="M126" s="83" t="s">
        <v>5895</v>
      </c>
      <c r="N126" s="64" t="s">
        <v>1</v>
      </c>
      <c r="O126" s="65">
        <v>1</v>
      </c>
      <c r="P126" s="99"/>
      <c r="Q126" s="70"/>
      <c r="R126" s="106" t="s">
        <v>18295</v>
      </c>
      <c r="S126" s="57" t="s">
        <v>1</v>
      </c>
      <c r="T126" s="58">
        <v>0.25</v>
      </c>
      <c r="U126" s="77" t="s">
        <v>422</v>
      </c>
      <c r="V126" s="66"/>
      <c r="W126" s="57"/>
      <c r="X126" s="58"/>
      <c r="Y126" s="77"/>
      <c r="Z126" s="228">
        <f>ROUND((ROUND((ROUND((ROUND((ROUND((_15_同援日１．５*_15・通訳),0)*_15・２人),0)*(1+_15・A早朝)),0)*(1+_15・盲ろう)),0)*(1+_15・区４)),0)+ROUND((ROUND((ROUND((ROUND((_15_同援日１．５＿０．５*_15・通訳),0)*_15・２人),0)*(1+_15・盲ろう)),0)*(1+_15・区４)),0)</f>
        <v>932</v>
      </c>
      <c r="AA126" s="69"/>
    </row>
    <row r="127" spans="1:27" ht="16.5" customHeight="1" x14ac:dyDescent="0.3">
      <c r="A127" s="2">
        <v>15</v>
      </c>
      <c r="B127" s="2" t="s">
        <v>4015</v>
      </c>
      <c r="C127" s="60" t="s">
        <v>14373</v>
      </c>
      <c r="D127" s="1"/>
      <c r="E127" s="68"/>
      <c r="F127" s="70"/>
      <c r="G127" s="233" t="s">
        <v>18305</v>
      </c>
      <c r="H127" s="62"/>
      <c r="I127" s="75"/>
      <c r="J127" s="67"/>
      <c r="K127" s="68"/>
      <c r="L127" s="76"/>
      <c r="M127" s="85"/>
      <c r="N127" s="64"/>
      <c r="O127" s="65"/>
      <c r="P127" s="99"/>
      <c r="Q127" s="70"/>
      <c r="R127" s="61"/>
      <c r="S127" s="62"/>
      <c r="T127" s="63"/>
      <c r="U127" s="75"/>
      <c r="V127" s="61"/>
      <c r="W127" s="62"/>
      <c r="X127" s="63"/>
      <c r="Y127" s="75"/>
      <c r="Z127" s="228">
        <f>ROUND((ROUND((_15_同援日１．５*_15・通訳),0)*(1+_15・A早朝)),0)+ROUND((_15_同援日１．５＿１．０*_15・通訳),0)</f>
        <v>588</v>
      </c>
      <c r="AA127" s="69"/>
    </row>
    <row r="128" spans="1:27" ht="16.5" customHeight="1" x14ac:dyDescent="0.3">
      <c r="A128" s="2">
        <v>15</v>
      </c>
      <c r="B128" s="2" t="s">
        <v>4016</v>
      </c>
      <c r="C128" s="60" t="s">
        <v>14372</v>
      </c>
      <c r="D128" s="1"/>
      <c r="E128" s="68"/>
      <c r="F128" s="70"/>
      <c r="G128" s="1" t="s">
        <v>18304</v>
      </c>
      <c r="H128" s="68"/>
      <c r="I128" s="70"/>
      <c r="J128" s="67"/>
      <c r="K128" s="68"/>
      <c r="L128" s="76"/>
      <c r="M128" s="83" t="s">
        <v>5895</v>
      </c>
      <c r="N128" s="64" t="s">
        <v>1</v>
      </c>
      <c r="O128" s="65">
        <v>1</v>
      </c>
      <c r="P128" s="99"/>
      <c r="Q128" s="70"/>
      <c r="R128" s="66"/>
      <c r="S128" s="57"/>
      <c r="T128" s="58"/>
      <c r="U128" s="77"/>
      <c r="V128" s="67"/>
      <c r="W128" s="68"/>
      <c r="X128" s="76"/>
      <c r="Y128" s="70"/>
      <c r="Z128" s="228">
        <f>ROUND((ROUND((ROUND((_15_同援日１．５*_15・通訳),0)*_15・２人),0)*(1+_15・A早朝)),0)+ROUND((ROUND((_15_同援日１．５＿１．０*_15・通訳),0)*_15・２人),0)</f>
        <v>588</v>
      </c>
      <c r="AA128" s="69"/>
    </row>
    <row r="129" spans="1:27" ht="16.5" customHeight="1" x14ac:dyDescent="0.3">
      <c r="A129" s="2">
        <v>15</v>
      </c>
      <c r="B129" s="2" t="s">
        <v>4017</v>
      </c>
      <c r="C129" s="60" t="s">
        <v>14371</v>
      </c>
      <c r="D129" s="1"/>
      <c r="E129" s="68"/>
      <c r="F129" s="70"/>
      <c r="G129" s="1" t="s">
        <v>8572</v>
      </c>
      <c r="H129" s="68"/>
      <c r="I129" s="70"/>
      <c r="J129" s="67"/>
      <c r="K129" s="68"/>
      <c r="L129" s="76"/>
      <c r="M129" s="85"/>
      <c r="N129" s="64"/>
      <c r="O129" s="65"/>
      <c r="P129" s="99"/>
      <c r="Q129" s="70"/>
      <c r="R129" s="74" t="s">
        <v>18296</v>
      </c>
      <c r="S129" s="62"/>
      <c r="T129" s="63"/>
      <c r="U129" s="75"/>
      <c r="V129" s="67"/>
      <c r="W129" s="68"/>
      <c r="X129" s="76"/>
      <c r="Y129" s="70"/>
      <c r="Z129" s="228">
        <f>ROUND((ROUND((ROUND((_15_同援日１．５*_15・通訳),0)*(1+_15・A早朝)),0)*(1+_15・盲ろう)),0)+ROUND((ROUND((_15_同援日１．５＿１．０*_15・通訳),0)*(1+_15・盲ろう)),0)</f>
        <v>736</v>
      </c>
      <c r="AA129" s="69"/>
    </row>
    <row r="130" spans="1:27" ht="16.5" customHeight="1" x14ac:dyDescent="0.3">
      <c r="A130" s="2">
        <v>15</v>
      </c>
      <c r="B130" s="2" t="s">
        <v>4018</v>
      </c>
      <c r="C130" s="60" t="s">
        <v>14370</v>
      </c>
      <c r="D130" s="1"/>
      <c r="E130" s="68"/>
      <c r="F130" s="70"/>
      <c r="G130" s="1"/>
      <c r="H130" s="119">
        <v>127</v>
      </c>
      <c r="I130" s="70" t="s">
        <v>0</v>
      </c>
      <c r="J130" s="67"/>
      <c r="K130" s="68"/>
      <c r="L130" s="76"/>
      <c r="M130" s="83" t="s">
        <v>5895</v>
      </c>
      <c r="N130" s="64" t="s">
        <v>1</v>
      </c>
      <c r="O130" s="65">
        <v>1</v>
      </c>
      <c r="P130" s="99"/>
      <c r="Q130" s="70"/>
      <c r="R130" s="106" t="s">
        <v>18295</v>
      </c>
      <c r="S130" s="57" t="s">
        <v>1</v>
      </c>
      <c r="T130" s="58">
        <v>0.25</v>
      </c>
      <c r="U130" s="77" t="s">
        <v>422</v>
      </c>
      <c r="V130" s="66"/>
      <c r="W130" s="57"/>
      <c r="X130" s="58"/>
      <c r="Y130" s="77"/>
      <c r="Z130" s="228">
        <f>ROUND((ROUND((ROUND((ROUND((_15_同援日１．５*_15・通訳),0)*_15・２人),0)*(1+_15・A早朝)),0)*(1+_15・盲ろう)),0)+ROUND((ROUND((ROUND((_15_同援日１．５＿１．０*_15・通訳),0)*_15・２人),0)*(1+_15・盲ろう)),0)</f>
        <v>736</v>
      </c>
      <c r="AA130" s="69"/>
    </row>
    <row r="131" spans="1:27" ht="16.5" customHeight="1" x14ac:dyDescent="0.3">
      <c r="A131" s="2">
        <v>15</v>
      </c>
      <c r="B131" s="2" t="s">
        <v>4019</v>
      </c>
      <c r="C131" s="60" t="s">
        <v>14369</v>
      </c>
      <c r="D131" s="1"/>
      <c r="E131" s="68"/>
      <c r="F131" s="70"/>
      <c r="G131" s="1"/>
      <c r="H131" s="68"/>
      <c r="I131" s="70"/>
      <c r="J131" s="67"/>
      <c r="K131" s="68"/>
      <c r="L131" s="76"/>
      <c r="M131" s="85"/>
      <c r="N131" s="64"/>
      <c r="O131" s="65"/>
      <c r="P131" s="99"/>
      <c r="Q131" s="70"/>
      <c r="R131" s="61"/>
      <c r="S131" s="62"/>
      <c r="T131" s="63"/>
      <c r="U131" s="75"/>
      <c r="V131" s="74" t="s">
        <v>18299</v>
      </c>
      <c r="W131" s="62"/>
      <c r="X131" s="63"/>
      <c r="Y131" s="75"/>
      <c r="Z131" s="228">
        <f>ROUND((ROUND((ROUND((_15_同援日１．５*_15・通訳),0)*(1+_15・A早朝)),0)*(1+_15・区３)),0)+ROUND((ROUND((_15_同援日１．５＿１．０*_15・通訳),0)*(1+_15・区３)),0)</f>
        <v>706</v>
      </c>
      <c r="AA131" s="69"/>
    </row>
    <row r="132" spans="1:27" ht="16.5" customHeight="1" x14ac:dyDescent="0.3">
      <c r="A132" s="2">
        <v>15</v>
      </c>
      <c r="B132" s="2" t="s">
        <v>4020</v>
      </c>
      <c r="C132" s="60" t="s">
        <v>14368</v>
      </c>
      <c r="D132" s="1"/>
      <c r="E132" s="68"/>
      <c r="F132" s="70"/>
      <c r="G132" s="1"/>
      <c r="H132" s="68"/>
      <c r="I132" s="70"/>
      <c r="J132" s="67"/>
      <c r="K132" s="68"/>
      <c r="L132" s="76"/>
      <c r="M132" s="83" t="s">
        <v>5895</v>
      </c>
      <c r="N132" s="64" t="s">
        <v>1</v>
      </c>
      <c r="O132" s="65">
        <v>1</v>
      </c>
      <c r="P132" s="99"/>
      <c r="Q132" s="70"/>
      <c r="R132" s="66"/>
      <c r="S132" s="57"/>
      <c r="T132" s="58"/>
      <c r="U132" s="77"/>
      <c r="V132" s="94" t="s">
        <v>18297</v>
      </c>
      <c r="W132" s="68"/>
      <c r="X132" s="76"/>
      <c r="Y132" s="70"/>
      <c r="Z132" s="228">
        <f>ROUND((ROUND((ROUND((ROUND((_15_同援日１．５*_15・通訳),0)*_15・２人),0)*(1+_15・A早朝)),0)*(1+_15・区３)),0)+ROUND((ROUND((ROUND((_15_同援日１．５＿１．０*_15・通訳),0)*_15・２人),0)*(1+_15・区３)),0)</f>
        <v>706</v>
      </c>
      <c r="AA132" s="69"/>
    </row>
    <row r="133" spans="1:27" ht="16.5" customHeight="1" x14ac:dyDescent="0.3">
      <c r="A133" s="2">
        <v>15</v>
      </c>
      <c r="B133" s="2" t="s">
        <v>4021</v>
      </c>
      <c r="C133" s="60" t="s">
        <v>14367</v>
      </c>
      <c r="D133" s="1"/>
      <c r="E133" s="68"/>
      <c r="F133" s="70"/>
      <c r="G133" s="1"/>
      <c r="H133" s="68"/>
      <c r="I133" s="70"/>
      <c r="J133" s="67"/>
      <c r="K133" s="68"/>
      <c r="L133" s="76"/>
      <c r="M133" s="85"/>
      <c r="N133" s="64"/>
      <c r="O133" s="65"/>
      <c r="P133" s="99"/>
      <c r="Q133" s="70"/>
      <c r="R133" s="74" t="s">
        <v>18296</v>
      </c>
      <c r="S133" s="62"/>
      <c r="T133" s="63"/>
      <c r="U133" s="75"/>
      <c r="V133" s="67"/>
      <c r="W133" s="68" t="s">
        <v>1</v>
      </c>
      <c r="X133" s="76">
        <v>0.2</v>
      </c>
      <c r="Y133" s="70" t="s">
        <v>422</v>
      </c>
      <c r="Z133" s="228">
        <f>ROUND((ROUND((ROUND((ROUND((_15_同援日１．５*_15・通訳),0)*(1+_15・A早朝)),0)*(1+_15・盲ろう)),0)*(1+_15・区３)),0)+ROUND((ROUND((ROUND((_15_同援日１．５＿１．０*_15・通訳),0)*(1+_15・盲ろう)),0)*(1+_15・区３)),0)</f>
        <v>884</v>
      </c>
      <c r="AA133" s="69"/>
    </row>
    <row r="134" spans="1:27" ht="16.5" customHeight="1" x14ac:dyDescent="0.3">
      <c r="A134" s="2">
        <v>15</v>
      </c>
      <c r="B134" s="2" t="s">
        <v>4022</v>
      </c>
      <c r="C134" s="60" t="s">
        <v>14366</v>
      </c>
      <c r="D134" s="1"/>
      <c r="E134" s="68"/>
      <c r="F134" s="70"/>
      <c r="G134" s="1"/>
      <c r="H134" s="68"/>
      <c r="I134" s="70"/>
      <c r="J134" s="67"/>
      <c r="K134" s="68"/>
      <c r="L134" s="76"/>
      <c r="M134" s="83" t="s">
        <v>5895</v>
      </c>
      <c r="N134" s="64" t="s">
        <v>1</v>
      </c>
      <c r="O134" s="65">
        <v>1</v>
      </c>
      <c r="P134" s="99"/>
      <c r="Q134" s="70"/>
      <c r="R134" s="106" t="s">
        <v>18295</v>
      </c>
      <c r="S134" s="57" t="s">
        <v>1</v>
      </c>
      <c r="T134" s="58">
        <v>0.25</v>
      </c>
      <c r="U134" s="77" t="s">
        <v>422</v>
      </c>
      <c r="V134" s="66"/>
      <c r="W134" s="57"/>
      <c r="X134" s="58"/>
      <c r="Y134" s="77"/>
      <c r="Z134" s="228">
        <f>ROUND((ROUND((ROUND((ROUND((ROUND((_15_同援日１．５*_15・通訳),0)*_15・２人),0)*(1+_15・A早朝)),0)*(1+_15・盲ろう)),0)*(1+_15・区３)),0)+ROUND((ROUND((ROUND((ROUND((_15_同援日１．５＿１．０*_15・通訳),0)*_15・２人),0)*(1+_15・盲ろう)),0)*(1+_15・区３)),0)</f>
        <v>884</v>
      </c>
      <c r="AA134" s="69"/>
    </row>
    <row r="135" spans="1:27" ht="16.5" customHeight="1" x14ac:dyDescent="0.3">
      <c r="A135" s="2">
        <v>15</v>
      </c>
      <c r="B135" s="2" t="s">
        <v>4023</v>
      </c>
      <c r="C135" s="60" t="s">
        <v>14365</v>
      </c>
      <c r="D135" s="1"/>
      <c r="E135" s="68"/>
      <c r="F135" s="70"/>
      <c r="G135" s="1"/>
      <c r="H135" s="68"/>
      <c r="I135" s="70"/>
      <c r="J135" s="67"/>
      <c r="K135" s="68"/>
      <c r="L135" s="76"/>
      <c r="M135" s="85"/>
      <c r="N135" s="64"/>
      <c r="O135" s="65"/>
      <c r="P135" s="99"/>
      <c r="Q135" s="70"/>
      <c r="R135" s="61"/>
      <c r="S135" s="62"/>
      <c r="T135" s="63"/>
      <c r="U135" s="75"/>
      <c r="V135" s="74" t="s">
        <v>18298</v>
      </c>
      <c r="W135" s="62"/>
      <c r="X135" s="63"/>
      <c r="Y135" s="75"/>
      <c r="Z135" s="228">
        <f>ROUND((ROUND((ROUND((_15_同援日１．５*_15・通訳),0)*(1+_15・A早朝)),0)*(1+_15・区４)),0)+ROUND((ROUND((_15_同援日１．５＿１．０*_15・通訳),0)*(1+_15・区４)),0)</f>
        <v>824</v>
      </c>
      <c r="AA135" s="69"/>
    </row>
    <row r="136" spans="1:27" ht="16.5" customHeight="1" x14ac:dyDescent="0.3">
      <c r="A136" s="2">
        <v>15</v>
      </c>
      <c r="B136" s="2" t="s">
        <v>4024</v>
      </c>
      <c r="C136" s="60" t="s">
        <v>14364</v>
      </c>
      <c r="D136" s="1"/>
      <c r="E136" s="68"/>
      <c r="F136" s="70"/>
      <c r="G136" s="1"/>
      <c r="H136" s="68"/>
      <c r="I136" s="70"/>
      <c r="J136" s="67"/>
      <c r="K136" s="68"/>
      <c r="L136" s="76"/>
      <c r="M136" s="83" t="s">
        <v>5895</v>
      </c>
      <c r="N136" s="64" t="s">
        <v>1</v>
      </c>
      <c r="O136" s="65">
        <v>1</v>
      </c>
      <c r="P136" s="99"/>
      <c r="Q136" s="70"/>
      <c r="R136" s="66"/>
      <c r="S136" s="57"/>
      <c r="T136" s="58"/>
      <c r="U136" s="77"/>
      <c r="V136" s="94" t="s">
        <v>18297</v>
      </c>
      <c r="W136" s="68"/>
      <c r="X136" s="76"/>
      <c r="Y136" s="70"/>
      <c r="Z136" s="228">
        <f>ROUND((ROUND((ROUND((ROUND((_15_同援日１．５*_15・通訳),0)*_15・２人),0)*(1+_15・A早朝)),0)*(1+_15・区４)),0)+ROUND((ROUND((ROUND((_15_同援日１．５＿１．０*_15・通訳),0)*_15・２人),0)*(1+_15・区４)),0)</f>
        <v>824</v>
      </c>
      <c r="AA136" s="69"/>
    </row>
    <row r="137" spans="1:27" ht="16.5" customHeight="1" x14ac:dyDescent="0.3">
      <c r="A137" s="2">
        <v>15</v>
      </c>
      <c r="B137" s="2" t="s">
        <v>4025</v>
      </c>
      <c r="C137" s="60" t="s">
        <v>14363</v>
      </c>
      <c r="D137" s="1"/>
      <c r="E137" s="68"/>
      <c r="F137" s="70"/>
      <c r="G137" s="1"/>
      <c r="H137" s="68"/>
      <c r="I137" s="70"/>
      <c r="J137" s="67"/>
      <c r="K137" s="68"/>
      <c r="L137" s="76"/>
      <c r="M137" s="85"/>
      <c r="N137" s="64"/>
      <c r="O137" s="65"/>
      <c r="P137" s="99"/>
      <c r="Q137" s="70"/>
      <c r="R137" s="74" t="s">
        <v>18296</v>
      </c>
      <c r="S137" s="62"/>
      <c r="T137" s="63"/>
      <c r="U137" s="75"/>
      <c r="V137" s="67"/>
      <c r="W137" s="68" t="s">
        <v>1</v>
      </c>
      <c r="X137" s="76">
        <v>0.4</v>
      </c>
      <c r="Y137" s="70" t="s">
        <v>422</v>
      </c>
      <c r="Z137" s="228">
        <f>ROUND((ROUND((ROUND((ROUND((_15_同援日１．５*_15・通訳),0)*(1+_15・A早朝)),0)*(1+_15・盲ろう)),0)*(1+_15・区４)),0)+ROUND((ROUND((ROUND((_15_同援日１．５＿１．０*_15・通訳),0)*(1+_15・盲ろう)),0)*(1+_15・区４)),0)</f>
        <v>1030</v>
      </c>
      <c r="AA137" s="69"/>
    </row>
    <row r="138" spans="1:27" ht="16.5" customHeight="1" x14ac:dyDescent="0.3">
      <c r="A138" s="2">
        <v>15</v>
      </c>
      <c r="B138" s="2" t="s">
        <v>4026</v>
      </c>
      <c r="C138" s="60" t="s">
        <v>14362</v>
      </c>
      <c r="D138" s="1"/>
      <c r="E138" s="68"/>
      <c r="F138" s="70"/>
      <c r="G138" s="81"/>
      <c r="H138" s="57"/>
      <c r="I138" s="77"/>
      <c r="J138" s="67"/>
      <c r="K138" s="68"/>
      <c r="L138" s="76"/>
      <c r="M138" s="83" t="s">
        <v>5895</v>
      </c>
      <c r="N138" s="64" t="s">
        <v>1</v>
      </c>
      <c r="O138" s="65">
        <v>1</v>
      </c>
      <c r="P138" s="99"/>
      <c r="Q138" s="70"/>
      <c r="R138" s="106" t="s">
        <v>18295</v>
      </c>
      <c r="S138" s="57" t="s">
        <v>1</v>
      </c>
      <c r="T138" s="58">
        <v>0.25</v>
      </c>
      <c r="U138" s="77" t="s">
        <v>422</v>
      </c>
      <c r="V138" s="66"/>
      <c r="W138" s="57"/>
      <c r="X138" s="58"/>
      <c r="Y138" s="77"/>
      <c r="Z138" s="228">
        <f>ROUND((ROUND((ROUND((ROUND((ROUND((_15_同援日１．５*_15・通訳),0)*_15・２人),0)*(1+_15・A早朝)),0)*(1+_15・盲ろう)),0)*(1+_15・区４)),0)+ROUND((ROUND((ROUND((ROUND((_15_同援日１．５＿１．０*_15・通訳),0)*_15・２人),0)*(1+_15・盲ろう)),0)*(1+_15・区４)),0)</f>
        <v>1030</v>
      </c>
      <c r="AA138" s="69"/>
    </row>
    <row r="139" spans="1:27" ht="16.5" customHeight="1" x14ac:dyDescent="0.3">
      <c r="A139" s="2">
        <v>15</v>
      </c>
      <c r="B139" s="2" t="s">
        <v>4027</v>
      </c>
      <c r="C139" s="60" t="s">
        <v>14361</v>
      </c>
      <c r="D139" s="1"/>
      <c r="E139" s="68"/>
      <c r="F139" s="70"/>
      <c r="G139" s="233" t="s">
        <v>5989</v>
      </c>
      <c r="H139" s="62"/>
      <c r="I139" s="75"/>
      <c r="J139" s="67"/>
      <c r="K139" s="68"/>
      <c r="L139" s="76"/>
      <c r="M139" s="85"/>
      <c r="N139" s="64"/>
      <c r="O139" s="65"/>
      <c r="P139" s="99"/>
      <c r="Q139" s="70"/>
      <c r="R139" s="61"/>
      <c r="S139" s="62"/>
      <c r="T139" s="63"/>
      <c r="U139" s="75"/>
      <c r="V139" s="61"/>
      <c r="W139" s="62"/>
      <c r="X139" s="63"/>
      <c r="Y139" s="75"/>
      <c r="Z139" s="228">
        <f>ROUND((ROUND((_15_同援日１．５*_15・通訳),0)*(1+_15・A早朝)),0)+ROUND((_15_同援日１．５＿１．５*_15・通訳),0)</f>
        <v>645</v>
      </c>
      <c r="AA139" s="69"/>
    </row>
    <row r="140" spans="1:27" ht="16.5" customHeight="1" x14ac:dyDescent="0.3">
      <c r="A140" s="2">
        <v>15</v>
      </c>
      <c r="B140" s="2" t="s">
        <v>4028</v>
      </c>
      <c r="C140" s="60" t="s">
        <v>14360</v>
      </c>
      <c r="D140" s="1"/>
      <c r="E140" s="68"/>
      <c r="F140" s="70"/>
      <c r="G140" s="1" t="s">
        <v>18308</v>
      </c>
      <c r="H140" s="68"/>
      <c r="I140" s="70"/>
      <c r="J140" s="67"/>
      <c r="K140" s="68"/>
      <c r="L140" s="76"/>
      <c r="M140" s="83" t="s">
        <v>5895</v>
      </c>
      <c r="N140" s="64" t="s">
        <v>1</v>
      </c>
      <c r="O140" s="65">
        <v>1</v>
      </c>
      <c r="P140" s="99"/>
      <c r="Q140" s="70"/>
      <c r="R140" s="66"/>
      <c r="S140" s="57"/>
      <c r="T140" s="58"/>
      <c r="U140" s="77"/>
      <c r="V140" s="67"/>
      <c r="W140" s="68"/>
      <c r="X140" s="76"/>
      <c r="Y140" s="70"/>
      <c r="Z140" s="228">
        <f>ROUND((ROUND((ROUND((_15_同援日１．５*_15・通訳),0)*_15・２人),0)*(1+_15・A早朝)),0)+ROUND((ROUND((_15_同援日１．５＿１．５*_15・通訳),0)*_15・２人),0)</f>
        <v>645</v>
      </c>
      <c r="AA140" s="69"/>
    </row>
    <row r="141" spans="1:27" ht="16.5" customHeight="1" x14ac:dyDescent="0.3">
      <c r="A141" s="2">
        <v>15</v>
      </c>
      <c r="B141" s="2" t="s">
        <v>4029</v>
      </c>
      <c r="C141" s="60" t="s">
        <v>14359</v>
      </c>
      <c r="D141" s="1"/>
      <c r="E141" s="68"/>
      <c r="F141" s="70"/>
      <c r="G141" s="1" t="s">
        <v>8767</v>
      </c>
      <c r="H141" s="68"/>
      <c r="I141" s="70"/>
      <c r="J141" s="67"/>
      <c r="K141" s="68"/>
      <c r="L141" s="76"/>
      <c r="M141" s="85"/>
      <c r="N141" s="64"/>
      <c r="O141" s="65"/>
      <c r="P141" s="99"/>
      <c r="Q141" s="70"/>
      <c r="R141" s="74" t="s">
        <v>18296</v>
      </c>
      <c r="S141" s="62"/>
      <c r="T141" s="63"/>
      <c r="U141" s="75"/>
      <c r="V141" s="67"/>
      <c r="W141" s="68"/>
      <c r="X141" s="76"/>
      <c r="Y141" s="70"/>
      <c r="Z141" s="228">
        <f>ROUND((ROUND((ROUND((_15_同援日１．５*_15・通訳),0)*(1+_15・A早朝)),0)*(1+_15・盲ろう)),0)+ROUND((ROUND((_15_同援日１．５＿１．５*_15・通訳),0)*(1+_15・盲ろう)),0)</f>
        <v>807</v>
      </c>
      <c r="AA141" s="69"/>
    </row>
    <row r="142" spans="1:27" ht="16.5" customHeight="1" x14ac:dyDescent="0.3">
      <c r="A142" s="2">
        <v>15</v>
      </c>
      <c r="B142" s="2" t="s">
        <v>4030</v>
      </c>
      <c r="C142" s="60" t="s">
        <v>14358</v>
      </c>
      <c r="D142" s="1"/>
      <c r="E142" s="68"/>
      <c r="F142" s="70"/>
      <c r="G142" s="1"/>
      <c r="H142" s="119">
        <v>190</v>
      </c>
      <c r="I142" s="70" t="s">
        <v>0</v>
      </c>
      <c r="J142" s="67"/>
      <c r="K142" s="68"/>
      <c r="L142" s="76"/>
      <c r="M142" s="83" t="s">
        <v>5895</v>
      </c>
      <c r="N142" s="64" t="s">
        <v>1</v>
      </c>
      <c r="O142" s="65">
        <v>1</v>
      </c>
      <c r="P142" s="99"/>
      <c r="Q142" s="70"/>
      <c r="R142" s="106" t="s">
        <v>18295</v>
      </c>
      <c r="S142" s="57" t="s">
        <v>1</v>
      </c>
      <c r="T142" s="58">
        <v>0.25</v>
      </c>
      <c r="U142" s="77" t="s">
        <v>422</v>
      </c>
      <c r="V142" s="66"/>
      <c r="W142" s="57"/>
      <c r="X142" s="58"/>
      <c r="Y142" s="77"/>
      <c r="Z142" s="228">
        <f>ROUND((ROUND((ROUND((ROUND((_15_同援日１．５*_15・通訳),0)*_15・２人),0)*(1+_15・A早朝)),0)*(1+_15・盲ろう)),0)+ROUND((ROUND((ROUND((_15_同援日１．５＿１．５*_15・通訳),0)*_15・２人),0)*(1+_15・盲ろう)),0)</f>
        <v>807</v>
      </c>
      <c r="AA142" s="69"/>
    </row>
    <row r="143" spans="1:27" ht="16.5" customHeight="1" x14ac:dyDescent="0.3">
      <c r="A143" s="2">
        <v>15</v>
      </c>
      <c r="B143" s="2" t="s">
        <v>4031</v>
      </c>
      <c r="C143" s="60" t="s">
        <v>14357</v>
      </c>
      <c r="D143" s="1"/>
      <c r="E143" s="68"/>
      <c r="F143" s="70"/>
      <c r="G143" s="1"/>
      <c r="H143" s="68"/>
      <c r="I143" s="70"/>
      <c r="J143" s="67"/>
      <c r="K143" s="68"/>
      <c r="L143" s="76"/>
      <c r="M143" s="85"/>
      <c r="N143" s="64"/>
      <c r="O143" s="65"/>
      <c r="P143" s="99"/>
      <c r="Q143" s="70"/>
      <c r="R143" s="61"/>
      <c r="S143" s="62"/>
      <c r="T143" s="63"/>
      <c r="U143" s="75"/>
      <c r="V143" s="74" t="s">
        <v>18299</v>
      </c>
      <c r="W143" s="62"/>
      <c r="X143" s="63"/>
      <c r="Y143" s="75"/>
      <c r="Z143" s="228">
        <f>ROUND((ROUND((ROUND((_15_同援日１．５*_15・通訳),0)*(1+_15・A早朝)),0)*(1+_15・区３)),0)+ROUND((ROUND((_15_同援日１．５＿１．５*_15・通訳),0)*(1+_15・区３)),0)</f>
        <v>774</v>
      </c>
      <c r="AA143" s="69"/>
    </row>
    <row r="144" spans="1:27" ht="16.5" customHeight="1" x14ac:dyDescent="0.3">
      <c r="A144" s="2">
        <v>15</v>
      </c>
      <c r="B144" s="2" t="s">
        <v>4032</v>
      </c>
      <c r="C144" s="60" t="s">
        <v>14356</v>
      </c>
      <c r="D144" s="1"/>
      <c r="E144" s="68"/>
      <c r="F144" s="70"/>
      <c r="G144" s="1"/>
      <c r="H144" s="68"/>
      <c r="I144" s="70"/>
      <c r="J144" s="67"/>
      <c r="K144" s="68"/>
      <c r="L144" s="76"/>
      <c r="M144" s="83" t="s">
        <v>5895</v>
      </c>
      <c r="N144" s="64" t="s">
        <v>1</v>
      </c>
      <c r="O144" s="65">
        <v>1</v>
      </c>
      <c r="P144" s="99"/>
      <c r="Q144" s="70"/>
      <c r="R144" s="66"/>
      <c r="S144" s="57"/>
      <c r="T144" s="58"/>
      <c r="U144" s="77"/>
      <c r="V144" s="94" t="s">
        <v>18297</v>
      </c>
      <c r="W144" s="68"/>
      <c r="X144" s="76"/>
      <c r="Y144" s="70"/>
      <c r="Z144" s="228">
        <f>ROUND((ROUND((ROUND((ROUND((_15_同援日１．５*_15・通訳),0)*_15・２人),0)*(1+_15・A早朝)),0)*(1+_15・区３)),0)+ROUND((ROUND((ROUND((_15_同援日１．５＿１．５*_15・通訳),0)*_15・２人),0)*(1+_15・区３)),0)</f>
        <v>774</v>
      </c>
      <c r="AA144" s="69"/>
    </row>
    <row r="145" spans="1:27" ht="16.5" customHeight="1" x14ac:dyDescent="0.3">
      <c r="A145" s="2">
        <v>15</v>
      </c>
      <c r="B145" s="2" t="s">
        <v>4033</v>
      </c>
      <c r="C145" s="60" t="s">
        <v>14355</v>
      </c>
      <c r="D145" s="1"/>
      <c r="E145" s="68"/>
      <c r="F145" s="70"/>
      <c r="G145" s="1"/>
      <c r="H145" s="68"/>
      <c r="I145" s="70"/>
      <c r="J145" s="67"/>
      <c r="K145" s="68"/>
      <c r="L145" s="76"/>
      <c r="M145" s="85"/>
      <c r="N145" s="64"/>
      <c r="O145" s="65"/>
      <c r="P145" s="99"/>
      <c r="Q145" s="70"/>
      <c r="R145" s="74" t="s">
        <v>8085</v>
      </c>
      <c r="S145" s="62"/>
      <c r="T145" s="63"/>
      <c r="U145" s="75"/>
      <c r="V145" s="67"/>
      <c r="W145" s="68" t="s">
        <v>1</v>
      </c>
      <c r="X145" s="76">
        <v>0.2</v>
      </c>
      <c r="Y145" s="70" t="s">
        <v>422</v>
      </c>
      <c r="Z145" s="228">
        <f>ROUND((ROUND((ROUND((ROUND((_15_同援日１．５*_15・通訳),0)*(1+_15・A早朝)),0)*(1+_15・盲ろう)),0)*(1+_15・区３)),0)+ROUND((ROUND((ROUND((_15_同援日１．５＿１．５*_15・通訳),0)*(1+_15・盲ろう)),0)*(1+_15・区３)),0)</f>
        <v>969</v>
      </c>
      <c r="AA145" s="69"/>
    </row>
    <row r="146" spans="1:27" ht="16.5" customHeight="1" x14ac:dyDescent="0.3">
      <c r="A146" s="2">
        <v>15</v>
      </c>
      <c r="B146" s="2" t="s">
        <v>4034</v>
      </c>
      <c r="C146" s="60" t="s">
        <v>14354</v>
      </c>
      <c r="D146" s="1"/>
      <c r="E146" s="68"/>
      <c r="F146" s="70"/>
      <c r="G146" s="1"/>
      <c r="H146" s="68"/>
      <c r="I146" s="70"/>
      <c r="J146" s="67"/>
      <c r="K146" s="68"/>
      <c r="L146" s="76"/>
      <c r="M146" s="83" t="s">
        <v>5895</v>
      </c>
      <c r="N146" s="64" t="s">
        <v>1</v>
      </c>
      <c r="O146" s="65">
        <v>1</v>
      </c>
      <c r="P146" s="99"/>
      <c r="Q146" s="70"/>
      <c r="R146" s="106" t="s">
        <v>18295</v>
      </c>
      <c r="S146" s="57" t="s">
        <v>1</v>
      </c>
      <c r="T146" s="58">
        <v>0.25</v>
      </c>
      <c r="U146" s="77" t="s">
        <v>422</v>
      </c>
      <c r="V146" s="66"/>
      <c r="W146" s="57"/>
      <c r="X146" s="58"/>
      <c r="Y146" s="77"/>
      <c r="Z146" s="228">
        <f>ROUND((ROUND((ROUND((ROUND((ROUND((_15_同援日１．５*_15・通訳),0)*_15・２人),0)*(1+_15・A早朝)),0)*(1+_15・盲ろう)),0)*(1+_15・区３)),0)+ROUND((ROUND((ROUND((ROUND((_15_同援日１．５＿１．５*_15・通訳),0)*_15・２人),0)*(1+_15・盲ろう)),0)*(1+_15・区３)),0)</f>
        <v>969</v>
      </c>
      <c r="AA146" s="69"/>
    </row>
    <row r="147" spans="1:27" ht="16.5" customHeight="1" x14ac:dyDescent="0.3">
      <c r="A147" s="2">
        <v>15</v>
      </c>
      <c r="B147" s="2" t="s">
        <v>4035</v>
      </c>
      <c r="C147" s="60" t="s">
        <v>14353</v>
      </c>
      <c r="D147" s="1"/>
      <c r="E147" s="68"/>
      <c r="F147" s="70"/>
      <c r="G147" s="1"/>
      <c r="H147" s="68"/>
      <c r="I147" s="70"/>
      <c r="J147" s="67"/>
      <c r="K147" s="68"/>
      <c r="L147" s="76"/>
      <c r="M147" s="85"/>
      <c r="N147" s="64"/>
      <c r="O147" s="65"/>
      <c r="P147" s="99"/>
      <c r="Q147" s="70"/>
      <c r="R147" s="61"/>
      <c r="S147" s="62"/>
      <c r="T147" s="63"/>
      <c r="U147" s="75"/>
      <c r="V147" s="74" t="s">
        <v>18298</v>
      </c>
      <c r="W147" s="62"/>
      <c r="X147" s="63"/>
      <c r="Y147" s="75"/>
      <c r="Z147" s="228">
        <f>ROUND((ROUND((ROUND((_15_同援日１．５*_15・通訳),0)*(1+_15・A早朝)),0)*(1+_15・区４)),0)+ROUND((ROUND((_15_同援日１．５＿１．５*_15・通訳),0)*(1+_15・区４)),0)</f>
        <v>903</v>
      </c>
      <c r="AA147" s="69"/>
    </row>
    <row r="148" spans="1:27" ht="16.5" customHeight="1" x14ac:dyDescent="0.3">
      <c r="A148" s="2">
        <v>15</v>
      </c>
      <c r="B148" s="2" t="s">
        <v>4036</v>
      </c>
      <c r="C148" s="60" t="s">
        <v>14352</v>
      </c>
      <c r="D148" s="1"/>
      <c r="E148" s="68"/>
      <c r="F148" s="70"/>
      <c r="G148" s="1"/>
      <c r="H148" s="68"/>
      <c r="I148" s="70"/>
      <c r="J148" s="67"/>
      <c r="K148" s="68"/>
      <c r="L148" s="76"/>
      <c r="M148" s="83" t="s">
        <v>5895</v>
      </c>
      <c r="N148" s="64" t="s">
        <v>1</v>
      </c>
      <c r="O148" s="65">
        <v>1</v>
      </c>
      <c r="P148" s="99"/>
      <c r="Q148" s="70"/>
      <c r="R148" s="66"/>
      <c r="S148" s="57"/>
      <c r="T148" s="58"/>
      <c r="U148" s="77"/>
      <c r="V148" s="94" t="s">
        <v>18297</v>
      </c>
      <c r="W148" s="68"/>
      <c r="X148" s="76"/>
      <c r="Y148" s="70"/>
      <c r="Z148" s="228">
        <f>ROUND((ROUND((ROUND((ROUND((_15_同援日１．５*_15・通訳),0)*_15・２人),0)*(1+_15・A早朝)),0)*(1+_15・区４)),0)+ROUND((ROUND((ROUND((_15_同援日１．５＿１．５*_15・通訳),0)*_15・２人),0)*(1+_15・区４)),0)</f>
        <v>903</v>
      </c>
      <c r="AA148" s="69"/>
    </row>
    <row r="149" spans="1:27" ht="16.5" customHeight="1" x14ac:dyDescent="0.3">
      <c r="A149" s="2">
        <v>15</v>
      </c>
      <c r="B149" s="2" t="s">
        <v>4037</v>
      </c>
      <c r="C149" s="60" t="s">
        <v>14351</v>
      </c>
      <c r="D149" s="1"/>
      <c r="E149" s="68"/>
      <c r="F149" s="70"/>
      <c r="G149" s="1"/>
      <c r="H149" s="68"/>
      <c r="I149" s="70"/>
      <c r="J149" s="67"/>
      <c r="K149" s="68"/>
      <c r="L149" s="76"/>
      <c r="M149" s="85"/>
      <c r="N149" s="64"/>
      <c r="O149" s="65"/>
      <c r="P149" s="99"/>
      <c r="Q149" s="70"/>
      <c r="R149" s="74" t="s">
        <v>18296</v>
      </c>
      <c r="S149" s="62"/>
      <c r="T149" s="63"/>
      <c r="U149" s="75"/>
      <c r="V149" s="67"/>
      <c r="W149" s="68" t="s">
        <v>1</v>
      </c>
      <c r="X149" s="76">
        <v>0.4</v>
      </c>
      <c r="Y149" s="70" t="s">
        <v>422</v>
      </c>
      <c r="Z149" s="228">
        <f>ROUND((ROUND((ROUND((ROUND((_15_同援日１．５*_15・通訳),0)*(1+_15・A早朝)),0)*(1+_15・盲ろう)),0)*(1+_15・区４)),0)+ROUND((ROUND((ROUND((_15_同援日１．５＿１．５*_15・通訳),0)*(1+_15・盲ろう)),0)*(1+_15・区４)),0)</f>
        <v>1130</v>
      </c>
      <c r="AA149" s="69"/>
    </row>
    <row r="150" spans="1:27" ht="16.5" customHeight="1" x14ac:dyDescent="0.3">
      <c r="A150" s="2">
        <v>15</v>
      </c>
      <c r="B150" s="2" t="s">
        <v>4038</v>
      </c>
      <c r="C150" s="60" t="s">
        <v>14350</v>
      </c>
      <c r="D150" s="81"/>
      <c r="E150" s="57"/>
      <c r="F150" s="77"/>
      <c r="G150" s="81"/>
      <c r="H150" s="57"/>
      <c r="I150" s="77"/>
      <c r="J150" s="67"/>
      <c r="K150" s="68"/>
      <c r="L150" s="76"/>
      <c r="M150" s="83" t="s">
        <v>5895</v>
      </c>
      <c r="N150" s="64" t="s">
        <v>1</v>
      </c>
      <c r="O150" s="65">
        <v>1</v>
      </c>
      <c r="P150" s="99"/>
      <c r="Q150" s="70"/>
      <c r="R150" s="106" t="s">
        <v>18295</v>
      </c>
      <c r="S150" s="57" t="s">
        <v>1</v>
      </c>
      <c r="T150" s="58">
        <v>0.25</v>
      </c>
      <c r="U150" s="77" t="s">
        <v>422</v>
      </c>
      <c r="V150" s="66"/>
      <c r="W150" s="57"/>
      <c r="X150" s="58"/>
      <c r="Y150" s="77"/>
      <c r="Z150" s="228">
        <f>ROUND((ROUND((ROUND((ROUND((ROUND((_15_同援日１．５*_15・通訳),0)*_15・２人),0)*(1+_15・A早朝)),0)*(1+_15・盲ろう)),0)*(1+_15・区４)),0)+ROUND((ROUND((ROUND((ROUND((_15_同援日１．５＿１．５*_15・通訳),0)*_15・２人),0)*(1+_15・盲ろう)),0)*(1+_15・区４)),0)</f>
        <v>1130</v>
      </c>
      <c r="AA150" s="69"/>
    </row>
    <row r="151" spans="1:27" ht="16.5" customHeight="1" x14ac:dyDescent="0.3">
      <c r="A151" s="2">
        <v>15</v>
      </c>
      <c r="B151" s="2" t="s">
        <v>4039</v>
      </c>
      <c r="C151" s="60" t="s">
        <v>14349</v>
      </c>
      <c r="D151" s="233" t="s">
        <v>18307</v>
      </c>
      <c r="E151" s="235"/>
      <c r="F151" s="75"/>
      <c r="G151" s="233" t="s">
        <v>18302</v>
      </c>
      <c r="H151" s="62"/>
      <c r="I151" s="75"/>
      <c r="J151" s="67"/>
      <c r="K151" s="68"/>
      <c r="L151" s="76"/>
      <c r="M151" s="85"/>
      <c r="N151" s="64"/>
      <c r="O151" s="65"/>
      <c r="P151" s="99"/>
      <c r="Q151" s="70"/>
      <c r="R151" s="61"/>
      <c r="S151" s="62"/>
      <c r="T151" s="63"/>
      <c r="U151" s="75"/>
      <c r="V151" s="61"/>
      <c r="W151" s="62"/>
      <c r="X151" s="63"/>
      <c r="Y151" s="75"/>
      <c r="Z151" s="228">
        <f>ROUND((ROUND((_15_同援日２．０*_15・通訳),0)*(1+_15・A早朝)),0)+ROUND((_15_同援日２．０＿０．５*_15・通訳),0)</f>
        <v>603</v>
      </c>
      <c r="AA151" s="69"/>
    </row>
    <row r="152" spans="1:27" ht="16.5" customHeight="1" x14ac:dyDescent="0.3">
      <c r="A152" s="2">
        <v>15</v>
      </c>
      <c r="B152" s="2" t="s">
        <v>4040</v>
      </c>
      <c r="C152" s="60" t="s">
        <v>14348</v>
      </c>
      <c r="D152" s="1" t="s">
        <v>18306</v>
      </c>
      <c r="E152" s="68"/>
      <c r="F152" s="70"/>
      <c r="G152" s="1" t="s">
        <v>7928</v>
      </c>
      <c r="H152" s="68"/>
      <c r="I152" s="70"/>
      <c r="J152" s="67"/>
      <c r="K152" s="68"/>
      <c r="L152" s="76"/>
      <c r="M152" s="83" t="s">
        <v>5895</v>
      </c>
      <c r="N152" s="64" t="s">
        <v>1</v>
      </c>
      <c r="O152" s="65">
        <v>1</v>
      </c>
      <c r="P152" s="99"/>
      <c r="Q152" s="70"/>
      <c r="R152" s="66"/>
      <c r="S152" s="57"/>
      <c r="T152" s="58"/>
      <c r="U152" s="77"/>
      <c r="V152" s="67"/>
      <c r="W152" s="68"/>
      <c r="X152" s="76"/>
      <c r="Y152" s="70"/>
      <c r="Z152" s="228">
        <f>ROUND((ROUND((ROUND((_15_同援日２．０*_15・通訳),0)*_15・２人),0)*(1+_15・A早朝)),0)+ROUND((ROUND((_15_同援日２．０＿０．５*_15・通訳),0)*_15・２人),0)</f>
        <v>603</v>
      </c>
      <c r="AA152" s="69"/>
    </row>
    <row r="153" spans="1:27" ht="16.5" customHeight="1" x14ac:dyDescent="0.3">
      <c r="A153" s="2">
        <v>15</v>
      </c>
      <c r="B153" s="2" t="s">
        <v>4041</v>
      </c>
      <c r="C153" s="60" t="s">
        <v>14347</v>
      </c>
      <c r="D153" s="1" t="s">
        <v>6448</v>
      </c>
      <c r="E153" s="68"/>
      <c r="F153" s="70"/>
      <c r="G153" s="1"/>
      <c r="H153" s="68"/>
      <c r="I153" s="70"/>
      <c r="J153" s="67"/>
      <c r="K153" s="68"/>
      <c r="L153" s="76"/>
      <c r="M153" s="85"/>
      <c r="N153" s="64"/>
      <c r="O153" s="65"/>
      <c r="P153" s="99"/>
      <c r="Q153" s="70"/>
      <c r="R153" s="74" t="s">
        <v>18296</v>
      </c>
      <c r="S153" s="62"/>
      <c r="T153" s="63"/>
      <c r="U153" s="75"/>
      <c r="V153" s="67"/>
      <c r="W153" s="68"/>
      <c r="X153" s="76"/>
      <c r="Y153" s="70"/>
      <c r="Z153" s="228">
        <f>ROUND((ROUND((ROUND((_15_同援日２．０*_15・通訳),0)*(1+_15・A早朝)),0)*(1+_15・盲ろう)),0)+ROUND((ROUND((_15_同援日２．０＿０．５*_15・通訳),0)*(1+_15・盲ろう)),0)</f>
        <v>754</v>
      </c>
      <c r="AA153" s="69"/>
    </row>
    <row r="154" spans="1:27" ht="16.5" customHeight="1" x14ac:dyDescent="0.3">
      <c r="A154" s="2">
        <v>15</v>
      </c>
      <c r="B154" s="2" t="s">
        <v>4042</v>
      </c>
      <c r="C154" s="60" t="s">
        <v>14346</v>
      </c>
      <c r="D154" s="1"/>
      <c r="E154" s="227">
        <v>485</v>
      </c>
      <c r="F154" s="70" t="s">
        <v>0</v>
      </c>
      <c r="G154" s="1"/>
      <c r="H154" s="119">
        <v>63</v>
      </c>
      <c r="I154" s="70" t="s">
        <v>0</v>
      </c>
      <c r="J154" s="67"/>
      <c r="K154" s="68"/>
      <c r="L154" s="76"/>
      <c r="M154" s="83" t="s">
        <v>5895</v>
      </c>
      <c r="N154" s="64" t="s">
        <v>1</v>
      </c>
      <c r="O154" s="65">
        <v>1</v>
      </c>
      <c r="P154" s="99"/>
      <c r="Q154" s="70"/>
      <c r="R154" s="106" t="s">
        <v>18295</v>
      </c>
      <c r="S154" s="57" t="s">
        <v>1</v>
      </c>
      <c r="T154" s="58">
        <v>0.25</v>
      </c>
      <c r="U154" s="77" t="s">
        <v>422</v>
      </c>
      <c r="V154" s="66"/>
      <c r="W154" s="57"/>
      <c r="X154" s="58"/>
      <c r="Y154" s="77"/>
      <c r="Z154" s="228">
        <f>ROUND((ROUND((ROUND((ROUND((_15_同援日２．０*_15・通訳),0)*_15・２人),0)*(1+_15・A早朝)),0)*(1+_15・盲ろう)),0)+ROUND((ROUND((ROUND((_15_同援日２．０＿０．５*_15・通訳),0)*_15・２人),0)*(1+_15・盲ろう)),0)</f>
        <v>754</v>
      </c>
      <c r="AA154" s="69"/>
    </row>
    <row r="155" spans="1:27" ht="16.5" customHeight="1" x14ac:dyDescent="0.3">
      <c r="A155" s="2">
        <v>15</v>
      </c>
      <c r="B155" s="2" t="s">
        <v>4043</v>
      </c>
      <c r="C155" s="60" t="s">
        <v>14345</v>
      </c>
      <c r="D155" s="1"/>
      <c r="E155" s="68"/>
      <c r="F155" s="70"/>
      <c r="G155" s="1"/>
      <c r="H155" s="68"/>
      <c r="I155" s="70"/>
      <c r="J155" s="67"/>
      <c r="K155" s="68"/>
      <c r="L155" s="76"/>
      <c r="M155" s="85"/>
      <c r="N155" s="64"/>
      <c r="O155" s="65"/>
      <c r="P155" s="99"/>
      <c r="Q155" s="70"/>
      <c r="R155" s="61"/>
      <c r="S155" s="62"/>
      <c r="T155" s="63"/>
      <c r="U155" s="75"/>
      <c r="V155" s="74" t="s">
        <v>18299</v>
      </c>
      <c r="W155" s="62"/>
      <c r="X155" s="63"/>
      <c r="Y155" s="75"/>
      <c r="Z155" s="228">
        <f>ROUND((ROUND((ROUND((_15_同援日２．０*_15・通訳),0)*(1+_15・A早朝)),0)*(1+_15・区３)),0)+ROUND((ROUND((_15_同援日２．０＿０．５*_15・通訳),0)*(1+_15・区３)),0)</f>
        <v>723</v>
      </c>
      <c r="AA155" s="69"/>
    </row>
    <row r="156" spans="1:27" ht="16.5" customHeight="1" x14ac:dyDescent="0.3">
      <c r="A156" s="2">
        <v>15</v>
      </c>
      <c r="B156" s="2" t="s">
        <v>4044</v>
      </c>
      <c r="C156" s="60" t="s">
        <v>14344</v>
      </c>
      <c r="D156" s="1"/>
      <c r="E156" s="68"/>
      <c r="F156" s="70"/>
      <c r="G156" s="1"/>
      <c r="H156" s="68"/>
      <c r="I156" s="70"/>
      <c r="J156" s="67"/>
      <c r="K156" s="68"/>
      <c r="L156" s="76"/>
      <c r="M156" s="83" t="s">
        <v>5895</v>
      </c>
      <c r="N156" s="64" t="s">
        <v>1</v>
      </c>
      <c r="O156" s="65">
        <v>1</v>
      </c>
      <c r="P156" s="99"/>
      <c r="Q156" s="70"/>
      <c r="R156" s="66"/>
      <c r="S156" s="57"/>
      <c r="T156" s="58"/>
      <c r="U156" s="77"/>
      <c r="V156" s="94" t="s">
        <v>18297</v>
      </c>
      <c r="W156" s="68"/>
      <c r="X156" s="76"/>
      <c r="Y156" s="70"/>
      <c r="Z156" s="228">
        <f>ROUND((ROUND((ROUND((ROUND((_15_同援日２．０*_15・通訳),0)*_15・２人),0)*(1+_15・A早朝)),0)*(1+_15・区３)),0)+ROUND((ROUND((ROUND((_15_同援日２．０＿０．５*_15・通訳),0)*_15・２人),0)*(1+_15・区３)),0)</f>
        <v>723</v>
      </c>
      <c r="AA156" s="69"/>
    </row>
    <row r="157" spans="1:27" ht="16.5" customHeight="1" x14ac:dyDescent="0.3">
      <c r="A157" s="2">
        <v>15</v>
      </c>
      <c r="B157" s="2" t="s">
        <v>4045</v>
      </c>
      <c r="C157" s="60" t="s">
        <v>14343</v>
      </c>
      <c r="D157" s="1"/>
      <c r="E157" s="68"/>
      <c r="F157" s="70"/>
      <c r="G157" s="1"/>
      <c r="H157" s="68"/>
      <c r="I157" s="70"/>
      <c r="J157" s="67"/>
      <c r="K157" s="68"/>
      <c r="L157" s="76"/>
      <c r="M157" s="85"/>
      <c r="N157" s="64"/>
      <c r="O157" s="65"/>
      <c r="P157" s="99"/>
      <c r="Q157" s="70"/>
      <c r="R157" s="74" t="s">
        <v>18296</v>
      </c>
      <c r="S157" s="62"/>
      <c r="T157" s="63"/>
      <c r="U157" s="75"/>
      <c r="V157" s="67"/>
      <c r="W157" s="68" t="s">
        <v>1</v>
      </c>
      <c r="X157" s="76">
        <v>0.2</v>
      </c>
      <c r="Y157" s="70" t="s">
        <v>422</v>
      </c>
      <c r="Z157" s="228">
        <f>ROUND((ROUND((ROUND((ROUND((_15_同援日２．０*_15・通訳),0)*(1+_15・A早朝)),0)*(1+_15・盲ろう)),0)*(1+_15・区３)),0)+ROUND((ROUND((ROUND((_15_同援日２．０＿０．５*_15・通訳),0)*(1+_15・盲ろう)),0)*(1+_15・区３)),0)</f>
        <v>905</v>
      </c>
      <c r="AA157" s="69"/>
    </row>
    <row r="158" spans="1:27" ht="16.5" customHeight="1" x14ac:dyDescent="0.3">
      <c r="A158" s="2">
        <v>15</v>
      </c>
      <c r="B158" s="2" t="s">
        <v>4046</v>
      </c>
      <c r="C158" s="60" t="s">
        <v>14342</v>
      </c>
      <c r="D158" s="1"/>
      <c r="E158" s="68"/>
      <c r="F158" s="70"/>
      <c r="G158" s="1"/>
      <c r="H158" s="68"/>
      <c r="I158" s="70"/>
      <c r="J158" s="67"/>
      <c r="K158" s="68"/>
      <c r="L158" s="76"/>
      <c r="M158" s="83" t="s">
        <v>5895</v>
      </c>
      <c r="N158" s="64" t="s">
        <v>1</v>
      </c>
      <c r="O158" s="65">
        <v>1</v>
      </c>
      <c r="P158" s="99"/>
      <c r="Q158" s="70"/>
      <c r="R158" s="106" t="s">
        <v>18295</v>
      </c>
      <c r="S158" s="57" t="s">
        <v>1</v>
      </c>
      <c r="T158" s="58">
        <v>0.25</v>
      </c>
      <c r="U158" s="77" t="s">
        <v>422</v>
      </c>
      <c r="V158" s="66"/>
      <c r="W158" s="57"/>
      <c r="X158" s="58"/>
      <c r="Y158" s="77"/>
      <c r="Z158" s="228">
        <f>ROUND((ROUND((ROUND((ROUND((ROUND((_15_同援日２．０*_15・通訳),0)*_15・２人),0)*(1+_15・A早朝)),0)*(1+_15・盲ろう)),0)*(1+_15・区３)),0)+ROUND((ROUND((ROUND((ROUND((_15_同援日２．０＿０．５*_15・通訳),0)*_15・２人),0)*(1+_15・盲ろう)),0)*(1+_15・区３)),0)</f>
        <v>905</v>
      </c>
      <c r="AA158" s="69"/>
    </row>
    <row r="159" spans="1:27" ht="16.5" customHeight="1" x14ac:dyDescent="0.3">
      <c r="A159" s="2">
        <v>15</v>
      </c>
      <c r="B159" s="2" t="s">
        <v>4047</v>
      </c>
      <c r="C159" s="60" t="s">
        <v>14341</v>
      </c>
      <c r="D159" s="1"/>
      <c r="E159" s="68"/>
      <c r="F159" s="70"/>
      <c r="G159" s="1"/>
      <c r="H159" s="68"/>
      <c r="I159" s="70"/>
      <c r="J159" s="67"/>
      <c r="K159" s="68"/>
      <c r="L159" s="76"/>
      <c r="M159" s="85"/>
      <c r="N159" s="64"/>
      <c r="O159" s="65"/>
      <c r="P159" s="99"/>
      <c r="Q159" s="70"/>
      <c r="R159" s="61"/>
      <c r="S159" s="62"/>
      <c r="T159" s="63"/>
      <c r="U159" s="75"/>
      <c r="V159" s="74" t="s">
        <v>18298</v>
      </c>
      <c r="W159" s="62"/>
      <c r="X159" s="63"/>
      <c r="Y159" s="75"/>
      <c r="Z159" s="228">
        <f>ROUND((ROUND((ROUND((_15_同援日２．０*_15・通訳),0)*(1+_15・A早朝)),0)*(1+_15・区４)),0)+ROUND((ROUND((_15_同援日２．０＿０．５*_15・通訳),0)*(1+_15・区４)),0)</f>
        <v>844</v>
      </c>
      <c r="AA159" s="69"/>
    </row>
    <row r="160" spans="1:27" ht="16.5" customHeight="1" x14ac:dyDescent="0.3">
      <c r="A160" s="2">
        <v>15</v>
      </c>
      <c r="B160" s="2" t="s">
        <v>4048</v>
      </c>
      <c r="C160" s="60" t="s">
        <v>14340</v>
      </c>
      <c r="D160" s="1"/>
      <c r="E160" s="68"/>
      <c r="F160" s="70"/>
      <c r="G160" s="1"/>
      <c r="H160" s="68"/>
      <c r="I160" s="70"/>
      <c r="J160" s="67"/>
      <c r="K160" s="68"/>
      <c r="L160" s="76"/>
      <c r="M160" s="83" t="s">
        <v>5895</v>
      </c>
      <c r="N160" s="64" t="s">
        <v>1</v>
      </c>
      <c r="O160" s="65">
        <v>1</v>
      </c>
      <c r="P160" s="99"/>
      <c r="Q160" s="70"/>
      <c r="R160" s="66"/>
      <c r="S160" s="57"/>
      <c r="T160" s="58"/>
      <c r="U160" s="77"/>
      <c r="V160" s="94" t="s">
        <v>18297</v>
      </c>
      <c r="W160" s="68"/>
      <c r="X160" s="76"/>
      <c r="Y160" s="70"/>
      <c r="Z160" s="228">
        <f>ROUND((ROUND((ROUND((ROUND((_15_同援日２．０*_15・通訳),0)*_15・２人),0)*(1+_15・A早朝)),0)*(1+_15・区４)),0)+ROUND((ROUND((ROUND((_15_同援日２．０＿０．５*_15・通訳),0)*_15・２人),0)*(1+_15・区４)),0)</f>
        <v>844</v>
      </c>
      <c r="AA160" s="69"/>
    </row>
    <row r="161" spans="1:27" ht="16.5" customHeight="1" x14ac:dyDescent="0.3">
      <c r="A161" s="2">
        <v>15</v>
      </c>
      <c r="B161" s="2" t="s">
        <v>4049</v>
      </c>
      <c r="C161" s="60" t="s">
        <v>14339</v>
      </c>
      <c r="D161" s="1"/>
      <c r="E161" s="68"/>
      <c r="F161" s="70"/>
      <c r="G161" s="1"/>
      <c r="H161" s="68"/>
      <c r="I161" s="70"/>
      <c r="J161" s="67"/>
      <c r="K161" s="68"/>
      <c r="L161" s="76"/>
      <c r="M161" s="85"/>
      <c r="N161" s="64"/>
      <c r="O161" s="65"/>
      <c r="P161" s="99"/>
      <c r="Q161" s="70"/>
      <c r="R161" s="74" t="s">
        <v>18296</v>
      </c>
      <c r="S161" s="62"/>
      <c r="T161" s="63"/>
      <c r="U161" s="75"/>
      <c r="V161" s="67"/>
      <c r="W161" s="68" t="s">
        <v>1</v>
      </c>
      <c r="X161" s="76">
        <v>0.4</v>
      </c>
      <c r="Y161" s="70" t="s">
        <v>422</v>
      </c>
      <c r="Z161" s="228">
        <f>ROUND((ROUND((ROUND((ROUND((_15_同援日２．０*_15・通訳),0)*(1+_15・A早朝)),0)*(1+_15・盲ろう)),0)*(1+_15・区４)),0)+ROUND((ROUND((ROUND((_15_同援日２．０＿０．５*_15・通訳),0)*(1+_15・盲ろう)),0)*(1+_15・区４)),0)</f>
        <v>1055</v>
      </c>
      <c r="AA161" s="69"/>
    </row>
    <row r="162" spans="1:27" ht="16.5" customHeight="1" x14ac:dyDescent="0.3">
      <c r="A162" s="2">
        <v>15</v>
      </c>
      <c r="B162" s="2" t="s">
        <v>4050</v>
      </c>
      <c r="C162" s="60" t="s">
        <v>14338</v>
      </c>
      <c r="D162" s="1"/>
      <c r="E162" s="68"/>
      <c r="F162" s="70"/>
      <c r="G162" s="81"/>
      <c r="H162" s="57"/>
      <c r="I162" s="77"/>
      <c r="J162" s="67"/>
      <c r="K162" s="68"/>
      <c r="L162" s="76"/>
      <c r="M162" s="83" t="s">
        <v>5895</v>
      </c>
      <c r="N162" s="64" t="s">
        <v>1</v>
      </c>
      <c r="O162" s="65">
        <v>1</v>
      </c>
      <c r="P162" s="99"/>
      <c r="Q162" s="70"/>
      <c r="R162" s="106" t="s">
        <v>18295</v>
      </c>
      <c r="S162" s="57" t="s">
        <v>1</v>
      </c>
      <c r="T162" s="58">
        <v>0.25</v>
      </c>
      <c r="U162" s="77" t="s">
        <v>422</v>
      </c>
      <c r="V162" s="66"/>
      <c r="W162" s="57"/>
      <c r="X162" s="58"/>
      <c r="Y162" s="77"/>
      <c r="Z162" s="228">
        <f>ROUND((ROUND((ROUND((ROUND((ROUND((_15_同援日２．０*_15・通訳),0)*_15・２人),0)*(1+_15・A早朝)),0)*(1+_15・盲ろう)),0)*(1+_15・区４)),0)+ROUND((ROUND((ROUND((ROUND((_15_同援日２．０＿０．５*_15・通訳),0)*_15・２人),0)*(1+_15・盲ろう)),0)*(1+_15・区４)),0)</f>
        <v>1055</v>
      </c>
      <c r="AA162" s="69"/>
    </row>
    <row r="163" spans="1:27" ht="16.5" customHeight="1" x14ac:dyDescent="0.3">
      <c r="A163" s="2">
        <v>15</v>
      </c>
      <c r="B163" s="2" t="s">
        <v>4051</v>
      </c>
      <c r="C163" s="60" t="s">
        <v>14337</v>
      </c>
      <c r="D163" s="1"/>
      <c r="E163" s="68"/>
      <c r="F163" s="70"/>
      <c r="G163" s="233" t="s">
        <v>18305</v>
      </c>
      <c r="H163" s="62"/>
      <c r="I163" s="75"/>
      <c r="J163" s="67"/>
      <c r="K163" s="68"/>
      <c r="L163" s="76"/>
      <c r="M163" s="85"/>
      <c r="N163" s="64"/>
      <c r="O163" s="65"/>
      <c r="P163" s="99"/>
      <c r="Q163" s="70"/>
      <c r="R163" s="61"/>
      <c r="S163" s="62"/>
      <c r="T163" s="63"/>
      <c r="U163" s="75"/>
      <c r="V163" s="61"/>
      <c r="W163" s="62"/>
      <c r="X163" s="63"/>
      <c r="Y163" s="75"/>
      <c r="Z163" s="228">
        <f>ROUND((ROUND((_15_同援日２．０*_15・通訳),0)*(1+_15・A早朝)),0)+ROUND((_15_同援日２．０＿１．０*_15・通訳),0)</f>
        <v>659</v>
      </c>
      <c r="AA163" s="69"/>
    </row>
    <row r="164" spans="1:27" ht="16.5" customHeight="1" x14ac:dyDescent="0.3">
      <c r="A164" s="2">
        <v>15</v>
      </c>
      <c r="B164" s="2" t="s">
        <v>4052</v>
      </c>
      <c r="C164" s="60" t="s">
        <v>14336</v>
      </c>
      <c r="D164" s="1"/>
      <c r="E164" s="68"/>
      <c r="F164" s="70"/>
      <c r="G164" s="1" t="s">
        <v>18304</v>
      </c>
      <c r="H164" s="68"/>
      <c r="I164" s="70"/>
      <c r="J164" s="67"/>
      <c r="K164" s="68"/>
      <c r="L164" s="76"/>
      <c r="M164" s="83" t="s">
        <v>5895</v>
      </c>
      <c r="N164" s="64" t="s">
        <v>1</v>
      </c>
      <c r="O164" s="65">
        <v>1</v>
      </c>
      <c r="P164" s="99"/>
      <c r="Q164" s="70"/>
      <c r="R164" s="66"/>
      <c r="S164" s="57"/>
      <c r="T164" s="58"/>
      <c r="U164" s="77"/>
      <c r="V164" s="67"/>
      <c r="W164" s="68"/>
      <c r="X164" s="76"/>
      <c r="Y164" s="70"/>
      <c r="Z164" s="228">
        <f>ROUND((ROUND((ROUND((_15_同援日２．０*_15・通訳),0)*_15・２人),0)*(1+_15・A早朝)),0)+ROUND((ROUND((_15_同援日２．０＿１．０*_15・通訳),0)*_15・２人),0)</f>
        <v>659</v>
      </c>
      <c r="AA164" s="69"/>
    </row>
    <row r="165" spans="1:27" ht="16.5" customHeight="1" x14ac:dyDescent="0.3">
      <c r="A165" s="2">
        <v>15</v>
      </c>
      <c r="B165" s="2" t="s">
        <v>4053</v>
      </c>
      <c r="C165" s="60" t="s">
        <v>14335</v>
      </c>
      <c r="D165" s="1"/>
      <c r="E165" s="68"/>
      <c r="F165" s="70"/>
      <c r="G165" s="1" t="s">
        <v>8572</v>
      </c>
      <c r="H165" s="68"/>
      <c r="I165" s="70"/>
      <c r="J165" s="67"/>
      <c r="K165" s="68"/>
      <c r="L165" s="76"/>
      <c r="M165" s="85"/>
      <c r="N165" s="64"/>
      <c r="O165" s="65"/>
      <c r="P165" s="99"/>
      <c r="Q165" s="70"/>
      <c r="R165" s="74" t="s">
        <v>18296</v>
      </c>
      <c r="S165" s="62"/>
      <c r="T165" s="63"/>
      <c r="U165" s="75"/>
      <c r="V165" s="67"/>
      <c r="W165" s="68"/>
      <c r="X165" s="76"/>
      <c r="Y165" s="70"/>
      <c r="Z165" s="228">
        <f>ROUND((ROUND((ROUND((_15_同援日２．０*_15・通訳),0)*(1+_15・A早朝)),0)*(1+_15・盲ろう)),0)+ROUND((ROUND((_15_同援日２．０＿１．０*_15・通訳),0)*(1+_15・盲ろう)),0)</f>
        <v>824</v>
      </c>
      <c r="AA165" s="69"/>
    </row>
    <row r="166" spans="1:27" ht="16.5" customHeight="1" x14ac:dyDescent="0.3">
      <c r="A166" s="2">
        <v>15</v>
      </c>
      <c r="B166" s="2" t="s">
        <v>4054</v>
      </c>
      <c r="C166" s="60" t="s">
        <v>14334</v>
      </c>
      <c r="D166" s="1"/>
      <c r="E166" s="68"/>
      <c r="F166" s="70"/>
      <c r="G166" s="1"/>
      <c r="H166" s="119">
        <v>126</v>
      </c>
      <c r="I166" s="70" t="s">
        <v>0</v>
      </c>
      <c r="J166" s="67"/>
      <c r="K166" s="68"/>
      <c r="L166" s="76"/>
      <c r="M166" s="83" t="s">
        <v>5895</v>
      </c>
      <c r="N166" s="64" t="s">
        <v>1</v>
      </c>
      <c r="O166" s="65">
        <v>1</v>
      </c>
      <c r="P166" s="99"/>
      <c r="Q166" s="70"/>
      <c r="R166" s="106" t="s">
        <v>18295</v>
      </c>
      <c r="S166" s="57" t="s">
        <v>1</v>
      </c>
      <c r="T166" s="58">
        <v>0.25</v>
      </c>
      <c r="U166" s="77" t="s">
        <v>422</v>
      </c>
      <c r="V166" s="66"/>
      <c r="W166" s="57"/>
      <c r="X166" s="58"/>
      <c r="Y166" s="77"/>
      <c r="Z166" s="228">
        <f>ROUND((ROUND((ROUND((ROUND((_15_同援日２．０*_15・通訳),0)*_15・２人),0)*(1+_15・A早朝)),0)*(1+_15・盲ろう)),0)+ROUND((ROUND((ROUND((_15_同援日２．０＿１．０*_15・通訳),0)*_15・２人),0)*(1+_15・盲ろう)),0)</f>
        <v>824</v>
      </c>
      <c r="AA166" s="69"/>
    </row>
    <row r="167" spans="1:27" ht="16.5" customHeight="1" x14ac:dyDescent="0.3">
      <c r="A167" s="2">
        <v>15</v>
      </c>
      <c r="B167" s="2" t="s">
        <v>4055</v>
      </c>
      <c r="C167" s="60" t="s">
        <v>14333</v>
      </c>
      <c r="D167" s="1"/>
      <c r="E167" s="68"/>
      <c r="F167" s="70"/>
      <c r="G167" s="1"/>
      <c r="H167" s="68"/>
      <c r="I167" s="70"/>
      <c r="J167" s="67"/>
      <c r="K167" s="68"/>
      <c r="L167" s="76"/>
      <c r="M167" s="85"/>
      <c r="N167" s="64"/>
      <c r="O167" s="65"/>
      <c r="P167" s="99"/>
      <c r="Q167" s="70"/>
      <c r="R167" s="61"/>
      <c r="S167" s="62"/>
      <c r="T167" s="63"/>
      <c r="U167" s="75"/>
      <c r="V167" s="74" t="s">
        <v>18299</v>
      </c>
      <c r="W167" s="62"/>
      <c r="X167" s="63"/>
      <c r="Y167" s="75"/>
      <c r="Z167" s="228">
        <f>ROUND((ROUND((ROUND((_15_同援日２．０*_15・通訳),0)*(1+_15・A早朝)),0)*(1+_15・区３)),0)+ROUND((ROUND((_15_同援日２．０＿１．０*_15・通訳),0)*(1+_15・区３)),0)</f>
        <v>791</v>
      </c>
      <c r="AA167" s="69"/>
    </row>
    <row r="168" spans="1:27" ht="16.5" customHeight="1" x14ac:dyDescent="0.3">
      <c r="A168" s="2">
        <v>15</v>
      </c>
      <c r="B168" s="2" t="s">
        <v>4056</v>
      </c>
      <c r="C168" s="60" t="s">
        <v>14332</v>
      </c>
      <c r="D168" s="1"/>
      <c r="E168" s="68"/>
      <c r="F168" s="70"/>
      <c r="G168" s="1"/>
      <c r="H168" s="68"/>
      <c r="I168" s="70"/>
      <c r="J168" s="67"/>
      <c r="K168" s="68"/>
      <c r="L168" s="76"/>
      <c r="M168" s="83" t="s">
        <v>5895</v>
      </c>
      <c r="N168" s="64" t="s">
        <v>1</v>
      </c>
      <c r="O168" s="65">
        <v>1</v>
      </c>
      <c r="P168" s="99"/>
      <c r="Q168" s="70"/>
      <c r="R168" s="66"/>
      <c r="S168" s="57"/>
      <c r="T168" s="58"/>
      <c r="U168" s="77"/>
      <c r="V168" s="94" t="s">
        <v>18297</v>
      </c>
      <c r="W168" s="68"/>
      <c r="X168" s="76"/>
      <c r="Y168" s="70"/>
      <c r="Z168" s="228">
        <f>ROUND((ROUND((ROUND((ROUND((_15_同援日２．０*_15・通訳),0)*_15・２人),0)*(1+_15・A早朝)),0)*(1+_15・区３)),0)+ROUND((ROUND((ROUND((_15_同援日２．０＿１．０*_15・通訳),0)*_15・２人),0)*(1+_15・区３)),0)</f>
        <v>791</v>
      </c>
      <c r="AA168" s="69"/>
    </row>
    <row r="169" spans="1:27" ht="16.5" customHeight="1" x14ac:dyDescent="0.3">
      <c r="A169" s="2">
        <v>15</v>
      </c>
      <c r="B169" s="2" t="s">
        <v>4057</v>
      </c>
      <c r="C169" s="60" t="s">
        <v>14331</v>
      </c>
      <c r="D169" s="1"/>
      <c r="E169" s="68"/>
      <c r="F169" s="70"/>
      <c r="G169" s="1"/>
      <c r="H169" s="68"/>
      <c r="I169" s="70"/>
      <c r="J169" s="67"/>
      <c r="K169" s="68"/>
      <c r="L169" s="76"/>
      <c r="M169" s="85"/>
      <c r="N169" s="64"/>
      <c r="O169" s="65"/>
      <c r="P169" s="99"/>
      <c r="Q169" s="70"/>
      <c r="R169" s="74" t="s">
        <v>18296</v>
      </c>
      <c r="S169" s="62"/>
      <c r="T169" s="63"/>
      <c r="U169" s="75"/>
      <c r="V169" s="67"/>
      <c r="W169" s="68" t="s">
        <v>1</v>
      </c>
      <c r="X169" s="76">
        <v>0.2</v>
      </c>
      <c r="Y169" s="70" t="s">
        <v>422</v>
      </c>
      <c r="Z169" s="228">
        <f>ROUND((ROUND((ROUND((ROUND((_15_同援日２．０*_15・通訳),0)*(1+_15・A早朝)),0)*(1+_15・盲ろう)),0)*(1+_15・区３)),0)+ROUND((ROUND((ROUND((_15_同援日２．０＿１．０*_15・通訳),0)*(1+_15・盲ろう)),0)*(1+_15・区３)),0)</f>
        <v>989</v>
      </c>
      <c r="AA169" s="69"/>
    </row>
    <row r="170" spans="1:27" ht="16.5" customHeight="1" x14ac:dyDescent="0.3">
      <c r="A170" s="2">
        <v>15</v>
      </c>
      <c r="B170" s="2" t="s">
        <v>4058</v>
      </c>
      <c r="C170" s="60" t="s">
        <v>14330</v>
      </c>
      <c r="D170" s="1"/>
      <c r="E170" s="68"/>
      <c r="F170" s="70"/>
      <c r="G170" s="1"/>
      <c r="H170" s="68"/>
      <c r="I170" s="70"/>
      <c r="J170" s="67"/>
      <c r="K170" s="68"/>
      <c r="L170" s="76"/>
      <c r="M170" s="83" t="s">
        <v>5895</v>
      </c>
      <c r="N170" s="64" t="s">
        <v>1</v>
      </c>
      <c r="O170" s="65">
        <v>1</v>
      </c>
      <c r="P170" s="99"/>
      <c r="Q170" s="70"/>
      <c r="R170" s="106" t="s">
        <v>18295</v>
      </c>
      <c r="S170" s="57" t="s">
        <v>1</v>
      </c>
      <c r="T170" s="58">
        <v>0.25</v>
      </c>
      <c r="U170" s="77" t="s">
        <v>422</v>
      </c>
      <c r="V170" s="66"/>
      <c r="W170" s="57"/>
      <c r="X170" s="58"/>
      <c r="Y170" s="77"/>
      <c r="Z170" s="228">
        <f>ROUND((ROUND((ROUND((ROUND((ROUND((_15_同援日２．０*_15・通訳),0)*_15・２人),0)*(1+_15・A早朝)),0)*(1+_15・盲ろう)),0)*(1+_15・区３)),0)+ROUND((ROUND((ROUND((ROUND((_15_同援日２．０＿１．０*_15・通訳),0)*_15・２人),0)*(1+_15・盲ろう)),0)*(1+_15・区３)),0)</f>
        <v>989</v>
      </c>
      <c r="AA170" s="69"/>
    </row>
    <row r="171" spans="1:27" ht="16.5" customHeight="1" x14ac:dyDescent="0.3">
      <c r="A171" s="2">
        <v>15</v>
      </c>
      <c r="B171" s="2" t="s">
        <v>4059</v>
      </c>
      <c r="C171" s="60" t="s">
        <v>14329</v>
      </c>
      <c r="D171" s="1"/>
      <c r="E171" s="68"/>
      <c r="F171" s="70"/>
      <c r="G171" s="1"/>
      <c r="H171" s="68"/>
      <c r="I171" s="70"/>
      <c r="J171" s="67"/>
      <c r="K171" s="68"/>
      <c r="L171" s="76"/>
      <c r="M171" s="85"/>
      <c r="N171" s="64"/>
      <c r="O171" s="65"/>
      <c r="P171" s="99"/>
      <c r="Q171" s="70"/>
      <c r="R171" s="61"/>
      <c r="S171" s="62"/>
      <c r="T171" s="63"/>
      <c r="U171" s="75"/>
      <c r="V171" s="74" t="s">
        <v>18298</v>
      </c>
      <c r="W171" s="62"/>
      <c r="X171" s="63"/>
      <c r="Y171" s="75"/>
      <c r="Z171" s="228">
        <f>ROUND((ROUND((ROUND((_15_同援日２．０*_15・通訳),0)*(1+_15・A早朝)),0)*(1+_15・区４)),0)+ROUND((ROUND((_15_同援日２．０＿１．０*_15・通訳),0)*(1+_15・区４)),0)</f>
        <v>922</v>
      </c>
      <c r="AA171" s="69"/>
    </row>
    <row r="172" spans="1:27" ht="16.5" customHeight="1" x14ac:dyDescent="0.3">
      <c r="A172" s="2">
        <v>15</v>
      </c>
      <c r="B172" s="2" t="s">
        <v>4060</v>
      </c>
      <c r="C172" s="60" t="s">
        <v>14328</v>
      </c>
      <c r="D172" s="1"/>
      <c r="E172" s="68"/>
      <c r="F172" s="70"/>
      <c r="G172" s="1"/>
      <c r="H172" s="68"/>
      <c r="I172" s="70"/>
      <c r="J172" s="67"/>
      <c r="K172" s="68"/>
      <c r="L172" s="76"/>
      <c r="M172" s="83" t="s">
        <v>5895</v>
      </c>
      <c r="N172" s="64" t="s">
        <v>1</v>
      </c>
      <c r="O172" s="65">
        <v>1</v>
      </c>
      <c r="P172" s="99"/>
      <c r="Q172" s="70"/>
      <c r="R172" s="66"/>
      <c r="S172" s="57"/>
      <c r="T172" s="58"/>
      <c r="U172" s="77"/>
      <c r="V172" s="94" t="s">
        <v>18297</v>
      </c>
      <c r="W172" s="68"/>
      <c r="X172" s="76"/>
      <c r="Y172" s="70"/>
      <c r="Z172" s="228">
        <f>ROUND((ROUND((ROUND((ROUND((_15_同援日２．０*_15・通訳),0)*_15・２人),0)*(1+_15・A早朝)),0)*(1+_15・区４)),0)+ROUND((ROUND((ROUND((_15_同援日２．０＿１．０*_15・通訳),0)*_15・２人),0)*(1+_15・区４)),0)</f>
        <v>922</v>
      </c>
      <c r="AA172" s="69"/>
    </row>
    <row r="173" spans="1:27" ht="16.5" customHeight="1" x14ac:dyDescent="0.3">
      <c r="A173" s="2">
        <v>15</v>
      </c>
      <c r="B173" s="2" t="s">
        <v>4061</v>
      </c>
      <c r="C173" s="60" t="s">
        <v>14327</v>
      </c>
      <c r="D173" s="1"/>
      <c r="E173" s="68"/>
      <c r="F173" s="70"/>
      <c r="G173" s="1"/>
      <c r="H173" s="68"/>
      <c r="I173" s="70"/>
      <c r="J173" s="67"/>
      <c r="K173" s="68"/>
      <c r="L173" s="76"/>
      <c r="M173" s="85"/>
      <c r="N173" s="64"/>
      <c r="O173" s="65"/>
      <c r="P173" s="99"/>
      <c r="Q173" s="70"/>
      <c r="R173" s="74" t="s">
        <v>18296</v>
      </c>
      <c r="S173" s="62"/>
      <c r="T173" s="63"/>
      <c r="U173" s="75"/>
      <c r="V173" s="67"/>
      <c r="W173" s="68" t="s">
        <v>1</v>
      </c>
      <c r="X173" s="76">
        <v>0.4</v>
      </c>
      <c r="Y173" s="70" t="s">
        <v>422</v>
      </c>
      <c r="Z173" s="228">
        <f>ROUND((ROUND((ROUND((ROUND((_15_同援日２．０*_15・通訳),0)*(1+_15・A早朝)),0)*(1+_15・盲ろう)),0)*(1+_15・区４)),0)+ROUND((ROUND((ROUND((_15_同援日２．０＿１．０*_15・通訳),0)*(1+_15・盲ろう)),0)*(1+_15・区４)),0)</f>
        <v>1153</v>
      </c>
      <c r="AA173" s="69"/>
    </row>
    <row r="174" spans="1:27" ht="16.5" customHeight="1" x14ac:dyDescent="0.3">
      <c r="A174" s="2">
        <v>15</v>
      </c>
      <c r="B174" s="2" t="s">
        <v>4062</v>
      </c>
      <c r="C174" s="60" t="s">
        <v>14326</v>
      </c>
      <c r="D174" s="81"/>
      <c r="E174" s="57"/>
      <c r="F174" s="77"/>
      <c r="G174" s="81"/>
      <c r="H174" s="57"/>
      <c r="I174" s="77"/>
      <c r="J174" s="67"/>
      <c r="K174" s="68"/>
      <c r="L174" s="76"/>
      <c r="M174" s="83" t="s">
        <v>5895</v>
      </c>
      <c r="N174" s="64" t="s">
        <v>1</v>
      </c>
      <c r="O174" s="65">
        <v>1</v>
      </c>
      <c r="P174" s="99"/>
      <c r="Q174" s="70"/>
      <c r="R174" s="106" t="s">
        <v>18295</v>
      </c>
      <c r="S174" s="57" t="s">
        <v>1</v>
      </c>
      <c r="T174" s="58">
        <v>0.25</v>
      </c>
      <c r="U174" s="77" t="s">
        <v>422</v>
      </c>
      <c r="V174" s="66"/>
      <c r="W174" s="57"/>
      <c r="X174" s="58"/>
      <c r="Y174" s="77"/>
      <c r="Z174" s="228">
        <f>ROUND((ROUND((ROUND((ROUND((ROUND((_15_同援日２．０*_15・通訳),0)*_15・２人),0)*(1+_15・A早朝)),0)*(1+_15・盲ろう)),0)*(1+_15・区４)),0)+ROUND((ROUND((ROUND((ROUND((_15_同援日２．０＿１．０*_15・通訳),0)*_15・２人),0)*(1+_15・盲ろう)),0)*(1+_15・区４)),0)</f>
        <v>1153</v>
      </c>
      <c r="AA174" s="69"/>
    </row>
    <row r="175" spans="1:27" ht="16.5" customHeight="1" x14ac:dyDescent="0.3">
      <c r="A175" s="2">
        <v>15</v>
      </c>
      <c r="B175" s="2" t="s">
        <v>4063</v>
      </c>
      <c r="C175" s="60" t="s">
        <v>14325</v>
      </c>
      <c r="D175" s="233" t="s">
        <v>18303</v>
      </c>
      <c r="E175" s="235"/>
      <c r="F175" s="75"/>
      <c r="G175" s="233" t="s">
        <v>18302</v>
      </c>
      <c r="H175" s="62"/>
      <c r="I175" s="75"/>
      <c r="J175" s="67"/>
      <c r="K175" s="68"/>
      <c r="L175" s="76"/>
      <c r="M175" s="85"/>
      <c r="N175" s="64"/>
      <c r="O175" s="65"/>
      <c r="P175" s="99"/>
      <c r="Q175" s="70"/>
      <c r="R175" s="61"/>
      <c r="S175" s="62"/>
      <c r="T175" s="63"/>
      <c r="U175" s="75"/>
      <c r="V175" s="61"/>
      <c r="W175" s="62"/>
      <c r="X175" s="63"/>
      <c r="Y175" s="75"/>
      <c r="Z175" s="228">
        <f>ROUND((ROUND((_15_同援日２．５*_15・通訳),0)*(1+_15・A早朝)),0)+ROUND((_15_同援日２．５＿０．５*_15・通訳),0)</f>
        <v>673</v>
      </c>
      <c r="AA175" s="69"/>
    </row>
    <row r="176" spans="1:27" ht="16.5" customHeight="1" x14ac:dyDescent="0.3">
      <c r="A176" s="2">
        <v>15</v>
      </c>
      <c r="B176" s="2" t="s">
        <v>4064</v>
      </c>
      <c r="C176" s="60" t="s">
        <v>14324</v>
      </c>
      <c r="D176" s="1" t="s">
        <v>18301</v>
      </c>
      <c r="E176" s="68"/>
      <c r="F176" s="70"/>
      <c r="G176" s="1" t="s">
        <v>18300</v>
      </c>
      <c r="H176" s="68"/>
      <c r="I176" s="70"/>
      <c r="J176" s="67"/>
      <c r="K176" s="68"/>
      <c r="L176" s="76"/>
      <c r="M176" s="83" t="s">
        <v>5895</v>
      </c>
      <c r="N176" s="64" t="s">
        <v>1</v>
      </c>
      <c r="O176" s="65">
        <v>1</v>
      </c>
      <c r="P176" s="99"/>
      <c r="Q176" s="70"/>
      <c r="R176" s="66"/>
      <c r="S176" s="57"/>
      <c r="T176" s="58"/>
      <c r="U176" s="77"/>
      <c r="V176" s="67"/>
      <c r="W176" s="68"/>
      <c r="X176" s="76"/>
      <c r="Y176" s="70"/>
      <c r="Z176" s="228">
        <f>ROUND((ROUND((ROUND((_15_同援日２．５*_15・通訳),0)*_15・２人),0)*(1+_15・A早朝)),0)+ROUND((ROUND((_15_同援日２．５＿０．５*_15・通訳),0)*_15・２人),0)</f>
        <v>673</v>
      </c>
      <c r="AA176" s="69"/>
    </row>
    <row r="177" spans="1:27" ht="16.5" customHeight="1" x14ac:dyDescent="0.3">
      <c r="A177" s="2">
        <v>15</v>
      </c>
      <c r="B177" s="2" t="s">
        <v>4065</v>
      </c>
      <c r="C177" s="60" t="s">
        <v>14323</v>
      </c>
      <c r="D177" s="1" t="s">
        <v>8499</v>
      </c>
      <c r="E177" s="68"/>
      <c r="F177" s="70"/>
      <c r="G177" s="1"/>
      <c r="H177" s="68"/>
      <c r="I177" s="70"/>
      <c r="J177" s="67"/>
      <c r="K177" s="68"/>
      <c r="L177" s="76"/>
      <c r="M177" s="85"/>
      <c r="N177" s="64"/>
      <c r="O177" s="65"/>
      <c r="P177" s="99"/>
      <c r="Q177" s="70"/>
      <c r="R177" s="74" t="s">
        <v>18296</v>
      </c>
      <c r="S177" s="62"/>
      <c r="T177" s="63"/>
      <c r="U177" s="75"/>
      <c r="V177" s="67"/>
      <c r="W177" s="68"/>
      <c r="X177" s="76"/>
      <c r="Y177" s="70"/>
      <c r="Z177" s="228">
        <f>ROUND((ROUND((ROUND((_15_同援日２．５*_15・通訳),0)*(1+_15・A早朝)),0)*(1+_15・盲ろう)),0)+ROUND((ROUND((_15_同援日２．５＿０．５*_15・通訳),0)*(1+_15・盲ろう)),0)</f>
        <v>841</v>
      </c>
      <c r="AA177" s="69"/>
    </row>
    <row r="178" spans="1:27" ht="16.5" customHeight="1" x14ac:dyDescent="0.3">
      <c r="A178" s="2">
        <v>15</v>
      </c>
      <c r="B178" s="2" t="s">
        <v>4066</v>
      </c>
      <c r="C178" s="60" t="s">
        <v>14322</v>
      </c>
      <c r="D178" s="1"/>
      <c r="E178" s="227">
        <v>548</v>
      </c>
      <c r="F178" s="70" t="s">
        <v>0</v>
      </c>
      <c r="G178" s="1"/>
      <c r="H178" s="119">
        <v>63</v>
      </c>
      <c r="I178" s="70" t="s">
        <v>0</v>
      </c>
      <c r="J178" s="67"/>
      <c r="K178" s="68"/>
      <c r="L178" s="76"/>
      <c r="M178" s="83" t="s">
        <v>5895</v>
      </c>
      <c r="N178" s="64" t="s">
        <v>1</v>
      </c>
      <c r="O178" s="65">
        <v>1</v>
      </c>
      <c r="P178" s="99"/>
      <c r="Q178" s="70"/>
      <c r="R178" s="106" t="s">
        <v>18295</v>
      </c>
      <c r="S178" s="57" t="s">
        <v>1</v>
      </c>
      <c r="T178" s="58">
        <v>0.25</v>
      </c>
      <c r="U178" s="77" t="s">
        <v>422</v>
      </c>
      <c r="V178" s="66"/>
      <c r="W178" s="57"/>
      <c r="X178" s="58"/>
      <c r="Y178" s="77"/>
      <c r="Z178" s="228">
        <f>ROUND((ROUND((ROUND((ROUND((_15_同援日２．５*_15・通訳),0)*_15・２人),0)*(1+_15・A早朝)),0)*(1+_15・盲ろう)),0)+ROUND((ROUND((ROUND((_15_同援日２．５＿０．５*_15・通訳),0)*_15・２人),0)*(1+_15・盲ろう)),0)</f>
        <v>841</v>
      </c>
      <c r="AA178" s="69"/>
    </row>
    <row r="179" spans="1:27" ht="16.5" customHeight="1" x14ac:dyDescent="0.3">
      <c r="A179" s="2">
        <v>15</v>
      </c>
      <c r="B179" s="2" t="s">
        <v>4067</v>
      </c>
      <c r="C179" s="60" t="s">
        <v>14321</v>
      </c>
      <c r="D179" s="1"/>
      <c r="E179" s="68"/>
      <c r="F179" s="70"/>
      <c r="G179" s="1"/>
      <c r="H179" s="68"/>
      <c r="I179" s="70"/>
      <c r="J179" s="67"/>
      <c r="K179" s="68"/>
      <c r="L179" s="76"/>
      <c r="M179" s="85"/>
      <c r="N179" s="64"/>
      <c r="O179" s="65"/>
      <c r="P179" s="99"/>
      <c r="Q179" s="70"/>
      <c r="R179" s="61"/>
      <c r="S179" s="62"/>
      <c r="T179" s="63"/>
      <c r="U179" s="75"/>
      <c r="V179" s="74" t="s">
        <v>18299</v>
      </c>
      <c r="W179" s="62"/>
      <c r="X179" s="63"/>
      <c r="Y179" s="75"/>
      <c r="Z179" s="228">
        <f>ROUND((ROUND((ROUND((_15_同援日２．５*_15・通訳),0)*(1+_15・A早朝)),0)*(1+_15・区３)),0)+ROUND((ROUND((_15_同援日２．５＿０．５*_15・通訳),0)*(1+_15・区３)),0)</f>
        <v>807</v>
      </c>
      <c r="AA179" s="69"/>
    </row>
    <row r="180" spans="1:27" ht="16.5" customHeight="1" x14ac:dyDescent="0.3">
      <c r="A180" s="2">
        <v>15</v>
      </c>
      <c r="B180" s="2" t="s">
        <v>4068</v>
      </c>
      <c r="C180" s="60" t="s">
        <v>14320</v>
      </c>
      <c r="D180" s="1"/>
      <c r="E180" s="68"/>
      <c r="F180" s="70"/>
      <c r="G180" s="1"/>
      <c r="H180" s="68"/>
      <c r="I180" s="70"/>
      <c r="J180" s="67"/>
      <c r="K180" s="68"/>
      <c r="L180" s="76"/>
      <c r="M180" s="83" t="s">
        <v>5895</v>
      </c>
      <c r="N180" s="64" t="s">
        <v>1</v>
      </c>
      <c r="O180" s="65">
        <v>1</v>
      </c>
      <c r="P180" s="99"/>
      <c r="Q180" s="70"/>
      <c r="R180" s="66"/>
      <c r="S180" s="57"/>
      <c r="T180" s="58"/>
      <c r="U180" s="77"/>
      <c r="V180" s="94" t="s">
        <v>18297</v>
      </c>
      <c r="W180" s="68"/>
      <c r="X180" s="76"/>
      <c r="Y180" s="70"/>
      <c r="Z180" s="228">
        <f>ROUND((ROUND((ROUND((ROUND((_15_同援日２．５*_15・通訳),0)*_15・２人),0)*(1+_15・A早朝)),0)*(1+_15・区３)),0)+ROUND((ROUND((ROUND((_15_同援日２．５＿０．５*_15・通訳),0)*_15・２人),0)*(1+_15・区３)),0)</f>
        <v>807</v>
      </c>
      <c r="AA180" s="69"/>
    </row>
    <row r="181" spans="1:27" ht="16.5" customHeight="1" x14ac:dyDescent="0.3">
      <c r="A181" s="2">
        <v>15</v>
      </c>
      <c r="B181" s="2" t="s">
        <v>4069</v>
      </c>
      <c r="C181" s="60" t="s">
        <v>14319</v>
      </c>
      <c r="D181" s="1"/>
      <c r="E181" s="68"/>
      <c r="F181" s="70"/>
      <c r="G181" s="1"/>
      <c r="H181" s="68"/>
      <c r="I181" s="70"/>
      <c r="J181" s="67"/>
      <c r="K181" s="68"/>
      <c r="L181" s="76"/>
      <c r="M181" s="85"/>
      <c r="N181" s="64"/>
      <c r="O181" s="65"/>
      <c r="P181" s="99"/>
      <c r="Q181" s="70"/>
      <c r="R181" s="74" t="s">
        <v>18296</v>
      </c>
      <c r="S181" s="62"/>
      <c r="T181" s="63"/>
      <c r="U181" s="75"/>
      <c r="V181" s="67"/>
      <c r="W181" s="68" t="s">
        <v>1</v>
      </c>
      <c r="X181" s="76">
        <v>0.2</v>
      </c>
      <c r="Y181" s="70" t="s">
        <v>422</v>
      </c>
      <c r="Z181" s="228">
        <f>ROUND((ROUND((ROUND((ROUND((_15_同援日２．５*_15・通訳),0)*(1+_15・A早朝)),0)*(1+_15・盲ろう)),0)*(1+_15・区３)),0)+ROUND((ROUND((ROUND((_15_同援日２．５＿０．５*_15・通訳),0)*(1+_15・盲ろう)),0)*(1+_15・区３)),0)</f>
        <v>1009</v>
      </c>
      <c r="AA181" s="69"/>
    </row>
    <row r="182" spans="1:27" ht="16.5" customHeight="1" x14ac:dyDescent="0.3">
      <c r="A182" s="2">
        <v>15</v>
      </c>
      <c r="B182" s="2" t="s">
        <v>4070</v>
      </c>
      <c r="C182" s="60" t="s">
        <v>14318</v>
      </c>
      <c r="D182" s="1"/>
      <c r="E182" s="68"/>
      <c r="F182" s="70"/>
      <c r="G182" s="1"/>
      <c r="H182" s="68"/>
      <c r="I182" s="70"/>
      <c r="J182" s="67"/>
      <c r="K182" s="68"/>
      <c r="L182" s="76"/>
      <c r="M182" s="83" t="s">
        <v>5895</v>
      </c>
      <c r="N182" s="64" t="s">
        <v>1</v>
      </c>
      <c r="O182" s="65">
        <v>1</v>
      </c>
      <c r="P182" s="99"/>
      <c r="Q182" s="70"/>
      <c r="R182" s="106" t="s">
        <v>18295</v>
      </c>
      <c r="S182" s="57" t="s">
        <v>1</v>
      </c>
      <c r="T182" s="58">
        <v>0.25</v>
      </c>
      <c r="U182" s="77" t="s">
        <v>422</v>
      </c>
      <c r="V182" s="66"/>
      <c r="W182" s="57"/>
      <c r="X182" s="58"/>
      <c r="Y182" s="77"/>
      <c r="Z182" s="228">
        <f>ROUND((ROUND((ROUND((ROUND((ROUND((_15_同援日２．５*_15・通訳),0)*_15・２人),0)*(1+_15・A早朝)),0)*(1+_15・盲ろう)),0)*(1+_15・区３)),0)+ROUND((ROUND((ROUND((ROUND((_15_同援日２．５＿０．５*_15・通訳),0)*_15・２人),0)*(1+_15・盲ろう)),0)*(1+_15・区３)),0)</f>
        <v>1009</v>
      </c>
      <c r="AA182" s="69"/>
    </row>
    <row r="183" spans="1:27" ht="16.5" customHeight="1" x14ac:dyDescent="0.3">
      <c r="A183" s="2">
        <v>15</v>
      </c>
      <c r="B183" s="2" t="s">
        <v>4071</v>
      </c>
      <c r="C183" s="60" t="s">
        <v>14317</v>
      </c>
      <c r="D183" s="1"/>
      <c r="E183" s="68"/>
      <c r="F183" s="70"/>
      <c r="G183" s="1"/>
      <c r="H183" s="68"/>
      <c r="I183" s="70"/>
      <c r="J183" s="67"/>
      <c r="K183" s="68"/>
      <c r="L183" s="76"/>
      <c r="M183" s="85"/>
      <c r="N183" s="64"/>
      <c r="O183" s="65"/>
      <c r="P183" s="99"/>
      <c r="Q183" s="70"/>
      <c r="R183" s="61"/>
      <c r="S183" s="62"/>
      <c r="T183" s="63"/>
      <c r="U183" s="75"/>
      <c r="V183" s="74" t="s">
        <v>18298</v>
      </c>
      <c r="W183" s="62"/>
      <c r="X183" s="63"/>
      <c r="Y183" s="75"/>
      <c r="Z183" s="228">
        <f>ROUND((ROUND((ROUND((_15_同援日２．５*_15・通訳),0)*(1+_15・A早朝)),0)*(1+_15・区４)),0)+ROUND((ROUND((_15_同援日２．５＿０．５*_15・通訳),0)*(1+_15・区４)),0)</f>
        <v>942</v>
      </c>
      <c r="AA183" s="69"/>
    </row>
    <row r="184" spans="1:27" ht="16.5" customHeight="1" x14ac:dyDescent="0.3">
      <c r="A184" s="2">
        <v>15</v>
      </c>
      <c r="B184" s="2" t="s">
        <v>4072</v>
      </c>
      <c r="C184" s="60" t="s">
        <v>14316</v>
      </c>
      <c r="D184" s="1"/>
      <c r="E184" s="68"/>
      <c r="F184" s="70"/>
      <c r="G184" s="1"/>
      <c r="H184" s="68"/>
      <c r="I184" s="70"/>
      <c r="J184" s="67"/>
      <c r="K184" s="68"/>
      <c r="L184" s="76"/>
      <c r="M184" s="83" t="s">
        <v>5895</v>
      </c>
      <c r="N184" s="64" t="s">
        <v>1</v>
      </c>
      <c r="O184" s="65">
        <v>1</v>
      </c>
      <c r="P184" s="99"/>
      <c r="Q184" s="70"/>
      <c r="R184" s="66"/>
      <c r="S184" s="57"/>
      <c r="T184" s="58"/>
      <c r="U184" s="77"/>
      <c r="V184" s="94" t="s">
        <v>18297</v>
      </c>
      <c r="W184" s="68"/>
      <c r="X184" s="76"/>
      <c r="Y184" s="70"/>
      <c r="Z184" s="228">
        <f>ROUND((ROUND((ROUND((ROUND((_15_同援日２．５*_15・通訳),0)*_15・２人),0)*(1+_15・A早朝)),0)*(1+_15・区４)),0)+ROUND((ROUND((ROUND((_15_同援日２．５＿０．５*_15・通訳),0)*_15・２人),0)*(1+_15・区４)),0)</f>
        <v>942</v>
      </c>
      <c r="AA184" s="69"/>
    </row>
    <row r="185" spans="1:27" ht="16.5" customHeight="1" x14ac:dyDescent="0.3">
      <c r="A185" s="2">
        <v>15</v>
      </c>
      <c r="B185" s="2" t="s">
        <v>4073</v>
      </c>
      <c r="C185" s="60" t="s">
        <v>14315</v>
      </c>
      <c r="D185" s="1"/>
      <c r="E185" s="68"/>
      <c r="F185" s="70"/>
      <c r="G185" s="1"/>
      <c r="H185" s="68"/>
      <c r="I185" s="70"/>
      <c r="J185" s="67"/>
      <c r="K185" s="68"/>
      <c r="L185" s="76"/>
      <c r="M185" s="85"/>
      <c r="N185" s="64"/>
      <c r="O185" s="65"/>
      <c r="P185" s="99"/>
      <c r="Q185" s="70"/>
      <c r="R185" s="74" t="s">
        <v>18296</v>
      </c>
      <c r="S185" s="62"/>
      <c r="T185" s="63"/>
      <c r="U185" s="75"/>
      <c r="V185" s="67"/>
      <c r="W185" s="68" t="s">
        <v>1</v>
      </c>
      <c r="X185" s="76">
        <v>0.4</v>
      </c>
      <c r="Y185" s="70" t="s">
        <v>422</v>
      </c>
      <c r="Z185" s="228">
        <f>ROUND((ROUND((ROUND((ROUND((_15_同援日２．５*_15・通訳),0)*(1+_15・A早朝)),0)*(1+_15・盲ろう)),0)*(1+_15・区４)),0)+ROUND((ROUND((ROUND((_15_同援日２．５＿０．５*_15・通訳),0)*(1+_15・盲ろう)),0)*(1+_15・区４)),0)</f>
        <v>1177</v>
      </c>
      <c r="AA185" s="69"/>
    </row>
    <row r="186" spans="1:27" ht="16.5" customHeight="1" x14ac:dyDescent="0.3">
      <c r="A186" s="2">
        <v>15</v>
      </c>
      <c r="B186" s="2" t="s">
        <v>4074</v>
      </c>
      <c r="C186" s="60" t="s">
        <v>14314</v>
      </c>
      <c r="D186" s="81"/>
      <c r="E186" s="57"/>
      <c r="F186" s="77"/>
      <c r="G186" s="81"/>
      <c r="H186" s="57"/>
      <c r="I186" s="77"/>
      <c r="J186" s="66"/>
      <c r="K186" s="57"/>
      <c r="L186" s="58"/>
      <c r="M186" s="83" t="s">
        <v>5895</v>
      </c>
      <c r="N186" s="64" t="s">
        <v>1</v>
      </c>
      <c r="O186" s="65">
        <v>1</v>
      </c>
      <c r="P186" s="101"/>
      <c r="Q186" s="77"/>
      <c r="R186" s="106" t="s">
        <v>18295</v>
      </c>
      <c r="S186" s="57" t="s">
        <v>1</v>
      </c>
      <c r="T186" s="58">
        <v>0.25</v>
      </c>
      <c r="U186" s="77" t="s">
        <v>422</v>
      </c>
      <c r="V186" s="66"/>
      <c r="W186" s="57"/>
      <c r="X186" s="58"/>
      <c r="Y186" s="77"/>
      <c r="Z186" s="228">
        <f>ROUND((ROUND((ROUND((ROUND((ROUND((_15_同援日２．５*_15・通訳),0)*_15・２人),0)*(1+_15・A早朝)),0)*(1+_15・盲ろう)),0)*(1+_15・区４)),0)+ROUND((ROUND((ROUND((ROUND((_15_同援日２．５＿０．５*_15・通訳),0)*_15・２人),0)*(1+_15・盲ろう)),0)*(1+_15・区４)),0)</f>
        <v>1177</v>
      </c>
      <c r="AA186" s="71"/>
    </row>
    <row r="187" spans="1:27" ht="16.5" customHeight="1" x14ac:dyDescent="0.3"/>
    <row r="188" spans="1:27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0000"/>
    <pageSetUpPr fitToPage="1"/>
  </sheetPr>
  <dimension ref="A1:AF205"/>
  <sheetViews>
    <sheetView topLeftCell="A19"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3.62890625" style="45" customWidth="1"/>
    <col min="5" max="5" width="4.1015625" style="46" bestFit="1" customWidth="1"/>
    <col min="6" max="6" width="4.734375" style="46" bestFit="1" customWidth="1"/>
    <col min="7" max="7" width="3.62890625" style="45" customWidth="1"/>
    <col min="8" max="8" width="4.1015625" style="46" bestFit="1" customWidth="1"/>
    <col min="9" max="9" width="5" style="46" customWidth="1"/>
    <col min="10" max="10" width="2.62890625" style="45" customWidth="1"/>
    <col min="11" max="11" width="3.26171875" style="46" bestFit="1" customWidth="1"/>
    <col min="12" max="12" width="4.734375" style="46" bestFit="1" customWidth="1"/>
    <col min="13" max="13" width="14.62890625" style="46" customWidth="1"/>
    <col min="14" max="14" width="3.1015625" style="46" bestFit="1" customWidth="1"/>
    <col min="15" max="15" width="4.1015625" style="47" bestFit="1" customWidth="1"/>
    <col min="16" max="16" width="25.62890625" style="46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customWidth="1"/>
    <col min="21" max="21" width="4.1015625" style="47" bestFit="1" customWidth="1"/>
    <col min="22" max="22" width="4.734375" style="46" bestFit="1" customWidth="1"/>
    <col min="23" max="23" width="20.62890625" style="46" customWidth="1"/>
    <col min="24" max="24" width="3.1015625" style="46" bestFit="1" customWidth="1"/>
    <col min="25" max="25" width="4.1015625" style="47" bestFit="1" customWidth="1"/>
    <col min="26" max="26" width="4.734375" style="46" bestFit="1" customWidth="1"/>
    <col min="27" max="27" width="7.62890625" style="46" customWidth="1"/>
    <col min="28" max="28" width="3.1015625" style="46" bestFit="1" customWidth="1"/>
    <col min="29" max="29" width="4.1015625" style="47" bestFit="1" customWidth="1"/>
    <col min="30" max="30" width="4.734375" style="46" bestFit="1" customWidth="1"/>
    <col min="31" max="31" width="6.3671875" style="84" bestFit="1" customWidth="1"/>
    <col min="32" max="32" width="7.734375" style="48" bestFit="1" customWidth="1"/>
    <col min="33" max="16384" width="9" style="49"/>
  </cols>
  <sheetData>
    <row r="1" spans="1:32" ht="16.5" customHeight="1" x14ac:dyDescent="0.3"/>
    <row r="2" spans="1:32" ht="16.5" customHeight="1" x14ac:dyDescent="0.3"/>
    <row r="3" spans="1:32" ht="16.5" customHeight="1" x14ac:dyDescent="0.3"/>
    <row r="4" spans="1:32" ht="16.5" customHeight="1" x14ac:dyDescent="0.3">
      <c r="B4" s="229" t="s">
        <v>18331</v>
      </c>
      <c r="C4" s="131"/>
      <c r="D4" s="72"/>
    </row>
    <row r="5" spans="1:3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79"/>
      <c r="K5" s="53"/>
      <c r="L5" s="53"/>
      <c r="M5" s="53"/>
      <c r="N5" s="53"/>
      <c r="O5" s="54"/>
      <c r="P5" s="53"/>
      <c r="Q5" s="53"/>
      <c r="R5" s="54"/>
      <c r="S5" s="54"/>
      <c r="T5" s="53"/>
      <c r="U5" s="54"/>
      <c r="V5" s="53"/>
      <c r="W5" s="53"/>
      <c r="X5" s="53"/>
      <c r="Y5" s="54"/>
      <c r="Z5" s="53"/>
      <c r="AA5" s="53"/>
      <c r="AB5" s="53"/>
      <c r="AC5" s="54"/>
      <c r="AD5" s="53"/>
      <c r="AE5" s="55" t="s">
        <v>5869</v>
      </c>
      <c r="AF5" s="55" t="s">
        <v>5871</v>
      </c>
    </row>
    <row r="6" spans="1:3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80" t="s">
        <v>5872</v>
      </c>
      <c r="H6" s="86"/>
      <c r="I6" s="87"/>
      <c r="J6" s="73"/>
      <c r="K6" s="57"/>
      <c r="L6" s="57"/>
      <c r="M6" s="57"/>
      <c r="N6" s="57"/>
      <c r="O6" s="58"/>
      <c r="P6" s="57"/>
      <c r="Q6" s="57"/>
      <c r="R6" s="58"/>
      <c r="S6" s="76"/>
      <c r="T6" s="68"/>
      <c r="U6" s="76"/>
      <c r="V6" s="68"/>
      <c r="W6" s="57"/>
      <c r="X6" s="57"/>
      <c r="Y6" s="58"/>
      <c r="Z6" s="57"/>
      <c r="AA6" s="57"/>
      <c r="AB6" s="57"/>
      <c r="AC6" s="58"/>
      <c r="AD6" s="57"/>
      <c r="AE6" s="59" t="s">
        <v>5870</v>
      </c>
      <c r="AF6" s="59" t="s">
        <v>0</v>
      </c>
    </row>
    <row r="7" spans="1:32" ht="16.5" customHeight="1" x14ac:dyDescent="0.3">
      <c r="A7" s="2">
        <v>15</v>
      </c>
      <c r="B7" s="2" t="s">
        <v>4075</v>
      </c>
      <c r="C7" s="60" t="s">
        <v>14685</v>
      </c>
      <c r="D7" s="233" t="s">
        <v>18330</v>
      </c>
      <c r="E7" s="235"/>
      <c r="F7" s="75"/>
      <c r="G7" s="233" t="s">
        <v>18327</v>
      </c>
      <c r="H7" s="235"/>
      <c r="I7" s="75"/>
      <c r="J7" s="74"/>
      <c r="K7" s="62"/>
      <c r="L7" s="62"/>
      <c r="M7" s="62"/>
      <c r="N7" s="62"/>
      <c r="O7" s="63"/>
      <c r="P7" s="83"/>
      <c r="Q7" s="64"/>
      <c r="R7" s="65"/>
      <c r="S7" s="98"/>
      <c r="T7" s="62"/>
      <c r="U7" s="63"/>
      <c r="V7" s="75"/>
      <c r="W7" s="88"/>
      <c r="X7" s="62"/>
      <c r="Y7" s="63"/>
      <c r="Z7" s="75"/>
      <c r="AA7" s="74"/>
      <c r="AB7" s="62"/>
      <c r="AC7" s="63"/>
      <c r="AD7" s="75"/>
      <c r="AE7" s="228">
        <f>ROUND((_15_同援日０．５*_15・通訳),0)+ROUND((ROUND((_15_同援日０．５＿０．５*_15・通訳),0)*(1+_15・B夜間)),0)</f>
        <v>287</v>
      </c>
      <c r="AF7" s="52" t="s">
        <v>5863</v>
      </c>
    </row>
    <row r="8" spans="1:32" ht="16.5" customHeight="1" x14ac:dyDescent="0.3">
      <c r="A8" s="2">
        <v>15</v>
      </c>
      <c r="B8" s="2" t="s">
        <v>4076</v>
      </c>
      <c r="C8" s="60" t="s">
        <v>14684</v>
      </c>
      <c r="D8" s="1" t="s">
        <v>7928</v>
      </c>
      <c r="E8" s="68"/>
      <c r="F8" s="70"/>
      <c r="G8" s="1" t="s">
        <v>7928</v>
      </c>
      <c r="H8" s="68"/>
      <c r="I8" s="70"/>
      <c r="J8" s="1"/>
      <c r="K8" s="68"/>
      <c r="L8" s="68"/>
      <c r="M8" s="68"/>
      <c r="N8" s="68"/>
      <c r="O8" s="76"/>
      <c r="P8" s="83" t="s">
        <v>5895</v>
      </c>
      <c r="Q8" s="64" t="s">
        <v>1</v>
      </c>
      <c r="R8" s="65">
        <v>1</v>
      </c>
      <c r="S8" s="99"/>
      <c r="T8" s="68"/>
      <c r="U8" s="76"/>
      <c r="V8" s="70"/>
      <c r="W8" s="73"/>
      <c r="X8" s="57"/>
      <c r="Y8" s="58"/>
      <c r="Z8" s="77"/>
      <c r="AA8" s="1"/>
      <c r="AB8" s="68"/>
      <c r="AC8" s="76"/>
      <c r="AD8" s="70"/>
      <c r="AE8" s="228">
        <f>ROUND((ROUND((_15_同援日０．５*_15・通訳),0)*_15・２人),0)+ROUND((ROUND((ROUND((_15_同援日０．５＿０．５*_15・通訳),0)*_15・２人),0)*(1+_15・B夜間)),0)</f>
        <v>287</v>
      </c>
      <c r="AF8" s="69"/>
    </row>
    <row r="9" spans="1:32" ht="16.5" customHeight="1" x14ac:dyDescent="0.3">
      <c r="A9" s="2">
        <v>15</v>
      </c>
      <c r="B9" s="2" t="s">
        <v>4077</v>
      </c>
      <c r="C9" s="60" t="s">
        <v>14683</v>
      </c>
      <c r="D9" s="1"/>
      <c r="E9" s="68"/>
      <c r="F9" s="70"/>
      <c r="G9" s="1"/>
      <c r="H9" s="68"/>
      <c r="I9" s="70"/>
      <c r="J9" s="1"/>
      <c r="K9" s="68"/>
      <c r="L9" s="68"/>
      <c r="M9" s="68"/>
      <c r="N9" s="68"/>
      <c r="O9" s="76"/>
      <c r="P9" s="83"/>
      <c r="Q9" s="64"/>
      <c r="R9" s="65"/>
      <c r="S9" s="99"/>
      <c r="T9" s="68"/>
      <c r="U9" s="76"/>
      <c r="V9" s="70"/>
      <c r="W9" s="88" t="s">
        <v>18087</v>
      </c>
      <c r="X9" s="62"/>
      <c r="Y9" s="63"/>
      <c r="Z9" s="75"/>
      <c r="AA9" s="1"/>
      <c r="AB9" s="68"/>
      <c r="AC9" s="76"/>
      <c r="AD9" s="70"/>
      <c r="AE9" s="228">
        <f>ROUND((ROUND((_15_同援日０．５*_15・通訳),0)*(1+_15・盲ろう)),0)+ROUND((ROUND((ROUND((_15_同援日０．５＿０．５*_15・通訳),0)*(1+_15・B夜間)),0)*(1+_15・盲ろう)),0)</f>
        <v>359</v>
      </c>
      <c r="AF9" s="69"/>
    </row>
    <row r="10" spans="1:32" ht="16.5" customHeight="1" x14ac:dyDescent="0.3">
      <c r="A10" s="2">
        <v>15</v>
      </c>
      <c r="B10" s="2" t="s">
        <v>4078</v>
      </c>
      <c r="C10" s="60" t="s">
        <v>14682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"/>
      <c r="K10" s="68"/>
      <c r="L10" s="68"/>
      <c r="M10" s="68"/>
      <c r="N10" s="68"/>
      <c r="O10" s="76"/>
      <c r="P10" s="83" t="s">
        <v>5895</v>
      </c>
      <c r="Q10" s="64" t="s">
        <v>1</v>
      </c>
      <c r="R10" s="65">
        <v>1</v>
      </c>
      <c r="S10" s="99"/>
      <c r="T10" s="68"/>
      <c r="U10" s="76"/>
      <c r="V10" s="70"/>
      <c r="W10" s="73" t="s">
        <v>18086</v>
      </c>
      <c r="X10" s="57" t="s">
        <v>1</v>
      </c>
      <c r="Y10" s="58">
        <v>0.25</v>
      </c>
      <c r="Z10" s="77" t="s">
        <v>422</v>
      </c>
      <c r="AA10" s="81"/>
      <c r="AB10" s="57"/>
      <c r="AC10" s="58"/>
      <c r="AD10" s="77"/>
      <c r="AE10" s="228">
        <f>ROUND((ROUND((ROUND((_15_同援日０．５*_15・通訳),0)*_15・２人),0)*(1+_15・盲ろう)),0)+ROUND((ROUND((ROUND((ROUND((_15_同援日０．５＿０．５*_15・通訳),0)*_15・２人),0)*(1+_15・B夜間)),0)*(1+_15・盲ろう)),0)</f>
        <v>359</v>
      </c>
      <c r="AF10" s="69"/>
    </row>
    <row r="11" spans="1:32" ht="16.5" customHeight="1" x14ac:dyDescent="0.3">
      <c r="A11" s="2">
        <v>15</v>
      </c>
      <c r="B11" s="2" t="s">
        <v>4079</v>
      </c>
      <c r="C11" s="60" t="s">
        <v>14681</v>
      </c>
      <c r="D11" s="1"/>
      <c r="E11" s="68"/>
      <c r="F11" s="70"/>
      <c r="G11" s="1"/>
      <c r="H11" s="68"/>
      <c r="I11" s="70"/>
      <c r="J11" s="1" t="s">
        <v>17396</v>
      </c>
      <c r="K11" s="68"/>
      <c r="L11" s="68"/>
      <c r="M11" s="68"/>
      <c r="N11" s="68"/>
      <c r="O11" s="76"/>
      <c r="P11" s="83"/>
      <c r="Q11" s="64"/>
      <c r="R11" s="65"/>
      <c r="S11" s="99"/>
      <c r="T11" s="68"/>
      <c r="U11" s="76"/>
      <c r="V11" s="70"/>
      <c r="W11" s="88"/>
      <c r="X11" s="62"/>
      <c r="Y11" s="63"/>
      <c r="Z11" s="75"/>
      <c r="AA11" s="74" t="s">
        <v>18089</v>
      </c>
      <c r="AB11" s="62"/>
      <c r="AC11" s="63"/>
      <c r="AD11" s="75"/>
      <c r="AE11" s="228">
        <f>ROUND((ROUND((_15_同援日０．５*_15・通訳),0)*(1+_15・区３)),0)+ROUND((ROUND((ROUND((_15_同援日０．５＿０．５*_15・通訳),0)*(1+_15・B夜間)),0)*(1+_15・区３)),0)</f>
        <v>344</v>
      </c>
      <c r="AF11" s="69"/>
    </row>
    <row r="12" spans="1:32" ht="16.5" customHeight="1" x14ac:dyDescent="0.3">
      <c r="A12" s="2">
        <v>15</v>
      </c>
      <c r="B12" s="2" t="s">
        <v>4080</v>
      </c>
      <c r="C12" s="60" t="s">
        <v>14680</v>
      </c>
      <c r="D12" s="1"/>
      <c r="E12" s="68"/>
      <c r="F12" s="70"/>
      <c r="G12" s="1"/>
      <c r="H12" s="68"/>
      <c r="I12" s="70"/>
      <c r="J12" s="94"/>
      <c r="K12" s="68"/>
      <c r="L12" s="68"/>
      <c r="M12" s="68"/>
      <c r="N12" s="68" t="s">
        <v>1</v>
      </c>
      <c r="O12" s="76">
        <v>0.9</v>
      </c>
      <c r="P12" s="83" t="s">
        <v>5895</v>
      </c>
      <c r="Q12" s="64" t="s">
        <v>1</v>
      </c>
      <c r="R12" s="65">
        <v>1</v>
      </c>
      <c r="S12" s="108" t="s">
        <v>17395</v>
      </c>
      <c r="T12" s="68"/>
      <c r="U12" s="76"/>
      <c r="V12" s="70"/>
      <c r="W12" s="73"/>
      <c r="X12" s="57"/>
      <c r="Y12" s="58"/>
      <c r="Z12" s="77"/>
      <c r="AA12" s="1" t="s">
        <v>18084</v>
      </c>
      <c r="AB12" s="68"/>
      <c r="AC12" s="76"/>
      <c r="AD12" s="70"/>
      <c r="AE12" s="228">
        <f>ROUND((ROUND((ROUND((_15_同援日０．５*_15・通訳),0)*_15・２人),0)*(1+_15・区３)),0)+ROUND((ROUND((ROUND((ROUND((_15_同援日０．５＿０．５*_15・通訳),0)*_15・２人),0)*(1+_15・B夜間)),0)*(1+_15・区３)),0)</f>
        <v>344</v>
      </c>
      <c r="AF12" s="69"/>
    </row>
    <row r="13" spans="1:32" ht="16.5" customHeight="1" x14ac:dyDescent="0.3">
      <c r="A13" s="2">
        <v>15</v>
      </c>
      <c r="B13" s="2" t="s">
        <v>4081</v>
      </c>
      <c r="C13" s="60" t="s">
        <v>14679</v>
      </c>
      <c r="D13" s="1"/>
      <c r="E13" s="68"/>
      <c r="F13" s="70"/>
      <c r="G13" s="1"/>
      <c r="H13" s="68"/>
      <c r="I13" s="70"/>
      <c r="J13" s="1"/>
      <c r="K13" s="68"/>
      <c r="L13" s="68"/>
      <c r="M13" s="68"/>
      <c r="N13" s="68"/>
      <c r="O13" s="76"/>
      <c r="P13" s="83"/>
      <c r="Q13" s="64"/>
      <c r="R13" s="65"/>
      <c r="S13" s="99"/>
      <c r="T13" s="68"/>
      <c r="U13" s="68" t="s">
        <v>1</v>
      </c>
      <c r="V13" s="93">
        <v>0.25</v>
      </c>
      <c r="W13" s="88" t="s">
        <v>17969</v>
      </c>
      <c r="X13" s="62"/>
      <c r="Y13" s="63"/>
      <c r="Z13" s="75"/>
      <c r="AA13" s="1"/>
      <c r="AB13" s="68" t="s">
        <v>1</v>
      </c>
      <c r="AC13" s="76">
        <v>0.2</v>
      </c>
      <c r="AD13" s="70" t="s">
        <v>422</v>
      </c>
      <c r="AE13" s="228">
        <f>ROUND((ROUND((ROUND((_15_同援日０．５*_15・通訳),0)*(1+_15・盲ろう)),0)*(1+_15・区３)),0)+ROUND((ROUND((ROUND((ROUND((_15_同援日０．５＿０．５*_15・通訳),0)*(1+_15・B夜間)),0)*(1+_15・盲ろう)),0)*(1+_15・区３)),0)</f>
        <v>431</v>
      </c>
      <c r="AF13" s="69"/>
    </row>
    <row r="14" spans="1:32" ht="16.5" customHeight="1" x14ac:dyDescent="0.3">
      <c r="A14" s="2">
        <v>15</v>
      </c>
      <c r="B14" s="2" t="s">
        <v>4082</v>
      </c>
      <c r="C14" s="60" t="s">
        <v>14678</v>
      </c>
      <c r="D14" s="1"/>
      <c r="E14" s="68"/>
      <c r="F14" s="70"/>
      <c r="G14" s="1"/>
      <c r="H14" s="68"/>
      <c r="I14" s="70"/>
      <c r="J14" s="1"/>
      <c r="K14" s="68"/>
      <c r="L14" s="68"/>
      <c r="M14" s="68"/>
      <c r="N14" s="68"/>
      <c r="O14" s="76"/>
      <c r="P14" s="83" t="s">
        <v>5895</v>
      </c>
      <c r="Q14" s="64" t="s">
        <v>1</v>
      </c>
      <c r="R14" s="65">
        <v>1</v>
      </c>
      <c r="S14" s="99"/>
      <c r="T14" s="68"/>
      <c r="U14" s="76"/>
      <c r="V14" s="100" t="s">
        <v>422</v>
      </c>
      <c r="W14" s="73" t="s">
        <v>18086</v>
      </c>
      <c r="X14" s="57" t="s">
        <v>1</v>
      </c>
      <c r="Y14" s="58">
        <v>0.25</v>
      </c>
      <c r="Z14" s="77" t="s">
        <v>422</v>
      </c>
      <c r="AA14" s="81"/>
      <c r="AB14" s="57"/>
      <c r="AC14" s="58"/>
      <c r="AD14" s="77"/>
      <c r="AE14" s="228">
        <f>ROUND((ROUND((ROUND((ROUND((_15_同援日０．５*_15・通訳),0)*_15・２人),0)*(1+_15・盲ろう)),0)*(1+_15・区３)),0)+ROUND((ROUND((ROUND((ROUND((ROUND((_15_同援日０．５＿０．５*_15・通訳),0)*_15・２人),0)*(1+_15・B夜間)),0)*(1+_15・盲ろう)),0)*(1+_15・区３)),0)</f>
        <v>431</v>
      </c>
      <c r="AF14" s="69"/>
    </row>
    <row r="15" spans="1:32" ht="16.5" customHeight="1" x14ac:dyDescent="0.3">
      <c r="A15" s="2">
        <v>15</v>
      </c>
      <c r="B15" s="2" t="s">
        <v>4083</v>
      </c>
      <c r="C15" s="60" t="s">
        <v>14677</v>
      </c>
      <c r="D15" s="1"/>
      <c r="E15" s="68"/>
      <c r="F15" s="70"/>
      <c r="G15" s="1"/>
      <c r="H15" s="68"/>
      <c r="I15" s="70"/>
      <c r="J15" s="1"/>
      <c r="K15" s="68"/>
      <c r="L15" s="68"/>
      <c r="M15" s="68"/>
      <c r="N15" s="68"/>
      <c r="O15" s="76"/>
      <c r="P15" s="83"/>
      <c r="Q15" s="64"/>
      <c r="R15" s="65"/>
      <c r="S15" s="99"/>
      <c r="T15" s="68"/>
      <c r="U15" s="76"/>
      <c r="V15" s="70"/>
      <c r="W15" s="88"/>
      <c r="X15" s="62"/>
      <c r="Y15" s="63"/>
      <c r="Z15" s="75"/>
      <c r="AA15" s="74" t="s">
        <v>8089</v>
      </c>
      <c r="AB15" s="62"/>
      <c r="AC15" s="63"/>
      <c r="AD15" s="75"/>
      <c r="AE15" s="228">
        <f>ROUND((ROUND((_15_同援日０．５*_15・通訳),0)*(1+_15・区４)),0)+ROUND((ROUND((ROUND((_15_同援日０．５＿０．５*_15・通訳),0)*(1+_15・B夜間)),0)*(1+_15・区４)),0)</f>
        <v>401</v>
      </c>
      <c r="AF15" s="69"/>
    </row>
    <row r="16" spans="1:32" ht="16.5" customHeight="1" x14ac:dyDescent="0.3">
      <c r="A16" s="2">
        <v>15</v>
      </c>
      <c r="B16" s="2" t="s">
        <v>4084</v>
      </c>
      <c r="C16" s="60" t="s">
        <v>14676</v>
      </c>
      <c r="D16" s="1"/>
      <c r="E16" s="68"/>
      <c r="F16" s="70"/>
      <c r="G16" s="1"/>
      <c r="H16" s="68"/>
      <c r="I16" s="70"/>
      <c r="J16" s="1"/>
      <c r="K16" s="68"/>
      <c r="L16" s="68"/>
      <c r="M16" s="68"/>
      <c r="N16" s="68"/>
      <c r="O16" s="76"/>
      <c r="P16" s="83" t="s">
        <v>5895</v>
      </c>
      <c r="Q16" s="64" t="s">
        <v>1</v>
      </c>
      <c r="R16" s="65">
        <v>1</v>
      </c>
      <c r="S16" s="99"/>
      <c r="T16" s="68"/>
      <c r="U16" s="76"/>
      <c r="V16" s="70"/>
      <c r="W16" s="73"/>
      <c r="X16" s="57"/>
      <c r="Y16" s="58"/>
      <c r="Z16" s="77"/>
      <c r="AA16" s="1" t="s">
        <v>18084</v>
      </c>
      <c r="AB16" s="68"/>
      <c r="AC16" s="76"/>
      <c r="AD16" s="70"/>
      <c r="AE16" s="228">
        <f>ROUND((ROUND((ROUND((_15_同援日０．５*_15・通訳),0)*_15・２人),0)*(1+_15・区４)),0)+ROUND((ROUND((ROUND((ROUND((_15_同援日０．５＿０．５*_15・通訳),0)*_15・２人),0)*(1+_15・B夜間)),0)*(1+_15・区４)),0)</f>
        <v>401</v>
      </c>
      <c r="AF16" s="69"/>
    </row>
    <row r="17" spans="1:32" ht="16.5" customHeight="1" x14ac:dyDescent="0.3">
      <c r="A17" s="2">
        <v>15</v>
      </c>
      <c r="B17" s="2" t="s">
        <v>4085</v>
      </c>
      <c r="C17" s="60" t="s">
        <v>14675</v>
      </c>
      <c r="D17" s="1"/>
      <c r="E17" s="68"/>
      <c r="F17" s="70"/>
      <c r="G17" s="1"/>
      <c r="H17" s="68"/>
      <c r="I17" s="70"/>
      <c r="J17" s="1"/>
      <c r="K17" s="68"/>
      <c r="L17" s="68"/>
      <c r="M17" s="68"/>
      <c r="N17" s="68"/>
      <c r="O17" s="76"/>
      <c r="P17" s="83"/>
      <c r="Q17" s="64"/>
      <c r="R17" s="65"/>
      <c r="S17" s="99"/>
      <c r="T17" s="68"/>
      <c r="U17" s="76"/>
      <c r="V17" s="70"/>
      <c r="W17" s="88" t="s">
        <v>8085</v>
      </c>
      <c r="X17" s="62"/>
      <c r="Y17" s="63"/>
      <c r="Z17" s="75"/>
      <c r="AA17" s="1"/>
      <c r="AB17" s="68" t="s">
        <v>1</v>
      </c>
      <c r="AC17" s="76">
        <v>0.4</v>
      </c>
      <c r="AD17" s="70" t="s">
        <v>422</v>
      </c>
      <c r="AE17" s="228">
        <f>ROUND((ROUND((ROUND((_15_同援日０．５*_15・通訳),0)*(1+_15・盲ろう)),0)*(1+_15・区４)),0)+ROUND((ROUND((ROUND((ROUND((_15_同援日０．５＿０．５*_15・通訳),0)*(1+_15・B夜間)),0)*(1+_15・盲ろう)),0)*(1+_15・区４)),0)</f>
        <v>502</v>
      </c>
      <c r="AF17" s="69"/>
    </row>
    <row r="18" spans="1:32" ht="16.5" customHeight="1" x14ac:dyDescent="0.3">
      <c r="A18" s="2">
        <v>15</v>
      </c>
      <c r="B18" s="2" t="s">
        <v>4086</v>
      </c>
      <c r="C18" s="60" t="s">
        <v>14674</v>
      </c>
      <c r="D18" s="1"/>
      <c r="E18" s="68"/>
      <c r="F18" s="70"/>
      <c r="G18" s="81"/>
      <c r="H18" s="57"/>
      <c r="I18" s="77"/>
      <c r="J18" s="1"/>
      <c r="K18" s="68"/>
      <c r="L18" s="68"/>
      <c r="M18" s="68"/>
      <c r="N18" s="68"/>
      <c r="O18" s="76"/>
      <c r="P18" s="83" t="s">
        <v>5895</v>
      </c>
      <c r="Q18" s="64" t="s">
        <v>1</v>
      </c>
      <c r="R18" s="65">
        <v>1</v>
      </c>
      <c r="S18" s="99"/>
      <c r="T18" s="68"/>
      <c r="U18" s="76"/>
      <c r="V18" s="70"/>
      <c r="W18" s="73" t="s">
        <v>17968</v>
      </c>
      <c r="X18" s="57" t="s">
        <v>1</v>
      </c>
      <c r="Y18" s="58">
        <v>0.25</v>
      </c>
      <c r="Z18" s="77" t="s">
        <v>422</v>
      </c>
      <c r="AA18" s="81"/>
      <c r="AB18" s="57"/>
      <c r="AC18" s="58"/>
      <c r="AD18" s="77"/>
      <c r="AE18" s="228">
        <f>ROUND((ROUND((ROUND((ROUND((_15_同援日０．５*_15・通訳),0)*_15・２人),0)*(1+_15・盲ろう)),0)*(1+_15・区４)),0)+ROUND((ROUND((ROUND((ROUND((ROUND((_15_同援日０．５＿０．５*_15・通訳),0)*_15・２人),0)*(1+_15・B夜間)),0)*(1+_15・盲ろう)),0)*(1+_15・区４)),0)</f>
        <v>502</v>
      </c>
      <c r="AF18" s="69"/>
    </row>
    <row r="19" spans="1:32" ht="16.5" customHeight="1" x14ac:dyDescent="0.3">
      <c r="A19" s="2">
        <v>15</v>
      </c>
      <c r="B19" s="2" t="s">
        <v>4087</v>
      </c>
      <c r="C19" s="60" t="s">
        <v>14673</v>
      </c>
      <c r="D19" s="1"/>
      <c r="E19" s="68"/>
      <c r="F19" s="70"/>
      <c r="G19" s="233" t="s">
        <v>6038</v>
      </c>
      <c r="H19" s="235"/>
      <c r="I19" s="75"/>
      <c r="J19" s="1"/>
      <c r="K19" s="68"/>
      <c r="L19" s="68"/>
      <c r="M19" s="68"/>
      <c r="N19" s="68"/>
      <c r="O19" s="76"/>
      <c r="P19" s="83"/>
      <c r="Q19" s="64"/>
      <c r="R19" s="65"/>
      <c r="S19" s="99"/>
      <c r="T19" s="68"/>
      <c r="U19" s="76"/>
      <c r="V19" s="70"/>
      <c r="W19" s="88"/>
      <c r="X19" s="62"/>
      <c r="Y19" s="63"/>
      <c r="Z19" s="75"/>
      <c r="AA19" s="74"/>
      <c r="AB19" s="62"/>
      <c r="AC19" s="63"/>
      <c r="AD19" s="75"/>
      <c r="AE19" s="228">
        <f>ROUND((_15_同援日０．５*_15・通訳),0)+ROUND((ROUND((_15_同援日０．５＿１．０*_15・通訳),0)*(1+_15・B夜間)),0)</f>
        <v>432</v>
      </c>
      <c r="AF19" s="69"/>
    </row>
    <row r="20" spans="1:32" ht="16.5" customHeight="1" x14ac:dyDescent="0.3">
      <c r="A20" s="2">
        <v>15</v>
      </c>
      <c r="B20" s="2" t="s">
        <v>4088</v>
      </c>
      <c r="C20" s="60" t="s">
        <v>14672</v>
      </c>
      <c r="D20" s="1"/>
      <c r="E20" s="68"/>
      <c r="F20" s="70"/>
      <c r="G20" s="1" t="s">
        <v>17067</v>
      </c>
      <c r="H20" s="68"/>
      <c r="I20" s="70"/>
      <c r="J20" s="1"/>
      <c r="K20" s="68"/>
      <c r="L20" s="68"/>
      <c r="M20" s="68"/>
      <c r="N20" s="68"/>
      <c r="O20" s="76"/>
      <c r="P20" s="83" t="s">
        <v>5895</v>
      </c>
      <c r="Q20" s="64" t="s">
        <v>1</v>
      </c>
      <c r="R20" s="65">
        <v>1</v>
      </c>
      <c r="S20" s="99"/>
      <c r="T20" s="68"/>
      <c r="U20" s="76"/>
      <c r="V20" s="70"/>
      <c r="W20" s="73"/>
      <c r="X20" s="57"/>
      <c r="Y20" s="58"/>
      <c r="Z20" s="77"/>
      <c r="AA20" s="1"/>
      <c r="AB20" s="68"/>
      <c r="AC20" s="76"/>
      <c r="AD20" s="70"/>
      <c r="AE20" s="228">
        <f>ROUND((ROUND((_15_同援日０．５*_15・通訳),0)*_15・２人),0)+ROUND((ROUND((ROUND((_15_同援日０．５＿１．０*_15・通訳),0)*_15・２人),0)*(1+_15・B夜間)),0)</f>
        <v>432</v>
      </c>
      <c r="AF20" s="69"/>
    </row>
    <row r="21" spans="1:32" ht="16.5" customHeight="1" x14ac:dyDescent="0.3">
      <c r="A21" s="2">
        <v>15</v>
      </c>
      <c r="B21" s="2" t="s">
        <v>4089</v>
      </c>
      <c r="C21" s="60" t="s">
        <v>14671</v>
      </c>
      <c r="D21" s="1"/>
      <c r="E21" s="68"/>
      <c r="F21" s="70"/>
      <c r="G21" s="1" t="s">
        <v>8572</v>
      </c>
      <c r="H21" s="68"/>
      <c r="I21" s="70"/>
      <c r="J21" s="1"/>
      <c r="K21" s="68"/>
      <c r="L21" s="68"/>
      <c r="M21" s="68"/>
      <c r="N21" s="68"/>
      <c r="O21" s="76"/>
      <c r="P21" s="83"/>
      <c r="Q21" s="64"/>
      <c r="R21" s="65"/>
      <c r="S21" s="99"/>
      <c r="T21" s="68"/>
      <c r="U21" s="76"/>
      <c r="V21" s="70"/>
      <c r="W21" s="88" t="s">
        <v>18087</v>
      </c>
      <c r="X21" s="62"/>
      <c r="Y21" s="63"/>
      <c r="Z21" s="75"/>
      <c r="AA21" s="1"/>
      <c r="AB21" s="68"/>
      <c r="AC21" s="76"/>
      <c r="AD21" s="70"/>
      <c r="AE21" s="228">
        <f>ROUND((ROUND((_15_同援日０．５*_15・通訳),0)*(1+_15・盲ろう)),0)+ROUND((ROUND((ROUND((_15_同援日０．５＿１．０*_15・通訳),0)*(1+_15・B夜間)),0)*(1+_15・盲ろう)),0)</f>
        <v>541</v>
      </c>
      <c r="AF21" s="69"/>
    </row>
    <row r="22" spans="1:32" ht="16.5" customHeight="1" x14ac:dyDescent="0.3">
      <c r="A22" s="2">
        <v>15</v>
      </c>
      <c r="B22" s="2" t="s">
        <v>4090</v>
      </c>
      <c r="C22" s="60" t="s">
        <v>14670</v>
      </c>
      <c r="D22" s="1"/>
      <c r="E22" s="68"/>
      <c r="F22" s="70"/>
      <c r="G22" s="1"/>
      <c r="H22" s="227">
        <v>237</v>
      </c>
      <c r="I22" s="70" t="s">
        <v>0</v>
      </c>
      <c r="J22" s="1"/>
      <c r="K22" s="68"/>
      <c r="L22" s="68"/>
      <c r="M22" s="68"/>
      <c r="N22" s="68"/>
      <c r="O22" s="76"/>
      <c r="P22" s="83" t="s">
        <v>5895</v>
      </c>
      <c r="Q22" s="64" t="s">
        <v>1</v>
      </c>
      <c r="R22" s="65">
        <v>1</v>
      </c>
      <c r="S22" s="99"/>
      <c r="T22" s="68"/>
      <c r="U22" s="76"/>
      <c r="V22" s="70"/>
      <c r="W22" s="73" t="s">
        <v>17968</v>
      </c>
      <c r="X22" s="57" t="s">
        <v>1</v>
      </c>
      <c r="Y22" s="58">
        <v>0.25</v>
      </c>
      <c r="Z22" s="77" t="s">
        <v>422</v>
      </c>
      <c r="AA22" s="81"/>
      <c r="AB22" s="57"/>
      <c r="AC22" s="58"/>
      <c r="AD22" s="77"/>
      <c r="AE22" s="228">
        <f>ROUND((ROUND((ROUND((_15_同援日０．５*_15・通訳),0)*_15・２人),0)*(1+_15・盲ろう)),0)+ROUND((ROUND((ROUND((ROUND((_15_同援日０．５＿１．０*_15・通訳),0)*_15・２人),0)*(1+_15・B夜間)),0)*(1+_15・盲ろう)),0)</f>
        <v>541</v>
      </c>
      <c r="AF22" s="69"/>
    </row>
    <row r="23" spans="1:32" ht="16.5" customHeight="1" x14ac:dyDescent="0.3">
      <c r="A23" s="2">
        <v>15</v>
      </c>
      <c r="B23" s="2" t="s">
        <v>4091</v>
      </c>
      <c r="C23" s="60" t="s">
        <v>14669</v>
      </c>
      <c r="D23" s="1"/>
      <c r="E23" s="68"/>
      <c r="F23" s="70"/>
      <c r="G23" s="1"/>
      <c r="H23" s="68"/>
      <c r="I23" s="70"/>
      <c r="J23" s="1"/>
      <c r="K23" s="68"/>
      <c r="L23" s="68"/>
      <c r="M23" s="68"/>
      <c r="N23" s="68"/>
      <c r="O23" s="76"/>
      <c r="P23" s="83"/>
      <c r="Q23" s="64"/>
      <c r="R23" s="65"/>
      <c r="S23" s="99"/>
      <c r="T23" s="68"/>
      <c r="U23" s="76"/>
      <c r="V23" s="70"/>
      <c r="W23" s="88"/>
      <c r="X23" s="62"/>
      <c r="Y23" s="63"/>
      <c r="Z23" s="75"/>
      <c r="AA23" s="74" t="s">
        <v>18089</v>
      </c>
      <c r="AB23" s="62"/>
      <c r="AC23" s="63"/>
      <c r="AD23" s="75"/>
      <c r="AE23" s="228">
        <f>ROUND((ROUND((_15_同援日０．５*_15・通訳),0)*(1+_15・区３)),0)+ROUND((ROUND((ROUND((_15_同援日０．５＿１．０*_15・通訳),0)*(1+_15・B夜間)),0)*(1+_15・区３)),0)</f>
        <v>518</v>
      </c>
      <c r="AF23" s="69"/>
    </row>
    <row r="24" spans="1:32" ht="16.5" customHeight="1" x14ac:dyDescent="0.3">
      <c r="A24" s="2">
        <v>15</v>
      </c>
      <c r="B24" s="2" t="s">
        <v>4092</v>
      </c>
      <c r="C24" s="60" t="s">
        <v>14668</v>
      </c>
      <c r="D24" s="1"/>
      <c r="E24" s="68"/>
      <c r="F24" s="70"/>
      <c r="G24" s="1"/>
      <c r="H24" s="68"/>
      <c r="I24" s="70"/>
      <c r="J24" s="1"/>
      <c r="K24" s="68"/>
      <c r="L24" s="68"/>
      <c r="M24" s="68"/>
      <c r="N24" s="68"/>
      <c r="O24" s="76"/>
      <c r="P24" s="83" t="s">
        <v>5895</v>
      </c>
      <c r="Q24" s="64" t="s">
        <v>1</v>
      </c>
      <c r="R24" s="65">
        <v>1</v>
      </c>
      <c r="S24" s="99"/>
      <c r="T24" s="68"/>
      <c r="U24" s="76"/>
      <c r="V24" s="70"/>
      <c r="W24" s="73"/>
      <c r="X24" s="57"/>
      <c r="Y24" s="58"/>
      <c r="Z24" s="77"/>
      <c r="AA24" s="1" t="s">
        <v>18084</v>
      </c>
      <c r="AB24" s="68"/>
      <c r="AC24" s="76"/>
      <c r="AD24" s="70"/>
      <c r="AE24" s="228">
        <f>ROUND((ROUND((ROUND((_15_同援日０．５*_15・通訳),0)*_15・２人),0)*(1+_15・区３)),0)+ROUND((ROUND((ROUND((ROUND((_15_同援日０．５＿１．０*_15・通訳),0)*_15・２人),0)*(1+_15・B夜間)),0)*(1+_15・区３)),0)</f>
        <v>518</v>
      </c>
      <c r="AF24" s="69"/>
    </row>
    <row r="25" spans="1:32" ht="16.5" customHeight="1" x14ac:dyDescent="0.3">
      <c r="A25" s="2">
        <v>15</v>
      </c>
      <c r="B25" s="2" t="s">
        <v>4093</v>
      </c>
      <c r="C25" s="60" t="s">
        <v>14667</v>
      </c>
      <c r="D25" s="1"/>
      <c r="E25" s="68"/>
      <c r="F25" s="70"/>
      <c r="G25" s="1"/>
      <c r="H25" s="68"/>
      <c r="I25" s="70"/>
      <c r="J25" s="1"/>
      <c r="K25" s="68"/>
      <c r="L25" s="68"/>
      <c r="M25" s="68"/>
      <c r="N25" s="68"/>
      <c r="O25" s="76"/>
      <c r="P25" s="83"/>
      <c r="Q25" s="64"/>
      <c r="R25" s="65"/>
      <c r="S25" s="99"/>
      <c r="T25" s="68"/>
      <c r="U25" s="76"/>
      <c r="V25" s="70"/>
      <c r="W25" s="88" t="s">
        <v>18087</v>
      </c>
      <c r="X25" s="62"/>
      <c r="Y25" s="63"/>
      <c r="Z25" s="75"/>
      <c r="AA25" s="1"/>
      <c r="AB25" s="68" t="s">
        <v>1</v>
      </c>
      <c r="AC25" s="76">
        <v>0.2</v>
      </c>
      <c r="AD25" s="70" t="s">
        <v>422</v>
      </c>
      <c r="AE25" s="228">
        <f>ROUND((ROUND((ROUND((_15_同援日０．５*_15・通訳),0)*(1+_15・盲ろう)),0)*(1+_15・区３)),0)+ROUND((ROUND((ROUND((ROUND((_15_同援日０．５＿１．０*_15・通訳),0)*(1+_15・B夜間)),0)*(1+_15・盲ろう)),0)*(1+_15・区３)),0)</f>
        <v>650</v>
      </c>
      <c r="AF25" s="69"/>
    </row>
    <row r="26" spans="1:32" ht="16.5" customHeight="1" x14ac:dyDescent="0.3">
      <c r="A26" s="2">
        <v>15</v>
      </c>
      <c r="B26" s="2" t="s">
        <v>4094</v>
      </c>
      <c r="C26" s="60" t="s">
        <v>14666</v>
      </c>
      <c r="D26" s="1"/>
      <c r="E26" s="68"/>
      <c r="F26" s="70"/>
      <c r="G26" s="1"/>
      <c r="H26" s="68"/>
      <c r="I26" s="70"/>
      <c r="J26" s="1"/>
      <c r="K26" s="68"/>
      <c r="L26" s="68"/>
      <c r="M26" s="68"/>
      <c r="N26" s="68"/>
      <c r="O26" s="76"/>
      <c r="P26" s="83" t="s">
        <v>5895</v>
      </c>
      <c r="Q26" s="64" t="s">
        <v>1</v>
      </c>
      <c r="R26" s="65">
        <v>1</v>
      </c>
      <c r="S26" s="99"/>
      <c r="T26" s="68"/>
      <c r="U26" s="76"/>
      <c r="V26" s="70"/>
      <c r="W26" s="73" t="s">
        <v>8083</v>
      </c>
      <c r="X26" s="57" t="s">
        <v>1</v>
      </c>
      <c r="Y26" s="58">
        <v>0.25</v>
      </c>
      <c r="Z26" s="77" t="s">
        <v>422</v>
      </c>
      <c r="AA26" s="81"/>
      <c r="AB26" s="57"/>
      <c r="AC26" s="58"/>
      <c r="AD26" s="77"/>
      <c r="AE26" s="228">
        <f>ROUND((ROUND((ROUND((ROUND((_15_同援日０．５*_15・通訳),0)*_15・２人),0)*(1+_15・盲ろう)),0)*(1+_15・区３)),0)+ROUND((ROUND((ROUND((ROUND((ROUND((_15_同援日０．５＿１．０*_15・通訳),0)*_15・２人),0)*(1+_15・B夜間)),0)*(1+_15・盲ろう)),0)*(1+_15・区３)),0)</f>
        <v>650</v>
      </c>
      <c r="AF26" s="69"/>
    </row>
    <row r="27" spans="1:32" ht="16.5" customHeight="1" x14ac:dyDescent="0.3">
      <c r="A27" s="2">
        <v>15</v>
      </c>
      <c r="B27" s="2" t="s">
        <v>4095</v>
      </c>
      <c r="C27" s="60" t="s">
        <v>14665</v>
      </c>
      <c r="D27" s="1"/>
      <c r="E27" s="68"/>
      <c r="F27" s="70"/>
      <c r="G27" s="1"/>
      <c r="H27" s="68"/>
      <c r="I27" s="70"/>
      <c r="J27" s="1"/>
      <c r="K27" s="68"/>
      <c r="L27" s="68"/>
      <c r="M27" s="68"/>
      <c r="N27" s="68"/>
      <c r="O27" s="76"/>
      <c r="P27" s="83"/>
      <c r="Q27" s="64"/>
      <c r="R27" s="65"/>
      <c r="S27" s="99"/>
      <c r="T27" s="68"/>
      <c r="U27" s="76"/>
      <c r="V27" s="70"/>
      <c r="W27" s="88"/>
      <c r="X27" s="62"/>
      <c r="Y27" s="63"/>
      <c r="Z27" s="75"/>
      <c r="AA27" s="74" t="s">
        <v>18094</v>
      </c>
      <c r="AB27" s="62"/>
      <c r="AC27" s="63"/>
      <c r="AD27" s="75"/>
      <c r="AE27" s="228">
        <f>ROUND((ROUND((_15_同援日０．５*_15・通訳),0)*(1+_15・区４)),0)+ROUND((ROUND((ROUND((_15_同援日０．５＿１．０*_15・通訳),0)*(1+_15・B夜間)),0)*(1+_15・区４)),0)</f>
        <v>604</v>
      </c>
      <c r="AF27" s="69"/>
    </row>
    <row r="28" spans="1:32" ht="16.5" customHeight="1" x14ac:dyDescent="0.3">
      <c r="A28" s="2">
        <v>15</v>
      </c>
      <c r="B28" s="2" t="s">
        <v>4096</v>
      </c>
      <c r="C28" s="60" t="s">
        <v>14664</v>
      </c>
      <c r="D28" s="1"/>
      <c r="E28" s="68"/>
      <c r="F28" s="70"/>
      <c r="G28" s="1"/>
      <c r="H28" s="68"/>
      <c r="I28" s="70"/>
      <c r="J28" s="1"/>
      <c r="K28" s="68"/>
      <c r="L28" s="68"/>
      <c r="M28" s="68"/>
      <c r="N28" s="68"/>
      <c r="O28" s="76"/>
      <c r="P28" s="83" t="s">
        <v>5895</v>
      </c>
      <c r="Q28" s="64" t="s">
        <v>1</v>
      </c>
      <c r="R28" s="65">
        <v>1</v>
      </c>
      <c r="S28" s="99"/>
      <c r="T28" s="68"/>
      <c r="U28" s="76"/>
      <c r="V28" s="70"/>
      <c r="W28" s="73"/>
      <c r="X28" s="57"/>
      <c r="Y28" s="58"/>
      <c r="Z28" s="77"/>
      <c r="AA28" s="1" t="s">
        <v>17970</v>
      </c>
      <c r="AB28" s="68"/>
      <c r="AC28" s="76"/>
      <c r="AD28" s="70"/>
      <c r="AE28" s="228">
        <f>ROUND((ROUND((ROUND((_15_同援日０．５*_15・通訳),0)*_15・２人),0)*(1+_15・区４)),0)+ROUND((ROUND((ROUND((ROUND((_15_同援日０．５＿１．０*_15・通訳),0)*_15・２人),0)*(1+_15・B夜間)),0)*(1+_15・区４)),0)</f>
        <v>604</v>
      </c>
      <c r="AF28" s="69"/>
    </row>
    <row r="29" spans="1:32" ht="16.5" customHeight="1" x14ac:dyDescent="0.3">
      <c r="A29" s="2">
        <v>15</v>
      </c>
      <c r="B29" s="2" t="s">
        <v>4097</v>
      </c>
      <c r="C29" s="60" t="s">
        <v>14663</v>
      </c>
      <c r="D29" s="1"/>
      <c r="E29" s="68"/>
      <c r="F29" s="70"/>
      <c r="G29" s="1"/>
      <c r="H29" s="68"/>
      <c r="I29" s="70"/>
      <c r="J29" s="1"/>
      <c r="K29" s="68"/>
      <c r="L29" s="68"/>
      <c r="M29" s="68"/>
      <c r="N29" s="68"/>
      <c r="O29" s="76"/>
      <c r="P29" s="83"/>
      <c r="Q29" s="64"/>
      <c r="R29" s="65"/>
      <c r="S29" s="99"/>
      <c r="T29" s="68"/>
      <c r="U29" s="76"/>
      <c r="V29" s="70"/>
      <c r="W29" s="88" t="s">
        <v>18087</v>
      </c>
      <c r="X29" s="62"/>
      <c r="Y29" s="63"/>
      <c r="Z29" s="75"/>
      <c r="AA29" s="1"/>
      <c r="AB29" s="68" t="s">
        <v>1</v>
      </c>
      <c r="AC29" s="76">
        <v>0.4</v>
      </c>
      <c r="AD29" s="70" t="s">
        <v>422</v>
      </c>
      <c r="AE29" s="228">
        <f>ROUND((ROUND((ROUND((_15_同援日０．５*_15・通訳),0)*(1+_15・盲ろう)),0)*(1+_15・区４)),0)+ROUND((ROUND((ROUND((ROUND((_15_同援日０．５＿１．０*_15・通訳),0)*(1+_15・B夜間)),0)*(1+_15・盲ろう)),0)*(1+_15・区４)),0)</f>
        <v>757</v>
      </c>
      <c r="AF29" s="69"/>
    </row>
    <row r="30" spans="1:32" ht="16.5" customHeight="1" x14ac:dyDescent="0.3">
      <c r="A30" s="2">
        <v>15</v>
      </c>
      <c r="B30" s="2" t="s">
        <v>4098</v>
      </c>
      <c r="C30" s="60" t="s">
        <v>14662</v>
      </c>
      <c r="D30" s="1"/>
      <c r="E30" s="68"/>
      <c r="F30" s="70"/>
      <c r="G30" s="81"/>
      <c r="H30" s="57"/>
      <c r="I30" s="77"/>
      <c r="J30" s="1"/>
      <c r="K30" s="68"/>
      <c r="L30" s="68"/>
      <c r="M30" s="68"/>
      <c r="N30" s="68"/>
      <c r="O30" s="76"/>
      <c r="P30" s="83" t="s">
        <v>5895</v>
      </c>
      <c r="Q30" s="64" t="s">
        <v>1</v>
      </c>
      <c r="R30" s="65">
        <v>1</v>
      </c>
      <c r="S30" s="99"/>
      <c r="T30" s="68"/>
      <c r="U30" s="76"/>
      <c r="V30" s="70"/>
      <c r="W30" s="73" t="s">
        <v>18086</v>
      </c>
      <c r="X30" s="57" t="s">
        <v>1</v>
      </c>
      <c r="Y30" s="58">
        <v>0.25</v>
      </c>
      <c r="Z30" s="77" t="s">
        <v>422</v>
      </c>
      <c r="AA30" s="81"/>
      <c r="AB30" s="57"/>
      <c r="AC30" s="58"/>
      <c r="AD30" s="77"/>
      <c r="AE30" s="228">
        <f>ROUND((ROUND((ROUND((ROUND((_15_同援日０．５*_15・通訳),0)*_15・２人),0)*(1+_15・盲ろう)),0)*(1+_15・区４)),0)+ROUND((ROUND((ROUND((ROUND((ROUND((_15_同援日０．５＿１．０*_15・通訳),0)*_15・２人),0)*(1+_15・B夜間)),0)*(1+_15・盲ろう)),0)*(1+_15・区４)),0)</f>
        <v>757</v>
      </c>
      <c r="AF30" s="69"/>
    </row>
    <row r="31" spans="1:32" ht="16.5" customHeight="1" x14ac:dyDescent="0.3">
      <c r="A31" s="2">
        <v>15</v>
      </c>
      <c r="B31" s="2" t="s">
        <v>4099</v>
      </c>
      <c r="C31" s="60" t="s">
        <v>14661</v>
      </c>
      <c r="D31" s="1"/>
      <c r="E31" s="68"/>
      <c r="F31" s="70"/>
      <c r="G31" s="233" t="s">
        <v>18326</v>
      </c>
      <c r="H31" s="235"/>
      <c r="I31" s="75"/>
      <c r="J31" s="1"/>
      <c r="K31" s="68"/>
      <c r="L31" s="68"/>
      <c r="M31" s="68"/>
      <c r="N31" s="68"/>
      <c r="O31" s="76"/>
      <c r="P31" s="83"/>
      <c r="Q31" s="64"/>
      <c r="R31" s="65"/>
      <c r="S31" s="99"/>
      <c r="T31" s="68"/>
      <c r="U31" s="76"/>
      <c r="V31" s="70"/>
      <c r="W31" s="88"/>
      <c r="X31" s="62"/>
      <c r="Y31" s="63"/>
      <c r="Z31" s="75"/>
      <c r="AA31" s="74"/>
      <c r="AB31" s="62"/>
      <c r="AC31" s="63"/>
      <c r="AD31" s="75"/>
      <c r="AE31" s="228">
        <f>ROUND((_15_同援日０．５*_15・通訳),0)+ROUND((ROUND((_15_同援日０．５＿１．５*_15・通訳),0)*(1+_15・B夜間)),0)</f>
        <v>505</v>
      </c>
      <c r="AF31" s="69"/>
    </row>
    <row r="32" spans="1:32" ht="16.5" customHeight="1" x14ac:dyDescent="0.3">
      <c r="A32" s="2">
        <v>15</v>
      </c>
      <c r="B32" s="2" t="s">
        <v>4100</v>
      </c>
      <c r="C32" s="60" t="s">
        <v>14660</v>
      </c>
      <c r="D32" s="1"/>
      <c r="E32" s="68"/>
      <c r="F32" s="70"/>
      <c r="G32" s="1" t="s">
        <v>17070</v>
      </c>
      <c r="H32" s="68"/>
      <c r="I32" s="70"/>
      <c r="J32" s="1"/>
      <c r="K32" s="68"/>
      <c r="L32" s="68"/>
      <c r="M32" s="68"/>
      <c r="N32" s="68"/>
      <c r="O32" s="76"/>
      <c r="P32" s="83" t="s">
        <v>5895</v>
      </c>
      <c r="Q32" s="64" t="s">
        <v>1</v>
      </c>
      <c r="R32" s="65">
        <v>1</v>
      </c>
      <c r="S32" s="99"/>
      <c r="T32" s="68"/>
      <c r="U32" s="76"/>
      <c r="V32" s="70"/>
      <c r="W32" s="73"/>
      <c r="X32" s="57"/>
      <c r="Y32" s="58"/>
      <c r="Z32" s="77"/>
      <c r="AA32" s="1"/>
      <c r="AB32" s="68"/>
      <c r="AC32" s="76"/>
      <c r="AD32" s="70"/>
      <c r="AE32" s="228">
        <f>ROUND((ROUND((_15_同援日０．５*_15・通訳),0)*_15・２人),0)+ROUND((ROUND((ROUND((_15_同援日０．５＿１．５*_15・通訳),0)*_15・２人),0)*(1+_15・B夜間)),0)</f>
        <v>505</v>
      </c>
      <c r="AF32" s="69"/>
    </row>
    <row r="33" spans="1:32" ht="16.5" customHeight="1" x14ac:dyDescent="0.3">
      <c r="A33" s="2">
        <v>15</v>
      </c>
      <c r="B33" s="2" t="s">
        <v>4101</v>
      </c>
      <c r="C33" s="60" t="s">
        <v>14659</v>
      </c>
      <c r="D33" s="1"/>
      <c r="E33" s="68"/>
      <c r="F33" s="70"/>
      <c r="G33" s="1" t="s">
        <v>8767</v>
      </c>
      <c r="H33" s="68"/>
      <c r="I33" s="70"/>
      <c r="J33" s="1"/>
      <c r="K33" s="68"/>
      <c r="L33" s="68"/>
      <c r="M33" s="68"/>
      <c r="N33" s="68"/>
      <c r="O33" s="76"/>
      <c r="P33" s="83"/>
      <c r="Q33" s="64"/>
      <c r="R33" s="65"/>
      <c r="S33" s="99"/>
      <c r="T33" s="68"/>
      <c r="U33" s="76"/>
      <c r="V33" s="70"/>
      <c r="W33" s="88" t="s">
        <v>17969</v>
      </c>
      <c r="X33" s="62"/>
      <c r="Y33" s="63"/>
      <c r="Z33" s="75"/>
      <c r="AA33" s="1"/>
      <c r="AB33" s="68"/>
      <c r="AC33" s="76"/>
      <c r="AD33" s="70"/>
      <c r="AE33" s="228">
        <f>ROUND((ROUND((_15_同援日０．５*_15・通訳),0)*(1+_15・盲ろう)),0)+ROUND((ROUND((ROUND((_15_同援日０．５＿１．５*_15・通訳),0)*(1+_15・B夜間)),0)*(1+_15・盲ろう)),0)</f>
        <v>632</v>
      </c>
      <c r="AF33" s="69"/>
    </row>
    <row r="34" spans="1:32" ht="16.5" customHeight="1" x14ac:dyDescent="0.3">
      <c r="A34" s="2">
        <v>15</v>
      </c>
      <c r="B34" s="2" t="s">
        <v>4102</v>
      </c>
      <c r="C34" s="60" t="s">
        <v>14658</v>
      </c>
      <c r="D34" s="1"/>
      <c r="E34" s="68"/>
      <c r="F34" s="70"/>
      <c r="G34" s="1"/>
      <c r="H34" s="227">
        <v>301</v>
      </c>
      <c r="I34" s="70" t="s">
        <v>0</v>
      </c>
      <c r="J34" s="1"/>
      <c r="K34" s="68"/>
      <c r="L34" s="68"/>
      <c r="M34" s="68"/>
      <c r="N34" s="68"/>
      <c r="O34" s="76"/>
      <c r="P34" s="83" t="s">
        <v>5895</v>
      </c>
      <c r="Q34" s="64" t="s">
        <v>1</v>
      </c>
      <c r="R34" s="65">
        <v>1</v>
      </c>
      <c r="S34" s="99"/>
      <c r="T34" s="68"/>
      <c r="U34" s="76"/>
      <c r="V34" s="70"/>
      <c r="W34" s="73" t="s">
        <v>18086</v>
      </c>
      <c r="X34" s="57" t="s">
        <v>1</v>
      </c>
      <c r="Y34" s="58">
        <v>0.25</v>
      </c>
      <c r="Z34" s="77" t="s">
        <v>422</v>
      </c>
      <c r="AA34" s="81"/>
      <c r="AB34" s="57"/>
      <c r="AC34" s="58"/>
      <c r="AD34" s="77"/>
      <c r="AE34" s="228">
        <f>ROUND((ROUND((ROUND((_15_同援日０．５*_15・通訳),0)*_15・２人),0)*(1+_15・盲ろう)),0)+ROUND((ROUND((ROUND((ROUND((_15_同援日０．５＿１．５*_15・通訳),0)*_15・２人),0)*(1+_15・B夜間)),0)*(1+_15・盲ろう)),0)</f>
        <v>632</v>
      </c>
      <c r="AF34" s="69"/>
    </row>
    <row r="35" spans="1:32" ht="16.5" customHeight="1" x14ac:dyDescent="0.3">
      <c r="A35" s="2">
        <v>15</v>
      </c>
      <c r="B35" s="2" t="s">
        <v>4103</v>
      </c>
      <c r="C35" s="60" t="s">
        <v>14657</v>
      </c>
      <c r="D35" s="1"/>
      <c r="E35" s="68"/>
      <c r="F35" s="70"/>
      <c r="G35" s="1"/>
      <c r="H35" s="68"/>
      <c r="I35" s="70"/>
      <c r="J35" s="1"/>
      <c r="K35" s="68"/>
      <c r="L35" s="68"/>
      <c r="M35" s="68"/>
      <c r="N35" s="68"/>
      <c r="O35" s="76"/>
      <c r="P35" s="83"/>
      <c r="Q35" s="64"/>
      <c r="R35" s="65"/>
      <c r="S35" s="99"/>
      <c r="T35" s="68"/>
      <c r="U35" s="76"/>
      <c r="V35" s="70"/>
      <c r="W35" s="88"/>
      <c r="X35" s="62"/>
      <c r="Y35" s="63"/>
      <c r="Z35" s="75"/>
      <c r="AA35" s="74" t="s">
        <v>18089</v>
      </c>
      <c r="AB35" s="62"/>
      <c r="AC35" s="63"/>
      <c r="AD35" s="75"/>
      <c r="AE35" s="228">
        <f>ROUND((ROUND((_15_同援日０．５*_15・通訳),0)*(1+_15・区３)),0)+ROUND((ROUND((ROUND((_15_同援日０．５＿１．５*_15・通訳),0)*(1+_15・B夜間)),0)*(1+_15・区３)),0)</f>
        <v>606</v>
      </c>
      <c r="AF35" s="69"/>
    </row>
    <row r="36" spans="1:32" ht="16.5" customHeight="1" x14ac:dyDescent="0.3">
      <c r="A36" s="2">
        <v>15</v>
      </c>
      <c r="B36" s="2" t="s">
        <v>4104</v>
      </c>
      <c r="C36" s="60" t="s">
        <v>14656</v>
      </c>
      <c r="D36" s="1"/>
      <c r="E36" s="68"/>
      <c r="F36" s="70"/>
      <c r="G36" s="1"/>
      <c r="H36" s="68"/>
      <c r="I36" s="70"/>
      <c r="J36" s="1"/>
      <c r="K36" s="68"/>
      <c r="L36" s="68"/>
      <c r="M36" s="68"/>
      <c r="N36" s="68"/>
      <c r="O36" s="76"/>
      <c r="P36" s="83" t="s">
        <v>5895</v>
      </c>
      <c r="Q36" s="64" t="s">
        <v>1</v>
      </c>
      <c r="R36" s="65">
        <v>1</v>
      </c>
      <c r="S36" s="99"/>
      <c r="T36" s="68"/>
      <c r="U36" s="76"/>
      <c r="V36" s="70"/>
      <c r="W36" s="73"/>
      <c r="X36" s="57"/>
      <c r="Y36" s="58"/>
      <c r="Z36" s="77"/>
      <c r="AA36" s="1" t="s">
        <v>18084</v>
      </c>
      <c r="AB36" s="68"/>
      <c r="AC36" s="76"/>
      <c r="AD36" s="70"/>
      <c r="AE36" s="228">
        <f>ROUND((ROUND((ROUND((_15_同援日０．５*_15・通訳),0)*_15・２人),0)*(1+_15・区３)),0)+ROUND((ROUND((ROUND((ROUND((_15_同援日０．５＿１．５*_15・通訳),0)*_15・２人),0)*(1+_15・B夜間)),0)*(1+_15・区３)),0)</f>
        <v>606</v>
      </c>
      <c r="AF36" s="69"/>
    </row>
    <row r="37" spans="1:32" ht="16.5" customHeight="1" x14ac:dyDescent="0.3">
      <c r="A37" s="2">
        <v>15</v>
      </c>
      <c r="B37" s="2" t="s">
        <v>4105</v>
      </c>
      <c r="C37" s="60" t="s">
        <v>14655</v>
      </c>
      <c r="D37" s="1"/>
      <c r="E37" s="68"/>
      <c r="F37" s="70"/>
      <c r="G37" s="1"/>
      <c r="H37" s="68"/>
      <c r="I37" s="70"/>
      <c r="J37" s="1"/>
      <c r="K37" s="68"/>
      <c r="L37" s="68"/>
      <c r="M37" s="68"/>
      <c r="N37" s="68"/>
      <c r="O37" s="76"/>
      <c r="P37" s="83"/>
      <c r="Q37" s="64"/>
      <c r="R37" s="65"/>
      <c r="S37" s="99"/>
      <c r="T37" s="68"/>
      <c r="U37" s="76"/>
      <c r="V37" s="70"/>
      <c r="W37" s="88" t="s">
        <v>18087</v>
      </c>
      <c r="X37" s="62"/>
      <c r="Y37" s="63"/>
      <c r="Z37" s="75"/>
      <c r="AA37" s="1"/>
      <c r="AB37" s="68" t="s">
        <v>1</v>
      </c>
      <c r="AC37" s="76">
        <v>0.2</v>
      </c>
      <c r="AD37" s="70" t="s">
        <v>422</v>
      </c>
      <c r="AE37" s="228">
        <f>ROUND((ROUND((ROUND((_15_同援日０．５*_15・通訳),0)*(1+_15・盲ろう)),0)*(1+_15・区３)),0)+ROUND((ROUND((ROUND((ROUND((_15_同援日０．５＿１．５*_15・通訳),0)*(1+_15・B夜間)),0)*(1+_15・盲ろう)),0)*(1+_15・区３)),0)</f>
        <v>759</v>
      </c>
      <c r="AF37" s="69"/>
    </row>
    <row r="38" spans="1:32" ht="16.5" customHeight="1" x14ac:dyDescent="0.3">
      <c r="A38" s="2">
        <v>15</v>
      </c>
      <c r="B38" s="2" t="s">
        <v>4106</v>
      </c>
      <c r="C38" s="60" t="s">
        <v>14654</v>
      </c>
      <c r="D38" s="1"/>
      <c r="E38" s="68"/>
      <c r="F38" s="70"/>
      <c r="G38" s="1"/>
      <c r="H38" s="68"/>
      <c r="I38" s="70"/>
      <c r="J38" s="1"/>
      <c r="K38" s="68"/>
      <c r="L38" s="68"/>
      <c r="M38" s="68"/>
      <c r="N38" s="68"/>
      <c r="O38" s="76"/>
      <c r="P38" s="83" t="s">
        <v>5895</v>
      </c>
      <c r="Q38" s="64" t="s">
        <v>1</v>
      </c>
      <c r="R38" s="65">
        <v>1</v>
      </c>
      <c r="S38" s="99"/>
      <c r="T38" s="68"/>
      <c r="U38" s="76"/>
      <c r="V38" s="70"/>
      <c r="W38" s="73" t="s">
        <v>17968</v>
      </c>
      <c r="X38" s="57" t="s">
        <v>1</v>
      </c>
      <c r="Y38" s="58">
        <v>0.25</v>
      </c>
      <c r="Z38" s="77" t="s">
        <v>422</v>
      </c>
      <c r="AA38" s="81"/>
      <c r="AB38" s="57"/>
      <c r="AC38" s="58"/>
      <c r="AD38" s="77"/>
      <c r="AE38" s="228">
        <f>ROUND((ROUND((ROUND((ROUND((_15_同援日０．５*_15・通訳),0)*_15・２人),0)*(1+_15・盲ろう)),0)*(1+_15・区３)),0)+ROUND((ROUND((ROUND((ROUND((ROUND((_15_同援日０．５＿１．５*_15・通訳),0)*_15・２人),0)*(1+_15・B夜間)),0)*(1+_15・盲ろう)),0)*(1+_15・区３)),0)</f>
        <v>759</v>
      </c>
      <c r="AF38" s="69"/>
    </row>
    <row r="39" spans="1:32" ht="16.5" customHeight="1" x14ac:dyDescent="0.3">
      <c r="A39" s="2">
        <v>15</v>
      </c>
      <c r="B39" s="2" t="s">
        <v>4107</v>
      </c>
      <c r="C39" s="60" t="s">
        <v>14653</v>
      </c>
      <c r="D39" s="1"/>
      <c r="E39" s="68"/>
      <c r="F39" s="70"/>
      <c r="G39" s="1"/>
      <c r="H39" s="68"/>
      <c r="I39" s="70"/>
      <c r="J39" s="1"/>
      <c r="K39" s="68"/>
      <c r="L39" s="68"/>
      <c r="M39" s="68"/>
      <c r="N39" s="68"/>
      <c r="O39" s="76"/>
      <c r="P39" s="83"/>
      <c r="Q39" s="64"/>
      <c r="R39" s="65"/>
      <c r="S39" s="99"/>
      <c r="T39" s="68"/>
      <c r="U39" s="76"/>
      <c r="V39" s="70"/>
      <c r="W39" s="88"/>
      <c r="X39" s="62"/>
      <c r="Y39" s="63"/>
      <c r="Z39" s="75"/>
      <c r="AA39" s="74" t="s">
        <v>18094</v>
      </c>
      <c r="AB39" s="62"/>
      <c r="AC39" s="63"/>
      <c r="AD39" s="75"/>
      <c r="AE39" s="228">
        <f>ROUND((ROUND((_15_同援日０．５*_15・通訳),0)*(1+_15・区４)),0)+ROUND((ROUND((ROUND((_15_同援日０．５＿１．５*_15・通訳),0)*(1+_15・B夜間)),0)*(1+_15・区４)),0)</f>
        <v>707</v>
      </c>
      <c r="AF39" s="69"/>
    </row>
    <row r="40" spans="1:32" ht="16.5" customHeight="1" x14ac:dyDescent="0.3">
      <c r="A40" s="2">
        <v>15</v>
      </c>
      <c r="B40" s="2" t="s">
        <v>4108</v>
      </c>
      <c r="C40" s="60" t="s">
        <v>14652</v>
      </c>
      <c r="D40" s="1"/>
      <c r="E40" s="68"/>
      <c r="F40" s="70"/>
      <c r="G40" s="1"/>
      <c r="H40" s="68"/>
      <c r="I40" s="70"/>
      <c r="J40" s="1"/>
      <c r="K40" s="68"/>
      <c r="L40" s="68"/>
      <c r="M40" s="68"/>
      <c r="N40" s="68"/>
      <c r="O40" s="76"/>
      <c r="P40" s="83" t="s">
        <v>5895</v>
      </c>
      <c r="Q40" s="64" t="s">
        <v>1</v>
      </c>
      <c r="R40" s="65">
        <v>1</v>
      </c>
      <c r="S40" s="99"/>
      <c r="T40" s="68"/>
      <c r="U40" s="76"/>
      <c r="V40" s="70"/>
      <c r="W40" s="73"/>
      <c r="X40" s="57"/>
      <c r="Y40" s="58"/>
      <c r="Z40" s="77"/>
      <c r="AA40" s="1" t="s">
        <v>18084</v>
      </c>
      <c r="AB40" s="68"/>
      <c r="AC40" s="76"/>
      <c r="AD40" s="70"/>
      <c r="AE40" s="228">
        <f>ROUND((ROUND((ROUND((_15_同援日０．５*_15・通訳),0)*_15・２人),0)*(1+_15・区４)),0)+ROUND((ROUND((ROUND((ROUND((_15_同援日０．５＿１．５*_15・通訳),0)*_15・２人),0)*(1+_15・B夜間)),0)*(1+_15・区４)),0)</f>
        <v>707</v>
      </c>
      <c r="AF40" s="69"/>
    </row>
    <row r="41" spans="1:32" ht="16.5" customHeight="1" x14ac:dyDescent="0.3">
      <c r="A41" s="2">
        <v>15</v>
      </c>
      <c r="B41" s="2" t="s">
        <v>4109</v>
      </c>
      <c r="C41" s="60" t="s">
        <v>14651</v>
      </c>
      <c r="D41" s="1"/>
      <c r="E41" s="68"/>
      <c r="F41" s="70"/>
      <c r="G41" s="1"/>
      <c r="H41" s="68"/>
      <c r="I41" s="70"/>
      <c r="J41" s="1"/>
      <c r="K41" s="68"/>
      <c r="L41" s="68"/>
      <c r="M41" s="68"/>
      <c r="N41" s="68"/>
      <c r="O41" s="76"/>
      <c r="P41" s="83"/>
      <c r="Q41" s="64"/>
      <c r="R41" s="65"/>
      <c r="S41" s="99"/>
      <c r="T41" s="68"/>
      <c r="U41" s="76"/>
      <c r="V41" s="70"/>
      <c r="W41" s="88" t="s">
        <v>8085</v>
      </c>
      <c r="X41" s="62"/>
      <c r="Y41" s="63"/>
      <c r="Z41" s="75"/>
      <c r="AA41" s="1"/>
      <c r="AB41" s="68" t="s">
        <v>1</v>
      </c>
      <c r="AC41" s="76">
        <v>0.4</v>
      </c>
      <c r="AD41" s="70" t="s">
        <v>422</v>
      </c>
      <c r="AE41" s="228">
        <f>ROUND((ROUND((ROUND((_15_同援日０．５*_15・通訳),0)*(1+_15・盲ろう)),0)*(1+_15・区４)),0)+ROUND((ROUND((ROUND((ROUND((_15_同援日０．５＿１．５*_15・通訳),0)*(1+_15・B夜間)),0)*(1+_15・盲ろう)),0)*(1+_15・区４)),0)</f>
        <v>885</v>
      </c>
      <c r="AF41" s="69"/>
    </row>
    <row r="42" spans="1:32" ht="16.5" customHeight="1" x14ac:dyDescent="0.3">
      <c r="A42" s="2">
        <v>15</v>
      </c>
      <c r="B42" s="2" t="s">
        <v>4110</v>
      </c>
      <c r="C42" s="60" t="s">
        <v>14650</v>
      </c>
      <c r="D42" s="1"/>
      <c r="E42" s="68"/>
      <c r="F42" s="70"/>
      <c r="G42" s="81"/>
      <c r="H42" s="57"/>
      <c r="I42" s="77"/>
      <c r="J42" s="1"/>
      <c r="K42" s="68"/>
      <c r="L42" s="68"/>
      <c r="M42" s="68"/>
      <c r="N42" s="68"/>
      <c r="O42" s="76"/>
      <c r="P42" s="83" t="s">
        <v>5895</v>
      </c>
      <c r="Q42" s="64" t="s">
        <v>1</v>
      </c>
      <c r="R42" s="65">
        <v>1</v>
      </c>
      <c r="S42" s="99"/>
      <c r="T42" s="68"/>
      <c r="U42" s="76"/>
      <c r="V42" s="70"/>
      <c r="W42" s="73" t="s">
        <v>17968</v>
      </c>
      <c r="X42" s="57" t="s">
        <v>1</v>
      </c>
      <c r="Y42" s="58">
        <v>0.25</v>
      </c>
      <c r="Z42" s="77" t="s">
        <v>422</v>
      </c>
      <c r="AA42" s="81"/>
      <c r="AB42" s="57"/>
      <c r="AC42" s="58"/>
      <c r="AD42" s="77"/>
      <c r="AE42" s="228">
        <f>ROUND((ROUND((ROUND((ROUND((_15_同援日０．５*_15・通訳),0)*_15・２人),0)*(1+_15・盲ろう)),0)*(1+_15・区４)),0)+ROUND((ROUND((ROUND((ROUND((ROUND((_15_同援日０．５＿１．５*_15・通訳),0)*_15・２人),0)*(1+_15・B夜間)),0)*(1+_15・盲ろう)),0)*(1+_15・区４)),0)</f>
        <v>885</v>
      </c>
      <c r="AF42" s="69"/>
    </row>
    <row r="43" spans="1:32" ht="16.5" customHeight="1" x14ac:dyDescent="0.3">
      <c r="A43" s="2">
        <v>15</v>
      </c>
      <c r="B43" s="2" t="s">
        <v>4111</v>
      </c>
      <c r="C43" s="60" t="s">
        <v>14649</v>
      </c>
      <c r="D43" s="1"/>
      <c r="E43" s="68"/>
      <c r="F43" s="70"/>
      <c r="G43" s="233" t="s">
        <v>16893</v>
      </c>
      <c r="H43" s="235"/>
      <c r="I43" s="75"/>
      <c r="J43" s="1"/>
      <c r="K43" s="68"/>
      <c r="L43" s="68"/>
      <c r="M43" s="68"/>
      <c r="N43" s="68"/>
      <c r="O43" s="76"/>
      <c r="P43" s="83"/>
      <c r="Q43" s="64"/>
      <c r="R43" s="65"/>
      <c r="S43" s="99"/>
      <c r="T43" s="68"/>
      <c r="U43" s="76"/>
      <c r="V43" s="70"/>
      <c r="W43" s="88"/>
      <c r="X43" s="62"/>
      <c r="Y43" s="63"/>
      <c r="Z43" s="75"/>
      <c r="AA43" s="74"/>
      <c r="AB43" s="62"/>
      <c r="AC43" s="63"/>
      <c r="AD43" s="75"/>
      <c r="AE43" s="228">
        <f>ROUND((_15_同援日０．５*_15・通訳),0)+ROUND((ROUND((_15_同援日０．５＿２．０*_15・通訳),0)*(1+_15・B夜間)),0)</f>
        <v>576</v>
      </c>
      <c r="AF43" s="69"/>
    </row>
    <row r="44" spans="1:32" ht="16.5" customHeight="1" x14ac:dyDescent="0.3">
      <c r="A44" s="2">
        <v>15</v>
      </c>
      <c r="B44" s="2" t="s">
        <v>4112</v>
      </c>
      <c r="C44" s="60" t="s">
        <v>14648</v>
      </c>
      <c r="D44" s="1"/>
      <c r="E44" s="68"/>
      <c r="F44" s="70"/>
      <c r="G44" s="1" t="s">
        <v>17063</v>
      </c>
      <c r="H44" s="68"/>
      <c r="I44" s="70"/>
      <c r="J44" s="1"/>
      <c r="K44" s="68"/>
      <c r="L44" s="68"/>
      <c r="M44" s="68"/>
      <c r="N44" s="68"/>
      <c r="O44" s="76"/>
      <c r="P44" s="83" t="s">
        <v>5895</v>
      </c>
      <c r="Q44" s="64" t="s">
        <v>1</v>
      </c>
      <c r="R44" s="65">
        <v>1</v>
      </c>
      <c r="S44" s="99"/>
      <c r="T44" s="68"/>
      <c r="U44" s="76"/>
      <c r="V44" s="70"/>
      <c r="W44" s="73"/>
      <c r="X44" s="57"/>
      <c r="Y44" s="58"/>
      <c r="Z44" s="77"/>
      <c r="AA44" s="1"/>
      <c r="AB44" s="68"/>
      <c r="AC44" s="76"/>
      <c r="AD44" s="70"/>
      <c r="AE44" s="228">
        <f>ROUND((ROUND((_15_同援日０．５*_15・通訳),0)*_15・２人),0)+ROUND((ROUND((ROUND((_15_同援日０．５＿２．０*_15・通訳),0)*_15・２人),0)*(1+_15・B夜間)),0)</f>
        <v>576</v>
      </c>
      <c r="AF44" s="69"/>
    </row>
    <row r="45" spans="1:32" ht="16.5" customHeight="1" x14ac:dyDescent="0.3">
      <c r="A45" s="2">
        <v>15</v>
      </c>
      <c r="B45" s="2" t="s">
        <v>4113</v>
      </c>
      <c r="C45" s="60" t="s">
        <v>14647</v>
      </c>
      <c r="D45" s="1"/>
      <c r="E45" s="68"/>
      <c r="F45" s="70"/>
      <c r="G45" s="1" t="s">
        <v>6448</v>
      </c>
      <c r="H45" s="68"/>
      <c r="I45" s="70"/>
      <c r="J45" s="1"/>
      <c r="K45" s="68"/>
      <c r="L45" s="68"/>
      <c r="M45" s="68"/>
      <c r="N45" s="68"/>
      <c r="O45" s="76"/>
      <c r="P45" s="83"/>
      <c r="Q45" s="64"/>
      <c r="R45" s="65"/>
      <c r="S45" s="99"/>
      <c r="T45" s="68"/>
      <c r="U45" s="76"/>
      <c r="V45" s="70"/>
      <c r="W45" s="88" t="s">
        <v>8085</v>
      </c>
      <c r="X45" s="62"/>
      <c r="Y45" s="63"/>
      <c r="Z45" s="75"/>
      <c r="AA45" s="1"/>
      <c r="AB45" s="68"/>
      <c r="AC45" s="76"/>
      <c r="AD45" s="70"/>
      <c r="AE45" s="228">
        <f>ROUND((ROUND((_15_同援日０．５*_15・通訳),0)*(1+_15・盲ろう)),0)+ROUND((ROUND((ROUND((_15_同援日０．５＿２．０*_15・通訳),0)*(1+_15・B夜間)),0)*(1+_15・盲ろう)),0)</f>
        <v>721</v>
      </c>
      <c r="AF45" s="69"/>
    </row>
    <row r="46" spans="1:32" ht="16.5" customHeight="1" x14ac:dyDescent="0.3">
      <c r="A46" s="2">
        <v>15</v>
      </c>
      <c r="B46" s="2" t="s">
        <v>4114</v>
      </c>
      <c r="C46" s="60" t="s">
        <v>14646</v>
      </c>
      <c r="D46" s="1"/>
      <c r="E46" s="68"/>
      <c r="F46" s="70"/>
      <c r="G46" s="1"/>
      <c r="H46" s="227">
        <v>364</v>
      </c>
      <c r="I46" s="70" t="s">
        <v>0</v>
      </c>
      <c r="J46" s="1"/>
      <c r="K46" s="68"/>
      <c r="L46" s="68"/>
      <c r="M46" s="68"/>
      <c r="N46" s="68"/>
      <c r="O46" s="76"/>
      <c r="P46" s="83" t="s">
        <v>5895</v>
      </c>
      <c r="Q46" s="64" t="s">
        <v>1</v>
      </c>
      <c r="R46" s="65">
        <v>1</v>
      </c>
      <c r="S46" s="99"/>
      <c r="T46" s="68"/>
      <c r="U46" s="76"/>
      <c r="V46" s="70"/>
      <c r="W46" s="73" t="s">
        <v>8083</v>
      </c>
      <c r="X46" s="57" t="s">
        <v>1</v>
      </c>
      <c r="Y46" s="58">
        <v>0.25</v>
      </c>
      <c r="Z46" s="77" t="s">
        <v>422</v>
      </c>
      <c r="AA46" s="81"/>
      <c r="AB46" s="57"/>
      <c r="AC46" s="58"/>
      <c r="AD46" s="77"/>
      <c r="AE46" s="228">
        <f>ROUND((ROUND((ROUND((_15_同援日０．５*_15・通訳),0)*_15・２人),0)*(1+_15・盲ろう)),0)+ROUND((ROUND((ROUND((ROUND((_15_同援日０．５＿２．０*_15・通訳),0)*_15・２人),0)*(1+_15・B夜間)),0)*(1+_15・盲ろう)),0)</f>
        <v>721</v>
      </c>
      <c r="AF46" s="69"/>
    </row>
    <row r="47" spans="1:32" ht="16.5" customHeight="1" x14ac:dyDescent="0.3">
      <c r="A47" s="2">
        <v>15</v>
      </c>
      <c r="B47" s="2" t="s">
        <v>4115</v>
      </c>
      <c r="C47" s="60" t="s">
        <v>14645</v>
      </c>
      <c r="D47" s="1"/>
      <c r="E47" s="68"/>
      <c r="F47" s="70"/>
      <c r="G47" s="1"/>
      <c r="H47" s="68"/>
      <c r="I47" s="70"/>
      <c r="J47" s="1"/>
      <c r="K47" s="68"/>
      <c r="L47" s="68"/>
      <c r="M47" s="68"/>
      <c r="N47" s="68"/>
      <c r="O47" s="76"/>
      <c r="P47" s="83"/>
      <c r="Q47" s="64"/>
      <c r="R47" s="65"/>
      <c r="S47" s="99"/>
      <c r="T47" s="68"/>
      <c r="U47" s="76"/>
      <c r="V47" s="70"/>
      <c r="W47" s="88"/>
      <c r="X47" s="62"/>
      <c r="Y47" s="63"/>
      <c r="Z47" s="75"/>
      <c r="AA47" s="74" t="s">
        <v>8098</v>
      </c>
      <c r="AB47" s="62"/>
      <c r="AC47" s="63"/>
      <c r="AD47" s="75"/>
      <c r="AE47" s="228">
        <f>ROUND((ROUND((_15_同援日０．５*_15・通訳),0)*(1+_15・区３)),0)+ROUND((ROUND((ROUND((_15_同援日０．５＿２．０*_15・通訳),0)*(1+_15・B夜間)),0)*(1+_15・区３)),0)</f>
        <v>691</v>
      </c>
      <c r="AF47" s="69"/>
    </row>
    <row r="48" spans="1:32" ht="16.5" customHeight="1" x14ac:dyDescent="0.3">
      <c r="A48" s="2">
        <v>15</v>
      </c>
      <c r="B48" s="2" t="s">
        <v>4116</v>
      </c>
      <c r="C48" s="60" t="s">
        <v>14644</v>
      </c>
      <c r="D48" s="1"/>
      <c r="E48" s="68"/>
      <c r="F48" s="70"/>
      <c r="G48" s="1"/>
      <c r="H48" s="68"/>
      <c r="I48" s="70"/>
      <c r="J48" s="1"/>
      <c r="K48" s="68"/>
      <c r="L48" s="68"/>
      <c r="M48" s="68"/>
      <c r="N48" s="68"/>
      <c r="O48" s="76"/>
      <c r="P48" s="83" t="s">
        <v>5895</v>
      </c>
      <c r="Q48" s="64" t="s">
        <v>1</v>
      </c>
      <c r="R48" s="65">
        <v>1</v>
      </c>
      <c r="S48" s="99"/>
      <c r="T48" s="68"/>
      <c r="U48" s="76"/>
      <c r="V48" s="70"/>
      <c r="W48" s="73"/>
      <c r="X48" s="57"/>
      <c r="Y48" s="58"/>
      <c r="Z48" s="77"/>
      <c r="AA48" s="1" t="s">
        <v>17970</v>
      </c>
      <c r="AB48" s="68"/>
      <c r="AC48" s="76"/>
      <c r="AD48" s="70"/>
      <c r="AE48" s="228">
        <f>ROUND((ROUND((ROUND((_15_同援日０．５*_15・通訳),0)*_15・２人),0)*(1+_15・区３)),0)+ROUND((ROUND((ROUND((ROUND((_15_同援日０．５＿２．０*_15・通訳),0)*_15・２人),0)*(1+_15・B夜間)),0)*(1+_15・区３)),0)</f>
        <v>691</v>
      </c>
      <c r="AF48" s="69"/>
    </row>
    <row r="49" spans="1:32" ht="16.5" customHeight="1" x14ac:dyDescent="0.3">
      <c r="A49" s="2">
        <v>15</v>
      </c>
      <c r="B49" s="2" t="s">
        <v>4117</v>
      </c>
      <c r="C49" s="60" t="s">
        <v>14643</v>
      </c>
      <c r="D49" s="1"/>
      <c r="E49" s="68"/>
      <c r="F49" s="70"/>
      <c r="G49" s="1"/>
      <c r="H49" s="68"/>
      <c r="I49" s="70"/>
      <c r="J49" s="1"/>
      <c r="K49" s="68"/>
      <c r="L49" s="68"/>
      <c r="M49" s="68"/>
      <c r="N49" s="68"/>
      <c r="O49" s="76"/>
      <c r="P49" s="83"/>
      <c r="Q49" s="64"/>
      <c r="R49" s="65"/>
      <c r="S49" s="99"/>
      <c r="T49" s="68"/>
      <c r="U49" s="76"/>
      <c r="V49" s="70"/>
      <c r="W49" s="88" t="s">
        <v>18087</v>
      </c>
      <c r="X49" s="62"/>
      <c r="Y49" s="63"/>
      <c r="Z49" s="75"/>
      <c r="AA49" s="1"/>
      <c r="AB49" s="68" t="s">
        <v>1</v>
      </c>
      <c r="AC49" s="76">
        <v>0.2</v>
      </c>
      <c r="AD49" s="70" t="s">
        <v>422</v>
      </c>
      <c r="AE49" s="228">
        <f>ROUND((ROUND((ROUND((_15_同援日０．５*_15・通訳),0)*(1+_15・盲ろう)),0)*(1+_15・区３)),0)+ROUND((ROUND((ROUND((ROUND((_15_同援日０．５＿２．０*_15・通訳),0)*(1+_15・B夜間)),0)*(1+_15・盲ろう)),0)*(1+_15・区３)),0)</f>
        <v>866</v>
      </c>
      <c r="AF49" s="69"/>
    </row>
    <row r="50" spans="1:32" ht="16.5" customHeight="1" x14ac:dyDescent="0.3">
      <c r="A50" s="2">
        <v>15</v>
      </c>
      <c r="B50" s="2" t="s">
        <v>4118</v>
      </c>
      <c r="C50" s="60" t="s">
        <v>14642</v>
      </c>
      <c r="D50" s="1"/>
      <c r="E50" s="68"/>
      <c r="F50" s="70"/>
      <c r="G50" s="1"/>
      <c r="H50" s="68"/>
      <c r="I50" s="70"/>
      <c r="J50" s="1"/>
      <c r="K50" s="68"/>
      <c r="L50" s="68"/>
      <c r="M50" s="68"/>
      <c r="N50" s="68"/>
      <c r="O50" s="76"/>
      <c r="P50" s="83" t="s">
        <v>5895</v>
      </c>
      <c r="Q50" s="64" t="s">
        <v>1</v>
      </c>
      <c r="R50" s="65">
        <v>1</v>
      </c>
      <c r="S50" s="99"/>
      <c r="T50" s="68"/>
      <c r="U50" s="76"/>
      <c r="V50" s="70"/>
      <c r="W50" s="73" t="s">
        <v>18086</v>
      </c>
      <c r="X50" s="57" t="s">
        <v>1</v>
      </c>
      <c r="Y50" s="58">
        <v>0.25</v>
      </c>
      <c r="Z50" s="77" t="s">
        <v>422</v>
      </c>
      <c r="AA50" s="81"/>
      <c r="AB50" s="57"/>
      <c r="AC50" s="58"/>
      <c r="AD50" s="77"/>
      <c r="AE50" s="228">
        <f>ROUND((ROUND((ROUND((ROUND((_15_同援日０．５*_15・通訳),0)*_15・２人),0)*(1+_15・盲ろう)),0)*(1+_15・区３)),0)+ROUND((ROUND((ROUND((ROUND((ROUND((_15_同援日０．５＿２．０*_15・通訳),0)*_15・２人),0)*(1+_15・B夜間)),0)*(1+_15・盲ろう)),0)*(1+_15・区３)),0)</f>
        <v>866</v>
      </c>
      <c r="AF50" s="69"/>
    </row>
    <row r="51" spans="1:32" ht="16.5" customHeight="1" x14ac:dyDescent="0.3">
      <c r="A51" s="2">
        <v>15</v>
      </c>
      <c r="B51" s="2" t="s">
        <v>4119</v>
      </c>
      <c r="C51" s="60" t="s">
        <v>14641</v>
      </c>
      <c r="D51" s="1"/>
      <c r="E51" s="68"/>
      <c r="F51" s="70"/>
      <c r="G51" s="1"/>
      <c r="H51" s="68"/>
      <c r="I51" s="70"/>
      <c r="J51" s="1"/>
      <c r="K51" s="68"/>
      <c r="L51" s="68"/>
      <c r="M51" s="68"/>
      <c r="N51" s="68"/>
      <c r="O51" s="76"/>
      <c r="P51" s="83"/>
      <c r="Q51" s="64"/>
      <c r="R51" s="65"/>
      <c r="S51" s="99"/>
      <c r="T51" s="68"/>
      <c r="U51" s="76"/>
      <c r="V51" s="70"/>
      <c r="W51" s="88"/>
      <c r="X51" s="62"/>
      <c r="Y51" s="63"/>
      <c r="Z51" s="75"/>
      <c r="AA51" s="74" t="s">
        <v>18094</v>
      </c>
      <c r="AB51" s="62"/>
      <c r="AC51" s="63"/>
      <c r="AD51" s="75"/>
      <c r="AE51" s="228">
        <f>ROUND((ROUND((_15_同援日０．５*_15・通訳),0)*(1+_15・区４)),0)+ROUND((ROUND((ROUND((_15_同援日０．５＿２．０*_15・通訳),0)*(1+_15・B夜間)),0)*(1+_15・区４)),0)</f>
        <v>806</v>
      </c>
      <c r="AF51" s="69"/>
    </row>
    <row r="52" spans="1:32" ht="16.5" customHeight="1" x14ac:dyDescent="0.3">
      <c r="A52" s="2">
        <v>15</v>
      </c>
      <c r="B52" s="2" t="s">
        <v>4120</v>
      </c>
      <c r="C52" s="60" t="s">
        <v>14640</v>
      </c>
      <c r="D52" s="1"/>
      <c r="E52" s="68"/>
      <c r="F52" s="70"/>
      <c r="G52" s="1"/>
      <c r="H52" s="68"/>
      <c r="I52" s="70"/>
      <c r="J52" s="1"/>
      <c r="K52" s="68"/>
      <c r="L52" s="68"/>
      <c r="M52" s="68"/>
      <c r="N52" s="68"/>
      <c r="O52" s="76"/>
      <c r="P52" s="83" t="s">
        <v>5895</v>
      </c>
      <c r="Q52" s="64" t="s">
        <v>1</v>
      </c>
      <c r="R52" s="65">
        <v>1</v>
      </c>
      <c r="S52" s="99"/>
      <c r="T52" s="68"/>
      <c r="U52" s="76"/>
      <c r="V52" s="70"/>
      <c r="W52" s="73"/>
      <c r="X52" s="57"/>
      <c r="Y52" s="58"/>
      <c r="Z52" s="77"/>
      <c r="AA52" s="1" t="s">
        <v>18084</v>
      </c>
      <c r="AB52" s="68"/>
      <c r="AC52" s="76"/>
      <c r="AD52" s="70"/>
      <c r="AE52" s="228">
        <f>ROUND((ROUND((ROUND((_15_同援日０．５*_15・通訳),0)*_15・２人),0)*(1+_15・区４)),0)+ROUND((ROUND((ROUND((ROUND((_15_同援日０．５＿２．０*_15・通訳),0)*_15・２人),0)*(1+_15・B夜間)),0)*(1+_15・区４)),0)</f>
        <v>806</v>
      </c>
      <c r="AF52" s="69"/>
    </row>
    <row r="53" spans="1:32" ht="16.5" customHeight="1" x14ac:dyDescent="0.3">
      <c r="A53" s="2">
        <v>15</v>
      </c>
      <c r="B53" s="2" t="s">
        <v>4121</v>
      </c>
      <c r="C53" s="60" t="s">
        <v>14639</v>
      </c>
      <c r="D53" s="1"/>
      <c r="E53" s="68"/>
      <c r="F53" s="70"/>
      <c r="G53" s="1"/>
      <c r="H53" s="68"/>
      <c r="I53" s="70"/>
      <c r="J53" s="1"/>
      <c r="K53" s="68"/>
      <c r="L53" s="68"/>
      <c r="M53" s="68"/>
      <c r="N53" s="68"/>
      <c r="O53" s="76"/>
      <c r="P53" s="83"/>
      <c r="Q53" s="64"/>
      <c r="R53" s="65"/>
      <c r="S53" s="99"/>
      <c r="T53" s="68"/>
      <c r="U53" s="76"/>
      <c r="V53" s="70"/>
      <c r="W53" s="88" t="s">
        <v>18087</v>
      </c>
      <c r="X53" s="62"/>
      <c r="Y53" s="63"/>
      <c r="Z53" s="75"/>
      <c r="AA53" s="1"/>
      <c r="AB53" s="68" t="s">
        <v>1</v>
      </c>
      <c r="AC53" s="76">
        <v>0.4</v>
      </c>
      <c r="AD53" s="70" t="s">
        <v>422</v>
      </c>
      <c r="AE53" s="228">
        <f>ROUND((ROUND((ROUND((_15_同援日０．５*_15・通訳),0)*(1+_15・盲ろう)),0)*(1+_15・区４)),0)+ROUND((ROUND((ROUND((ROUND((_15_同援日０．５＿２．０*_15・通訳),0)*(1+_15・B夜間)),0)*(1+_15・盲ろう)),0)*(1+_15・区４)),0)</f>
        <v>1009</v>
      </c>
      <c r="AF53" s="69"/>
    </row>
    <row r="54" spans="1:32" ht="16.5" customHeight="1" x14ac:dyDescent="0.3">
      <c r="A54" s="2">
        <v>15</v>
      </c>
      <c r="B54" s="2" t="s">
        <v>4122</v>
      </c>
      <c r="C54" s="60" t="s">
        <v>14638</v>
      </c>
      <c r="D54" s="1"/>
      <c r="E54" s="68"/>
      <c r="F54" s="70"/>
      <c r="G54" s="81"/>
      <c r="H54" s="57"/>
      <c r="I54" s="77"/>
      <c r="J54" s="1"/>
      <c r="K54" s="68"/>
      <c r="L54" s="68"/>
      <c r="M54" s="68"/>
      <c r="N54" s="68"/>
      <c r="O54" s="76"/>
      <c r="P54" s="83" t="s">
        <v>5895</v>
      </c>
      <c r="Q54" s="64" t="s">
        <v>1</v>
      </c>
      <c r="R54" s="65">
        <v>1</v>
      </c>
      <c r="S54" s="99"/>
      <c r="T54" s="68"/>
      <c r="U54" s="76"/>
      <c r="V54" s="70"/>
      <c r="W54" s="73" t="s">
        <v>18086</v>
      </c>
      <c r="X54" s="57" t="s">
        <v>1</v>
      </c>
      <c r="Y54" s="58">
        <v>0.25</v>
      </c>
      <c r="Z54" s="77" t="s">
        <v>422</v>
      </c>
      <c r="AA54" s="81"/>
      <c r="AB54" s="57"/>
      <c r="AC54" s="58"/>
      <c r="AD54" s="77"/>
      <c r="AE54" s="228">
        <f>ROUND((ROUND((ROUND((ROUND((_15_同援日０．５*_15・通訳),0)*_15・２人),0)*(1+_15・盲ろう)),0)*(1+_15・区４)),0)+ROUND((ROUND((ROUND((ROUND((ROUND((_15_同援日０．５＿２．０*_15・通訳),0)*_15・２人),0)*(1+_15・B夜間)),0)*(1+_15・盲ろう)),0)*(1+_15・区４)),0)</f>
        <v>1009</v>
      </c>
      <c r="AF54" s="69"/>
    </row>
    <row r="55" spans="1:32" ht="16.5" customHeight="1" x14ac:dyDescent="0.3">
      <c r="A55" s="2">
        <v>15</v>
      </c>
      <c r="B55" s="2" t="s">
        <v>4123</v>
      </c>
      <c r="C55" s="60" t="s">
        <v>14637</v>
      </c>
      <c r="D55" s="1"/>
      <c r="E55" s="68"/>
      <c r="F55" s="70"/>
      <c r="G55" s="233" t="s">
        <v>18329</v>
      </c>
      <c r="H55" s="235"/>
      <c r="I55" s="75"/>
      <c r="J55" s="1"/>
      <c r="K55" s="68"/>
      <c r="L55" s="68"/>
      <c r="M55" s="68"/>
      <c r="N55" s="68"/>
      <c r="O55" s="76"/>
      <c r="P55" s="83"/>
      <c r="Q55" s="64"/>
      <c r="R55" s="65"/>
      <c r="S55" s="99"/>
      <c r="T55" s="68"/>
      <c r="U55" s="76"/>
      <c r="V55" s="70"/>
      <c r="W55" s="88"/>
      <c r="X55" s="62"/>
      <c r="Y55" s="63"/>
      <c r="Z55" s="75"/>
      <c r="AA55" s="74"/>
      <c r="AB55" s="62"/>
      <c r="AC55" s="63"/>
      <c r="AD55" s="75"/>
      <c r="AE55" s="228">
        <f>ROUND((_15_同援日０．５*_15・通訳),0)+ROUND((ROUND((_15_同援日０．５＿２．５*_15・通訳),0)*(1+_15・B夜間)),0)</f>
        <v>646</v>
      </c>
      <c r="AF55" s="69"/>
    </row>
    <row r="56" spans="1:32" ht="16.5" customHeight="1" x14ac:dyDescent="0.3">
      <c r="A56" s="2">
        <v>15</v>
      </c>
      <c r="B56" s="2" t="s">
        <v>4124</v>
      </c>
      <c r="C56" s="60" t="s">
        <v>14636</v>
      </c>
      <c r="D56" s="1"/>
      <c r="E56" s="68"/>
      <c r="F56" s="70"/>
      <c r="G56" s="1" t="s">
        <v>17057</v>
      </c>
      <c r="H56" s="68"/>
      <c r="I56" s="70"/>
      <c r="J56" s="1"/>
      <c r="K56" s="68"/>
      <c r="L56" s="68"/>
      <c r="M56" s="68"/>
      <c r="N56" s="68"/>
      <c r="O56" s="76"/>
      <c r="P56" s="83" t="s">
        <v>5895</v>
      </c>
      <c r="Q56" s="64" t="s">
        <v>1</v>
      </c>
      <c r="R56" s="65">
        <v>1</v>
      </c>
      <c r="S56" s="99"/>
      <c r="T56" s="68"/>
      <c r="U56" s="76"/>
      <c r="V56" s="70"/>
      <c r="W56" s="73"/>
      <c r="X56" s="57"/>
      <c r="Y56" s="58"/>
      <c r="Z56" s="77"/>
      <c r="AA56" s="1"/>
      <c r="AB56" s="68"/>
      <c r="AC56" s="76"/>
      <c r="AD56" s="70"/>
      <c r="AE56" s="228">
        <f>ROUND((ROUND((_15_同援日０．５*_15・通訳),0)*_15・２人),0)+ROUND((ROUND((ROUND((_15_同援日０．５＿２．５*_15・通訳),0)*_15・２人),0)*(1+_15・B夜間)),0)</f>
        <v>646</v>
      </c>
      <c r="AF56" s="69"/>
    </row>
    <row r="57" spans="1:32" ht="16.5" customHeight="1" x14ac:dyDescent="0.3">
      <c r="A57" s="2">
        <v>15</v>
      </c>
      <c r="B57" s="2" t="s">
        <v>4125</v>
      </c>
      <c r="C57" s="60" t="s">
        <v>14635</v>
      </c>
      <c r="D57" s="1"/>
      <c r="E57" s="68"/>
      <c r="F57" s="70"/>
      <c r="G57" s="1" t="s">
        <v>8499</v>
      </c>
      <c r="H57" s="68"/>
      <c r="I57" s="70"/>
      <c r="J57" s="1"/>
      <c r="K57" s="68"/>
      <c r="L57" s="68"/>
      <c r="M57" s="68"/>
      <c r="N57" s="68"/>
      <c r="O57" s="76"/>
      <c r="P57" s="83"/>
      <c r="Q57" s="64"/>
      <c r="R57" s="65"/>
      <c r="S57" s="99"/>
      <c r="T57" s="68"/>
      <c r="U57" s="76"/>
      <c r="V57" s="70"/>
      <c r="W57" s="88" t="s">
        <v>18087</v>
      </c>
      <c r="X57" s="62"/>
      <c r="Y57" s="63"/>
      <c r="Z57" s="75"/>
      <c r="AA57" s="1"/>
      <c r="AB57" s="68"/>
      <c r="AC57" s="76"/>
      <c r="AD57" s="70"/>
      <c r="AE57" s="228">
        <f>ROUND((ROUND((_15_同援日０．５*_15・通訳),0)*(1+_15・盲ろう)),0)+ROUND((ROUND((ROUND((_15_同援日０．５＿２．５*_15・通訳),0)*(1+_15・B夜間)),0)*(1+_15・盲ろう)),0)</f>
        <v>808</v>
      </c>
      <c r="AF57" s="69"/>
    </row>
    <row r="58" spans="1:32" ht="16.5" customHeight="1" x14ac:dyDescent="0.3">
      <c r="A58" s="2">
        <v>15</v>
      </c>
      <c r="B58" s="2" t="s">
        <v>4126</v>
      </c>
      <c r="C58" s="60" t="s">
        <v>14634</v>
      </c>
      <c r="D58" s="1"/>
      <c r="E58" s="68"/>
      <c r="F58" s="70"/>
      <c r="G58" s="1"/>
      <c r="H58" s="227">
        <v>427</v>
      </c>
      <c r="I58" s="70" t="s">
        <v>0</v>
      </c>
      <c r="J58" s="1"/>
      <c r="K58" s="68"/>
      <c r="L58" s="68"/>
      <c r="M58" s="68"/>
      <c r="N58" s="68"/>
      <c r="O58" s="76"/>
      <c r="P58" s="83" t="s">
        <v>5895</v>
      </c>
      <c r="Q58" s="64" t="s">
        <v>1</v>
      </c>
      <c r="R58" s="65">
        <v>1</v>
      </c>
      <c r="S58" s="99"/>
      <c r="T58" s="68"/>
      <c r="U58" s="76"/>
      <c r="V58" s="70"/>
      <c r="W58" s="73" t="s">
        <v>18086</v>
      </c>
      <c r="X58" s="57" t="s">
        <v>1</v>
      </c>
      <c r="Y58" s="58">
        <v>0.25</v>
      </c>
      <c r="Z58" s="77" t="s">
        <v>422</v>
      </c>
      <c r="AA58" s="81"/>
      <c r="AB58" s="57"/>
      <c r="AC58" s="58"/>
      <c r="AD58" s="77"/>
      <c r="AE58" s="228">
        <f>ROUND((ROUND((ROUND((_15_同援日０．５*_15・通訳),0)*_15・２人),0)*(1+_15・盲ろう)),0)+ROUND((ROUND((ROUND((ROUND((_15_同援日０．５＿２．５*_15・通訳),0)*_15・２人),0)*(1+_15・B夜間)),0)*(1+_15・盲ろう)),0)</f>
        <v>808</v>
      </c>
      <c r="AF58" s="69"/>
    </row>
    <row r="59" spans="1:32" ht="16.5" customHeight="1" x14ac:dyDescent="0.3">
      <c r="A59" s="2">
        <v>15</v>
      </c>
      <c r="B59" s="2" t="s">
        <v>4127</v>
      </c>
      <c r="C59" s="60" t="s">
        <v>14633</v>
      </c>
      <c r="D59" s="1"/>
      <c r="E59" s="68"/>
      <c r="F59" s="70"/>
      <c r="G59" s="1"/>
      <c r="H59" s="68"/>
      <c r="I59" s="70"/>
      <c r="J59" s="1"/>
      <c r="K59" s="68"/>
      <c r="L59" s="68"/>
      <c r="M59" s="68"/>
      <c r="N59" s="68"/>
      <c r="O59" s="76"/>
      <c r="P59" s="83"/>
      <c r="Q59" s="64"/>
      <c r="R59" s="65"/>
      <c r="S59" s="99"/>
      <c r="T59" s="68"/>
      <c r="U59" s="76"/>
      <c r="V59" s="70"/>
      <c r="W59" s="88"/>
      <c r="X59" s="62"/>
      <c r="Y59" s="63"/>
      <c r="Z59" s="75"/>
      <c r="AA59" s="74" t="s">
        <v>18089</v>
      </c>
      <c r="AB59" s="62"/>
      <c r="AC59" s="63"/>
      <c r="AD59" s="75"/>
      <c r="AE59" s="228">
        <f>ROUND((ROUND((_15_同援日０．５*_15・通訳),0)*(1+_15・区３)),0)+ROUND((ROUND((ROUND((_15_同援日０．５＿２．５*_15・通訳),0)*(1+_15・B夜間)),0)*(1+_15・区３)),0)</f>
        <v>775</v>
      </c>
      <c r="AF59" s="69"/>
    </row>
    <row r="60" spans="1:32" ht="16.5" customHeight="1" x14ac:dyDescent="0.3">
      <c r="A60" s="2">
        <v>15</v>
      </c>
      <c r="B60" s="2" t="s">
        <v>4128</v>
      </c>
      <c r="C60" s="60" t="s">
        <v>14632</v>
      </c>
      <c r="D60" s="1"/>
      <c r="E60" s="68"/>
      <c r="F60" s="70"/>
      <c r="G60" s="1"/>
      <c r="H60" s="68"/>
      <c r="I60" s="70"/>
      <c r="J60" s="1"/>
      <c r="K60" s="68"/>
      <c r="L60" s="68"/>
      <c r="M60" s="68"/>
      <c r="N60" s="68"/>
      <c r="O60" s="76"/>
      <c r="P60" s="83" t="s">
        <v>5895</v>
      </c>
      <c r="Q60" s="64" t="s">
        <v>1</v>
      </c>
      <c r="R60" s="65">
        <v>1</v>
      </c>
      <c r="S60" s="99"/>
      <c r="T60" s="68"/>
      <c r="U60" s="76"/>
      <c r="V60" s="70"/>
      <c r="W60" s="73"/>
      <c r="X60" s="57"/>
      <c r="Y60" s="58"/>
      <c r="Z60" s="77"/>
      <c r="AA60" s="1" t="s">
        <v>18084</v>
      </c>
      <c r="AB60" s="68"/>
      <c r="AC60" s="76"/>
      <c r="AD60" s="70"/>
      <c r="AE60" s="228">
        <f>ROUND((ROUND((ROUND((_15_同援日０．５*_15・通訳),0)*_15・２人),0)*(1+_15・区３)),0)+ROUND((ROUND((ROUND((ROUND((_15_同援日０．５＿２．５*_15・通訳),0)*_15・２人),0)*(1+_15・B夜間)),0)*(1+_15・区３)),0)</f>
        <v>775</v>
      </c>
      <c r="AF60" s="69"/>
    </row>
    <row r="61" spans="1:32" ht="16.5" customHeight="1" x14ac:dyDescent="0.3">
      <c r="A61" s="2">
        <v>15</v>
      </c>
      <c r="B61" s="2" t="s">
        <v>4129</v>
      </c>
      <c r="C61" s="60" t="s">
        <v>14631</v>
      </c>
      <c r="D61" s="1"/>
      <c r="E61" s="68"/>
      <c r="F61" s="70"/>
      <c r="G61" s="1"/>
      <c r="H61" s="68"/>
      <c r="I61" s="70"/>
      <c r="J61" s="1"/>
      <c r="K61" s="68"/>
      <c r="L61" s="68"/>
      <c r="M61" s="68"/>
      <c r="N61" s="68"/>
      <c r="O61" s="76"/>
      <c r="P61" s="83"/>
      <c r="Q61" s="64"/>
      <c r="R61" s="65"/>
      <c r="S61" s="99"/>
      <c r="T61" s="68"/>
      <c r="U61" s="76"/>
      <c r="V61" s="70"/>
      <c r="W61" s="88" t="s">
        <v>18087</v>
      </c>
      <c r="X61" s="62"/>
      <c r="Y61" s="63"/>
      <c r="Z61" s="75"/>
      <c r="AA61" s="1"/>
      <c r="AB61" s="68" t="s">
        <v>1</v>
      </c>
      <c r="AC61" s="76">
        <v>0.2</v>
      </c>
      <c r="AD61" s="70" t="s">
        <v>422</v>
      </c>
      <c r="AE61" s="228">
        <f>ROUND((ROUND((ROUND((_15_同援日０．５*_15・通訳),0)*(1+_15・盲ろう)),0)*(1+_15・区３)),0)+ROUND((ROUND((ROUND((ROUND((_15_同援日０．５＿２．５*_15・通訳),0)*(1+_15・B夜間)),0)*(1+_15・盲ろう)),0)*(1+_15・区３)),0)</f>
        <v>970</v>
      </c>
      <c r="AF61" s="69"/>
    </row>
    <row r="62" spans="1:32" ht="16.5" customHeight="1" x14ac:dyDescent="0.3">
      <c r="A62" s="2">
        <v>15</v>
      </c>
      <c r="B62" s="2" t="s">
        <v>4130</v>
      </c>
      <c r="C62" s="60" t="s">
        <v>14630</v>
      </c>
      <c r="D62" s="1"/>
      <c r="E62" s="68"/>
      <c r="F62" s="70"/>
      <c r="G62" s="1"/>
      <c r="H62" s="68"/>
      <c r="I62" s="70"/>
      <c r="J62" s="1"/>
      <c r="K62" s="68"/>
      <c r="L62" s="68"/>
      <c r="M62" s="68"/>
      <c r="N62" s="68"/>
      <c r="O62" s="76"/>
      <c r="P62" s="83" t="s">
        <v>5895</v>
      </c>
      <c r="Q62" s="64" t="s">
        <v>1</v>
      </c>
      <c r="R62" s="65">
        <v>1</v>
      </c>
      <c r="S62" s="99"/>
      <c r="T62" s="68"/>
      <c r="U62" s="76"/>
      <c r="V62" s="70"/>
      <c r="W62" s="73" t="s">
        <v>18086</v>
      </c>
      <c r="X62" s="57" t="s">
        <v>1</v>
      </c>
      <c r="Y62" s="58">
        <v>0.25</v>
      </c>
      <c r="Z62" s="77" t="s">
        <v>422</v>
      </c>
      <c r="AA62" s="81"/>
      <c r="AB62" s="57"/>
      <c r="AC62" s="58"/>
      <c r="AD62" s="77"/>
      <c r="AE62" s="228">
        <f>ROUND((ROUND((ROUND((ROUND((_15_同援日０．５*_15・通訳),0)*_15・２人),0)*(1+_15・盲ろう)),0)*(1+_15・区３)),0)+ROUND((ROUND((ROUND((ROUND((ROUND((_15_同援日０．５＿２．５*_15・通訳),0)*_15・２人),0)*(1+_15・B夜間)),0)*(1+_15・盲ろう)),0)*(1+_15・区３)),0)</f>
        <v>970</v>
      </c>
      <c r="AF62" s="69"/>
    </row>
    <row r="63" spans="1:32" ht="16.5" customHeight="1" x14ac:dyDescent="0.3">
      <c r="A63" s="2">
        <v>15</v>
      </c>
      <c r="B63" s="2" t="s">
        <v>4131</v>
      </c>
      <c r="C63" s="60" t="s">
        <v>14629</v>
      </c>
      <c r="D63" s="1"/>
      <c r="E63" s="68"/>
      <c r="F63" s="70"/>
      <c r="G63" s="1"/>
      <c r="H63" s="68"/>
      <c r="I63" s="70"/>
      <c r="J63" s="1"/>
      <c r="K63" s="68"/>
      <c r="L63" s="68"/>
      <c r="M63" s="68"/>
      <c r="N63" s="68"/>
      <c r="O63" s="76"/>
      <c r="P63" s="83"/>
      <c r="Q63" s="64"/>
      <c r="R63" s="65"/>
      <c r="S63" s="99"/>
      <c r="T63" s="68"/>
      <c r="U63" s="76"/>
      <c r="V63" s="70"/>
      <c r="W63" s="88"/>
      <c r="X63" s="62"/>
      <c r="Y63" s="63"/>
      <c r="Z63" s="75"/>
      <c r="AA63" s="74" t="s">
        <v>18094</v>
      </c>
      <c r="AB63" s="62"/>
      <c r="AC63" s="63"/>
      <c r="AD63" s="75"/>
      <c r="AE63" s="228">
        <f>ROUND((ROUND((_15_同援日０．５*_15・通訳),0)*(1+_15・区４)),0)+ROUND((ROUND((ROUND((_15_同援日０．５＿２．５*_15・通訳),0)*(1+_15・B夜間)),0)*(1+_15・区４)),0)</f>
        <v>904</v>
      </c>
      <c r="AF63" s="69"/>
    </row>
    <row r="64" spans="1:32" ht="16.5" customHeight="1" x14ac:dyDescent="0.3">
      <c r="A64" s="2">
        <v>15</v>
      </c>
      <c r="B64" s="2" t="s">
        <v>4132</v>
      </c>
      <c r="C64" s="60" t="s">
        <v>14628</v>
      </c>
      <c r="D64" s="1"/>
      <c r="E64" s="68"/>
      <c r="F64" s="70"/>
      <c r="G64" s="1"/>
      <c r="H64" s="68"/>
      <c r="I64" s="70"/>
      <c r="J64" s="1"/>
      <c r="K64" s="68"/>
      <c r="L64" s="68"/>
      <c r="M64" s="68"/>
      <c r="N64" s="68"/>
      <c r="O64" s="76"/>
      <c r="P64" s="83" t="s">
        <v>5895</v>
      </c>
      <c r="Q64" s="64" t="s">
        <v>1</v>
      </c>
      <c r="R64" s="65">
        <v>1</v>
      </c>
      <c r="S64" s="99"/>
      <c r="T64" s="68"/>
      <c r="U64" s="76"/>
      <c r="V64" s="70"/>
      <c r="W64" s="73"/>
      <c r="X64" s="57"/>
      <c r="Y64" s="58"/>
      <c r="Z64" s="77"/>
      <c r="AA64" s="1" t="s">
        <v>18084</v>
      </c>
      <c r="AB64" s="68"/>
      <c r="AC64" s="76"/>
      <c r="AD64" s="70"/>
      <c r="AE64" s="228">
        <f>ROUND((ROUND((ROUND((_15_同援日０．５*_15・通訳),0)*_15・２人),0)*(1+_15・区４)),0)+ROUND((ROUND((ROUND((ROUND((_15_同援日０．５＿２．５*_15・通訳),0)*_15・２人),0)*(1+_15・B夜間)),0)*(1+_15・区４)),0)</f>
        <v>904</v>
      </c>
      <c r="AF64" s="69"/>
    </row>
    <row r="65" spans="1:32" ht="16.5" customHeight="1" x14ac:dyDescent="0.3">
      <c r="A65" s="2">
        <v>15</v>
      </c>
      <c r="B65" s="2" t="s">
        <v>4133</v>
      </c>
      <c r="C65" s="60" t="s">
        <v>14627</v>
      </c>
      <c r="D65" s="1"/>
      <c r="E65" s="68"/>
      <c r="F65" s="70"/>
      <c r="G65" s="1"/>
      <c r="H65" s="68"/>
      <c r="I65" s="70"/>
      <c r="J65" s="1"/>
      <c r="K65" s="68"/>
      <c r="L65" s="68"/>
      <c r="M65" s="68"/>
      <c r="N65" s="68"/>
      <c r="O65" s="76"/>
      <c r="P65" s="83"/>
      <c r="Q65" s="64"/>
      <c r="R65" s="65"/>
      <c r="S65" s="99"/>
      <c r="T65" s="68"/>
      <c r="U65" s="76"/>
      <c r="V65" s="70"/>
      <c r="W65" s="88" t="s">
        <v>17969</v>
      </c>
      <c r="X65" s="62"/>
      <c r="Y65" s="63"/>
      <c r="Z65" s="75"/>
      <c r="AA65" s="1"/>
      <c r="AB65" s="68" t="s">
        <v>1</v>
      </c>
      <c r="AC65" s="76">
        <v>0.4</v>
      </c>
      <c r="AD65" s="70" t="s">
        <v>422</v>
      </c>
      <c r="AE65" s="228">
        <f>ROUND((ROUND((ROUND((_15_同援日０．５*_15・通訳),0)*(1+_15・盲ろう)),0)*(1+_15・区４)),0)+ROUND((ROUND((ROUND((ROUND((_15_同援日０．５＿２．５*_15・通訳),0)*(1+_15・B夜間)),0)*(1+_15・盲ろう)),0)*(1+_15・区４)),0)</f>
        <v>1131</v>
      </c>
      <c r="AF65" s="69"/>
    </row>
    <row r="66" spans="1:32" ht="16.5" customHeight="1" x14ac:dyDescent="0.3">
      <c r="A66" s="2">
        <v>15</v>
      </c>
      <c r="B66" s="2" t="s">
        <v>4134</v>
      </c>
      <c r="C66" s="60" t="s">
        <v>14626</v>
      </c>
      <c r="D66" s="81"/>
      <c r="E66" s="57"/>
      <c r="F66" s="77"/>
      <c r="G66" s="81"/>
      <c r="H66" s="57"/>
      <c r="I66" s="77"/>
      <c r="J66" s="1"/>
      <c r="K66" s="68"/>
      <c r="L66" s="68"/>
      <c r="M66" s="68"/>
      <c r="N66" s="68"/>
      <c r="O66" s="76"/>
      <c r="P66" s="83" t="s">
        <v>5895</v>
      </c>
      <c r="Q66" s="64" t="s">
        <v>1</v>
      </c>
      <c r="R66" s="65">
        <v>1</v>
      </c>
      <c r="S66" s="99"/>
      <c r="T66" s="68"/>
      <c r="U66" s="76"/>
      <c r="V66" s="70"/>
      <c r="W66" s="73" t="s">
        <v>18086</v>
      </c>
      <c r="X66" s="57" t="s">
        <v>1</v>
      </c>
      <c r="Y66" s="58">
        <v>0.25</v>
      </c>
      <c r="Z66" s="77" t="s">
        <v>422</v>
      </c>
      <c r="AA66" s="81"/>
      <c r="AB66" s="57"/>
      <c r="AC66" s="58"/>
      <c r="AD66" s="77"/>
      <c r="AE66" s="228">
        <f>ROUND((ROUND((ROUND((ROUND((_15_同援日０．５*_15・通訳),0)*_15・２人),0)*(1+_15・盲ろう)),0)*(1+_15・区４)),0)+ROUND((ROUND((ROUND((ROUND((ROUND((_15_同援日０．５＿２．５*_15・通訳),0)*_15・２人),0)*(1+_15・B夜間)),0)*(1+_15・盲ろう)),0)*(1+_15・区４)),0)</f>
        <v>1131</v>
      </c>
      <c r="AF66" s="69"/>
    </row>
    <row r="67" spans="1:32" ht="16.5" customHeight="1" x14ac:dyDescent="0.3">
      <c r="A67" s="2">
        <v>15</v>
      </c>
      <c r="B67" s="2" t="s">
        <v>4135</v>
      </c>
      <c r="C67" s="60" t="s">
        <v>14625</v>
      </c>
      <c r="D67" s="233" t="s">
        <v>18328</v>
      </c>
      <c r="E67" s="235"/>
      <c r="F67" s="75"/>
      <c r="G67" s="233" t="s">
        <v>18327</v>
      </c>
      <c r="H67" s="235"/>
      <c r="I67" s="75"/>
      <c r="J67" s="1"/>
      <c r="K67" s="68"/>
      <c r="L67" s="68"/>
      <c r="M67" s="68"/>
      <c r="N67" s="68"/>
      <c r="O67" s="76"/>
      <c r="P67" s="83"/>
      <c r="Q67" s="64"/>
      <c r="R67" s="65"/>
      <c r="S67" s="99"/>
      <c r="T67" s="68"/>
      <c r="U67" s="76"/>
      <c r="V67" s="70"/>
      <c r="W67" s="88"/>
      <c r="X67" s="62"/>
      <c r="Y67" s="63"/>
      <c r="Z67" s="75"/>
      <c r="AA67" s="74"/>
      <c r="AB67" s="62"/>
      <c r="AC67" s="63"/>
      <c r="AD67" s="75"/>
      <c r="AE67" s="228">
        <f>ROUND((_15_同援日１．０*_15・通訳),0)+ROUND((ROUND((_15_同援日１．０＿０．５*_15・通訳),0)*(1+_15・B夜間)),0)</f>
        <v>408</v>
      </c>
      <c r="AF67" s="69"/>
    </row>
    <row r="68" spans="1:32" ht="16.5" customHeight="1" x14ac:dyDescent="0.3">
      <c r="A68" s="2">
        <v>15</v>
      </c>
      <c r="B68" s="2" t="s">
        <v>4136</v>
      </c>
      <c r="C68" s="60" t="s">
        <v>14624</v>
      </c>
      <c r="D68" s="1" t="s">
        <v>17067</v>
      </c>
      <c r="E68" s="68"/>
      <c r="F68" s="70"/>
      <c r="G68" s="1" t="s">
        <v>7928</v>
      </c>
      <c r="H68" s="68"/>
      <c r="I68" s="70"/>
      <c r="J68" s="1"/>
      <c r="K68" s="68"/>
      <c r="L68" s="68"/>
      <c r="M68" s="68"/>
      <c r="N68" s="68"/>
      <c r="O68" s="76"/>
      <c r="P68" s="83" t="s">
        <v>5895</v>
      </c>
      <c r="Q68" s="64" t="s">
        <v>1</v>
      </c>
      <c r="R68" s="65">
        <v>1</v>
      </c>
      <c r="S68" s="99"/>
      <c r="T68" s="68"/>
      <c r="U68" s="76"/>
      <c r="V68" s="70"/>
      <c r="W68" s="73"/>
      <c r="X68" s="57"/>
      <c r="Y68" s="58"/>
      <c r="Z68" s="77"/>
      <c r="AA68" s="1"/>
      <c r="AB68" s="68"/>
      <c r="AC68" s="76"/>
      <c r="AD68" s="70"/>
      <c r="AE68" s="228">
        <f>ROUND((ROUND((_15_同援日１．０*_15・通訳),0)*_15・２人),0)+ROUND((ROUND((ROUND((_15_同援日１．０＿０．５*_15・通訳),0)*_15・２人),0)*(1+_15・B夜間)),0)</f>
        <v>408</v>
      </c>
      <c r="AF68" s="69"/>
    </row>
    <row r="69" spans="1:32" ht="16.5" customHeight="1" x14ac:dyDescent="0.3">
      <c r="A69" s="2">
        <v>15</v>
      </c>
      <c r="B69" s="2" t="s">
        <v>4137</v>
      </c>
      <c r="C69" s="60" t="s">
        <v>14623</v>
      </c>
      <c r="D69" s="1" t="s">
        <v>8572</v>
      </c>
      <c r="E69" s="68"/>
      <c r="F69" s="70"/>
      <c r="G69" s="1"/>
      <c r="H69" s="68"/>
      <c r="I69" s="70"/>
      <c r="J69" s="1"/>
      <c r="K69" s="68"/>
      <c r="L69" s="68"/>
      <c r="M69" s="68"/>
      <c r="N69" s="68"/>
      <c r="O69" s="76"/>
      <c r="P69" s="83"/>
      <c r="Q69" s="64"/>
      <c r="R69" s="65"/>
      <c r="S69" s="99"/>
      <c r="T69" s="68"/>
      <c r="U69" s="76"/>
      <c r="V69" s="70"/>
      <c r="W69" s="88" t="s">
        <v>18087</v>
      </c>
      <c r="X69" s="62"/>
      <c r="Y69" s="63"/>
      <c r="Z69" s="75"/>
      <c r="AA69" s="1"/>
      <c r="AB69" s="68"/>
      <c r="AC69" s="76"/>
      <c r="AD69" s="70"/>
      <c r="AE69" s="228">
        <f>ROUND((ROUND((_15_同援日１．０*_15・通訳),0)*(1+_15・盲ろう)),0)+ROUND((ROUND((ROUND((_15_同援日１．０＿０．５*_15・通訳),0)*(1+_15・B夜間)),0)*(1+_15・盲ろう)),0)</f>
        <v>510</v>
      </c>
      <c r="AF69" s="69"/>
    </row>
    <row r="70" spans="1:32" ht="16.5" customHeight="1" x14ac:dyDescent="0.3">
      <c r="A70" s="2">
        <v>15</v>
      </c>
      <c r="B70" s="2" t="s">
        <v>4138</v>
      </c>
      <c r="C70" s="60" t="s">
        <v>14622</v>
      </c>
      <c r="D70" s="1"/>
      <c r="E70" s="227">
        <v>292</v>
      </c>
      <c r="F70" s="70" t="s">
        <v>0</v>
      </c>
      <c r="G70" s="1"/>
      <c r="H70" s="119">
        <v>129</v>
      </c>
      <c r="I70" s="70" t="s">
        <v>0</v>
      </c>
      <c r="J70" s="1"/>
      <c r="K70" s="68"/>
      <c r="L70" s="68"/>
      <c r="M70" s="68"/>
      <c r="N70" s="68"/>
      <c r="O70" s="76"/>
      <c r="P70" s="83" t="s">
        <v>5895</v>
      </c>
      <c r="Q70" s="64" t="s">
        <v>1</v>
      </c>
      <c r="R70" s="65">
        <v>1</v>
      </c>
      <c r="S70" s="99"/>
      <c r="T70" s="68"/>
      <c r="U70" s="76"/>
      <c r="V70" s="70"/>
      <c r="W70" s="73" t="s">
        <v>18086</v>
      </c>
      <c r="X70" s="57" t="s">
        <v>1</v>
      </c>
      <c r="Y70" s="58">
        <v>0.25</v>
      </c>
      <c r="Z70" s="77" t="s">
        <v>422</v>
      </c>
      <c r="AA70" s="81"/>
      <c r="AB70" s="57"/>
      <c r="AC70" s="58"/>
      <c r="AD70" s="77"/>
      <c r="AE70" s="228">
        <f>ROUND((ROUND((ROUND((_15_同援日１．０*_15・通訳),0)*_15・２人),0)*(1+_15・盲ろう)),0)+ROUND((ROUND((ROUND((ROUND((_15_同援日１．０＿０．５*_15・通訳),0)*_15・２人),0)*(1+_15・B夜間)),0)*(1+_15・盲ろう)),0)</f>
        <v>510</v>
      </c>
      <c r="AF70" s="69"/>
    </row>
    <row r="71" spans="1:32" ht="16.5" customHeight="1" x14ac:dyDescent="0.3">
      <c r="A71" s="2">
        <v>15</v>
      </c>
      <c r="B71" s="2" t="s">
        <v>4139</v>
      </c>
      <c r="C71" s="60" t="s">
        <v>14621</v>
      </c>
      <c r="D71" s="1"/>
      <c r="E71" s="68"/>
      <c r="F71" s="70"/>
      <c r="G71" s="1"/>
      <c r="H71" s="68"/>
      <c r="I71" s="70"/>
      <c r="J71" s="1"/>
      <c r="K71" s="68"/>
      <c r="L71" s="68"/>
      <c r="M71" s="68"/>
      <c r="N71" s="68"/>
      <c r="O71" s="76"/>
      <c r="P71" s="83"/>
      <c r="Q71" s="64"/>
      <c r="R71" s="65"/>
      <c r="S71" s="99"/>
      <c r="T71" s="68"/>
      <c r="U71" s="76"/>
      <c r="V71" s="70"/>
      <c r="W71" s="88"/>
      <c r="X71" s="62"/>
      <c r="Y71" s="63"/>
      <c r="Z71" s="75"/>
      <c r="AA71" s="74" t="s">
        <v>18089</v>
      </c>
      <c r="AB71" s="62"/>
      <c r="AC71" s="63"/>
      <c r="AD71" s="75"/>
      <c r="AE71" s="228">
        <f>ROUND((ROUND((_15_同援日１．０*_15・通訳),0)*(1+_15・区３)),0)+ROUND((ROUND((ROUND((_15_同援日１．０＿０．５*_15・通訳),0)*(1+_15・B夜間)),0)*(1+_15・区３)),0)</f>
        <v>490</v>
      </c>
      <c r="AF71" s="69"/>
    </row>
    <row r="72" spans="1:32" ht="16.5" customHeight="1" x14ac:dyDescent="0.3">
      <c r="A72" s="2">
        <v>15</v>
      </c>
      <c r="B72" s="2" t="s">
        <v>4140</v>
      </c>
      <c r="C72" s="60" t="s">
        <v>14620</v>
      </c>
      <c r="D72" s="1"/>
      <c r="E72" s="68"/>
      <c r="F72" s="70"/>
      <c r="G72" s="1"/>
      <c r="H72" s="68"/>
      <c r="I72" s="70"/>
      <c r="J72" s="1"/>
      <c r="K72" s="68"/>
      <c r="L72" s="68"/>
      <c r="M72" s="68"/>
      <c r="N72" s="68"/>
      <c r="O72" s="76"/>
      <c r="P72" s="83" t="s">
        <v>5895</v>
      </c>
      <c r="Q72" s="64" t="s">
        <v>1</v>
      </c>
      <c r="R72" s="65">
        <v>1</v>
      </c>
      <c r="S72" s="99"/>
      <c r="T72" s="68"/>
      <c r="U72" s="76"/>
      <c r="V72" s="70"/>
      <c r="W72" s="73"/>
      <c r="X72" s="57"/>
      <c r="Y72" s="58"/>
      <c r="Z72" s="77"/>
      <c r="AA72" s="1" t="s">
        <v>18084</v>
      </c>
      <c r="AB72" s="68"/>
      <c r="AC72" s="76"/>
      <c r="AD72" s="70"/>
      <c r="AE72" s="228">
        <f>ROUND((ROUND((ROUND((_15_同援日１．０*_15・通訳),0)*_15・２人),0)*(1+_15・区３)),0)+ROUND((ROUND((ROUND((ROUND((_15_同援日１．０＿０．５*_15・通訳),0)*_15・２人),0)*(1+_15・B夜間)),0)*(1+_15・区３)),0)</f>
        <v>490</v>
      </c>
      <c r="AF72" s="69"/>
    </row>
    <row r="73" spans="1:32" ht="16.5" customHeight="1" x14ac:dyDescent="0.3">
      <c r="A73" s="2">
        <v>15</v>
      </c>
      <c r="B73" s="2" t="s">
        <v>4141</v>
      </c>
      <c r="C73" s="60" t="s">
        <v>14619</v>
      </c>
      <c r="D73" s="1"/>
      <c r="E73" s="68"/>
      <c r="F73" s="70"/>
      <c r="G73" s="1"/>
      <c r="H73" s="68"/>
      <c r="I73" s="70"/>
      <c r="J73" s="1"/>
      <c r="K73" s="68"/>
      <c r="L73" s="68"/>
      <c r="M73" s="68"/>
      <c r="N73" s="68"/>
      <c r="O73" s="76"/>
      <c r="P73" s="83"/>
      <c r="Q73" s="64"/>
      <c r="R73" s="65"/>
      <c r="S73" s="99"/>
      <c r="T73" s="68"/>
      <c r="U73" s="76"/>
      <c r="V73" s="70"/>
      <c r="W73" s="88" t="s">
        <v>18087</v>
      </c>
      <c r="X73" s="62"/>
      <c r="Y73" s="63"/>
      <c r="Z73" s="75"/>
      <c r="AA73" s="1"/>
      <c r="AB73" s="68" t="s">
        <v>1</v>
      </c>
      <c r="AC73" s="76">
        <v>0.2</v>
      </c>
      <c r="AD73" s="70" t="s">
        <v>422</v>
      </c>
      <c r="AE73" s="228">
        <f>ROUND((ROUND((ROUND((_15_同援日１．０*_15・通訳),0)*(1+_15・盲ろう)),0)*(1+_15・区３)),0)+ROUND((ROUND((ROUND((ROUND((_15_同援日１．０＿０．５*_15・通訳),0)*(1+_15・B夜間)),0)*(1+_15・盲ろう)),0)*(1+_15・区３)),0)</f>
        <v>612</v>
      </c>
      <c r="AF73" s="69"/>
    </row>
    <row r="74" spans="1:32" ht="16.5" customHeight="1" x14ac:dyDescent="0.3">
      <c r="A74" s="2">
        <v>15</v>
      </c>
      <c r="B74" s="2" t="s">
        <v>4142</v>
      </c>
      <c r="C74" s="60" t="s">
        <v>14618</v>
      </c>
      <c r="D74" s="1"/>
      <c r="E74" s="68"/>
      <c r="F74" s="70"/>
      <c r="G74" s="1"/>
      <c r="H74" s="68"/>
      <c r="I74" s="70"/>
      <c r="J74" s="1"/>
      <c r="K74" s="68"/>
      <c r="L74" s="68"/>
      <c r="M74" s="68"/>
      <c r="N74" s="68"/>
      <c r="O74" s="76"/>
      <c r="P74" s="83" t="s">
        <v>5895</v>
      </c>
      <c r="Q74" s="64" t="s">
        <v>1</v>
      </c>
      <c r="R74" s="65">
        <v>1</v>
      </c>
      <c r="S74" s="99"/>
      <c r="T74" s="68"/>
      <c r="U74" s="76"/>
      <c r="V74" s="70"/>
      <c r="W74" s="73" t="s">
        <v>18086</v>
      </c>
      <c r="X74" s="57" t="s">
        <v>1</v>
      </c>
      <c r="Y74" s="58">
        <v>0.25</v>
      </c>
      <c r="Z74" s="77" t="s">
        <v>422</v>
      </c>
      <c r="AA74" s="81"/>
      <c r="AB74" s="57"/>
      <c r="AC74" s="58"/>
      <c r="AD74" s="77"/>
      <c r="AE74" s="228">
        <f>ROUND((ROUND((ROUND((ROUND((_15_同援日１．０*_15・通訳),0)*_15・２人),0)*(1+_15・盲ろう)),0)*(1+_15・区３)),0)+ROUND((ROUND((ROUND((ROUND((ROUND((_15_同援日１．０＿０．５*_15・通訳),0)*_15・２人),0)*(1+_15・B夜間)),0)*(1+_15・盲ろう)),0)*(1+_15・区３)),0)</f>
        <v>612</v>
      </c>
      <c r="AF74" s="69"/>
    </row>
    <row r="75" spans="1:32" ht="16.5" customHeight="1" x14ac:dyDescent="0.3">
      <c r="A75" s="2">
        <v>15</v>
      </c>
      <c r="B75" s="2" t="s">
        <v>4143</v>
      </c>
      <c r="C75" s="60" t="s">
        <v>14617</v>
      </c>
      <c r="D75" s="1"/>
      <c r="E75" s="68"/>
      <c r="F75" s="70"/>
      <c r="G75" s="1"/>
      <c r="H75" s="68"/>
      <c r="I75" s="70"/>
      <c r="J75" s="1"/>
      <c r="K75" s="68"/>
      <c r="L75" s="68"/>
      <c r="M75" s="68"/>
      <c r="N75" s="68"/>
      <c r="O75" s="76"/>
      <c r="P75" s="83"/>
      <c r="Q75" s="64"/>
      <c r="R75" s="65"/>
      <c r="S75" s="99"/>
      <c r="T75" s="68"/>
      <c r="U75" s="76"/>
      <c r="V75" s="70"/>
      <c r="W75" s="88"/>
      <c r="X75" s="62"/>
      <c r="Y75" s="63"/>
      <c r="Z75" s="75"/>
      <c r="AA75" s="74" t="s">
        <v>18094</v>
      </c>
      <c r="AB75" s="62"/>
      <c r="AC75" s="63"/>
      <c r="AD75" s="75"/>
      <c r="AE75" s="228">
        <f>ROUND((ROUND((_15_同援日１．０*_15・通訳),0)*(1+_15・区４)),0)+ROUND((ROUND((ROUND((_15_同援日１．０＿０．５*_15・通訳),0)*(1+_15・B夜間)),0)*(1+_15・区４)),0)</f>
        <v>571</v>
      </c>
      <c r="AF75" s="69"/>
    </row>
    <row r="76" spans="1:32" ht="16.5" customHeight="1" x14ac:dyDescent="0.3">
      <c r="A76" s="2">
        <v>15</v>
      </c>
      <c r="B76" s="2" t="s">
        <v>4144</v>
      </c>
      <c r="C76" s="60" t="s">
        <v>14616</v>
      </c>
      <c r="D76" s="1"/>
      <c r="E76" s="68"/>
      <c r="F76" s="70"/>
      <c r="G76" s="1"/>
      <c r="H76" s="68"/>
      <c r="I76" s="70"/>
      <c r="J76" s="1"/>
      <c r="K76" s="68"/>
      <c r="L76" s="68"/>
      <c r="M76" s="68"/>
      <c r="N76" s="68"/>
      <c r="O76" s="76"/>
      <c r="P76" s="83" t="s">
        <v>5895</v>
      </c>
      <c r="Q76" s="64" t="s">
        <v>1</v>
      </c>
      <c r="R76" s="65">
        <v>1</v>
      </c>
      <c r="S76" s="99"/>
      <c r="T76" s="68"/>
      <c r="U76" s="76"/>
      <c r="V76" s="70"/>
      <c r="W76" s="73"/>
      <c r="X76" s="57"/>
      <c r="Y76" s="58"/>
      <c r="Z76" s="77"/>
      <c r="AA76" s="1" t="s">
        <v>18084</v>
      </c>
      <c r="AB76" s="68"/>
      <c r="AC76" s="76"/>
      <c r="AD76" s="70"/>
      <c r="AE76" s="228">
        <f>ROUND((ROUND((ROUND((_15_同援日１．０*_15・通訳),0)*_15・２人),0)*(1+_15・区４)),0)+ROUND((ROUND((ROUND((ROUND((_15_同援日１．０＿０．５*_15・通訳),0)*_15・２人),0)*(1+_15・B夜間)),0)*(1+_15・区４)),0)</f>
        <v>571</v>
      </c>
      <c r="AF76" s="69"/>
    </row>
    <row r="77" spans="1:32" ht="16.5" customHeight="1" x14ac:dyDescent="0.3">
      <c r="A77" s="2">
        <v>15</v>
      </c>
      <c r="B77" s="2" t="s">
        <v>4145</v>
      </c>
      <c r="C77" s="60" t="s">
        <v>14615</v>
      </c>
      <c r="D77" s="1"/>
      <c r="E77" s="68"/>
      <c r="F77" s="70"/>
      <c r="G77" s="1"/>
      <c r="H77" s="68"/>
      <c r="I77" s="70"/>
      <c r="J77" s="1"/>
      <c r="K77" s="68"/>
      <c r="L77" s="68"/>
      <c r="M77" s="68"/>
      <c r="N77" s="68"/>
      <c r="O77" s="76"/>
      <c r="P77" s="83"/>
      <c r="Q77" s="64"/>
      <c r="R77" s="65"/>
      <c r="S77" s="99"/>
      <c r="T77" s="68"/>
      <c r="U77" s="76"/>
      <c r="V77" s="70"/>
      <c r="W77" s="88" t="s">
        <v>18087</v>
      </c>
      <c r="X77" s="62"/>
      <c r="Y77" s="63"/>
      <c r="Z77" s="75"/>
      <c r="AA77" s="1"/>
      <c r="AB77" s="68" t="s">
        <v>1</v>
      </c>
      <c r="AC77" s="76">
        <v>0.4</v>
      </c>
      <c r="AD77" s="70" t="s">
        <v>422</v>
      </c>
      <c r="AE77" s="228">
        <f>ROUND((ROUND((ROUND((_15_同援日１．０*_15・通訳),0)*(1+_15・盲ろう)),0)*(1+_15・区４)),0)+ROUND((ROUND((ROUND((ROUND((_15_同援日１．０＿０．５*_15・通訳),0)*(1+_15・B夜間)),0)*(1+_15・盲ろう)),0)*(1+_15・区４)),0)</f>
        <v>714</v>
      </c>
      <c r="AF77" s="69"/>
    </row>
    <row r="78" spans="1:32" ht="16.5" customHeight="1" x14ac:dyDescent="0.3">
      <c r="A78" s="2">
        <v>15</v>
      </c>
      <c r="B78" s="2" t="s">
        <v>4146</v>
      </c>
      <c r="C78" s="60" t="s">
        <v>14614</v>
      </c>
      <c r="D78" s="1"/>
      <c r="E78" s="68"/>
      <c r="F78" s="70"/>
      <c r="G78" s="81"/>
      <c r="H78" s="57"/>
      <c r="I78" s="77"/>
      <c r="J78" s="1"/>
      <c r="K78" s="68"/>
      <c r="L78" s="68"/>
      <c r="M78" s="68"/>
      <c r="N78" s="68"/>
      <c r="O78" s="76"/>
      <c r="P78" s="83" t="s">
        <v>5895</v>
      </c>
      <c r="Q78" s="64" t="s">
        <v>1</v>
      </c>
      <c r="R78" s="65">
        <v>1</v>
      </c>
      <c r="S78" s="99"/>
      <c r="T78" s="68"/>
      <c r="U78" s="76"/>
      <c r="V78" s="70"/>
      <c r="W78" s="73" t="s">
        <v>18086</v>
      </c>
      <c r="X78" s="57" t="s">
        <v>1</v>
      </c>
      <c r="Y78" s="58">
        <v>0.25</v>
      </c>
      <c r="Z78" s="77" t="s">
        <v>422</v>
      </c>
      <c r="AA78" s="81"/>
      <c r="AB78" s="57"/>
      <c r="AC78" s="58"/>
      <c r="AD78" s="77"/>
      <c r="AE78" s="228">
        <f>ROUND((ROUND((ROUND((ROUND((_15_同援日１．０*_15・通訳),0)*_15・２人),0)*(1+_15・盲ろう)),0)*(1+_15・区４)),0)+ROUND((ROUND((ROUND((ROUND((ROUND((_15_同援日１．０＿０．５*_15・通訳),0)*_15・２人),0)*(1+_15・B夜間)),0)*(1+_15・盲ろう)),0)*(1+_15・区４)),0)</f>
        <v>714</v>
      </c>
      <c r="AF78" s="69"/>
    </row>
    <row r="79" spans="1:32" ht="16.5" customHeight="1" x14ac:dyDescent="0.3">
      <c r="A79" s="2">
        <v>15</v>
      </c>
      <c r="B79" s="2" t="s">
        <v>4147</v>
      </c>
      <c r="C79" s="60" t="s">
        <v>14613</v>
      </c>
      <c r="D79" s="1"/>
      <c r="E79" s="68"/>
      <c r="F79" s="70"/>
      <c r="G79" s="233" t="s">
        <v>18323</v>
      </c>
      <c r="H79" s="235"/>
      <c r="I79" s="75"/>
      <c r="J79" s="1"/>
      <c r="K79" s="68"/>
      <c r="L79" s="68"/>
      <c r="M79" s="68"/>
      <c r="N79" s="68"/>
      <c r="O79" s="76"/>
      <c r="P79" s="83"/>
      <c r="Q79" s="64"/>
      <c r="R79" s="65"/>
      <c r="S79" s="99"/>
      <c r="T79" s="68"/>
      <c r="U79" s="76"/>
      <c r="V79" s="70"/>
      <c r="W79" s="88"/>
      <c r="X79" s="62"/>
      <c r="Y79" s="63"/>
      <c r="Z79" s="75"/>
      <c r="AA79" s="74"/>
      <c r="AB79" s="62"/>
      <c r="AC79" s="63"/>
      <c r="AD79" s="75"/>
      <c r="AE79" s="228">
        <f>ROUND((_15_同援日１．０*_15・通訳),0)+ROUND((ROUND((_15_同援日１．０＿１．０*_15・通訳),0)*(1+_15・B夜間)),0)</f>
        <v>481</v>
      </c>
      <c r="AF79" s="69"/>
    </row>
    <row r="80" spans="1:32" ht="16.5" customHeight="1" x14ac:dyDescent="0.3">
      <c r="A80" s="2">
        <v>15</v>
      </c>
      <c r="B80" s="2" t="s">
        <v>4148</v>
      </c>
      <c r="C80" s="60" t="s">
        <v>14612</v>
      </c>
      <c r="D80" s="1"/>
      <c r="E80" s="68"/>
      <c r="F80" s="70"/>
      <c r="G80" s="1" t="s">
        <v>17067</v>
      </c>
      <c r="H80" s="68"/>
      <c r="I80" s="70"/>
      <c r="J80" s="1"/>
      <c r="K80" s="68"/>
      <c r="L80" s="68"/>
      <c r="M80" s="68"/>
      <c r="N80" s="68"/>
      <c r="O80" s="76"/>
      <c r="P80" s="83" t="s">
        <v>5895</v>
      </c>
      <c r="Q80" s="64" t="s">
        <v>1</v>
      </c>
      <c r="R80" s="65">
        <v>1</v>
      </c>
      <c r="S80" s="99"/>
      <c r="T80" s="68"/>
      <c r="U80" s="76"/>
      <c r="V80" s="70"/>
      <c r="W80" s="73"/>
      <c r="X80" s="57"/>
      <c r="Y80" s="58"/>
      <c r="Z80" s="77"/>
      <c r="AA80" s="1"/>
      <c r="AB80" s="68"/>
      <c r="AC80" s="76"/>
      <c r="AD80" s="70"/>
      <c r="AE80" s="228">
        <f>ROUND((ROUND((_15_同援日１．０*_15・通訳),0)*_15・２人),0)+ROUND((ROUND((ROUND((_15_同援日１．０＿１．０*_15・通訳),0)*_15・２人),0)*(1+_15・B夜間)),0)</f>
        <v>481</v>
      </c>
      <c r="AF80" s="69"/>
    </row>
    <row r="81" spans="1:32" ht="16.5" customHeight="1" x14ac:dyDescent="0.3">
      <c r="A81" s="2">
        <v>15</v>
      </c>
      <c r="B81" s="2" t="s">
        <v>4149</v>
      </c>
      <c r="C81" s="60" t="s">
        <v>14611</v>
      </c>
      <c r="D81" s="1"/>
      <c r="E81" s="68"/>
      <c r="F81" s="70"/>
      <c r="G81" s="1" t="s">
        <v>8572</v>
      </c>
      <c r="H81" s="68"/>
      <c r="I81" s="70"/>
      <c r="J81" s="1"/>
      <c r="K81" s="68"/>
      <c r="L81" s="68"/>
      <c r="M81" s="68"/>
      <c r="N81" s="68"/>
      <c r="O81" s="76"/>
      <c r="P81" s="83"/>
      <c r="Q81" s="64"/>
      <c r="R81" s="65"/>
      <c r="S81" s="99"/>
      <c r="T81" s="68"/>
      <c r="U81" s="76"/>
      <c r="V81" s="70"/>
      <c r="W81" s="88" t="s">
        <v>8085</v>
      </c>
      <c r="X81" s="62"/>
      <c r="Y81" s="63"/>
      <c r="Z81" s="75"/>
      <c r="AA81" s="1"/>
      <c r="AB81" s="68"/>
      <c r="AC81" s="76"/>
      <c r="AD81" s="70"/>
      <c r="AE81" s="228">
        <f>ROUND((ROUND((_15_同援日１．０*_15・通訳),0)*(1+_15・盲ろう)),0)+ROUND((ROUND((ROUND((_15_同援日１．０＿１．０*_15・通訳),0)*(1+_15・B夜間)),0)*(1+_15・盲ろう)),0)</f>
        <v>602</v>
      </c>
      <c r="AF81" s="69"/>
    </row>
    <row r="82" spans="1:32" ht="16.5" customHeight="1" x14ac:dyDescent="0.3">
      <c r="A82" s="2">
        <v>15</v>
      </c>
      <c r="B82" s="2" t="s">
        <v>4150</v>
      </c>
      <c r="C82" s="60" t="s">
        <v>14610</v>
      </c>
      <c r="D82" s="1"/>
      <c r="E82" s="68"/>
      <c r="F82" s="70"/>
      <c r="G82" s="1"/>
      <c r="H82" s="119">
        <v>193</v>
      </c>
      <c r="I82" s="70" t="s">
        <v>0</v>
      </c>
      <c r="J82" s="1"/>
      <c r="K82" s="68"/>
      <c r="L82" s="68"/>
      <c r="M82" s="68"/>
      <c r="N82" s="68"/>
      <c r="O82" s="76"/>
      <c r="P82" s="83" t="s">
        <v>5895</v>
      </c>
      <c r="Q82" s="64" t="s">
        <v>1</v>
      </c>
      <c r="R82" s="65">
        <v>1</v>
      </c>
      <c r="S82" s="99"/>
      <c r="T82" s="68"/>
      <c r="U82" s="76"/>
      <c r="V82" s="70"/>
      <c r="W82" s="73" t="s">
        <v>18086</v>
      </c>
      <c r="X82" s="57" t="s">
        <v>1</v>
      </c>
      <c r="Y82" s="58">
        <v>0.25</v>
      </c>
      <c r="Z82" s="77" t="s">
        <v>422</v>
      </c>
      <c r="AA82" s="81"/>
      <c r="AB82" s="57"/>
      <c r="AC82" s="58"/>
      <c r="AD82" s="77"/>
      <c r="AE82" s="228">
        <f>ROUND((ROUND((ROUND((_15_同援日１．０*_15・通訳),0)*_15・２人),0)*(1+_15・盲ろう)),0)+ROUND((ROUND((ROUND((ROUND((_15_同援日１．０＿１．０*_15・通訳),0)*_15・２人),0)*(1+_15・B夜間)),0)*(1+_15・盲ろう)),0)</f>
        <v>602</v>
      </c>
      <c r="AF82" s="69"/>
    </row>
    <row r="83" spans="1:32" ht="16.5" customHeight="1" x14ac:dyDescent="0.3">
      <c r="A83" s="2">
        <v>15</v>
      </c>
      <c r="B83" s="2" t="s">
        <v>4151</v>
      </c>
      <c r="C83" s="60" t="s">
        <v>14609</v>
      </c>
      <c r="D83" s="1"/>
      <c r="E83" s="68"/>
      <c r="F83" s="70"/>
      <c r="G83" s="1"/>
      <c r="H83" s="68"/>
      <c r="I83" s="70"/>
      <c r="J83" s="1"/>
      <c r="K83" s="68"/>
      <c r="L83" s="68"/>
      <c r="M83" s="68"/>
      <c r="N83" s="68"/>
      <c r="O83" s="76"/>
      <c r="P83" s="83"/>
      <c r="Q83" s="64"/>
      <c r="R83" s="65"/>
      <c r="S83" s="99"/>
      <c r="T83" s="68"/>
      <c r="U83" s="76"/>
      <c r="V83" s="70"/>
      <c r="W83" s="88"/>
      <c r="X83" s="62"/>
      <c r="Y83" s="63"/>
      <c r="Z83" s="75"/>
      <c r="AA83" s="74" t="s">
        <v>8098</v>
      </c>
      <c r="AB83" s="62"/>
      <c r="AC83" s="63"/>
      <c r="AD83" s="75"/>
      <c r="AE83" s="228">
        <f>ROUND((ROUND((_15_同援日１．０*_15・通訳),0)*(1+_15・区３)),0)+ROUND((ROUND((ROUND((_15_同援日１．０＿１．０*_15・通訳),0)*(1+_15・B夜間)),0)*(1+_15・区３)),0)</f>
        <v>578</v>
      </c>
      <c r="AF83" s="69"/>
    </row>
    <row r="84" spans="1:32" ht="16.5" customHeight="1" x14ac:dyDescent="0.3">
      <c r="A84" s="2">
        <v>15</v>
      </c>
      <c r="B84" s="2" t="s">
        <v>4152</v>
      </c>
      <c r="C84" s="60" t="s">
        <v>14608</v>
      </c>
      <c r="D84" s="1"/>
      <c r="E84" s="68"/>
      <c r="F84" s="70"/>
      <c r="G84" s="1"/>
      <c r="H84" s="68"/>
      <c r="I84" s="70"/>
      <c r="J84" s="1"/>
      <c r="K84" s="68"/>
      <c r="L84" s="68"/>
      <c r="M84" s="68"/>
      <c r="N84" s="68"/>
      <c r="O84" s="76"/>
      <c r="P84" s="83" t="s">
        <v>5895</v>
      </c>
      <c r="Q84" s="64" t="s">
        <v>1</v>
      </c>
      <c r="R84" s="65">
        <v>1</v>
      </c>
      <c r="S84" s="99"/>
      <c r="T84" s="68"/>
      <c r="U84" s="76"/>
      <c r="V84" s="70"/>
      <c r="W84" s="73"/>
      <c r="X84" s="57"/>
      <c r="Y84" s="58"/>
      <c r="Z84" s="77"/>
      <c r="AA84" s="1" t="s">
        <v>17970</v>
      </c>
      <c r="AB84" s="68"/>
      <c r="AC84" s="76"/>
      <c r="AD84" s="70"/>
      <c r="AE84" s="228">
        <f>ROUND((ROUND((ROUND((_15_同援日１．０*_15・通訳),0)*_15・２人),0)*(1+_15・区３)),0)+ROUND((ROUND((ROUND((ROUND((_15_同援日１．０＿１．０*_15・通訳),0)*_15・２人),0)*(1+_15・B夜間)),0)*(1+_15・区３)),0)</f>
        <v>578</v>
      </c>
      <c r="AF84" s="69"/>
    </row>
    <row r="85" spans="1:32" ht="16.5" customHeight="1" x14ac:dyDescent="0.3">
      <c r="A85" s="2">
        <v>15</v>
      </c>
      <c r="B85" s="2" t="s">
        <v>4153</v>
      </c>
      <c r="C85" s="60" t="s">
        <v>14607</v>
      </c>
      <c r="D85" s="1"/>
      <c r="E85" s="68"/>
      <c r="F85" s="70"/>
      <c r="G85" s="1"/>
      <c r="H85" s="68"/>
      <c r="I85" s="70"/>
      <c r="J85" s="1"/>
      <c r="K85" s="68"/>
      <c r="L85" s="68"/>
      <c r="M85" s="68"/>
      <c r="N85" s="68"/>
      <c r="O85" s="76"/>
      <c r="P85" s="83"/>
      <c r="Q85" s="64"/>
      <c r="R85" s="65"/>
      <c r="S85" s="99"/>
      <c r="T85" s="68"/>
      <c r="U85" s="76"/>
      <c r="V85" s="70"/>
      <c r="W85" s="88" t="s">
        <v>18087</v>
      </c>
      <c r="X85" s="62"/>
      <c r="Y85" s="63"/>
      <c r="Z85" s="75"/>
      <c r="AA85" s="1"/>
      <c r="AB85" s="68" t="s">
        <v>1</v>
      </c>
      <c r="AC85" s="76">
        <v>0.2</v>
      </c>
      <c r="AD85" s="70" t="s">
        <v>422</v>
      </c>
      <c r="AE85" s="228">
        <f>ROUND((ROUND((ROUND((_15_同援日１．０*_15・通訳),0)*(1+_15・盲ろう)),0)*(1+_15・区３)),0)+ROUND((ROUND((ROUND((ROUND((_15_同援日１．０＿１．０*_15・通訳),0)*(1+_15・B夜間)),0)*(1+_15・盲ろう)),0)*(1+_15・区３)),0)</f>
        <v>723</v>
      </c>
      <c r="AF85" s="69"/>
    </row>
    <row r="86" spans="1:32" ht="16.5" customHeight="1" x14ac:dyDescent="0.3">
      <c r="A86" s="2">
        <v>15</v>
      </c>
      <c r="B86" s="2" t="s">
        <v>4154</v>
      </c>
      <c r="C86" s="60" t="s">
        <v>14606</v>
      </c>
      <c r="D86" s="1"/>
      <c r="E86" s="68"/>
      <c r="F86" s="70"/>
      <c r="G86" s="1"/>
      <c r="H86" s="68"/>
      <c r="I86" s="70"/>
      <c r="J86" s="1"/>
      <c r="K86" s="68"/>
      <c r="L86" s="68"/>
      <c r="M86" s="68"/>
      <c r="N86" s="68"/>
      <c r="O86" s="76"/>
      <c r="P86" s="83" t="s">
        <v>5895</v>
      </c>
      <c r="Q86" s="64" t="s">
        <v>1</v>
      </c>
      <c r="R86" s="65">
        <v>1</v>
      </c>
      <c r="S86" s="99"/>
      <c r="T86" s="68"/>
      <c r="U86" s="76"/>
      <c r="V86" s="70"/>
      <c r="W86" s="73" t="s">
        <v>18086</v>
      </c>
      <c r="X86" s="57" t="s">
        <v>1</v>
      </c>
      <c r="Y86" s="58">
        <v>0.25</v>
      </c>
      <c r="Z86" s="77" t="s">
        <v>422</v>
      </c>
      <c r="AA86" s="81"/>
      <c r="AB86" s="57"/>
      <c r="AC86" s="58"/>
      <c r="AD86" s="77"/>
      <c r="AE86" s="228">
        <f>ROUND((ROUND((ROUND((ROUND((_15_同援日１．０*_15・通訳),0)*_15・２人),0)*(1+_15・盲ろう)),0)*(1+_15・区３)),0)+ROUND((ROUND((ROUND((ROUND((ROUND((_15_同援日１．０＿１．０*_15・通訳),0)*_15・２人),0)*(1+_15・B夜間)),0)*(1+_15・盲ろう)),0)*(1+_15・区３)),0)</f>
        <v>723</v>
      </c>
      <c r="AF86" s="69"/>
    </row>
    <row r="87" spans="1:32" ht="16.5" customHeight="1" x14ac:dyDescent="0.3">
      <c r="A87" s="2">
        <v>15</v>
      </c>
      <c r="B87" s="2" t="s">
        <v>4155</v>
      </c>
      <c r="C87" s="60" t="s">
        <v>14605</v>
      </c>
      <c r="D87" s="1"/>
      <c r="E87" s="68"/>
      <c r="F87" s="70"/>
      <c r="G87" s="1"/>
      <c r="H87" s="68"/>
      <c r="I87" s="70"/>
      <c r="J87" s="1"/>
      <c r="K87" s="68"/>
      <c r="L87" s="68"/>
      <c r="M87" s="68"/>
      <c r="N87" s="68"/>
      <c r="O87" s="76"/>
      <c r="P87" s="83"/>
      <c r="Q87" s="64"/>
      <c r="R87" s="65"/>
      <c r="S87" s="99"/>
      <c r="T87" s="68"/>
      <c r="U87" s="76"/>
      <c r="V87" s="70"/>
      <c r="W87" s="88"/>
      <c r="X87" s="62"/>
      <c r="Y87" s="63"/>
      <c r="Z87" s="75"/>
      <c r="AA87" s="74" t="s">
        <v>18094</v>
      </c>
      <c r="AB87" s="62"/>
      <c r="AC87" s="63"/>
      <c r="AD87" s="75"/>
      <c r="AE87" s="228">
        <f>ROUND((ROUND((_15_同援日１．０*_15・通訳),0)*(1+_15・区４)),0)+ROUND((ROUND((ROUND((_15_同援日１．０＿１．０*_15・通訳),0)*(1+_15・B夜間)),0)*(1+_15・区４)),0)</f>
        <v>673</v>
      </c>
      <c r="AF87" s="69"/>
    </row>
    <row r="88" spans="1:32" ht="16.5" customHeight="1" x14ac:dyDescent="0.3">
      <c r="A88" s="2">
        <v>15</v>
      </c>
      <c r="B88" s="2" t="s">
        <v>4156</v>
      </c>
      <c r="C88" s="60" t="s">
        <v>14604</v>
      </c>
      <c r="D88" s="1"/>
      <c r="E88" s="68"/>
      <c r="F88" s="70"/>
      <c r="G88" s="1"/>
      <c r="H88" s="68"/>
      <c r="I88" s="70"/>
      <c r="J88" s="1"/>
      <c r="K88" s="68"/>
      <c r="L88" s="68"/>
      <c r="M88" s="68"/>
      <c r="N88" s="68"/>
      <c r="O88" s="76"/>
      <c r="P88" s="83" t="s">
        <v>5895</v>
      </c>
      <c r="Q88" s="64" t="s">
        <v>1</v>
      </c>
      <c r="R88" s="65">
        <v>1</v>
      </c>
      <c r="S88" s="99"/>
      <c r="T88" s="68"/>
      <c r="U88" s="76"/>
      <c r="V88" s="70"/>
      <c r="W88" s="73"/>
      <c r="X88" s="57"/>
      <c r="Y88" s="58"/>
      <c r="Z88" s="77"/>
      <c r="AA88" s="1" t="s">
        <v>18084</v>
      </c>
      <c r="AB88" s="68"/>
      <c r="AC88" s="76"/>
      <c r="AD88" s="70"/>
      <c r="AE88" s="228">
        <f>ROUND((ROUND((ROUND((_15_同援日１．０*_15・通訳),0)*_15・２人),0)*(1+_15・区４)),0)+ROUND((ROUND((ROUND((ROUND((_15_同援日１．０＿１．０*_15・通訳),0)*_15・２人),0)*(1+_15・B夜間)),0)*(1+_15・区４)),0)</f>
        <v>673</v>
      </c>
      <c r="AF88" s="69"/>
    </row>
    <row r="89" spans="1:32" ht="16.5" customHeight="1" x14ac:dyDescent="0.3">
      <c r="A89" s="2">
        <v>15</v>
      </c>
      <c r="B89" s="2" t="s">
        <v>4157</v>
      </c>
      <c r="C89" s="60" t="s">
        <v>14603</v>
      </c>
      <c r="D89" s="1"/>
      <c r="E89" s="68"/>
      <c r="F89" s="70"/>
      <c r="G89" s="1"/>
      <c r="H89" s="68"/>
      <c r="I89" s="70"/>
      <c r="J89" s="1"/>
      <c r="K89" s="68"/>
      <c r="L89" s="68"/>
      <c r="M89" s="68"/>
      <c r="N89" s="68"/>
      <c r="O89" s="76"/>
      <c r="P89" s="83"/>
      <c r="Q89" s="64"/>
      <c r="R89" s="65"/>
      <c r="S89" s="99"/>
      <c r="T89" s="68"/>
      <c r="U89" s="76"/>
      <c r="V89" s="70"/>
      <c r="W89" s="88" t="s">
        <v>18087</v>
      </c>
      <c r="X89" s="62"/>
      <c r="Y89" s="63"/>
      <c r="Z89" s="75"/>
      <c r="AA89" s="1"/>
      <c r="AB89" s="68" t="s">
        <v>1</v>
      </c>
      <c r="AC89" s="76">
        <v>0.4</v>
      </c>
      <c r="AD89" s="70" t="s">
        <v>422</v>
      </c>
      <c r="AE89" s="228">
        <f>ROUND((ROUND((ROUND((_15_同援日１．０*_15・通訳),0)*(1+_15・盲ろう)),0)*(1+_15・区４)),0)+ROUND((ROUND((ROUND((ROUND((_15_同援日１．０＿１．０*_15・通訳),0)*(1+_15・B夜間)),0)*(1+_15・盲ろう)),0)*(1+_15・区４)),0)</f>
        <v>843</v>
      </c>
      <c r="AF89" s="69"/>
    </row>
    <row r="90" spans="1:32" ht="16.5" customHeight="1" x14ac:dyDescent="0.3">
      <c r="A90" s="2">
        <v>15</v>
      </c>
      <c r="B90" s="2" t="s">
        <v>4158</v>
      </c>
      <c r="C90" s="60" t="s">
        <v>14602</v>
      </c>
      <c r="D90" s="1"/>
      <c r="E90" s="68"/>
      <c r="F90" s="70"/>
      <c r="G90" s="81"/>
      <c r="H90" s="57"/>
      <c r="I90" s="77"/>
      <c r="J90" s="1"/>
      <c r="K90" s="68"/>
      <c r="L90" s="68"/>
      <c r="M90" s="68"/>
      <c r="N90" s="68"/>
      <c r="O90" s="76"/>
      <c r="P90" s="83" t="s">
        <v>5895</v>
      </c>
      <c r="Q90" s="64" t="s">
        <v>1</v>
      </c>
      <c r="R90" s="65">
        <v>1</v>
      </c>
      <c r="S90" s="99"/>
      <c r="T90" s="68"/>
      <c r="U90" s="76"/>
      <c r="V90" s="70"/>
      <c r="W90" s="73" t="s">
        <v>18086</v>
      </c>
      <c r="X90" s="57" t="s">
        <v>1</v>
      </c>
      <c r="Y90" s="58">
        <v>0.25</v>
      </c>
      <c r="Z90" s="77" t="s">
        <v>422</v>
      </c>
      <c r="AA90" s="81"/>
      <c r="AB90" s="57"/>
      <c r="AC90" s="58"/>
      <c r="AD90" s="77"/>
      <c r="AE90" s="228">
        <f>ROUND((ROUND((ROUND((ROUND((_15_同援日１．０*_15・通訳),0)*_15・２人),0)*(1+_15・盲ろう)),0)*(1+_15・区４)),0)+ROUND((ROUND((ROUND((ROUND((ROUND((_15_同援日１．０＿１．０*_15・通訳),0)*_15・２人),0)*(1+_15・B夜間)),0)*(1+_15・盲ろう)),0)*(1+_15・区４)),0)</f>
        <v>843</v>
      </c>
      <c r="AF90" s="69"/>
    </row>
    <row r="91" spans="1:32" ht="16.5" customHeight="1" x14ac:dyDescent="0.3">
      <c r="A91" s="2">
        <v>15</v>
      </c>
      <c r="B91" s="2" t="s">
        <v>4159</v>
      </c>
      <c r="C91" s="60" t="s">
        <v>14601</v>
      </c>
      <c r="D91" s="1"/>
      <c r="E91" s="68"/>
      <c r="F91" s="70"/>
      <c r="G91" s="233" t="s">
        <v>18326</v>
      </c>
      <c r="H91" s="235"/>
      <c r="I91" s="75"/>
      <c r="J91" s="1"/>
      <c r="K91" s="68"/>
      <c r="L91" s="68"/>
      <c r="M91" s="68"/>
      <c r="N91" s="68"/>
      <c r="O91" s="76"/>
      <c r="P91" s="83"/>
      <c r="Q91" s="64"/>
      <c r="R91" s="65"/>
      <c r="S91" s="99"/>
      <c r="T91" s="68"/>
      <c r="U91" s="76"/>
      <c r="V91" s="70"/>
      <c r="W91" s="88"/>
      <c r="X91" s="62"/>
      <c r="Y91" s="63"/>
      <c r="Z91" s="75"/>
      <c r="AA91" s="74"/>
      <c r="AB91" s="62"/>
      <c r="AC91" s="63"/>
      <c r="AD91" s="75"/>
      <c r="AE91" s="228">
        <f>ROUND((_15_同援日１．０*_15・通訳),0)+ROUND((ROUND((_15_同援日１．０＿１．５*_15・通訳),0)*(1+_15・B夜間)),0)</f>
        <v>551</v>
      </c>
      <c r="AF91" s="69"/>
    </row>
    <row r="92" spans="1:32" ht="16.5" customHeight="1" x14ac:dyDescent="0.3">
      <c r="A92" s="2">
        <v>15</v>
      </c>
      <c r="B92" s="2" t="s">
        <v>4160</v>
      </c>
      <c r="C92" s="60" t="s">
        <v>14600</v>
      </c>
      <c r="D92" s="1"/>
      <c r="E92" s="68"/>
      <c r="F92" s="70"/>
      <c r="G92" s="1" t="s">
        <v>17070</v>
      </c>
      <c r="H92" s="68"/>
      <c r="I92" s="70"/>
      <c r="J92" s="1"/>
      <c r="K92" s="68"/>
      <c r="L92" s="68"/>
      <c r="M92" s="68"/>
      <c r="N92" s="68"/>
      <c r="O92" s="76"/>
      <c r="P92" s="83" t="s">
        <v>5895</v>
      </c>
      <c r="Q92" s="64" t="s">
        <v>1</v>
      </c>
      <c r="R92" s="65">
        <v>1</v>
      </c>
      <c r="S92" s="99"/>
      <c r="T92" s="68"/>
      <c r="U92" s="76"/>
      <c r="V92" s="70"/>
      <c r="W92" s="73"/>
      <c r="X92" s="57"/>
      <c r="Y92" s="58"/>
      <c r="Z92" s="77"/>
      <c r="AA92" s="1"/>
      <c r="AB92" s="68"/>
      <c r="AC92" s="76"/>
      <c r="AD92" s="70"/>
      <c r="AE92" s="228">
        <f>ROUND((ROUND((_15_同援日１．０*_15・通訳),0)*_15・２人),0)+ROUND((ROUND((ROUND((_15_同援日１．０＿１．５*_15・通訳),0)*_15・２人),0)*(1+_15・B夜間)),0)</f>
        <v>551</v>
      </c>
      <c r="AF92" s="69"/>
    </row>
    <row r="93" spans="1:32" ht="16.5" customHeight="1" x14ac:dyDescent="0.3">
      <c r="A93" s="2">
        <v>15</v>
      </c>
      <c r="B93" s="2" t="s">
        <v>4161</v>
      </c>
      <c r="C93" s="60" t="s">
        <v>14599</v>
      </c>
      <c r="D93" s="1"/>
      <c r="E93" s="68"/>
      <c r="F93" s="70"/>
      <c r="G93" s="1" t="s">
        <v>8767</v>
      </c>
      <c r="H93" s="68"/>
      <c r="I93" s="70"/>
      <c r="J93" s="1"/>
      <c r="K93" s="68"/>
      <c r="L93" s="68"/>
      <c r="M93" s="68"/>
      <c r="N93" s="68"/>
      <c r="O93" s="76"/>
      <c r="P93" s="83"/>
      <c r="Q93" s="64"/>
      <c r="R93" s="65"/>
      <c r="S93" s="99"/>
      <c r="T93" s="68"/>
      <c r="U93" s="76"/>
      <c r="V93" s="70"/>
      <c r="W93" s="88" t="s">
        <v>18087</v>
      </c>
      <c r="X93" s="62"/>
      <c r="Y93" s="63"/>
      <c r="Z93" s="75"/>
      <c r="AA93" s="1"/>
      <c r="AB93" s="68"/>
      <c r="AC93" s="76"/>
      <c r="AD93" s="70"/>
      <c r="AE93" s="228">
        <f>ROUND((ROUND((_15_同援日１．０*_15・通訳),0)*(1+_15・盲ろう)),0)+ROUND((ROUND((ROUND((_15_同援日１．０＿１．５*_15・通訳),0)*(1+_15・B夜間)),0)*(1+_15・盲ろう)),0)</f>
        <v>689</v>
      </c>
      <c r="AF93" s="69"/>
    </row>
    <row r="94" spans="1:32" ht="16.5" customHeight="1" x14ac:dyDescent="0.3">
      <c r="A94" s="2">
        <v>15</v>
      </c>
      <c r="B94" s="2" t="s">
        <v>4162</v>
      </c>
      <c r="C94" s="60" t="s">
        <v>14598</v>
      </c>
      <c r="D94" s="1"/>
      <c r="E94" s="68"/>
      <c r="F94" s="70"/>
      <c r="G94" s="1"/>
      <c r="H94" s="119">
        <v>256</v>
      </c>
      <c r="I94" s="70" t="s">
        <v>0</v>
      </c>
      <c r="J94" s="1"/>
      <c r="K94" s="68"/>
      <c r="L94" s="68"/>
      <c r="M94" s="68"/>
      <c r="N94" s="68"/>
      <c r="O94" s="76"/>
      <c r="P94" s="83" t="s">
        <v>5895</v>
      </c>
      <c r="Q94" s="64" t="s">
        <v>1</v>
      </c>
      <c r="R94" s="65">
        <v>1</v>
      </c>
      <c r="S94" s="99"/>
      <c r="T94" s="68"/>
      <c r="U94" s="76"/>
      <c r="V94" s="70"/>
      <c r="W94" s="73" t="s">
        <v>18086</v>
      </c>
      <c r="X94" s="57" t="s">
        <v>1</v>
      </c>
      <c r="Y94" s="58">
        <v>0.25</v>
      </c>
      <c r="Z94" s="77" t="s">
        <v>422</v>
      </c>
      <c r="AA94" s="81"/>
      <c r="AB94" s="57"/>
      <c r="AC94" s="58"/>
      <c r="AD94" s="77"/>
      <c r="AE94" s="228">
        <f>ROUND((ROUND((ROUND((_15_同援日１．０*_15・通訳),0)*_15・２人),0)*(1+_15・盲ろう)),0)+ROUND((ROUND((ROUND((ROUND((_15_同援日１．０＿１．５*_15・通訳),0)*_15・２人),0)*(1+_15・B夜間)),0)*(1+_15・盲ろう)),0)</f>
        <v>689</v>
      </c>
      <c r="AF94" s="69"/>
    </row>
    <row r="95" spans="1:32" ht="16.5" customHeight="1" x14ac:dyDescent="0.3">
      <c r="A95" s="2">
        <v>15</v>
      </c>
      <c r="B95" s="2" t="s">
        <v>4163</v>
      </c>
      <c r="C95" s="60" t="s">
        <v>14597</v>
      </c>
      <c r="D95" s="1"/>
      <c r="E95" s="68"/>
      <c r="F95" s="70"/>
      <c r="G95" s="1"/>
      <c r="H95" s="68"/>
      <c r="I95" s="70"/>
      <c r="J95" s="1"/>
      <c r="K95" s="68"/>
      <c r="L95" s="68"/>
      <c r="M95" s="68"/>
      <c r="N95" s="68"/>
      <c r="O95" s="76"/>
      <c r="P95" s="83"/>
      <c r="Q95" s="64"/>
      <c r="R95" s="65"/>
      <c r="S95" s="99"/>
      <c r="T95" s="68"/>
      <c r="U95" s="76"/>
      <c r="V95" s="70"/>
      <c r="W95" s="88"/>
      <c r="X95" s="62"/>
      <c r="Y95" s="63"/>
      <c r="Z95" s="75"/>
      <c r="AA95" s="74" t="s">
        <v>18089</v>
      </c>
      <c r="AB95" s="62"/>
      <c r="AC95" s="63"/>
      <c r="AD95" s="75"/>
      <c r="AE95" s="228">
        <f>ROUND((ROUND((_15_同援日１．０*_15・通訳),0)*(1+_15・区３)),0)+ROUND((ROUND((ROUND((_15_同援日１．０＿１．５*_15・通訳),0)*(1+_15・B夜間)),0)*(1+_15・区３)),0)</f>
        <v>662</v>
      </c>
      <c r="AF95" s="69"/>
    </row>
    <row r="96" spans="1:32" ht="16.5" customHeight="1" x14ac:dyDescent="0.3">
      <c r="A96" s="2">
        <v>15</v>
      </c>
      <c r="B96" s="2" t="s">
        <v>4164</v>
      </c>
      <c r="C96" s="60" t="s">
        <v>14596</v>
      </c>
      <c r="D96" s="1"/>
      <c r="E96" s="68"/>
      <c r="F96" s="70"/>
      <c r="G96" s="1"/>
      <c r="H96" s="68"/>
      <c r="I96" s="70"/>
      <c r="J96" s="1"/>
      <c r="K96" s="68"/>
      <c r="L96" s="68"/>
      <c r="M96" s="68"/>
      <c r="N96" s="68"/>
      <c r="O96" s="76"/>
      <c r="P96" s="83" t="s">
        <v>5895</v>
      </c>
      <c r="Q96" s="64" t="s">
        <v>1</v>
      </c>
      <c r="R96" s="65">
        <v>1</v>
      </c>
      <c r="S96" s="99"/>
      <c r="T96" s="68"/>
      <c r="U96" s="76"/>
      <c r="V96" s="70"/>
      <c r="W96" s="73"/>
      <c r="X96" s="57"/>
      <c r="Y96" s="58"/>
      <c r="Z96" s="77"/>
      <c r="AA96" s="1" t="s">
        <v>18084</v>
      </c>
      <c r="AB96" s="68"/>
      <c r="AC96" s="76"/>
      <c r="AD96" s="70"/>
      <c r="AE96" s="228">
        <f>ROUND((ROUND((ROUND((_15_同援日１．０*_15・通訳),0)*_15・２人),0)*(1+_15・区３)),0)+ROUND((ROUND((ROUND((ROUND((_15_同援日１．０＿１．５*_15・通訳),0)*_15・２人),0)*(1+_15・B夜間)),0)*(1+_15・区３)),0)</f>
        <v>662</v>
      </c>
      <c r="AF96" s="69"/>
    </row>
    <row r="97" spans="1:32" ht="16.5" customHeight="1" x14ac:dyDescent="0.3">
      <c r="A97" s="2">
        <v>15</v>
      </c>
      <c r="B97" s="2" t="s">
        <v>4165</v>
      </c>
      <c r="C97" s="60" t="s">
        <v>14595</v>
      </c>
      <c r="D97" s="1"/>
      <c r="E97" s="68"/>
      <c r="F97" s="70"/>
      <c r="G97" s="1"/>
      <c r="H97" s="68"/>
      <c r="I97" s="70"/>
      <c r="J97" s="1"/>
      <c r="K97" s="68"/>
      <c r="L97" s="68"/>
      <c r="M97" s="68"/>
      <c r="N97" s="68"/>
      <c r="O97" s="76"/>
      <c r="P97" s="83"/>
      <c r="Q97" s="64"/>
      <c r="R97" s="65"/>
      <c r="S97" s="99"/>
      <c r="T97" s="68"/>
      <c r="U97" s="76"/>
      <c r="V97" s="70"/>
      <c r="W97" s="88" t="s">
        <v>18087</v>
      </c>
      <c r="X97" s="62"/>
      <c r="Y97" s="63"/>
      <c r="Z97" s="75"/>
      <c r="AA97" s="1"/>
      <c r="AB97" s="68" t="s">
        <v>1</v>
      </c>
      <c r="AC97" s="76">
        <v>0.2</v>
      </c>
      <c r="AD97" s="70" t="s">
        <v>422</v>
      </c>
      <c r="AE97" s="228">
        <f>ROUND((ROUND((ROUND((_15_同援日１．０*_15・通訳),0)*(1+_15・盲ろう)),0)*(1+_15・区３)),0)+ROUND((ROUND((ROUND((ROUND((_15_同援日１．０＿１．５*_15・通訳),0)*(1+_15・B夜間)),0)*(1+_15・盲ろう)),0)*(1+_15・区３)),0)</f>
        <v>827</v>
      </c>
      <c r="AF97" s="69"/>
    </row>
    <row r="98" spans="1:32" ht="16.5" customHeight="1" x14ac:dyDescent="0.3">
      <c r="A98" s="2">
        <v>15</v>
      </c>
      <c r="B98" s="2" t="s">
        <v>4166</v>
      </c>
      <c r="C98" s="60" t="s">
        <v>14594</v>
      </c>
      <c r="D98" s="1"/>
      <c r="E98" s="68"/>
      <c r="F98" s="70"/>
      <c r="G98" s="1"/>
      <c r="H98" s="68"/>
      <c r="I98" s="70"/>
      <c r="J98" s="1"/>
      <c r="K98" s="68"/>
      <c r="L98" s="68"/>
      <c r="M98" s="68"/>
      <c r="N98" s="68"/>
      <c r="O98" s="76"/>
      <c r="P98" s="83" t="s">
        <v>5895</v>
      </c>
      <c r="Q98" s="64" t="s">
        <v>1</v>
      </c>
      <c r="R98" s="65">
        <v>1</v>
      </c>
      <c r="S98" s="99"/>
      <c r="T98" s="68"/>
      <c r="U98" s="76"/>
      <c r="V98" s="70"/>
      <c r="W98" s="73" t="s">
        <v>18086</v>
      </c>
      <c r="X98" s="57" t="s">
        <v>1</v>
      </c>
      <c r="Y98" s="58">
        <v>0.25</v>
      </c>
      <c r="Z98" s="77" t="s">
        <v>422</v>
      </c>
      <c r="AA98" s="81"/>
      <c r="AB98" s="57"/>
      <c r="AC98" s="58"/>
      <c r="AD98" s="77"/>
      <c r="AE98" s="228">
        <f>ROUND((ROUND((ROUND((ROUND((_15_同援日１．０*_15・通訳),0)*_15・２人),0)*(1+_15・盲ろう)),0)*(1+_15・区３)),0)+ROUND((ROUND((ROUND((ROUND((ROUND((_15_同援日１．０＿１．５*_15・通訳),0)*_15・２人),0)*(1+_15・B夜間)),0)*(1+_15・盲ろう)),0)*(1+_15・区３)),0)</f>
        <v>827</v>
      </c>
      <c r="AF98" s="69"/>
    </row>
    <row r="99" spans="1:32" ht="16.5" customHeight="1" x14ac:dyDescent="0.3">
      <c r="A99" s="2">
        <v>15</v>
      </c>
      <c r="B99" s="2" t="s">
        <v>4167</v>
      </c>
      <c r="C99" s="60" t="s">
        <v>14593</v>
      </c>
      <c r="D99" s="1"/>
      <c r="E99" s="68"/>
      <c r="F99" s="70"/>
      <c r="G99" s="1"/>
      <c r="H99" s="68"/>
      <c r="I99" s="70"/>
      <c r="J99" s="1"/>
      <c r="K99" s="68"/>
      <c r="L99" s="68"/>
      <c r="M99" s="68"/>
      <c r="N99" s="68"/>
      <c r="O99" s="76"/>
      <c r="P99" s="83"/>
      <c r="Q99" s="64"/>
      <c r="R99" s="65"/>
      <c r="S99" s="99"/>
      <c r="T99" s="68"/>
      <c r="U99" s="76"/>
      <c r="V99" s="70"/>
      <c r="W99" s="88"/>
      <c r="X99" s="62"/>
      <c r="Y99" s="63"/>
      <c r="Z99" s="75"/>
      <c r="AA99" s="74" t="s">
        <v>18094</v>
      </c>
      <c r="AB99" s="62"/>
      <c r="AC99" s="63"/>
      <c r="AD99" s="75"/>
      <c r="AE99" s="228">
        <f>ROUND((ROUND((_15_同援日１．０*_15・通訳),0)*(1+_15・区４)),0)+ROUND((ROUND((ROUND((_15_同援日１．０＿１．５*_15・通訳),0)*(1+_15・B夜間)),0)*(1+_15・区４)),0)</f>
        <v>771</v>
      </c>
      <c r="AF99" s="69"/>
    </row>
    <row r="100" spans="1:32" ht="16.5" customHeight="1" x14ac:dyDescent="0.3">
      <c r="A100" s="2">
        <v>15</v>
      </c>
      <c r="B100" s="2" t="s">
        <v>4168</v>
      </c>
      <c r="C100" s="60" t="s">
        <v>14592</v>
      </c>
      <c r="D100" s="1"/>
      <c r="E100" s="68"/>
      <c r="F100" s="70"/>
      <c r="G100" s="1"/>
      <c r="H100" s="68"/>
      <c r="I100" s="70"/>
      <c r="J100" s="1"/>
      <c r="K100" s="68"/>
      <c r="L100" s="68"/>
      <c r="M100" s="68"/>
      <c r="N100" s="68"/>
      <c r="O100" s="76"/>
      <c r="P100" s="83" t="s">
        <v>5895</v>
      </c>
      <c r="Q100" s="64" t="s">
        <v>1</v>
      </c>
      <c r="R100" s="65">
        <v>1</v>
      </c>
      <c r="S100" s="99"/>
      <c r="T100" s="68"/>
      <c r="U100" s="76"/>
      <c r="V100" s="70"/>
      <c r="W100" s="73"/>
      <c r="X100" s="57"/>
      <c r="Y100" s="58"/>
      <c r="Z100" s="77"/>
      <c r="AA100" s="1" t="s">
        <v>18084</v>
      </c>
      <c r="AB100" s="68"/>
      <c r="AC100" s="76"/>
      <c r="AD100" s="70"/>
      <c r="AE100" s="228">
        <f>ROUND((ROUND((ROUND((_15_同援日１．０*_15・通訳),0)*_15・２人),0)*(1+_15・区４)),0)+ROUND((ROUND((ROUND((ROUND((_15_同援日１．０＿１．５*_15・通訳),0)*_15・２人),0)*(1+_15・B夜間)),0)*(1+_15・区４)),0)</f>
        <v>771</v>
      </c>
      <c r="AF100" s="69"/>
    </row>
    <row r="101" spans="1:32" ht="16.5" customHeight="1" x14ac:dyDescent="0.3">
      <c r="A101" s="2">
        <v>15</v>
      </c>
      <c r="B101" s="2" t="s">
        <v>4169</v>
      </c>
      <c r="C101" s="60" t="s">
        <v>14591</v>
      </c>
      <c r="D101" s="1"/>
      <c r="E101" s="68"/>
      <c r="F101" s="70"/>
      <c r="G101" s="1"/>
      <c r="H101" s="68"/>
      <c r="I101" s="70"/>
      <c r="J101" s="1"/>
      <c r="K101" s="68"/>
      <c r="L101" s="68"/>
      <c r="M101" s="68"/>
      <c r="N101" s="68"/>
      <c r="O101" s="76"/>
      <c r="P101" s="83"/>
      <c r="Q101" s="64"/>
      <c r="R101" s="65"/>
      <c r="S101" s="99"/>
      <c r="T101" s="68"/>
      <c r="U101" s="76"/>
      <c r="V101" s="70"/>
      <c r="W101" s="88" t="s">
        <v>17969</v>
      </c>
      <c r="X101" s="62"/>
      <c r="Y101" s="63"/>
      <c r="Z101" s="75"/>
      <c r="AA101" s="1"/>
      <c r="AB101" s="68" t="s">
        <v>1</v>
      </c>
      <c r="AC101" s="76">
        <v>0.4</v>
      </c>
      <c r="AD101" s="70" t="s">
        <v>422</v>
      </c>
      <c r="AE101" s="228">
        <f>ROUND((ROUND((ROUND((_15_同援日１．０*_15・通訳),0)*(1+_15・盲ろう)),0)*(1+_15・区４)),0)+ROUND((ROUND((ROUND((ROUND((_15_同援日１．０＿１．５*_15・通訳),0)*(1+_15・B夜間)),0)*(1+_15・盲ろう)),0)*(1+_15・区４)),0)</f>
        <v>965</v>
      </c>
      <c r="AF101" s="69"/>
    </row>
    <row r="102" spans="1:32" ht="16.5" customHeight="1" x14ac:dyDescent="0.3">
      <c r="A102" s="2">
        <v>15</v>
      </c>
      <c r="B102" s="2" t="s">
        <v>4170</v>
      </c>
      <c r="C102" s="60" t="s">
        <v>14590</v>
      </c>
      <c r="D102" s="1"/>
      <c r="E102" s="68"/>
      <c r="F102" s="70"/>
      <c r="G102" s="81"/>
      <c r="H102" s="57"/>
      <c r="I102" s="77"/>
      <c r="J102" s="1"/>
      <c r="K102" s="68"/>
      <c r="L102" s="68"/>
      <c r="M102" s="68"/>
      <c r="N102" s="68"/>
      <c r="O102" s="76"/>
      <c r="P102" s="83" t="s">
        <v>5895</v>
      </c>
      <c r="Q102" s="64" t="s">
        <v>1</v>
      </c>
      <c r="R102" s="65">
        <v>1</v>
      </c>
      <c r="S102" s="99"/>
      <c r="T102" s="68"/>
      <c r="U102" s="76"/>
      <c r="V102" s="70"/>
      <c r="W102" s="73" t="s">
        <v>18086</v>
      </c>
      <c r="X102" s="57" t="s">
        <v>1</v>
      </c>
      <c r="Y102" s="58">
        <v>0.25</v>
      </c>
      <c r="Z102" s="77" t="s">
        <v>422</v>
      </c>
      <c r="AA102" s="81"/>
      <c r="AB102" s="57"/>
      <c r="AC102" s="58"/>
      <c r="AD102" s="77"/>
      <c r="AE102" s="228">
        <f>ROUND((ROUND((ROUND((ROUND((_15_同援日１．０*_15・通訳),0)*_15・２人),0)*(1+_15・盲ろう)),0)*(1+_15・区４)),0)+ROUND((ROUND((ROUND((ROUND((ROUND((_15_同援日１．０＿１．５*_15・通訳),0)*_15・２人),0)*(1+_15・B夜間)),0)*(1+_15・盲ろう)),0)*(1+_15・区４)),0)</f>
        <v>965</v>
      </c>
      <c r="AF102" s="69"/>
    </row>
    <row r="103" spans="1:32" ht="16.5" customHeight="1" x14ac:dyDescent="0.3">
      <c r="A103" s="2">
        <v>15</v>
      </c>
      <c r="B103" s="2" t="s">
        <v>4171</v>
      </c>
      <c r="C103" s="60" t="s">
        <v>14589</v>
      </c>
      <c r="D103" s="1"/>
      <c r="E103" s="68"/>
      <c r="F103" s="70"/>
      <c r="G103" s="233" t="s">
        <v>18325</v>
      </c>
      <c r="H103" s="235"/>
      <c r="I103" s="75"/>
      <c r="J103" s="1"/>
      <c r="K103" s="68"/>
      <c r="L103" s="68"/>
      <c r="M103" s="68"/>
      <c r="N103" s="68"/>
      <c r="O103" s="76"/>
      <c r="P103" s="83"/>
      <c r="Q103" s="64"/>
      <c r="R103" s="65"/>
      <c r="S103" s="99"/>
      <c r="T103" s="68"/>
      <c r="U103" s="76"/>
      <c r="V103" s="70"/>
      <c r="W103" s="88"/>
      <c r="X103" s="62"/>
      <c r="Y103" s="63"/>
      <c r="Z103" s="75"/>
      <c r="AA103" s="74"/>
      <c r="AB103" s="62"/>
      <c r="AC103" s="63"/>
      <c r="AD103" s="75"/>
      <c r="AE103" s="228">
        <f>ROUND((_15_同援日１．０*_15・通訳),0)+ROUND((ROUND((_15_同援日１．０＿２．０*_15・通訳),0)*(1+_15・B夜間)),0)</f>
        <v>622</v>
      </c>
      <c r="AF103" s="69"/>
    </row>
    <row r="104" spans="1:32" ht="16.5" customHeight="1" x14ac:dyDescent="0.3">
      <c r="A104" s="2">
        <v>15</v>
      </c>
      <c r="B104" s="2" t="s">
        <v>4172</v>
      </c>
      <c r="C104" s="60" t="s">
        <v>14588</v>
      </c>
      <c r="D104" s="1"/>
      <c r="E104" s="68"/>
      <c r="F104" s="70"/>
      <c r="G104" s="1" t="s">
        <v>17063</v>
      </c>
      <c r="H104" s="68"/>
      <c r="I104" s="70"/>
      <c r="J104" s="1"/>
      <c r="K104" s="68"/>
      <c r="L104" s="68"/>
      <c r="M104" s="68"/>
      <c r="N104" s="68"/>
      <c r="O104" s="76"/>
      <c r="P104" s="83" t="s">
        <v>5895</v>
      </c>
      <c r="Q104" s="64" t="s">
        <v>1</v>
      </c>
      <c r="R104" s="65">
        <v>1</v>
      </c>
      <c r="S104" s="99"/>
      <c r="T104" s="68"/>
      <c r="U104" s="76"/>
      <c r="V104" s="70"/>
      <c r="W104" s="73"/>
      <c r="X104" s="57"/>
      <c r="Y104" s="58"/>
      <c r="Z104" s="77"/>
      <c r="AA104" s="1"/>
      <c r="AB104" s="68"/>
      <c r="AC104" s="76"/>
      <c r="AD104" s="70"/>
      <c r="AE104" s="228">
        <f>ROUND((ROUND((_15_同援日１．０*_15・通訳),0)*_15・２人),0)+ROUND((ROUND((ROUND((_15_同援日１．０＿２．０*_15・通訳),0)*_15・２人),0)*(1+_15・B夜間)),0)</f>
        <v>622</v>
      </c>
      <c r="AF104" s="69"/>
    </row>
    <row r="105" spans="1:32" ht="16.5" customHeight="1" x14ac:dyDescent="0.3">
      <c r="A105" s="2">
        <v>15</v>
      </c>
      <c r="B105" s="2" t="s">
        <v>4173</v>
      </c>
      <c r="C105" s="60" t="s">
        <v>14587</v>
      </c>
      <c r="D105" s="1"/>
      <c r="E105" s="68"/>
      <c r="F105" s="70"/>
      <c r="G105" s="1" t="s">
        <v>6448</v>
      </c>
      <c r="H105" s="68"/>
      <c r="I105" s="70"/>
      <c r="J105" s="1"/>
      <c r="K105" s="68"/>
      <c r="L105" s="68"/>
      <c r="M105" s="68"/>
      <c r="N105" s="68"/>
      <c r="O105" s="76"/>
      <c r="P105" s="83"/>
      <c r="Q105" s="64"/>
      <c r="R105" s="65"/>
      <c r="S105" s="99"/>
      <c r="T105" s="68"/>
      <c r="U105" s="76"/>
      <c r="V105" s="70"/>
      <c r="W105" s="88" t="s">
        <v>17969</v>
      </c>
      <c r="X105" s="62"/>
      <c r="Y105" s="63"/>
      <c r="Z105" s="75"/>
      <c r="AA105" s="1"/>
      <c r="AB105" s="68"/>
      <c r="AC105" s="76"/>
      <c r="AD105" s="70"/>
      <c r="AE105" s="228">
        <f>ROUND((ROUND((_15_同援日１．０*_15・通訳),0)*(1+_15・盲ろう)),0)+ROUND((ROUND((ROUND((_15_同援日１．０＿２．０*_15・通訳),0)*(1+_15・B夜間)),0)*(1+_15・盲ろう)),0)</f>
        <v>778</v>
      </c>
      <c r="AF105" s="69"/>
    </row>
    <row r="106" spans="1:32" ht="16.5" customHeight="1" x14ac:dyDescent="0.3">
      <c r="A106" s="2">
        <v>15</v>
      </c>
      <c r="B106" s="2" t="s">
        <v>4174</v>
      </c>
      <c r="C106" s="60" t="s">
        <v>14586</v>
      </c>
      <c r="D106" s="1"/>
      <c r="E106" s="68"/>
      <c r="F106" s="70"/>
      <c r="G106" s="1"/>
      <c r="H106" s="119">
        <v>319</v>
      </c>
      <c r="I106" s="70" t="s">
        <v>0</v>
      </c>
      <c r="J106" s="1"/>
      <c r="K106" s="68"/>
      <c r="L106" s="68"/>
      <c r="M106" s="68"/>
      <c r="N106" s="68"/>
      <c r="O106" s="76"/>
      <c r="P106" s="83" t="s">
        <v>5895</v>
      </c>
      <c r="Q106" s="64" t="s">
        <v>1</v>
      </c>
      <c r="R106" s="65">
        <v>1</v>
      </c>
      <c r="S106" s="99"/>
      <c r="T106" s="68"/>
      <c r="U106" s="76"/>
      <c r="V106" s="70"/>
      <c r="W106" s="73" t="s">
        <v>17968</v>
      </c>
      <c r="X106" s="57" t="s">
        <v>1</v>
      </c>
      <c r="Y106" s="58">
        <v>0.25</v>
      </c>
      <c r="Z106" s="77" t="s">
        <v>422</v>
      </c>
      <c r="AA106" s="81"/>
      <c r="AB106" s="57"/>
      <c r="AC106" s="58"/>
      <c r="AD106" s="77"/>
      <c r="AE106" s="228">
        <f>ROUND((ROUND((ROUND((_15_同援日１．０*_15・通訳),0)*_15・２人),0)*(1+_15・盲ろう)),0)+ROUND((ROUND((ROUND((ROUND((_15_同援日１．０＿２．０*_15・通訳),0)*_15・２人),0)*(1+_15・B夜間)),0)*(1+_15・盲ろう)),0)</f>
        <v>778</v>
      </c>
      <c r="AF106" s="69"/>
    </row>
    <row r="107" spans="1:32" ht="16.5" customHeight="1" x14ac:dyDescent="0.3">
      <c r="A107" s="2">
        <v>15</v>
      </c>
      <c r="B107" s="2" t="s">
        <v>4175</v>
      </c>
      <c r="C107" s="60" t="s">
        <v>14585</v>
      </c>
      <c r="D107" s="1"/>
      <c r="E107" s="68"/>
      <c r="F107" s="70"/>
      <c r="G107" s="1"/>
      <c r="H107" s="68"/>
      <c r="I107" s="70"/>
      <c r="J107" s="1"/>
      <c r="K107" s="68"/>
      <c r="L107" s="68"/>
      <c r="M107" s="68"/>
      <c r="N107" s="68"/>
      <c r="O107" s="76"/>
      <c r="P107" s="83"/>
      <c r="Q107" s="64"/>
      <c r="R107" s="65"/>
      <c r="S107" s="99"/>
      <c r="T107" s="68"/>
      <c r="U107" s="76"/>
      <c r="V107" s="70"/>
      <c r="W107" s="88"/>
      <c r="X107" s="62"/>
      <c r="Y107" s="63"/>
      <c r="Z107" s="75"/>
      <c r="AA107" s="74" t="s">
        <v>18089</v>
      </c>
      <c r="AB107" s="62"/>
      <c r="AC107" s="63"/>
      <c r="AD107" s="75"/>
      <c r="AE107" s="228">
        <f>ROUND((ROUND((_15_同援日１．０*_15・通訳),0)*(1+_15・区３)),0)+ROUND((ROUND((ROUND((_15_同援日１．０＿２．０*_15・通訳),0)*(1+_15・B夜間)),0)*(1+_15・区３)),0)</f>
        <v>747</v>
      </c>
      <c r="AF107" s="69"/>
    </row>
    <row r="108" spans="1:32" ht="16.5" customHeight="1" x14ac:dyDescent="0.3">
      <c r="A108" s="2">
        <v>15</v>
      </c>
      <c r="B108" s="2" t="s">
        <v>4176</v>
      </c>
      <c r="C108" s="60" t="s">
        <v>14584</v>
      </c>
      <c r="D108" s="1"/>
      <c r="E108" s="68"/>
      <c r="F108" s="70"/>
      <c r="G108" s="1"/>
      <c r="H108" s="68"/>
      <c r="I108" s="70"/>
      <c r="J108" s="1"/>
      <c r="K108" s="68"/>
      <c r="L108" s="68"/>
      <c r="M108" s="68"/>
      <c r="N108" s="68"/>
      <c r="O108" s="76"/>
      <c r="P108" s="83" t="s">
        <v>5895</v>
      </c>
      <c r="Q108" s="64" t="s">
        <v>1</v>
      </c>
      <c r="R108" s="65">
        <v>1</v>
      </c>
      <c r="S108" s="99"/>
      <c r="T108" s="68"/>
      <c r="U108" s="76"/>
      <c r="V108" s="70"/>
      <c r="W108" s="73"/>
      <c r="X108" s="57"/>
      <c r="Y108" s="58"/>
      <c r="Z108" s="77"/>
      <c r="AA108" s="1" t="s">
        <v>18084</v>
      </c>
      <c r="AB108" s="68"/>
      <c r="AC108" s="76"/>
      <c r="AD108" s="70"/>
      <c r="AE108" s="228">
        <f>ROUND((ROUND((ROUND((_15_同援日１．０*_15・通訳),0)*_15・２人),0)*(1+_15・区３)),0)+ROUND((ROUND((ROUND((ROUND((_15_同援日１．０＿２．０*_15・通訳),0)*_15・２人),0)*(1+_15・B夜間)),0)*(1+_15・区３)),0)</f>
        <v>747</v>
      </c>
      <c r="AF108" s="69"/>
    </row>
    <row r="109" spans="1:32" ht="16.5" customHeight="1" x14ac:dyDescent="0.3">
      <c r="A109" s="2">
        <v>15</v>
      </c>
      <c r="B109" s="2" t="s">
        <v>4177</v>
      </c>
      <c r="C109" s="60" t="s">
        <v>14583</v>
      </c>
      <c r="D109" s="1"/>
      <c r="E109" s="68"/>
      <c r="F109" s="70"/>
      <c r="G109" s="1"/>
      <c r="H109" s="68"/>
      <c r="I109" s="70"/>
      <c r="J109" s="1"/>
      <c r="K109" s="68"/>
      <c r="L109" s="68"/>
      <c r="M109" s="68"/>
      <c r="N109" s="68"/>
      <c r="O109" s="76"/>
      <c r="P109" s="83"/>
      <c r="Q109" s="64"/>
      <c r="R109" s="65"/>
      <c r="S109" s="99"/>
      <c r="T109" s="68"/>
      <c r="U109" s="76"/>
      <c r="V109" s="70"/>
      <c r="W109" s="88" t="s">
        <v>8085</v>
      </c>
      <c r="X109" s="62"/>
      <c r="Y109" s="63"/>
      <c r="Z109" s="75"/>
      <c r="AA109" s="1"/>
      <c r="AB109" s="68" t="s">
        <v>1</v>
      </c>
      <c r="AC109" s="76">
        <v>0.2</v>
      </c>
      <c r="AD109" s="70" t="s">
        <v>422</v>
      </c>
      <c r="AE109" s="228">
        <f>ROUND((ROUND((ROUND((_15_同援日１．０*_15・通訳),0)*(1+_15・盲ろう)),0)*(1+_15・区３)),0)+ROUND((ROUND((ROUND((ROUND((_15_同援日１．０＿２．０*_15・通訳),0)*(1+_15・B夜間)),0)*(1+_15・盲ろう)),0)*(1+_15・区３)),0)</f>
        <v>934</v>
      </c>
      <c r="AF109" s="69"/>
    </row>
    <row r="110" spans="1:32" ht="16.5" customHeight="1" x14ac:dyDescent="0.3">
      <c r="A110" s="2">
        <v>15</v>
      </c>
      <c r="B110" s="2" t="s">
        <v>4178</v>
      </c>
      <c r="C110" s="60" t="s">
        <v>14582</v>
      </c>
      <c r="D110" s="1"/>
      <c r="E110" s="68"/>
      <c r="F110" s="70"/>
      <c r="G110" s="1"/>
      <c r="H110" s="68"/>
      <c r="I110" s="70"/>
      <c r="J110" s="1"/>
      <c r="K110" s="68"/>
      <c r="L110" s="68"/>
      <c r="M110" s="68"/>
      <c r="N110" s="68"/>
      <c r="O110" s="76"/>
      <c r="P110" s="83" t="s">
        <v>5895</v>
      </c>
      <c r="Q110" s="64" t="s">
        <v>1</v>
      </c>
      <c r="R110" s="65">
        <v>1</v>
      </c>
      <c r="S110" s="99"/>
      <c r="T110" s="68"/>
      <c r="U110" s="76"/>
      <c r="V110" s="70"/>
      <c r="W110" s="73" t="s">
        <v>18086</v>
      </c>
      <c r="X110" s="57" t="s">
        <v>1</v>
      </c>
      <c r="Y110" s="58">
        <v>0.25</v>
      </c>
      <c r="Z110" s="77" t="s">
        <v>422</v>
      </c>
      <c r="AA110" s="81"/>
      <c r="AB110" s="57"/>
      <c r="AC110" s="58"/>
      <c r="AD110" s="77"/>
      <c r="AE110" s="228">
        <f>ROUND((ROUND((ROUND((ROUND((_15_同援日１．０*_15・通訳),0)*_15・２人),0)*(1+_15・盲ろう)),0)*(1+_15・区３)),0)+ROUND((ROUND((ROUND((ROUND((ROUND((_15_同援日１．０＿２．０*_15・通訳),0)*_15・２人),0)*(1+_15・B夜間)),0)*(1+_15・盲ろう)),0)*(1+_15・区３)),0)</f>
        <v>934</v>
      </c>
      <c r="AF110" s="69"/>
    </row>
    <row r="111" spans="1:32" ht="16.5" customHeight="1" x14ac:dyDescent="0.3">
      <c r="A111" s="2">
        <v>15</v>
      </c>
      <c r="B111" s="2" t="s">
        <v>4179</v>
      </c>
      <c r="C111" s="60" t="s">
        <v>14581</v>
      </c>
      <c r="D111" s="1"/>
      <c r="E111" s="68"/>
      <c r="F111" s="70"/>
      <c r="G111" s="1"/>
      <c r="H111" s="68"/>
      <c r="I111" s="70"/>
      <c r="J111" s="1"/>
      <c r="K111" s="68"/>
      <c r="L111" s="68"/>
      <c r="M111" s="68"/>
      <c r="N111" s="68"/>
      <c r="O111" s="76"/>
      <c r="P111" s="83"/>
      <c r="Q111" s="64"/>
      <c r="R111" s="65"/>
      <c r="S111" s="99"/>
      <c r="T111" s="68"/>
      <c r="U111" s="76"/>
      <c r="V111" s="70"/>
      <c r="W111" s="88"/>
      <c r="X111" s="62"/>
      <c r="Y111" s="63"/>
      <c r="Z111" s="75"/>
      <c r="AA111" s="74" t="s">
        <v>18094</v>
      </c>
      <c r="AB111" s="62"/>
      <c r="AC111" s="63"/>
      <c r="AD111" s="75"/>
      <c r="AE111" s="228">
        <f>ROUND((ROUND((_15_同援日１．０*_15・通訳),0)*(1+_15・区４)),0)+ROUND((ROUND((ROUND((_15_同援日１．０＿２．０*_15・通訳),0)*(1+_15・B夜間)),0)*(1+_15・区４)),0)</f>
        <v>871</v>
      </c>
      <c r="AF111" s="69"/>
    </row>
    <row r="112" spans="1:32" ht="16.5" customHeight="1" x14ac:dyDescent="0.3">
      <c r="A112" s="2">
        <v>15</v>
      </c>
      <c r="B112" s="2" t="s">
        <v>4180</v>
      </c>
      <c r="C112" s="60" t="s">
        <v>14580</v>
      </c>
      <c r="D112" s="1"/>
      <c r="E112" s="68"/>
      <c r="F112" s="70"/>
      <c r="G112" s="1"/>
      <c r="H112" s="68"/>
      <c r="I112" s="70"/>
      <c r="J112" s="1"/>
      <c r="K112" s="68"/>
      <c r="L112" s="68"/>
      <c r="M112" s="68"/>
      <c r="N112" s="68"/>
      <c r="O112" s="76"/>
      <c r="P112" s="83" t="s">
        <v>5895</v>
      </c>
      <c r="Q112" s="64" t="s">
        <v>1</v>
      </c>
      <c r="R112" s="65">
        <v>1</v>
      </c>
      <c r="S112" s="99"/>
      <c r="T112" s="68"/>
      <c r="U112" s="76"/>
      <c r="V112" s="70"/>
      <c r="W112" s="73"/>
      <c r="X112" s="57"/>
      <c r="Y112" s="58"/>
      <c r="Z112" s="77"/>
      <c r="AA112" s="1" t="s">
        <v>18084</v>
      </c>
      <c r="AB112" s="68"/>
      <c r="AC112" s="76"/>
      <c r="AD112" s="70"/>
      <c r="AE112" s="228">
        <f>ROUND((ROUND((ROUND((_15_同援日１．０*_15・通訳),0)*_15・２人),0)*(1+_15・区４)),0)+ROUND((ROUND((ROUND((ROUND((_15_同援日１．０＿２．０*_15・通訳),0)*_15・２人),0)*(1+_15・B夜間)),0)*(1+_15・区４)),0)</f>
        <v>871</v>
      </c>
      <c r="AF112" s="69"/>
    </row>
    <row r="113" spans="1:32" ht="16.5" customHeight="1" x14ac:dyDescent="0.3">
      <c r="A113" s="2">
        <v>15</v>
      </c>
      <c r="B113" s="2" t="s">
        <v>4181</v>
      </c>
      <c r="C113" s="60" t="s">
        <v>14579</v>
      </c>
      <c r="D113" s="1"/>
      <c r="E113" s="68"/>
      <c r="F113" s="70"/>
      <c r="G113" s="1"/>
      <c r="H113" s="68"/>
      <c r="I113" s="70"/>
      <c r="J113" s="1"/>
      <c r="K113" s="68"/>
      <c r="L113" s="68"/>
      <c r="M113" s="68"/>
      <c r="N113" s="68"/>
      <c r="O113" s="76"/>
      <c r="P113" s="83"/>
      <c r="Q113" s="64"/>
      <c r="R113" s="65"/>
      <c r="S113" s="99"/>
      <c r="T113" s="68"/>
      <c r="U113" s="76"/>
      <c r="V113" s="70"/>
      <c r="W113" s="88" t="s">
        <v>18087</v>
      </c>
      <c r="X113" s="62"/>
      <c r="Y113" s="63"/>
      <c r="Z113" s="75"/>
      <c r="AA113" s="1"/>
      <c r="AB113" s="68" t="s">
        <v>1</v>
      </c>
      <c r="AC113" s="76">
        <v>0.4</v>
      </c>
      <c r="AD113" s="70" t="s">
        <v>422</v>
      </c>
      <c r="AE113" s="228">
        <f>ROUND((ROUND((ROUND((_15_同援日１．０*_15・通訳),0)*(1+_15・盲ろう)),0)*(1+_15・区４)),0)+ROUND((ROUND((ROUND((ROUND((_15_同援日１．０＿２．０*_15・通訳),0)*(1+_15・B夜間)),0)*(1+_15・盲ろう)),0)*(1+_15・区４)),0)</f>
        <v>1090</v>
      </c>
      <c r="AF113" s="69"/>
    </row>
    <row r="114" spans="1:32" ht="16.5" customHeight="1" x14ac:dyDescent="0.3">
      <c r="A114" s="2">
        <v>15</v>
      </c>
      <c r="B114" s="2" t="s">
        <v>4182</v>
      </c>
      <c r="C114" s="60" t="s">
        <v>14578</v>
      </c>
      <c r="D114" s="81"/>
      <c r="E114" s="57"/>
      <c r="F114" s="77"/>
      <c r="G114" s="81"/>
      <c r="H114" s="57"/>
      <c r="I114" s="77"/>
      <c r="J114" s="1"/>
      <c r="K114" s="68"/>
      <c r="L114" s="68"/>
      <c r="M114" s="68"/>
      <c r="N114" s="68"/>
      <c r="O114" s="76"/>
      <c r="P114" s="83" t="s">
        <v>5895</v>
      </c>
      <c r="Q114" s="64" t="s">
        <v>1</v>
      </c>
      <c r="R114" s="65">
        <v>1</v>
      </c>
      <c r="S114" s="99"/>
      <c r="T114" s="68"/>
      <c r="U114" s="76"/>
      <c r="V114" s="70"/>
      <c r="W114" s="73" t="s">
        <v>18086</v>
      </c>
      <c r="X114" s="57" t="s">
        <v>1</v>
      </c>
      <c r="Y114" s="58">
        <v>0.25</v>
      </c>
      <c r="Z114" s="77" t="s">
        <v>422</v>
      </c>
      <c r="AA114" s="81"/>
      <c r="AB114" s="57"/>
      <c r="AC114" s="58"/>
      <c r="AD114" s="77"/>
      <c r="AE114" s="228">
        <f>ROUND((ROUND((ROUND((ROUND((_15_同援日１．０*_15・通訳),0)*_15・２人),0)*(1+_15・盲ろう)),0)*(1+_15・区４)),0)+ROUND((ROUND((ROUND((ROUND((ROUND((_15_同援日１．０＿２．０*_15・通訳),0)*_15・２人),0)*(1+_15・B夜間)),0)*(1+_15・盲ろう)),0)*(1+_15・区４)),0)</f>
        <v>1090</v>
      </c>
      <c r="AF114" s="69"/>
    </row>
    <row r="115" spans="1:32" ht="16.5" customHeight="1" x14ac:dyDescent="0.3">
      <c r="A115" s="2">
        <v>15</v>
      </c>
      <c r="B115" s="2" t="s">
        <v>4183</v>
      </c>
      <c r="C115" s="60" t="s">
        <v>14577</v>
      </c>
      <c r="D115" s="233" t="s">
        <v>18324</v>
      </c>
      <c r="E115" s="235"/>
      <c r="F115" s="75"/>
      <c r="G115" s="233" t="s">
        <v>6043</v>
      </c>
      <c r="H115" s="235"/>
      <c r="I115" s="75"/>
      <c r="J115" s="1"/>
      <c r="K115" s="68"/>
      <c r="L115" s="68"/>
      <c r="M115" s="68"/>
      <c r="N115" s="68"/>
      <c r="O115" s="76"/>
      <c r="P115" s="83"/>
      <c r="Q115" s="64"/>
      <c r="R115" s="65"/>
      <c r="S115" s="99"/>
      <c r="T115" s="68"/>
      <c r="U115" s="76"/>
      <c r="V115" s="70"/>
      <c r="W115" s="88"/>
      <c r="X115" s="62"/>
      <c r="Y115" s="63"/>
      <c r="Z115" s="75"/>
      <c r="AA115" s="74"/>
      <c r="AB115" s="62"/>
      <c r="AC115" s="63"/>
      <c r="AD115" s="75"/>
      <c r="AE115" s="228">
        <f>ROUND((_15_同援日１．５*_15・通訳),0)+ROUND((ROUND((_15_同援日１．５＿０．５*_15・通訳),0)*(1+_15・B夜間)),0)</f>
        <v>452</v>
      </c>
      <c r="AF115" s="69"/>
    </row>
    <row r="116" spans="1:32" ht="16.5" customHeight="1" x14ac:dyDescent="0.3">
      <c r="A116" s="2">
        <v>15</v>
      </c>
      <c r="B116" s="2" t="s">
        <v>4184</v>
      </c>
      <c r="C116" s="60" t="s">
        <v>14576</v>
      </c>
      <c r="D116" s="1" t="s">
        <v>16871</v>
      </c>
      <c r="E116" s="68"/>
      <c r="F116" s="70"/>
      <c r="G116" s="1" t="s">
        <v>7928</v>
      </c>
      <c r="H116" s="68"/>
      <c r="I116" s="70"/>
      <c r="J116" s="1"/>
      <c r="K116" s="68"/>
      <c r="L116" s="68"/>
      <c r="M116" s="68"/>
      <c r="N116" s="68"/>
      <c r="O116" s="76"/>
      <c r="P116" s="83" t="s">
        <v>5895</v>
      </c>
      <c r="Q116" s="64" t="s">
        <v>1</v>
      </c>
      <c r="R116" s="65">
        <v>1</v>
      </c>
      <c r="S116" s="99"/>
      <c r="T116" s="68"/>
      <c r="U116" s="76"/>
      <c r="V116" s="70"/>
      <c r="W116" s="73"/>
      <c r="X116" s="57"/>
      <c r="Y116" s="58"/>
      <c r="Z116" s="77"/>
      <c r="AA116" s="1"/>
      <c r="AB116" s="68"/>
      <c r="AC116" s="76"/>
      <c r="AD116" s="70"/>
      <c r="AE116" s="228">
        <f>ROUND((ROUND((_15_同援日１．５*_15・通訳),0)*_15・２人),0)+ROUND((ROUND((ROUND((_15_同援日１．５＿０．５*_15・通訳),0)*_15・２人),0)*(1+_15・B夜間)),0)</f>
        <v>452</v>
      </c>
      <c r="AF116" s="69"/>
    </row>
    <row r="117" spans="1:32" ht="16.5" customHeight="1" x14ac:dyDescent="0.3">
      <c r="A117" s="2">
        <v>15</v>
      </c>
      <c r="B117" s="2" t="s">
        <v>4185</v>
      </c>
      <c r="C117" s="60" t="s">
        <v>14575</v>
      </c>
      <c r="D117" s="1" t="s">
        <v>8767</v>
      </c>
      <c r="E117" s="68"/>
      <c r="F117" s="70"/>
      <c r="G117" s="1"/>
      <c r="H117" s="68"/>
      <c r="I117" s="70"/>
      <c r="J117" s="1"/>
      <c r="K117" s="68"/>
      <c r="L117" s="68"/>
      <c r="M117" s="68"/>
      <c r="N117" s="68"/>
      <c r="O117" s="76"/>
      <c r="P117" s="83"/>
      <c r="Q117" s="64"/>
      <c r="R117" s="65"/>
      <c r="S117" s="99"/>
      <c r="T117" s="68"/>
      <c r="U117" s="76"/>
      <c r="V117" s="70"/>
      <c r="W117" s="88" t="s">
        <v>18087</v>
      </c>
      <c r="X117" s="62"/>
      <c r="Y117" s="63"/>
      <c r="Z117" s="75"/>
      <c r="AA117" s="1"/>
      <c r="AB117" s="68"/>
      <c r="AC117" s="76"/>
      <c r="AD117" s="70"/>
      <c r="AE117" s="228">
        <f>ROUND((ROUND((_15_同援日１．５*_15・通訳),0)*(1+_15・盲ろう)),0)+ROUND((ROUND((ROUND((_15_同援日１．５＿０．５*_15・通訳),0)*(1+_15・B夜間)),0)*(1+_15・盲ろう)),0)</f>
        <v>565</v>
      </c>
      <c r="AF117" s="69"/>
    </row>
    <row r="118" spans="1:32" ht="16.5" customHeight="1" x14ac:dyDescent="0.3">
      <c r="A118" s="2">
        <v>15</v>
      </c>
      <c r="B118" s="2" t="s">
        <v>4186</v>
      </c>
      <c r="C118" s="60" t="s">
        <v>14574</v>
      </c>
      <c r="D118" s="1"/>
      <c r="E118" s="227">
        <v>421</v>
      </c>
      <c r="F118" s="70" t="s">
        <v>0</v>
      </c>
      <c r="G118" s="1"/>
      <c r="H118" s="119">
        <v>64</v>
      </c>
      <c r="I118" s="70" t="s">
        <v>0</v>
      </c>
      <c r="J118" s="1"/>
      <c r="K118" s="68"/>
      <c r="L118" s="68"/>
      <c r="M118" s="68"/>
      <c r="N118" s="68"/>
      <c r="O118" s="76"/>
      <c r="P118" s="83" t="s">
        <v>5895</v>
      </c>
      <c r="Q118" s="64" t="s">
        <v>1</v>
      </c>
      <c r="R118" s="65">
        <v>1</v>
      </c>
      <c r="S118" s="99"/>
      <c r="T118" s="68"/>
      <c r="U118" s="76"/>
      <c r="V118" s="70"/>
      <c r="W118" s="73" t="s">
        <v>18086</v>
      </c>
      <c r="X118" s="57" t="s">
        <v>1</v>
      </c>
      <c r="Y118" s="58">
        <v>0.25</v>
      </c>
      <c r="Z118" s="77" t="s">
        <v>422</v>
      </c>
      <c r="AA118" s="81"/>
      <c r="AB118" s="57"/>
      <c r="AC118" s="58"/>
      <c r="AD118" s="77"/>
      <c r="AE118" s="228">
        <f>ROUND((ROUND((ROUND((_15_同援日１．５*_15・通訳),0)*_15・２人),0)*(1+_15・盲ろう)),0)+ROUND((ROUND((ROUND((ROUND((_15_同援日１．５＿０．５*_15・通訳),0)*_15・２人),0)*(1+_15・B夜間)),0)*(1+_15・盲ろう)),0)</f>
        <v>565</v>
      </c>
      <c r="AF118" s="69"/>
    </row>
    <row r="119" spans="1:32" ht="16.5" customHeight="1" x14ac:dyDescent="0.3">
      <c r="A119" s="2">
        <v>15</v>
      </c>
      <c r="B119" s="2" t="s">
        <v>4187</v>
      </c>
      <c r="C119" s="60" t="s">
        <v>14573</v>
      </c>
      <c r="D119" s="1"/>
      <c r="E119" s="68"/>
      <c r="F119" s="70"/>
      <c r="G119" s="1"/>
      <c r="H119" s="68"/>
      <c r="I119" s="70"/>
      <c r="J119" s="1"/>
      <c r="K119" s="68"/>
      <c r="L119" s="68"/>
      <c r="M119" s="68"/>
      <c r="N119" s="68"/>
      <c r="O119" s="76"/>
      <c r="P119" s="83"/>
      <c r="Q119" s="64"/>
      <c r="R119" s="65"/>
      <c r="S119" s="99"/>
      <c r="T119" s="68"/>
      <c r="U119" s="76"/>
      <c r="V119" s="70"/>
      <c r="W119" s="88"/>
      <c r="X119" s="62"/>
      <c r="Y119" s="63"/>
      <c r="Z119" s="75"/>
      <c r="AA119" s="74" t="s">
        <v>18089</v>
      </c>
      <c r="AB119" s="62"/>
      <c r="AC119" s="63"/>
      <c r="AD119" s="75"/>
      <c r="AE119" s="228">
        <f>ROUND((ROUND((_15_同援日１．５*_15・通訳),0)*(1+_15・区３)),0)+ROUND((ROUND((ROUND((_15_同援日１．５＿０．５*_15・通訳),0)*(1+_15・B夜間)),0)*(1+_15・区３)),0)</f>
        <v>543</v>
      </c>
      <c r="AF119" s="69"/>
    </row>
    <row r="120" spans="1:32" ht="16.5" customHeight="1" x14ac:dyDescent="0.3">
      <c r="A120" s="2">
        <v>15</v>
      </c>
      <c r="B120" s="2" t="s">
        <v>4188</v>
      </c>
      <c r="C120" s="60" t="s">
        <v>14572</v>
      </c>
      <c r="D120" s="1"/>
      <c r="E120" s="68"/>
      <c r="F120" s="70"/>
      <c r="G120" s="1"/>
      <c r="H120" s="68"/>
      <c r="I120" s="70"/>
      <c r="J120" s="1"/>
      <c r="K120" s="68"/>
      <c r="L120" s="68"/>
      <c r="M120" s="68"/>
      <c r="N120" s="68"/>
      <c r="O120" s="76"/>
      <c r="P120" s="83" t="s">
        <v>5895</v>
      </c>
      <c r="Q120" s="64" t="s">
        <v>1</v>
      </c>
      <c r="R120" s="65">
        <v>1</v>
      </c>
      <c r="S120" s="99"/>
      <c r="T120" s="68"/>
      <c r="U120" s="76"/>
      <c r="V120" s="70"/>
      <c r="W120" s="73"/>
      <c r="X120" s="57"/>
      <c r="Y120" s="58"/>
      <c r="Z120" s="77"/>
      <c r="AA120" s="1" t="s">
        <v>18084</v>
      </c>
      <c r="AB120" s="68"/>
      <c r="AC120" s="76"/>
      <c r="AD120" s="70"/>
      <c r="AE120" s="228">
        <f>ROUND((ROUND((ROUND((_15_同援日１．５*_15・通訳),0)*_15・２人),0)*(1+_15・区３)),0)+ROUND((ROUND((ROUND((ROUND((_15_同援日１．５＿０．５*_15・通訳),0)*_15・２人),0)*(1+_15・B夜間)),0)*(1+_15・区３)),0)</f>
        <v>543</v>
      </c>
      <c r="AF120" s="69"/>
    </row>
    <row r="121" spans="1:32" ht="16.5" customHeight="1" x14ac:dyDescent="0.3">
      <c r="A121" s="2">
        <v>15</v>
      </c>
      <c r="B121" s="2" t="s">
        <v>4189</v>
      </c>
      <c r="C121" s="60" t="s">
        <v>14571</v>
      </c>
      <c r="D121" s="1"/>
      <c r="E121" s="68"/>
      <c r="F121" s="70"/>
      <c r="G121" s="1"/>
      <c r="H121" s="68"/>
      <c r="I121" s="70"/>
      <c r="J121" s="1"/>
      <c r="K121" s="68"/>
      <c r="L121" s="68"/>
      <c r="M121" s="68"/>
      <c r="N121" s="68"/>
      <c r="O121" s="76"/>
      <c r="P121" s="83"/>
      <c r="Q121" s="64"/>
      <c r="R121" s="65"/>
      <c r="S121" s="99"/>
      <c r="T121" s="68"/>
      <c r="U121" s="76"/>
      <c r="V121" s="70"/>
      <c r="W121" s="88" t="s">
        <v>17969</v>
      </c>
      <c r="X121" s="62"/>
      <c r="Y121" s="63"/>
      <c r="Z121" s="75"/>
      <c r="AA121" s="1"/>
      <c r="AB121" s="68" t="s">
        <v>1</v>
      </c>
      <c r="AC121" s="76">
        <v>0.2</v>
      </c>
      <c r="AD121" s="70" t="s">
        <v>422</v>
      </c>
      <c r="AE121" s="228">
        <f>ROUND((ROUND((ROUND((_15_同援日１．５*_15・通訳),0)*(1+_15・盲ろう)),0)*(1+_15・区３)),0)+ROUND((ROUND((ROUND((ROUND((_15_同援日１．５＿０．５*_15・通訳),0)*(1+_15・B夜間)),0)*(1+_15・盲ろう)),0)*(1+_15・区３)),0)</f>
        <v>678</v>
      </c>
      <c r="AF121" s="69"/>
    </row>
    <row r="122" spans="1:32" ht="16.5" customHeight="1" x14ac:dyDescent="0.3">
      <c r="A122" s="2">
        <v>15</v>
      </c>
      <c r="B122" s="2" t="s">
        <v>4190</v>
      </c>
      <c r="C122" s="60" t="s">
        <v>14570</v>
      </c>
      <c r="D122" s="1"/>
      <c r="E122" s="68"/>
      <c r="F122" s="70"/>
      <c r="G122" s="1"/>
      <c r="H122" s="68"/>
      <c r="I122" s="70"/>
      <c r="J122" s="1"/>
      <c r="K122" s="68"/>
      <c r="L122" s="68"/>
      <c r="M122" s="68"/>
      <c r="N122" s="68"/>
      <c r="O122" s="76"/>
      <c r="P122" s="83" t="s">
        <v>5895</v>
      </c>
      <c r="Q122" s="64" t="s">
        <v>1</v>
      </c>
      <c r="R122" s="65">
        <v>1</v>
      </c>
      <c r="S122" s="99"/>
      <c r="T122" s="68"/>
      <c r="U122" s="76"/>
      <c r="V122" s="70"/>
      <c r="W122" s="73" t="s">
        <v>18152</v>
      </c>
      <c r="X122" s="57" t="s">
        <v>1</v>
      </c>
      <c r="Y122" s="58">
        <v>0.25</v>
      </c>
      <c r="Z122" s="77" t="s">
        <v>422</v>
      </c>
      <c r="AA122" s="81"/>
      <c r="AB122" s="57"/>
      <c r="AC122" s="58"/>
      <c r="AD122" s="77"/>
      <c r="AE122" s="228">
        <f>ROUND((ROUND((ROUND((ROUND((_15_同援日１．５*_15・通訳),0)*_15・２人),0)*(1+_15・盲ろう)),0)*(1+_15・区３)),0)+ROUND((ROUND((ROUND((ROUND((ROUND((_15_同援日１．５＿０．５*_15・通訳),0)*_15・２人),0)*(1+_15・B夜間)),0)*(1+_15・盲ろう)),0)*(1+_15・区３)),0)</f>
        <v>678</v>
      </c>
      <c r="AF122" s="69"/>
    </row>
    <row r="123" spans="1:32" ht="16.5" customHeight="1" x14ac:dyDescent="0.3">
      <c r="A123" s="2">
        <v>15</v>
      </c>
      <c r="B123" s="2" t="s">
        <v>4191</v>
      </c>
      <c r="C123" s="60" t="s">
        <v>14569</v>
      </c>
      <c r="D123" s="1"/>
      <c r="E123" s="68"/>
      <c r="F123" s="70"/>
      <c r="G123" s="1"/>
      <c r="H123" s="68"/>
      <c r="I123" s="70"/>
      <c r="J123" s="1"/>
      <c r="K123" s="68"/>
      <c r="L123" s="68"/>
      <c r="M123" s="68"/>
      <c r="N123" s="68"/>
      <c r="O123" s="76"/>
      <c r="P123" s="83"/>
      <c r="Q123" s="64"/>
      <c r="R123" s="65"/>
      <c r="S123" s="99"/>
      <c r="T123" s="68"/>
      <c r="U123" s="76"/>
      <c r="V123" s="70"/>
      <c r="W123" s="88"/>
      <c r="X123" s="62"/>
      <c r="Y123" s="63"/>
      <c r="Z123" s="75"/>
      <c r="AA123" s="74" t="s">
        <v>18094</v>
      </c>
      <c r="AB123" s="62"/>
      <c r="AC123" s="63"/>
      <c r="AD123" s="75"/>
      <c r="AE123" s="228">
        <f>ROUND((ROUND((_15_同援日１．５*_15・通訳),0)*(1+_15・区４)),0)+ROUND((ROUND((ROUND((_15_同援日１．５＿０．５*_15・通訳),0)*(1+_15・B夜間)),0)*(1+_15・区４)),0)</f>
        <v>633</v>
      </c>
      <c r="AF123" s="69"/>
    </row>
    <row r="124" spans="1:32" ht="16.5" customHeight="1" x14ac:dyDescent="0.3">
      <c r="A124" s="2">
        <v>15</v>
      </c>
      <c r="B124" s="2" t="s">
        <v>4192</v>
      </c>
      <c r="C124" s="60" t="s">
        <v>14568</v>
      </c>
      <c r="D124" s="1"/>
      <c r="E124" s="68"/>
      <c r="F124" s="70"/>
      <c r="G124" s="1"/>
      <c r="H124" s="68"/>
      <c r="I124" s="70"/>
      <c r="J124" s="1"/>
      <c r="K124" s="68"/>
      <c r="L124" s="68"/>
      <c r="M124" s="68"/>
      <c r="N124" s="68"/>
      <c r="O124" s="76"/>
      <c r="P124" s="83" t="s">
        <v>5895</v>
      </c>
      <c r="Q124" s="64" t="s">
        <v>1</v>
      </c>
      <c r="R124" s="65">
        <v>1</v>
      </c>
      <c r="S124" s="99"/>
      <c r="T124" s="68"/>
      <c r="U124" s="76"/>
      <c r="V124" s="70"/>
      <c r="W124" s="73"/>
      <c r="X124" s="57"/>
      <c r="Y124" s="58"/>
      <c r="Z124" s="77"/>
      <c r="AA124" s="1" t="s">
        <v>17970</v>
      </c>
      <c r="AB124" s="68"/>
      <c r="AC124" s="76"/>
      <c r="AD124" s="70"/>
      <c r="AE124" s="228">
        <f>ROUND((ROUND((ROUND((_15_同援日１．５*_15・通訳),0)*_15・２人),0)*(1+_15・区４)),0)+ROUND((ROUND((ROUND((ROUND((_15_同援日１．５＿０．５*_15・通訳),0)*_15・２人),0)*(1+_15・B夜間)),0)*(1+_15・区４)),0)</f>
        <v>633</v>
      </c>
      <c r="AF124" s="69"/>
    </row>
    <row r="125" spans="1:32" ht="16.5" customHeight="1" x14ac:dyDescent="0.3">
      <c r="A125" s="2">
        <v>15</v>
      </c>
      <c r="B125" s="2" t="s">
        <v>4193</v>
      </c>
      <c r="C125" s="60" t="s">
        <v>14567</v>
      </c>
      <c r="D125" s="1"/>
      <c r="E125" s="68"/>
      <c r="F125" s="70"/>
      <c r="G125" s="1"/>
      <c r="H125" s="68"/>
      <c r="I125" s="70"/>
      <c r="J125" s="1"/>
      <c r="K125" s="68"/>
      <c r="L125" s="68"/>
      <c r="M125" s="68"/>
      <c r="N125" s="68"/>
      <c r="O125" s="76"/>
      <c r="P125" s="83"/>
      <c r="Q125" s="64"/>
      <c r="R125" s="65"/>
      <c r="S125" s="99"/>
      <c r="T125" s="68"/>
      <c r="U125" s="76"/>
      <c r="V125" s="70"/>
      <c r="W125" s="88" t="s">
        <v>17969</v>
      </c>
      <c r="X125" s="62"/>
      <c r="Y125" s="63"/>
      <c r="Z125" s="75"/>
      <c r="AA125" s="1"/>
      <c r="AB125" s="68" t="s">
        <v>1</v>
      </c>
      <c r="AC125" s="76">
        <v>0.4</v>
      </c>
      <c r="AD125" s="70" t="s">
        <v>422</v>
      </c>
      <c r="AE125" s="228">
        <f>ROUND((ROUND((ROUND((_15_同援日１．５*_15・通訳),0)*(1+_15・盲ろう)),0)*(1+_15・区４)),0)+ROUND((ROUND((ROUND((ROUND((_15_同援日１．５＿０．５*_15・通訳),0)*(1+_15・B夜間)),0)*(1+_15・盲ろう)),0)*(1+_15・区４)),0)</f>
        <v>791</v>
      </c>
      <c r="AF125" s="69"/>
    </row>
    <row r="126" spans="1:32" ht="16.5" customHeight="1" x14ac:dyDescent="0.3">
      <c r="A126" s="2">
        <v>15</v>
      </c>
      <c r="B126" s="2" t="s">
        <v>4194</v>
      </c>
      <c r="C126" s="60" t="s">
        <v>14566</v>
      </c>
      <c r="D126" s="1"/>
      <c r="E126" s="68"/>
      <c r="F126" s="70"/>
      <c r="G126" s="81"/>
      <c r="H126" s="57"/>
      <c r="I126" s="77"/>
      <c r="J126" s="1"/>
      <c r="K126" s="68"/>
      <c r="L126" s="68"/>
      <c r="M126" s="68"/>
      <c r="N126" s="68"/>
      <c r="O126" s="76"/>
      <c r="P126" s="83" t="s">
        <v>5895</v>
      </c>
      <c r="Q126" s="64" t="s">
        <v>1</v>
      </c>
      <c r="R126" s="65">
        <v>1</v>
      </c>
      <c r="S126" s="99"/>
      <c r="T126" s="68"/>
      <c r="U126" s="76"/>
      <c r="V126" s="70"/>
      <c r="W126" s="73" t="s">
        <v>18086</v>
      </c>
      <c r="X126" s="57" t="s">
        <v>1</v>
      </c>
      <c r="Y126" s="58">
        <v>0.25</v>
      </c>
      <c r="Z126" s="77" t="s">
        <v>422</v>
      </c>
      <c r="AA126" s="81"/>
      <c r="AB126" s="57"/>
      <c r="AC126" s="58"/>
      <c r="AD126" s="77"/>
      <c r="AE126" s="228">
        <f>ROUND((ROUND((ROUND((ROUND((_15_同援日１．５*_15・通訳),0)*_15・２人),0)*(1+_15・盲ろう)),0)*(1+_15・区４)),0)+ROUND((ROUND((ROUND((ROUND((ROUND((_15_同援日１．５＿０．５*_15・通訳),0)*_15・２人),0)*(1+_15・B夜間)),0)*(1+_15・盲ろう)),0)*(1+_15・区４)),0)</f>
        <v>791</v>
      </c>
      <c r="AF126" s="69"/>
    </row>
    <row r="127" spans="1:32" ht="16.5" customHeight="1" x14ac:dyDescent="0.3">
      <c r="A127" s="2">
        <v>15</v>
      </c>
      <c r="B127" s="2" t="s">
        <v>4195</v>
      </c>
      <c r="C127" s="60" t="s">
        <v>14565</v>
      </c>
      <c r="D127" s="1"/>
      <c r="E127" s="68"/>
      <c r="F127" s="70"/>
      <c r="G127" s="233" t="s">
        <v>18323</v>
      </c>
      <c r="H127" s="235"/>
      <c r="I127" s="75"/>
      <c r="J127" s="1"/>
      <c r="K127" s="68"/>
      <c r="L127" s="68"/>
      <c r="M127" s="68"/>
      <c r="N127" s="68"/>
      <c r="O127" s="76"/>
      <c r="P127" s="83"/>
      <c r="Q127" s="64"/>
      <c r="R127" s="65"/>
      <c r="S127" s="99"/>
      <c r="T127" s="68"/>
      <c r="U127" s="76"/>
      <c r="V127" s="70"/>
      <c r="W127" s="88"/>
      <c r="X127" s="62"/>
      <c r="Y127" s="63"/>
      <c r="Z127" s="75"/>
      <c r="AA127" s="74"/>
      <c r="AB127" s="62"/>
      <c r="AC127" s="63"/>
      <c r="AD127" s="75"/>
      <c r="AE127" s="228">
        <f>ROUND((_15_同援日１．５*_15・通訳),0)+ROUND((ROUND((_15_同援日１．５＿１．０*_15・通訳),0)*(1+_15・B夜間)),0)</f>
        <v>522</v>
      </c>
      <c r="AF127" s="69"/>
    </row>
    <row r="128" spans="1:32" ht="16.5" customHeight="1" x14ac:dyDescent="0.3">
      <c r="A128" s="2">
        <v>15</v>
      </c>
      <c r="B128" s="2" t="s">
        <v>4196</v>
      </c>
      <c r="C128" s="60" t="s">
        <v>14564</v>
      </c>
      <c r="D128" s="1"/>
      <c r="E128" s="68"/>
      <c r="F128" s="70"/>
      <c r="G128" s="1" t="s">
        <v>16874</v>
      </c>
      <c r="H128" s="68"/>
      <c r="I128" s="70"/>
      <c r="J128" s="1"/>
      <c r="K128" s="68"/>
      <c r="L128" s="68"/>
      <c r="M128" s="68"/>
      <c r="N128" s="68"/>
      <c r="O128" s="76"/>
      <c r="P128" s="83" t="s">
        <v>5895</v>
      </c>
      <c r="Q128" s="64" t="s">
        <v>1</v>
      </c>
      <c r="R128" s="65">
        <v>1</v>
      </c>
      <c r="S128" s="99"/>
      <c r="T128" s="68"/>
      <c r="U128" s="76"/>
      <c r="V128" s="70"/>
      <c r="W128" s="73"/>
      <c r="X128" s="57"/>
      <c r="Y128" s="58"/>
      <c r="Z128" s="77"/>
      <c r="AA128" s="1"/>
      <c r="AB128" s="68"/>
      <c r="AC128" s="76"/>
      <c r="AD128" s="70"/>
      <c r="AE128" s="228">
        <f>ROUND((ROUND((_15_同援日１．５*_15・通訳),0)*_15・２人),0)+ROUND((ROUND((ROUND((_15_同援日１．５＿１．０*_15・通訳),0)*_15・２人),0)*(1+_15・B夜間)),0)</f>
        <v>522</v>
      </c>
      <c r="AF128" s="69"/>
    </row>
    <row r="129" spans="1:32" ht="16.5" customHeight="1" x14ac:dyDescent="0.3">
      <c r="A129" s="2">
        <v>15</v>
      </c>
      <c r="B129" s="2" t="s">
        <v>4197</v>
      </c>
      <c r="C129" s="60" t="s">
        <v>14563</v>
      </c>
      <c r="D129" s="1"/>
      <c r="E129" s="68"/>
      <c r="F129" s="70"/>
      <c r="G129" s="1" t="s">
        <v>8572</v>
      </c>
      <c r="H129" s="68"/>
      <c r="I129" s="70"/>
      <c r="J129" s="1"/>
      <c r="K129" s="68"/>
      <c r="L129" s="68"/>
      <c r="M129" s="68"/>
      <c r="N129" s="68"/>
      <c r="O129" s="76"/>
      <c r="P129" s="83"/>
      <c r="Q129" s="64"/>
      <c r="R129" s="65"/>
      <c r="S129" s="99"/>
      <c r="T129" s="68"/>
      <c r="U129" s="76"/>
      <c r="V129" s="70"/>
      <c r="W129" s="88" t="s">
        <v>18087</v>
      </c>
      <c r="X129" s="62"/>
      <c r="Y129" s="63"/>
      <c r="Z129" s="75"/>
      <c r="AA129" s="1"/>
      <c r="AB129" s="68"/>
      <c r="AC129" s="76"/>
      <c r="AD129" s="70"/>
      <c r="AE129" s="228">
        <f>ROUND((ROUND((_15_同援日１．５*_15・通訳),0)*(1+_15・盲ろう)),0)+ROUND((ROUND((ROUND((_15_同援日１．５＿１．０*_15・通訳),0)*(1+_15・B夜間)),0)*(1+_15・盲ろう)),0)</f>
        <v>653</v>
      </c>
      <c r="AF129" s="69"/>
    </row>
    <row r="130" spans="1:32" ht="16.5" customHeight="1" x14ac:dyDescent="0.3">
      <c r="A130" s="2">
        <v>15</v>
      </c>
      <c r="B130" s="2" t="s">
        <v>4198</v>
      </c>
      <c r="C130" s="60" t="s">
        <v>14562</v>
      </c>
      <c r="D130" s="1"/>
      <c r="E130" s="68"/>
      <c r="F130" s="70"/>
      <c r="G130" s="1"/>
      <c r="H130" s="119">
        <v>127</v>
      </c>
      <c r="I130" s="70" t="s">
        <v>0</v>
      </c>
      <c r="J130" s="1"/>
      <c r="K130" s="68"/>
      <c r="L130" s="68"/>
      <c r="M130" s="68"/>
      <c r="N130" s="68"/>
      <c r="O130" s="76"/>
      <c r="P130" s="83" t="s">
        <v>5895</v>
      </c>
      <c r="Q130" s="64" t="s">
        <v>1</v>
      </c>
      <c r="R130" s="65">
        <v>1</v>
      </c>
      <c r="S130" s="99"/>
      <c r="T130" s="68"/>
      <c r="U130" s="76"/>
      <c r="V130" s="70"/>
      <c r="W130" s="73" t="s">
        <v>18152</v>
      </c>
      <c r="X130" s="57" t="s">
        <v>1</v>
      </c>
      <c r="Y130" s="58">
        <v>0.25</v>
      </c>
      <c r="Z130" s="77" t="s">
        <v>422</v>
      </c>
      <c r="AA130" s="81"/>
      <c r="AB130" s="57"/>
      <c r="AC130" s="58"/>
      <c r="AD130" s="77"/>
      <c r="AE130" s="228">
        <f>ROUND((ROUND((ROUND((_15_同援日１．５*_15・通訳),0)*_15・２人),0)*(1+_15・盲ろう)),0)+ROUND((ROUND((ROUND((ROUND((_15_同援日１．５＿１．０*_15・通訳),0)*_15・２人),0)*(1+_15・B夜間)),0)*(1+_15・盲ろう)),0)</f>
        <v>653</v>
      </c>
      <c r="AF130" s="69"/>
    </row>
    <row r="131" spans="1:32" ht="16.5" customHeight="1" x14ac:dyDescent="0.3">
      <c r="A131" s="2">
        <v>15</v>
      </c>
      <c r="B131" s="2" t="s">
        <v>4199</v>
      </c>
      <c r="C131" s="60" t="s">
        <v>14561</v>
      </c>
      <c r="D131" s="1"/>
      <c r="E131" s="68"/>
      <c r="F131" s="70"/>
      <c r="G131" s="1"/>
      <c r="H131" s="68"/>
      <c r="I131" s="70"/>
      <c r="J131" s="1"/>
      <c r="K131" s="68"/>
      <c r="L131" s="68"/>
      <c r="M131" s="68"/>
      <c r="N131" s="68"/>
      <c r="O131" s="76"/>
      <c r="P131" s="83"/>
      <c r="Q131" s="64"/>
      <c r="R131" s="65"/>
      <c r="S131" s="99"/>
      <c r="T131" s="68"/>
      <c r="U131" s="76"/>
      <c r="V131" s="70"/>
      <c r="W131" s="88"/>
      <c r="X131" s="62"/>
      <c r="Y131" s="63"/>
      <c r="Z131" s="75"/>
      <c r="AA131" s="74" t="s">
        <v>18089</v>
      </c>
      <c r="AB131" s="62"/>
      <c r="AC131" s="63"/>
      <c r="AD131" s="75"/>
      <c r="AE131" s="228">
        <f>ROUND((ROUND((_15_同援日１．５*_15・通訳),0)*(1+_15・区３)),0)+ROUND((ROUND((ROUND((_15_同援日１．５＿１．０*_15・通訳),0)*(1+_15・B夜間)),0)*(1+_15・区３)),0)</f>
        <v>627</v>
      </c>
      <c r="AF131" s="69"/>
    </row>
    <row r="132" spans="1:32" ht="16.5" customHeight="1" x14ac:dyDescent="0.3">
      <c r="A132" s="2">
        <v>15</v>
      </c>
      <c r="B132" s="2" t="s">
        <v>4200</v>
      </c>
      <c r="C132" s="60" t="s">
        <v>14560</v>
      </c>
      <c r="D132" s="1"/>
      <c r="E132" s="68"/>
      <c r="F132" s="70"/>
      <c r="G132" s="1"/>
      <c r="H132" s="68"/>
      <c r="I132" s="70"/>
      <c r="J132" s="1"/>
      <c r="K132" s="68"/>
      <c r="L132" s="68"/>
      <c r="M132" s="68"/>
      <c r="N132" s="68"/>
      <c r="O132" s="76"/>
      <c r="P132" s="83" t="s">
        <v>5895</v>
      </c>
      <c r="Q132" s="64" t="s">
        <v>1</v>
      </c>
      <c r="R132" s="65">
        <v>1</v>
      </c>
      <c r="S132" s="99"/>
      <c r="T132" s="68"/>
      <c r="U132" s="76"/>
      <c r="V132" s="70"/>
      <c r="W132" s="73"/>
      <c r="X132" s="57"/>
      <c r="Y132" s="58"/>
      <c r="Z132" s="77"/>
      <c r="AA132" s="1" t="s">
        <v>18322</v>
      </c>
      <c r="AB132" s="68"/>
      <c r="AC132" s="76"/>
      <c r="AD132" s="70"/>
      <c r="AE132" s="228">
        <f>ROUND((ROUND((ROUND((_15_同援日１．５*_15・通訳),0)*_15・２人),0)*(1+_15・区３)),0)+ROUND((ROUND((ROUND((ROUND((_15_同援日１．５＿１．０*_15・通訳),0)*_15・２人),0)*(1+_15・B夜間)),0)*(1+_15・区３)),0)</f>
        <v>627</v>
      </c>
      <c r="AF132" s="69"/>
    </row>
    <row r="133" spans="1:32" ht="16.5" customHeight="1" x14ac:dyDescent="0.3">
      <c r="A133" s="2">
        <v>15</v>
      </c>
      <c r="B133" s="2" t="s">
        <v>4201</v>
      </c>
      <c r="C133" s="60" t="s">
        <v>14559</v>
      </c>
      <c r="D133" s="1"/>
      <c r="E133" s="68"/>
      <c r="F133" s="70"/>
      <c r="G133" s="1"/>
      <c r="H133" s="68"/>
      <c r="I133" s="70"/>
      <c r="J133" s="1"/>
      <c r="K133" s="68"/>
      <c r="L133" s="68"/>
      <c r="M133" s="68"/>
      <c r="N133" s="68"/>
      <c r="O133" s="76"/>
      <c r="P133" s="83"/>
      <c r="Q133" s="64"/>
      <c r="R133" s="65"/>
      <c r="S133" s="99"/>
      <c r="T133" s="68"/>
      <c r="U133" s="76"/>
      <c r="V133" s="70"/>
      <c r="W133" s="88" t="s">
        <v>17969</v>
      </c>
      <c r="X133" s="62"/>
      <c r="Y133" s="63"/>
      <c r="Z133" s="75"/>
      <c r="AA133" s="1"/>
      <c r="AB133" s="68" t="s">
        <v>1</v>
      </c>
      <c r="AC133" s="76">
        <v>0.2</v>
      </c>
      <c r="AD133" s="70" t="s">
        <v>422</v>
      </c>
      <c r="AE133" s="228">
        <f>ROUND((ROUND((ROUND((_15_同援日１．５*_15・通訳),0)*(1+_15・盲ろう)),0)*(1+_15・区３)),0)+ROUND((ROUND((ROUND((ROUND((_15_同援日１．５＿１．０*_15・通訳),0)*(1+_15・B夜間)),0)*(1+_15・盲ろう)),0)*(1+_15・区３)),0)</f>
        <v>784</v>
      </c>
      <c r="AF133" s="69"/>
    </row>
    <row r="134" spans="1:32" ht="16.5" customHeight="1" x14ac:dyDescent="0.3">
      <c r="A134" s="2">
        <v>15</v>
      </c>
      <c r="B134" s="2" t="s">
        <v>4202</v>
      </c>
      <c r="C134" s="60" t="s">
        <v>14558</v>
      </c>
      <c r="D134" s="1"/>
      <c r="E134" s="68"/>
      <c r="F134" s="70"/>
      <c r="G134" s="1"/>
      <c r="H134" s="68"/>
      <c r="I134" s="70"/>
      <c r="J134" s="1"/>
      <c r="K134" s="68"/>
      <c r="L134" s="68"/>
      <c r="M134" s="68"/>
      <c r="N134" s="68"/>
      <c r="O134" s="76"/>
      <c r="P134" s="83" t="s">
        <v>5895</v>
      </c>
      <c r="Q134" s="64" t="s">
        <v>1</v>
      </c>
      <c r="R134" s="65">
        <v>1</v>
      </c>
      <c r="S134" s="99"/>
      <c r="T134" s="68"/>
      <c r="U134" s="76"/>
      <c r="V134" s="70"/>
      <c r="W134" s="73" t="s">
        <v>18086</v>
      </c>
      <c r="X134" s="57" t="s">
        <v>1</v>
      </c>
      <c r="Y134" s="58">
        <v>0.25</v>
      </c>
      <c r="Z134" s="77" t="s">
        <v>422</v>
      </c>
      <c r="AA134" s="81"/>
      <c r="AB134" s="57"/>
      <c r="AC134" s="58"/>
      <c r="AD134" s="77"/>
      <c r="AE134" s="228">
        <f>ROUND((ROUND((ROUND((ROUND((_15_同援日１．５*_15・通訳),0)*_15・２人),0)*(1+_15・盲ろう)),0)*(1+_15・区３)),0)+ROUND((ROUND((ROUND((ROUND((ROUND((_15_同援日１．５＿１．０*_15・通訳),0)*_15・２人),0)*(1+_15・B夜間)),0)*(1+_15・盲ろう)),0)*(1+_15・区３)),0)</f>
        <v>784</v>
      </c>
      <c r="AF134" s="69"/>
    </row>
    <row r="135" spans="1:32" ht="16.5" customHeight="1" x14ac:dyDescent="0.3">
      <c r="A135" s="2">
        <v>15</v>
      </c>
      <c r="B135" s="2" t="s">
        <v>4203</v>
      </c>
      <c r="C135" s="60" t="s">
        <v>14557</v>
      </c>
      <c r="D135" s="1"/>
      <c r="E135" s="68"/>
      <c r="F135" s="70"/>
      <c r="G135" s="1"/>
      <c r="H135" s="68"/>
      <c r="I135" s="70"/>
      <c r="J135" s="1"/>
      <c r="K135" s="68"/>
      <c r="L135" s="68"/>
      <c r="M135" s="68"/>
      <c r="N135" s="68"/>
      <c r="O135" s="76"/>
      <c r="P135" s="83"/>
      <c r="Q135" s="64"/>
      <c r="R135" s="65"/>
      <c r="S135" s="99"/>
      <c r="T135" s="68"/>
      <c r="U135" s="76"/>
      <c r="V135" s="70"/>
      <c r="W135" s="88"/>
      <c r="X135" s="62"/>
      <c r="Y135" s="63"/>
      <c r="Z135" s="75"/>
      <c r="AA135" s="74" t="s">
        <v>8089</v>
      </c>
      <c r="AB135" s="62"/>
      <c r="AC135" s="63"/>
      <c r="AD135" s="75"/>
      <c r="AE135" s="228">
        <f>ROUND((ROUND((_15_同援日１．５*_15・通訳),0)*(1+_15・区４)),0)+ROUND((ROUND((ROUND((_15_同援日１．５＿１．０*_15・通訳),0)*(1+_15・B夜間)),0)*(1+_15・区４)),0)</f>
        <v>731</v>
      </c>
      <c r="AF135" s="69"/>
    </row>
    <row r="136" spans="1:32" ht="16.5" customHeight="1" x14ac:dyDescent="0.3">
      <c r="A136" s="2">
        <v>15</v>
      </c>
      <c r="B136" s="2" t="s">
        <v>4204</v>
      </c>
      <c r="C136" s="60" t="s">
        <v>14556</v>
      </c>
      <c r="D136" s="1"/>
      <c r="E136" s="68"/>
      <c r="F136" s="70"/>
      <c r="G136" s="1"/>
      <c r="H136" s="68"/>
      <c r="I136" s="70"/>
      <c r="J136" s="1"/>
      <c r="K136" s="68"/>
      <c r="L136" s="68"/>
      <c r="M136" s="68"/>
      <c r="N136" s="68"/>
      <c r="O136" s="76"/>
      <c r="P136" s="83" t="s">
        <v>5895</v>
      </c>
      <c r="Q136" s="64" t="s">
        <v>1</v>
      </c>
      <c r="R136" s="65">
        <v>1</v>
      </c>
      <c r="S136" s="99"/>
      <c r="T136" s="68"/>
      <c r="U136" s="76"/>
      <c r="V136" s="70"/>
      <c r="W136" s="73"/>
      <c r="X136" s="57"/>
      <c r="Y136" s="58"/>
      <c r="Z136" s="77"/>
      <c r="AA136" s="1" t="s">
        <v>17970</v>
      </c>
      <c r="AB136" s="68"/>
      <c r="AC136" s="76"/>
      <c r="AD136" s="70"/>
      <c r="AE136" s="228">
        <f>ROUND((ROUND((ROUND((_15_同援日１．５*_15・通訳),0)*_15・２人),0)*(1+_15・区４)),0)+ROUND((ROUND((ROUND((ROUND((_15_同援日１．５＿１．０*_15・通訳),0)*_15・２人),0)*(1+_15・B夜間)),0)*(1+_15・区４)),0)</f>
        <v>731</v>
      </c>
      <c r="AF136" s="69"/>
    </row>
    <row r="137" spans="1:32" ht="16.5" customHeight="1" x14ac:dyDescent="0.3">
      <c r="A137" s="2">
        <v>15</v>
      </c>
      <c r="B137" s="2" t="s">
        <v>4205</v>
      </c>
      <c r="C137" s="60" t="s">
        <v>14555</v>
      </c>
      <c r="D137" s="1"/>
      <c r="E137" s="68"/>
      <c r="F137" s="70"/>
      <c r="G137" s="1"/>
      <c r="H137" s="68"/>
      <c r="I137" s="70"/>
      <c r="J137" s="1"/>
      <c r="K137" s="68"/>
      <c r="L137" s="68"/>
      <c r="M137" s="68"/>
      <c r="N137" s="68"/>
      <c r="O137" s="76"/>
      <c r="P137" s="83"/>
      <c r="Q137" s="64"/>
      <c r="R137" s="65"/>
      <c r="S137" s="99"/>
      <c r="T137" s="68"/>
      <c r="U137" s="76"/>
      <c r="V137" s="70"/>
      <c r="W137" s="88" t="s">
        <v>8085</v>
      </c>
      <c r="X137" s="62"/>
      <c r="Y137" s="63"/>
      <c r="Z137" s="75"/>
      <c r="AA137" s="1"/>
      <c r="AB137" s="68" t="s">
        <v>1</v>
      </c>
      <c r="AC137" s="76">
        <v>0.4</v>
      </c>
      <c r="AD137" s="70" t="s">
        <v>422</v>
      </c>
      <c r="AE137" s="228">
        <f>ROUND((ROUND((ROUND((_15_同援日１．５*_15・通訳),0)*(1+_15・盲ろう)),0)*(1+_15・区４)),0)+ROUND((ROUND((ROUND((ROUND((_15_同援日１．５＿１．０*_15・通訳),0)*(1+_15・B夜間)),0)*(1+_15・盲ろう)),0)*(1+_15・区４)),0)</f>
        <v>915</v>
      </c>
      <c r="AF137" s="69"/>
    </row>
    <row r="138" spans="1:32" ht="16.5" customHeight="1" x14ac:dyDescent="0.3">
      <c r="A138" s="2">
        <v>15</v>
      </c>
      <c r="B138" s="2" t="s">
        <v>4206</v>
      </c>
      <c r="C138" s="60" t="s">
        <v>14554</v>
      </c>
      <c r="D138" s="1"/>
      <c r="E138" s="68"/>
      <c r="F138" s="70"/>
      <c r="G138" s="81"/>
      <c r="H138" s="57"/>
      <c r="I138" s="77"/>
      <c r="J138" s="1"/>
      <c r="K138" s="68"/>
      <c r="L138" s="68"/>
      <c r="M138" s="68"/>
      <c r="N138" s="68"/>
      <c r="O138" s="76"/>
      <c r="P138" s="83" t="s">
        <v>5895</v>
      </c>
      <c r="Q138" s="64" t="s">
        <v>1</v>
      </c>
      <c r="R138" s="65">
        <v>1</v>
      </c>
      <c r="S138" s="99"/>
      <c r="T138" s="68"/>
      <c r="U138" s="76"/>
      <c r="V138" s="70"/>
      <c r="W138" s="73" t="s">
        <v>17968</v>
      </c>
      <c r="X138" s="57" t="s">
        <v>1</v>
      </c>
      <c r="Y138" s="58">
        <v>0.25</v>
      </c>
      <c r="Z138" s="77" t="s">
        <v>422</v>
      </c>
      <c r="AA138" s="81"/>
      <c r="AB138" s="57"/>
      <c r="AC138" s="58"/>
      <c r="AD138" s="77"/>
      <c r="AE138" s="228">
        <f>ROUND((ROUND((ROUND((ROUND((_15_同援日１．５*_15・通訳),0)*_15・２人),0)*(1+_15・盲ろう)),0)*(1+_15・区４)),0)+ROUND((ROUND((ROUND((ROUND((ROUND((_15_同援日１．５＿１．０*_15・通訳),0)*_15・２人),0)*(1+_15・B夜間)),0)*(1+_15・盲ろう)),0)*(1+_15・区４)),0)</f>
        <v>915</v>
      </c>
      <c r="AF138" s="69"/>
    </row>
    <row r="139" spans="1:32" ht="16.5" customHeight="1" x14ac:dyDescent="0.3">
      <c r="A139" s="2">
        <v>15</v>
      </c>
      <c r="B139" s="2" t="s">
        <v>4207</v>
      </c>
      <c r="C139" s="60" t="s">
        <v>14553</v>
      </c>
      <c r="D139" s="1"/>
      <c r="E139" s="68"/>
      <c r="F139" s="70"/>
      <c r="G139" s="233" t="s">
        <v>6032</v>
      </c>
      <c r="H139" s="235"/>
      <c r="I139" s="75"/>
      <c r="J139" s="1"/>
      <c r="K139" s="68"/>
      <c r="L139" s="68"/>
      <c r="M139" s="68"/>
      <c r="N139" s="68"/>
      <c r="O139" s="76"/>
      <c r="P139" s="83"/>
      <c r="Q139" s="64"/>
      <c r="R139" s="65"/>
      <c r="S139" s="99"/>
      <c r="T139" s="68"/>
      <c r="U139" s="76"/>
      <c r="V139" s="70"/>
      <c r="W139" s="88"/>
      <c r="X139" s="62"/>
      <c r="Y139" s="63"/>
      <c r="Z139" s="75"/>
      <c r="AA139" s="74"/>
      <c r="AB139" s="62"/>
      <c r="AC139" s="63"/>
      <c r="AD139" s="75"/>
      <c r="AE139" s="228">
        <f>ROUND((_15_同援日１．５*_15・通訳),0)+ROUND((ROUND((_15_同援日１．５＿１．５*_15・通訳),0)*(1+_15・B夜間)),0)</f>
        <v>593</v>
      </c>
      <c r="AF139" s="69"/>
    </row>
    <row r="140" spans="1:32" ht="16.5" customHeight="1" x14ac:dyDescent="0.3">
      <c r="A140" s="2">
        <v>15</v>
      </c>
      <c r="B140" s="2" t="s">
        <v>4208</v>
      </c>
      <c r="C140" s="60" t="s">
        <v>14552</v>
      </c>
      <c r="D140" s="1"/>
      <c r="E140" s="68"/>
      <c r="F140" s="70"/>
      <c r="G140" s="1" t="s">
        <v>17070</v>
      </c>
      <c r="H140" s="68"/>
      <c r="I140" s="70"/>
      <c r="J140" s="1"/>
      <c r="K140" s="68"/>
      <c r="L140" s="68"/>
      <c r="M140" s="68"/>
      <c r="N140" s="68"/>
      <c r="O140" s="76"/>
      <c r="P140" s="83" t="s">
        <v>5895</v>
      </c>
      <c r="Q140" s="64" t="s">
        <v>1</v>
      </c>
      <c r="R140" s="65">
        <v>1</v>
      </c>
      <c r="S140" s="99"/>
      <c r="T140" s="68"/>
      <c r="U140" s="76"/>
      <c r="V140" s="70"/>
      <c r="W140" s="73"/>
      <c r="X140" s="57"/>
      <c r="Y140" s="58"/>
      <c r="Z140" s="77"/>
      <c r="AA140" s="1"/>
      <c r="AB140" s="68"/>
      <c r="AC140" s="76"/>
      <c r="AD140" s="70"/>
      <c r="AE140" s="228">
        <f>ROUND((ROUND((_15_同援日１．５*_15・通訳),0)*_15・２人),0)+ROUND((ROUND((ROUND((_15_同援日１．５＿１．５*_15・通訳),0)*_15・２人),0)*(1+_15・B夜間)),0)</f>
        <v>593</v>
      </c>
      <c r="AF140" s="69"/>
    </row>
    <row r="141" spans="1:32" ht="16.5" customHeight="1" x14ac:dyDescent="0.3">
      <c r="A141" s="2">
        <v>15</v>
      </c>
      <c r="B141" s="2" t="s">
        <v>4209</v>
      </c>
      <c r="C141" s="60" t="s">
        <v>14551</v>
      </c>
      <c r="D141" s="1"/>
      <c r="E141" s="68"/>
      <c r="F141" s="70"/>
      <c r="G141" s="1" t="s">
        <v>8767</v>
      </c>
      <c r="H141" s="68"/>
      <c r="I141" s="70"/>
      <c r="J141" s="1"/>
      <c r="K141" s="68"/>
      <c r="L141" s="68"/>
      <c r="M141" s="68"/>
      <c r="N141" s="68"/>
      <c r="O141" s="76"/>
      <c r="P141" s="83"/>
      <c r="Q141" s="64"/>
      <c r="R141" s="65"/>
      <c r="S141" s="99"/>
      <c r="T141" s="68"/>
      <c r="U141" s="76"/>
      <c r="V141" s="70"/>
      <c r="W141" s="88" t="s">
        <v>18087</v>
      </c>
      <c r="X141" s="62"/>
      <c r="Y141" s="63"/>
      <c r="Z141" s="75"/>
      <c r="AA141" s="1"/>
      <c r="AB141" s="68"/>
      <c r="AC141" s="76"/>
      <c r="AD141" s="70"/>
      <c r="AE141" s="228">
        <f>ROUND((ROUND((_15_同援日１．５*_15・通訳),0)*(1+_15・盲ろう)),0)+ROUND((ROUND((ROUND((_15_同援日１．５＿１．５*_15・通訳),0)*(1+_15・B夜間)),0)*(1+_15・盲ろう)),0)</f>
        <v>742</v>
      </c>
      <c r="AF141" s="69"/>
    </row>
    <row r="142" spans="1:32" ht="16.5" customHeight="1" x14ac:dyDescent="0.3">
      <c r="A142" s="2">
        <v>15</v>
      </c>
      <c r="B142" s="2" t="s">
        <v>4210</v>
      </c>
      <c r="C142" s="60" t="s">
        <v>14550</v>
      </c>
      <c r="D142" s="1"/>
      <c r="E142" s="68"/>
      <c r="F142" s="70"/>
      <c r="G142" s="1"/>
      <c r="H142" s="119">
        <v>190</v>
      </c>
      <c r="I142" s="70" t="s">
        <v>0</v>
      </c>
      <c r="J142" s="1"/>
      <c r="K142" s="68"/>
      <c r="L142" s="68"/>
      <c r="M142" s="68"/>
      <c r="N142" s="68"/>
      <c r="O142" s="76"/>
      <c r="P142" s="83" t="s">
        <v>5895</v>
      </c>
      <c r="Q142" s="64" t="s">
        <v>1</v>
      </c>
      <c r="R142" s="65">
        <v>1</v>
      </c>
      <c r="S142" s="99"/>
      <c r="T142" s="68"/>
      <c r="U142" s="76"/>
      <c r="V142" s="70"/>
      <c r="W142" s="73" t="s">
        <v>17968</v>
      </c>
      <c r="X142" s="57" t="s">
        <v>1</v>
      </c>
      <c r="Y142" s="58">
        <v>0.25</v>
      </c>
      <c r="Z142" s="77" t="s">
        <v>422</v>
      </c>
      <c r="AA142" s="81"/>
      <c r="AB142" s="57"/>
      <c r="AC142" s="58"/>
      <c r="AD142" s="77"/>
      <c r="AE142" s="228">
        <f>ROUND((ROUND((ROUND((_15_同援日１．５*_15・通訳),0)*_15・２人),0)*(1+_15・盲ろう)),0)+ROUND((ROUND((ROUND((ROUND((_15_同援日１．５＿１．５*_15・通訳),0)*_15・２人),0)*(1+_15・B夜間)),0)*(1+_15・盲ろう)),0)</f>
        <v>742</v>
      </c>
      <c r="AF142" s="69"/>
    </row>
    <row r="143" spans="1:32" ht="16.5" customHeight="1" x14ac:dyDescent="0.3">
      <c r="A143" s="2">
        <v>15</v>
      </c>
      <c r="B143" s="2" t="s">
        <v>4211</v>
      </c>
      <c r="C143" s="60" t="s">
        <v>14549</v>
      </c>
      <c r="D143" s="1"/>
      <c r="E143" s="68"/>
      <c r="F143" s="70"/>
      <c r="G143" s="1"/>
      <c r="H143" s="68"/>
      <c r="I143" s="70"/>
      <c r="J143" s="1"/>
      <c r="K143" s="68"/>
      <c r="L143" s="68"/>
      <c r="M143" s="68"/>
      <c r="N143" s="68"/>
      <c r="O143" s="76"/>
      <c r="P143" s="83"/>
      <c r="Q143" s="64"/>
      <c r="R143" s="65"/>
      <c r="S143" s="99"/>
      <c r="T143" s="68"/>
      <c r="U143" s="76"/>
      <c r="V143" s="70"/>
      <c r="W143" s="88"/>
      <c r="X143" s="62"/>
      <c r="Y143" s="63"/>
      <c r="Z143" s="75"/>
      <c r="AA143" s="74" t="s">
        <v>18089</v>
      </c>
      <c r="AB143" s="62"/>
      <c r="AC143" s="63"/>
      <c r="AD143" s="75"/>
      <c r="AE143" s="228">
        <f>ROUND((ROUND((_15_同援日１．５*_15・通訳),0)*(1+_15・区３)),0)+ROUND((ROUND((ROUND((_15_同援日１．５＿１．５*_15・通訳),0)*(1+_15・B夜間)),0)*(1+_15・区３)),0)</f>
        <v>712</v>
      </c>
      <c r="AF143" s="69"/>
    </row>
    <row r="144" spans="1:32" ht="16.5" customHeight="1" x14ac:dyDescent="0.3">
      <c r="A144" s="2">
        <v>15</v>
      </c>
      <c r="B144" s="2" t="s">
        <v>4212</v>
      </c>
      <c r="C144" s="60" t="s">
        <v>14548</v>
      </c>
      <c r="D144" s="1"/>
      <c r="E144" s="68"/>
      <c r="F144" s="70"/>
      <c r="G144" s="1"/>
      <c r="H144" s="68"/>
      <c r="I144" s="70"/>
      <c r="J144" s="1"/>
      <c r="K144" s="68"/>
      <c r="L144" s="68"/>
      <c r="M144" s="68"/>
      <c r="N144" s="68"/>
      <c r="O144" s="76"/>
      <c r="P144" s="83" t="s">
        <v>5895</v>
      </c>
      <c r="Q144" s="64" t="s">
        <v>1</v>
      </c>
      <c r="R144" s="65">
        <v>1</v>
      </c>
      <c r="S144" s="99"/>
      <c r="T144" s="68"/>
      <c r="U144" s="76"/>
      <c r="V144" s="70"/>
      <c r="W144" s="73"/>
      <c r="X144" s="57"/>
      <c r="Y144" s="58"/>
      <c r="Z144" s="77"/>
      <c r="AA144" s="1" t="s">
        <v>18084</v>
      </c>
      <c r="AB144" s="68"/>
      <c r="AC144" s="76"/>
      <c r="AD144" s="70"/>
      <c r="AE144" s="228">
        <f>ROUND((ROUND((ROUND((_15_同援日１．５*_15・通訳),0)*_15・２人),0)*(1+_15・区３)),0)+ROUND((ROUND((ROUND((ROUND((_15_同援日１．５＿１．５*_15・通訳),0)*_15・２人),0)*(1+_15・B夜間)),0)*(1+_15・区３)),0)</f>
        <v>712</v>
      </c>
      <c r="AF144" s="69"/>
    </row>
    <row r="145" spans="1:32" ht="16.5" customHeight="1" x14ac:dyDescent="0.3">
      <c r="A145" s="2">
        <v>15</v>
      </c>
      <c r="B145" s="2" t="s">
        <v>4213</v>
      </c>
      <c r="C145" s="60" t="s">
        <v>14547</v>
      </c>
      <c r="D145" s="1"/>
      <c r="E145" s="68"/>
      <c r="F145" s="70"/>
      <c r="G145" s="1"/>
      <c r="H145" s="68"/>
      <c r="I145" s="70"/>
      <c r="J145" s="1"/>
      <c r="K145" s="68"/>
      <c r="L145" s="68"/>
      <c r="M145" s="68"/>
      <c r="N145" s="68"/>
      <c r="O145" s="76"/>
      <c r="P145" s="83"/>
      <c r="Q145" s="64"/>
      <c r="R145" s="65"/>
      <c r="S145" s="99"/>
      <c r="T145" s="68"/>
      <c r="U145" s="76"/>
      <c r="V145" s="70"/>
      <c r="W145" s="88" t="s">
        <v>18025</v>
      </c>
      <c r="X145" s="62"/>
      <c r="Y145" s="63"/>
      <c r="Z145" s="75"/>
      <c r="AA145" s="1"/>
      <c r="AB145" s="68" t="s">
        <v>1</v>
      </c>
      <c r="AC145" s="76">
        <v>0.2</v>
      </c>
      <c r="AD145" s="70" t="s">
        <v>422</v>
      </c>
      <c r="AE145" s="228">
        <f>ROUND((ROUND((ROUND((_15_同援日１．５*_15・通訳),0)*(1+_15・盲ろう)),0)*(1+_15・区３)),0)+ROUND((ROUND((ROUND((ROUND((_15_同援日１．５＿１．５*_15・通訳),0)*(1+_15・B夜間)),0)*(1+_15・盲ろう)),0)*(1+_15・区３)),0)</f>
        <v>891</v>
      </c>
      <c r="AF145" s="69"/>
    </row>
    <row r="146" spans="1:32" ht="16.5" customHeight="1" x14ac:dyDescent="0.3">
      <c r="A146" s="2">
        <v>15</v>
      </c>
      <c r="B146" s="2" t="s">
        <v>4214</v>
      </c>
      <c r="C146" s="60" t="s">
        <v>14546</v>
      </c>
      <c r="D146" s="1"/>
      <c r="E146" s="68"/>
      <c r="F146" s="70"/>
      <c r="G146" s="1"/>
      <c r="H146" s="68"/>
      <c r="I146" s="70"/>
      <c r="J146" s="1"/>
      <c r="K146" s="68"/>
      <c r="L146" s="68"/>
      <c r="M146" s="68"/>
      <c r="N146" s="68"/>
      <c r="O146" s="76"/>
      <c r="P146" s="83" t="s">
        <v>5895</v>
      </c>
      <c r="Q146" s="64" t="s">
        <v>1</v>
      </c>
      <c r="R146" s="65">
        <v>1</v>
      </c>
      <c r="S146" s="99"/>
      <c r="T146" s="68"/>
      <c r="U146" s="76"/>
      <c r="V146" s="70"/>
      <c r="W146" s="73" t="s">
        <v>8083</v>
      </c>
      <c r="X146" s="57" t="s">
        <v>1</v>
      </c>
      <c r="Y146" s="58">
        <v>0.25</v>
      </c>
      <c r="Z146" s="77" t="s">
        <v>422</v>
      </c>
      <c r="AA146" s="81"/>
      <c r="AB146" s="57"/>
      <c r="AC146" s="58"/>
      <c r="AD146" s="77"/>
      <c r="AE146" s="228">
        <f>ROUND((ROUND((ROUND((ROUND((_15_同援日１．５*_15・通訳),0)*_15・２人),0)*(1+_15・盲ろう)),0)*(1+_15・区３)),0)+ROUND((ROUND((ROUND((ROUND((ROUND((_15_同援日１．５＿１．５*_15・通訳),0)*_15・２人),0)*(1+_15・B夜間)),0)*(1+_15・盲ろう)),0)*(1+_15・区３)),0)</f>
        <v>891</v>
      </c>
      <c r="AF146" s="69"/>
    </row>
    <row r="147" spans="1:32" ht="16.5" customHeight="1" x14ac:dyDescent="0.3">
      <c r="A147" s="2">
        <v>15</v>
      </c>
      <c r="B147" s="2" t="s">
        <v>4215</v>
      </c>
      <c r="C147" s="60" t="s">
        <v>14545</v>
      </c>
      <c r="D147" s="1"/>
      <c r="E147" s="68"/>
      <c r="F147" s="70"/>
      <c r="G147" s="1"/>
      <c r="H147" s="68"/>
      <c r="I147" s="70"/>
      <c r="J147" s="1"/>
      <c r="K147" s="68"/>
      <c r="L147" s="68"/>
      <c r="M147" s="68"/>
      <c r="N147" s="68"/>
      <c r="O147" s="76"/>
      <c r="P147" s="83"/>
      <c r="Q147" s="64"/>
      <c r="R147" s="65"/>
      <c r="S147" s="99"/>
      <c r="T147" s="68"/>
      <c r="U147" s="76"/>
      <c r="V147" s="70"/>
      <c r="W147" s="88"/>
      <c r="X147" s="62"/>
      <c r="Y147" s="63"/>
      <c r="Z147" s="75"/>
      <c r="AA147" s="74" t="s">
        <v>17971</v>
      </c>
      <c r="AB147" s="62"/>
      <c r="AC147" s="63"/>
      <c r="AD147" s="75"/>
      <c r="AE147" s="228">
        <f>ROUND((ROUND((_15_同援日１．５*_15・通訳),0)*(1+_15・区４)),0)+ROUND((ROUND((ROUND((_15_同援日１．５＿１．５*_15・通訳),0)*(1+_15・B夜間)),0)*(1+_15・区４)),0)</f>
        <v>831</v>
      </c>
      <c r="AF147" s="69"/>
    </row>
    <row r="148" spans="1:32" ht="16.5" customHeight="1" x14ac:dyDescent="0.3">
      <c r="A148" s="2">
        <v>15</v>
      </c>
      <c r="B148" s="2" t="s">
        <v>4216</v>
      </c>
      <c r="C148" s="60" t="s">
        <v>14544</v>
      </c>
      <c r="D148" s="1"/>
      <c r="E148" s="68"/>
      <c r="F148" s="70"/>
      <c r="G148" s="1"/>
      <c r="H148" s="68"/>
      <c r="I148" s="70"/>
      <c r="J148" s="1"/>
      <c r="K148" s="68"/>
      <c r="L148" s="68"/>
      <c r="M148" s="68"/>
      <c r="N148" s="68"/>
      <c r="O148" s="76"/>
      <c r="P148" s="83" t="s">
        <v>5895</v>
      </c>
      <c r="Q148" s="64" t="s">
        <v>1</v>
      </c>
      <c r="R148" s="65">
        <v>1</v>
      </c>
      <c r="S148" s="99"/>
      <c r="T148" s="68"/>
      <c r="U148" s="76"/>
      <c r="V148" s="70"/>
      <c r="W148" s="73"/>
      <c r="X148" s="57"/>
      <c r="Y148" s="58"/>
      <c r="Z148" s="77"/>
      <c r="AA148" s="1" t="s">
        <v>18084</v>
      </c>
      <c r="AB148" s="68"/>
      <c r="AC148" s="76"/>
      <c r="AD148" s="70"/>
      <c r="AE148" s="228">
        <f>ROUND((ROUND((ROUND((_15_同援日１．５*_15・通訳),0)*_15・２人),0)*(1+_15・区４)),0)+ROUND((ROUND((ROUND((ROUND((_15_同援日１．５＿１．５*_15・通訳),0)*_15・２人),0)*(1+_15・B夜間)),0)*(1+_15・区４)),0)</f>
        <v>831</v>
      </c>
      <c r="AF148" s="69"/>
    </row>
    <row r="149" spans="1:32" ht="16.5" customHeight="1" x14ac:dyDescent="0.3">
      <c r="A149" s="2">
        <v>15</v>
      </c>
      <c r="B149" s="2" t="s">
        <v>4217</v>
      </c>
      <c r="C149" s="60" t="s">
        <v>14543</v>
      </c>
      <c r="D149" s="1"/>
      <c r="E149" s="68"/>
      <c r="F149" s="70"/>
      <c r="G149" s="1"/>
      <c r="H149" s="68"/>
      <c r="I149" s="70"/>
      <c r="J149" s="1"/>
      <c r="K149" s="68"/>
      <c r="L149" s="68"/>
      <c r="M149" s="68"/>
      <c r="N149" s="68"/>
      <c r="O149" s="76"/>
      <c r="P149" s="83"/>
      <c r="Q149" s="64"/>
      <c r="R149" s="65"/>
      <c r="S149" s="99"/>
      <c r="T149" s="68"/>
      <c r="U149" s="76"/>
      <c r="V149" s="70"/>
      <c r="W149" s="88" t="s">
        <v>8085</v>
      </c>
      <c r="X149" s="62"/>
      <c r="Y149" s="63"/>
      <c r="Z149" s="75"/>
      <c r="AA149" s="1"/>
      <c r="AB149" s="68" t="s">
        <v>1</v>
      </c>
      <c r="AC149" s="76">
        <v>0.4</v>
      </c>
      <c r="AD149" s="70" t="s">
        <v>422</v>
      </c>
      <c r="AE149" s="228">
        <f>ROUND((ROUND((ROUND((_15_同援日１．５*_15・通訳),0)*(1+_15・盲ろう)),0)*(1+_15・区４)),0)+ROUND((ROUND((ROUND((ROUND((_15_同援日１．５＿１．５*_15・通訳),0)*(1+_15・B夜間)),0)*(1+_15・盲ろう)),0)*(1+_15・区４)),0)</f>
        <v>1039</v>
      </c>
      <c r="AF149" s="69"/>
    </row>
    <row r="150" spans="1:32" ht="16.5" customHeight="1" x14ac:dyDescent="0.3">
      <c r="A150" s="2">
        <v>15</v>
      </c>
      <c r="B150" s="2" t="s">
        <v>4218</v>
      </c>
      <c r="C150" s="60" t="s">
        <v>14542</v>
      </c>
      <c r="D150" s="81"/>
      <c r="E150" s="57"/>
      <c r="F150" s="77"/>
      <c r="G150" s="81"/>
      <c r="H150" s="57"/>
      <c r="I150" s="77"/>
      <c r="J150" s="1"/>
      <c r="K150" s="68"/>
      <c r="L150" s="68"/>
      <c r="M150" s="68"/>
      <c r="N150" s="68"/>
      <c r="O150" s="76"/>
      <c r="P150" s="83" t="s">
        <v>5895</v>
      </c>
      <c r="Q150" s="64" t="s">
        <v>1</v>
      </c>
      <c r="R150" s="65">
        <v>1</v>
      </c>
      <c r="S150" s="99"/>
      <c r="T150" s="68"/>
      <c r="U150" s="76"/>
      <c r="V150" s="70"/>
      <c r="W150" s="73" t="s">
        <v>18086</v>
      </c>
      <c r="X150" s="57" t="s">
        <v>1</v>
      </c>
      <c r="Y150" s="58">
        <v>0.25</v>
      </c>
      <c r="Z150" s="77" t="s">
        <v>422</v>
      </c>
      <c r="AA150" s="81"/>
      <c r="AB150" s="57"/>
      <c r="AC150" s="58"/>
      <c r="AD150" s="77"/>
      <c r="AE150" s="228">
        <f>ROUND((ROUND((ROUND((ROUND((_15_同援日１．５*_15・通訳),0)*_15・２人),0)*(1+_15・盲ろう)),0)*(1+_15・区４)),0)+ROUND((ROUND((ROUND((ROUND((ROUND((_15_同援日１．５＿１．５*_15・通訳),0)*_15・２人),0)*(1+_15・B夜間)),0)*(1+_15・盲ろう)),0)*(1+_15・区４)),0)</f>
        <v>1039</v>
      </c>
      <c r="AF150" s="69"/>
    </row>
    <row r="151" spans="1:32" ht="16.5" customHeight="1" x14ac:dyDescent="0.3">
      <c r="A151" s="2">
        <v>15</v>
      </c>
      <c r="B151" s="2" t="s">
        <v>4219</v>
      </c>
      <c r="C151" s="60" t="s">
        <v>14541</v>
      </c>
      <c r="D151" s="233" t="s">
        <v>18321</v>
      </c>
      <c r="E151" s="235"/>
      <c r="F151" s="75"/>
      <c r="G151" s="233" t="s">
        <v>6043</v>
      </c>
      <c r="H151" s="235"/>
      <c r="I151" s="75"/>
      <c r="J151" s="1"/>
      <c r="K151" s="68"/>
      <c r="L151" s="68"/>
      <c r="M151" s="68"/>
      <c r="N151" s="68"/>
      <c r="O151" s="76"/>
      <c r="P151" s="83"/>
      <c r="Q151" s="64"/>
      <c r="R151" s="65"/>
      <c r="S151" s="99"/>
      <c r="T151" s="68"/>
      <c r="U151" s="76"/>
      <c r="V151" s="70"/>
      <c r="W151" s="88"/>
      <c r="X151" s="62"/>
      <c r="Y151" s="63"/>
      <c r="Z151" s="75"/>
      <c r="AA151" s="74"/>
      <c r="AB151" s="62"/>
      <c r="AC151" s="63"/>
      <c r="AD151" s="75"/>
      <c r="AE151" s="228">
        <f>ROUND((_15_同援日２．０*_15・通訳),0)+ROUND((ROUND((_15_同援日２．０＿０．５*_15・通訳),0)*(1+_15・B夜間)),0)</f>
        <v>508</v>
      </c>
      <c r="AF151" s="69"/>
    </row>
    <row r="152" spans="1:32" ht="16.5" customHeight="1" x14ac:dyDescent="0.3">
      <c r="A152" s="2">
        <v>15</v>
      </c>
      <c r="B152" s="2" t="s">
        <v>4220</v>
      </c>
      <c r="C152" s="60" t="s">
        <v>14540</v>
      </c>
      <c r="D152" s="1" t="s">
        <v>5983</v>
      </c>
      <c r="E152" s="68"/>
      <c r="F152" s="70"/>
      <c r="G152" s="1" t="s">
        <v>7928</v>
      </c>
      <c r="H152" s="68"/>
      <c r="I152" s="70"/>
      <c r="J152" s="1"/>
      <c r="K152" s="68"/>
      <c r="L152" s="68"/>
      <c r="M152" s="68"/>
      <c r="N152" s="68"/>
      <c r="O152" s="76"/>
      <c r="P152" s="83" t="s">
        <v>5895</v>
      </c>
      <c r="Q152" s="64" t="s">
        <v>1</v>
      </c>
      <c r="R152" s="65">
        <v>1</v>
      </c>
      <c r="S152" s="99"/>
      <c r="T152" s="68"/>
      <c r="U152" s="76"/>
      <c r="V152" s="70"/>
      <c r="W152" s="73"/>
      <c r="X152" s="57"/>
      <c r="Y152" s="58"/>
      <c r="Z152" s="77"/>
      <c r="AA152" s="1"/>
      <c r="AB152" s="68"/>
      <c r="AC152" s="76"/>
      <c r="AD152" s="70"/>
      <c r="AE152" s="228">
        <f>ROUND((ROUND((_15_同援日２．０*_15・通訳),0)*_15・２人),0)+ROUND((ROUND((ROUND((_15_同援日２．０＿０．５*_15・通訳),0)*_15・２人),0)*(1+_15・B夜間)),0)</f>
        <v>508</v>
      </c>
      <c r="AF152" s="69"/>
    </row>
    <row r="153" spans="1:32" ht="16.5" customHeight="1" x14ac:dyDescent="0.3">
      <c r="A153" s="2">
        <v>15</v>
      </c>
      <c r="B153" s="2" t="s">
        <v>4221</v>
      </c>
      <c r="C153" s="60" t="s">
        <v>14539</v>
      </c>
      <c r="D153" s="1" t="s">
        <v>6448</v>
      </c>
      <c r="E153" s="68"/>
      <c r="F153" s="70"/>
      <c r="G153" s="1"/>
      <c r="H153" s="68"/>
      <c r="I153" s="70"/>
      <c r="J153" s="1"/>
      <c r="K153" s="68"/>
      <c r="L153" s="68"/>
      <c r="M153" s="68"/>
      <c r="N153" s="68"/>
      <c r="O153" s="76"/>
      <c r="P153" s="83"/>
      <c r="Q153" s="64"/>
      <c r="R153" s="65"/>
      <c r="S153" s="99"/>
      <c r="T153" s="68"/>
      <c r="U153" s="76"/>
      <c r="V153" s="70"/>
      <c r="W153" s="88" t="s">
        <v>8085</v>
      </c>
      <c r="X153" s="62"/>
      <c r="Y153" s="63"/>
      <c r="Z153" s="75"/>
      <c r="AA153" s="1"/>
      <c r="AB153" s="68"/>
      <c r="AC153" s="76"/>
      <c r="AD153" s="70"/>
      <c r="AE153" s="228">
        <f>ROUND((ROUND((_15_同援日２．０*_15・通訳),0)*(1+_15・盲ろう)),0)+ROUND((ROUND((ROUND((_15_同援日２．０＿０．５*_15・通訳),0)*(1+_15・B夜間)),0)*(1+_15・盲ろう)),0)</f>
        <v>635</v>
      </c>
      <c r="AF153" s="69"/>
    </row>
    <row r="154" spans="1:32" ht="16.5" customHeight="1" x14ac:dyDescent="0.3">
      <c r="A154" s="2">
        <v>15</v>
      </c>
      <c r="B154" s="2" t="s">
        <v>4222</v>
      </c>
      <c r="C154" s="60" t="s">
        <v>14538</v>
      </c>
      <c r="D154" s="1"/>
      <c r="E154" s="227">
        <v>485</v>
      </c>
      <c r="F154" s="70" t="s">
        <v>0</v>
      </c>
      <c r="G154" s="1"/>
      <c r="H154" s="119">
        <v>63</v>
      </c>
      <c r="I154" s="70" t="s">
        <v>0</v>
      </c>
      <c r="J154" s="1"/>
      <c r="K154" s="68"/>
      <c r="L154" s="68"/>
      <c r="M154" s="68"/>
      <c r="N154" s="68"/>
      <c r="O154" s="76"/>
      <c r="P154" s="83" t="s">
        <v>5895</v>
      </c>
      <c r="Q154" s="64" t="s">
        <v>1</v>
      </c>
      <c r="R154" s="65">
        <v>1</v>
      </c>
      <c r="S154" s="99"/>
      <c r="T154" s="68"/>
      <c r="U154" s="76"/>
      <c r="V154" s="70"/>
      <c r="W154" s="73" t="s">
        <v>8083</v>
      </c>
      <c r="X154" s="57" t="s">
        <v>1</v>
      </c>
      <c r="Y154" s="58">
        <v>0.25</v>
      </c>
      <c r="Z154" s="77" t="s">
        <v>422</v>
      </c>
      <c r="AA154" s="81"/>
      <c r="AB154" s="57"/>
      <c r="AC154" s="58"/>
      <c r="AD154" s="77"/>
      <c r="AE154" s="228">
        <f>ROUND((ROUND((ROUND((_15_同援日２．０*_15・通訳),0)*_15・２人),0)*(1+_15・盲ろう)),0)+ROUND((ROUND((ROUND((ROUND((_15_同援日２．０＿０．５*_15・通訳),0)*_15・２人),0)*(1+_15・B夜間)),0)*(1+_15・盲ろう)),0)</f>
        <v>635</v>
      </c>
      <c r="AF154" s="69"/>
    </row>
    <row r="155" spans="1:32" ht="16.5" customHeight="1" x14ac:dyDescent="0.3">
      <c r="A155" s="2">
        <v>15</v>
      </c>
      <c r="B155" s="2" t="s">
        <v>4223</v>
      </c>
      <c r="C155" s="60" t="s">
        <v>14537</v>
      </c>
      <c r="D155" s="1"/>
      <c r="E155" s="68"/>
      <c r="F155" s="70"/>
      <c r="G155" s="1"/>
      <c r="H155" s="68"/>
      <c r="I155" s="70"/>
      <c r="J155" s="1"/>
      <c r="K155" s="68"/>
      <c r="L155" s="68"/>
      <c r="M155" s="68"/>
      <c r="N155" s="68"/>
      <c r="O155" s="76"/>
      <c r="P155" s="83"/>
      <c r="Q155" s="64"/>
      <c r="R155" s="65"/>
      <c r="S155" s="99"/>
      <c r="T155" s="68"/>
      <c r="U155" s="76"/>
      <c r="V155" s="70"/>
      <c r="W155" s="88"/>
      <c r="X155" s="62"/>
      <c r="Y155" s="63"/>
      <c r="Z155" s="75"/>
      <c r="AA155" s="74" t="s">
        <v>18089</v>
      </c>
      <c r="AB155" s="62"/>
      <c r="AC155" s="63"/>
      <c r="AD155" s="75"/>
      <c r="AE155" s="228">
        <f>ROUND((ROUND((_15_同援日２．０*_15・通訳),0)*(1+_15・区３)),0)+ROUND((ROUND((ROUND((_15_同援日２．０＿０．５*_15・通訳),0)*(1+_15・B夜間)),0)*(1+_15・区３)),0)</f>
        <v>609</v>
      </c>
      <c r="AF155" s="69"/>
    </row>
    <row r="156" spans="1:32" ht="16.5" customHeight="1" x14ac:dyDescent="0.3">
      <c r="A156" s="2">
        <v>15</v>
      </c>
      <c r="B156" s="2" t="s">
        <v>4224</v>
      </c>
      <c r="C156" s="60" t="s">
        <v>14536</v>
      </c>
      <c r="D156" s="1"/>
      <c r="E156" s="68"/>
      <c r="F156" s="70"/>
      <c r="G156" s="1"/>
      <c r="H156" s="68"/>
      <c r="I156" s="70"/>
      <c r="J156" s="1"/>
      <c r="K156" s="68"/>
      <c r="L156" s="68"/>
      <c r="M156" s="68"/>
      <c r="N156" s="68"/>
      <c r="O156" s="76"/>
      <c r="P156" s="83" t="s">
        <v>5895</v>
      </c>
      <c r="Q156" s="64" t="s">
        <v>1</v>
      </c>
      <c r="R156" s="65">
        <v>1</v>
      </c>
      <c r="S156" s="99"/>
      <c r="T156" s="68"/>
      <c r="U156" s="76"/>
      <c r="V156" s="70"/>
      <c r="W156" s="73"/>
      <c r="X156" s="57"/>
      <c r="Y156" s="58"/>
      <c r="Z156" s="77"/>
      <c r="AA156" s="1" t="s">
        <v>18084</v>
      </c>
      <c r="AB156" s="68"/>
      <c r="AC156" s="76"/>
      <c r="AD156" s="70"/>
      <c r="AE156" s="228">
        <f>ROUND((ROUND((ROUND((_15_同援日２．０*_15・通訳),0)*_15・２人),0)*(1+_15・区３)),0)+ROUND((ROUND((ROUND((ROUND((_15_同援日２．０＿０．５*_15・通訳),0)*_15・２人),0)*(1+_15・B夜間)),0)*(1+_15・区３)),0)</f>
        <v>609</v>
      </c>
      <c r="AF156" s="69"/>
    </row>
    <row r="157" spans="1:32" ht="16.5" customHeight="1" x14ac:dyDescent="0.3">
      <c r="A157" s="2">
        <v>15</v>
      </c>
      <c r="B157" s="2" t="s">
        <v>4225</v>
      </c>
      <c r="C157" s="60" t="s">
        <v>14535</v>
      </c>
      <c r="D157" s="1"/>
      <c r="E157" s="68"/>
      <c r="F157" s="70"/>
      <c r="G157" s="1"/>
      <c r="H157" s="68"/>
      <c r="I157" s="70"/>
      <c r="J157" s="1"/>
      <c r="K157" s="68"/>
      <c r="L157" s="68"/>
      <c r="M157" s="68"/>
      <c r="N157" s="68"/>
      <c r="O157" s="76"/>
      <c r="P157" s="83"/>
      <c r="Q157" s="64"/>
      <c r="R157" s="65"/>
      <c r="S157" s="99"/>
      <c r="T157" s="68"/>
      <c r="U157" s="76"/>
      <c r="V157" s="70"/>
      <c r="W157" s="88" t="s">
        <v>8085</v>
      </c>
      <c r="X157" s="62"/>
      <c r="Y157" s="63"/>
      <c r="Z157" s="75"/>
      <c r="AA157" s="1"/>
      <c r="AB157" s="68" t="s">
        <v>1</v>
      </c>
      <c r="AC157" s="76">
        <v>0.2</v>
      </c>
      <c r="AD157" s="70" t="s">
        <v>422</v>
      </c>
      <c r="AE157" s="228">
        <f>ROUND((ROUND((ROUND((_15_同援日２．０*_15・通訳),0)*(1+_15・盲ろう)),0)*(1+_15・区３)),0)+ROUND((ROUND((ROUND((ROUND((_15_同援日２．０＿０．５*_15・通訳),0)*(1+_15・B夜間)),0)*(1+_15・盲ろう)),0)*(1+_15・区３)),0)</f>
        <v>762</v>
      </c>
      <c r="AF157" s="69"/>
    </row>
    <row r="158" spans="1:32" ht="16.5" customHeight="1" x14ac:dyDescent="0.3">
      <c r="A158" s="2">
        <v>15</v>
      </c>
      <c r="B158" s="2" t="s">
        <v>4226</v>
      </c>
      <c r="C158" s="60" t="s">
        <v>14534</v>
      </c>
      <c r="D158" s="1"/>
      <c r="E158" s="68"/>
      <c r="F158" s="70"/>
      <c r="G158" s="1"/>
      <c r="H158" s="68"/>
      <c r="I158" s="70"/>
      <c r="J158" s="1"/>
      <c r="K158" s="68"/>
      <c r="L158" s="68"/>
      <c r="M158" s="68"/>
      <c r="N158" s="68"/>
      <c r="O158" s="76"/>
      <c r="P158" s="83" t="s">
        <v>5895</v>
      </c>
      <c r="Q158" s="64" t="s">
        <v>1</v>
      </c>
      <c r="R158" s="65">
        <v>1</v>
      </c>
      <c r="S158" s="99"/>
      <c r="T158" s="68"/>
      <c r="U158" s="76"/>
      <c r="V158" s="70"/>
      <c r="W158" s="73" t="s">
        <v>18086</v>
      </c>
      <c r="X158" s="57" t="s">
        <v>1</v>
      </c>
      <c r="Y158" s="58">
        <v>0.25</v>
      </c>
      <c r="Z158" s="77" t="s">
        <v>422</v>
      </c>
      <c r="AA158" s="81"/>
      <c r="AB158" s="57"/>
      <c r="AC158" s="58"/>
      <c r="AD158" s="77"/>
      <c r="AE158" s="228">
        <f>ROUND((ROUND((ROUND((ROUND((_15_同援日２．０*_15・通訳),0)*_15・２人),0)*(1+_15・盲ろう)),0)*(1+_15・区３)),0)+ROUND((ROUND((ROUND((ROUND((ROUND((_15_同援日２．０＿０．５*_15・通訳),0)*_15・２人),0)*(1+_15・B夜間)),0)*(1+_15・盲ろう)),0)*(1+_15・区３)),0)</f>
        <v>762</v>
      </c>
      <c r="AF158" s="69"/>
    </row>
    <row r="159" spans="1:32" ht="16.5" customHeight="1" x14ac:dyDescent="0.3">
      <c r="A159" s="2">
        <v>15</v>
      </c>
      <c r="B159" s="2" t="s">
        <v>4227</v>
      </c>
      <c r="C159" s="60" t="s">
        <v>14533</v>
      </c>
      <c r="D159" s="1"/>
      <c r="E159" s="68"/>
      <c r="F159" s="70"/>
      <c r="G159" s="1"/>
      <c r="H159" s="68"/>
      <c r="I159" s="70"/>
      <c r="J159" s="1"/>
      <c r="K159" s="68"/>
      <c r="L159" s="68"/>
      <c r="M159" s="68"/>
      <c r="N159" s="68"/>
      <c r="O159" s="76"/>
      <c r="P159" s="83"/>
      <c r="Q159" s="64"/>
      <c r="R159" s="65"/>
      <c r="S159" s="99"/>
      <c r="T159" s="68"/>
      <c r="U159" s="76"/>
      <c r="V159" s="70"/>
      <c r="W159" s="88"/>
      <c r="X159" s="62"/>
      <c r="Y159" s="63"/>
      <c r="Z159" s="75"/>
      <c r="AA159" s="74" t="s">
        <v>18094</v>
      </c>
      <c r="AB159" s="62"/>
      <c r="AC159" s="63"/>
      <c r="AD159" s="75"/>
      <c r="AE159" s="228">
        <f>ROUND((ROUND((_15_同援日２．０*_15・通訳),0)*(1+_15・区４)),0)+ROUND((ROUND((ROUND((_15_同援日２．０＿０．５*_15・通訳),0)*(1+_15・B夜間)),0)*(1+_15・区４)),0)</f>
        <v>711</v>
      </c>
      <c r="AF159" s="69"/>
    </row>
    <row r="160" spans="1:32" ht="16.5" customHeight="1" x14ac:dyDescent="0.3">
      <c r="A160" s="2">
        <v>15</v>
      </c>
      <c r="B160" s="2" t="s">
        <v>4228</v>
      </c>
      <c r="C160" s="60" t="s">
        <v>14532</v>
      </c>
      <c r="D160" s="1"/>
      <c r="E160" s="68"/>
      <c r="F160" s="70"/>
      <c r="G160" s="1"/>
      <c r="H160" s="68"/>
      <c r="I160" s="70"/>
      <c r="J160" s="1"/>
      <c r="K160" s="68"/>
      <c r="L160" s="68"/>
      <c r="M160" s="68"/>
      <c r="N160" s="68"/>
      <c r="O160" s="76"/>
      <c r="P160" s="83" t="s">
        <v>5895</v>
      </c>
      <c r="Q160" s="64" t="s">
        <v>1</v>
      </c>
      <c r="R160" s="65">
        <v>1</v>
      </c>
      <c r="S160" s="99"/>
      <c r="T160" s="68"/>
      <c r="U160" s="76"/>
      <c r="V160" s="70"/>
      <c r="W160" s="73"/>
      <c r="X160" s="57"/>
      <c r="Y160" s="58"/>
      <c r="Z160" s="77"/>
      <c r="AA160" s="1" t="s">
        <v>18084</v>
      </c>
      <c r="AB160" s="68"/>
      <c r="AC160" s="76"/>
      <c r="AD160" s="70"/>
      <c r="AE160" s="228">
        <f>ROUND((ROUND((ROUND((_15_同援日２．０*_15・通訳),0)*_15・２人),0)*(1+_15・区４)),0)+ROUND((ROUND((ROUND((ROUND((_15_同援日２．０＿０．５*_15・通訳),0)*_15・２人),0)*(1+_15・B夜間)),0)*(1+_15・区４)),0)</f>
        <v>711</v>
      </c>
      <c r="AF160" s="69"/>
    </row>
    <row r="161" spans="1:32" ht="16.5" customHeight="1" x14ac:dyDescent="0.3">
      <c r="A161" s="2">
        <v>15</v>
      </c>
      <c r="B161" s="2" t="s">
        <v>4229</v>
      </c>
      <c r="C161" s="60" t="s">
        <v>14531</v>
      </c>
      <c r="D161" s="1"/>
      <c r="E161" s="68"/>
      <c r="F161" s="70"/>
      <c r="G161" s="1"/>
      <c r="H161" s="68"/>
      <c r="I161" s="70"/>
      <c r="J161" s="1"/>
      <c r="K161" s="68"/>
      <c r="L161" s="68"/>
      <c r="M161" s="68"/>
      <c r="N161" s="68"/>
      <c r="O161" s="76"/>
      <c r="P161" s="83"/>
      <c r="Q161" s="64"/>
      <c r="R161" s="65"/>
      <c r="S161" s="99"/>
      <c r="T161" s="68"/>
      <c r="U161" s="76"/>
      <c r="V161" s="70"/>
      <c r="W161" s="88" t="s">
        <v>18087</v>
      </c>
      <c r="X161" s="62"/>
      <c r="Y161" s="63"/>
      <c r="Z161" s="75"/>
      <c r="AA161" s="1"/>
      <c r="AB161" s="68" t="s">
        <v>1</v>
      </c>
      <c r="AC161" s="76">
        <v>0.4</v>
      </c>
      <c r="AD161" s="70" t="s">
        <v>422</v>
      </c>
      <c r="AE161" s="228">
        <f>ROUND((ROUND((ROUND((_15_同援日２．０*_15・通訳),0)*(1+_15・盲ろう)),0)*(1+_15・区４)),0)+ROUND((ROUND((ROUND((ROUND((_15_同援日２．０＿０．５*_15・通訳),0)*(1+_15・B夜間)),0)*(1+_15・盲ろう)),0)*(1+_15・区４)),0)</f>
        <v>889</v>
      </c>
      <c r="AF161" s="69"/>
    </row>
    <row r="162" spans="1:32" ht="16.5" customHeight="1" x14ac:dyDescent="0.3">
      <c r="A162" s="2">
        <v>15</v>
      </c>
      <c r="B162" s="2" t="s">
        <v>4230</v>
      </c>
      <c r="C162" s="60" t="s">
        <v>14530</v>
      </c>
      <c r="D162" s="1"/>
      <c r="E162" s="68"/>
      <c r="F162" s="70"/>
      <c r="G162" s="81"/>
      <c r="H162" s="57"/>
      <c r="I162" s="77"/>
      <c r="J162" s="1"/>
      <c r="K162" s="68"/>
      <c r="L162" s="68"/>
      <c r="M162" s="68"/>
      <c r="N162" s="68"/>
      <c r="O162" s="76"/>
      <c r="P162" s="83" t="s">
        <v>5895</v>
      </c>
      <c r="Q162" s="64" t="s">
        <v>1</v>
      </c>
      <c r="R162" s="65">
        <v>1</v>
      </c>
      <c r="S162" s="99"/>
      <c r="T162" s="68"/>
      <c r="U162" s="76"/>
      <c r="V162" s="70"/>
      <c r="W162" s="73" t="s">
        <v>18086</v>
      </c>
      <c r="X162" s="57" t="s">
        <v>1</v>
      </c>
      <c r="Y162" s="58">
        <v>0.25</v>
      </c>
      <c r="Z162" s="77" t="s">
        <v>422</v>
      </c>
      <c r="AA162" s="81"/>
      <c r="AB162" s="57"/>
      <c r="AC162" s="58"/>
      <c r="AD162" s="77"/>
      <c r="AE162" s="228">
        <f>ROUND((ROUND((ROUND((ROUND((_15_同援日２．０*_15・通訳),0)*_15・２人),0)*(1+_15・盲ろう)),0)*(1+_15・区４)),0)+ROUND((ROUND((ROUND((ROUND((ROUND((_15_同援日２．０＿０．５*_15・通訳),0)*_15・２人),0)*(1+_15・B夜間)),0)*(1+_15・盲ろう)),0)*(1+_15・区４)),0)</f>
        <v>889</v>
      </c>
      <c r="AF162" s="69"/>
    </row>
    <row r="163" spans="1:32" ht="16.5" customHeight="1" x14ac:dyDescent="0.3">
      <c r="A163" s="2">
        <v>15</v>
      </c>
      <c r="B163" s="2" t="s">
        <v>4231</v>
      </c>
      <c r="C163" s="60" t="s">
        <v>14529</v>
      </c>
      <c r="D163" s="1"/>
      <c r="E163" s="68"/>
      <c r="F163" s="70"/>
      <c r="G163" s="233" t="s">
        <v>17704</v>
      </c>
      <c r="H163" s="235"/>
      <c r="I163" s="75"/>
      <c r="J163" s="1"/>
      <c r="K163" s="68"/>
      <c r="L163" s="68"/>
      <c r="M163" s="68"/>
      <c r="N163" s="68"/>
      <c r="O163" s="76"/>
      <c r="P163" s="83"/>
      <c r="Q163" s="64"/>
      <c r="R163" s="65"/>
      <c r="S163" s="99"/>
      <c r="T163" s="68"/>
      <c r="U163" s="76"/>
      <c r="V163" s="70"/>
      <c r="W163" s="88"/>
      <c r="X163" s="62"/>
      <c r="Y163" s="63"/>
      <c r="Z163" s="75"/>
      <c r="AA163" s="74"/>
      <c r="AB163" s="62"/>
      <c r="AC163" s="63"/>
      <c r="AD163" s="75"/>
      <c r="AE163" s="228">
        <f>ROUND((_15_同援日２．０*_15・通訳),0)+ROUND((ROUND((_15_同援日２．０＿１．０*_15・通訳),0)*(1+_15・B夜間)),0)</f>
        <v>578</v>
      </c>
      <c r="AF163" s="69"/>
    </row>
    <row r="164" spans="1:32" ht="16.5" customHeight="1" x14ac:dyDescent="0.3">
      <c r="A164" s="2">
        <v>15</v>
      </c>
      <c r="B164" s="2" t="s">
        <v>4232</v>
      </c>
      <c r="C164" s="60" t="s">
        <v>14528</v>
      </c>
      <c r="D164" s="1"/>
      <c r="E164" s="68"/>
      <c r="F164" s="70"/>
      <c r="G164" s="1" t="s">
        <v>17067</v>
      </c>
      <c r="H164" s="68"/>
      <c r="I164" s="70"/>
      <c r="J164" s="1"/>
      <c r="K164" s="68"/>
      <c r="L164" s="68"/>
      <c r="M164" s="68"/>
      <c r="N164" s="68"/>
      <c r="O164" s="76"/>
      <c r="P164" s="83" t="s">
        <v>5895</v>
      </c>
      <c r="Q164" s="64" t="s">
        <v>1</v>
      </c>
      <c r="R164" s="65">
        <v>1</v>
      </c>
      <c r="S164" s="99"/>
      <c r="T164" s="68"/>
      <c r="U164" s="76"/>
      <c r="V164" s="70"/>
      <c r="W164" s="73"/>
      <c r="X164" s="57"/>
      <c r="Y164" s="58"/>
      <c r="Z164" s="77"/>
      <c r="AA164" s="1"/>
      <c r="AB164" s="68"/>
      <c r="AC164" s="76"/>
      <c r="AD164" s="70"/>
      <c r="AE164" s="228">
        <f>ROUND((ROUND((_15_同援日２．０*_15・通訳),0)*_15・２人),0)+ROUND((ROUND((ROUND((_15_同援日２．０＿１．０*_15・通訳),0)*_15・２人),0)*(1+_15・B夜間)),0)</f>
        <v>578</v>
      </c>
      <c r="AF164" s="69"/>
    </row>
    <row r="165" spans="1:32" ht="16.5" customHeight="1" x14ac:dyDescent="0.3">
      <c r="A165" s="2">
        <v>15</v>
      </c>
      <c r="B165" s="2" t="s">
        <v>4233</v>
      </c>
      <c r="C165" s="60" t="s">
        <v>14527</v>
      </c>
      <c r="D165" s="1"/>
      <c r="E165" s="68"/>
      <c r="F165" s="70"/>
      <c r="G165" s="1" t="s">
        <v>8572</v>
      </c>
      <c r="H165" s="68"/>
      <c r="I165" s="70"/>
      <c r="J165" s="1"/>
      <c r="K165" s="68"/>
      <c r="L165" s="68"/>
      <c r="M165" s="68"/>
      <c r="N165" s="68"/>
      <c r="O165" s="76"/>
      <c r="P165" s="83"/>
      <c r="Q165" s="64"/>
      <c r="R165" s="65"/>
      <c r="S165" s="99"/>
      <c r="T165" s="68"/>
      <c r="U165" s="76"/>
      <c r="V165" s="70"/>
      <c r="W165" s="88" t="s">
        <v>18087</v>
      </c>
      <c r="X165" s="62"/>
      <c r="Y165" s="63"/>
      <c r="Z165" s="75"/>
      <c r="AA165" s="1"/>
      <c r="AB165" s="68"/>
      <c r="AC165" s="76"/>
      <c r="AD165" s="70"/>
      <c r="AE165" s="228">
        <f>ROUND((ROUND((_15_同援日２．０*_15・通訳),0)*(1+_15・盲ろう)),0)+ROUND((ROUND((ROUND((_15_同援日２．０＿１．０*_15・通訳),0)*(1+_15・B夜間)),0)*(1+_15・盲ろう)),0)</f>
        <v>722</v>
      </c>
      <c r="AF165" s="69"/>
    </row>
    <row r="166" spans="1:32" ht="16.5" customHeight="1" x14ac:dyDescent="0.3">
      <c r="A166" s="2">
        <v>15</v>
      </c>
      <c r="B166" s="2" t="s">
        <v>4234</v>
      </c>
      <c r="C166" s="60" t="s">
        <v>14526</v>
      </c>
      <c r="D166" s="1"/>
      <c r="E166" s="68"/>
      <c r="F166" s="70"/>
      <c r="G166" s="1"/>
      <c r="H166" s="119">
        <v>126</v>
      </c>
      <c r="I166" s="70" t="s">
        <v>0</v>
      </c>
      <c r="J166" s="1"/>
      <c r="K166" s="68"/>
      <c r="L166" s="68"/>
      <c r="M166" s="68"/>
      <c r="N166" s="68"/>
      <c r="O166" s="76"/>
      <c r="P166" s="83" t="s">
        <v>5895</v>
      </c>
      <c r="Q166" s="64" t="s">
        <v>1</v>
      </c>
      <c r="R166" s="65">
        <v>1</v>
      </c>
      <c r="S166" s="99"/>
      <c r="T166" s="68"/>
      <c r="U166" s="76"/>
      <c r="V166" s="70"/>
      <c r="W166" s="73" t="s">
        <v>18086</v>
      </c>
      <c r="X166" s="57" t="s">
        <v>1</v>
      </c>
      <c r="Y166" s="58">
        <v>0.25</v>
      </c>
      <c r="Z166" s="77" t="s">
        <v>422</v>
      </c>
      <c r="AA166" s="81"/>
      <c r="AB166" s="57"/>
      <c r="AC166" s="58"/>
      <c r="AD166" s="77"/>
      <c r="AE166" s="228">
        <f>ROUND((ROUND((ROUND((_15_同援日２．０*_15・通訳),0)*_15・２人),0)*(1+_15・盲ろう)),0)+ROUND((ROUND((ROUND((ROUND((_15_同援日２．０＿１．０*_15・通訳),0)*_15・２人),0)*(1+_15・B夜間)),0)*(1+_15・盲ろう)),0)</f>
        <v>722</v>
      </c>
      <c r="AF166" s="69"/>
    </row>
    <row r="167" spans="1:32" ht="16.5" customHeight="1" x14ac:dyDescent="0.3">
      <c r="A167" s="2">
        <v>15</v>
      </c>
      <c r="B167" s="2" t="s">
        <v>4235</v>
      </c>
      <c r="C167" s="60" t="s">
        <v>14525</v>
      </c>
      <c r="D167" s="1"/>
      <c r="E167" s="68"/>
      <c r="F167" s="70"/>
      <c r="G167" s="1"/>
      <c r="H167" s="68"/>
      <c r="I167" s="70"/>
      <c r="J167" s="1"/>
      <c r="K167" s="68"/>
      <c r="L167" s="68"/>
      <c r="M167" s="68"/>
      <c r="N167" s="68"/>
      <c r="O167" s="76"/>
      <c r="P167" s="83"/>
      <c r="Q167" s="64"/>
      <c r="R167" s="65"/>
      <c r="S167" s="99"/>
      <c r="T167" s="68"/>
      <c r="U167" s="76"/>
      <c r="V167" s="70"/>
      <c r="W167" s="88"/>
      <c r="X167" s="62"/>
      <c r="Y167" s="63"/>
      <c r="Z167" s="75"/>
      <c r="AA167" s="74" t="s">
        <v>18089</v>
      </c>
      <c r="AB167" s="62"/>
      <c r="AC167" s="63"/>
      <c r="AD167" s="75"/>
      <c r="AE167" s="228">
        <f>ROUND((ROUND((_15_同援日２．０*_15・通訳),0)*(1+_15・区３)),0)+ROUND((ROUND((ROUND((_15_同援日２．０＿１．０*_15・通訳),0)*(1+_15・B夜間)),0)*(1+_15・区３)),0)</f>
        <v>693</v>
      </c>
      <c r="AF167" s="69"/>
    </row>
    <row r="168" spans="1:32" ht="16.5" customHeight="1" x14ac:dyDescent="0.3">
      <c r="A168" s="2">
        <v>15</v>
      </c>
      <c r="B168" s="2" t="s">
        <v>4236</v>
      </c>
      <c r="C168" s="60" t="s">
        <v>14524</v>
      </c>
      <c r="D168" s="1"/>
      <c r="E168" s="68"/>
      <c r="F168" s="70"/>
      <c r="G168" s="1"/>
      <c r="H168" s="68"/>
      <c r="I168" s="70"/>
      <c r="J168" s="1"/>
      <c r="K168" s="68"/>
      <c r="L168" s="68"/>
      <c r="M168" s="68"/>
      <c r="N168" s="68"/>
      <c r="O168" s="76"/>
      <c r="P168" s="83" t="s">
        <v>5895</v>
      </c>
      <c r="Q168" s="64" t="s">
        <v>1</v>
      </c>
      <c r="R168" s="65">
        <v>1</v>
      </c>
      <c r="S168" s="99"/>
      <c r="T168" s="68"/>
      <c r="U168" s="76"/>
      <c r="V168" s="70"/>
      <c r="W168" s="73"/>
      <c r="X168" s="57"/>
      <c r="Y168" s="58"/>
      <c r="Z168" s="77"/>
      <c r="AA168" s="1" t="s">
        <v>18084</v>
      </c>
      <c r="AB168" s="68"/>
      <c r="AC168" s="76"/>
      <c r="AD168" s="70"/>
      <c r="AE168" s="228">
        <f>ROUND((ROUND((ROUND((_15_同援日２．０*_15・通訳),0)*_15・２人),0)*(1+_15・区３)),0)+ROUND((ROUND((ROUND((ROUND((_15_同援日２．０＿１．０*_15・通訳),0)*_15・２人),0)*(1+_15・B夜間)),0)*(1+_15・区３)),0)</f>
        <v>693</v>
      </c>
      <c r="AF168" s="69"/>
    </row>
    <row r="169" spans="1:32" ht="16.5" customHeight="1" x14ac:dyDescent="0.3">
      <c r="A169" s="2">
        <v>15</v>
      </c>
      <c r="B169" s="2" t="s">
        <v>4237</v>
      </c>
      <c r="C169" s="60" t="s">
        <v>14523</v>
      </c>
      <c r="D169" s="1"/>
      <c r="E169" s="68"/>
      <c r="F169" s="70"/>
      <c r="G169" s="1"/>
      <c r="H169" s="68"/>
      <c r="I169" s="70"/>
      <c r="J169" s="1"/>
      <c r="K169" s="68"/>
      <c r="L169" s="68"/>
      <c r="M169" s="68"/>
      <c r="N169" s="68"/>
      <c r="O169" s="76"/>
      <c r="P169" s="83"/>
      <c r="Q169" s="64"/>
      <c r="R169" s="65"/>
      <c r="S169" s="99"/>
      <c r="T169" s="68"/>
      <c r="U169" s="76"/>
      <c r="V169" s="70"/>
      <c r="W169" s="88" t="s">
        <v>18087</v>
      </c>
      <c r="X169" s="62"/>
      <c r="Y169" s="63"/>
      <c r="Z169" s="75"/>
      <c r="AA169" s="1"/>
      <c r="AB169" s="68" t="s">
        <v>1</v>
      </c>
      <c r="AC169" s="76">
        <v>0.2</v>
      </c>
      <c r="AD169" s="70" t="s">
        <v>422</v>
      </c>
      <c r="AE169" s="228">
        <f>ROUND((ROUND((ROUND((_15_同援日２．０*_15・通訳),0)*(1+_15・盲ろう)),0)*(1+_15・区３)),0)+ROUND((ROUND((ROUND((ROUND((_15_同援日２．０＿１．０*_15・通訳),0)*(1+_15・B夜間)),0)*(1+_15・盲ろう)),0)*(1+_15・区３)),0)</f>
        <v>866</v>
      </c>
      <c r="AF169" s="69"/>
    </row>
    <row r="170" spans="1:32" ht="16.5" customHeight="1" x14ac:dyDescent="0.3">
      <c r="A170" s="2">
        <v>15</v>
      </c>
      <c r="B170" s="2" t="s">
        <v>4238</v>
      </c>
      <c r="C170" s="60" t="s">
        <v>14522</v>
      </c>
      <c r="D170" s="1"/>
      <c r="E170" s="68"/>
      <c r="F170" s="70"/>
      <c r="G170" s="1"/>
      <c r="H170" s="68"/>
      <c r="I170" s="70"/>
      <c r="J170" s="1"/>
      <c r="K170" s="68"/>
      <c r="L170" s="68"/>
      <c r="M170" s="68"/>
      <c r="N170" s="68"/>
      <c r="O170" s="76"/>
      <c r="P170" s="83" t="s">
        <v>5895</v>
      </c>
      <c r="Q170" s="64" t="s">
        <v>1</v>
      </c>
      <c r="R170" s="65">
        <v>1</v>
      </c>
      <c r="S170" s="99"/>
      <c r="T170" s="68"/>
      <c r="U170" s="76"/>
      <c r="V170" s="70"/>
      <c r="W170" s="73" t="s">
        <v>18086</v>
      </c>
      <c r="X170" s="57" t="s">
        <v>1</v>
      </c>
      <c r="Y170" s="58">
        <v>0.25</v>
      </c>
      <c r="Z170" s="77" t="s">
        <v>422</v>
      </c>
      <c r="AA170" s="81"/>
      <c r="AB170" s="57"/>
      <c r="AC170" s="58"/>
      <c r="AD170" s="77"/>
      <c r="AE170" s="228">
        <f>ROUND((ROUND((ROUND((ROUND((_15_同援日２．０*_15・通訳),0)*_15・２人),0)*(1+_15・盲ろう)),0)*(1+_15・区３)),0)+ROUND((ROUND((ROUND((ROUND((ROUND((_15_同援日２．０＿１．０*_15・通訳),0)*_15・２人),0)*(1+_15・B夜間)),0)*(1+_15・盲ろう)),0)*(1+_15・区３)),0)</f>
        <v>866</v>
      </c>
      <c r="AF170" s="69"/>
    </row>
    <row r="171" spans="1:32" ht="16.5" customHeight="1" x14ac:dyDescent="0.3">
      <c r="A171" s="2">
        <v>15</v>
      </c>
      <c r="B171" s="2" t="s">
        <v>4239</v>
      </c>
      <c r="C171" s="60" t="s">
        <v>14521</v>
      </c>
      <c r="D171" s="1"/>
      <c r="E171" s="68"/>
      <c r="F171" s="70"/>
      <c r="G171" s="1"/>
      <c r="H171" s="68"/>
      <c r="I171" s="70"/>
      <c r="J171" s="1"/>
      <c r="K171" s="68"/>
      <c r="L171" s="68"/>
      <c r="M171" s="68"/>
      <c r="N171" s="68"/>
      <c r="O171" s="76"/>
      <c r="P171" s="83"/>
      <c r="Q171" s="64"/>
      <c r="R171" s="65"/>
      <c r="S171" s="99"/>
      <c r="T171" s="68"/>
      <c r="U171" s="76"/>
      <c r="V171" s="70"/>
      <c r="W171" s="88"/>
      <c r="X171" s="62"/>
      <c r="Y171" s="63"/>
      <c r="Z171" s="75"/>
      <c r="AA171" s="74" t="s">
        <v>18094</v>
      </c>
      <c r="AB171" s="62"/>
      <c r="AC171" s="63"/>
      <c r="AD171" s="75"/>
      <c r="AE171" s="228">
        <f>ROUND((ROUND((_15_同援日２．０*_15・通訳),0)*(1+_15・区４)),0)+ROUND((ROUND((ROUND((_15_同援日２．０＿１．０*_15・通訳),0)*(1+_15・B夜間)),0)*(1+_15・区４)),0)</f>
        <v>809</v>
      </c>
      <c r="AF171" s="69"/>
    </row>
    <row r="172" spans="1:32" ht="16.5" customHeight="1" x14ac:dyDescent="0.3">
      <c r="A172" s="2">
        <v>15</v>
      </c>
      <c r="B172" s="2" t="s">
        <v>4240</v>
      </c>
      <c r="C172" s="60" t="s">
        <v>14520</v>
      </c>
      <c r="D172" s="1"/>
      <c r="E172" s="68"/>
      <c r="F172" s="70"/>
      <c r="G172" s="1"/>
      <c r="H172" s="68"/>
      <c r="I172" s="70"/>
      <c r="J172" s="1"/>
      <c r="K172" s="68"/>
      <c r="L172" s="68"/>
      <c r="M172" s="68"/>
      <c r="N172" s="68"/>
      <c r="O172" s="76"/>
      <c r="P172" s="83" t="s">
        <v>5895</v>
      </c>
      <c r="Q172" s="64" t="s">
        <v>1</v>
      </c>
      <c r="R172" s="65">
        <v>1</v>
      </c>
      <c r="S172" s="99"/>
      <c r="T172" s="68"/>
      <c r="U172" s="76"/>
      <c r="V172" s="70"/>
      <c r="W172" s="73"/>
      <c r="X172" s="57"/>
      <c r="Y172" s="58"/>
      <c r="Z172" s="77"/>
      <c r="AA172" s="1" t="s">
        <v>18026</v>
      </c>
      <c r="AB172" s="68"/>
      <c r="AC172" s="76"/>
      <c r="AD172" s="70"/>
      <c r="AE172" s="228">
        <f>ROUND((ROUND((ROUND((_15_同援日２．０*_15・通訳),0)*_15・２人),0)*(1+_15・区４)),0)+ROUND((ROUND((ROUND((ROUND((_15_同援日２．０＿１．０*_15・通訳),0)*_15・２人),0)*(1+_15・B夜間)),0)*(1+_15・区４)),0)</f>
        <v>809</v>
      </c>
      <c r="AF172" s="69"/>
    </row>
    <row r="173" spans="1:32" ht="16.5" customHeight="1" x14ac:dyDescent="0.3">
      <c r="A173" s="2">
        <v>15</v>
      </c>
      <c r="B173" s="2" t="s">
        <v>4241</v>
      </c>
      <c r="C173" s="60" t="s">
        <v>14519</v>
      </c>
      <c r="D173" s="1"/>
      <c r="E173" s="68"/>
      <c r="F173" s="70"/>
      <c r="G173" s="1"/>
      <c r="H173" s="68"/>
      <c r="I173" s="70"/>
      <c r="J173" s="1"/>
      <c r="K173" s="68"/>
      <c r="L173" s="68"/>
      <c r="M173" s="68"/>
      <c r="N173" s="68"/>
      <c r="O173" s="76"/>
      <c r="P173" s="83"/>
      <c r="Q173" s="64"/>
      <c r="R173" s="65"/>
      <c r="S173" s="99"/>
      <c r="T173" s="68"/>
      <c r="U173" s="76"/>
      <c r="V173" s="70"/>
      <c r="W173" s="88" t="s">
        <v>17969</v>
      </c>
      <c r="X173" s="62"/>
      <c r="Y173" s="63"/>
      <c r="Z173" s="75"/>
      <c r="AA173" s="1"/>
      <c r="AB173" s="68" t="s">
        <v>1</v>
      </c>
      <c r="AC173" s="76">
        <v>0.4</v>
      </c>
      <c r="AD173" s="70" t="s">
        <v>422</v>
      </c>
      <c r="AE173" s="228">
        <f>ROUND((ROUND((ROUND((_15_同援日２．０*_15・通訳),0)*(1+_15・盲ろう)),0)*(1+_15・区４)),0)+ROUND((ROUND((ROUND((ROUND((_15_同援日２．０＿１．０*_15・通訳),0)*(1+_15・B夜間)),0)*(1+_15・盲ろう)),0)*(1+_15・区４)),0)</f>
        <v>1010</v>
      </c>
      <c r="AF173" s="69"/>
    </row>
    <row r="174" spans="1:32" ht="16.5" customHeight="1" x14ac:dyDescent="0.3">
      <c r="A174" s="2">
        <v>15</v>
      </c>
      <c r="B174" s="2" t="s">
        <v>4242</v>
      </c>
      <c r="C174" s="60" t="s">
        <v>14518</v>
      </c>
      <c r="D174" s="81"/>
      <c r="E174" s="57"/>
      <c r="F174" s="77"/>
      <c r="G174" s="81"/>
      <c r="H174" s="57"/>
      <c r="I174" s="77"/>
      <c r="J174" s="1"/>
      <c r="K174" s="68"/>
      <c r="L174" s="68"/>
      <c r="M174" s="68"/>
      <c r="N174" s="68"/>
      <c r="O174" s="76"/>
      <c r="P174" s="83" t="s">
        <v>5895</v>
      </c>
      <c r="Q174" s="64" t="s">
        <v>1</v>
      </c>
      <c r="R174" s="65">
        <v>1</v>
      </c>
      <c r="S174" s="99"/>
      <c r="T174" s="68"/>
      <c r="U174" s="76"/>
      <c r="V174" s="70"/>
      <c r="W174" s="73" t="s">
        <v>18086</v>
      </c>
      <c r="X174" s="57" t="s">
        <v>1</v>
      </c>
      <c r="Y174" s="58">
        <v>0.25</v>
      </c>
      <c r="Z174" s="77" t="s">
        <v>422</v>
      </c>
      <c r="AA174" s="81"/>
      <c r="AB174" s="57"/>
      <c r="AC174" s="58"/>
      <c r="AD174" s="77"/>
      <c r="AE174" s="228">
        <f>ROUND((ROUND((ROUND((ROUND((_15_同援日２．０*_15・通訳),0)*_15・２人),0)*(1+_15・盲ろう)),0)*(1+_15・区４)),0)+ROUND((ROUND((ROUND((ROUND((ROUND((_15_同援日２．０＿１．０*_15・通訳),0)*_15・２人),0)*(1+_15・B夜間)),0)*(1+_15・盲ろう)),0)*(1+_15・区４)),0)</f>
        <v>1010</v>
      </c>
      <c r="AF174" s="69"/>
    </row>
    <row r="175" spans="1:32" ht="16.5" customHeight="1" x14ac:dyDescent="0.3">
      <c r="A175" s="2">
        <v>15</v>
      </c>
      <c r="B175" s="2" t="s">
        <v>4243</v>
      </c>
      <c r="C175" s="60" t="s">
        <v>14517</v>
      </c>
      <c r="D175" s="233" t="s">
        <v>18320</v>
      </c>
      <c r="E175" s="235"/>
      <c r="F175" s="75"/>
      <c r="G175" s="233" t="s">
        <v>6043</v>
      </c>
      <c r="H175" s="235"/>
      <c r="I175" s="75"/>
      <c r="J175" s="1"/>
      <c r="K175" s="68"/>
      <c r="L175" s="68"/>
      <c r="M175" s="68"/>
      <c r="N175" s="68"/>
      <c r="O175" s="76"/>
      <c r="P175" s="83"/>
      <c r="Q175" s="64"/>
      <c r="R175" s="65"/>
      <c r="S175" s="99"/>
      <c r="T175" s="68"/>
      <c r="U175" s="76"/>
      <c r="V175" s="70"/>
      <c r="W175" s="88"/>
      <c r="X175" s="62"/>
      <c r="Y175" s="63"/>
      <c r="Z175" s="75"/>
      <c r="AA175" s="74"/>
      <c r="AB175" s="62"/>
      <c r="AC175" s="63"/>
      <c r="AD175" s="75"/>
      <c r="AE175" s="228">
        <f>ROUND((_15_同援日２．５*_15・通訳),0)+ROUND((ROUND((_15_同援日２．５＿０．５*_15・通訳),0)*(1+_15・B夜間)),0)</f>
        <v>564</v>
      </c>
      <c r="AF175" s="69"/>
    </row>
    <row r="176" spans="1:32" ht="16.5" customHeight="1" x14ac:dyDescent="0.3">
      <c r="A176" s="2">
        <v>15</v>
      </c>
      <c r="B176" s="2" t="s">
        <v>4244</v>
      </c>
      <c r="C176" s="60" t="s">
        <v>14516</v>
      </c>
      <c r="D176" s="1" t="s">
        <v>17057</v>
      </c>
      <c r="E176" s="68"/>
      <c r="F176" s="70"/>
      <c r="G176" s="1" t="s">
        <v>7928</v>
      </c>
      <c r="H176" s="68"/>
      <c r="I176" s="70"/>
      <c r="J176" s="1"/>
      <c r="K176" s="68"/>
      <c r="L176" s="68"/>
      <c r="M176" s="68"/>
      <c r="N176" s="68"/>
      <c r="O176" s="76"/>
      <c r="P176" s="83" t="s">
        <v>5895</v>
      </c>
      <c r="Q176" s="64" t="s">
        <v>1</v>
      </c>
      <c r="R176" s="65">
        <v>1</v>
      </c>
      <c r="S176" s="99"/>
      <c r="T176" s="68"/>
      <c r="U176" s="76"/>
      <c r="V176" s="70"/>
      <c r="W176" s="73"/>
      <c r="X176" s="57"/>
      <c r="Y176" s="58"/>
      <c r="Z176" s="77"/>
      <c r="AA176" s="1"/>
      <c r="AB176" s="68"/>
      <c r="AC176" s="76"/>
      <c r="AD176" s="70"/>
      <c r="AE176" s="228">
        <f>ROUND((ROUND((_15_同援日２．５*_15・通訳),0)*_15・２人),0)+ROUND((ROUND((ROUND((_15_同援日２．５＿０．５*_15・通訳),0)*_15・２人),0)*(1+_15・B夜間)),0)</f>
        <v>564</v>
      </c>
      <c r="AF176" s="69"/>
    </row>
    <row r="177" spans="1:32" ht="16.5" customHeight="1" x14ac:dyDescent="0.3">
      <c r="A177" s="2">
        <v>15</v>
      </c>
      <c r="B177" s="2" t="s">
        <v>4245</v>
      </c>
      <c r="C177" s="60" t="s">
        <v>14515</v>
      </c>
      <c r="D177" s="1" t="s">
        <v>8499</v>
      </c>
      <c r="E177" s="68"/>
      <c r="F177" s="70"/>
      <c r="G177" s="1"/>
      <c r="H177" s="68"/>
      <c r="I177" s="70"/>
      <c r="J177" s="1"/>
      <c r="K177" s="68"/>
      <c r="L177" s="68"/>
      <c r="M177" s="68"/>
      <c r="N177" s="68"/>
      <c r="O177" s="76"/>
      <c r="P177" s="83"/>
      <c r="Q177" s="64"/>
      <c r="R177" s="65"/>
      <c r="S177" s="99"/>
      <c r="T177" s="68"/>
      <c r="U177" s="76"/>
      <c r="V177" s="70"/>
      <c r="W177" s="88" t="s">
        <v>17969</v>
      </c>
      <c r="X177" s="62"/>
      <c r="Y177" s="63"/>
      <c r="Z177" s="75"/>
      <c r="AA177" s="1"/>
      <c r="AB177" s="68"/>
      <c r="AC177" s="76"/>
      <c r="AD177" s="70"/>
      <c r="AE177" s="228">
        <f>ROUND((ROUND((_15_同援日２．５*_15・通訳),0)*(1+_15・盲ろう)),0)+ROUND((ROUND((ROUND((_15_同援日２．５＿０．５*_15・通訳),0)*(1+_15・B夜間)),0)*(1+_15・盲ろう)),0)</f>
        <v>705</v>
      </c>
      <c r="AF177" s="69"/>
    </row>
    <row r="178" spans="1:32" ht="16.5" customHeight="1" x14ac:dyDescent="0.3">
      <c r="A178" s="2">
        <v>15</v>
      </c>
      <c r="B178" s="2" t="s">
        <v>4246</v>
      </c>
      <c r="C178" s="60" t="s">
        <v>14514</v>
      </c>
      <c r="D178" s="1"/>
      <c r="E178" s="227">
        <v>548</v>
      </c>
      <c r="F178" s="70" t="s">
        <v>0</v>
      </c>
      <c r="G178" s="1"/>
      <c r="H178" s="119">
        <v>63</v>
      </c>
      <c r="I178" s="70" t="s">
        <v>0</v>
      </c>
      <c r="J178" s="1"/>
      <c r="K178" s="68"/>
      <c r="L178" s="68"/>
      <c r="M178" s="68"/>
      <c r="N178" s="68"/>
      <c r="O178" s="76"/>
      <c r="P178" s="83" t="s">
        <v>5895</v>
      </c>
      <c r="Q178" s="64" t="s">
        <v>1</v>
      </c>
      <c r="R178" s="65">
        <v>1</v>
      </c>
      <c r="S178" s="99"/>
      <c r="T178" s="68"/>
      <c r="U178" s="76"/>
      <c r="V178" s="70"/>
      <c r="W178" s="73" t="s">
        <v>18024</v>
      </c>
      <c r="X178" s="57" t="s">
        <v>1</v>
      </c>
      <c r="Y178" s="58">
        <v>0.25</v>
      </c>
      <c r="Z178" s="77" t="s">
        <v>422</v>
      </c>
      <c r="AA178" s="81"/>
      <c r="AB178" s="57"/>
      <c r="AC178" s="58"/>
      <c r="AD178" s="77"/>
      <c r="AE178" s="228">
        <f>ROUND((ROUND((ROUND((_15_同援日２．５*_15・通訳),0)*_15・２人),0)*(1+_15・盲ろう)),0)+ROUND((ROUND((ROUND((ROUND((_15_同援日２．５＿０．５*_15・通訳),0)*_15・２人),0)*(1+_15・B夜間)),0)*(1+_15・盲ろう)),0)</f>
        <v>705</v>
      </c>
      <c r="AF178" s="69"/>
    </row>
    <row r="179" spans="1:32" ht="16.5" customHeight="1" x14ac:dyDescent="0.3">
      <c r="A179" s="2">
        <v>15</v>
      </c>
      <c r="B179" s="2" t="s">
        <v>4247</v>
      </c>
      <c r="C179" s="60" t="s">
        <v>14513</v>
      </c>
      <c r="D179" s="1"/>
      <c r="E179" s="68"/>
      <c r="F179" s="70"/>
      <c r="G179" s="1"/>
      <c r="H179" s="68"/>
      <c r="I179" s="70"/>
      <c r="J179" s="1"/>
      <c r="K179" s="68"/>
      <c r="L179" s="68"/>
      <c r="M179" s="68"/>
      <c r="N179" s="68"/>
      <c r="O179" s="76"/>
      <c r="P179" s="83"/>
      <c r="Q179" s="64"/>
      <c r="R179" s="65"/>
      <c r="S179" s="99"/>
      <c r="T179" s="68"/>
      <c r="U179" s="76"/>
      <c r="V179" s="70"/>
      <c r="W179" s="88"/>
      <c r="X179" s="62"/>
      <c r="Y179" s="63"/>
      <c r="Z179" s="75"/>
      <c r="AA179" s="74" t="s">
        <v>17974</v>
      </c>
      <c r="AB179" s="62"/>
      <c r="AC179" s="63"/>
      <c r="AD179" s="75"/>
      <c r="AE179" s="228">
        <f>ROUND((ROUND((_15_同援日２．５*_15・通訳),0)*(1+_15・区３)),0)+ROUND((ROUND((ROUND((_15_同援日２．５＿０．５*_15・通訳),0)*(1+_15・B夜間)),0)*(1+_15・区３)),0)</f>
        <v>677</v>
      </c>
      <c r="AF179" s="69"/>
    </row>
    <row r="180" spans="1:32" ht="16.5" customHeight="1" x14ac:dyDescent="0.3">
      <c r="A180" s="2">
        <v>15</v>
      </c>
      <c r="B180" s="2" t="s">
        <v>4248</v>
      </c>
      <c r="C180" s="60" t="s">
        <v>14512</v>
      </c>
      <c r="D180" s="1"/>
      <c r="E180" s="68"/>
      <c r="F180" s="70"/>
      <c r="G180" s="1"/>
      <c r="H180" s="68"/>
      <c r="I180" s="70"/>
      <c r="J180" s="1"/>
      <c r="K180" s="68"/>
      <c r="L180" s="68"/>
      <c r="M180" s="68"/>
      <c r="N180" s="68"/>
      <c r="O180" s="76"/>
      <c r="P180" s="83" t="s">
        <v>5895</v>
      </c>
      <c r="Q180" s="64" t="s">
        <v>1</v>
      </c>
      <c r="R180" s="65">
        <v>1</v>
      </c>
      <c r="S180" s="99"/>
      <c r="T180" s="68"/>
      <c r="U180" s="76"/>
      <c r="V180" s="70"/>
      <c r="W180" s="73"/>
      <c r="X180" s="57"/>
      <c r="Y180" s="58"/>
      <c r="Z180" s="77"/>
      <c r="AA180" s="1" t="s">
        <v>17970</v>
      </c>
      <c r="AB180" s="68"/>
      <c r="AC180" s="76"/>
      <c r="AD180" s="70"/>
      <c r="AE180" s="228">
        <f>ROUND((ROUND((ROUND((_15_同援日２．５*_15・通訳),0)*_15・２人),0)*(1+_15・区３)),0)+ROUND((ROUND((ROUND((ROUND((_15_同援日２．５＿０．５*_15・通訳),0)*_15・２人),0)*(1+_15・B夜間)),0)*(1+_15・区３)),0)</f>
        <v>677</v>
      </c>
      <c r="AF180" s="69"/>
    </row>
    <row r="181" spans="1:32" ht="16.5" customHeight="1" x14ac:dyDescent="0.3">
      <c r="A181" s="2">
        <v>15</v>
      </c>
      <c r="B181" s="2" t="s">
        <v>4249</v>
      </c>
      <c r="C181" s="60" t="s">
        <v>14511</v>
      </c>
      <c r="D181" s="1"/>
      <c r="E181" s="68"/>
      <c r="F181" s="70"/>
      <c r="G181" s="1"/>
      <c r="H181" s="68"/>
      <c r="I181" s="70"/>
      <c r="J181" s="1"/>
      <c r="K181" s="68"/>
      <c r="L181" s="68"/>
      <c r="M181" s="68"/>
      <c r="N181" s="68"/>
      <c r="O181" s="76"/>
      <c r="P181" s="83"/>
      <c r="Q181" s="64"/>
      <c r="R181" s="65"/>
      <c r="S181" s="99"/>
      <c r="T181" s="68"/>
      <c r="U181" s="76"/>
      <c r="V181" s="70"/>
      <c r="W181" s="88" t="s">
        <v>18087</v>
      </c>
      <c r="X181" s="62"/>
      <c r="Y181" s="63"/>
      <c r="Z181" s="75"/>
      <c r="AA181" s="1"/>
      <c r="AB181" s="68" t="s">
        <v>1</v>
      </c>
      <c r="AC181" s="76">
        <v>0.2</v>
      </c>
      <c r="AD181" s="70" t="s">
        <v>422</v>
      </c>
      <c r="AE181" s="228">
        <f>ROUND((ROUND((ROUND((_15_同援日２．５*_15・通訳),0)*(1+_15・盲ろう)),0)*(1+_15・区３)),0)+ROUND((ROUND((ROUND((ROUND((_15_同援日２．５＿０．５*_15・通訳),0)*(1+_15・B夜間)),0)*(1+_15・盲ろう)),0)*(1+_15・区３)),0)</f>
        <v>846</v>
      </c>
      <c r="AF181" s="69"/>
    </row>
    <row r="182" spans="1:32" ht="16.5" customHeight="1" x14ac:dyDescent="0.3">
      <c r="A182" s="2">
        <v>15</v>
      </c>
      <c r="B182" s="2" t="s">
        <v>4250</v>
      </c>
      <c r="C182" s="60" t="s">
        <v>14510</v>
      </c>
      <c r="D182" s="1"/>
      <c r="E182" s="68"/>
      <c r="F182" s="70"/>
      <c r="G182" s="1"/>
      <c r="H182" s="68"/>
      <c r="I182" s="70"/>
      <c r="J182" s="1"/>
      <c r="K182" s="68"/>
      <c r="L182" s="68"/>
      <c r="M182" s="68"/>
      <c r="N182" s="68"/>
      <c r="O182" s="76"/>
      <c r="P182" s="83" t="s">
        <v>5895</v>
      </c>
      <c r="Q182" s="64" t="s">
        <v>1</v>
      </c>
      <c r="R182" s="65">
        <v>1</v>
      </c>
      <c r="S182" s="99"/>
      <c r="T182" s="68"/>
      <c r="U182" s="76"/>
      <c r="V182" s="70"/>
      <c r="W182" s="73" t="s">
        <v>18086</v>
      </c>
      <c r="X182" s="57" t="s">
        <v>1</v>
      </c>
      <c r="Y182" s="58">
        <v>0.25</v>
      </c>
      <c r="Z182" s="77" t="s">
        <v>422</v>
      </c>
      <c r="AA182" s="81"/>
      <c r="AB182" s="57"/>
      <c r="AC182" s="58"/>
      <c r="AD182" s="77"/>
      <c r="AE182" s="228">
        <f>ROUND((ROUND((ROUND((ROUND((_15_同援日２．５*_15・通訳),0)*_15・２人),0)*(1+_15・盲ろう)),0)*(1+_15・区３)),0)+ROUND((ROUND((ROUND((ROUND((ROUND((_15_同援日２．５＿０．５*_15・通訳),0)*_15・２人),0)*(1+_15・B夜間)),0)*(1+_15・盲ろう)),0)*(1+_15・区３)),0)</f>
        <v>846</v>
      </c>
      <c r="AF182" s="69"/>
    </row>
    <row r="183" spans="1:32" ht="16.5" customHeight="1" x14ac:dyDescent="0.3">
      <c r="A183" s="2">
        <v>15</v>
      </c>
      <c r="B183" s="2" t="s">
        <v>4251</v>
      </c>
      <c r="C183" s="60" t="s">
        <v>14509</v>
      </c>
      <c r="D183" s="1"/>
      <c r="E183" s="68"/>
      <c r="F183" s="70"/>
      <c r="G183" s="1"/>
      <c r="H183" s="68"/>
      <c r="I183" s="70"/>
      <c r="J183" s="1"/>
      <c r="K183" s="68"/>
      <c r="L183" s="68"/>
      <c r="M183" s="68"/>
      <c r="N183" s="68"/>
      <c r="O183" s="76"/>
      <c r="P183" s="83"/>
      <c r="Q183" s="64"/>
      <c r="R183" s="65"/>
      <c r="S183" s="99"/>
      <c r="T183" s="68"/>
      <c r="U183" s="76"/>
      <c r="V183" s="70"/>
      <c r="W183" s="88"/>
      <c r="X183" s="62"/>
      <c r="Y183" s="63"/>
      <c r="Z183" s="75"/>
      <c r="AA183" s="74" t="s">
        <v>18094</v>
      </c>
      <c r="AB183" s="62"/>
      <c r="AC183" s="63"/>
      <c r="AD183" s="75"/>
      <c r="AE183" s="228">
        <f>ROUND((ROUND((_15_同援日２．５*_15・通訳),0)*(1+_15・区４)),0)+ROUND((ROUND((ROUND((_15_同援日２．５＿０．５*_15・通訳),0)*(1+_15・B夜間)),0)*(1+_15・区４)),0)</f>
        <v>789</v>
      </c>
      <c r="AF183" s="69"/>
    </row>
    <row r="184" spans="1:32" ht="16.5" customHeight="1" x14ac:dyDescent="0.3">
      <c r="A184" s="2">
        <v>15</v>
      </c>
      <c r="B184" s="2" t="s">
        <v>4252</v>
      </c>
      <c r="C184" s="60" t="s">
        <v>14508</v>
      </c>
      <c r="D184" s="1"/>
      <c r="E184" s="68"/>
      <c r="F184" s="70"/>
      <c r="G184" s="1"/>
      <c r="H184" s="68"/>
      <c r="I184" s="70"/>
      <c r="J184" s="1"/>
      <c r="K184" s="68"/>
      <c r="L184" s="68"/>
      <c r="M184" s="68"/>
      <c r="N184" s="68"/>
      <c r="O184" s="76"/>
      <c r="P184" s="83" t="s">
        <v>5895</v>
      </c>
      <c r="Q184" s="64" t="s">
        <v>1</v>
      </c>
      <c r="R184" s="65">
        <v>1</v>
      </c>
      <c r="S184" s="99"/>
      <c r="T184" s="68"/>
      <c r="U184" s="76"/>
      <c r="V184" s="70"/>
      <c r="W184" s="73"/>
      <c r="X184" s="57"/>
      <c r="Y184" s="58"/>
      <c r="Z184" s="77"/>
      <c r="AA184" s="1" t="s">
        <v>18084</v>
      </c>
      <c r="AB184" s="68"/>
      <c r="AC184" s="76"/>
      <c r="AD184" s="70"/>
      <c r="AE184" s="228">
        <f>ROUND((ROUND((ROUND((_15_同援日２．５*_15・通訳),0)*_15・２人),0)*(1+_15・区４)),0)+ROUND((ROUND((ROUND((ROUND((_15_同援日２．５＿０．５*_15・通訳),0)*_15・２人),0)*(1+_15・B夜間)),0)*(1+_15・区４)),0)</f>
        <v>789</v>
      </c>
      <c r="AF184" s="69"/>
    </row>
    <row r="185" spans="1:32" ht="16.5" customHeight="1" x14ac:dyDescent="0.3">
      <c r="A185" s="2">
        <v>15</v>
      </c>
      <c r="B185" s="2" t="s">
        <v>4253</v>
      </c>
      <c r="C185" s="60" t="s">
        <v>14507</v>
      </c>
      <c r="D185" s="1"/>
      <c r="E185" s="68"/>
      <c r="F185" s="70"/>
      <c r="G185" s="1"/>
      <c r="H185" s="68"/>
      <c r="I185" s="70"/>
      <c r="J185" s="1"/>
      <c r="K185" s="68"/>
      <c r="L185" s="68"/>
      <c r="M185" s="68"/>
      <c r="N185" s="68"/>
      <c r="O185" s="76"/>
      <c r="P185" s="83"/>
      <c r="Q185" s="64"/>
      <c r="R185" s="65"/>
      <c r="S185" s="99"/>
      <c r="T185" s="68"/>
      <c r="U185" s="76"/>
      <c r="V185" s="70"/>
      <c r="W185" s="88" t="s">
        <v>8085</v>
      </c>
      <c r="X185" s="62"/>
      <c r="Y185" s="63"/>
      <c r="Z185" s="75"/>
      <c r="AA185" s="1"/>
      <c r="AB185" s="68" t="s">
        <v>1</v>
      </c>
      <c r="AC185" s="76">
        <v>0.4</v>
      </c>
      <c r="AD185" s="70" t="s">
        <v>422</v>
      </c>
      <c r="AE185" s="228">
        <f>ROUND((ROUND((ROUND((_15_同援日２．５*_15・通訳),0)*(1+_15・盲ろう)),0)*(1+_15・区４)),0)+ROUND((ROUND((ROUND((ROUND((_15_同援日２．５＿０．５*_15・通訳),0)*(1+_15・B夜間)),0)*(1+_15・盲ろう)),0)*(1+_15・区４)),0)</f>
        <v>987</v>
      </c>
      <c r="AF185" s="69"/>
    </row>
    <row r="186" spans="1:32" ht="16.5" customHeight="1" x14ac:dyDescent="0.3">
      <c r="A186" s="2">
        <v>15</v>
      </c>
      <c r="B186" s="2" t="s">
        <v>4254</v>
      </c>
      <c r="C186" s="60" t="s">
        <v>14506</v>
      </c>
      <c r="D186" s="81"/>
      <c r="E186" s="57"/>
      <c r="F186" s="77"/>
      <c r="G186" s="81"/>
      <c r="H186" s="57"/>
      <c r="I186" s="77"/>
      <c r="J186" s="81"/>
      <c r="K186" s="57"/>
      <c r="L186" s="57"/>
      <c r="M186" s="57"/>
      <c r="N186" s="57"/>
      <c r="O186" s="58"/>
      <c r="P186" s="83" t="s">
        <v>5895</v>
      </c>
      <c r="Q186" s="64" t="s">
        <v>1</v>
      </c>
      <c r="R186" s="65">
        <v>1</v>
      </c>
      <c r="S186" s="101"/>
      <c r="T186" s="57"/>
      <c r="U186" s="58"/>
      <c r="V186" s="77"/>
      <c r="W186" s="73" t="s">
        <v>18086</v>
      </c>
      <c r="X186" s="57" t="s">
        <v>1</v>
      </c>
      <c r="Y186" s="58">
        <v>0.25</v>
      </c>
      <c r="Z186" s="77" t="s">
        <v>422</v>
      </c>
      <c r="AA186" s="81"/>
      <c r="AB186" s="57"/>
      <c r="AC186" s="58"/>
      <c r="AD186" s="77"/>
      <c r="AE186" s="228">
        <f>ROUND((ROUND((ROUND((ROUND((_15_同援日２．５*_15・通訳),0)*_15・２人),0)*(1+_15・盲ろう)),0)*(1+_15・区４)),0)+ROUND((ROUND((ROUND((ROUND((ROUND((_15_同援日２．５＿０．５*_15・通訳),0)*_15・２人),0)*(1+_15・B夜間)),0)*(1+_15・盲ろう)),0)*(1+_15・区４)),0)</f>
        <v>987</v>
      </c>
      <c r="AF186" s="71"/>
    </row>
    <row r="187" spans="1:32" ht="16.5" customHeight="1" x14ac:dyDescent="0.3">
      <c r="P187" s="114"/>
      <c r="W187" s="114"/>
      <c r="AA187" s="114"/>
    </row>
    <row r="188" spans="1:32" ht="16.5" customHeight="1" x14ac:dyDescent="0.3">
      <c r="P188" s="114"/>
      <c r="W188" s="114"/>
      <c r="AA188" s="114"/>
    </row>
    <row r="189" spans="1:32" ht="16.5" customHeight="1" x14ac:dyDescent="0.3">
      <c r="B189" s="229" t="s">
        <v>18319</v>
      </c>
      <c r="C189" s="131"/>
      <c r="D189" s="230"/>
      <c r="E189" s="231"/>
      <c r="F189" s="231"/>
      <c r="P189" s="114"/>
      <c r="W189" s="114"/>
      <c r="AA189" s="114"/>
    </row>
    <row r="190" spans="1:32" ht="16.5" customHeight="1" x14ac:dyDescent="0.3">
      <c r="A190" s="50" t="s">
        <v>5864</v>
      </c>
      <c r="B190" s="51"/>
      <c r="C190" s="52" t="s">
        <v>5867</v>
      </c>
      <c r="D190" s="79" t="s">
        <v>5868</v>
      </c>
      <c r="E190" s="53"/>
      <c r="F190" s="53"/>
      <c r="G190" s="79"/>
      <c r="H190" s="53"/>
      <c r="I190" s="53"/>
      <c r="J190" s="79"/>
      <c r="K190" s="53"/>
      <c r="L190" s="53"/>
      <c r="M190" s="53"/>
      <c r="N190" s="53"/>
      <c r="O190" s="54"/>
      <c r="P190" s="91"/>
      <c r="Q190" s="53"/>
      <c r="R190" s="54"/>
      <c r="S190" s="54"/>
      <c r="T190" s="53"/>
      <c r="U190" s="54"/>
      <c r="V190" s="53"/>
      <c r="W190" s="91"/>
      <c r="X190" s="53"/>
      <c r="Y190" s="54"/>
      <c r="Z190" s="53"/>
      <c r="AA190" s="91"/>
      <c r="AB190" s="53"/>
      <c r="AC190" s="54"/>
      <c r="AD190" s="53"/>
      <c r="AE190" s="55" t="s">
        <v>5869</v>
      </c>
      <c r="AF190" s="55" t="s">
        <v>5871</v>
      </c>
    </row>
    <row r="191" spans="1:32" ht="16.5" customHeight="1" x14ac:dyDescent="0.3">
      <c r="A191" s="2" t="s">
        <v>5865</v>
      </c>
      <c r="B191" s="2" t="s">
        <v>5866</v>
      </c>
      <c r="C191" s="56"/>
      <c r="D191" s="80" t="s">
        <v>5872</v>
      </c>
      <c r="E191" s="86"/>
      <c r="F191" s="87"/>
      <c r="G191" s="80" t="s">
        <v>18318</v>
      </c>
      <c r="H191" s="86"/>
      <c r="I191" s="87"/>
      <c r="J191" s="73"/>
      <c r="K191" s="57"/>
      <c r="L191" s="57"/>
      <c r="M191" s="57"/>
      <c r="N191" s="57"/>
      <c r="O191" s="58"/>
      <c r="P191" s="90"/>
      <c r="Q191" s="57"/>
      <c r="R191" s="58"/>
      <c r="S191" s="58"/>
      <c r="T191" s="57"/>
      <c r="U191" s="58"/>
      <c r="V191" s="57"/>
      <c r="W191" s="73"/>
      <c r="X191" s="57"/>
      <c r="Y191" s="58"/>
      <c r="Z191" s="57"/>
      <c r="AA191" s="90"/>
      <c r="AB191" s="57"/>
      <c r="AC191" s="58"/>
      <c r="AD191" s="57"/>
      <c r="AE191" s="59" t="s">
        <v>5870</v>
      </c>
      <c r="AF191" s="59" t="s">
        <v>0</v>
      </c>
    </row>
    <row r="192" spans="1:32" ht="16.5" customHeight="1" x14ac:dyDescent="0.3">
      <c r="A192" s="2">
        <v>15</v>
      </c>
      <c r="B192" s="2" t="s">
        <v>4255</v>
      </c>
      <c r="C192" s="60" t="s">
        <v>14505</v>
      </c>
      <c r="D192" s="233" t="s">
        <v>18317</v>
      </c>
      <c r="E192" s="235"/>
      <c r="F192" s="75"/>
      <c r="G192" s="233" t="s">
        <v>18316</v>
      </c>
      <c r="H192" s="235"/>
      <c r="I192" s="75"/>
      <c r="J192" s="74" t="s">
        <v>17358</v>
      </c>
      <c r="K192" s="62"/>
      <c r="L192" s="75"/>
      <c r="M192" s="61"/>
      <c r="N192" s="62"/>
      <c r="O192" s="63"/>
      <c r="P192" s="83"/>
      <c r="Q192" s="64"/>
      <c r="R192" s="65"/>
      <c r="S192" s="98"/>
      <c r="T192" s="75"/>
      <c r="U192" s="98"/>
      <c r="V192" s="75"/>
      <c r="W192" s="78"/>
      <c r="X192" s="62"/>
      <c r="Y192" s="63"/>
      <c r="Z192" s="75"/>
      <c r="AA192" s="74"/>
      <c r="AB192" s="62"/>
      <c r="AC192" s="63"/>
      <c r="AD192" s="75"/>
      <c r="AE192" s="228">
        <f>ROUND((ROUND((_15_同援日０．５*_15・通訳),0)*(1+_15・A深夜)),0)+ROUND((ROUND((_15_同援日０．５＿２．０*_15・通訳),0)*(1+_15・B早朝)),0)+ROUND((_15_同援日０．５＿２．０＿０．５*_15・通訳),0)</f>
        <v>716</v>
      </c>
      <c r="AF192" s="52" t="s">
        <v>5863</v>
      </c>
    </row>
    <row r="193" spans="1:32" ht="16.5" customHeight="1" x14ac:dyDescent="0.3">
      <c r="A193" s="2">
        <v>15</v>
      </c>
      <c r="B193" s="2" t="s">
        <v>4256</v>
      </c>
      <c r="C193" s="60" t="s">
        <v>14504</v>
      </c>
      <c r="D193" s="1" t="s">
        <v>7928</v>
      </c>
      <c r="E193" s="68"/>
      <c r="F193" s="70"/>
      <c r="G193" s="1" t="s">
        <v>16868</v>
      </c>
      <c r="H193" s="68"/>
      <c r="I193" s="70"/>
      <c r="J193" s="1" t="s">
        <v>7928</v>
      </c>
      <c r="K193" s="68"/>
      <c r="L193" s="70"/>
      <c r="M193" s="67"/>
      <c r="N193" s="68"/>
      <c r="O193" s="76"/>
      <c r="P193" s="83" t="s">
        <v>5895</v>
      </c>
      <c r="Q193" s="64" t="s">
        <v>1</v>
      </c>
      <c r="R193" s="65">
        <v>1</v>
      </c>
      <c r="S193" s="99"/>
      <c r="T193" s="70"/>
      <c r="U193" s="99"/>
      <c r="V193" s="70"/>
      <c r="W193" s="106"/>
      <c r="X193" s="57"/>
      <c r="Y193" s="58"/>
      <c r="Z193" s="77"/>
      <c r="AA193" s="1"/>
      <c r="AB193" s="68"/>
      <c r="AC193" s="76"/>
      <c r="AD193" s="70"/>
      <c r="AE193" s="228">
        <f>ROUND((ROUND((ROUND((_15_同援日０．５*_15・通訳),0)*_15・２人),0)*(1+_15・A深夜)),0)+ROUND((ROUND((ROUND((_15_同援日０．５＿２．０*_15・通訳),0)*_15・２人),0)*(1+_15・B早朝)),0)+ROUND((ROUND((_15_同援日０．５＿２．０＿０．５*_15・通訳),0)*_15・２人),0)</f>
        <v>716</v>
      </c>
      <c r="AF193" s="69"/>
    </row>
    <row r="194" spans="1:32" ht="16.5" customHeight="1" x14ac:dyDescent="0.3">
      <c r="A194" s="2">
        <v>15</v>
      </c>
      <c r="B194" s="2" t="s">
        <v>4257</v>
      </c>
      <c r="C194" s="60" t="s">
        <v>14503</v>
      </c>
      <c r="D194" s="1"/>
      <c r="E194" s="68"/>
      <c r="F194" s="70"/>
      <c r="G194" s="1" t="s">
        <v>6448</v>
      </c>
      <c r="H194" s="68"/>
      <c r="I194" s="70"/>
      <c r="J194" s="1"/>
      <c r="K194" s="68"/>
      <c r="L194" s="70"/>
      <c r="M194" s="67"/>
      <c r="N194" s="68"/>
      <c r="O194" s="76"/>
      <c r="P194" s="83"/>
      <c r="Q194" s="64"/>
      <c r="R194" s="65"/>
      <c r="S194" s="99"/>
      <c r="T194" s="70"/>
      <c r="U194" s="99"/>
      <c r="V194" s="70"/>
      <c r="W194" s="78" t="s">
        <v>18087</v>
      </c>
      <c r="X194" s="62"/>
      <c r="Y194" s="63"/>
      <c r="Z194" s="75"/>
      <c r="AA194" s="1"/>
      <c r="AB194" s="68"/>
      <c r="AC194" s="76"/>
      <c r="AD194" s="70"/>
      <c r="AE194" s="228">
        <f>ROUND((ROUND((ROUND((_15_同援日０．５*_15・通訳),0)*(1+_15・A深夜)),0)*(1+_15・盲ろう)),0)+ROUND((ROUND((ROUND((_15_同援日０．５＿２．０*_15・通訳),0)*(1+_15・B早朝)),0)*(1+_15・盲ろう)),0)+ROUND((ROUND((_15_同援日０．５＿２．０＿０．５*_15・通訳),0)*(1+_15・盲ろう)),0)</f>
        <v>895</v>
      </c>
      <c r="AF194" s="69"/>
    </row>
    <row r="195" spans="1:32" ht="16.5" customHeight="1" x14ac:dyDescent="0.3">
      <c r="A195" s="2">
        <v>15</v>
      </c>
      <c r="B195" s="2" t="s">
        <v>4258</v>
      </c>
      <c r="C195" s="60" t="s">
        <v>14502</v>
      </c>
      <c r="D195" s="1"/>
      <c r="E195" s="119">
        <v>184</v>
      </c>
      <c r="F195" s="70" t="s">
        <v>0</v>
      </c>
      <c r="G195" s="1"/>
      <c r="H195" s="227">
        <v>364</v>
      </c>
      <c r="I195" s="70" t="s">
        <v>0</v>
      </c>
      <c r="J195" s="1"/>
      <c r="K195" s="119">
        <v>63</v>
      </c>
      <c r="L195" s="70" t="s">
        <v>0</v>
      </c>
      <c r="M195" s="67"/>
      <c r="N195" s="68"/>
      <c r="O195" s="76"/>
      <c r="P195" s="83" t="s">
        <v>5895</v>
      </c>
      <c r="Q195" s="64" t="s">
        <v>1</v>
      </c>
      <c r="R195" s="65">
        <v>1</v>
      </c>
      <c r="S195" s="108" t="s">
        <v>7920</v>
      </c>
      <c r="T195" s="70"/>
      <c r="U195" s="113" t="s">
        <v>7895</v>
      </c>
      <c r="V195" s="70"/>
      <c r="W195" s="106" t="s">
        <v>18086</v>
      </c>
      <c r="X195" s="57" t="s">
        <v>1</v>
      </c>
      <c r="Y195" s="58">
        <v>0.25</v>
      </c>
      <c r="Z195" s="77" t="s">
        <v>422</v>
      </c>
      <c r="AA195" s="81"/>
      <c r="AB195" s="57"/>
      <c r="AC195" s="58"/>
      <c r="AD195" s="77"/>
      <c r="AE195" s="228">
        <f>ROUND((ROUND((ROUND((ROUND((_15_同援日０．５*_15・通訳),0)*_15・２人),0)*(1+_15・A深夜)),0)*(1+_15・盲ろう)),0)+ROUND((ROUND((ROUND((ROUND((_15_同援日０．５＿２．０*_15・通訳),0)*_15・２人),0)*(1+_15・B早朝)),0)*(1+_15・盲ろう)),0)+ROUND((ROUND((ROUND((_15_同援日０．５＿２．０＿０．５*_15・通訳),0)*_15・２人),0)*(1+_15・盲ろう)),0)</f>
        <v>895</v>
      </c>
      <c r="AF195" s="69"/>
    </row>
    <row r="196" spans="1:32" ht="16.5" customHeight="1" x14ac:dyDescent="0.3">
      <c r="A196" s="2">
        <v>15</v>
      </c>
      <c r="B196" s="2" t="s">
        <v>4259</v>
      </c>
      <c r="C196" s="60" t="s">
        <v>14501</v>
      </c>
      <c r="D196" s="1"/>
      <c r="E196" s="68"/>
      <c r="F196" s="70"/>
      <c r="G196" s="1"/>
      <c r="H196" s="68"/>
      <c r="I196" s="70"/>
      <c r="J196" s="1"/>
      <c r="K196" s="68"/>
      <c r="L196" s="70"/>
      <c r="M196" s="67"/>
      <c r="N196" s="68"/>
      <c r="O196" s="76"/>
      <c r="P196" s="83"/>
      <c r="Q196" s="64"/>
      <c r="R196" s="65"/>
      <c r="S196" s="99"/>
      <c r="T196" s="110" t="s">
        <v>14306</v>
      </c>
      <c r="U196" s="99"/>
      <c r="V196" s="110" t="s">
        <v>11531</v>
      </c>
      <c r="W196" s="78"/>
      <c r="X196" s="62"/>
      <c r="Y196" s="63"/>
      <c r="Z196" s="75"/>
      <c r="AA196" s="74" t="s">
        <v>17974</v>
      </c>
      <c r="AB196" s="62"/>
      <c r="AC196" s="63"/>
      <c r="AD196" s="75"/>
      <c r="AE196" s="228">
        <f>ROUND((ROUND((ROUND((_15_同援日０．５*_15・通訳),0)*(1+_15・A深夜)),0)*(1+_15・区３)),0)+ROUND((ROUND((ROUND((_15_同援日０．５＿２．０*_15・通訳),0)*(1+_15・B早朝)),0)*(1+_15・区３)),0)+ROUND((ROUND((_15_同援日０．５＿２．０＿０．５*_15・通訳),0)*(1+_15・区３)),0)</f>
        <v>859</v>
      </c>
      <c r="AF196" s="69"/>
    </row>
    <row r="197" spans="1:32" ht="16.5" customHeight="1" x14ac:dyDescent="0.3">
      <c r="A197" s="2">
        <v>15</v>
      </c>
      <c r="B197" s="2" t="s">
        <v>4260</v>
      </c>
      <c r="C197" s="60" t="s">
        <v>14500</v>
      </c>
      <c r="D197" s="1"/>
      <c r="E197" s="68"/>
      <c r="F197" s="70"/>
      <c r="G197" s="1"/>
      <c r="H197" s="68"/>
      <c r="I197" s="70"/>
      <c r="J197" s="1"/>
      <c r="K197" s="68"/>
      <c r="L197" s="70"/>
      <c r="M197" s="1" t="s">
        <v>13802</v>
      </c>
      <c r="N197" s="68"/>
      <c r="O197" s="76"/>
      <c r="P197" s="83" t="s">
        <v>5895</v>
      </c>
      <c r="Q197" s="64" t="s">
        <v>1</v>
      </c>
      <c r="R197" s="65">
        <v>1</v>
      </c>
      <c r="S197" s="99"/>
      <c r="T197" s="70"/>
      <c r="U197" s="99"/>
      <c r="V197" s="70"/>
      <c r="W197" s="106"/>
      <c r="X197" s="57"/>
      <c r="Y197" s="58"/>
      <c r="Z197" s="77"/>
      <c r="AA197" s="1" t="s">
        <v>18084</v>
      </c>
      <c r="AB197" s="68"/>
      <c r="AC197" s="76"/>
      <c r="AD197" s="70"/>
      <c r="AE197" s="228">
        <f>ROUND((ROUND((ROUND((ROUND((_15_同援日０．５*_15・通訳),0)*_15・２人),0)*(1+_15・A深夜)),0)*(1+_15・区３)),0)+ROUND((ROUND((ROUND((ROUND((_15_同援日０．５＿２．０*_15・通訳),0)*_15・２人),0)*(1+_15・B早朝)),0)*(1+_15・区３)),0)+ROUND((ROUND((ROUND((_15_同援日０．５＿２．０＿０．５*_15・通訳),0)*_15・２人),0)*(1+_15・区３)),0)</f>
        <v>859</v>
      </c>
      <c r="AF197" s="69"/>
    </row>
    <row r="198" spans="1:32" ht="16.5" customHeight="1" x14ac:dyDescent="0.3">
      <c r="A198" s="2">
        <v>15</v>
      </c>
      <c r="B198" s="2" t="s">
        <v>4261</v>
      </c>
      <c r="C198" s="60" t="s">
        <v>14499</v>
      </c>
      <c r="D198" s="1"/>
      <c r="E198" s="68"/>
      <c r="F198" s="70"/>
      <c r="G198" s="1"/>
      <c r="H198" s="68"/>
      <c r="I198" s="70"/>
      <c r="J198" s="1"/>
      <c r="K198" s="68"/>
      <c r="L198" s="70"/>
      <c r="M198" s="94" t="s">
        <v>13800</v>
      </c>
      <c r="N198" s="68" t="s">
        <v>1</v>
      </c>
      <c r="O198" s="76">
        <v>0.9</v>
      </c>
      <c r="P198" s="83"/>
      <c r="Q198" s="64"/>
      <c r="R198" s="65"/>
      <c r="S198" s="67" t="s">
        <v>1</v>
      </c>
      <c r="T198" s="93">
        <v>0.5</v>
      </c>
      <c r="U198" s="67" t="s">
        <v>1</v>
      </c>
      <c r="V198" s="93">
        <v>0.25</v>
      </c>
      <c r="W198" s="78" t="s">
        <v>17969</v>
      </c>
      <c r="X198" s="62"/>
      <c r="Y198" s="63"/>
      <c r="Z198" s="75"/>
      <c r="AA198" s="1"/>
      <c r="AB198" s="68" t="s">
        <v>1</v>
      </c>
      <c r="AC198" s="76">
        <v>0.2</v>
      </c>
      <c r="AD198" s="70" t="s">
        <v>422</v>
      </c>
      <c r="AE198" s="228">
        <f>ROUND((ROUND((ROUND((ROUND((_15_同援日０．５*_15・通訳),0)*(1+_15・A深夜)),0)*(1+_15・盲ろう)),0)*(1+_15・区３)),0)+ROUND((ROUND((ROUND((ROUND((_15_同援日０．５＿２．０*_15・通訳),0)*(1+_15・B早朝)),0)*(1+_15・盲ろう)),0)*(1+_15・区３)),0)+ROUND((ROUND((ROUND((_15_同援日０．５＿２．０＿０．５*_15・通訳),0)*(1+_15・盲ろう)),0)*(1+_15・区３)),0)</f>
        <v>1074</v>
      </c>
      <c r="AF198" s="69"/>
    </row>
    <row r="199" spans="1:32" ht="16.5" customHeight="1" x14ac:dyDescent="0.3">
      <c r="A199" s="2">
        <v>15</v>
      </c>
      <c r="B199" s="2" t="s">
        <v>4262</v>
      </c>
      <c r="C199" s="60" t="s">
        <v>14498</v>
      </c>
      <c r="D199" s="1"/>
      <c r="E199" s="68"/>
      <c r="F199" s="70"/>
      <c r="G199" s="1"/>
      <c r="H199" s="68"/>
      <c r="I199" s="70"/>
      <c r="J199" s="1"/>
      <c r="K199" s="68"/>
      <c r="L199" s="70"/>
      <c r="M199" s="67"/>
      <c r="N199" s="68"/>
      <c r="O199" s="76"/>
      <c r="P199" s="83" t="s">
        <v>5895</v>
      </c>
      <c r="Q199" s="64" t="s">
        <v>1</v>
      </c>
      <c r="R199" s="65">
        <v>1</v>
      </c>
      <c r="S199" s="99"/>
      <c r="T199" s="100" t="s">
        <v>422</v>
      </c>
      <c r="U199" s="99"/>
      <c r="V199" s="100" t="s">
        <v>422</v>
      </c>
      <c r="W199" s="106" t="s">
        <v>18086</v>
      </c>
      <c r="X199" s="57" t="s">
        <v>1</v>
      </c>
      <c r="Y199" s="58">
        <v>0.25</v>
      </c>
      <c r="Z199" s="77" t="s">
        <v>422</v>
      </c>
      <c r="AA199" s="81"/>
      <c r="AB199" s="57"/>
      <c r="AC199" s="58"/>
      <c r="AD199" s="77"/>
      <c r="AE199" s="228">
        <f>ROUND((ROUND((ROUND((ROUND((ROUND((_15_同援日０．５*_15・通訳),0)*_15・２人),0)*(1+_15・A深夜)),0)*(1+_15・盲ろう)),0)*(1+_15・区３)),0)+ROUND((ROUND((ROUND((ROUND((ROUND((_15_同援日０．５＿２．０*_15・通訳),0)*_15・２人),0)*(1+_15・B早朝)),0)*(1+_15・盲ろう)),0)*(1+_15・区３)),0)+ROUND((ROUND((ROUND((ROUND((_15_同援日０．５＿２．０＿０．５*_15・通訳),0)*_15・２人),0)*(1+_15・盲ろう)),0)*(1+_15・区３)),0)</f>
        <v>1074</v>
      </c>
      <c r="AF199" s="69"/>
    </row>
    <row r="200" spans="1:32" ht="16.5" customHeight="1" x14ac:dyDescent="0.3">
      <c r="A200" s="2">
        <v>15</v>
      </c>
      <c r="B200" s="2" t="s">
        <v>4263</v>
      </c>
      <c r="C200" s="60" t="s">
        <v>14497</v>
      </c>
      <c r="D200" s="1"/>
      <c r="E200" s="68"/>
      <c r="F200" s="70"/>
      <c r="G200" s="1"/>
      <c r="H200" s="68"/>
      <c r="I200" s="70"/>
      <c r="J200" s="1"/>
      <c r="K200" s="68"/>
      <c r="L200" s="70"/>
      <c r="M200" s="67"/>
      <c r="N200" s="68"/>
      <c r="O200" s="76"/>
      <c r="P200" s="83"/>
      <c r="Q200" s="64"/>
      <c r="R200" s="65"/>
      <c r="S200" s="99"/>
      <c r="T200" s="70"/>
      <c r="U200" s="99"/>
      <c r="V200" s="70"/>
      <c r="W200" s="78"/>
      <c r="X200" s="62"/>
      <c r="Y200" s="63"/>
      <c r="Z200" s="75"/>
      <c r="AA200" s="74" t="s">
        <v>18094</v>
      </c>
      <c r="AB200" s="62"/>
      <c r="AC200" s="63"/>
      <c r="AD200" s="75"/>
      <c r="AE200" s="228">
        <f>ROUND((ROUND((ROUND((_15_同援日０．５*_15・通訳),0)*(1+_15・A深夜)),0)*(1+_15・区４)),0)+ROUND((ROUND((ROUND((_15_同援日０．５＿２．０*_15・通訳),0)*(1+_15・B早朝)),0)*(1+_15・区４)),0)+ROUND((ROUND((_15_同援日０．５＿２．０＿０．５*_15・通訳),0)*(1+_15・区４)),0)</f>
        <v>1003</v>
      </c>
      <c r="AF200" s="69"/>
    </row>
    <row r="201" spans="1:32" ht="16.5" customHeight="1" x14ac:dyDescent="0.3">
      <c r="A201" s="2">
        <v>15</v>
      </c>
      <c r="B201" s="2" t="s">
        <v>4264</v>
      </c>
      <c r="C201" s="60" t="s">
        <v>14496</v>
      </c>
      <c r="D201" s="1"/>
      <c r="E201" s="68"/>
      <c r="F201" s="70"/>
      <c r="G201" s="1"/>
      <c r="H201" s="68"/>
      <c r="I201" s="70"/>
      <c r="J201" s="1"/>
      <c r="K201" s="68"/>
      <c r="L201" s="70"/>
      <c r="M201" s="67"/>
      <c r="N201" s="68"/>
      <c r="O201" s="76"/>
      <c r="P201" s="83" t="s">
        <v>5895</v>
      </c>
      <c r="Q201" s="64" t="s">
        <v>1</v>
      </c>
      <c r="R201" s="65">
        <v>1</v>
      </c>
      <c r="S201" s="99"/>
      <c r="T201" s="70"/>
      <c r="U201" s="99"/>
      <c r="V201" s="70"/>
      <c r="W201" s="106"/>
      <c r="X201" s="57"/>
      <c r="Y201" s="58"/>
      <c r="Z201" s="77"/>
      <c r="AA201" s="1" t="s">
        <v>18084</v>
      </c>
      <c r="AB201" s="68"/>
      <c r="AC201" s="76"/>
      <c r="AD201" s="70"/>
      <c r="AE201" s="228">
        <f>ROUND((ROUND((ROUND((ROUND((_15_同援日０．５*_15・通訳),0)*_15・２人),0)*(1+_15・A深夜)),0)*(1+_15・区４)),0)+ROUND((ROUND((ROUND((ROUND((_15_同援日０．５＿２．０*_15・通訳),0)*_15・２人),0)*(1+_15・B早朝)),0)*(1+_15・区４)),0)+ROUND((ROUND((ROUND((_15_同援日０．５＿２．０＿０．５*_15・通訳),0)*_15・２人),0)*(1+_15・区４)),0)</f>
        <v>1003</v>
      </c>
      <c r="AF201" s="69"/>
    </row>
    <row r="202" spans="1:32" ht="16.5" customHeight="1" x14ac:dyDescent="0.3">
      <c r="A202" s="2">
        <v>15</v>
      </c>
      <c r="B202" s="2" t="s">
        <v>4265</v>
      </c>
      <c r="C202" s="60" t="s">
        <v>14495</v>
      </c>
      <c r="D202" s="1"/>
      <c r="E202" s="68"/>
      <c r="F202" s="70"/>
      <c r="G202" s="1"/>
      <c r="H202" s="68"/>
      <c r="I202" s="70"/>
      <c r="J202" s="1"/>
      <c r="K202" s="68"/>
      <c r="L202" s="70"/>
      <c r="M202" s="67"/>
      <c r="N202" s="68"/>
      <c r="O202" s="76"/>
      <c r="P202" s="83"/>
      <c r="Q202" s="64"/>
      <c r="R202" s="65"/>
      <c r="S202" s="99"/>
      <c r="T202" s="70"/>
      <c r="U202" s="99"/>
      <c r="V202" s="70"/>
      <c r="W202" s="78" t="s">
        <v>18087</v>
      </c>
      <c r="X202" s="62"/>
      <c r="Y202" s="63"/>
      <c r="Z202" s="75"/>
      <c r="AA202" s="1"/>
      <c r="AB202" s="68" t="s">
        <v>1</v>
      </c>
      <c r="AC202" s="76">
        <v>0.4</v>
      </c>
      <c r="AD202" s="70" t="s">
        <v>422</v>
      </c>
      <c r="AE202" s="228">
        <f>ROUND((ROUND((ROUND((ROUND((_15_同援日０．５*_15・通訳),0)*(1+_15・A深夜)),0)*(1+_15・盲ろう)),0)*(1+_15・区４)),0)+ROUND((ROUND((ROUND((ROUND((_15_同援日０．５＿２．０*_15・通訳),0)*(1+_15・B早朝)),0)*(1+_15・盲ろう)),0)*(1+_15・区４)),0)+ROUND((ROUND((ROUND((_15_同援日０．５＿２．０＿０．５*_15・通訳),0)*(1+_15・盲ろう)),0)*(1+_15・区４)),0)</f>
        <v>1252</v>
      </c>
      <c r="AF202" s="69"/>
    </row>
    <row r="203" spans="1:32" ht="16.5" customHeight="1" x14ac:dyDescent="0.3">
      <c r="A203" s="2">
        <v>15</v>
      </c>
      <c r="B203" s="2" t="s">
        <v>4266</v>
      </c>
      <c r="C203" s="60" t="s">
        <v>14494</v>
      </c>
      <c r="D203" s="81"/>
      <c r="E203" s="57"/>
      <c r="F203" s="77"/>
      <c r="G203" s="81"/>
      <c r="H203" s="57"/>
      <c r="I203" s="77"/>
      <c r="J203" s="81"/>
      <c r="K203" s="57"/>
      <c r="L203" s="77"/>
      <c r="M203" s="66"/>
      <c r="N203" s="57"/>
      <c r="O203" s="58"/>
      <c r="P203" s="83" t="s">
        <v>5895</v>
      </c>
      <c r="Q203" s="64" t="s">
        <v>1</v>
      </c>
      <c r="R203" s="65">
        <v>1</v>
      </c>
      <c r="S203" s="101"/>
      <c r="T203" s="77"/>
      <c r="U203" s="101"/>
      <c r="V203" s="77"/>
      <c r="W203" s="106" t="s">
        <v>17968</v>
      </c>
      <c r="X203" s="57" t="s">
        <v>1</v>
      </c>
      <c r="Y203" s="58">
        <v>0.25</v>
      </c>
      <c r="Z203" s="77" t="s">
        <v>422</v>
      </c>
      <c r="AA203" s="81"/>
      <c r="AB203" s="57"/>
      <c r="AC203" s="58"/>
      <c r="AD203" s="77"/>
      <c r="AE203" s="228">
        <f>ROUND((ROUND((ROUND((ROUND((ROUND((_15_同援日０．５*_15・通訳),0)*_15・２人),0)*(1+_15・A深夜)),0)*(1+_15・盲ろう)),0)*(1+_15・区４)),0)+ROUND((ROUND((ROUND((ROUND((ROUND((_15_同援日０．５＿２．０*_15・通訳),0)*_15・２人),0)*(1+_15・B早朝)),0)*(1+_15・盲ろう)),0)*(1+_15・区４)),0)+ROUND((ROUND((ROUND((ROUND((_15_同援日０．５＿２．０＿０．５*_15・通訳),0)*_15・２人),0)*(1+_15・盲ろう)),0)*(1+_15・区４)),0)</f>
        <v>1252</v>
      </c>
      <c r="AF203" s="71"/>
    </row>
    <row r="204" spans="1:32" ht="16.5" customHeight="1" x14ac:dyDescent="0.3"/>
    <row r="205" spans="1:3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39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0000"/>
    <pageSetUpPr fitToPage="1"/>
  </sheetPr>
  <dimension ref="A1:AC18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5.62890625" style="45" customWidth="1"/>
    <col min="5" max="5" width="4.1015625" style="46" bestFit="1" customWidth="1"/>
    <col min="6" max="6" width="4.734375" style="46" bestFit="1" customWidth="1"/>
    <col min="7" max="7" width="5.62890625" style="45" customWidth="1"/>
    <col min="8" max="8" width="4.1015625" style="46" bestFit="1" customWidth="1"/>
    <col min="9" max="9" width="4.734375" style="46" bestFit="1" customWidth="1"/>
    <col min="10" max="10" width="15.62890625" style="46" customWidth="1"/>
    <col min="11" max="11" width="3.1015625" style="46" bestFit="1" customWidth="1"/>
    <col min="12" max="12" width="4.1015625" style="47" bestFit="1" customWidth="1"/>
    <col min="13" max="13" width="25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4.1015625" style="47" bestFit="1" customWidth="1"/>
    <col min="19" max="19" width="4.734375" style="46" bestFit="1" customWidth="1"/>
    <col min="20" max="20" width="20.62890625" style="46" customWidth="1"/>
    <col min="21" max="21" width="3.1015625" style="46" bestFit="1" customWidth="1"/>
    <col min="22" max="22" width="4.1015625" style="47" bestFit="1" customWidth="1"/>
    <col min="23" max="23" width="4.734375" style="46" bestFit="1" customWidth="1"/>
    <col min="24" max="24" width="8.62890625" style="46" customWidth="1"/>
    <col min="25" max="25" width="3.1015625" style="46" bestFit="1" customWidth="1"/>
    <col min="26" max="26" width="4.1015625" style="47" bestFit="1" customWidth="1"/>
    <col min="27" max="27" width="4.734375" style="46" bestFit="1" customWidth="1"/>
    <col min="28" max="28" width="6.3671875" style="84" bestFit="1" customWidth="1"/>
    <col min="29" max="29" width="7.734375" style="48" bestFit="1" customWidth="1"/>
    <col min="30" max="16384" width="9" style="49"/>
  </cols>
  <sheetData>
    <row r="1" spans="1:29" ht="16.5" customHeight="1" x14ac:dyDescent="0.3"/>
    <row r="2" spans="1:29" ht="16.5" customHeight="1" x14ac:dyDescent="0.3"/>
    <row r="3" spans="1:29" ht="16.5" customHeight="1" x14ac:dyDescent="0.3"/>
    <row r="4" spans="1:29" ht="16.5" customHeight="1" x14ac:dyDescent="0.3">
      <c r="B4" s="229" t="s">
        <v>18352</v>
      </c>
      <c r="C4" s="131"/>
      <c r="D4" s="72"/>
    </row>
    <row r="5" spans="1:29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4"/>
      <c r="S5" s="53"/>
      <c r="T5" s="53"/>
      <c r="U5" s="53"/>
      <c r="V5" s="54"/>
      <c r="W5" s="53"/>
      <c r="X5" s="53"/>
      <c r="Y5" s="53"/>
      <c r="Z5" s="54"/>
      <c r="AA5" s="53"/>
      <c r="AB5" s="55" t="s">
        <v>5869</v>
      </c>
      <c r="AC5" s="55" t="s">
        <v>5871</v>
      </c>
    </row>
    <row r="6" spans="1:29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80" t="s">
        <v>18351</v>
      </c>
      <c r="H6" s="86"/>
      <c r="I6" s="87"/>
      <c r="J6" s="57"/>
      <c r="K6" s="57"/>
      <c r="L6" s="58"/>
      <c r="M6" s="57"/>
      <c r="N6" s="57"/>
      <c r="O6" s="58"/>
      <c r="P6" s="58"/>
      <c r="Q6" s="57"/>
      <c r="R6" s="58"/>
      <c r="S6" s="57"/>
      <c r="T6" s="57"/>
      <c r="U6" s="57"/>
      <c r="V6" s="58"/>
      <c r="W6" s="57"/>
      <c r="X6" s="57"/>
      <c r="Y6" s="57"/>
      <c r="Z6" s="58"/>
      <c r="AA6" s="57"/>
      <c r="AB6" s="59" t="s">
        <v>5870</v>
      </c>
      <c r="AC6" s="59" t="s">
        <v>0</v>
      </c>
    </row>
    <row r="7" spans="1:29" ht="16.5" customHeight="1" x14ac:dyDescent="0.3">
      <c r="A7" s="2">
        <v>15</v>
      </c>
      <c r="B7" s="2" t="s">
        <v>4267</v>
      </c>
      <c r="C7" s="60" t="s">
        <v>14865</v>
      </c>
      <c r="D7" s="233" t="s">
        <v>18350</v>
      </c>
      <c r="E7" s="62"/>
      <c r="F7" s="75"/>
      <c r="G7" s="233" t="s">
        <v>6187</v>
      </c>
      <c r="H7" s="62"/>
      <c r="I7" s="75"/>
      <c r="J7" s="61"/>
      <c r="K7" s="62"/>
      <c r="L7" s="63"/>
      <c r="M7" s="83"/>
      <c r="N7" s="64"/>
      <c r="O7" s="65"/>
      <c r="P7" s="98"/>
      <c r="Q7" s="75"/>
      <c r="R7" s="98"/>
      <c r="S7" s="75"/>
      <c r="T7" s="74"/>
      <c r="U7" s="62"/>
      <c r="V7" s="63"/>
      <c r="W7" s="75"/>
      <c r="X7" s="74"/>
      <c r="Y7" s="62"/>
      <c r="Z7" s="63"/>
      <c r="AA7" s="75"/>
      <c r="AB7" s="228">
        <f>ROUND((ROUND((_15_同援日０．５*_15・通訳),0)*(1+_15・A夜間)),0)+ROUND((ROUND((_15_同援日０．５＿０．５*_15・通訳),0)*(1+_15・B深夜)),0)</f>
        <v>354</v>
      </c>
      <c r="AC7" s="52" t="s">
        <v>5863</v>
      </c>
    </row>
    <row r="8" spans="1:29" ht="16.5" customHeight="1" x14ac:dyDescent="0.3">
      <c r="A8" s="2">
        <v>15</v>
      </c>
      <c r="B8" s="2" t="s">
        <v>4268</v>
      </c>
      <c r="C8" s="60" t="s">
        <v>14864</v>
      </c>
      <c r="D8" s="1" t="s">
        <v>7928</v>
      </c>
      <c r="E8" s="68"/>
      <c r="F8" s="70"/>
      <c r="G8" s="1" t="s">
        <v>7928</v>
      </c>
      <c r="H8" s="68"/>
      <c r="I8" s="70"/>
      <c r="J8" s="67"/>
      <c r="K8" s="68"/>
      <c r="L8" s="76"/>
      <c r="M8" s="83" t="s">
        <v>5895</v>
      </c>
      <c r="N8" s="64" t="s">
        <v>1</v>
      </c>
      <c r="O8" s="65">
        <v>1</v>
      </c>
      <c r="P8" s="99"/>
      <c r="Q8" s="70"/>
      <c r="R8" s="99"/>
      <c r="S8" s="70"/>
      <c r="T8" s="81"/>
      <c r="U8" s="57"/>
      <c r="V8" s="58"/>
      <c r="W8" s="77"/>
      <c r="X8" s="1"/>
      <c r="Y8" s="68"/>
      <c r="Z8" s="76"/>
      <c r="AA8" s="70"/>
      <c r="AB8" s="228">
        <f>ROUND((ROUND((ROUND((_15_同援日０．５*_15・通訳),0)*_15・２人),0)*(1+_15・A夜間)),0)+ROUND((ROUND((ROUND((_15_同援日０．５＿０．５*_15・通訳),0)*_15・２人),0)*(1+_15・B深夜)),0)</f>
        <v>354</v>
      </c>
      <c r="AC8" s="69"/>
    </row>
    <row r="9" spans="1:29" ht="16.5" customHeight="1" x14ac:dyDescent="0.3">
      <c r="A9" s="2">
        <v>15</v>
      </c>
      <c r="B9" s="2" t="s">
        <v>4269</v>
      </c>
      <c r="C9" s="60" t="s">
        <v>14863</v>
      </c>
      <c r="D9" s="1"/>
      <c r="E9" s="68"/>
      <c r="F9" s="70"/>
      <c r="G9" s="1"/>
      <c r="H9" s="68"/>
      <c r="I9" s="70"/>
      <c r="J9" s="67"/>
      <c r="K9" s="68"/>
      <c r="L9" s="76"/>
      <c r="M9" s="83"/>
      <c r="N9" s="64"/>
      <c r="O9" s="65"/>
      <c r="P9" s="99"/>
      <c r="Q9" s="70"/>
      <c r="R9" s="99"/>
      <c r="S9" s="70"/>
      <c r="T9" s="74" t="s">
        <v>18333</v>
      </c>
      <c r="U9" s="62"/>
      <c r="V9" s="63"/>
      <c r="W9" s="75"/>
      <c r="X9" s="1"/>
      <c r="Y9" s="68"/>
      <c r="Z9" s="76"/>
      <c r="AA9" s="70"/>
      <c r="AB9" s="228">
        <f>ROUND((ROUND((ROUND((_15_同援日０．５*_15・通訳),0)*(1+_15・A夜間)),0)*(1+_15・盲ろう)),0)+ROUND((ROUND((ROUND((_15_同援日０．５＿０．５*_15・通訳),0)*(1+_15・B深夜)),0)*(1+_15・盲ろう)),0)</f>
        <v>443</v>
      </c>
      <c r="AC9" s="69"/>
    </row>
    <row r="10" spans="1:29" ht="16.5" customHeight="1" x14ac:dyDescent="0.3">
      <c r="A10" s="2">
        <v>15</v>
      </c>
      <c r="B10" s="2" t="s">
        <v>4270</v>
      </c>
      <c r="C10" s="60" t="s">
        <v>14862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67"/>
      <c r="K10" s="68"/>
      <c r="L10" s="76"/>
      <c r="M10" s="83" t="s">
        <v>5895</v>
      </c>
      <c r="N10" s="64" t="s">
        <v>1</v>
      </c>
      <c r="O10" s="65">
        <v>1</v>
      </c>
      <c r="P10" s="99"/>
      <c r="Q10" s="70"/>
      <c r="R10" s="99"/>
      <c r="S10" s="70"/>
      <c r="T10" s="81" t="s">
        <v>18332</v>
      </c>
      <c r="U10" s="57" t="s">
        <v>1</v>
      </c>
      <c r="V10" s="58">
        <v>0.25</v>
      </c>
      <c r="W10" s="77" t="s">
        <v>422</v>
      </c>
      <c r="X10" s="81"/>
      <c r="Y10" s="57"/>
      <c r="Z10" s="58"/>
      <c r="AA10" s="77"/>
      <c r="AB10" s="228">
        <f>ROUND((ROUND((ROUND((ROUND((_15_同援日０．５*_15・通訳),0)*_15・２人),0)*(1+_15・A夜間)),0)*(1+_15・盲ろう)),0)+ROUND((ROUND((ROUND((ROUND((_15_同援日０．５＿０．５*_15・通訳),0)*_15・２人),0)*(1+_15・B深夜)),0)*(1+_15・盲ろう)),0)</f>
        <v>443</v>
      </c>
      <c r="AC10" s="69"/>
    </row>
    <row r="11" spans="1:29" ht="16.5" customHeight="1" x14ac:dyDescent="0.3">
      <c r="A11" s="2">
        <v>15</v>
      </c>
      <c r="B11" s="2" t="s">
        <v>4271</v>
      </c>
      <c r="C11" s="60" t="s">
        <v>14861</v>
      </c>
      <c r="D11" s="1"/>
      <c r="E11" s="68"/>
      <c r="F11" s="70"/>
      <c r="G11" s="1"/>
      <c r="H11" s="68"/>
      <c r="I11" s="70"/>
      <c r="J11" s="67"/>
      <c r="K11" s="68"/>
      <c r="L11" s="76"/>
      <c r="M11" s="83"/>
      <c r="N11" s="64"/>
      <c r="O11" s="65"/>
      <c r="P11" s="99"/>
      <c r="Q11" s="70"/>
      <c r="R11" s="99"/>
      <c r="S11" s="70"/>
      <c r="T11" s="74"/>
      <c r="U11" s="62"/>
      <c r="V11" s="63"/>
      <c r="W11" s="75"/>
      <c r="X11" s="74" t="s">
        <v>18336</v>
      </c>
      <c r="Y11" s="62"/>
      <c r="Z11" s="63"/>
      <c r="AA11" s="75"/>
      <c r="AB11" s="228">
        <f>ROUND((ROUND((ROUND((_15_同援日０．５*_15・通訳),0)*(1+_15・A夜間)),0)*(1+_15・区３)),0)+ROUND((ROUND((ROUND((_15_同援日０．５＿０．５*_15・通訳),0)*(1+_15・B深夜)),0)*(1+_15・区３)),0)</f>
        <v>425</v>
      </c>
      <c r="AC11" s="69"/>
    </row>
    <row r="12" spans="1:29" ht="16.5" customHeight="1" x14ac:dyDescent="0.3">
      <c r="A12" s="2">
        <v>15</v>
      </c>
      <c r="B12" s="2" t="s">
        <v>4272</v>
      </c>
      <c r="C12" s="60" t="s">
        <v>14860</v>
      </c>
      <c r="D12" s="1"/>
      <c r="E12" s="68"/>
      <c r="F12" s="70"/>
      <c r="G12" s="1"/>
      <c r="H12" s="68"/>
      <c r="I12" s="70"/>
      <c r="J12" s="1" t="s">
        <v>13802</v>
      </c>
      <c r="K12" s="68"/>
      <c r="L12" s="76"/>
      <c r="M12" s="83" t="s">
        <v>5895</v>
      </c>
      <c r="N12" s="64" t="s">
        <v>1</v>
      </c>
      <c r="O12" s="65">
        <v>1</v>
      </c>
      <c r="P12" s="108" t="s">
        <v>7743</v>
      </c>
      <c r="Q12" s="70"/>
      <c r="R12" s="113" t="s">
        <v>7920</v>
      </c>
      <c r="S12" s="70"/>
      <c r="T12" s="81"/>
      <c r="U12" s="57"/>
      <c r="V12" s="58"/>
      <c r="W12" s="77"/>
      <c r="X12" s="1" t="s">
        <v>18334</v>
      </c>
      <c r="Y12" s="68"/>
      <c r="Z12" s="76"/>
      <c r="AA12" s="70"/>
      <c r="AB12" s="228">
        <f>ROUND((ROUND((ROUND((ROUND((_15_同援日０．５*_15・通訳),0)*_15・２人),0)*(1+_15・A夜間)),0)*(1+_15・区３)),0)+ROUND((ROUND((ROUND((ROUND((_15_同援日０．５＿０．５*_15・通訳),0)*_15・２人),0)*(1+_15・B深夜)),0)*(1+_15・区３)),0)</f>
        <v>425</v>
      </c>
      <c r="AC12" s="69"/>
    </row>
    <row r="13" spans="1:29" ht="16.5" customHeight="1" x14ac:dyDescent="0.3">
      <c r="A13" s="2">
        <v>15</v>
      </c>
      <c r="B13" s="2" t="s">
        <v>4273</v>
      </c>
      <c r="C13" s="60" t="s">
        <v>14859</v>
      </c>
      <c r="D13" s="1"/>
      <c r="E13" s="68"/>
      <c r="F13" s="70"/>
      <c r="G13" s="1"/>
      <c r="H13" s="68"/>
      <c r="I13" s="70"/>
      <c r="J13" s="94" t="s">
        <v>13800</v>
      </c>
      <c r="K13" s="68" t="s">
        <v>1</v>
      </c>
      <c r="L13" s="76">
        <v>0.9</v>
      </c>
      <c r="M13" s="83"/>
      <c r="N13" s="64"/>
      <c r="O13" s="65"/>
      <c r="P13" s="99"/>
      <c r="Q13" s="110" t="s">
        <v>7948</v>
      </c>
      <c r="R13" s="99"/>
      <c r="S13" s="110" t="s">
        <v>11531</v>
      </c>
      <c r="T13" s="74" t="s">
        <v>18333</v>
      </c>
      <c r="U13" s="62"/>
      <c r="V13" s="63"/>
      <c r="W13" s="75"/>
      <c r="X13" s="1"/>
      <c r="Y13" s="68" t="s">
        <v>1</v>
      </c>
      <c r="Z13" s="76">
        <v>0.2</v>
      </c>
      <c r="AA13" s="70" t="s">
        <v>422</v>
      </c>
      <c r="AB13" s="228">
        <f>ROUND((ROUND((ROUND((ROUND((_15_同援日０．５*_15・通訳),0)*(1+_15・A夜間)),0)*(1+_15・盲ろう)),0)*(1+_15・区３)),0)+ROUND((ROUND((ROUND((ROUND((_15_同援日０．５＿０．５*_15・通訳),0)*(1+_15・B深夜)),0)*(1+_15・盲ろう)),0)*(1+_15・区３)),0)</f>
        <v>532</v>
      </c>
      <c r="AC13" s="69"/>
    </row>
    <row r="14" spans="1:29" ht="16.5" customHeight="1" x14ac:dyDescent="0.3">
      <c r="A14" s="2">
        <v>15</v>
      </c>
      <c r="B14" s="2" t="s">
        <v>4274</v>
      </c>
      <c r="C14" s="60" t="s">
        <v>14858</v>
      </c>
      <c r="D14" s="1"/>
      <c r="E14" s="68"/>
      <c r="F14" s="70"/>
      <c r="G14" s="1"/>
      <c r="H14" s="68"/>
      <c r="I14" s="70"/>
      <c r="J14" s="67"/>
      <c r="K14" s="68"/>
      <c r="L14" s="76"/>
      <c r="M14" s="83" t="s">
        <v>5895</v>
      </c>
      <c r="N14" s="64" t="s">
        <v>1</v>
      </c>
      <c r="O14" s="65">
        <v>1</v>
      </c>
      <c r="P14" s="99"/>
      <c r="Q14" s="70"/>
      <c r="R14" s="99"/>
      <c r="S14" s="70"/>
      <c r="T14" s="81" t="s">
        <v>18332</v>
      </c>
      <c r="U14" s="57" t="s">
        <v>1</v>
      </c>
      <c r="V14" s="58">
        <v>0.25</v>
      </c>
      <c r="W14" s="77" t="s">
        <v>422</v>
      </c>
      <c r="X14" s="81"/>
      <c r="Y14" s="57"/>
      <c r="Z14" s="58"/>
      <c r="AA14" s="77"/>
      <c r="AB14" s="228">
        <f>ROUND((ROUND((ROUND((ROUND((ROUND((_15_同援日０．５*_15・通訳),0)*_15・２人),0)*(1+_15・A夜間)),0)*(1+_15・盲ろう)),0)*(1+_15・区３)),0)+ROUND((ROUND((ROUND((ROUND((ROUND((_15_同援日０．５＿０．５*_15・通訳),0)*_15・２人),0)*(1+_15・B深夜)),0)*(1+_15・盲ろう)),0)*(1+_15・区３)),0)</f>
        <v>532</v>
      </c>
      <c r="AC14" s="69"/>
    </row>
    <row r="15" spans="1:29" ht="16.5" customHeight="1" x14ac:dyDescent="0.3">
      <c r="A15" s="2">
        <v>15</v>
      </c>
      <c r="B15" s="2" t="s">
        <v>4275</v>
      </c>
      <c r="C15" s="60" t="s">
        <v>14857</v>
      </c>
      <c r="D15" s="1"/>
      <c r="E15" s="68"/>
      <c r="F15" s="70"/>
      <c r="G15" s="1"/>
      <c r="H15" s="68"/>
      <c r="I15" s="70"/>
      <c r="J15" s="67"/>
      <c r="K15" s="68"/>
      <c r="L15" s="76"/>
      <c r="M15" s="83"/>
      <c r="N15" s="64"/>
      <c r="O15" s="65"/>
      <c r="P15" s="67" t="s">
        <v>1</v>
      </c>
      <c r="Q15" s="93">
        <v>0.25</v>
      </c>
      <c r="R15" s="67" t="s">
        <v>1</v>
      </c>
      <c r="S15" s="93">
        <v>0.5</v>
      </c>
      <c r="T15" s="74"/>
      <c r="U15" s="62"/>
      <c r="V15" s="63"/>
      <c r="W15" s="75"/>
      <c r="X15" s="74" t="s">
        <v>18335</v>
      </c>
      <c r="Y15" s="62"/>
      <c r="Z15" s="63"/>
      <c r="AA15" s="75"/>
      <c r="AB15" s="228">
        <f>ROUND((ROUND((ROUND((_15_同援日０．５*_15・通訳),0)*(1+_15・A夜間)),0)*(1+_15・区４)),0)+ROUND((ROUND((ROUND((_15_同援日０．５＿０．５*_15・通訳),0)*(1+_15・B深夜)),0)*(1+_15・区４)),0)</f>
        <v>495</v>
      </c>
      <c r="AC15" s="69"/>
    </row>
    <row r="16" spans="1:29" ht="16.5" customHeight="1" x14ac:dyDescent="0.3">
      <c r="A16" s="2">
        <v>15</v>
      </c>
      <c r="B16" s="2" t="s">
        <v>4276</v>
      </c>
      <c r="C16" s="60" t="s">
        <v>14856</v>
      </c>
      <c r="D16" s="1"/>
      <c r="E16" s="68"/>
      <c r="F16" s="70"/>
      <c r="G16" s="1"/>
      <c r="H16" s="68"/>
      <c r="I16" s="70"/>
      <c r="J16" s="67"/>
      <c r="K16" s="68"/>
      <c r="L16" s="76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99"/>
      <c r="S16" s="100" t="s">
        <v>422</v>
      </c>
      <c r="T16" s="81"/>
      <c r="U16" s="57"/>
      <c r="V16" s="58"/>
      <c r="W16" s="77"/>
      <c r="X16" s="1" t="s">
        <v>8087</v>
      </c>
      <c r="Y16" s="68"/>
      <c r="Z16" s="76"/>
      <c r="AA16" s="70"/>
      <c r="AB16" s="228">
        <f>ROUND((ROUND((ROUND((ROUND((_15_同援日０．５*_15・通訳),0)*_15・２人),0)*(1+_15・A夜間)),0)*(1+_15・区４)),0)+ROUND((ROUND((ROUND((ROUND((_15_同援日０．５＿０．５*_15・通訳),0)*_15・２人),0)*(1+_15・B深夜)),0)*(1+_15・区４)),0)</f>
        <v>495</v>
      </c>
      <c r="AC16" s="69"/>
    </row>
    <row r="17" spans="1:29" ht="16.5" customHeight="1" x14ac:dyDescent="0.3">
      <c r="A17" s="2">
        <v>15</v>
      </c>
      <c r="B17" s="2" t="s">
        <v>4277</v>
      </c>
      <c r="C17" s="60" t="s">
        <v>14855</v>
      </c>
      <c r="D17" s="1"/>
      <c r="E17" s="68"/>
      <c r="F17" s="70"/>
      <c r="G17" s="1"/>
      <c r="H17" s="68"/>
      <c r="I17" s="70"/>
      <c r="J17" s="67"/>
      <c r="K17" s="68"/>
      <c r="L17" s="76"/>
      <c r="M17" s="83"/>
      <c r="N17" s="64"/>
      <c r="O17" s="65"/>
      <c r="P17" s="99"/>
      <c r="Q17" s="70"/>
      <c r="R17" s="99"/>
      <c r="S17" s="70"/>
      <c r="T17" s="74" t="s">
        <v>8085</v>
      </c>
      <c r="U17" s="62"/>
      <c r="V17" s="63"/>
      <c r="W17" s="75"/>
      <c r="X17" s="1"/>
      <c r="Y17" s="68" t="s">
        <v>1</v>
      </c>
      <c r="Z17" s="76">
        <v>0.4</v>
      </c>
      <c r="AA17" s="70" t="s">
        <v>422</v>
      </c>
      <c r="AB17" s="228">
        <f>ROUND((ROUND((ROUND((ROUND((_15_同援日０．５*_15・通訳),0)*(1+_15・A夜間)),0)*(1+_15・盲ろう)),0)*(1+_15・区４)),0)+ROUND((ROUND((ROUND((ROUND((_15_同援日０．５＿０．５*_15・通訳),0)*(1+_15・B深夜)),0)*(1+_15・盲ろう)),0)*(1+_15・区４)),0)</f>
        <v>620</v>
      </c>
      <c r="AC17" s="69"/>
    </row>
    <row r="18" spans="1:29" ht="16.5" customHeight="1" x14ac:dyDescent="0.3">
      <c r="A18" s="2">
        <v>15</v>
      </c>
      <c r="B18" s="2" t="s">
        <v>4278</v>
      </c>
      <c r="C18" s="60" t="s">
        <v>14854</v>
      </c>
      <c r="D18" s="1"/>
      <c r="E18" s="68"/>
      <c r="F18" s="70"/>
      <c r="G18" s="81"/>
      <c r="H18" s="57"/>
      <c r="I18" s="77"/>
      <c r="J18" s="67"/>
      <c r="K18" s="68"/>
      <c r="L18" s="76"/>
      <c r="M18" s="83" t="s">
        <v>5895</v>
      </c>
      <c r="N18" s="64" t="s">
        <v>1</v>
      </c>
      <c r="O18" s="65">
        <v>1</v>
      </c>
      <c r="P18" s="99"/>
      <c r="Q18" s="70"/>
      <c r="R18" s="99"/>
      <c r="S18" s="70"/>
      <c r="T18" s="81" t="s">
        <v>18332</v>
      </c>
      <c r="U18" s="57" t="s">
        <v>1</v>
      </c>
      <c r="V18" s="58">
        <v>0.25</v>
      </c>
      <c r="W18" s="77" t="s">
        <v>422</v>
      </c>
      <c r="X18" s="81"/>
      <c r="Y18" s="57"/>
      <c r="Z18" s="58"/>
      <c r="AA18" s="77"/>
      <c r="AB18" s="228">
        <f>ROUND((ROUND((ROUND((ROUND((ROUND((_15_同援日０．５*_15・通訳),0)*_15・２人),0)*(1+_15・A夜間)),0)*(1+_15・盲ろう)),0)*(1+_15・区４)),0)+ROUND((ROUND((ROUND((ROUND((ROUND((_15_同援日０．５＿０．５*_15・通訳),0)*_15・２人),0)*(1+_15・B深夜)),0)*(1+_15・盲ろう)),0)*(1+_15・区４)),0)</f>
        <v>620</v>
      </c>
      <c r="AC18" s="69"/>
    </row>
    <row r="19" spans="1:29" ht="16.5" customHeight="1" x14ac:dyDescent="0.3">
      <c r="A19" s="2">
        <v>15</v>
      </c>
      <c r="B19" s="2" t="s">
        <v>4279</v>
      </c>
      <c r="C19" s="60" t="s">
        <v>14853</v>
      </c>
      <c r="D19" s="1"/>
      <c r="E19" s="68"/>
      <c r="F19" s="70"/>
      <c r="G19" s="233" t="s">
        <v>18341</v>
      </c>
      <c r="H19" s="62"/>
      <c r="I19" s="75"/>
      <c r="J19" s="67"/>
      <c r="K19" s="68"/>
      <c r="L19" s="76"/>
      <c r="M19" s="83"/>
      <c r="N19" s="64"/>
      <c r="O19" s="65"/>
      <c r="P19" s="99"/>
      <c r="Q19" s="70"/>
      <c r="R19" s="99"/>
      <c r="S19" s="70"/>
      <c r="T19" s="74"/>
      <c r="U19" s="62"/>
      <c r="V19" s="63"/>
      <c r="W19" s="75"/>
      <c r="X19" s="74"/>
      <c r="Y19" s="62"/>
      <c r="Z19" s="63"/>
      <c r="AA19" s="75"/>
      <c r="AB19" s="228">
        <f>ROUND((ROUND((_15_同援日０．５*_15・通訳),0)*(1+_15・A夜間)),0)+ROUND((ROUND((_15_同援日０．５＿１．０*_15・通訳),0)*(1+_15・B深夜)),0)</f>
        <v>528</v>
      </c>
      <c r="AC19" s="69"/>
    </row>
    <row r="20" spans="1:29" ht="16.5" customHeight="1" x14ac:dyDescent="0.3">
      <c r="A20" s="2">
        <v>15</v>
      </c>
      <c r="B20" s="2" t="s">
        <v>4280</v>
      </c>
      <c r="C20" s="60" t="s">
        <v>14852</v>
      </c>
      <c r="D20" s="1"/>
      <c r="E20" s="68"/>
      <c r="F20" s="70"/>
      <c r="G20" s="1" t="s">
        <v>18340</v>
      </c>
      <c r="H20" s="68"/>
      <c r="I20" s="70"/>
      <c r="J20" s="67"/>
      <c r="K20" s="68"/>
      <c r="L20" s="76"/>
      <c r="M20" s="83" t="s">
        <v>5895</v>
      </c>
      <c r="N20" s="64" t="s">
        <v>1</v>
      </c>
      <c r="O20" s="65">
        <v>1</v>
      </c>
      <c r="P20" s="99"/>
      <c r="Q20" s="70"/>
      <c r="R20" s="99"/>
      <c r="S20" s="70"/>
      <c r="T20" s="81"/>
      <c r="U20" s="57"/>
      <c r="V20" s="58"/>
      <c r="W20" s="77"/>
      <c r="X20" s="1"/>
      <c r="Y20" s="68"/>
      <c r="Z20" s="76"/>
      <c r="AA20" s="70"/>
      <c r="AB20" s="228">
        <f>ROUND((ROUND((ROUND((_15_同援日０．５*_15・通訳),0)*_15・２人),0)*(1+_15・A夜間)),0)+ROUND((ROUND((ROUND((_15_同援日０．５＿１．０*_15・通訳),0)*_15・２人),0)*(1+_15・B深夜)),0)</f>
        <v>528</v>
      </c>
      <c r="AC20" s="69"/>
    </row>
    <row r="21" spans="1:29" ht="16.5" customHeight="1" x14ac:dyDescent="0.3">
      <c r="A21" s="2">
        <v>15</v>
      </c>
      <c r="B21" s="2" t="s">
        <v>4281</v>
      </c>
      <c r="C21" s="60" t="s">
        <v>14851</v>
      </c>
      <c r="D21" s="1"/>
      <c r="E21" s="68"/>
      <c r="F21" s="70"/>
      <c r="G21" s="1" t="s">
        <v>8572</v>
      </c>
      <c r="H21" s="68"/>
      <c r="I21" s="70"/>
      <c r="J21" s="67"/>
      <c r="K21" s="68"/>
      <c r="L21" s="76"/>
      <c r="M21" s="83"/>
      <c r="N21" s="64"/>
      <c r="O21" s="65"/>
      <c r="P21" s="99"/>
      <c r="Q21" s="70"/>
      <c r="R21" s="99"/>
      <c r="S21" s="70"/>
      <c r="T21" s="74" t="s">
        <v>18333</v>
      </c>
      <c r="U21" s="62"/>
      <c r="V21" s="63"/>
      <c r="W21" s="75"/>
      <c r="X21" s="1"/>
      <c r="Y21" s="68"/>
      <c r="Z21" s="76"/>
      <c r="AA21" s="70"/>
      <c r="AB21" s="228">
        <f>ROUND((ROUND((ROUND((_15_同援日０．５*_15・通訳),0)*(1+_15・A夜間)),0)*(1+_15・盲ろう)),0)+ROUND((ROUND((ROUND((_15_同援日０．５＿１．０*_15・通訳),0)*(1+_15・B深夜)),0)*(1+_15・盲ろう)),0)</f>
        <v>660</v>
      </c>
      <c r="AC21" s="69"/>
    </row>
    <row r="22" spans="1:29" ht="16.5" customHeight="1" x14ac:dyDescent="0.3">
      <c r="A22" s="2">
        <v>15</v>
      </c>
      <c r="B22" s="2" t="s">
        <v>4282</v>
      </c>
      <c r="C22" s="60" t="s">
        <v>14850</v>
      </c>
      <c r="D22" s="1"/>
      <c r="E22" s="68"/>
      <c r="F22" s="70"/>
      <c r="G22" s="1"/>
      <c r="H22" s="227">
        <v>237</v>
      </c>
      <c r="I22" s="70" t="s">
        <v>0</v>
      </c>
      <c r="J22" s="67"/>
      <c r="K22" s="68"/>
      <c r="L22" s="76"/>
      <c r="M22" s="83" t="s">
        <v>5895</v>
      </c>
      <c r="N22" s="64" t="s">
        <v>1</v>
      </c>
      <c r="O22" s="65">
        <v>1</v>
      </c>
      <c r="P22" s="99"/>
      <c r="Q22" s="70"/>
      <c r="R22" s="99"/>
      <c r="S22" s="70"/>
      <c r="T22" s="81" t="s">
        <v>18332</v>
      </c>
      <c r="U22" s="57" t="s">
        <v>1</v>
      </c>
      <c r="V22" s="58">
        <v>0.25</v>
      </c>
      <c r="W22" s="77" t="s">
        <v>422</v>
      </c>
      <c r="X22" s="81"/>
      <c r="Y22" s="57"/>
      <c r="Z22" s="58"/>
      <c r="AA22" s="77"/>
      <c r="AB22" s="228">
        <f>ROUND((ROUND((ROUND((ROUND((_15_同援日０．５*_15・通訳),0)*_15・２人),0)*(1+_15・A夜間)),0)*(1+_15・盲ろう)),0)+ROUND((ROUND((ROUND((ROUND((_15_同援日０．５＿１．０*_15・通訳),0)*_15・２人),0)*(1+_15・B深夜)),0)*(1+_15・盲ろう)),0)</f>
        <v>660</v>
      </c>
      <c r="AC22" s="69"/>
    </row>
    <row r="23" spans="1:29" ht="16.5" customHeight="1" x14ac:dyDescent="0.3">
      <c r="A23" s="2">
        <v>15</v>
      </c>
      <c r="B23" s="2" t="s">
        <v>4283</v>
      </c>
      <c r="C23" s="60" t="s">
        <v>14849</v>
      </c>
      <c r="D23" s="1"/>
      <c r="E23" s="68"/>
      <c r="F23" s="70"/>
      <c r="G23" s="1"/>
      <c r="H23" s="68"/>
      <c r="I23" s="70"/>
      <c r="J23" s="67"/>
      <c r="K23" s="68"/>
      <c r="L23" s="76"/>
      <c r="M23" s="83"/>
      <c r="N23" s="64"/>
      <c r="O23" s="65"/>
      <c r="P23" s="99"/>
      <c r="Q23" s="70"/>
      <c r="R23" s="99"/>
      <c r="S23" s="70"/>
      <c r="T23" s="74"/>
      <c r="U23" s="62"/>
      <c r="V23" s="63"/>
      <c r="W23" s="75"/>
      <c r="X23" s="74" t="s">
        <v>18336</v>
      </c>
      <c r="Y23" s="62"/>
      <c r="Z23" s="63"/>
      <c r="AA23" s="75"/>
      <c r="AB23" s="228">
        <f>ROUND((ROUND((ROUND((_15_同援日０．５*_15・通訳),0)*(1+_15・A夜間)),0)*(1+_15・区３)),0)+ROUND((ROUND((ROUND((_15_同援日０．５＿１．０*_15・通訳),0)*(1+_15・B深夜)),0)*(1+_15・区３)),0)</f>
        <v>634</v>
      </c>
      <c r="AC23" s="69"/>
    </row>
    <row r="24" spans="1:29" ht="16.5" customHeight="1" x14ac:dyDescent="0.3">
      <c r="A24" s="2">
        <v>15</v>
      </c>
      <c r="B24" s="2" t="s">
        <v>4284</v>
      </c>
      <c r="C24" s="60" t="s">
        <v>14848</v>
      </c>
      <c r="D24" s="1"/>
      <c r="E24" s="68"/>
      <c r="F24" s="70"/>
      <c r="G24" s="1"/>
      <c r="H24" s="68"/>
      <c r="I24" s="70"/>
      <c r="J24" s="67"/>
      <c r="K24" s="68"/>
      <c r="L24" s="76"/>
      <c r="M24" s="83" t="s">
        <v>5895</v>
      </c>
      <c r="N24" s="64" t="s">
        <v>1</v>
      </c>
      <c r="O24" s="65">
        <v>1</v>
      </c>
      <c r="P24" s="99"/>
      <c r="Q24" s="70"/>
      <c r="R24" s="99"/>
      <c r="S24" s="70"/>
      <c r="T24" s="81"/>
      <c r="U24" s="57"/>
      <c r="V24" s="58"/>
      <c r="W24" s="77"/>
      <c r="X24" s="1" t="s">
        <v>18334</v>
      </c>
      <c r="Y24" s="68"/>
      <c r="Z24" s="76"/>
      <c r="AA24" s="70"/>
      <c r="AB24" s="228">
        <f>ROUND((ROUND((ROUND((ROUND((_15_同援日０．５*_15・通訳),0)*_15・２人),0)*(1+_15・A夜間)),0)*(1+_15・区３)),0)+ROUND((ROUND((ROUND((ROUND((_15_同援日０．５＿１．０*_15・通訳),0)*_15・２人),0)*(1+_15・B深夜)),0)*(1+_15・区３)),0)</f>
        <v>634</v>
      </c>
      <c r="AC24" s="69"/>
    </row>
    <row r="25" spans="1:29" ht="16.5" customHeight="1" x14ac:dyDescent="0.3">
      <c r="A25" s="2">
        <v>15</v>
      </c>
      <c r="B25" s="2" t="s">
        <v>4285</v>
      </c>
      <c r="C25" s="60" t="s">
        <v>14847</v>
      </c>
      <c r="D25" s="1"/>
      <c r="E25" s="68"/>
      <c r="F25" s="70"/>
      <c r="G25" s="1"/>
      <c r="H25" s="68"/>
      <c r="I25" s="70"/>
      <c r="J25" s="67"/>
      <c r="K25" s="68"/>
      <c r="L25" s="76"/>
      <c r="M25" s="83"/>
      <c r="N25" s="64"/>
      <c r="O25" s="65"/>
      <c r="P25" s="99"/>
      <c r="Q25" s="70"/>
      <c r="R25" s="99"/>
      <c r="S25" s="70"/>
      <c r="T25" s="74" t="s">
        <v>18333</v>
      </c>
      <c r="U25" s="62"/>
      <c r="V25" s="63"/>
      <c r="W25" s="75"/>
      <c r="X25" s="1"/>
      <c r="Y25" s="68" t="s">
        <v>1</v>
      </c>
      <c r="Z25" s="76">
        <v>0.2</v>
      </c>
      <c r="AA25" s="70" t="s">
        <v>422</v>
      </c>
      <c r="AB25" s="228">
        <f>ROUND((ROUND((ROUND((ROUND((_15_同援日０．５*_15・通訳),0)*(1+_15・A夜間)),0)*(1+_15・盲ろう)),0)*(1+_15・区３)),0)+ROUND((ROUND((ROUND((ROUND((_15_同援日０．５＿１．０*_15・通訳),0)*(1+_15・B深夜)),0)*(1+_15・盲ろう)),0)*(1+_15・区３)),0)</f>
        <v>792</v>
      </c>
      <c r="AC25" s="69"/>
    </row>
    <row r="26" spans="1:29" ht="16.5" customHeight="1" x14ac:dyDescent="0.3">
      <c r="A26" s="2">
        <v>15</v>
      </c>
      <c r="B26" s="2" t="s">
        <v>4286</v>
      </c>
      <c r="C26" s="60" t="s">
        <v>14846</v>
      </c>
      <c r="D26" s="1"/>
      <c r="E26" s="68"/>
      <c r="F26" s="70"/>
      <c r="G26" s="1"/>
      <c r="H26" s="68"/>
      <c r="I26" s="70"/>
      <c r="J26" s="67"/>
      <c r="K26" s="68"/>
      <c r="L26" s="76"/>
      <c r="M26" s="83" t="s">
        <v>5895</v>
      </c>
      <c r="N26" s="64" t="s">
        <v>1</v>
      </c>
      <c r="O26" s="65">
        <v>1</v>
      </c>
      <c r="P26" s="99"/>
      <c r="Q26" s="70"/>
      <c r="R26" s="99"/>
      <c r="S26" s="70"/>
      <c r="T26" s="81" t="s">
        <v>8083</v>
      </c>
      <c r="U26" s="57" t="s">
        <v>1</v>
      </c>
      <c r="V26" s="58">
        <v>0.25</v>
      </c>
      <c r="W26" s="77" t="s">
        <v>422</v>
      </c>
      <c r="X26" s="81"/>
      <c r="Y26" s="57"/>
      <c r="Z26" s="58"/>
      <c r="AA26" s="77"/>
      <c r="AB26" s="228">
        <f>ROUND((ROUND((ROUND((ROUND((ROUND((_15_同援日０．５*_15・通訳),0)*_15・２人),0)*(1+_15・A夜間)),0)*(1+_15・盲ろう)),0)*(1+_15・区３)),0)+ROUND((ROUND((ROUND((ROUND((ROUND((_15_同援日０．５＿１．０*_15・通訳),0)*_15・２人),0)*(1+_15・B深夜)),0)*(1+_15・盲ろう)),0)*(1+_15・区３)),0)</f>
        <v>792</v>
      </c>
      <c r="AC26" s="69"/>
    </row>
    <row r="27" spans="1:29" ht="16.5" customHeight="1" x14ac:dyDescent="0.3">
      <c r="A27" s="2">
        <v>15</v>
      </c>
      <c r="B27" s="2" t="s">
        <v>4287</v>
      </c>
      <c r="C27" s="60" t="s">
        <v>14845</v>
      </c>
      <c r="D27" s="1"/>
      <c r="E27" s="68"/>
      <c r="F27" s="70"/>
      <c r="G27" s="1"/>
      <c r="H27" s="68"/>
      <c r="I27" s="70"/>
      <c r="J27" s="67"/>
      <c r="K27" s="68"/>
      <c r="L27" s="76"/>
      <c r="M27" s="83"/>
      <c r="N27" s="64"/>
      <c r="O27" s="65"/>
      <c r="P27" s="99"/>
      <c r="Q27" s="70"/>
      <c r="R27" s="99"/>
      <c r="S27" s="70"/>
      <c r="T27" s="74"/>
      <c r="U27" s="62"/>
      <c r="V27" s="63"/>
      <c r="W27" s="75"/>
      <c r="X27" s="74" t="s">
        <v>18335</v>
      </c>
      <c r="Y27" s="62"/>
      <c r="Z27" s="63"/>
      <c r="AA27" s="75"/>
      <c r="AB27" s="228">
        <f>ROUND((ROUND((ROUND((_15_同援日０．５*_15・通訳),0)*(1+_15・A夜間)),0)*(1+_15・区４)),0)+ROUND((ROUND((ROUND((_15_同援日０．５＿１．０*_15・通訳),0)*(1+_15・B深夜)),0)*(1+_15・区４)),0)</f>
        <v>739</v>
      </c>
      <c r="AC27" s="69"/>
    </row>
    <row r="28" spans="1:29" ht="16.5" customHeight="1" x14ac:dyDescent="0.3">
      <c r="A28" s="2">
        <v>15</v>
      </c>
      <c r="B28" s="2" t="s">
        <v>4288</v>
      </c>
      <c r="C28" s="60" t="s">
        <v>14844</v>
      </c>
      <c r="D28" s="1"/>
      <c r="E28" s="68"/>
      <c r="F28" s="70"/>
      <c r="G28" s="1"/>
      <c r="H28" s="68"/>
      <c r="I28" s="70"/>
      <c r="J28" s="67"/>
      <c r="K28" s="68"/>
      <c r="L28" s="76"/>
      <c r="M28" s="83" t="s">
        <v>5895</v>
      </c>
      <c r="N28" s="64" t="s">
        <v>1</v>
      </c>
      <c r="O28" s="65">
        <v>1</v>
      </c>
      <c r="P28" s="99"/>
      <c r="Q28" s="70"/>
      <c r="R28" s="99"/>
      <c r="S28" s="70"/>
      <c r="T28" s="81"/>
      <c r="U28" s="57"/>
      <c r="V28" s="58"/>
      <c r="W28" s="77"/>
      <c r="X28" s="1" t="s">
        <v>18334</v>
      </c>
      <c r="Y28" s="68"/>
      <c r="Z28" s="76"/>
      <c r="AA28" s="70"/>
      <c r="AB28" s="228">
        <f>ROUND((ROUND((ROUND((ROUND((_15_同援日０．５*_15・通訳),0)*_15・２人),0)*(1+_15・A夜間)),0)*(1+_15・区４)),0)+ROUND((ROUND((ROUND((ROUND((_15_同援日０．５＿１．０*_15・通訳),0)*_15・２人),0)*(1+_15・B深夜)),0)*(1+_15・区４)),0)</f>
        <v>739</v>
      </c>
      <c r="AC28" s="69"/>
    </row>
    <row r="29" spans="1:29" ht="16.5" customHeight="1" x14ac:dyDescent="0.3">
      <c r="A29" s="2">
        <v>15</v>
      </c>
      <c r="B29" s="2" t="s">
        <v>4289</v>
      </c>
      <c r="C29" s="60" t="s">
        <v>14843</v>
      </c>
      <c r="D29" s="1"/>
      <c r="E29" s="68"/>
      <c r="F29" s="70"/>
      <c r="G29" s="1"/>
      <c r="H29" s="68"/>
      <c r="I29" s="70"/>
      <c r="J29" s="67"/>
      <c r="K29" s="68"/>
      <c r="L29" s="76"/>
      <c r="M29" s="83"/>
      <c r="N29" s="64"/>
      <c r="O29" s="65"/>
      <c r="P29" s="99"/>
      <c r="Q29" s="70"/>
      <c r="R29" s="99"/>
      <c r="S29" s="70"/>
      <c r="T29" s="74" t="s">
        <v>18333</v>
      </c>
      <c r="U29" s="62"/>
      <c r="V29" s="63"/>
      <c r="W29" s="75"/>
      <c r="X29" s="1"/>
      <c r="Y29" s="68" t="s">
        <v>1</v>
      </c>
      <c r="Z29" s="76">
        <v>0.4</v>
      </c>
      <c r="AA29" s="70" t="s">
        <v>422</v>
      </c>
      <c r="AB29" s="228">
        <f>ROUND((ROUND((ROUND((ROUND((_15_同援日０．５*_15・通訳),0)*(1+_15・A夜間)),0)*(1+_15・盲ろう)),0)*(1+_15・区４)),0)+ROUND((ROUND((ROUND((ROUND((_15_同援日０．５＿１．０*_15・通訳),0)*(1+_15・B深夜)),0)*(1+_15・盲ろう)),0)*(1+_15・区４)),0)</f>
        <v>924</v>
      </c>
      <c r="AC29" s="69"/>
    </row>
    <row r="30" spans="1:29" ht="16.5" customHeight="1" x14ac:dyDescent="0.3">
      <c r="A30" s="2">
        <v>15</v>
      </c>
      <c r="B30" s="2" t="s">
        <v>4290</v>
      </c>
      <c r="C30" s="60" t="s">
        <v>14842</v>
      </c>
      <c r="D30" s="1"/>
      <c r="E30" s="68"/>
      <c r="F30" s="70"/>
      <c r="G30" s="81"/>
      <c r="H30" s="57"/>
      <c r="I30" s="77"/>
      <c r="J30" s="67"/>
      <c r="K30" s="68"/>
      <c r="L30" s="76"/>
      <c r="M30" s="83" t="s">
        <v>5895</v>
      </c>
      <c r="N30" s="64" t="s">
        <v>1</v>
      </c>
      <c r="O30" s="65">
        <v>1</v>
      </c>
      <c r="P30" s="99"/>
      <c r="Q30" s="70"/>
      <c r="R30" s="99"/>
      <c r="S30" s="70"/>
      <c r="T30" s="81" t="s">
        <v>18332</v>
      </c>
      <c r="U30" s="57" t="s">
        <v>1</v>
      </c>
      <c r="V30" s="58">
        <v>0.25</v>
      </c>
      <c r="W30" s="77" t="s">
        <v>422</v>
      </c>
      <c r="X30" s="81"/>
      <c r="Y30" s="57"/>
      <c r="Z30" s="58"/>
      <c r="AA30" s="77"/>
      <c r="AB30" s="228">
        <f>ROUND((ROUND((ROUND((ROUND((ROUND((_15_同援日０．５*_15・通訳),0)*_15・２人),0)*(1+_15・A夜間)),0)*(1+_15・盲ろう)),0)*(1+_15・区４)),0)+ROUND((ROUND((ROUND((ROUND((ROUND((_15_同援日０．５＿１．０*_15・通訳),0)*_15・２人),0)*(1+_15・B深夜)),0)*(1+_15・盲ろう)),0)*(1+_15・区４)),0)</f>
        <v>924</v>
      </c>
      <c r="AC30" s="69"/>
    </row>
    <row r="31" spans="1:29" ht="16.5" customHeight="1" x14ac:dyDescent="0.3">
      <c r="A31" s="2">
        <v>15</v>
      </c>
      <c r="B31" s="2" t="s">
        <v>4291</v>
      </c>
      <c r="C31" s="60" t="s">
        <v>14841</v>
      </c>
      <c r="D31" s="1"/>
      <c r="E31" s="68"/>
      <c r="F31" s="70"/>
      <c r="G31" s="233" t="s">
        <v>18345</v>
      </c>
      <c r="H31" s="62"/>
      <c r="I31" s="75"/>
      <c r="J31" s="67"/>
      <c r="K31" s="68"/>
      <c r="L31" s="76"/>
      <c r="M31" s="83"/>
      <c r="N31" s="64"/>
      <c r="O31" s="65"/>
      <c r="P31" s="99"/>
      <c r="Q31" s="70"/>
      <c r="R31" s="99"/>
      <c r="S31" s="70"/>
      <c r="T31" s="74"/>
      <c r="U31" s="62"/>
      <c r="V31" s="63"/>
      <c r="W31" s="75"/>
      <c r="X31" s="74"/>
      <c r="Y31" s="62"/>
      <c r="Z31" s="63"/>
      <c r="AA31" s="75"/>
      <c r="AB31" s="228">
        <f>ROUND((ROUND((_15_同援日０．５*_15・通訳),0)*(1+_15・A夜間)),0)+ROUND((ROUND((_15_同援日０．５＿１．５*_15・通訳),0)*(1+_15・B深夜)),0)</f>
        <v>615</v>
      </c>
      <c r="AC31" s="69"/>
    </row>
    <row r="32" spans="1:29" ht="16.5" customHeight="1" x14ac:dyDescent="0.3">
      <c r="A32" s="2">
        <v>15</v>
      </c>
      <c r="B32" s="2" t="s">
        <v>4292</v>
      </c>
      <c r="C32" s="60" t="s">
        <v>14840</v>
      </c>
      <c r="D32" s="1"/>
      <c r="E32" s="68"/>
      <c r="F32" s="70"/>
      <c r="G32" s="1" t="s">
        <v>18344</v>
      </c>
      <c r="H32" s="68"/>
      <c r="I32" s="70"/>
      <c r="J32" s="67"/>
      <c r="K32" s="68"/>
      <c r="L32" s="76"/>
      <c r="M32" s="83" t="s">
        <v>5895</v>
      </c>
      <c r="N32" s="64" t="s">
        <v>1</v>
      </c>
      <c r="O32" s="65">
        <v>1</v>
      </c>
      <c r="P32" s="99"/>
      <c r="Q32" s="70"/>
      <c r="R32" s="99"/>
      <c r="S32" s="70"/>
      <c r="T32" s="81"/>
      <c r="U32" s="57"/>
      <c r="V32" s="58"/>
      <c r="W32" s="77"/>
      <c r="X32" s="1"/>
      <c r="Y32" s="68"/>
      <c r="Z32" s="76"/>
      <c r="AA32" s="70"/>
      <c r="AB32" s="228">
        <f>ROUND((ROUND((ROUND((_15_同援日０．５*_15・通訳),0)*_15・２人),0)*(1+_15・A夜間)),0)+ROUND((ROUND((ROUND((_15_同援日０．５＿１．５*_15・通訳),0)*_15・２人),0)*(1+_15・B深夜)),0)</f>
        <v>615</v>
      </c>
      <c r="AC32" s="69"/>
    </row>
    <row r="33" spans="1:29" ht="16.5" customHeight="1" x14ac:dyDescent="0.3">
      <c r="A33" s="2">
        <v>15</v>
      </c>
      <c r="B33" s="2" t="s">
        <v>4293</v>
      </c>
      <c r="C33" s="60" t="s">
        <v>14839</v>
      </c>
      <c r="D33" s="1"/>
      <c r="E33" s="68"/>
      <c r="F33" s="70"/>
      <c r="G33" s="1" t="s">
        <v>8767</v>
      </c>
      <c r="H33" s="68"/>
      <c r="I33" s="70"/>
      <c r="J33" s="67"/>
      <c r="K33" s="68"/>
      <c r="L33" s="76"/>
      <c r="M33" s="83"/>
      <c r="N33" s="64"/>
      <c r="O33" s="65"/>
      <c r="P33" s="99"/>
      <c r="Q33" s="70"/>
      <c r="R33" s="99"/>
      <c r="S33" s="70"/>
      <c r="T33" s="74" t="s">
        <v>18333</v>
      </c>
      <c r="U33" s="62"/>
      <c r="V33" s="63"/>
      <c r="W33" s="75"/>
      <c r="X33" s="1"/>
      <c r="Y33" s="68"/>
      <c r="Z33" s="76"/>
      <c r="AA33" s="70"/>
      <c r="AB33" s="228">
        <f>ROUND((ROUND((ROUND((_15_同援日０．５*_15・通訳),0)*(1+_15・A夜間)),0)*(1+_15・盲ろう)),0)+ROUND((ROUND((ROUND((_15_同援日０．５＿１．５*_15・通訳),0)*(1+_15・B深夜)),0)*(1+_15・盲ろう)),0)</f>
        <v>769</v>
      </c>
      <c r="AC33" s="69"/>
    </row>
    <row r="34" spans="1:29" ht="16.5" customHeight="1" x14ac:dyDescent="0.3">
      <c r="A34" s="2">
        <v>15</v>
      </c>
      <c r="B34" s="2" t="s">
        <v>4294</v>
      </c>
      <c r="C34" s="60" t="s">
        <v>14838</v>
      </c>
      <c r="D34" s="1"/>
      <c r="E34" s="68"/>
      <c r="F34" s="70"/>
      <c r="G34" s="1"/>
      <c r="H34" s="227">
        <v>301</v>
      </c>
      <c r="I34" s="70" t="s">
        <v>0</v>
      </c>
      <c r="J34" s="67"/>
      <c r="K34" s="68"/>
      <c r="L34" s="76"/>
      <c r="M34" s="83" t="s">
        <v>5895</v>
      </c>
      <c r="N34" s="64" t="s">
        <v>1</v>
      </c>
      <c r="O34" s="65">
        <v>1</v>
      </c>
      <c r="P34" s="99"/>
      <c r="Q34" s="70"/>
      <c r="R34" s="99"/>
      <c r="S34" s="70"/>
      <c r="T34" s="81" t="s">
        <v>18332</v>
      </c>
      <c r="U34" s="57" t="s">
        <v>1</v>
      </c>
      <c r="V34" s="58">
        <v>0.25</v>
      </c>
      <c r="W34" s="77" t="s">
        <v>422</v>
      </c>
      <c r="X34" s="81"/>
      <c r="Y34" s="57"/>
      <c r="Z34" s="58"/>
      <c r="AA34" s="77"/>
      <c r="AB34" s="228">
        <f>ROUND((ROUND((ROUND((ROUND((_15_同援日０．５*_15・通訳),0)*_15・２人),0)*(1+_15・A夜間)),0)*(1+_15・盲ろう)),0)+ROUND((ROUND((ROUND((ROUND((_15_同援日０．５＿１．５*_15・通訳),0)*_15・２人),0)*(1+_15・B深夜)),0)*(1+_15・盲ろう)),0)</f>
        <v>769</v>
      </c>
      <c r="AC34" s="69"/>
    </row>
    <row r="35" spans="1:29" ht="16.5" customHeight="1" x14ac:dyDescent="0.3">
      <c r="A35" s="2">
        <v>15</v>
      </c>
      <c r="B35" s="2" t="s">
        <v>4295</v>
      </c>
      <c r="C35" s="60" t="s">
        <v>14837</v>
      </c>
      <c r="D35" s="1"/>
      <c r="E35" s="68"/>
      <c r="F35" s="70"/>
      <c r="G35" s="1"/>
      <c r="H35" s="68"/>
      <c r="I35" s="70"/>
      <c r="J35" s="67"/>
      <c r="K35" s="68"/>
      <c r="L35" s="76"/>
      <c r="M35" s="83"/>
      <c r="N35" s="64"/>
      <c r="O35" s="65"/>
      <c r="P35" s="99"/>
      <c r="Q35" s="70"/>
      <c r="R35" s="99"/>
      <c r="S35" s="70"/>
      <c r="T35" s="74"/>
      <c r="U35" s="62"/>
      <c r="V35" s="63"/>
      <c r="W35" s="75"/>
      <c r="X35" s="74" t="s">
        <v>18336</v>
      </c>
      <c r="Y35" s="62"/>
      <c r="Z35" s="63"/>
      <c r="AA35" s="75"/>
      <c r="AB35" s="228">
        <f>ROUND((ROUND((ROUND((_15_同援日０．５*_15・通訳),0)*(1+_15・A夜間)),0)*(1+_15・区３)),0)+ROUND((ROUND((ROUND((_15_同援日０．５＿１．５*_15・通訳),0)*(1+_15・B深夜)),0)*(1+_15・区３)),0)</f>
        <v>738</v>
      </c>
      <c r="AC35" s="69"/>
    </row>
    <row r="36" spans="1:29" ht="16.5" customHeight="1" x14ac:dyDescent="0.3">
      <c r="A36" s="2">
        <v>15</v>
      </c>
      <c r="B36" s="2" t="s">
        <v>4296</v>
      </c>
      <c r="C36" s="60" t="s">
        <v>14836</v>
      </c>
      <c r="D36" s="1"/>
      <c r="E36" s="68"/>
      <c r="F36" s="70"/>
      <c r="G36" s="1"/>
      <c r="H36" s="68"/>
      <c r="I36" s="70"/>
      <c r="J36" s="67"/>
      <c r="K36" s="68"/>
      <c r="L36" s="76"/>
      <c r="M36" s="83" t="s">
        <v>5895</v>
      </c>
      <c r="N36" s="64" t="s">
        <v>1</v>
      </c>
      <c r="O36" s="65">
        <v>1</v>
      </c>
      <c r="P36" s="99"/>
      <c r="Q36" s="70"/>
      <c r="R36" s="99"/>
      <c r="S36" s="70"/>
      <c r="T36" s="81"/>
      <c r="U36" s="57"/>
      <c r="V36" s="58"/>
      <c r="W36" s="77"/>
      <c r="X36" s="1" t="s">
        <v>18334</v>
      </c>
      <c r="Y36" s="68"/>
      <c r="Z36" s="76"/>
      <c r="AA36" s="70"/>
      <c r="AB36" s="228">
        <f>ROUND((ROUND((ROUND((ROUND((_15_同援日０．５*_15・通訳),0)*_15・２人),0)*(1+_15・A夜間)),0)*(1+_15・区３)),0)+ROUND((ROUND((ROUND((ROUND((_15_同援日０．５＿１．５*_15・通訳),0)*_15・２人),0)*(1+_15・B深夜)),0)*(1+_15・区３)),0)</f>
        <v>738</v>
      </c>
      <c r="AC36" s="69"/>
    </row>
    <row r="37" spans="1:29" ht="16.5" customHeight="1" x14ac:dyDescent="0.3">
      <c r="A37" s="2">
        <v>15</v>
      </c>
      <c r="B37" s="2" t="s">
        <v>4297</v>
      </c>
      <c r="C37" s="60" t="s">
        <v>14835</v>
      </c>
      <c r="D37" s="1"/>
      <c r="E37" s="68"/>
      <c r="F37" s="70"/>
      <c r="G37" s="1"/>
      <c r="H37" s="68"/>
      <c r="I37" s="70"/>
      <c r="J37" s="67"/>
      <c r="K37" s="68"/>
      <c r="L37" s="76"/>
      <c r="M37" s="83"/>
      <c r="N37" s="64"/>
      <c r="O37" s="65"/>
      <c r="P37" s="99"/>
      <c r="Q37" s="70"/>
      <c r="R37" s="99"/>
      <c r="S37" s="70"/>
      <c r="T37" s="74" t="s">
        <v>18333</v>
      </c>
      <c r="U37" s="62"/>
      <c r="V37" s="63"/>
      <c r="W37" s="75"/>
      <c r="X37" s="1"/>
      <c r="Y37" s="68" t="s">
        <v>1</v>
      </c>
      <c r="Z37" s="76">
        <v>0.2</v>
      </c>
      <c r="AA37" s="70" t="s">
        <v>422</v>
      </c>
      <c r="AB37" s="228">
        <f>ROUND((ROUND((ROUND((ROUND((_15_同援日０．５*_15・通訳),0)*(1+_15・A夜間)),0)*(1+_15・盲ろう)),0)*(1+_15・区３)),0)+ROUND((ROUND((ROUND((ROUND((_15_同援日０．５＿１．５*_15・通訳),0)*(1+_15・B深夜)),0)*(1+_15・盲ろう)),0)*(1+_15・区３)),0)</f>
        <v>923</v>
      </c>
      <c r="AC37" s="69"/>
    </row>
    <row r="38" spans="1:29" ht="16.5" customHeight="1" x14ac:dyDescent="0.3">
      <c r="A38" s="2">
        <v>15</v>
      </c>
      <c r="B38" s="2" t="s">
        <v>4298</v>
      </c>
      <c r="C38" s="60" t="s">
        <v>14834</v>
      </c>
      <c r="D38" s="1"/>
      <c r="E38" s="68"/>
      <c r="F38" s="70"/>
      <c r="G38" s="1"/>
      <c r="H38" s="68"/>
      <c r="I38" s="70"/>
      <c r="J38" s="67"/>
      <c r="K38" s="68"/>
      <c r="L38" s="76"/>
      <c r="M38" s="83" t="s">
        <v>5895</v>
      </c>
      <c r="N38" s="64" t="s">
        <v>1</v>
      </c>
      <c r="O38" s="65">
        <v>1</v>
      </c>
      <c r="P38" s="99"/>
      <c r="Q38" s="70"/>
      <c r="R38" s="99"/>
      <c r="S38" s="70"/>
      <c r="T38" s="81" t="s">
        <v>18332</v>
      </c>
      <c r="U38" s="57" t="s">
        <v>1</v>
      </c>
      <c r="V38" s="58">
        <v>0.25</v>
      </c>
      <c r="W38" s="77" t="s">
        <v>422</v>
      </c>
      <c r="X38" s="81"/>
      <c r="Y38" s="57"/>
      <c r="Z38" s="58"/>
      <c r="AA38" s="77"/>
      <c r="AB38" s="228">
        <f>ROUND((ROUND((ROUND((ROUND((ROUND((_15_同援日０．５*_15・通訳),0)*_15・２人),0)*(1+_15・A夜間)),0)*(1+_15・盲ろう)),0)*(1+_15・区３)),0)+ROUND((ROUND((ROUND((ROUND((ROUND((_15_同援日０．５＿１．５*_15・通訳),0)*_15・２人),0)*(1+_15・B深夜)),0)*(1+_15・盲ろう)),0)*(1+_15・区３)),0)</f>
        <v>923</v>
      </c>
      <c r="AC38" s="69"/>
    </row>
    <row r="39" spans="1:29" ht="16.5" customHeight="1" x14ac:dyDescent="0.3">
      <c r="A39" s="2">
        <v>15</v>
      </c>
      <c r="B39" s="2" t="s">
        <v>4299</v>
      </c>
      <c r="C39" s="60" t="s">
        <v>14833</v>
      </c>
      <c r="D39" s="1"/>
      <c r="E39" s="68"/>
      <c r="F39" s="70"/>
      <c r="G39" s="1"/>
      <c r="H39" s="68"/>
      <c r="I39" s="70"/>
      <c r="J39" s="67"/>
      <c r="K39" s="68"/>
      <c r="L39" s="76"/>
      <c r="M39" s="83"/>
      <c r="N39" s="64"/>
      <c r="O39" s="65"/>
      <c r="P39" s="99"/>
      <c r="Q39" s="70"/>
      <c r="R39" s="99"/>
      <c r="S39" s="70"/>
      <c r="T39" s="74"/>
      <c r="U39" s="62"/>
      <c r="V39" s="63"/>
      <c r="W39" s="75"/>
      <c r="X39" s="74" t="s">
        <v>18335</v>
      </c>
      <c r="Y39" s="62"/>
      <c r="Z39" s="63"/>
      <c r="AA39" s="75"/>
      <c r="AB39" s="228">
        <f>ROUND((ROUND((ROUND((_15_同援日０．５*_15・通訳),0)*(1+_15・A夜間)),0)*(1+_15・区４)),0)+ROUND((ROUND((ROUND((_15_同援日０．５＿１．５*_15・通訳),0)*(1+_15・B深夜)),0)*(1+_15・区４)),0)</f>
        <v>861</v>
      </c>
      <c r="AC39" s="69"/>
    </row>
    <row r="40" spans="1:29" ht="16.5" customHeight="1" x14ac:dyDescent="0.3">
      <c r="A40" s="2">
        <v>15</v>
      </c>
      <c r="B40" s="2" t="s">
        <v>4300</v>
      </c>
      <c r="C40" s="60" t="s">
        <v>14832</v>
      </c>
      <c r="D40" s="1"/>
      <c r="E40" s="68"/>
      <c r="F40" s="70"/>
      <c r="G40" s="1"/>
      <c r="H40" s="68"/>
      <c r="I40" s="70"/>
      <c r="J40" s="67"/>
      <c r="K40" s="68"/>
      <c r="L40" s="76"/>
      <c r="M40" s="83" t="s">
        <v>5895</v>
      </c>
      <c r="N40" s="64" t="s">
        <v>1</v>
      </c>
      <c r="O40" s="65">
        <v>1</v>
      </c>
      <c r="P40" s="99"/>
      <c r="Q40" s="70"/>
      <c r="R40" s="99"/>
      <c r="S40" s="70"/>
      <c r="T40" s="81"/>
      <c r="U40" s="57"/>
      <c r="V40" s="58"/>
      <c r="W40" s="77"/>
      <c r="X40" s="1" t="s">
        <v>18334</v>
      </c>
      <c r="Y40" s="68"/>
      <c r="Z40" s="76"/>
      <c r="AA40" s="70"/>
      <c r="AB40" s="228">
        <f>ROUND((ROUND((ROUND((ROUND((_15_同援日０．５*_15・通訳),0)*_15・２人),0)*(1+_15・A夜間)),0)*(1+_15・区４)),0)+ROUND((ROUND((ROUND((ROUND((_15_同援日０．５＿１．５*_15・通訳),0)*_15・２人),0)*(1+_15・B深夜)),0)*(1+_15・区４)),0)</f>
        <v>861</v>
      </c>
      <c r="AC40" s="69"/>
    </row>
    <row r="41" spans="1:29" ht="16.5" customHeight="1" x14ac:dyDescent="0.3">
      <c r="A41" s="2">
        <v>15</v>
      </c>
      <c r="B41" s="2" t="s">
        <v>4301</v>
      </c>
      <c r="C41" s="60" t="s">
        <v>14831</v>
      </c>
      <c r="D41" s="1"/>
      <c r="E41" s="68"/>
      <c r="F41" s="70"/>
      <c r="G41" s="1"/>
      <c r="H41" s="68"/>
      <c r="I41" s="70"/>
      <c r="J41" s="67"/>
      <c r="K41" s="68"/>
      <c r="L41" s="76"/>
      <c r="M41" s="83"/>
      <c r="N41" s="64"/>
      <c r="O41" s="65"/>
      <c r="P41" s="99"/>
      <c r="Q41" s="70"/>
      <c r="R41" s="99"/>
      <c r="S41" s="70"/>
      <c r="T41" s="74" t="s">
        <v>18333</v>
      </c>
      <c r="U41" s="62"/>
      <c r="V41" s="63"/>
      <c r="W41" s="75"/>
      <c r="X41" s="1"/>
      <c r="Y41" s="68" t="s">
        <v>1</v>
      </c>
      <c r="Z41" s="76">
        <v>0.4</v>
      </c>
      <c r="AA41" s="70" t="s">
        <v>422</v>
      </c>
      <c r="AB41" s="228">
        <f>ROUND((ROUND((ROUND((ROUND((_15_同援日０．５*_15・通訳),0)*(1+_15・A夜間)),0)*(1+_15・盲ろう)),0)*(1+_15・区４)),0)+ROUND((ROUND((ROUND((ROUND((_15_同援日０．５＿１．５*_15・通訳),0)*(1+_15・B深夜)),0)*(1+_15・盲ろう)),0)*(1+_15・区４)),0)</f>
        <v>1077</v>
      </c>
      <c r="AC41" s="69"/>
    </row>
    <row r="42" spans="1:29" ht="16.5" customHeight="1" x14ac:dyDescent="0.3">
      <c r="A42" s="2">
        <v>15</v>
      </c>
      <c r="B42" s="2" t="s">
        <v>4302</v>
      </c>
      <c r="C42" s="60" t="s">
        <v>14830</v>
      </c>
      <c r="D42" s="1"/>
      <c r="E42" s="68"/>
      <c r="F42" s="70"/>
      <c r="G42" s="81"/>
      <c r="H42" s="57"/>
      <c r="I42" s="77"/>
      <c r="J42" s="67"/>
      <c r="K42" s="68"/>
      <c r="L42" s="76"/>
      <c r="M42" s="83" t="s">
        <v>5895</v>
      </c>
      <c r="N42" s="64" t="s">
        <v>1</v>
      </c>
      <c r="O42" s="65">
        <v>1</v>
      </c>
      <c r="P42" s="99"/>
      <c r="Q42" s="70"/>
      <c r="R42" s="99"/>
      <c r="S42" s="70"/>
      <c r="T42" s="81" t="s">
        <v>18332</v>
      </c>
      <c r="U42" s="57" t="s">
        <v>1</v>
      </c>
      <c r="V42" s="58">
        <v>0.25</v>
      </c>
      <c r="W42" s="77" t="s">
        <v>422</v>
      </c>
      <c r="X42" s="81"/>
      <c r="Y42" s="57"/>
      <c r="Z42" s="58"/>
      <c r="AA42" s="77"/>
      <c r="AB42" s="228">
        <f>ROUND((ROUND((ROUND((ROUND((ROUND((_15_同援日０．５*_15・通訳),0)*_15・２人),0)*(1+_15・A夜間)),0)*(1+_15・盲ろう)),0)*(1+_15・区４)),0)+ROUND((ROUND((ROUND((ROUND((ROUND((_15_同援日０．５＿１．５*_15・通訳),0)*_15・２人),0)*(1+_15・B深夜)),0)*(1+_15・盲ろう)),0)*(1+_15・区４)),0)</f>
        <v>1077</v>
      </c>
      <c r="AC42" s="69"/>
    </row>
    <row r="43" spans="1:29" ht="16.5" customHeight="1" x14ac:dyDescent="0.3">
      <c r="A43" s="2">
        <v>15</v>
      </c>
      <c r="B43" s="2" t="s">
        <v>4303</v>
      </c>
      <c r="C43" s="60" t="s">
        <v>14829</v>
      </c>
      <c r="D43" s="1"/>
      <c r="E43" s="68"/>
      <c r="F43" s="70"/>
      <c r="G43" s="233" t="s">
        <v>18347</v>
      </c>
      <c r="H43" s="62"/>
      <c r="I43" s="75"/>
      <c r="J43" s="67"/>
      <c r="K43" s="68"/>
      <c r="L43" s="76"/>
      <c r="M43" s="83"/>
      <c r="N43" s="64"/>
      <c r="O43" s="65"/>
      <c r="P43" s="99"/>
      <c r="Q43" s="70"/>
      <c r="R43" s="99"/>
      <c r="S43" s="70"/>
      <c r="T43" s="74"/>
      <c r="U43" s="62"/>
      <c r="V43" s="63"/>
      <c r="W43" s="75"/>
      <c r="X43" s="74"/>
      <c r="Y43" s="62"/>
      <c r="Z43" s="63"/>
      <c r="AA43" s="75"/>
      <c r="AB43" s="228">
        <f>ROUND((ROUND((_15_同援日０．５*_15・通訳),0)*(1+_15・A夜間)),0)+ROUND((ROUND((_15_同援日０．５＿２．０*_15・通訳),0)*(1+_15・B深夜)),0)</f>
        <v>700</v>
      </c>
      <c r="AC43" s="69"/>
    </row>
    <row r="44" spans="1:29" ht="16.5" customHeight="1" x14ac:dyDescent="0.3">
      <c r="A44" s="2">
        <v>15</v>
      </c>
      <c r="B44" s="2" t="s">
        <v>4304</v>
      </c>
      <c r="C44" s="60" t="s">
        <v>14828</v>
      </c>
      <c r="D44" s="1"/>
      <c r="E44" s="68"/>
      <c r="F44" s="70"/>
      <c r="G44" s="1" t="s">
        <v>18342</v>
      </c>
      <c r="H44" s="68"/>
      <c r="I44" s="70"/>
      <c r="J44" s="67"/>
      <c r="K44" s="68"/>
      <c r="L44" s="76"/>
      <c r="M44" s="83" t="s">
        <v>5895</v>
      </c>
      <c r="N44" s="64" t="s">
        <v>1</v>
      </c>
      <c r="O44" s="65">
        <v>1</v>
      </c>
      <c r="P44" s="99"/>
      <c r="Q44" s="70"/>
      <c r="R44" s="99"/>
      <c r="S44" s="70"/>
      <c r="T44" s="81"/>
      <c r="U44" s="57"/>
      <c r="V44" s="58"/>
      <c r="W44" s="77"/>
      <c r="X44" s="1"/>
      <c r="Y44" s="68"/>
      <c r="Z44" s="76"/>
      <c r="AA44" s="70"/>
      <c r="AB44" s="228">
        <f>ROUND((ROUND((ROUND((_15_同援日０．５*_15・通訳),0)*_15・２人),0)*(1+_15・A夜間)),0)+ROUND((ROUND((ROUND((_15_同援日０．５＿２．０*_15・通訳),0)*_15・２人),0)*(1+_15・B深夜)),0)</f>
        <v>700</v>
      </c>
      <c r="AC44" s="69"/>
    </row>
    <row r="45" spans="1:29" ht="16.5" customHeight="1" x14ac:dyDescent="0.3">
      <c r="A45" s="2">
        <v>15</v>
      </c>
      <c r="B45" s="2" t="s">
        <v>4305</v>
      </c>
      <c r="C45" s="60" t="s">
        <v>14827</v>
      </c>
      <c r="D45" s="1"/>
      <c r="E45" s="68"/>
      <c r="F45" s="70"/>
      <c r="G45" s="1" t="s">
        <v>6448</v>
      </c>
      <c r="H45" s="68"/>
      <c r="I45" s="70"/>
      <c r="J45" s="67"/>
      <c r="K45" s="68"/>
      <c r="L45" s="76"/>
      <c r="M45" s="83"/>
      <c r="N45" s="64"/>
      <c r="O45" s="65"/>
      <c r="P45" s="99"/>
      <c r="Q45" s="70"/>
      <c r="R45" s="99"/>
      <c r="S45" s="70"/>
      <c r="T45" s="74" t="s">
        <v>18333</v>
      </c>
      <c r="U45" s="62"/>
      <c r="V45" s="63"/>
      <c r="W45" s="75"/>
      <c r="X45" s="1"/>
      <c r="Y45" s="68"/>
      <c r="Z45" s="76"/>
      <c r="AA45" s="70"/>
      <c r="AB45" s="228">
        <f>ROUND((ROUND((ROUND((_15_同援日０．５*_15・通訳),0)*(1+_15・A夜間)),0)*(1+_15・盲ろう)),0)+ROUND((ROUND((ROUND((_15_同援日０．５＿２．０*_15・通訳),0)*(1+_15・B深夜)),0)*(1+_15・盲ろう)),0)</f>
        <v>875</v>
      </c>
      <c r="AC45" s="69"/>
    </row>
    <row r="46" spans="1:29" ht="16.5" customHeight="1" x14ac:dyDescent="0.3">
      <c r="A46" s="2">
        <v>15</v>
      </c>
      <c r="B46" s="2" t="s">
        <v>4306</v>
      </c>
      <c r="C46" s="60" t="s">
        <v>14826</v>
      </c>
      <c r="D46" s="1"/>
      <c r="E46" s="68"/>
      <c r="F46" s="70"/>
      <c r="G46" s="1"/>
      <c r="H46" s="227">
        <v>364</v>
      </c>
      <c r="I46" s="70" t="s">
        <v>0</v>
      </c>
      <c r="J46" s="67"/>
      <c r="K46" s="68"/>
      <c r="L46" s="76"/>
      <c r="M46" s="83" t="s">
        <v>5895</v>
      </c>
      <c r="N46" s="64" t="s">
        <v>1</v>
      </c>
      <c r="O46" s="65">
        <v>1</v>
      </c>
      <c r="P46" s="99"/>
      <c r="Q46" s="70"/>
      <c r="R46" s="99"/>
      <c r="S46" s="70"/>
      <c r="T46" s="81" t="s">
        <v>18332</v>
      </c>
      <c r="U46" s="57" t="s">
        <v>1</v>
      </c>
      <c r="V46" s="58">
        <v>0.25</v>
      </c>
      <c r="W46" s="77" t="s">
        <v>422</v>
      </c>
      <c r="X46" s="81"/>
      <c r="Y46" s="57"/>
      <c r="Z46" s="58"/>
      <c r="AA46" s="77"/>
      <c r="AB46" s="228">
        <f>ROUND((ROUND((ROUND((ROUND((_15_同援日０．５*_15・通訳),0)*_15・２人),0)*(1+_15・A夜間)),0)*(1+_15・盲ろう)),0)+ROUND((ROUND((ROUND((ROUND((_15_同援日０．５＿２．０*_15・通訳),0)*_15・２人),0)*(1+_15・B深夜)),0)*(1+_15・盲ろう)),0)</f>
        <v>875</v>
      </c>
      <c r="AC46" s="69"/>
    </row>
    <row r="47" spans="1:29" ht="16.5" customHeight="1" x14ac:dyDescent="0.3">
      <c r="A47" s="2">
        <v>15</v>
      </c>
      <c r="B47" s="2" t="s">
        <v>4307</v>
      </c>
      <c r="C47" s="60" t="s">
        <v>14825</v>
      </c>
      <c r="D47" s="1"/>
      <c r="E47" s="68"/>
      <c r="F47" s="70"/>
      <c r="G47" s="1"/>
      <c r="H47" s="68"/>
      <c r="I47" s="70"/>
      <c r="J47" s="67"/>
      <c r="K47" s="68"/>
      <c r="L47" s="76"/>
      <c r="M47" s="83"/>
      <c r="N47" s="64"/>
      <c r="O47" s="65"/>
      <c r="P47" s="99"/>
      <c r="Q47" s="70"/>
      <c r="R47" s="99"/>
      <c r="S47" s="70"/>
      <c r="T47" s="74"/>
      <c r="U47" s="62"/>
      <c r="V47" s="63"/>
      <c r="W47" s="75"/>
      <c r="X47" s="74" t="s">
        <v>18336</v>
      </c>
      <c r="Y47" s="62"/>
      <c r="Z47" s="63"/>
      <c r="AA47" s="75"/>
      <c r="AB47" s="228">
        <f>ROUND((ROUND((ROUND((_15_同援日０．５*_15・通訳),0)*(1+_15・A夜間)),0)*(1+_15・区３)),0)+ROUND((ROUND((ROUND((_15_同援日０．５＿２．０*_15・通訳),0)*(1+_15・B深夜)),0)*(1+_15・区３)),0)</f>
        <v>840</v>
      </c>
      <c r="AC47" s="69"/>
    </row>
    <row r="48" spans="1:29" ht="16.5" customHeight="1" x14ac:dyDescent="0.3">
      <c r="A48" s="2">
        <v>15</v>
      </c>
      <c r="B48" s="2" t="s">
        <v>4308</v>
      </c>
      <c r="C48" s="60" t="s">
        <v>14824</v>
      </c>
      <c r="D48" s="1"/>
      <c r="E48" s="68"/>
      <c r="F48" s="70"/>
      <c r="G48" s="1"/>
      <c r="H48" s="68"/>
      <c r="I48" s="70"/>
      <c r="J48" s="67"/>
      <c r="K48" s="68"/>
      <c r="L48" s="76"/>
      <c r="M48" s="83" t="s">
        <v>5895</v>
      </c>
      <c r="N48" s="64" t="s">
        <v>1</v>
      </c>
      <c r="O48" s="65">
        <v>1</v>
      </c>
      <c r="P48" s="99"/>
      <c r="Q48" s="70"/>
      <c r="R48" s="99"/>
      <c r="S48" s="70"/>
      <c r="T48" s="81"/>
      <c r="U48" s="57"/>
      <c r="V48" s="58"/>
      <c r="W48" s="77"/>
      <c r="X48" s="1" t="s">
        <v>18334</v>
      </c>
      <c r="Y48" s="68"/>
      <c r="Z48" s="76"/>
      <c r="AA48" s="70"/>
      <c r="AB48" s="228">
        <f>ROUND((ROUND((ROUND((ROUND((_15_同援日０．５*_15・通訳),0)*_15・２人),0)*(1+_15・A夜間)),0)*(1+_15・区３)),0)+ROUND((ROUND((ROUND((ROUND((_15_同援日０．５＿２．０*_15・通訳),0)*_15・２人),0)*(1+_15・B深夜)),0)*(1+_15・区３)),0)</f>
        <v>840</v>
      </c>
      <c r="AC48" s="69"/>
    </row>
    <row r="49" spans="1:29" ht="16.5" customHeight="1" x14ac:dyDescent="0.3">
      <c r="A49" s="2">
        <v>15</v>
      </c>
      <c r="B49" s="2" t="s">
        <v>4309</v>
      </c>
      <c r="C49" s="60" t="s">
        <v>14823</v>
      </c>
      <c r="D49" s="1"/>
      <c r="E49" s="68"/>
      <c r="F49" s="70"/>
      <c r="G49" s="1"/>
      <c r="H49" s="68"/>
      <c r="I49" s="70"/>
      <c r="J49" s="67"/>
      <c r="K49" s="68"/>
      <c r="L49" s="76"/>
      <c r="M49" s="83"/>
      <c r="N49" s="64"/>
      <c r="O49" s="65"/>
      <c r="P49" s="99"/>
      <c r="Q49" s="70"/>
      <c r="R49" s="99"/>
      <c r="S49" s="70"/>
      <c r="T49" s="74" t="s">
        <v>18333</v>
      </c>
      <c r="U49" s="62"/>
      <c r="V49" s="63"/>
      <c r="W49" s="75"/>
      <c r="X49" s="1"/>
      <c r="Y49" s="68" t="s">
        <v>1</v>
      </c>
      <c r="Z49" s="76">
        <v>0.2</v>
      </c>
      <c r="AA49" s="70" t="s">
        <v>422</v>
      </c>
      <c r="AB49" s="228">
        <f>ROUND((ROUND((ROUND((ROUND((_15_同援日０．５*_15・通訳),0)*(1+_15・A夜間)),0)*(1+_15・盲ろう)),0)*(1+_15・区３)),0)+ROUND((ROUND((ROUND((ROUND((_15_同援日０．５＿２．０*_15・通訳),0)*(1+_15・B深夜)),0)*(1+_15・盲ろう)),0)*(1+_15・区３)),0)</f>
        <v>1050</v>
      </c>
      <c r="AC49" s="69"/>
    </row>
    <row r="50" spans="1:29" ht="16.5" customHeight="1" x14ac:dyDescent="0.3">
      <c r="A50" s="2">
        <v>15</v>
      </c>
      <c r="B50" s="2" t="s">
        <v>4310</v>
      </c>
      <c r="C50" s="60" t="s">
        <v>14822</v>
      </c>
      <c r="D50" s="1"/>
      <c r="E50" s="68"/>
      <c r="F50" s="70"/>
      <c r="G50" s="1"/>
      <c r="H50" s="68"/>
      <c r="I50" s="70"/>
      <c r="J50" s="67"/>
      <c r="K50" s="68"/>
      <c r="L50" s="76"/>
      <c r="M50" s="83" t="s">
        <v>5895</v>
      </c>
      <c r="N50" s="64" t="s">
        <v>1</v>
      </c>
      <c r="O50" s="65">
        <v>1</v>
      </c>
      <c r="P50" s="99"/>
      <c r="Q50" s="70"/>
      <c r="R50" s="99"/>
      <c r="S50" s="70"/>
      <c r="T50" s="81" t="s">
        <v>18332</v>
      </c>
      <c r="U50" s="57" t="s">
        <v>1</v>
      </c>
      <c r="V50" s="58">
        <v>0.25</v>
      </c>
      <c r="W50" s="77" t="s">
        <v>422</v>
      </c>
      <c r="X50" s="81"/>
      <c r="Y50" s="57"/>
      <c r="Z50" s="58"/>
      <c r="AA50" s="77"/>
      <c r="AB50" s="228">
        <f>ROUND((ROUND((ROUND((ROUND((ROUND((_15_同援日０．５*_15・通訳),0)*_15・２人),0)*(1+_15・A夜間)),0)*(1+_15・盲ろう)),0)*(1+_15・区３)),0)+ROUND((ROUND((ROUND((ROUND((ROUND((_15_同援日０．５＿２．０*_15・通訳),0)*_15・２人),0)*(1+_15・B深夜)),0)*(1+_15・盲ろう)),0)*(1+_15・区３)),0)</f>
        <v>1050</v>
      </c>
      <c r="AC50" s="69"/>
    </row>
    <row r="51" spans="1:29" ht="16.5" customHeight="1" x14ac:dyDescent="0.3">
      <c r="A51" s="2">
        <v>15</v>
      </c>
      <c r="B51" s="2" t="s">
        <v>4311</v>
      </c>
      <c r="C51" s="60" t="s">
        <v>14821</v>
      </c>
      <c r="D51" s="1"/>
      <c r="E51" s="68"/>
      <c r="F51" s="70"/>
      <c r="G51" s="1"/>
      <c r="H51" s="68"/>
      <c r="I51" s="70"/>
      <c r="J51" s="67"/>
      <c r="K51" s="68"/>
      <c r="L51" s="76"/>
      <c r="M51" s="83"/>
      <c r="N51" s="64"/>
      <c r="O51" s="65"/>
      <c r="P51" s="99"/>
      <c r="Q51" s="70"/>
      <c r="R51" s="99"/>
      <c r="S51" s="70"/>
      <c r="T51" s="74"/>
      <c r="U51" s="62"/>
      <c r="V51" s="63"/>
      <c r="W51" s="75"/>
      <c r="X51" s="74" t="s">
        <v>18335</v>
      </c>
      <c r="Y51" s="62"/>
      <c r="Z51" s="63"/>
      <c r="AA51" s="75"/>
      <c r="AB51" s="228">
        <f>ROUND((ROUND((ROUND((_15_同援日０．５*_15・通訳),0)*(1+_15・A夜間)),0)*(1+_15・区４)),0)+ROUND((ROUND((ROUND((_15_同援日０．５＿２．０*_15・通訳),0)*(1+_15・B深夜)),0)*(1+_15・区４)),0)</f>
        <v>980</v>
      </c>
      <c r="AC51" s="69"/>
    </row>
    <row r="52" spans="1:29" ht="16.5" customHeight="1" x14ac:dyDescent="0.3">
      <c r="A52" s="2">
        <v>15</v>
      </c>
      <c r="B52" s="2" t="s">
        <v>4312</v>
      </c>
      <c r="C52" s="60" t="s">
        <v>14820</v>
      </c>
      <c r="D52" s="1"/>
      <c r="E52" s="68"/>
      <c r="F52" s="70"/>
      <c r="G52" s="1"/>
      <c r="H52" s="68"/>
      <c r="I52" s="70"/>
      <c r="J52" s="67"/>
      <c r="K52" s="68"/>
      <c r="L52" s="76"/>
      <c r="M52" s="83" t="s">
        <v>5895</v>
      </c>
      <c r="N52" s="64" t="s">
        <v>1</v>
      </c>
      <c r="O52" s="65">
        <v>1</v>
      </c>
      <c r="P52" s="99"/>
      <c r="Q52" s="70"/>
      <c r="R52" s="99"/>
      <c r="S52" s="70"/>
      <c r="T52" s="81"/>
      <c r="U52" s="57"/>
      <c r="V52" s="58"/>
      <c r="W52" s="77"/>
      <c r="X52" s="1" t="s">
        <v>18334</v>
      </c>
      <c r="Y52" s="68"/>
      <c r="Z52" s="76"/>
      <c r="AA52" s="70"/>
      <c r="AB52" s="228">
        <f>ROUND((ROUND((ROUND((ROUND((_15_同援日０．５*_15・通訳),0)*_15・２人),0)*(1+_15・A夜間)),0)*(1+_15・区４)),0)+ROUND((ROUND((ROUND((ROUND((_15_同援日０．５＿２．０*_15・通訳),0)*_15・２人),0)*(1+_15・B深夜)),0)*(1+_15・区４)),0)</f>
        <v>980</v>
      </c>
      <c r="AC52" s="69"/>
    </row>
    <row r="53" spans="1:29" ht="16.5" customHeight="1" x14ac:dyDescent="0.3">
      <c r="A53" s="2">
        <v>15</v>
      </c>
      <c r="B53" s="2" t="s">
        <v>4313</v>
      </c>
      <c r="C53" s="60" t="s">
        <v>14819</v>
      </c>
      <c r="D53" s="1"/>
      <c r="E53" s="68"/>
      <c r="F53" s="70"/>
      <c r="G53" s="1"/>
      <c r="H53" s="68"/>
      <c r="I53" s="70"/>
      <c r="J53" s="67"/>
      <c r="K53" s="68"/>
      <c r="L53" s="76"/>
      <c r="M53" s="83"/>
      <c r="N53" s="64"/>
      <c r="O53" s="65"/>
      <c r="P53" s="99"/>
      <c r="Q53" s="70"/>
      <c r="R53" s="99"/>
      <c r="S53" s="70"/>
      <c r="T53" s="74" t="s">
        <v>18333</v>
      </c>
      <c r="U53" s="62"/>
      <c r="V53" s="63"/>
      <c r="W53" s="75"/>
      <c r="X53" s="1"/>
      <c r="Y53" s="68" t="s">
        <v>1</v>
      </c>
      <c r="Z53" s="76">
        <v>0.4</v>
      </c>
      <c r="AA53" s="70" t="s">
        <v>422</v>
      </c>
      <c r="AB53" s="228">
        <f>ROUND((ROUND((ROUND((ROUND((_15_同援日０．５*_15・通訳),0)*(1+_15・A夜間)),0)*(1+_15・盲ろう)),0)*(1+_15・区４)),0)+ROUND((ROUND((ROUND((ROUND((_15_同援日０．５＿２．０*_15・通訳),0)*(1+_15・B深夜)),0)*(1+_15・盲ろう)),0)*(1+_15・区４)),0)</f>
        <v>1225</v>
      </c>
      <c r="AC53" s="69"/>
    </row>
    <row r="54" spans="1:29" ht="16.5" customHeight="1" x14ac:dyDescent="0.3">
      <c r="A54" s="2">
        <v>15</v>
      </c>
      <c r="B54" s="2" t="s">
        <v>4314</v>
      </c>
      <c r="C54" s="60" t="s">
        <v>14818</v>
      </c>
      <c r="D54" s="1"/>
      <c r="E54" s="68"/>
      <c r="F54" s="70"/>
      <c r="G54" s="81"/>
      <c r="H54" s="57"/>
      <c r="I54" s="77"/>
      <c r="J54" s="67"/>
      <c r="K54" s="68"/>
      <c r="L54" s="76"/>
      <c r="M54" s="83" t="s">
        <v>5895</v>
      </c>
      <c r="N54" s="64" t="s">
        <v>1</v>
      </c>
      <c r="O54" s="65">
        <v>1</v>
      </c>
      <c r="P54" s="99"/>
      <c r="Q54" s="70"/>
      <c r="R54" s="99"/>
      <c r="S54" s="70"/>
      <c r="T54" s="81" t="s">
        <v>18332</v>
      </c>
      <c r="U54" s="57" t="s">
        <v>1</v>
      </c>
      <c r="V54" s="58">
        <v>0.25</v>
      </c>
      <c r="W54" s="77" t="s">
        <v>422</v>
      </c>
      <c r="X54" s="81"/>
      <c r="Y54" s="57"/>
      <c r="Z54" s="58"/>
      <c r="AA54" s="77"/>
      <c r="AB54" s="228">
        <f>ROUND((ROUND((ROUND((ROUND((ROUND((_15_同援日０．５*_15・通訳),0)*_15・２人),0)*(1+_15・A夜間)),0)*(1+_15・盲ろう)),0)*(1+_15・区４)),0)+ROUND((ROUND((ROUND((ROUND((ROUND((_15_同援日０．５＿２．０*_15・通訳),0)*_15・２人),0)*(1+_15・B深夜)),0)*(1+_15・盲ろう)),0)*(1+_15・区４)),0)</f>
        <v>1225</v>
      </c>
      <c r="AC54" s="69"/>
    </row>
    <row r="55" spans="1:29" ht="16.5" customHeight="1" x14ac:dyDescent="0.3">
      <c r="A55" s="2">
        <v>15</v>
      </c>
      <c r="B55" s="2" t="s">
        <v>4315</v>
      </c>
      <c r="C55" s="60" t="s">
        <v>14817</v>
      </c>
      <c r="D55" s="1"/>
      <c r="E55" s="68"/>
      <c r="F55" s="70"/>
      <c r="G55" s="233" t="s">
        <v>18349</v>
      </c>
      <c r="H55" s="62"/>
      <c r="I55" s="75"/>
      <c r="J55" s="67"/>
      <c r="K55" s="68"/>
      <c r="L55" s="76"/>
      <c r="M55" s="83"/>
      <c r="N55" s="64"/>
      <c r="O55" s="65"/>
      <c r="P55" s="99"/>
      <c r="Q55" s="70"/>
      <c r="R55" s="99"/>
      <c r="S55" s="70"/>
      <c r="T55" s="74"/>
      <c r="U55" s="62"/>
      <c r="V55" s="63"/>
      <c r="W55" s="75"/>
      <c r="X55" s="74"/>
      <c r="Y55" s="62"/>
      <c r="Z55" s="63"/>
      <c r="AA55" s="75"/>
      <c r="AB55" s="228">
        <f>ROUND((ROUND((_15_同援日０．５*_15・通訳),0)*(1+_15・A夜間)),0)+ROUND((ROUND((_15_同援日０．５＿２．５*_15・通訳),0)*(1+_15・B深夜)),0)</f>
        <v>784</v>
      </c>
      <c r="AC55" s="69"/>
    </row>
    <row r="56" spans="1:29" ht="16.5" customHeight="1" x14ac:dyDescent="0.3">
      <c r="A56" s="2">
        <v>15</v>
      </c>
      <c r="B56" s="2" t="s">
        <v>4316</v>
      </c>
      <c r="C56" s="60" t="s">
        <v>14816</v>
      </c>
      <c r="D56" s="1"/>
      <c r="E56" s="68"/>
      <c r="F56" s="70"/>
      <c r="G56" s="1" t="s">
        <v>18337</v>
      </c>
      <c r="H56" s="68"/>
      <c r="I56" s="70"/>
      <c r="J56" s="67"/>
      <c r="K56" s="68"/>
      <c r="L56" s="76"/>
      <c r="M56" s="83" t="s">
        <v>5895</v>
      </c>
      <c r="N56" s="64" t="s">
        <v>1</v>
      </c>
      <c r="O56" s="65">
        <v>1</v>
      </c>
      <c r="P56" s="99"/>
      <c r="Q56" s="70"/>
      <c r="R56" s="99"/>
      <c r="S56" s="70"/>
      <c r="T56" s="81"/>
      <c r="U56" s="57"/>
      <c r="V56" s="58"/>
      <c r="W56" s="77"/>
      <c r="X56" s="1"/>
      <c r="Y56" s="68"/>
      <c r="Z56" s="76"/>
      <c r="AA56" s="70"/>
      <c r="AB56" s="228">
        <f>ROUND((ROUND((ROUND((_15_同援日０．５*_15・通訳),0)*_15・２人),0)*(1+_15・A夜間)),0)+ROUND((ROUND((ROUND((_15_同援日０．５＿２．５*_15・通訳),0)*_15・２人),0)*(1+_15・B深夜)),0)</f>
        <v>784</v>
      </c>
      <c r="AC56" s="69"/>
    </row>
    <row r="57" spans="1:29" ht="16.5" customHeight="1" x14ac:dyDescent="0.3">
      <c r="A57" s="2">
        <v>15</v>
      </c>
      <c r="B57" s="2" t="s">
        <v>4317</v>
      </c>
      <c r="C57" s="60" t="s">
        <v>14815</v>
      </c>
      <c r="D57" s="1"/>
      <c r="E57" s="68"/>
      <c r="F57" s="70"/>
      <c r="G57" s="1" t="s">
        <v>8499</v>
      </c>
      <c r="H57" s="68"/>
      <c r="I57" s="70"/>
      <c r="J57" s="67"/>
      <c r="K57" s="68"/>
      <c r="L57" s="76"/>
      <c r="M57" s="83"/>
      <c r="N57" s="64"/>
      <c r="O57" s="65"/>
      <c r="P57" s="99"/>
      <c r="Q57" s="70"/>
      <c r="R57" s="99"/>
      <c r="S57" s="70"/>
      <c r="T57" s="74" t="s">
        <v>18333</v>
      </c>
      <c r="U57" s="62"/>
      <c r="V57" s="63"/>
      <c r="W57" s="75"/>
      <c r="X57" s="1"/>
      <c r="Y57" s="68"/>
      <c r="Z57" s="76"/>
      <c r="AA57" s="70"/>
      <c r="AB57" s="228">
        <f>ROUND((ROUND((ROUND((_15_同援日０．５*_15・通訳),0)*(1+_15・A夜間)),0)*(1+_15・盲ろう)),0)+ROUND((ROUND((ROUND((_15_同援日０．５＿２．５*_15・通訳),0)*(1+_15・B深夜)),0)*(1+_15・盲ろう)),0)</f>
        <v>980</v>
      </c>
      <c r="AC57" s="69"/>
    </row>
    <row r="58" spans="1:29" ht="16.5" customHeight="1" x14ac:dyDescent="0.3">
      <c r="A58" s="2">
        <v>15</v>
      </c>
      <c r="B58" s="2" t="s">
        <v>4318</v>
      </c>
      <c r="C58" s="60" t="s">
        <v>14814</v>
      </c>
      <c r="D58" s="1"/>
      <c r="E58" s="68"/>
      <c r="F58" s="70"/>
      <c r="G58" s="1"/>
      <c r="H58" s="227">
        <v>427</v>
      </c>
      <c r="I58" s="70" t="s">
        <v>0</v>
      </c>
      <c r="J58" s="67"/>
      <c r="K58" s="68"/>
      <c r="L58" s="76"/>
      <c r="M58" s="83" t="s">
        <v>5895</v>
      </c>
      <c r="N58" s="64" t="s">
        <v>1</v>
      </c>
      <c r="O58" s="65">
        <v>1</v>
      </c>
      <c r="P58" s="99"/>
      <c r="Q58" s="70"/>
      <c r="R58" s="99"/>
      <c r="S58" s="70"/>
      <c r="T58" s="81" t="s">
        <v>18332</v>
      </c>
      <c r="U58" s="57" t="s">
        <v>1</v>
      </c>
      <c r="V58" s="58">
        <v>0.25</v>
      </c>
      <c r="W58" s="77" t="s">
        <v>422</v>
      </c>
      <c r="X58" s="81"/>
      <c r="Y58" s="57"/>
      <c r="Z58" s="58"/>
      <c r="AA58" s="77"/>
      <c r="AB58" s="228">
        <f>ROUND((ROUND((ROUND((ROUND((_15_同援日０．５*_15・通訳),0)*_15・２人),0)*(1+_15・A夜間)),0)*(1+_15・盲ろう)),0)+ROUND((ROUND((ROUND((ROUND((_15_同援日０．５＿２．５*_15・通訳),0)*_15・２人),0)*(1+_15・B深夜)),0)*(1+_15・盲ろう)),0)</f>
        <v>980</v>
      </c>
      <c r="AC58" s="69"/>
    </row>
    <row r="59" spans="1:29" ht="16.5" customHeight="1" x14ac:dyDescent="0.3">
      <c r="A59" s="2">
        <v>15</v>
      </c>
      <c r="B59" s="2" t="s">
        <v>4319</v>
      </c>
      <c r="C59" s="60" t="s">
        <v>14813</v>
      </c>
      <c r="D59" s="1"/>
      <c r="E59" s="68"/>
      <c r="F59" s="70"/>
      <c r="G59" s="1"/>
      <c r="H59" s="68"/>
      <c r="I59" s="70"/>
      <c r="J59" s="67"/>
      <c r="K59" s="68"/>
      <c r="L59" s="76"/>
      <c r="M59" s="83"/>
      <c r="N59" s="64"/>
      <c r="O59" s="65"/>
      <c r="P59" s="99"/>
      <c r="Q59" s="70"/>
      <c r="R59" s="99"/>
      <c r="S59" s="70"/>
      <c r="T59" s="74"/>
      <c r="U59" s="62"/>
      <c r="V59" s="63"/>
      <c r="W59" s="75"/>
      <c r="X59" s="74" t="s">
        <v>18336</v>
      </c>
      <c r="Y59" s="62"/>
      <c r="Z59" s="63"/>
      <c r="AA59" s="75"/>
      <c r="AB59" s="228">
        <f>ROUND((ROUND((ROUND((_15_同援日０．５*_15・通訳),0)*(1+_15・A夜間)),0)*(1+_15・区３)),0)+ROUND((ROUND((ROUND((_15_同援日０．５＿２．５*_15・通訳),0)*(1+_15・B深夜)),0)*(1+_15・区３)),0)</f>
        <v>941</v>
      </c>
      <c r="AC59" s="69"/>
    </row>
    <row r="60" spans="1:29" ht="16.5" customHeight="1" x14ac:dyDescent="0.3">
      <c r="A60" s="2">
        <v>15</v>
      </c>
      <c r="B60" s="2" t="s">
        <v>4320</v>
      </c>
      <c r="C60" s="60" t="s">
        <v>14812</v>
      </c>
      <c r="D60" s="1"/>
      <c r="E60" s="68"/>
      <c r="F60" s="70"/>
      <c r="G60" s="1"/>
      <c r="H60" s="68"/>
      <c r="I60" s="70"/>
      <c r="J60" s="67"/>
      <c r="K60" s="68"/>
      <c r="L60" s="76"/>
      <c r="M60" s="83" t="s">
        <v>5895</v>
      </c>
      <c r="N60" s="64" t="s">
        <v>1</v>
      </c>
      <c r="O60" s="65">
        <v>1</v>
      </c>
      <c r="P60" s="99"/>
      <c r="Q60" s="70"/>
      <c r="R60" s="99"/>
      <c r="S60" s="70"/>
      <c r="T60" s="81"/>
      <c r="U60" s="57"/>
      <c r="V60" s="58"/>
      <c r="W60" s="77"/>
      <c r="X60" s="1" t="s">
        <v>18334</v>
      </c>
      <c r="Y60" s="68"/>
      <c r="Z60" s="76"/>
      <c r="AA60" s="70"/>
      <c r="AB60" s="228">
        <f>ROUND((ROUND((ROUND((ROUND((_15_同援日０．５*_15・通訳),0)*_15・２人),0)*(1+_15・A夜間)),0)*(1+_15・区３)),0)+ROUND((ROUND((ROUND((ROUND((_15_同援日０．５＿２．５*_15・通訳),0)*_15・２人),0)*(1+_15・B深夜)),0)*(1+_15・区３)),0)</f>
        <v>941</v>
      </c>
      <c r="AC60" s="69"/>
    </row>
    <row r="61" spans="1:29" ht="16.5" customHeight="1" x14ac:dyDescent="0.3">
      <c r="A61" s="2">
        <v>15</v>
      </c>
      <c r="B61" s="2" t="s">
        <v>4321</v>
      </c>
      <c r="C61" s="60" t="s">
        <v>14811</v>
      </c>
      <c r="D61" s="1"/>
      <c r="E61" s="68"/>
      <c r="F61" s="70"/>
      <c r="G61" s="1"/>
      <c r="H61" s="68"/>
      <c r="I61" s="70"/>
      <c r="J61" s="67"/>
      <c r="K61" s="68"/>
      <c r="L61" s="76"/>
      <c r="M61" s="83"/>
      <c r="N61" s="64"/>
      <c r="O61" s="65"/>
      <c r="P61" s="99"/>
      <c r="Q61" s="70"/>
      <c r="R61" s="99"/>
      <c r="S61" s="70"/>
      <c r="T61" s="74" t="s">
        <v>18333</v>
      </c>
      <c r="U61" s="62"/>
      <c r="V61" s="63"/>
      <c r="W61" s="75"/>
      <c r="X61" s="1"/>
      <c r="Y61" s="68" t="s">
        <v>1</v>
      </c>
      <c r="Z61" s="76">
        <v>0.2</v>
      </c>
      <c r="AA61" s="70" t="s">
        <v>422</v>
      </c>
      <c r="AB61" s="228">
        <f>ROUND((ROUND((ROUND((ROUND((_15_同援日０．５*_15・通訳),0)*(1+_15・A夜間)),0)*(1+_15・盲ろう)),0)*(1+_15・区３)),0)+ROUND((ROUND((ROUND((ROUND((_15_同援日０．５＿２．５*_15・通訳),0)*(1+_15・B深夜)),0)*(1+_15・盲ろう)),0)*(1+_15・区３)),0)</f>
        <v>1176</v>
      </c>
      <c r="AC61" s="69"/>
    </row>
    <row r="62" spans="1:29" ht="16.5" customHeight="1" x14ac:dyDescent="0.3">
      <c r="A62" s="2">
        <v>15</v>
      </c>
      <c r="B62" s="2" t="s">
        <v>4322</v>
      </c>
      <c r="C62" s="60" t="s">
        <v>14810</v>
      </c>
      <c r="D62" s="1"/>
      <c r="E62" s="68"/>
      <c r="F62" s="70"/>
      <c r="G62" s="1"/>
      <c r="H62" s="68"/>
      <c r="I62" s="70"/>
      <c r="J62" s="67"/>
      <c r="K62" s="68"/>
      <c r="L62" s="76"/>
      <c r="M62" s="83" t="s">
        <v>5895</v>
      </c>
      <c r="N62" s="64" t="s">
        <v>1</v>
      </c>
      <c r="O62" s="65">
        <v>1</v>
      </c>
      <c r="P62" s="99"/>
      <c r="Q62" s="70"/>
      <c r="R62" s="99"/>
      <c r="S62" s="70"/>
      <c r="T62" s="81" t="s">
        <v>18332</v>
      </c>
      <c r="U62" s="57" t="s">
        <v>1</v>
      </c>
      <c r="V62" s="58">
        <v>0.25</v>
      </c>
      <c r="W62" s="77" t="s">
        <v>422</v>
      </c>
      <c r="X62" s="81"/>
      <c r="Y62" s="57"/>
      <c r="Z62" s="58"/>
      <c r="AA62" s="77"/>
      <c r="AB62" s="228">
        <f>ROUND((ROUND((ROUND((ROUND((ROUND((_15_同援日０．５*_15・通訳),0)*_15・２人),0)*(1+_15・A夜間)),0)*(1+_15・盲ろう)),0)*(1+_15・区３)),0)+ROUND((ROUND((ROUND((ROUND((ROUND((_15_同援日０．５＿２．５*_15・通訳),0)*_15・２人),0)*(1+_15・B深夜)),0)*(1+_15・盲ろう)),0)*(1+_15・区３)),0)</f>
        <v>1176</v>
      </c>
      <c r="AC62" s="69"/>
    </row>
    <row r="63" spans="1:29" ht="16.5" customHeight="1" x14ac:dyDescent="0.3">
      <c r="A63" s="2">
        <v>15</v>
      </c>
      <c r="B63" s="2" t="s">
        <v>4323</v>
      </c>
      <c r="C63" s="60" t="s">
        <v>14809</v>
      </c>
      <c r="D63" s="1"/>
      <c r="E63" s="68"/>
      <c r="F63" s="70"/>
      <c r="G63" s="1"/>
      <c r="H63" s="68"/>
      <c r="I63" s="70"/>
      <c r="J63" s="67"/>
      <c r="K63" s="68"/>
      <c r="L63" s="76"/>
      <c r="M63" s="83"/>
      <c r="N63" s="64"/>
      <c r="O63" s="65"/>
      <c r="P63" s="99"/>
      <c r="Q63" s="70"/>
      <c r="R63" s="99"/>
      <c r="S63" s="70"/>
      <c r="T63" s="74"/>
      <c r="U63" s="62"/>
      <c r="V63" s="63"/>
      <c r="W63" s="75"/>
      <c r="X63" s="74" t="s">
        <v>18335</v>
      </c>
      <c r="Y63" s="62"/>
      <c r="Z63" s="63"/>
      <c r="AA63" s="75"/>
      <c r="AB63" s="228">
        <f>ROUND((ROUND((ROUND((_15_同援日０．５*_15・通訳),0)*(1+_15・A夜間)),0)*(1+_15・区４)),0)+ROUND((ROUND((ROUND((_15_同援日０．５＿２．５*_15・通訳),0)*(1+_15・B深夜)),0)*(1+_15・区４)),0)</f>
        <v>1097</v>
      </c>
      <c r="AC63" s="69"/>
    </row>
    <row r="64" spans="1:29" ht="16.5" customHeight="1" x14ac:dyDescent="0.3">
      <c r="A64" s="2">
        <v>15</v>
      </c>
      <c r="B64" s="2" t="s">
        <v>4324</v>
      </c>
      <c r="C64" s="60" t="s">
        <v>14808</v>
      </c>
      <c r="D64" s="1"/>
      <c r="E64" s="68"/>
      <c r="F64" s="70"/>
      <c r="G64" s="1"/>
      <c r="H64" s="68"/>
      <c r="I64" s="70"/>
      <c r="J64" s="67"/>
      <c r="K64" s="68"/>
      <c r="L64" s="76"/>
      <c r="M64" s="83" t="s">
        <v>5895</v>
      </c>
      <c r="N64" s="64" t="s">
        <v>1</v>
      </c>
      <c r="O64" s="65">
        <v>1</v>
      </c>
      <c r="P64" s="99"/>
      <c r="Q64" s="70"/>
      <c r="R64" s="99"/>
      <c r="S64" s="70"/>
      <c r="T64" s="81"/>
      <c r="U64" s="57"/>
      <c r="V64" s="58"/>
      <c r="W64" s="77"/>
      <c r="X64" s="1" t="s">
        <v>18334</v>
      </c>
      <c r="Y64" s="68"/>
      <c r="Z64" s="76"/>
      <c r="AA64" s="70"/>
      <c r="AB64" s="228">
        <f>ROUND((ROUND((ROUND((ROUND((_15_同援日０．５*_15・通訳),0)*_15・２人),0)*(1+_15・A夜間)),0)*(1+_15・区４)),0)+ROUND((ROUND((ROUND((ROUND((_15_同援日０．５＿２．５*_15・通訳),0)*_15・２人),0)*(1+_15・B深夜)),0)*(1+_15・区４)),0)</f>
        <v>1097</v>
      </c>
      <c r="AC64" s="69"/>
    </row>
    <row r="65" spans="1:29" ht="16.5" customHeight="1" x14ac:dyDescent="0.3">
      <c r="A65" s="2">
        <v>15</v>
      </c>
      <c r="B65" s="2" t="s">
        <v>4325</v>
      </c>
      <c r="C65" s="60" t="s">
        <v>14807</v>
      </c>
      <c r="D65" s="1"/>
      <c r="E65" s="68"/>
      <c r="F65" s="70"/>
      <c r="G65" s="1"/>
      <c r="H65" s="68"/>
      <c r="I65" s="70"/>
      <c r="J65" s="67"/>
      <c r="K65" s="68"/>
      <c r="L65" s="76"/>
      <c r="M65" s="83"/>
      <c r="N65" s="64"/>
      <c r="O65" s="65"/>
      <c r="P65" s="99"/>
      <c r="Q65" s="70"/>
      <c r="R65" s="99"/>
      <c r="S65" s="70"/>
      <c r="T65" s="74" t="s">
        <v>18333</v>
      </c>
      <c r="U65" s="62"/>
      <c r="V65" s="63"/>
      <c r="W65" s="75"/>
      <c r="X65" s="1"/>
      <c r="Y65" s="68" t="s">
        <v>1</v>
      </c>
      <c r="Z65" s="76">
        <v>0.4</v>
      </c>
      <c r="AA65" s="70" t="s">
        <v>422</v>
      </c>
      <c r="AB65" s="228">
        <f>ROUND((ROUND((ROUND((ROUND((_15_同援日０．５*_15・通訳),0)*(1+_15・A夜間)),0)*(1+_15・盲ろう)),0)*(1+_15・区４)),0)+ROUND((ROUND((ROUND((ROUND((_15_同援日０．５＿２．５*_15・通訳),0)*(1+_15・B深夜)),0)*(1+_15・盲ろう)),0)*(1+_15・区４)),0)</f>
        <v>1372</v>
      </c>
      <c r="AC65" s="69"/>
    </row>
    <row r="66" spans="1:29" ht="16.5" customHeight="1" x14ac:dyDescent="0.3">
      <c r="A66" s="2">
        <v>15</v>
      </c>
      <c r="B66" s="2" t="s">
        <v>4326</v>
      </c>
      <c r="C66" s="60" t="s">
        <v>14806</v>
      </c>
      <c r="D66" s="81"/>
      <c r="E66" s="57"/>
      <c r="F66" s="77"/>
      <c r="G66" s="81"/>
      <c r="H66" s="57"/>
      <c r="I66" s="77"/>
      <c r="J66" s="67"/>
      <c r="K66" s="68"/>
      <c r="L66" s="76"/>
      <c r="M66" s="83" t="s">
        <v>5895</v>
      </c>
      <c r="N66" s="64" t="s">
        <v>1</v>
      </c>
      <c r="O66" s="65">
        <v>1</v>
      </c>
      <c r="P66" s="99"/>
      <c r="Q66" s="70"/>
      <c r="R66" s="99"/>
      <c r="S66" s="70"/>
      <c r="T66" s="81" t="s">
        <v>18332</v>
      </c>
      <c r="U66" s="57" t="s">
        <v>1</v>
      </c>
      <c r="V66" s="58">
        <v>0.25</v>
      </c>
      <c r="W66" s="77" t="s">
        <v>422</v>
      </c>
      <c r="X66" s="81"/>
      <c r="Y66" s="57"/>
      <c r="Z66" s="58"/>
      <c r="AA66" s="77"/>
      <c r="AB66" s="228">
        <f>ROUND((ROUND((ROUND((ROUND((ROUND((_15_同援日０．５*_15・通訳),0)*_15・２人),0)*(1+_15・A夜間)),0)*(1+_15・盲ろう)),0)*(1+_15・区４)),0)+ROUND((ROUND((ROUND((ROUND((ROUND((_15_同援日０．５＿２．５*_15・通訳),0)*_15・２人),0)*(1+_15・B深夜)),0)*(1+_15・盲ろう)),0)*(1+_15・区４)),0)</f>
        <v>1372</v>
      </c>
      <c r="AC66" s="69"/>
    </row>
    <row r="67" spans="1:29" ht="16.5" customHeight="1" x14ac:dyDescent="0.3">
      <c r="A67" s="2">
        <v>15</v>
      </c>
      <c r="B67" s="2" t="s">
        <v>4327</v>
      </c>
      <c r="C67" s="60" t="s">
        <v>14805</v>
      </c>
      <c r="D67" s="233" t="s">
        <v>18348</v>
      </c>
      <c r="E67" s="62"/>
      <c r="F67" s="75"/>
      <c r="G67" s="233" t="s">
        <v>18338</v>
      </c>
      <c r="H67" s="62"/>
      <c r="I67" s="75"/>
      <c r="J67" s="67"/>
      <c r="K67" s="68"/>
      <c r="L67" s="76"/>
      <c r="M67" s="83"/>
      <c r="N67" s="64"/>
      <c r="O67" s="65"/>
      <c r="P67" s="99"/>
      <c r="Q67" s="70"/>
      <c r="R67" s="99"/>
      <c r="S67" s="70"/>
      <c r="T67" s="74"/>
      <c r="U67" s="62"/>
      <c r="V67" s="63"/>
      <c r="W67" s="75"/>
      <c r="X67" s="74"/>
      <c r="Y67" s="62"/>
      <c r="Z67" s="63"/>
      <c r="AA67" s="75"/>
      <c r="AB67" s="228">
        <f>ROUND((ROUND((_15_同援日１．０*_15・通訳),0)*(1+_15・A夜間)),0)+ROUND((ROUND((_15_同援日１．０＿０．５*_15・通訳),0)*(1+_15・B深夜)),0)</f>
        <v>503</v>
      </c>
      <c r="AC67" s="69"/>
    </row>
    <row r="68" spans="1:29" ht="16.5" customHeight="1" x14ac:dyDescent="0.3">
      <c r="A68" s="2">
        <v>15</v>
      </c>
      <c r="B68" s="2" t="s">
        <v>4328</v>
      </c>
      <c r="C68" s="60" t="s">
        <v>14804</v>
      </c>
      <c r="D68" s="1" t="s">
        <v>18340</v>
      </c>
      <c r="E68" s="68"/>
      <c r="F68" s="70"/>
      <c r="G68" s="1" t="s">
        <v>7928</v>
      </c>
      <c r="H68" s="68"/>
      <c r="I68" s="70"/>
      <c r="J68" s="67"/>
      <c r="K68" s="68"/>
      <c r="L68" s="76"/>
      <c r="M68" s="83" t="s">
        <v>5895</v>
      </c>
      <c r="N68" s="64" t="s">
        <v>1</v>
      </c>
      <c r="O68" s="65">
        <v>1</v>
      </c>
      <c r="P68" s="99"/>
      <c r="Q68" s="70"/>
      <c r="R68" s="99"/>
      <c r="S68" s="70"/>
      <c r="T68" s="81"/>
      <c r="U68" s="57"/>
      <c r="V68" s="58"/>
      <c r="W68" s="77"/>
      <c r="X68" s="1"/>
      <c r="Y68" s="68"/>
      <c r="Z68" s="76"/>
      <c r="AA68" s="70"/>
      <c r="AB68" s="228">
        <f>ROUND((ROUND((ROUND((_15_同援日１．０*_15・通訳),0)*_15・２人),0)*(1+_15・A夜間)),0)+ROUND((ROUND((ROUND((_15_同援日１．０＿０．５*_15・通訳),0)*_15・２人),0)*(1+_15・B深夜)),0)</f>
        <v>503</v>
      </c>
      <c r="AC68" s="69"/>
    </row>
    <row r="69" spans="1:29" ht="16.5" customHeight="1" x14ac:dyDescent="0.3">
      <c r="A69" s="2">
        <v>15</v>
      </c>
      <c r="B69" s="2" t="s">
        <v>4329</v>
      </c>
      <c r="C69" s="60" t="s">
        <v>14803</v>
      </c>
      <c r="D69" s="1" t="s">
        <v>8572</v>
      </c>
      <c r="E69" s="68"/>
      <c r="F69" s="70"/>
      <c r="G69" s="1"/>
      <c r="H69" s="68"/>
      <c r="I69" s="70"/>
      <c r="J69" s="67"/>
      <c r="K69" s="68"/>
      <c r="L69" s="76"/>
      <c r="M69" s="83"/>
      <c r="N69" s="64"/>
      <c r="O69" s="65"/>
      <c r="P69" s="99"/>
      <c r="Q69" s="70"/>
      <c r="R69" s="99"/>
      <c r="S69" s="70"/>
      <c r="T69" s="74" t="s">
        <v>18333</v>
      </c>
      <c r="U69" s="62"/>
      <c r="V69" s="63"/>
      <c r="W69" s="75"/>
      <c r="X69" s="1"/>
      <c r="Y69" s="68"/>
      <c r="Z69" s="76"/>
      <c r="AA69" s="70"/>
      <c r="AB69" s="228">
        <f>ROUND((ROUND((ROUND((_15_同援日１．０*_15・通訳),0)*(1+_15・A夜間)),0)*(1+_15・盲ろう)),0)+ROUND((ROUND((ROUND((_15_同援日１．０＿０．５*_15・通訳),0)*(1+_15・B深夜)),0)*(1+_15・盲ろう)),0)</f>
        <v>629</v>
      </c>
      <c r="AC69" s="69"/>
    </row>
    <row r="70" spans="1:29" ht="16.5" customHeight="1" x14ac:dyDescent="0.3">
      <c r="A70" s="2">
        <v>15</v>
      </c>
      <c r="B70" s="2" t="s">
        <v>4330</v>
      </c>
      <c r="C70" s="60" t="s">
        <v>14802</v>
      </c>
      <c r="D70" s="1"/>
      <c r="E70" s="227">
        <v>292</v>
      </c>
      <c r="F70" s="70" t="s">
        <v>0</v>
      </c>
      <c r="G70" s="1"/>
      <c r="H70" s="119">
        <v>129</v>
      </c>
      <c r="I70" s="70" t="s">
        <v>0</v>
      </c>
      <c r="J70" s="67"/>
      <c r="K70" s="68"/>
      <c r="L70" s="76"/>
      <c r="M70" s="83" t="s">
        <v>5895</v>
      </c>
      <c r="N70" s="64" t="s">
        <v>1</v>
      </c>
      <c r="O70" s="65">
        <v>1</v>
      </c>
      <c r="P70" s="99"/>
      <c r="Q70" s="70"/>
      <c r="R70" s="99"/>
      <c r="S70" s="70"/>
      <c r="T70" s="81" t="s">
        <v>18332</v>
      </c>
      <c r="U70" s="57" t="s">
        <v>1</v>
      </c>
      <c r="V70" s="58">
        <v>0.25</v>
      </c>
      <c r="W70" s="77" t="s">
        <v>422</v>
      </c>
      <c r="X70" s="81"/>
      <c r="Y70" s="57"/>
      <c r="Z70" s="58"/>
      <c r="AA70" s="77"/>
      <c r="AB70" s="228">
        <f>ROUND((ROUND((ROUND((ROUND((_15_同援日１．０*_15・通訳),0)*_15・２人),0)*(1+_15・A夜間)),0)*(1+_15・盲ろう)),0)+ROUND((ROUND((ROUND((ROUND((_15_同援日１．０＿０．５*_15・通訳),0)*_15・２人),0)*(1+_15・B深夜)),0)*(1+_15・盲ろう)),0)</f>
        <v>629</v>
      </c>
      <c r="AC70" s="69"/>
    </row>
    <row r="71" spans="1:29" ht="16.5" customHeight="1" x14ac:dyDescent="0.3">
      <c r="A71" s="2">
        <v>15</v>
      </c>
      <c r="B71" s="2" t="s">
        <v>4331</v>
      </c>
      <c r="C71" s="60" t="s">
        <v>14801</v>
      </c>
      <c r="D71" s="1"/>
      <c r="E71" s="68"/>
      <c r="F71" s="70"/>
      <c r="G71" s="1"/>
      <c r="H71" s="68"/>
      <c r="I71" s="70"/>
      <c r="J71" s="67"/>
      <c r="K71" s="68"/>
      <c r="L71" s="76"/>
      <c r="M71" s="83"/>
      <c r="N71" s="64"/>
      <c r="O71" s="65"/>
      <c r="P71" s="99"/>
      <c r="Q71" s="70"/>
      <c r="R71" s="99"/>
      <c r="S71" s="70"/>
      <c r="T71" s="74"/>
      <c r="U71" s="62"/>
      <c r="V71" s="63"/>
      <c r="W71" s="75"/>
      <c r="X71" s="74" t="s">
        <v>18336</v>
      </c>
      <c r="Y71" s="62"/>
      <c r="Z71" s="63"/>
      <c r="AA71" s="75"/>
      <c r="AB71" s="228">
        <f>ROUND((ROUND((ROUND((_15_同援日１．０*_15・通訳),0)*(1+_15・A夜間)),0)*(1+_15・区３)),0)+ROUND((ROUND((ROUND((_15_同援日１．０＿０．５*_15・通訳),0)*(1+_15・B深夜)),0)*(1+_15・区３)),0)</f>
        <v>604</v>
      </c>
      <c r="AC71" s="69"/>
    </row>
    <row r="72" spans="1:29" ht="16.5" customHeight="1" x14ac:dyDescent="0.3">
      <c r="A72" s="2">
        <v>15</v>
      </c>
      <c r="B72" s="2" t="s">
        <v>4332</v>
      </c>
      <c r="C72" s="60" t="s">
        <v>14800</v>
      </c>
      <c r="D72" s="1"/>
      <c r="E72" s="68"/>
      <c r="F72" s="70"/>
      <c r="G72" s="1"/>
      <c r="H72" s="68"/>
      <c r="I72" s="70"/>
      <c r="J72" s="67"/>
      <c r="K72" s="68"/>
      <c r="L72" s="76"/>
      <c r="M72" s="83" t="s">
        <v>5895</v>
      </c>
      <c r="N72" s="64" t="s">
        <v>1</v>
      </c>
      <c r="O72" s="65">
        <v>1</v>
      </c>
      <c r="P72" s="99"/>
      <c r="Q72" s="70"/>
      <c r="R72" s="99"/>
      <c r="S72" s="70"/>
      <c r="T72" s="81"/>
      <c r="U72" s="57"/>
      <c r="V72" s="58"/>
      <c r="W72" s="77"/>
      <c r="X72" s="1" t="s">
        <v>18334</v>
      </c>
      <c r="Y72" s="68"/>
      <c r="Z72" s="76"/>
      <c r="AA72" s="70"/>
      <c r="AB72" s="228">
        <f>ROUND((ROUND((ROUND((ROUND((_15_同援日１．０*_15・通訳),0)*_15・２人),0)*(1+_15・A夜間)),0)*(1+_15・区３)),0)+ROUND((ROUND((ROUND((ROUND((_15_同援日１．０＿０．５*_15・通訳),0)*_15・２人),0)*(1+_15・B深夜)),0)*(1+_15・区３)),0)</f>
        <v>604</v>
      </c>
      <c r="AC72" s="69"/>
    </row>
    <row r="73" spans="1:29" ht="16.5" customHeight="1" x14ac:dyDescent="0.3">
      <c r="A73" s="2">
        <v>15</v>
      </c>
      <c r="B73" s="2" t="s">
        <v>4333</v>
      </c>
      <c r="C73" s="60" t="s">
        <v>14799</v>
      </c>
      <c r="D73" s="1"/>
      <c r="E73" s="68"/>
      <c r="F73" s="70"/>
      <c r="G73" s="1"/>
      <c r="H73" s="68"/>
      <c r="I73" s="70"/>
      <c r="J73" s="67"/>
      <c r="K73" s="68"/>
      <c r="L73" s="76"/>
      <c r="M73" s="83"/>
      <c r="N73" s="64"/>
      <c r="O73" s="65"/>
      <c r="P73" s="99"/>
      <c r="Q73" s="70"/>
      <c r="R73" s="99"/>
      <c r="S73" s="70"/>
      <c r="T73" s="74" t="s">
        <v>18333</v>
      </c>
      <c r="U73" s="62"/>
      <c r="V73" s="63"/>
      <c r="W73" s="75"/>
      <c r="X73" s="1"/>
      <c r="Y73" s="68" t="s">
        <v>1</v>
      </c>
      <c r="Z73" s="76">
        <v>0.2</v>
      </c>
      <c r="AA73" s="70" t="s">
        <v>422</v>
      </c>
      <c r="AB73" s="228">
        <f>ROUND((ROUND((ROUND((ROUND((_15_同援日１．０*_15・通訳),0)*(1+_15・A夜間)),0)*(1+_15・盲ろう)),0)*(1+_15・区３)),0)+ROUND((ROUND((ROUND((ROUND((_15_同援日１．０＿０．５*_15・通訳),0)*(1+_15・B深夜)),0)*(1+_15・盲ろう)),0)*(1+_15・区３)),0)</f>
        <v>755</v>
      </c>
      <c r="AC73" s="69"/>
    </row>
    <row r="74" spans="1:29" ht="16.5" customHeight="1" x14ac:dyDescent="0.3">
      <c r="A74" s="2">
        <v>15</v>
      </c>
      <c r="B74" s="2" t="s">
        <v>4334</v>
      </c>
      <c r="C74" s="60" t="s">
        <v>14798</v>
      </c>
      <c r="D74" s="1"/>
      <c r="E74" s="68"/>
      <c r="F74" s="70"/>
      <c r="G74" s="1"/>
      <c r="H74" s="68"/>
      <c r="I74" s="70"/>
      <c r="J74" s="67"/>
      <c r="K74" s="68"/>
      <c r="L74" s="76"/>
      <c r="M74" s="83" t="s">
        <v>5895</v>
      </c>
      <c r="N74" s="64" t="s">
        <v>1</v>
      </c>
      <c r="O74" s="65">
        <v>1</v>
      </c>
      <c r="P74" s="99"/>
      <c r="Q74" s="70"/>
      <c r="R74" s="99"/>
      <c r="S74" s="70"/>
      <c r="T74" s="81" t="s">
        <v>18332</v>
      </c>
      <c r="U74" s="57" t="s">
        <v>1</v>
      </c>
      <c r="V74" s="58">
        <v>0.25</v>
      </c>
      <c r="W74" s="77" t="s">
        <v>422</v>
      </c>
      <c r="X74" s="81"/>
      <c r="Y74" s="57"/>
      <c r="Z74" s="58"/>
      <c r="AA74" s="77"/>
      <c r="AB74" s="228">
        <f>ROUND((ROUND((ROUND((ROUND((ROUND((_15_同援日１．０*_15・通訳),0)*_15・２人),0)*(1+_15・A夜間)),0)*(1+_15・盲ろう)),0)*(1+_15・区３)),0)+ROUND((ROUND((ROUND((ROUND((ROUND((_15_同援日１．０＿０．５*_15・通訳),0)*_15・２人),0)*(1+_15・B深夜)),0)*(1+_15・盲ろう)),0)*(1+_15・区３)),0)</f>
        <v>755</v>
      </c>
      <c r="AC74" s="69"/>
    </row>
    <row r="75" spans="1:29" ht="16.5" customHeight="1" x14ac:dyDescent="0.3">
      <c r="A75" s="2">
        <v>15</v>
      </c>
      <c r="B75" s="2" t="s">
        <v>4335</v>
      </c>
      <c r="C75" s="60" t="s">
        <v>14797</v>
      </c>
      <c r="D75" s="1"/>
      <c r="E75" s="68"/>
      <c r="F75" s="70"/>
      <c r="G75" s="1"/>
      <c r="H75" s="68"/>
      <c r="I75" s="70"/>
      <c r="J75" s="67"/>
      <c r="K75" s="68"/>
      <c r="L75" s="76"/>
      <c r="M75" s="83"/>
      <c r="N75" s="64"/>
      <c r="O75" s="65"/>
      <c r="P75" s="99"/>
      <c r="Q75" s="70"/>
      <c r="R75" s="99"/>
      <c r="S75" s="70"/>
      <c r="T75" s="74"/>
      <c r="U75" s="62"/>
      <c r="V75" s="63"/>
      <c r="W75" s="75"/>
      <c r="X75" s="74" t="s">
        <v>18335</v>
      </c>
      <c r="Y75" s="62"/>
      <c r="Z75" s="63"/>
      <c r="AA75" s="75"/>
      <c r="AB75" s="228">
        <f>ROUND((ROUND((ROUND((_15_同援日１．０*_15・通訳),0)*(1+_15・A夜間)),0)*(1+_15・区４)),0)+ROUND((ROUND((ROUND((_15_同援日１．０＿０．５*_15・通訳),0)*(1+_15・B深夜)),0)*(1+_15・区４)),0)</f>
        <v>705</v>
      </c>
      <c r="AC75" s="69"/>
    </row>
    <row r="76" spans="1:29" ht="16.5" customHeight="1" x14ac:dyDescent="0.3">
      <c r="A76" s="2">
        <v>15</v>
      </c>
      <c r="B76" s="2" t="s">
        <v>4336</v>
      </c>
      <c r="C76" s="60" t="s">
        <v>14796</v>
      </c>
      <c r="D76" s="1"/>
      <c r="E76" s="68"/>
      <c r="F76" s="70"/>
      <c r="G76" s="1"/>
      <c r="H76" s="68"/>
      <c r="I76" s="70"/>
      <c r="J76" s="67"/>
      <c r="K76" s="68"/>
      <c r="L76" s="76"/>
      <c r="M76" s="83" t="s">
        <v>5895</v>
      </c>
      <c r="N76" s="64" t="s">
        <v>1</v>
      </c>
      <c r="O76" s="65">
        <v>1</v>
      </c>
      <c r="P76" s="99"/>
      <c r="Q76" s="70"/>
      <c r="R76" s="99"/>
      <c r="S76" s="70"/>
      <c r="T76" s="81"/>
      <c r="U76" s="57"/>
      <c r="V76" s="58"/>
      <c r="W76" s="77"/>
      <c r="X76" s="1" t="s">
        <v>18334</v>
      </c>
      <c r="Y76" s="68"/>
      <c r="Z76" s="76"/>
      <c r="AA76" s="70"/>
      <c r="AB76" s="228">
        <f>ROUND((ROUND((ROUND((ROUND((_15_同援日１．０*_15・通訳),0)*_15・２人),0)*(1+_15・A夜間)),0)*(1+_15・区４)),0)+ROUND((ROUND((ROUND((ROUND((_15_同援日１．０＿０．５*_15・通訳),0)*_15・２人),0)*(1+_15・B深夜)),0)*(1+_15・区４)),0)</f>
        <v>705</v>
      </c>
      <c r="AC76" s="69"/>
    </row>
    <row r="77" spans="1:29" ht="16.5" customHeight="1" x14ac:dyDescent="0.3">
      <c r="A77" s="2">
        <v>15</v>
      </c>
      <c r="B77" s="2" t="s">
        <v>4337</v>
      </c>
      <c r="C77" s="60" t="s">
        <v>14795</v>
      </c>
      <c r="D77" s="1"/>
      <c r="E77" s="68"/>
      <c r="F77" s="70"/>
      <c r="G77" s="1"/>
      <c r="H77" s="68"/>
      <c r="I77" s="70"/>
      <c r="J77" s="67"/>
      <c r="K77" s="68"/>
      <c r="L77" s="76"/>
      <c r="M77" s="83"/>
      <c r="N77" s="64"/>
      <c r="O77" s="65"/>
      <c r="P77" s="99"/>
      <c r="Q77" s="70"/>
      <c r="R77" s="99"/>
      <c r="S77" s="70"/>
      <c r="T77" s="74" t="s">
        <v>18333</v>
      </c>
      <c r="U77" s="62"/>
      <c r="V77" s="63"/>
      <c r="W77" s="75"/>
      <c r="X77" s="1"/>
      <c r="Y77" s="68" t="s">
        <v>1</v>
      </c>
      <c r="Z77" s="76">
        <v>0.4</v>
      </c>
      <c r="AA77" s="70" t="s">
        <v>422</v>
      </c>
      <c r="AB77" s="228">
        <f>ROUND((ROUND((ROUND((ROUND((_15_同援日１．０*_15・通訳),0)*(1+_15・A夜間)),0)*(1+_15・盲ろう)),0)*(1+_15・区４)),0)+ROUND((ROUND((ROUND((ROUND((_15_同援日１．０＿０．５*_15・通訳),0)*(1+_15・B深夜)),0)*(1+_15・盲ろう)),0)*(1+_15・区４)),0)</f>
        <v>880</v>
      </c>
      <c r="AC77" s="69"/>
    </row>
    <row r="78" spans="1:29" ht="16.5" customHeight="1" x14ac:dyDescent="0.3">
      <c r="A78" s="2">
        <v>15</v>
      </c>
      <c r="B78" s="2" t="s">
        <v>4338</v>
      </c>
      <c r="C78" s="60" t="s">
        <v>14794</v>
      </c>
      <c r="D78" s="1"/>
      <c r="E78" s="68"/>
      <c r="F78" s="70"/>
      <c r="G78" s="81"/>
      <c r="H78" s="57"/>
      <c r="I78" s="77"/>
      <c r="J78" s="67"/>
      <c r="K78" s="68"/>
      <c r="L78" s="76"/>
      <c r="M78" s="83" t="s">
        <v>5895</v>
      </c>
      <c r="N78" s="64" t="s">
        <v>1</v>
      </c>
      <c r="O78" s="65">
        <v>1</v>
      </c>
      <c r="P78" s="99"/>
      <c r="Q78" s="70"/>
      <c r="R78" s="99"/>
      <c r="S78" s="70"/>
      <c r="T78" s="81" t="s">
        <v>18332</v>
      </c>
      <c r="U78" s="57" t="s">
        <v>1</v>
      </c>
      <c r="V78" s="58">
        <v>0.25</v>
      </c>
      <c r="W78" s="77" t="s">
        <v>422</v>
      </c>
      <c r="X78" s="81"/>
      <c r="Y78" s="57"/>
      <c r="Z78" s="58"/>
      <c r="AA78" s="77"/>
      <c r="AB78" s="228">
        <f>ROUND((ROUND((ROUND((ROUND((ROUND((_15_同援日１．０*_15・通訳),0)*_15・２人),0)*(1+_15・A夜間)),0)*(1+_15・盲ろう)),0)*(1+_15・区４)),0)+ROUND((ROUND((ROUND((ROUND((ROUND((_15_同援日１．０＿０．５*_15・通訳),0)*_15・２人),0)*(1+_15・B深夜)),0)*(1+_15・盲ろう)),0)*(1+_15・区４)),0)</f>
        <v>880</v>
      </c>
      <c r="AC78" s="69"/>
    </row>
    <row r="79" spans="1:29" ht="16.5" customHeight="1" x14ac:dyDescent="0.3">
      <c r="A79" s="2">
        <v>15</v>
      </c>
      <c r="B79" s="2" t="s">
        <v>4339</v>
      </c>
      <c r="C79" s="60" t="s">
        <v>14793</v>
      </c>
      <c r="D79" s="1"/>
      <c r="E79" s="68"/>
      <c r="F79" s="70"/>
      <c r="G79" s="233" t="s">
        <v>18341</v>
      </c>
      <c r="H79" s="62"/>
      <c r="I79" s="75"/>
      <c r="J79" s="67"/>
      <c r="K79" s="68"/>
      <c r="L79" s="76"/>
      <c r="M79" s="83"/>
      <c r="N79" s="64"/>
      <c r="O79" s="65"/>
      <c r="P79" s="99"/>
      <c r="Q79" s="70"/>
      <c r="R79" s="99"/>
      <c r="S79" s="70"/>
      <c r="T79" s="74"/>
      <c r="U79" s="62"/>
      <c r="V79" s="63"/>
      <c r="W79" s="75"/>
      <c r="X79" s="74"/>
      <c r="Y79" s="62"/>
      <c r="Z79" s="63"/>
      <c r="AA79" s="75"/>
      <c r="AB79" s="228">
        <f>ROUND((ROUND((_15_同援日１．０*_15・通訳),0)*(1+_15・A夜間)),0)+ROUND((ROUND((_15_同援日１．０＿１．０*_15・通訳),0)*(1+_15・B深夜)),0)</f>
        <v>590</v>
      </c>
      <c r="AC79" s="69"/>
    </row>
    <row r="80" spans="1:29" ht="16.5" customHeight="1" x14ac:dyDescent="0.3">
      <c r="A80" s="2">
        <v>15</v>
      </c>
      <c r="B80" s="2" t="s">
        <v>4340</v>
      </c>
      <c r="C80" s="60" t="s">
        <v>14792</v>
      </c>
      <c r="D80" s="1"/>
      <c r="E80" s="68"/>
      <c r="F80" s="70"/>
      <c r="G80" s="1" t="s">
        <v>18340</v>
      </c>
      <c r="H80" s="68"/>
      <c r="I80" s="70"/>
      <c r="J80" s="67"/>
      <c r="K80" s="68"/>
      <c r="L80" s="76"/>
      <c r="M80" s="83" t="s">
        <v>5895</v>
      </c>
      <c r="N80" s="64" t="s">
        <v>1</v>
      </c>
      <c r="O80" s="65">
        <v>1</v>
      </c>
      <c r="P80" s="99"/>
      <c r="Q80" s="70"/>
      <c r="R80" s="99"/>
      <c r="S80" s="70"/>
      <c r="T80" s="81"/>
      <c r="U80" s="57"/>
      <c r="V80" s="58"/>
      <c r="W80" s="77"/>
      <c r="X80" s="1"/>
      <c r="Y80" s="68"/>
      <c r="Z80" s="76"/>
      <c r="AA80" s="70"/>
      <c r="AB80" s="228">
        <f>ROUND((ROUND((ROUND((_15_同援日１．０*_15・通訳),0)*_15・２人),0)*(1+_15・A夜間)),0)+ROUND((ROUND((ROUND((_15_同援日１．０＿１．０*_15・通訳),0)*_15・２人),0)*(1+_15・B深夜)),0)</f>
        <v>590</v>
      </c>
      <c r="AC80" s="69"/>
    </row>
    <row r="81" spans="1:29" ht="16.5" customHeight="1" x14ac:dyDescent="0.3">
      <c r="A81" s="2">
        <v>15</v>
      </c>
      <c r="B81" s="2" t="s">
        <v>4341</v>
      </c>
      <c r="C81" s="60" t="s">
        <v>14791</v>
      </c>
      <c r="D81" s="1"/>
      <c r="E81" s="68"/>
      <c r="F81" s="70"/>
      <c r="G81" s="1" t="s">
        <v>8572</v>
      </c>
      <c r="H81" s="68"/>
      <c r="I81" s="70"/>
      <c r="J81" s="67"/>
      <c r="K81" s="68"/>
      <c r="L81" s="76"/>
      <c r="M81" s="83"/>
      <c r="N81" s="64"/>
      <c r="O81" s="65"/>
      <c r="P81" s="99"/>
      <c r="Q81" s="70"/>
      <c r="R81" s="99"/>
      <c r="S81" s="70"/>
      <c r="T81" s="74" t="s">
        <v>18333</v>
      </c>
      <c r="U81" s="62"/>
      <c r="V81" s="63"/>
      <c r="W81" s="75"/>
      <c r="X81" s="1"/>
      <c r="Y81" s="68"/>
      <c r="Z81" s="76"/>
      <c r="AA81" s="70"/>
      <c r="AB81" s="228">
        <f>ROUND((ROUND((ROUND((_15_同援日１．０*_15・通訳),0)*(1+_15・A夜間)),0)*(1+_15・盲ろう)),0)+ROUND((ROUND((ROUND((_15_同援日１．０＿１．０*_15・通訳),0)*(1+_15・B深夜)),0)*(1+_15・盲ろう)),0)</f>
        <v>737</v>
      </c>
      <c r="AC81" s="69"/>
    </row>
    <row r="82" spans="1:29" ht="16.5" customHeight="1" x14ac:dyDescent="0.3">
      <c r="A82" s="2">
        <v>15</v>
      </c>
      <c r="B82" s="2" t="s">
        <v>4342</v>
      </c>
      <c r="C82" s="60" t="s">
        <v>14790</v>
      </c>
      <c r="D82" s="1"/>
      <c r="E82" s="68"/>
      <c r="F82" s="70"/>
      <c r="G82" s="1"/>
      <c r="H82" s="119">
        <v>193</v>
      </c>
      <c r="I82" s="70" t="s">
        <v>0</v>
      </c>
      <c r="J82" s="67"/>
      <c r="K82" s="68"/>
      <c r="L82" s="76"/>
      <c r="M82" s="83" t="s">
        <v>5895</v>
      </c>
      <c r="N82" s="64" t="s">
        <v>1</v>
      </c>
      <c r="O82" s="65">
        <v>1</v>
      </c>
      <c r="P82" s="99"/>
      <c r="Q82" s="70"/>
      <c r="R82" s="99"/>
      <c r="S82" s="70"/>
      <c r="T82" s="81" t="s">
        <v>18332</v>
      </c>
      <c r="U82" s="57" t="s">
        <v>1</v>
      </c>
      <c r="V82" s="58">
        <v>0.25</v>
      </c>
      <c r="W82" s="77" t="s">
        <v>422</v>
      </c>
      <c r="X82" s="81"/>
      <c r="Y82" s="57"/>
      <c r="Z82" s="58"/>
      <c r="AA82" s="77"/>
      <c r="AB82" s="228">
        <f>ROUND((ROUND((ROUND((ROUND((_15_同援日１．０*_15・通訳),0)*_15・２人),0)*(1+_15・A夜間)),0)*(1+_15・盲ろう)),0)+ROUND((ROUND((ROUND((ROUND((_15_同援日１．０＿１．０*_15・通訳),0)*_15・２人),0)*(1+_15・B深夜)),0)*(1+_15・盲ろう)),0)</f>
        <v>737</v>
      </c>
      <c r="AC82" s="69"/>
    </row>
    <row r="83" spans="1:29" ht="16.5" customHeight="1" x14ac:dyDescent="0.3">
      <c r="A83" s="2">
        <v>15</v>
      </c>
      <c r="B83" s="2" t="s">
        <v>4343</v>
      </c>
      <c r="C83" s="60" t="s">
        <v>14789</v>
      </c>
      <c r="D83" s="1"/>
      <c r="E83" s="68"/>
      <c r="F83" s="70"/>
      <c r="G83" s="1"/>
      <c r="H83" s="68"/>
      <c r="I83" s="70"/>
      <c r="J83" s="67"/>
      <c r="K83" s="68"/>
      <c r="L83" s="76"/>
      <c r="M83" s="83"/>
      <c r="N83" s="64"/>
      <c r="O83" s="65"/>
      <c r="P83" s="99"/>
      <c r="Q83" s="70"/>
      <c r="R83" s="99"/>
      <c r="S83" s="70"/>
      <c r="T83" s="74"/>
      <c r="U83" s="62"/>
      <c r="V83" s="63"/>
      <c r="W83" s="75"/>
      <c r="X83" s="74" t="s">
        <v>18336</v>
      </c>
      <c r="Y83" s="62"/>
      <c r="Z83" s="63"/>
      <c r="AA83" s="75"/>
      <c r="AB83" s="228">
        <f>ROUND((ROUND((ROUND((_15_同援日１．０*_15・通訳),0)*(1+_15・A夜間)),0)*(1+_15・区３)),0)+ROUND((ROUND((ROUND((_15_同援日１．０＿１．０*_15・通訳),0)*(1+_15・B深夜)),0)*(1+_15・区３)),0)</f>
        <v>708</v>
      </c>
      <c r="AC83" s="69"/>
    </row>
    <row r="84" spans="1:29" ht="16.5" customHeight="1" x14ac:dyDescent="0.3">
      <c r="A84" s="2">
        <v>15</v>
      </c>
      <c r="B84" s="2" t="s">
        <v>4344</v>
      </c>
      <c r="C84" s="60" t="s">
        <v>14788</v>
      </c>
      <c r="D84" s="1"/>
      <c r="E84" s="68"/>
      <c r="F84" s="70"/>
      <c r="G84" s="1"/>
      <c r="H84" s="68"/>
      <c r="I84" s="70"/>
      <c r="J84" s="67"/>
      <c r="K84" s="68"/>
      <c r="L84" s="76"/>
      <c r="M84" s="83" t="s">
        <v>5895</v>
      </c>
      <c r="N84" s="64" t="s">
        <v>1</v>
      </c>
      <c r="O84" s="65">
        <v>1</v>
      </c>
      <c r="P84" s="99"/>
      <c r="Q84" s="70"/>
      <c r="R84" s="99"/>
      <c r="S84" s="70"/>
      <c r="T84" s="81"/>
      <c r="U84" s="57"/>
      <c r="V84" s="58"/>
      <c r="W84" s="77"/>
      <c r="X84" s="1" t="s">
        <v>18334</v>
      </c>
      <c r="Y84" s="68"/>
      <c r="Z84" s="76"/>
      <c r="AA84" s="70"/>
      <c r="AB84" s="228">
        <f>ROUND((ROUND((ROUND((ROUND((_15_同援日１．０*_15・通訳),0)*_15・２人),0)*(1+_15・A夜間)),0)*(1+_15・区３)),0)+ROUND((ROUND((ROUND((ROUND((_15_同援日１．０＿１．０*_15・通訳),0)*_15・２人),0)*(1+_15・B深夜)),0)*(1+_15・区３)),0)</f>
        <v>708</v>
      </c>
      <c r="AC84" s="69"/>
    </row>
    <row r="85" spans="1:29" ht="16.5" customHeight="1" x14ac:dyDescent="0.3">
      <c r="A85" s="2">
        <v>15</v>
      </c>
      <c r="B85" s="2" t="s">
        <v>4345</v>
      </c>
      <c r="C85" s="60" t="s">
        <v>14787</v>
      </c>
      <c r="D85" s="1"/>
      <c r="E85" s="68"/>
      <c r="F85" s="70"/>
      <c r="G85" s="1"/>
      <c r="H85" s="68"/>
      <c r="I85" s="70"/>
      <c r="J85" s="67"/>
      <c r="K85" s="68"/>
      <c r="L85" s="76"/>
      <c r="M85" s="83"/>
      <c r="N85" s="64"/>
      <c r="O85" s="65"/>
      <c r="P85" s="99"/>
      <c r="Q85" s="70"/>
      <c r="R85" s="99"/>
      <c r="S85" s="70"/>
      <c r="T85" s="74" t="s">
        <v>18333</v>
      </c>
      <c r="U85" s="62"/>
      <c r="V85" s="63"/>
      <c r="W85" s="75"/>
      <c r="X85" s="1"/>
      <c r="Y85" s="68" t="s">
        <v>1</v>
      </c>
      <c r="Z85" s="76">
        <v>0.2</v>
      </c>
      <c r="AA85" s="70" t="s">
        <v>422</v>
      </c>
      <c r="AB85" s="228">
        <f>ROUND((ROUND((ROUND((ROUND((_15_同援日１．０*_15・通訳),0)*(1+_15・A夜間)),0)*(1+_15・盲ろう)),0)*(1+_15・区３)),0)+ROUND((ROUND((ROUND((ROUND((_15_同援日１．０＿１．０*_15・通訳),0)*(1+_15・B深夜)),0)*(1+_15・盲ろう)),0)*(1+_15・区３)),0)</f>
        <v>884</v>
      </c>
      <c r="AC85" s="69"/>
    </row>
    <row r="86" spans="1:29" ht="16.5" customHeight="1" x14ac:dyDescent="0.3">
      <c r="A86" s="2">
        <v>15</v>
      </c>
      <c r="B86" s="2" t="s">
        <v>4346</v>
      </c>
      <c r="C86" s="60" t="s">
        <v>14786</v>
      </c>
      <c r="D86" s="1"/>
      <c r="E86" s="68"/>
      <c r="F86" s="70"/>
      <c r="G86" s="1"/>
      <c r="H86" s="68"/>
      <c r="I86" s="70"/>
      <c r="J86" s="67"/>
      <c r="K86" s="68"/>
      <c r="L86" s="76"/>
      <c r="M86" s="83" t="s">
        <v>5895</v>
      </c>
      <c r="N86" s="64" t="s">
        <v>1</v>
      </c>
      <c r="O86" s="65">
        <v>1</v>
      </c>
      <c r="P86" s="99"/>
      <c r="Q86" s="70"/>
      <c r="R86" s="99"/>
      <c r="S86" s="70"/>
      <c r="T86" s="81" t="s">
        <v>8083</v>
      </c>
      <c r="U86" s="57" t="s">
        <v>1</v>
      </c>
      <c r="V86" s="58">
        <v>0.25</v>
      </c>
      <c r="W86" s="77" t="s">
        <v>422</v>
      </c>
      <c r="X86" s="81"/>
      <c r="Y86" s="57"/>
      <c r="Z86" s="58"/>
      <c r="AA86" s="77"/>
      <c r="AB86" s="228">
        <f>ROUND((ROUND((ROUND((ROUND((ROUND((_15_同援日１．０*_15・通訳),0)*_15・２人),0)*(1+_15・A夜間)),0)*(1+_15・盲ろう)),0)*(1+_15・区３)),0)+ROUND((ROUND((ROUND((ROUND((ROUND((_15_同援日１．０＿１．０*_15・通訳),0)*_15・２人),0)*(1+_15・B深夜)),0)*(1+_15・盲ろう)),0)*(1+_15・区３)),0)</f>
        <v>884</v>
      </c>
      <c r="AC86" s="69"/>
    </row>
    <row r="87" spans="1:29" ht="16.5" customHeight="1" x14ac:dyDescent="0.3">
      <c r="A87" s="2">
        <v>15</v>
      </c>
      <c r="B87" s="2" t="s">
        <v>4347</v>
      </c>
      <c r="C87" s="60" t="s">
        <v>14785</v>
      </c>
      <c r="D87" s="1"/>
      <c r="E87" s="68"/>
      <c r="F87" s="70"/>
      <c r="G87" s="1"/>
      <c r="H87" s="68"/>
      <c r="I87" s="70"/>
      <c r="J87" s="67"/>
      <c r="K87" s="68"/>
      <c r="L87" s="76"/>
      <c r="M87" s="83"/>
      <c r="N87" s="64"/>
      <c r="O87" s="65"/>
      <c r="P87" s="99"/>
      <c r="Q87" s="70"/>
      <c r="R87" s="99"/>
      <c r="S87" s="70"/>
      <c r="T87" s="74"/>
      <c r="U87" s="62"/>
      <c r="V87" s="63"/>
      <c r="W87" s="75"/>
      <c r="X87" s="74" t="s">
        <v>18335</v>
      </c>
      <c r="Y87" s="62"/>
      <c r="Z87" s="63"/>
      <c r="AA87" s="75"/>
      <c r="AB87" s="228">
        <f>ROUND((ROUND((ROUND((_15_同援日１．０*_15・通訳),0)*(1+_15・A夜間)),0)*(1+_15・区４)),0)+ROUND((ROUND((ROUND((_15_同援日１．０＿１．０*_15・通訳),0)*(1+_15・B深夜)),0)*(1+_15・区４)),0)</f>
        <v>826</v>
      </c>
      <c r="AC87" s="69"/>
    </row>
    <row r="88" spans="1:29" ht="16.5" customHeight="1" x14ac:dyDescent="0.3">
      <c r="A88" s="2">
        <v>15</v>
      </c>
      <c r="B88" s="2" t="s">
        <v>4348</v>
      </c>
      <c r="C88" s="60" t="s">
        <v>14784</v>
      </c>
      <c r="D88" s="1"/>
      <c r="E88" s="68"/>
      <c r="F88" s="70"/>
      <c r="G88" s="1"/>
      <c r="H88" s="68"/>
      <c r="I88" s="70"/>
      <c r="J88" s="67"/>
      <c r="K88" s="68"/>
      <c r="L88" s="76"/>
      <c r="M88" s="83" t="s">
        <v>5895</v>
      </c>
      <c r="N88" s="64" t="s">
        <v>1</v>
      </c>
      <c r="O88" s="65">
        <v>1</v>
      </c>
      <c r="P88" s="99"/>
      <c r="Q88" s="70"/>
      <c r="R88" s="99"/>
      <c r="S88" s="70"/>
      <c r="T88" s="81"/>
      <c r="U88" s="57"/>
      <c r="V88" s="58"/>
      <c r="W88" s="77"/>
      <c r="X88" s="1" t="s">
        <v>8087</v>
      </c>
      <c r="Y88" s="68"/>
      <c r="Z88" s="76"/>
      <c r="AA88" s="70"/>
      <c r="AB88" s="228">
        <f>ROUND((ROUND((ROUND((ROUND((_15_同援日１．０*_15・通訳),0)*_15・２人),0)*(1+_15・A夜間)),0)*(1+_15・区４)),0)+ROUND((ROUND((ROUND((ROUND((_15_同援日１．０＿１．０*_15・通訳),0)*_15・２人),0)*(1+_15・B深夜)),0)*(1+_15・区４)),0)</f>
        <v>826</v>
      </c>
      <c r="AC88" s="69"/>
    </row>
    <row r="89" spans="1:29" ht="16.5" customHeight="1" x14ac:dyDescent="0.3">
      <c r="A89" s="2">
        <v>15</v>
      </c>
      <c r="B89" s="2" t="s">
        <v>4349</v>
      </c>
      <c r="C89" s="60" t="s">
        <v>14783</v>
      </c>
      <c r="D89" s="1"/>
      <c r="E89" s="68"/>
      <c r="F89" s="70"/>
      <c r="G89" s="1"/>
      <c r="H89" s="68"/>
      <c r="I89" s="70"/>
      <c r="J89" s="67"/>
      <c r="K89" s="68"/>
      <c r="L89" s="76"/>
      <c r="M89" s="83"/>
      <c r="N89" s="64"/>
      <c r="O89" s="65"/>
      <c r="P89" s="99"/>
      <c r="Q89" s="70"/>
      <c r="R89" s="99"/>
      <c r="S89" s="70"/>
      <c r="T89" s="74" t="s">
        <v>18333</v>
      </c>
      <c r="U89" s="62"/>
      <c r="V89" s="63"/>
      <c r="W89" s="75"/>
      <c r="X89" s="1"/>
      <c r="Y89" s="68" t="s">
        <v>1</v>
      </c>
      <c r="Z89" s="76">
        <v>0.4</v>
      </c>
      <c r="AA89" s="70" t="s">
        <v>422</v>
      </c>
      <c r="AB89" s="228">
        <f>ROUND((ROUND((ROUND((ROUND((_15_同援日１．０*_15・通訳),0)*(1+_15・A夜間)),0)*(1+_15・盲ろう)),0)*(1+_15・区４)),0)+ROUND((ROUND((ROUND((ROUND((_15_同援日１．０＿１．０*_15・通訳),0)*(1+_15・B深夜)),0)*(1+_15・盲ろう)),0)*(1+_15・区４)),0)</f>
        <v>1031</v>
      </c>
      <c r="AC89" s="69"/>
    </row>
    <row r="90" spans="1:29" ht="16.5" customHeight="1" x14ac:dyDescent="0.3">
      <c r="A90" s="2">
        <v>15</v>
      </c>
      <c r="B90" s="2" t="s">
        <v>4350</v>
      </c>
      <c r="C90" s="60" t="s">
        <v>14782</v>
      </c>
      <c r="D90" s="1"/>
      <c r="E90" s="68"/>
      <c r="F90" s="70"/>
      <c r="G90" s="81"/>
      <c r="H90" s="57"/>
      <c r="I90" s="77"/>
      <c r="J90" s="67"/>
      <c r="K90" s="68"/>
      <c r="L90" s="76"/>
      <c r="M90" s="83" t="s">
        <v>5895</v>
      </c>
      <c r="N90" s="64" t="s">
        <v>1</v>
      </c>
      <c r="O90" s="65">
        <v>1</v>
      </c>
      <c r="P90" s="99"/>
      <c r="Q90" s="70"/>
      <c r="R90" s="99"/>
      <c r="S90" s="70"/>
      <c r="T90" s="81" t="s">
        <v>8083</v>
      </c>
      <c r="U90" s="57" t="s">
        <v>1</v>
      </c>
      <c r="V90" s="58">
        <v>0.25</v>
      </c>
      <c r="W90" s="77" t="s">
        <v>422</v>
      </c>
      <c r="X90" s="81"/>
      <c r="Y90" s="57"/>
      <c r="Z90" s="58"/>
      <c r="AA90" s="77"/>
      <c r="AB90" s="228">
        <f>ROUND((ROUND((ROUND((ROUND((ROUND((_15_同援日１．０*_15・通訳),0)*_15・２人),0)*(1+_15・A夜間)),0)*(1+_15・盲ろう)),0)*(1+_15・区４)),0)+ROUND((ROUND((ROUND((ROUND((ROUND((_15_同援日１．０＿１．０*_15・通訳),0)*_15・２人),0)*(1+_15・B深夜)),0)*(1+_15・盲ろう)),0)*(1+_15・区４)),0)</f>
        <v>1031</v>
      </c>
      <c r="AC90" s="69"/>
    </row>
    <row r="91" spans="1:29" ht="16.5" customHeight="1" x14ac:dyDescent="0.3">
      <c r="A91" s="2">
        <v>15</v>
      </c>
      <c r="B91" s="2" t="s">
        <v>4351</v>
      </c>
      <c r="C91" s="60" t="s">
        <v>14781</v>
      </c>
      <c r="D91" s="1"/>
      <c r="E91" s="68"/>
      <c r="F91" s="70"/>
      <c r="G91" s="233" t="s">
        <v>18345</v>
      </c>
      <c r="H91" s="62"/>
      <c r="I91" s="75"/>
      <c r="J91" s="67"/>
      <c r="K91" s="68"/>
      <c r="L91" s="76"/>
      <c r="M91" s="83"/>
      <c r="N91" s="64"/>
      <c r="O91" s="65"/>
      <c r="P91" s="99"/>
      <c r="Q91" s="70"/>
      <c r="R91" s="99"/>
      <c r="S91" s="70"/>
      <c r="T91" s="74"/>
      <c r="U91" s="62"/>
      <c r="V91" s="63"/>
      <c r="W91" s="75"/>
      <c r="X91" s="74"/>
      <c r="Y91" s="62"/>
      <c r="Z91" s="63"/>
      <c r="AA91" s="75"/>
      <c r="AB91" s="228">
        <f>ROUND((ROUND((_15_同援日１．０*_15・通訳),0)*(1+_15・A夜間)),0)+ROUND((ROUND((_15_同援日１．０＿１．５*_15・通訳),0)*(1+_15・B深夜)),0)</f>
        <v>674</v>
      </c>
      <c r="AC91" s="69"/>
    </row>
    <row r="92" spans="1:29" ht="16.5" customHeight="1" x14ac:dyDescent="0.3">
      <c r="A92" s="2">
        <v>15</v>
      </c>
      <c r="B92" s="2" t="s">
        <v>4352</v>
      </c>
      <c r="C92" s="60" t="s">
        <v>14780</v>
      </c>
      <c r="D92" s="1"/>
      <c r="E92" s="68"/>
      <c r="F92" s="70"/>
      <c r="G92" s="1" t="s">
        <v>18344</v>
      </c>
      <c r="H92" s="68"/>
      <c r="I92" s="70"/>
      <c r="J92" s="67"/>
      <c r="K92" s="68"/>
      <c r="L92" s="76"/>
      <c r="M92" s="83" t="s">
        <v>5895</v>
      </c>
      <c r="N92" s="64" t="s">
        <v>1</v>
      </c>
      <c r="O92" s="65">
        <v>1</v>
      </c>
      <c r="P92" s="99"/>
      <c r="Q92" s="70"/>
      <c r="R92" s="99"/>
      <c r="S92" s="70"/>
      <c r="T92" s="81"/>
      <c r="U92" s="57"/>
      <c r="V92" s="58"/>
      <c r="W92" s="77"/>
      <c r="X92" s="1"/>
      <c r="Y92" s="68"/>
      <c r="Z92" s="76"/>
      <c r="AA92" s="70"/>
      <c r="AB92" s="228">
        <f>ROUND((ROUND((ROUND((_15_同援日１．０*_15・通訳),0)*_15・２人),0)*(1+_15・A夜間)),0)+ROUND((ROUND((ROUND((_15_同援日１．０＿１．５*_15・通訳),0)*_15・２人),0)*(1+_15・B深夜)),0)</f>
        <v>674</v>
      </c>
      <c r="AC92" s="69"/>
    </row>
    <row r="93" spans="1:29" ht="16.5" customHeight="1" x14ac:dyDescent="0.3">
      <c r="A93" s="2">
        <v>15</v>
      </c>
      <c r="B93" s="2" t="s">
        <v>4353</v>
      </c>
      <c r="C93" s="60" t="s">
        <v>14779</v>
      </c>
      <c r="D93" s="1"/>
      <c r="E93" s="68"/>
      <c r="F93" s="70"/>
      <c r="G93" s="1" t="s">
        <v>8767</v>
      </c>
      <c r="H93" s="68"/>
      <c r="I93" s="70"/>
      <c r="J93" s="67"/>
      <c r="K93" s="68"/>
      <c r="L93" s="76"/>
      <c r="M93" s="83"/>
      <c r="N93" s="64"/>
      <c r="O93" s="65"/>
      <c r="P93" s="99"/>
      <c r="Q93" s="70"/>
      <c r="R93" s="99"/>
      <c r="S93" s="70"/>
      <c r="T93" s="74" t="s">
        <v>18333</v>
      </c>
      <c r="U93" s="62"/>
      <c r="V93" s="63"/>
      <c r="W93" s="75"/>
      <c r="X93" s="1"/>
      <c r="Y93" s="68"/>
      <c r="Z93" s="76"/>
      <c r="AA93" s="70"/>
      <c r="AB93" s="228">
        <f>ROUND((ROUND((ROUND((_15_同援日１．０*_15・通訳),0)*(1+_15・A夜間)),0)*(1+_15・盲ろう)),0)+ROUND((ROUND((ROUND((_15_同援日１．０＿１．５*_15・通訳),0)*(1+_15・B深夜)),0)*(1+_15・盲ろう)),0)</f>
        <v>842</v>
      </c>
      <c r="AC93" s="69"/>
    </row>
    <row r="94" spans="1:29" ht="16.5" customHeight="1" x14ac:dyDescent="0.3">
      <c r="A94" s="2">
        <v>15</v>
      </c>
      <c r="B94" s="2" t="s">
        <v>4354</v>
      </c>
      <c r="C94" s="60" t="s">
        <v>14778</v>
      </c>
      <c r="D94" s="1"/>
      <c r="E94" s="68"/>
      <c r="F94" s="70"/>
      <c r="G94" s="1"/>
      <c r="H94" s="119">
        <v>256</v>
      </c>
      <c r="I94" s="70" t="s">
        <v>0</v>
      </c>
      <c r="J94" s="67"/>
      <c r="K94" s="68"/>
      <c r="L94" s="76"/>
      <c r="M94" s="83" t="s">
        <v>5895</v>
      </c>
      <c r="N94" s="64" t="s">
        <v>1</v>
      </c>
      <c r="O94" s="65">
        <v>1</v>
      </c>
      <c r="P94" s="99"/>
      <c r="Q94" s="70"/>
      <c r="R94" s="99"/>
      <c r="S94" s="70"/>
      <c r="T94" s="81" t="s">
        <v>18332</v>
      </c>
      <c r="U94" s="57" t="s">
        <v>1</v>
      </c>
      <c r="V94" s="58">
        <v>0.25</v>
      </c>
      <c r="W94" s="77" t="s">
        <v>422</v>
      </c>
      <c r="X94" s="81"/>
      <c r="Y94" s="57"/>
      <c r="Z94" s="58"/>
      <c r="AA94" s="77"/>
      <c r="AB94" s="228">
        <f>ROUND((ROUND((ROUND((ROUND((_15_同援日１．０*_15・通訳),0)*_15・２人),0)*(1+_15・A夜間)),0)*(1+_15・盲ろう)),0)+ROUND((ROUND((ROUND((ROUND((_15_同援日１．０＿１．５*_15・通訳),0)*_15・２人),0)*(1+_15・B深夜)),0)*(1+_15・盲ろう)),0)</f>
        <v>842</v>
      </c>
      <c r="AC94" s="69"/>
    </row>
    <row r="95" spans="1:29" ht="16.5" customHeight="1" x14ac:dyDescent="0.3">
      <c r="A95" s="2">
        <v>15</v>
      </c>
      <c r="B95" s="2" t="s">
        <v>4355</v>
      </c>
      <c r="C95" s="60" t="s">
        <v>14777</v>
      </c>
      <c r="D95" s="1"/>
      <c r="E95" s="68"/>
      <c r="F95" s="70"/>
      <c r="G95" s="1"/>
      <c r="H95" s="68"/>
      <c r="I95" s="70"/>
      <c r="J95" s="67"/>
      <c r="K95" s="68"/>
      <c r="L95" s="76"/>
      <c r="M95" s="83"/>
      <c r="N95" s="64"/>
      <c r="O95" s="65"/>
      <c r="P95" s="99"/>
      <c r="Q95" s="70"/>
      <c r="R95" s="99"/>
      <c r="S95" s="70"/>
      <c r="T95" s="74"/>
      <c r="U95" s="62"/>
      <c r="V95" s="63"/>
      <c r="W95" s="75"/>
      <c r="X95" s="74" t="s">
        <v>18336</v>
      </c>
      <c r="Y95" s="62"/>
      <c r="Z95" s="63"/>
      <c r="AA95" s="75"/>
      <c r="AB95" s="228">
        <f>ROUND((ROUND((ROUND((_15_同援日１．０*_15・通訳),0)*(1+_15・A夜間)),0)*(1+_15・区３)),0)+ROUND((ROUND((ROUND((_15_同援日１．０＿１．５*_15・通訳),0)*(1+_15・B深夜)),0)*(1+_15・区３)),0)</f>
        <v>809</v>
      </c>
      <c r="AC95" s="69"/>
    </row>
    <row r="96" spans="1:29" ht="16.5" customHeight="1" x14ac:dyDescent="0.3">
      <c r="A96" s="2">
        <v>15</v>
      </c>
      <c r="B96" s="2" t="s">
        <v>4356</v>
      </c>
      <c r="C96" s="60" t="s">
        <v>14776</v>
      </c>
      <c r="D96" s="1"/>
      <c r="E96" s="68"/>
      <c r="F96" s="70"/>
      <c r="G96" s="1"/>
      <c r="H96" s="68"/>
      <c r="I96" s="70"/>
      <c r="J96" s="67"/>
      <c r="K96" s="68"/>
      <c r="L96" s="76"/>
      <c r="M96" s="83" t="s">
        <v>5895</v>
      </c>
      <c r="N96" s="64" t="s">
        <v>1</v>
      </c>
      <c r="O96" s="65">
        <v>1</v>
      </c>
      <c r="P96" s="99"/>
      <c r="Q96" s="70"/>
      <c r="R96" s="99"/>
      <c r="S96" s="70"/>
      <c r="T96" s="81"/>
      <c r="U96" s="57"/>
      <c r="V96" s="58"/>
      <c r="W96" s="77"/>
      <c r="X96" s="1" t="s">
        <v>18334</v>
      </c>
      <c r="Y96" s="68"/>
      <c r="Z96" s="76"/>
      <c r="AA96" s="70"/>
      <c r="AB96" s="228">
        <f>ROUND((ROUND((ROUND((ROUND((_15_同援日１．０*_15・通訳),0)*_15・２人),0)*(1+_15・A夜間)),0)*(1+_15・区３)),0)+ROUND((ROUND((ROUND((ROUND((_15_同援日１．０＿１．５*_15・通訳),0)*_15・２人),0)*(1+_15・B深夜)),0)*(1+_15・区３)),0)</f>
        <v>809</v>
      </c>
      <c r="AC96" s="69"/>
    </row>
    <row r="97" spans="1:29" ht="16.5" customHeight="1" x14ac:dyDescent="0.3">
      <c r="A97" s="2">
        <v>15</v>
      </c>
      <c r="B97" s="2" t="s">
        <v>4357</v>
      </c>
      <c r="C97" s="60" t="s">
        <v>14775</v>
      </c>
      <c r="D97" s="1"/>
      <c r="E97" s="68"/>
      <c r="F97" s="70"/>
      <c r="G97" s="1"/>
      <c r="H97" s="68"/>
      <c r="I97" s="70"/>
      <c r="J97" s="67"/>
      <c r="K97" s="68"/>
      <c r="L97" s="76"/>
      <c r="M97" s="83"/>
      <c r="N97" s="64"/>
      <c r="O97" s="65"/>
      <c r="P97" s="99"/>
      <c r="Q97" s="70"/>
      <c r="R97" s="99"/>
      <c r="S97" s="70"/>
      <c r="T97" s="74" t="s">
        <v>18333</v>
      </c>
      <c r="U97" s="62"/>
      <c r="V97" s="63"/>
      <c r="W97" s="75"/>
      <c r="X97" s="1"/>
      <c r="Y97" s="68" t="s">
        <v>1</v>
      </c>
      <c r="Z97" s="76">
        <v>0.2</v>
      </c>
      <c r="AA97" s="70" t="s">
        <v>422</v>
      </c>
      <c r="AB97" s="228">
        <f>ROUND((ROUND((ROUND((ROUND((_15_同援日１．０*_15・通訳),0)*(1+_15・A夜間)),0)*(1+_15・盲ろう)),0)*(1+_15・区３)),0)+ROUND((ROUND((ROUND((ROUND((_15_同援日１．０＿１．５*_15・通訳),0)*(1+_15・B深夜)),0)*(1+_15・盲ろう)),0)*(1+_15・区３)),0)</f>
        <v>1010</v>
      </c>
      <c r="AC97" s="69"/>
    </row>
    <row r="98" spans="1:29" ht="16.5" customHeight="1" x14ac:dyDescent="0.3">
      <c r="A98" s="2">
        <v>15</v>
      </c>
      <c r="B98" s="2" t="s">
        <v>4358</v>
      </c>
      <c r="C98" s="60" t="s">
        <v>14774</v>
      </c>
      <c r="D98" s="1"/>
      <c r="E98" s="68"/>
      <c r="F98" s="70"/>
      <c r="G98" s="1"/>
      <c r="H98" s="68"/>
      <c r="I98" s="70"/>
      <c r="J98" s="67"/>
      <c r="K98" s="68"/>
      <c r="L98" s="76"/>
      <c r="M98" s="83" t="s">
        <v>5895</v>
      </c>
      <c r="N98" s="64" t="s">
        <v>1</v>
      </c>
      <c r="O98" s="65">
        <v>1</v>
      </c>
      <c r="P98" s="99"/>
      <c r="Q98" s="70"/>
      <c r="R98" s="99"/>
      <c r="S98" s="70"/>
      <c r="T98" s="81" t="s">
        <v>18332</v>
      </c>
      <c r="U98" s="57" t="s">
        <v>1</v>
      </c>
      <c r="V98" s="58">
        <v>0.25</v>
      </c>
      <c r="W98" s="77" t="s">
        <v>422</v>
      </c>
      <c r="X98" s="81"/>
      <c r="Y98" s="57"/>
      <c r="Z98" s="58"/>
      <c r="AA98" s="77"/>
      <c r="AB98" s="228">
        <f>ROUND((ROUND((ROUND((ROUND((ROUND((_15_同援日１．０*_15・通訳),0)*_15・２人),0)*(1+_15・A夜間)),0)*(1+_15・盲ろう)),0)*(1+_15・区３)),0)+ROUND((ROUND((ROUND((ROUND((ROUND((_15_同援日１．０＿１．５*_15・通訳),0)*_15・２人),0)*(1+_15・B深夜)),0)*(1+_15・盲ろう)),0)*(1+_15・区３)),0)</f>
        <v>1010</v>
      </c>
      <c r="AC98" s="69"/>
    </row>
    <row r="99" spans="1:29" ht="16.5" customHeight="1" x14ac:dyDescent="0.3">
      <c r="A99" s="2">
        <v>15</v>
      </c>
      <c r="B99" s="2" t="s">
        <v>4359</v>
      </c>
      <c r="C99" s="60" t="s">
        <v>14773</v>
      </c>
      <c r="D99" s="1"/>
      <c r="E99" s="68"/>
      <c r="F99" s="70"/>
      <c r="G99" s="1"/>
      <c r="H99" s="68"/>
      <c r="I99" s="70"/>
      <c r="J99" s="67"/>
      <c r="K99" s="68"/>
      <c r="L99" s="76"/>
      <c r="M99" s="83"/>
      <c r="N99" s="64"/>
      <c r="O99" s="65"/>
      <c r="P99" s="99"/>
      <c r="Q99" s="70"/>
      <c r="R99" s="99"/>
      <c r="S99" s="70"/>
      <c r="T99" s="74"/>
      <c r="U99" s="62"/>
      <c r="V99" s="63"/>
      <c r="W99" s="75"/>
      <c r="X99" s="74" t="s">
        <v>18335</v>
      </c>
      <c r="Y99" s="62"/>
      <c r="Z99" s="63"/>
      <c r="AA99" s="75"/>
      <c r="AB99" s="228">
        <f>ROUND((ROUND((ROUND((_15_同援日１．０*_15・通訳),0)*(1+_15・A夜間)),0)*(1+_15・区４)),0)+ROUND((ROUND((ROUND((_15_同援日１．０＿１．５*_15・通訳),0)*(1+_15・B深夜)),0)*(1+_15・区４)),0)</f>
        <v>944</v>
      </c>
      <c r="AC99" s="69"/>
    </row>
    <row r="100" spans="1:29" ht="16.5" customHeight="1" x14ac:dyDescent="0.3">
      <c r="A100" s="2">
        <v>15</v>
      </c>
      <c r="B100" s="2" t="s">
        <v>4360</v>
      </c>
      <c r="C100" s="60" t="s">
        <v>14772</v>
      </c>
      <c r="D100" s="1"/>
      <c r="E100" s="68"/>
      <c r="F100" s="70"/>
      <c r="G100" s="1"/>
      <c r="H100" s="68"/>
      <c r="I100" s="70"/>
      <c r="J100" s="67"/>
      <c r="K100" s="68"/>
      <c r="L100" s="76"/>
      <c r="M100" s="83" t="s">
        <v>5895</v>
      </c>
      <c r="N100" s="64" t="s">
        <v>1</v>
      </c>
      <c r="O100" s="65">
        <v>1</v>
      </c>
      <c r="P100" s="99"/>
      <c r="Q100" s="70"/>
      <c r="R100" s="99"/>
      <c r="S100" s="70"/>
      <c r="T100" s="81"/>
      <c r="U100" s="57"/>
      <c r="V100" s="58"/>
      <c r="W100" s="77"/>
      <c r="X100" s="1" t="s">
        <v>18334</v>
      </c>
      <c r="Y100" s="68"/>
      <c r="Z100" s="76"/>
      <c r="AA100" s="70"/>
      <c r="AB100" s="228">
        <f>ROUND((ROUND((ROUND((ROUND((_15_同援日１．０*_15・通訳),0)*_15・２人),0)*(1+_15・A夜間)),0)*(1+_15・区４)),0)+ROUND((ROUND((ROUND((ROUND((_15_同援日１．０＿１．５*_15・通訳),0)*_15・２人),0)*(1+_15・B深夜)),0)*(1+_15・区４)),0)</f>
        <v>944</v>
      </c>
      <c r="AC100" s="69"/>
    </row>
    <row r="101" spans="1:29" ht="16.5" customHeight="1" x14ac:dyDescent="0.3">
      <c r="A101" s="2">
        <v>15</v>
      </c>
      <c r="B101" s="2" t="s">
        <v>4361</v>
      </c>
      <c r="C101" s="60" t="s">
        <v>14771</v>
      </c>
      <c r="D101" s="1"/>
      <c r="E101" s="68"/>
      <c r="F101" s="70"/>
      <c r="G101" s="1"/>
      <c r="H101" s="68"/>
      <c r="I101" s="70"/>
      <c r="J101" s="67"/>
      <c r="K101" s="68"/>
      <c r="L101" s="76"/>
      <c r="M101" s="83"/>
      <c r="N101" s="64"/>
      <c r="O101" s="65"/>
      <c r="P101" s="99"/>
      <c r="Q101" s="70"/>
      <c r="R101" s="99"/>
      <c r="S101" s="70"/>
      <c r="T101" s="74" t="s">
        <v>17969</v>
      </c>
      <c r="U101" s="62"/>
      <c r="V101" s="63"/>
      <c r="W101" s="75"/>
      <c r="X101" s="1"/>
      <c r="Y101" s="68" t="s">
        <v>1</v>
      </c>
      <c r="Z101" s="76">
        <v>0.4</v>
      </c>
      <c r="AA101" s="70" t="s">
        <v>422</v>
      </c>
      <c r="AB101" s="228">
        <f>ROUND((ROUND((ROUND((ROUND((_15_同援日１．０*_15・通訳),0)*(1+_15・A夜間)),0)*(1+_15・盲ろう)),0)*(1+_15・区４)),0)+ROUND((ROUND((ROUND((ROUND((_15_同援日１．０＿１．５*_15・通訳),0)*(1+_15・B深夜)),0)*(1+_15・盲ろう)),0)*(1+_15・区４)),0)</f>
        <v>1178</v>
      </c>
      <c r="AC101" s="69"/>
    </row>
    <row r="102" spans="1:29" ht="16.5" customHeight="1" x14ac:dyDescent="0.3">
      <c r="A102" s="2">
        <v>15</v>
      </c>
      <c r="B102" s="2" t="s">
        <v>4362</v>
      </c>
      <c r="C102" s="60" t="s">
        <v>14770</v>
      </c>
      <c r="D102" s="1"/>
      <c r="E102" s="68"/>
      <c r="F102" s="70"/>
      <c r="G102" s="81"/>
      <c r="H102" s="57"/>
      <c r="I102" s="77"/>
      <c r="J102" s="67"/>
      <c r="K102" s="68"/>
      <c r="L102" s="76"/>
      <c r="M102" s="83" t="s">
        <v>5895</v>
      </c>
      <c r="N102" s="64" t="s">
        <v>1</v>
      </c>
      <c r="O102" s="65">
        <v>1</v>
      </c>
      <c r="P102" s="99"/>
      <c r="Q102" s="70"/>
      <c r="R102" s="99"/>
      <c r="S102" s="70"/>
      <c r="T102" s="81" t="s">
        <v>18332</v>
      </c>
      <c r="U102" s="57" t="s">
        <v>1</v>
      </c>
      <c r="V102" s="58">
        <v>0.25</v>
      </c>
      <c r="W102" s="77" t="s">
        <v>422</v>
      </c>
      <c r="X102" s="81"/>
      <c r="Y102" s="57"/>
      <c r="Z102" s="58"/>
      <c r="AA102" s="77"/>
      <c r="AB102" s="228">
        <f>ROUND((ROUND((ROUND((ROUND((ROUND((_15_同援日１．０*_15・通訳),0)*_15・２人),0)*(1+_15・A夜間)),0)*(1+_15・盲ろう)),0)*(1+_15・区４)),0)+ROUND((ROUND((ROUND((ROUND((ROUND((_15_同援日１．０＿１．５*_15・通訳),0)*_15・２人),0)*(1+_15・B深夜)),0)*(1+_15・盲ろう)),0)*(1+_15・区４)),0)</f>
        <v>1178</v>
      </c>
      <c r="AC102" s="69"/>
    </row>
    <row r="103" spans="1:29" ht="16.5" customHeight="1" x14ac:dyDescent="0.3">
      <c r="A103" s="2">
        <v>15</v>
      </c>
      <c r="B103" s="2" t="s">
        <v>4363</v>
      </c>
      <c r="C103" s="60" t="s">
        <v>14769</v>
      </c>
      <c r="D103" s="1"/>
      <c r="E103" s="68"/>
      <c r="F103" s="70"/>
      <c r="G103" s="233" t="s">
        <v>18347</v>
      </c>
      <c r="H103" s="62"/>
      <c r="I103" s="75"/>
      <c r="J103" s="67"/>
      <c r="K103" s="68"/>
      <c r="L103" s="76"/>
      <c r="M103" s="83"/>
      <c r="N103" s="64"/>
      <c r="O103" s="65"/>
      <c r="P103" s="99"/>
      <c r="Q103" s="70"/>
      <c r="R103" s="99"/>
      <c r="S103" s="70"/>
      <c r="T103" s="74"/>
      <c r="U103" s="62"/>
      <c r="V103" s="63"/>
      <c r="W103" s="75"/>
      <c r="X103" s="74"/>
      <c r="Y103" s="62"/>
      <c r="Z103" s="63"/>
      <c r="AA103" s="75"/>
      <c r="AB103" s="228">
        <f>ROUND((ROUND((_15_同援日１．０*_15・通訳),0)*(1+_15・A夜間)),0)+ROUND((ROUND((_15_同援日１．０＿２．０*_15・通訳),0)*(1+_15・B深夜)),0)</f>
        <v>760</v>
      </c>
      <c r="AC103" s="69"/>
    </row>
    <row r="104" spans="1:29" ht="16.5" customHeight="1" x14ac:dyDescent="0.3">
      <c r="A104" s="2">
        <v>15</v>
      </c>
      <c r="B104" s="2" t="s">
        <v>4364</v>
      </c>
      <c r="C104" s="60" t="s">
        <v>14768</v>
      </c>
      <c r="D104" s="1"/>
      <c r="E104" s="68"/>
      <c r="F104" s="70"/>
      <c r="G104" s="1" t="s">
        <v>18342</v>
      </c>
      <c r="H104" s="68"/>
      <c r="I104" s="70"/>
      <c r="J104" s="67"/>
      <c r="K104" s="68"/>
      <c r="L104" s="76"/>
      <c r="M104" s="83" t="s">
        <v>5895</v>
      </c>
      <c r="N104" s="64" t="s">
        <v>1</v>
      </c>
      <c r="O104" s="65">
        <v>1</v>
      </c>
      <c r="P104" s="99"/>
      <c r="Q104" s="70"/>
      <c r="R104" s="99"/>
      <c r="S104" s="70"/>
      <c r="T104" s="81"/>
      <c r="U104" s="57"/>
      <c r="V104" s="58"/>
      <c r="W104" s="77"/>
      <c r="X104" s="1"/>
      <c r="Y104" s="68"/>
      <c r="Z104" s="76"/>
      <c r="AA104" s="70"/>
      <c r="AB104" s="228">
        <f>ROUND((ROUND((ROUND((_15_同援日１．０*_15・通訳),0)*_15・２人),0)*(1+_15・A夜間)),0)+ROUND((ROUND((ROUND((_15_同援日１．０＿２．０*_15・通訳),0)*_15・２人),0)*(1+_15・B深夜)),0)</f>
        <v>760</v>
      </c>
      <c r="AC104" s="69"/>
    </row>
    <row r="105" spans="1:29" ht="16.5" customHeight="1" x14ac:dyDescent="0.3">
      <c r="A105" s="2">
        <v>15</v>
      </c>
      <c r="B105" s="2" t="s">
        <v>4365</v>
      </c>
      <c r="C105" s="60" t="s">
        <v>14767</v>
      </c>
      <c r="D105" s="1"/>
      <c r="E105" s="68"/>
      <c r="F105" s="70"/>
      <c r="G105" s="1" t="s">
        <v>6448</v>
      </c>
      <c r="H105" s="68"/>
      <c r="I105" s="70"/>
      <c r="J105" s="67"/>
      <c r="K105" s="68"/>
      <c r="L105" s="76"/>
      <c r="M105" s="83"/>
      <c r="N105" s="64"/>
      <c r="O105" s="65"/>
      <c r="P105" s="99"/>
      <c r="Q105" s="70"/>
      <c r="R105" s="99"/>
      <c r="S105" s="70"/>
      <c r="T105" s="74" t="s">
        <v>18333</v>
      </c>
      <c r="U105" s="62"/>
      <c r="V105" s="63"/>
      <c r="W105" s="75"/>
      <c r="X105" s="1"/>
      <c r="Y105" s="68"/>
      <c r="Z105" s="76"/>
      <c r="AA105" s="70"/>
      <c r="AB105" s="228">
        <f>ROUND((ROUND((ROUND((_15_同援日１．０*_15・通訳),0)*(1+_15・A夜間)),0)*(1+_15・盲ろう)),0)+ROUND((ROUND((ROUND((_15_同援日１．０＿２．０*_15・通訳),0)*(1+_15・B深夜)),0)*(1+_15・盲ろう)),0)</f>
        <v>950</v>
      </c>
      <c r="AC105" s="69"/>
    </row>
    <row r="106" spans="1:29" ht="16.5" customHeight="1" x14ac:dyDescent="0.3">
      <c r="A106" s="2">
        <v>15</v>
      </c>
      <c r="B106" s="2" t="s">
        <v>4366</v>
      </c>
      <c r="C106" s="60" t="s">
        <v>14766</v>
      </c>
      <c r="D106" s="1"/>
      <c r="E106" s="68"/>
      <c r="F106" s="70"/>
      <c r="G106" s="1"/>
      <c r="H106" s="119">
        <v>319</v>
      </c>
      <c r="I106" s="70" t="s">
        <v>0</v>
      </c>
      <c r="J106" s="67"/>
      <c r="K106" s="68"/>
      <c r="L106" s="76"/>
      <c r="M106" s="83" t="s">
        <v>5895</v>
      </c>
      <c r="N106" s="64" t="s">
        <v>1</v>
      </c>
      <c r="O106" s="65">
        <v>1</v>
      </c>
      <c r="P106" s="99"/>
      <c r="Q106" s="70"/>
      <c r="R106" s="99"/>
      <c r="S106" s="70"/>
      <c r="T106" s="81" t="s">
        <v>8083</v>
      </c>
      <c r="U106" s="57" t="s">
        <v>1</v>
      </c>
      <c r="V106" s="58">
        <v>0.25</v>
      </c>
      <c r="W106" s="77" t="s">
        <v>422</v>
      </c>
      <c r="X106" s="81"/>
      <c r="Y106" s="57"/>
      <c r="Z106" s="58"/>
      <c r="AA106" s="77"/>
      <c r="AB106" s="228">
        <f>ROUND((ROUND((ROUND((ROUND((_15_同援日１．０*_15・通訳),0)*_15・２人),0)*(1+_15・A夜間)),0)*(1+_15・盲ろう)),0)+ROUND((ROUND((ROUND((ROUND((_15_同援日１．０＿２．０*_15・通訳),0)*_15・２人),0)*(1+_15・B深夜)),0)*(1+_15・盲ろう)),0)</f>
        <v>950</v>
      </c>
      <c r="AC106" s="69"/>
    </row>
    <row r="107" spans="1:29" ht="16.5" customHeight="1" x14ac:dyDescent="0.3">
      <c r="A107" s="2">
        <v>15</v>
      </c>
      <c r="B107" s="2" t="s">
        <v>4367</v>
      </c>
      <c r="C107" s="60" t="s">
        <v>14765</v>
      </c>
      <c r="D107" s="1"/>
      <c r="E107" s="68"/>
      <c r="F107" s="70"/>
      <c r="G107" s="1"/>
      <c r="H107" s="68"/>
      <c r="I107" s="70"/>
      <c r="J107" s="67"/>
      <c r="K107" s="68"/>
      <c r="L107" s="76"/>
      <c r="M107" s="83"/>
      <c r="N107" s="64"/>
      <c r="O107" s="65"/>
      <c r="P107" s="99"/>
      <c r="Q107" s="70"/>
      <c r="R107" s="99"/>
      <c r="S107" s="70"/>
      <c r="T107" s="74"/>
      <c r="U107" s="62"/>
      <c r="V107" s="63"/>
      <c r="W107" s="75"/>
      <c r="X107" s="74" t="s">
        <v>18336</v>
      </c>
      <c r="Y107" s="62"/>
      <c r="Z107" s="63"/>
      <c r="AA107" s="75"/>
      <c r="AB107" s="228">
        <f>ROUND((ROUND((ROUND((_15_同援日１．０*_15・通訳),0)*(1+_15・A夜間)),0)*(1+_15・区３)),0)+ROUND((ROUND((ROUND((_15_同援日１．０＿２．０*_15・通訳),0)*(1+_15・B深夜)),0)*(1+_15・区３)),0)</f>
        <v>912</v>
      </c>
      <c r="AC107" s="69"/>
    </row>
    <row r="108" spans="1:29" ht="16.5" customHeight="1" x14ac:dyDescent="0.3">
      <c r="A108" s="2">
        <v>15</v>
      </c>
      <c r="B108" s="2" t="s">
        <v>4368</v>
      </c>
      <c r="C108" s="60" t="s">
        <v>14764</v>
      </c>
      <c r="D108" s="1"/>
      <c r="E108" s="68"/>
      <c r="F108" s="70"/>
      <c r="G108" s="1"/>
      <c r="H108" s="68"/>
      <c r="I108" s="70"/>
      <c r="J108" s="67"/>
      <c r="K108" s="68"/>
      <c r="L108" s="76"/>
      <c r="M108" s="83" t="s">
        <v>5895</v>
      </c>
      <c r="N108" s="64" t="s">
        <v>1</v>
      </c>
      <c r="O108" s="65">
        <v>1</v>
      </c>
      <c r="P108" s="99"/>
      <c r="Q108" s="70"/>
      <c r="R108" s="99"/>
      <c r="S108" s="70"/>
      <c r="T108" s="81"/>
      <c r="U108" s="57"/>
      <c r="V108" s="58"/>
      <c r="W108" s="77"/>
      <c r="X108" s="1" t="s">
        <v>18334</v>
      </c>
      <c r="Y108" s="68"/>
      <c r="Z108" s="76"/>
      <c r="AA108" s="70"/>
      <c r="AB108" s="228">
        <f>ROUND((ROUND((ROUND((ROUND((_15_同援日１．０*_15・通訳),0)*_15・２人),0)*(1+_15・A夜間)),0)*(1+_15・区３)),0)+ROUND((ROUND((ROUND((ROUND((_15_同援日１．０＿２．０*_15・通訳),0)*_15・２人),0)*(1+_15・B深夜)),0)*(1+_15・区３)),0)</f>
        <v>912</v>
      </c>
      <c r="AC108" s="69"/>
    </row>
    <row r="109" spans="1:29" ht="16.5" customHeight="1" x14ac:dyDescent="0.3">
      <c r="A109" s="2">
        <v>15</v>
      </c>
      <c r="B109" s="2" t="s">
        <v>4369</v>
      </c>
      <c r="C109" s="60" t="s">
        <v>14763</v>
      </c>
      <c r="D109" s="1"/>
      <c r="E109" s="68"/>
      <c r="F109" s="70"/>
      <c r="G109" s="1"/>
      <c r="H109" s="68"/>
      <c r="I109" s="70"/>
      <c r="J109" s="67"/>
      <c r="K109" s="68"/>
      <c r="L109" s="76"/>
      <c r="M109" s="83"/>
      <c r="N109" s="64"/>
      <c r="O109" s="65"/>
      <c r="P109" s="99"/>
      <c r="Q109" s="70"/>
      <c r="R109" s="99"/>
      <c r="S109" s="70"/>
      <c r="T109" s="74" t="s">
        <v>18333</v>
      </c>
      <c r="U109" s="62"/>
      <c r="V109" s="63"/>
      <c r="W109" s="75"/>
      <c r="X109" s="1"/>
      <c r="Y109" s="68" t="s">
        <v>1</v>
      </c>
      <c r="Z109" s="76">
        <v>0.2</v>
      </c>
      <c r="AA109" s="70" t="s">
        <v>422</v>
      </c>
      <c r="AB109" s="228">
        <f>ROUND((ROUND((ROUND((ROUND((_15_同援日１．０*_15・通訳),0)*(1+_15・A夜間)),0)*(1+_15・盲ろう)),0)*(1+_15・区３)),0)+ROUND((ROUND((ROUND((ROUND((_15_同援日１．０＿２．０*_15・通訳),0)*(1+_15・B深夜)),0)*(1+_15・盲ろう)),0)*(1+_15・区３)),0)</f>
        <v>1140</v>
      </c>
      <c r="AC109" s="69"/>
    </row>
    <row r="110" spans="1:29" ht="16.5" customHeight="1" x14ac:dyDescent="0.3">
      <c r="A110" s="2">
        <v>15</v>
      </c>
      <c r="B110" s="2" t="s">
        <v>4370</v>
      </c>
      <c r="C110" s="60" t="s">
        <v>14762</v>
      </c>
      <c r="D110" s="1"/>
      <c r="E110" s="68"/>
      <c r="F110" s="70"/>
      <c r="G110" s="1"/>
      <c r="H110" s="68"/>
      <c r="I110" s="70"/>
      <c r="J110" s="67"/>
      <c r="K110" s="68"/>
      <c r="L110" s="76"/>
      <c r="M110" s="83" t="s">
        <v>5895</v>
      </c>
      <c r="N110" s="64" t="s">
        <v>1</v>
      </c>
      <c r="O110" s="65">
        <v>1</v>
      </c>
      <c r="P110" s="99"/>
      <c r="Q110" s="70"/>
      <c r="R110" s="99"/>
      <c r="S110" s="70"/>
      <c r="T110" s="81" t="s">
        <v>18332</v>
      </c>
      <c r="U110" s="57" t="s">
        <v>1</v>
      </c>
      <c r="V110" s="58">
        <v>0.25</v>
      </c>
      <c r="W110" s="77" t="s">
        <v>422</v>
      </c>
      <c r="X110" s="81"/>
      <c r="Y110" s="57"/>
      <c r="Z110" s="58"/>
      <c r="AA110" s="77"/>
      <c r="AB110" s="228">
        <f>ROUND((ROUND((ROUND((ROUND((ROUND((_15_同援日１．０*_15・通訳),0)*_15・２人),0)*(1+_15・A夜間)),0)*(1+_15・盲ろう)),0)*(1+_15・区３)),0)+ROUND((ROUND((ROUND((ROUND((ROUND((_15_同援日１．０＿２．０*_15・通訳),0)*_15・２人),0)*(1+_15・B深夜)),0)*(1+_15・盲ろう)),0)*(1+_15・区３)),0)</f>
        <v>1140</v>
      </c>
      <c r="AC110" s="69"/>
    </row>
    <row r="111" spans="1:29" ht="16.5" customHeight="1" x14ac:dyDescent="0.3">
      <c r="A111" s="2">
        <v>15</v>
      </c>
      <c r="B111" s="2" t="s">
        <v>4371</v>
      </c>
      <c r="C111" s="60" t="s">
        <v>14761</v>
      </c>
      <c r="D111" s="1"/>
      <c r="E111" s="68"/>
      <c r="F111" s="70"/>
      <c r="G111" s="1"/>
      <c r="H111" s="68"/>
      <c r="I111" s="70"/>
      <c r="J111" s="67"/>
      <c r="K111" s="68"/>
      <c r="L111" s="76"/>
      <c r="M111" s="83"/>
      <c r="N111" s="64"/>
      <c r="O111" s="65"/>
      <c r="P111" s="99"/>
      <c r="Q111" s="70"/>
      <c r="R111" s="99"/>
      <c r="S111" s="70"/>
      <c r="T111" s="74"/>
      <c r="U111" s="62"/>
      <c r="V111" s="63"/>
      <c r="W111" s="75"/>
      <c r="X111" s="74" t="s">
        <v>18335</v>
      </c>
      <c r="Y111" s="62"/>
      <c r="Z111" s="63"/>
      <c r="AA111" s="75"/>
      <c r="AB111" s="228">
        <f>ROUND((ROUND((ROUND((_15_同援日１．０*_15・通訳),0)*(1+_15・A夜間)),0)*(1+_15・区４)),0)+ROUND((ROUND((ROUND((_15_同援日１．０＿２．０*_15・通訳),0)*(1+_15・B深夜)),0)*(1+_15・区４)),0)</f>
        <v>1064</v>
      </c>
      <c r="AC111" s="69"/>
    </row>
    <row r="112" spans="1:29" ht="16.5" customHeight="1" x14ac:dyDescent="0.3">
      <c r="A112" s="2">
        <v>15</v>
      </c>
      <c r="B112" s="2" t="s">
        <v>4372</v>
      </c>
      <c r="C112" s="60" t="s">
        <v>14760</v>
      </c>
      <c r="D112" s="1"/>
      <c r="E112" s="68"/>
      <c r="F112" s="70"/>
      <c r="G112" s="1"/>
      <c r="H112" s="68"/>
      <c r="I112" s="70"/>
      <c r="J112" s="67"/>
      <c r="K112" s="68"/>
      <c r="L112" s="76"/>
      <c r="M112" s="83" t="s">
        <v>5895</v>
      </c>
      <c r="N112" s="64" t="s">
        <v>1</v>
      </c>
      <c r="O112" s="65">
        <v>1</v>
      </c>
      <c r="P112" s="99"/>
      <c r="Q112" s="70"/>
      <c r="R112" s="99"/>
      <c r="S112" s="70"/>
      <c r="T112" s="81"/>
      <c r="U112" s="57"/>
      <c r="V112" s="58"/>
      <c r="W112" s="77"/>
      <c r="X112" s="1" t="s">
        <v>18334</v>
      </c>
      <c r="Y112" s="68"/>
      <c r="Z112" s="76"/>
      <c r="AA112" s="70"/>
      <c r="AB112" s="228">
        <f>ROUND((ROUND((ROUND((ROUND((_15_同援日１．０*_15・通訳),0)*_15・２人),0)*(1+_15・A夜間)),0)*(1+_15・区４)),0)+ROUND((ROUND((ROUND((ROUND((_15_同援日１．０＿２．０*_15・通訳),0)*_15・２人),0)*(1+_15・B深夜)),0)*(1+_15・区４)),0)</f>
        <v>1064</v>
      </c>
      <c r="AC112" s="69"/>
    </row>
    <row r="113" spans="1:29" ht="16.5" customHeight="1" x14ac:dyDescent="0.3">
      <c r="A113" s="2">
        <v>15</v>
      </c>
      <c r="B113" s="2" t="s">
        <v>4373</v>
      </c>
      <c r="C113" s="60" t="s">
        <v>14759</v>
      </c>
      <c r="D113" s="1"/>
      <c r="E113" s="68"/>
      <c r="F113" s="70"/>
      <c r="G113" s="1"/>
      <c r="H113" s="68"/>
      <c r="I113" s="70"/>
      <c r="J113" s="67"/>
      <c r="K113" s="68"/>
      <c r="L113" s="76"/>
      <c r="M113" s="83"/>
      <c r="N113" s="64"/>
      <c r="O113" s="65"/>
      <c r="P113" s="99"/>
      <c r="Q113" s="70"/>
      <c r="R113" s="99"/>
      <c r="S113" s="70"/>
      <c r="T113" s="74" t="s">
        <v>18333</v>
      </c>
      <c r="U113" s="62"/>
      <c r="V113" s="63"/>
      <c r="W113" s="75"/>
      <c r="X113" s="1"/>
      <c r="Y113" s="68" t="s">
        <v>1</v>
      </c>
      <c r="Z113" s="76">
        <v>0.4</v>
      </c>
      <c r="AA113" s="70" t="s">
        <v>422</v>
      </c>
      <c r="AB113" s="228">
        <f>ROUND((ROUND((ROUND((ROUND((_15_同援日１．０*_15・通訳),0)*(1+_15・A夜間)),0)*(1+_15・盲ろう)),0)*(1+_15・区４)),0)+ROUND((ROUND((ROUND((ROUND((_15_同援日１．０＿２．０*_15・通訳),0)*(1+_15・B深夜)),0)*(1+_15・盲ろう)),0)*(1+_15・区４)),0)</f>
        <v>1330</v>
      </c>
      <c r="AC113" s="69"/>
    </row>
    <row r="114" spans="1:29" ht="16.5" customHeight="1" x14ac:dyDescent="0.3">
      <c r="A114" s="2">
        <v>15</v>
      </c>
      <c r="B114" s="2" t="s">
        <v>4374</v>
      </c>
      <c r="C114" s="60" t="s">
        <v>14758</v>
      </c>
      <c r="D114" s="81"/>
      <c r="E114" s="57"/>
      <c r="F114" s="77"/>
      <c r="G114" s="81"/>
      <c r="H114" s="57"/>
      <c r="I114" s="77"/>
      <c r="J114" s="67"/>
      <c r="K114" s="68"/>
      <c r="L114" s="76"/>
      <c r="M114" s="83" t="s">
        <v>5895</v>
      </c>
      <c r="N114" s="64" t="s">
        <v>1</v>
      </c>
      <c r="O114" s="65">
        <v>1</v>
      </c>
      <c r="P114" s="99"/>
      <c r="Q114" s="70"/>
      <c r="R114" s="99"/>
      <c r="S114" s="70"/>
      <c r="T114" s="81" t="s">
        <v>17968</v>
      </c>
      <c r="U114" s="57" t="s">
        <v>1</v>
      </c>
      <c r="V114" s="58">
        <v>0.25</v>
      </c>
      <c r="W114" s="77" t="s">
        <v>422</v>
      </c>
      <c r="X114" s="81"/>
      <c r="Y114" s="57"/>
      <c r="Z114" s="58"/>
      <c r="AA114" s="77"/>
      <c r="AB114" s="228">
        <f>ROUND((ROUND((ROUND((ROUND((ROUND((_15_同援日１．０*_15・通訳),0)*_15・２人),0)*(1+_15・A夜間)),0)*(1+_15・盲ろう)),0)*(1+_15・区４)),0)+ROUND((ROUND((ROUND((ROUND((ROUND((_15_同援日１．０＿２．０*_15・通訳),0)*_15・２人),0)*(1+_15・B深夜)),0)*(1+_15・盲ろう)),0)*(1+_15・区４)),0)</f>
        <v>1330</v>
      </c>
      <c r="AC114" s="69"/>
    </row>
    <row r="115" spans="1:29" ht="16.5" customHeight="1" x14ac:dyDescent="0.3">
      <c r="A115" s="2">
        <v>15</v>
      </c>
      <c r="B115" s="2" t="s">
        <v>4375</v>
      </c>
      <c r="C115" s="60" t="s">
        <v>14757</v>
      </c>
      <c r="D115" s="233" t="s">
        <v>18346</v>
      </c>
      <c r="E115" s="62"/>
      <c r="F115" s="75"/>
      <c r="G115" s="233" t="s">
        <v>18338</v>
      </c>
      <c r="H115" s="62"/>
      <c r="I115" s="75"/>
      <c r="J115" s="67"/>
      <c r="K115" s="68"/>
      <c r="L115" s="76"/>
      <c r="M115" s="83"/>
      <c r="N115" s="64"/>
      <c r="O115" s="65"/>
      <c r="P115" s="99"/>
      <c r="Q115" s="70"/>
      <c r="R115" s="99"/>
      <c r="S115" s="70"/>
      <c r="T115" s="74"/>
      <c r="U115" s="62"/>
      <c r="V115" s="63"/>
      <c r="W115" s="75"/>
      <c r="X115" s="74"/>
      <c r="Y115" s="62"/>
      <c r="Z115" s="63"/>
      <c r="AA115" s="75"/>
      <c r="AB115" s="228">
        <f>ROUND((ROUND((_15_同援日１．５*_15・通訳),0)*(1+_15・A夜間)),0)+ROUND((ROUND((_15_同援日１．５＿０．５*_15・通訳),0)*(1+_15・B深夜)),0)</f>
        <v>561</v>
      </c>
      <c r="AC115" s="69"/>
    </row>
    <row r="116" spans="1:29" ht="16.5" customHeight="1" x14ac:dyDescent="0.3">
      <c r="A116" s="2">
        <v>15</v>
      </c>
      <c r="B116" s="2" t="s">
        <v>4376</v>
      </c>
      <c r="C116" s="60" t="s">
        <v>14756</v>
      </c>
      <c r="D116" s="1" t="s">
        <v>18344</v>
      </c>
      <c r="E116" s="68"/>
      <c r="F116" s="70"/>
      <c r="G116" s="1" t="s">
        <v>7928</v>
      </c>
      <c r="H116" s="68"/>
      <c r="I116" s="70"/>
      <c r="J116" s="67"/>
      <c r="K116" s="68"/>
      <c r="L116" s="76"/>
      <c r="M116" s="83" t="s">
        <v>5895</v>
      </c>
      <c r="N116" s="64" t="s">
        <v>1</v>
      </c>
      <c r="O116" s="65">
        <v>1</v>
      </c>
      <c r="P116" s="99"/>
      <c r="Q116" s="70"/>
      <c r="R116" s="99"/>
      <c r="S116" s="70"/>
      <c r="T116" s="81"/>
      <c r="U116" s="57"/>
      <c r="V116" s="58"/>
      <c r="W116" s="77"/>
      <c r="X116" s="1"/>
      <c r="Y116" s="68"/>
      <c r="Z116" s="76"/>
      <c r="AA116" s="70"/>
      <c r="AB116" s="228">
        <f>ROUND((ROUND((ROUND((_15_同援日１．５*_15・通訳),0)*_15・２人),0)*(1+_15・A夜間)),0)+ROUND((ROUND((ROUND((_15_同援日１．５＿０．５*_15・通訳),0)*_15・２人),0)*(1+_15・B深夜)),0)</f>
        <v>561</v>
      </c>
      <c r="AC116" s="69"/>
    </row>
    <row r="117" spans="1:29" ht="16.5" customHeight="1" x14ac:dyDescent="0.3">
      <c r="A117" s="2">
        <v>15</v>
      </c>
      <c r="B117" s="2" t="s">
        <v>4377</v>
      </c>
      <c r="C117" s="60" t="s">
        <v>14755</v>
      </c>
      <c r="D117" s="1" t="s">
        <v>8767</v>
      </c>
      <c r="E117" s="68"/>
      <c r="F117" s="70"/>
      <c r="G117" s="1"/>
      <c r="H117" s="68"/>
      <c r="I117" s="70"/>
      <c r="J117" s="67"/>
      <c r="K117" s="68"/>
      <c r="L117" s="76"/>
      <c r="M117" s="83"/>
      <c r="N117" s="64"/>
      <c r="O117" s="65"/>
      <c r="P117" s="99"/>
      <c r="Q117" s="70"/>
      <c r="R117" s="99"/>
      <c r="S117" s="70"/>
      <c r="T117" s="74" t="s">
        <v>18333</v>
      </c>
      <c r="U117" s="62"/>
      <c r="V117" s="63"/>
      <c r="W117" s="75"/>
      <c r="X117" s="1"/>
      <c r="Y117" s="68"/>
      <c r="Z117" s="76"/>
      <c r="AA117" s="70"/>
      <c r="AB117" s="228">
        <f>ROUND((ROUND((ROUND((_15_同援日１．５*_15・通訳),0)*(1+_15・A夜間)),0)*(1+_15・盲ろう)),0)+ROUND((ROUND((ROUND((_15_同援日１．５＿０．５*_15・通訳),0)*(1+_15・B深夜)),0)*(1+_15・盲ろう)),0)</f>
        <v>702</v>
      </c>
      <c r="AC117" s="69"/>
    </row>
    <row r="118" spans="1:29" ht="16.5" customHeight="1" x14ac:dyDescent="0.3">
      <c r="A118" s="2">
        <v>15</v>
      </c>
      <c r="B118" s="2" t="s">
        <v>4378</v>
      </c>
      <c r="C118" s="60" t="s">
        <v>14754</v>
      </c>
      <c r="D118" s="1"/>
      <c r="E118" s="227">
        <v>421</v>
      </c>
      <c r="F118" s="70" t="s">
        <v>0</v>
      </c>
      <c r="G118" s="1"/>
      <c r="H118" s="119">
        <v>64</v>
      </c>
      <c r="I118" s="70" t="s">
        <v>0</v>
      </c>
      <c r="J118" s="67"/>
      <c r="K118" s="68"/>
      <c r="L118" s="76"/>
      <c r="M118" s="83" t="s">
        <v>5895</v>
      </c>
      <c r="N118" s="64" t="s">
        <v>1</v>
      </c>
      <c r="O118" s="65">
        <v>1</v>
      </c>
      <c r="P118" s="99"/>
      <c r="Q118" s="70"/>
      <c r="R118" s="99"/>
      <c r="S118" s="70"/>
      <c r="T118" s="81" t="s">
        <v>18332</v>
      </c>
      <c r="U118" s="57" t="s">
        <v>1</v>
      </c>
      <c r="V118" s="58">
        <v>0.25</v>
      </c>
      <c r="W118" s="77" t="s">
        <v>422</v>
      </c>
      <c r="X118" s="81"/>
      <c r="Y118" s="57"/>
      <c r="Z118" s="58"/>
      <c r="AA118" s="77"/>
      <c r="AB118" s="228">
        <f>ROUND((ROUND((ROUND((ROUND((_15_同援日１．５*_15・通訳),0)*_15・２人),0)*(1+_15・A夜間)),0)*(1+_15・盲ろう)),0)+ROUND((ROUND((ROUND((ROUND((_15_同援日１．５＿０．５*_15・通訳),0)*_15・２人),0)*(1+_15・B深夜)),0)*(1+_15・盲ろう)),0)</f>
        <v>702</v>
      </c>
      <c r="AC118" s="69"/>
    </row>
    <row r="119" spans="1:29" ht="16.5" customHeight="1" x14ac:dyDescent="0.3">
      <c r="A119" s="2">
        <v>15</v>
      </c>
      <c r="B119" s="2" t="s">
        <v>4379</v>
      </c>
      <c r="C119" s="60" t="s">
        <v>14753</v>
      </c>
      <c r="D119" s="1"/>
      <c r="E119" s="68"/>
      <c r="F119" s="70"/>
      <c r="G119" s="1"/>
      <c r="H119" s="68"/>
      <c r="I119" s="70"/>
      <c r="J119" s="67"/>
      <c r="K119" s="68"/>
      <c r="L119" s="76"/>
      <c r="M119" s="83"/>
      <c r="N119" s="64"/>
      <c r="O119" s="65"/>
      <c r="P119" s="99"/>
      <c r="Q119" s="70"/>
      <c r="R119" s="99"/>
      <c r="S119" s="70"/>
      <c r="T119" s="74"/>
      <c r="U119" s="62"/>
      <c r="V119" s="63"/>
      <c r="W119" s="75"/>
      <c r="X119" s="74" t="s">
        <v>18336</v>
      </c>
      <c r="Y119" s="62"/>
      <c r="Z119" s="63"/>
      <c r="AA119" s="75"/>
      <c r="AB119" s="228">
        <f>ROUND((ROUND((ROUND((_15_同援日１．５*_15・通訳),0)*(1+_15・A夜間)),0)*(1+_15・区３)),0)+ROUND((ROUND((ROUND((_15_同援日１．５＿０．５*_15・通訳),0)*(1+_15・B深夜)),0)*(1+_15・区３)),0)</f>
        <v>673</v>
      </c>
      <c r="AC119" s="69"/>
    </row>
    <row r="120" spans="1:29" ht="16.5" customHeight="1" x14ac:dyDescent="0.3">
      <c r="A120" s="2">
        <v>15</v>
      </c>
      <c r="B120" s="2" t="s">
        <v>4380</v>
      </c>
      <c r="C120" s="60" t="s">
        <v>14752</v>
      </c>
      <c r="D120" s="1"/>
      <c r="E120" s="68"/>
      <c r="F120" s="70"/>
      <c r="G120" s="1"/>
      <c r="H120" s="68"/>
      <c r="I120" s="70"/>
      <c r="J120" s="67"/>
      <c r="K120" s="68"/>
      <c r="L120" s="76"/>
      <c r="M120" s="83" t="s">
        <v>5895</v>
      </c>
      <c r="N120" s="64" t="s">
        <v>1</v>
      </c>
      <c r="O120" s="65">
        <v>1</v>
      </c>
      <c r="P120" s="99"/>
      <c r="Q120" s="70"/>
      <c r="R120" s="99"/>
      <c r="S120" s="70"/>
      <c r="T120" s="81"/>
      <c r="U120" s="57"/>
      <c r="V120" s="58"/>
      <c r="W120" s="77"/>
      <c r="X120" s="1" t="s">
        <v>18334</v>
      </c>
      <c r="Y120" s="68"/>
      <c r="Z120" s="76"/>
      <c r="AA120" s="70"/>
      <c r="AB120" s="228">
        <f>ROUND((ROUND((ROUND((ROUND((_15_同援日１．５*_15・通訳),0)*_15・２人),0)*(1+_15・A夜間)),0)*(1+_15・区３)),0)+ROUND((ROUND((ROUND((ROUND((_15_同援日１．５＿０．５*_15・通訳),0)*_15・２人),0)*(1+_15・B深夜)),0)*(1+_15・区３)),0)</f>
        <v>673</v>
      </c>
      <c r="AC120" s="69"/>
    </row>
    <row r="121" spans="1:29" ht="16.5" customHeight="1" x14ac:dyDescent="0.3">
      <c r="A121" s="2">
        <v>15</v>
      </c>
      <c r="B121" s="2" t="s">
        <v>4381</v>
      </c>
      <c r="C121" s="60" t="s">
        <v>14751</v>
      </c>
      <c r="D121" s="1"/>
      <c r="E121" s="68"/>
      <c r="F121" s="70"/>
      <c r="G121" s="1"/>
      <c r="H121" s="68"/>
      <c r="I121" s="70"/>
      <c r="J121" s="67"/>
      <c r="K121" s="68"/>
      <c r="L121" s="76"/>
      <c r="M121" s="83"/>
      <c r="N121" s="64"/>
      <c r="O121" s="65"/>
      <c r="P121" s="99"/>
      <c r="Q121" s="70"/>
      <c r="R121" s="99"/>
      <c r="S121" s="70"/>
      <c r="T121" s="74" t="s">
        <v>18333</v>
      </c>
      <c r="U121" s="62"/>
      <c r="V121" s="63"/>
      <c r="W121" s="75"/>
      <c r="X121" s="1"/>
      <c r="Y121" s="68" t="s">
        <v>1</v>
      </c>
      <c r="Z121" s="76">
        <v>0.2</v>
      </c>
      <c r="AA121" s="70" t="s">
        <v>422</v>
      </c>
      <c r="AB121" s="228">
        <f>ROUND((ROUND((ROUND((ROUND((_15_同援日１．５*_15・通訳),0)*(1+_15・A夜間)),0)*(1+_15・盲ろう)),0)*(1+_15・区３)),0)+ROUND((ROUND((ROUND((ROUND((_15_同援日１．５＿０．５*_15・通訳),0)*(1+_15・B深夜)),0)*(1+_15・盲ろう)),0)*(1+_15・区３)),0)</f>
        <v>843</v>
      </c>
      <c r="AC121" s="69"/>
    </row>
    <row r="122" spans="1:29" ht="16.5" customHeight="1" x14ac:dyDescent="0.3">
      <c r="A122" s="2">
        <v>15</v>
      </c>
      <c r="B122" s="2" t="s">
        <v>4382</v>
      </c>
      <c r="C122" s="60" t="s">
        <v>14750</v>
      </c>
      <c r="D122" s="1"/>
      <c r="E122" s="68"/>
      <c r="F122" s="70"/>
      <c r="G122" s="1"/>
      <c r="H122" s="68"/>
      <c r="I122" s="70"/>
      <c r="J122" s="67"/>
      <c r="K122" s="68"/>
      <c r="L122" s="76"/>
      <c r="M122" s="83" t="s">
        <v>5895</v>
      </c>
      <c r="N122" s="64" t="s">
        <v>1</v>
      </c>
      <c r="O122" s="65">
        <v>1</v>
      </c>
      <c r="P122" s="99"/>
      <c r="Q122" s="70"/>
      <c r="R122" s="99"/>
      <c r="S122" s="70"/>
      <c r="T122" s="81" t="s">
        <v>18332</v>
      </c>
      <c r="U122" s="57" t="s">
        <v>1</v>
      </c>
      <c r="V122" s="58">
        <v>0.25</v>
      </c>
      <c r="W122" s="77" t="s">
        <v>422</v>
      </c>
      <c r="X122" s="81"/>
      <c r="Y122" s="57"/>
      <c r="Z122" s="58"/>
      <c r="AA122" s="77"/>
      <c r="AB122" s="228">
        <f>ROUND((ROUND((ROUND((ROUND((ROUND((_15_同援日１．５*_15・通訳),0)*_15・２人),0)*(1+_15・A夜間)),0)*(1+_15・盲ろう)),0)*(1+_15・区３)),0)+ROUND((ROUND((ROUND((ROUND((ROUND((_15_同援日１．５＿０．５*_15・通訳),0)*_15・２人),0)*(1+_15・B深夜)),0)*(1+_15・盲ろう)),0)*(1+_15・区３)),0)</f>
        <v>843</v>
      </c>
      <c r="AC122" s="69"/>
    </row>
    <row r="123" spans="1:29" ht="16.5" customHeight="1" x14ac:dyDescent="0.3">
      <c r="A123" s="2">
        <v>15</v>
      </c>
      <c r="B123" s="2" t="s">
        <v>4383</v>
      </c>
      <c r="C123" s="60" t="s">
        <v>14749</v>
      </c>
      <c r="D123" s="1"/>
      <c r="E123" s="68"/>
      <c r="F123" s="70"/>
      <c r="G123" s="1"/>
      <c r="H123" s="68"/>
      <c r="I123" s="70"/>
      <c r="J123" s="67"/>
      <c r="K123" s="68"/>
      <c r="L123" s="76"/>
      <c r="M123" s="83"/>
      <c r="N123" s="64"/>
      <c r="O123" s="65"/>
      <c r="P123" s="99"/>
      <c r="Q123" s="70"/>
      <c r="R123" s="99"/>
      <c r="S123" s="70"/>
      <c r="T123" s="74"/>
      <c r="U123" s="62"/>
      <c r="V123" s="63"/>
      <c r="W123" s="75"/>
      <c r="X123" s="74" t="s">
        <v>18335</v>
      </c>
      <c r="Y123" s="62"/>
      <c r="Z123" s="63"/>
      <c r="AA123" s="75"/>
      <c r="AB123" s="228">
        <f>ROUND((ROUND((ROUND((_15_同援日１．５*_15・通訳),0)*(1+_15・A夜間)),0)*(1+_15・区４)),0)+ROUND((ROUND((ROUND((_15_同援日１．５＿０．５*_15・通訳),0)*(1+_15・B深夜)),0)*(1+_15・区４)),0)</f>
        <v>786</v>
      </c>
      <c r="AC123" s="69"/>
    </row>
    <row r="124" spans="1:29" ht="16.5" customHeight="1" x14ac:dyDescent="0.3">
      <c r="A124" s="2">
        <v>15</v>
      </c>
      <c r="B124" s="2" t="s">
        <v>4384</v>
      </c>
      <c r="C124" s="60" t="s">
        <v>14748</v>
      </c>
      <c r="D124" s="1"/>
      <c r="E124" s="68"/>
      <c r="F124" s="70"/>
      <c r="G124" s="1"/>
      <c r="H124" s="68"/>
      <c r="I124" s="70"/>
      <c r="J124" s="67"/>
      <c r="K124" s="68"/>
      <c r="L124" s="76"/>
      <c r="M124" s="83" t="s">
        <v>5895</v>
      </c>
      <c r="N124" s="64" t="s">
        <v>1</v>
      </c>
      <c r="O124" s="65">
        <v>1</v>
      </c>
      <c r="P124" s="99"/>
      <c r="Q124" s="70"/>
      <c r="R124" s="99"/>
      <c r="S124" s="70"/>
      <c r="T124" s="81"/>
      <c r="U124" s="57"/>
      <c r="V124" s="58"/>
      <c r="W124" s="77"/>
      <c r="X124" s="1" t="s">
        <v>18334</v>
      </c>
      <c r="Y124" s="68"/>
      <c r="Z124" s="76"/>
      <c r="AA124" s="70"/>
      <c r="AB124" s="228">
        <f>ROUND((ROUND((ROUND((ROUND((_15_同援日１．５*_15・通訳),0)*_15・２人),0)*(1+_15・A夜間)),0)*(1+_15・区４)),0)+ROUND((ROUND((ROUND((ROUND((_15_同援日１．５＿０．５*_15・通訳),0)*_15・２人),0)*(1+_15・B深夜)),0)*(1+_15・区４)),0)</f>
        <v>786</v>
      </c>
      <c r="AC124" s="69"/>
    </row>
    <row r="125" spans="1:29" ht="16.5" customHeight="1" x14ac:dyDescent="0.3">
      <c r="A125" s="2">
        <v>15</v>
      </c>
      <c r="B125" s="2" t="s">
        <v>4385</v>
      </c>
      <c r="C125" s="60" t="s">
        <v>14747</v>
      </c>
      <c r="D125" s="1"/>
      <c r="E125" s="68"/>
      <c r="F125" s="70"/>
      <c r="G125" s="1"/>
      <c r="H125" s="68"/>
      <c r="I125" s="70"/>
      <c r="J125" s="67"/>
      <c r="K125" s="68"/>
      <c r="L125" s="76"/>
      <c r="M125" s="83"/>
      <c r="N125" s="64"/>
      <c r="O125" s="65"/>
      <c r="P125" s="99"/>
      <c r="Q125" s="70"/>
      <c r="R125" s="99"/>
      <c r="S125" s="70"/>
      <c r="T125" s="74" t="s">
        <v>18333</v>
      </c>
      <c r="U125" s="62"/>
      <c r="V125" s="63"/>
      <c r="W125" s="75"/>
      <c r="X125" s="1"/>
      <c r="Y125" s="68" t="s">
        <v>1</v>
      </c>
      <c r="Z125" s="76">
        <v>0.4</v>
      </c>
      <c r="AA125" s="70" t="s">
        <v>422</v>
      </c>
      <c r="AB125" s="228">
        <f>ROUND((ROUND((ROUND((ROUND((_15_同援日１．５*_15・通訳),0)*(1+_15・A夜間)),0)*(1+_15・盲ろう)),0)*(1+_15・区４)),0)+ROUND((ROUND((ROUND((ROUND((_15_同援日１．５＿０．５*_15・通訳),0)*(1+_15・B深夜)),0)*(1+_15・盲ろう)),0)*(1+_15・区４)),0)</f>
        <v>983</v>
      </c>
      <c r="AC125" s="69"/>
    </row>
    <row r="126" spans="1:29" ht="16.5" customHeight="1" x14ac:dyDescent="0.3">
      <c r="A126" s="2">
        <v>15</v>
      </c>
      <c r="B126" s="2" t="s">
        <v>4386</v>
      </c>
      <c r="C126" s="60" t="s">
        <v>14746</v>
      </c>
      <c r="D126" s="1"/>
      <c r="E126" s="68"/>
      <c r="F126" s="70"/>
      <c r="G126" s="81"/>
      <c r="H126" s="57"/>
      <c r="I126" s="77"/>
      <c r="J126" s="67"/>
      <c r="K126" s="68"/>
      <c r="L126" s="76"/>
      <c r="M126" s="83" t="s">
        <v>5895</v>
      </c>
      <c r="N126" s="64" t="s">
        <v>1</v>
      </c>
      <c r="O126" s="65">
        <v>1</v>
      </c>
      <c r="P126" s="99"/>
      <c r="Q126" s="70"/>
      <c r="R126" s="99"/>
      <c r="S126" s="70"/>
      <c r="T126" s="81" t="s">
        <v>18332</v>
      </c>
      <c r="U126" s="57" t="s">
        <v>1</v>
      </c>
      <c r="V126" s="58">
        <v>0.25</v>
      </c>
      <c r="W126" s="77" t="s">
        <v>422</v>
      </c>
      <c r="X126" s="81"/>
      <c r="Y126" s="57"/>
      <c r="Z126" s="58"/>
      <c r="AA126" s="77"/>
      <c r="AB126" s="228">
        <f>ROUND((ROUND((ROUND((ROUND((ROUND((_15_同援日１．５*_15・通訳),0)*_15・２人),0)*(1+_15・A夜間)),0)*(1+_15・盲ろう)),0)*(1+_15・区４)),0)+ROUND((ROUND((ROUND((ROUND((ROUND((_15_同援日１．５＿０．５*_15・通訳),0)*_15・２人),0)*(1+_15・B深夜)),0)*(1+_15・盲ろう)),0)*(1+_15・区４)),0)</f>
        <v>983</v>
      </c>
      <c r="AC126" s="69"/>
    </row>
    <row r="127" spans="1:29" ht="16.5" customHeight="1" x14ac:dyDescent="0.3">
      <c r="A127" s="2">
        <v>15</v>
      </c>
      <c r="B127" s="2" t="s">
        <v>4387</v>
      </c>
      <c r="C127" s="60" t="s">
        <v>14745</v>
      </c>
      <c r="D127" s="1"/>
      <c r="E127" s="68"/>
      <c r="F127" s="70"/>
      <c r="G127" s="233" t="s">
        <v>18341</v>
      </c>
      <c r="H127" s="62"/>
      <c r="I127" s="75"/>
      <c r="J127" s="67"/>
      <c r="K127" s="68"/>
      <c r="L127" s="76"/>
      <c r="M127" s="83"/>
      <c r="N127" s="64"/>
      <c r="O127" s="65"/>
      <c r="P127" s="99"/>
      <c r="Q127" s="70"/>
      <c r="R127" s="99"/>
      <c r="S127" s="70"/>
      <c r="T127" s="74"/>
      <c r="U127" s="62"/>
      <c r="V127" s="63"/>
      <c r="W127" s="75"/>
      <c r="X127" s="74"/>
      <c r="Y127" s="62"/>
      <c r="Z127" s="63"/>
      <c r="AA127" s="75"/>
      <c r="AB127" s="228">
        <f>ROUND((ROUND((_15_同援日１．５*_15・通訳),0)*(1+_15・A夜間)),0)+ROUND((ROUND((_15_同援日１．５＿１．０*_15・通訳),0)*(1+_15・B深夜)),0)</f>
        <v>645</v>
      </c>
      <c r="AC127" s="69"/>
    </row>
    <row r="128" spans="1:29" ht="16.5" customHeight="1" x14ac:dyDescent="0.3">
      <c r="A128" s="2">
        <v>15</v>
      </c>
      <c r="B128" s="2" t="s">
        <v>4388</v>
      </c>
      <c r="C128" s="60" t="s">
        <v>14744</v>
      </c>
      <c r="D128" s="1"/>
      <c r="E128" s="68"/>
      <c r="F128" s="70"/>
      <c r="G128" s="1" t="s">
        <v>18340</v>
      </c>
      <c r="H128" s="68"/>
      <c r="I128" s="70"/>
      <c r="J128" s="67"/>
      <c r="K128" s="68"/>
      <c r="L128" s="76"/>
      <c r="M128" s="83" t="s">
        <v>5895</v>
      </c>
      <c r="N128" s="64" t="s">
        <v>1</v>
      </c>
      <c r="O128" s="65">
        <v>1</v>
      </c>
      <c r="P128" s="99"/>
      <c r="Q128" s="70"/>
      <c r="R128" s="99"/>
      <c r="S128" s="70"/>
      <c r="T128" s="81"/>
      <c r="U128" s="57"/>
      <c r="V128" s="58"/>
      <c r="W128" s="77"/>
      <c r="X128" s="1"/>
      <c r="Y128" s="68"/>
      <c r="Z128" s="76"/>
      <c r="AA128" s="70"/>
      <c r="AB128" s="228">
        <f>ROUND((ROUND((ROUND((_15_同援日１．５*_15・通訳),0)*_15・２人),0)*(1+_15・A夜間)),0)+ROUND((ROUND((ROUND((_15_同援日１．５＿１．０*_15・通訳),0)*_15・２人),0)*(1+_15・B深夜)),0)</f>
        <v>645</v>
      </c>
      <c r="AC128" s="69"/>
    </row>
    <row r="129" spans="1:29" ht="16.5" customHeight="1" x14ac:dyDescent="0.3">
      <c r="A129" s="2">
        <v>15</v>
      </c>
      <c r="B129" s="2" t="s">
        <v>4389</v>
      </c>
      <c r="C129" s="60" t="s">
        <v>14743</v>
      </c>
      <c r="D129" s="1"/>
      <c r="E129" s="68"/>
      <c r="F129" s="70"/>
      <c r="G129" s="1" t="s">
        <v>8572</v>
      </c>
      <c r="H129" s="68"/>
      <c r="I129" s="70"/>
      <c r="J129" s="67"/>
      <c r="K129" s="68"/>
      <c r="L129" s="76"/>
      <c r="M129" s="83"/>
      <c r="N129" s="64"/>
      <c r="O129" s="65"/>
      <c r="P129" s="99"/>
      <c r="Q129" s="70"/>
      <c r="R129" s="99"/>
      <c r="S129" s="70"/>
      <c r="T129" s="74" t="s">
        <v>18333</v>
      </c>
      <c r="U129" s="62"/>
      <c r="V129" s="63"/>
      <c r="W129" s="75"/>
      <c r="X129" s="1"/>
      <c r="Y129" s="68"/>
      <c r="Z129" s="76"/>
      <c r="AA129" s="70"/>
      <c r="AB129" s="228">
        <f>ROUND((ROUND((ROUND((_15_同援日１．５*_15・通訳),0)*(1+_15・A夜間)),0)*(1+_15・盲ろう)),0)+ROUND((ROUND((ROUND((_15_同援日１．５＿１．０*_15・通訳),0)*(1+_15・B深夜)),0)*(1+_15・盲ろう)),0)</f>
        <v>807</v>
      </c>
      <c r="AC129" s="69"/>
    </row>
    <row r="130" spans="1:29" ht="16.5" customHeight="1" x14ac:dyDescent="0.3">
      <c r="A130" s="2">
        <v>15</v>
      </c>
      <c r="B130" s="2" t="s">
        <v>4390</v>
      </c>
      <c r="C130" s="60" t="s">
        <v>14742</v>
      </c>
      <c r="D130" s="1"/>
      <c r="E130" s="68"/>
      <c r="F130" s="70"/>
      <c r="G130" s="1"/>
      <c r="H130" s="119">
        <v>127</v>
      </c>
      <c r="I130" s="70" t="s">
        <v>0</v>
      </c>
      <c r="J130" s="67"/>
      <c r="K130" s="68"/>
      <c r="L130" s="76"/>
      <c r="M130" s="83" t="s">
        <v>5895</v>
      </c>
      <c r="N130" s="64" t="s">
        <v>1</v>
      </c>
      <c r="O130" s="65">
        <v>1</v>
      </c>
      <c r="P130" s="99"/>
      <c r="Q130" s="70"/>
      <c r="R130" s="99"/>
      <c r="S130" s="70"/>
      <c r="T130" s="81" t="s">
        <v>18332</v>
      </c>
      <c r="U130" s="57" t="s">
        <v>1</v>
      </c>
      <c r="V130" s="58">
        <v>0.25</v>
      </c>
      <c r="W130" s="77" t="s">
        <v>422</v>
      </c>
      <c r="X130" s="81"/>
      <c r="Y130" s="57"/>
      <c r="Z130" s="58"/>
      <c r="AA130" s="77"/>
      <c r="AB130" s="228">
        <f>ROUND((ROUND((ROUND((ROUND((_15_同援日１．５*_15・通訳),0)*_15・２人),0)*(1+_15・A夜間)),0)*(1+_15・盲ろう)),0)+ROUND((ROUND((ROUND((ROUND((_15_同援日１．５＿１．０*_15・通訳),0)*_15・２人),0)*(1+_15・B深夜)),0)*(1+_15・盲ろう)),0)</f>
        <v>807</v>
      </c>
      <c r="AC130" s="69"/>
    </row>
    <row r="131" spans="1:29" ht="16.5" customHeight="1" x14ac:dyDescent="0.3">
      <c r="A131" s="2">
        <v>15</v>
      </c>
      <c r="B131" s="2" t="s">
        <v>4391</v>
      </c>
      <c r="C131" s="60" t="s">
        <v>14741</v>
      </c>
      <c r="D131" s="1"/>
      <c r="E131" s="68"/>
      <c r="F131" s="70"/>
      <c r="G131" s="1"/>
      <c r="H131" s="68"/>
      <c r="I131" s="70"/>
      <c r="J131" s="67"/>
      <c r="K131" s="68"/>
      <c r="L131" s="76"/>
      <c r="M131" s="83"/>
      <c r="N131" s="64"/>
      <c r="O131" s="65"/>
      <c r="P131" s="99"/>
      <c r="Q131" s="70"/>
      <c r="R131" s="99"/>
      <c r="S131" s="70"/>
      <c r="T131" s="74"/>
      <c r="U131" s="62"/>
      <c r="V131" s="63"/>
      <c r="W131" s="75"/>
      <c r="X131" s="74" t="s">
        <v>18336</v>
      </c>
      <c r="Y131" s="62"/>
      <c r="Z131" s="63"/>
      <c r="AA131" s="75"/>
      <c r="AB131" s="228">
        <f>ROUND((ROUND((ROUND((_15_同援日１．５*_15・通訳),0)*(1+_15・A夜間)),0)*(1+_15・区３)),0)+ROUND((ROUND((ROUND((_15_同援日１．５＿１．０*_15・通訳),0)*(1+_15・B深夜)),0)*(1+_15・区３)),0)</f>
        <v>774</v>
      </c>
      <c r="AC131" s="69"/>
    </row>
    <row r="132" spans="1:29" ht="16.5" customHeight="1" x14ac:dyDescent="0.3">
      <c r="A132" s="2">
        <v>15</v>
      </c>
      <c r="B132" s="2" t="s">
        <v>4392</v>
      </c>
      <c r="C132" s="60" t="s">
        <v>14740</v>
      </c>
      <c r="D132" s="1"/>
      <c r="E132" s="68"/>
      <c r="F132" s="70"/>
      <c r="G132" s="1"/>
      <c r="H132" s="68"/>
      <c r="I132" s="70"/>
      <c r="J132" s="67"/>
      <c r="K132" s="68"/>
      <c r="L132" s="76"/>
      <c r="M132" s="83" t="s">
        <v>5895</v>
      </c>
      <c r="N132" s="64" t="s">
        <v>1</v>
      </c>
      <c r="O132" s="65">
        <v>1</v>
      </c>
      <c r="P132" s="99"/>
      <c r="Q132" s="70"/>
      <c r="R132" s="99"/>
      <c r="S132" s="70"/>
      <c r="T132" s="81"/>
      <c r="U132" s="57"/>
      <c r="V132" s="58"/>
      <c r="W132" s="77"/>
      <c r="X132" s="1" t="s">
        <v>8087</v>
      </c>
      <c r="Y132" s="68"/>
      <c r="Z132" s="76"/>
      <c r="AA132" s="70"/>
      <c r="AB132" s="228">
        <f>ROUND((ROUND((ROUND((ROUND((_15_同援日１．５*_15・通訳),0)*_15・２人),0)*(1+_15・A夜間)),0)*(1+_15・区３)),0)+ROUND((ROUND((ROUND((ROUND((_15_同援日１．５＿１．０*_15・通訳),0)*_15・２人),0)*(1+_15・B深夜)),0)*(1+_15・区３)),0)</f>
        <v>774</v>
      </c>
      <c r="AC132" s="69"/>
    </row>
    <row r="133" spans="1:29" ht="16.5" customHeight="1" x14ac:dyDescent="0.3">
      <c r="A133" s="2">
        <v>15</v>
      </c>
      <c r="B133" s="2" t="s">
        <v>4393</v>
      </c>
      <c r="C133" s="60" t="s">
        <v>14739</v>
      </c>
      <c r="D133" s="1"/>
      <c r="E133" s="68"/>
      <c r="F133" s="70"/>
      <c r="G133" s="1"/>
      <c r="H133" s="68"/>
      <c r="I133" s="70"/>
      <c r="J133" s="67"/>
      <c r="K133" s="68"/>
      <c r="L133" s="76"/>
      <c r="M133" s="83"/>
      <c r="N133" s="64"/>
      <c r="O133" s="65"/>
      <c r="P133" s="99"/>
      <c r="Q133" s="70"/>
      <c r="R133" s="99"/>
      <c r="S133" s="70"/>
      <c r="T133" s="74" t="s">
        <v>17969</v>
      </c>
      <c r="U133" s="62"/>
      <c r="V133" s="63"/>
      <c r="W133" s="75"/>
      <c r="X133" s="1"/>
      <c r="Y133" s="68" t="s">
        <v>1</v>
      </c>
      <c r="Z133" s="76">
        <v>0.2</v>
      </c>
      <c r="AA133" s="70" t="s">
        <v>422</v>
      </c>
      <c r="AB133" s="228">
        <f>ROUND((ROUND((ROUND((ROUND((_15_同援日１．５*_15・通訳),0)*(1+_15・A夜間)),0)*(1+_15・盲ろう)),0)*(1+_15・区３)),0)+ROUND((ROUND((ROUND((ROUND((_15_同援日１．５＿１．０*_15・通訳),0)*(1+_15・B深夜)),0)*(1+_15・盲ろう)),0)*(1+_15・区３)),0)</f>
        <v>969</v>
      </c>
      <c r="AC133" s="69"/>
    </row>
    <row r="134" spans="1:29" ht="16.5" customHeight="1" x14ac:dyDescent="0.3">
      <c r="A134" s="2">
        <v>15</v>
      </c>
      <c r="B134" s="2" t="s">
        <v>4394</v>
      </c>
      <c r="C134" s="60" t="s">
        <v>14738</v>
      </c>
      <c r="D134" s="1"/>
      <c r="E134" s="68"/>
      <c r="F134" s="70"/>
      <c r="G134" s="1"/>
      <c r="H134" s="68"/>
      <c r="I134" s="70"/>
      <c r="J134" s="67"/>
      <c r="K134" s="68"/>
      <c r="L134" s="76"/>
      <c r="M134" s="83" t="s">
        <v>5895</v>
      </c>
      <c r="N134" s="64" t="s">
        <v>1</v>
      </c>
      <c r="O134" s="65">
        <v>1</v>
      </c>
      <c r="P134" s="99"/>
      <c r="Q134" s="70"/>
      <c r="R134" s="99"/>
      <c r="S134" s="70"/>
      <c r="T134" s="81" t="s">
        <v>18332</v>
      </c>
      <c r="U134" s="57" t="s">
        <v>1</v>
      </c>
      <c r="V134" s="58">
        <v>0.25</v>
      </c>
      <c r="W134" s="77" t="s">
        <v>422</v>
      </c>
      <c r="X134" s="81"/>
      <c r="Y134" s="57"/>
      <c r="Z134" s="58"/>
      <c r="AA134" s="77"/>
      <c r="AB134" s="228">
        <f>ROUND((ROUND((ROUND((ROUND((ROUND((_15_同援日１．５*_15・通訳),0)*_15・２人),0)*(1+_15・A夜間)),0)*(1+_15・盲ろう)),0)*(1+_15・区３)),0)+ROUND((ROUND((ROUND((ROUND((ROUND((_15_同援日１．５＿１．０*_15・通訳),0)*_15・２人),0)*(1+_15・B深夜)),0)*(1+_15・盲ろう)),0)*(1+_15・区３)),0)</f>
        <v>969</v>
      </c>
      <c r="AC134" s="69"/>
    </row>
    <row r="135" spans="1:29" ht="16.5" customHeight="1" x14ac:dyDescent="0.3">
      <c r="A135" s="2">
        <v>15</v>
      </c>
      <c r="B135" s="2" t="s">
        <v>4395</v>
      </c>
      <c r="C135" s="60" t="s">
        <v>14737</v>
      </c>
      <c r="D135" s="1"/>
      <c r="E135" s="68"/>
      <c r="F135" s="70"/>
      <c r="G135" s="1"/>
      <c r="H135" s="68"/>
      <c r="I135" s="70"/>
      <c r="J135" s="67"/>
      <c r="K135" s="68"/>
      <c r="L135" s="76"/>
      <c r="M135" s="83"/>
      <c r="N135" s="64"/>
      <c r="O135" s="65"/>
      <c r="P135" s="99"/>
      <c r="Q135" s="70"/>
      <c r="R135" s="99"/>
      <c r="S135" s="70"/>
      <c r="T135" s="74"/>
      <c r="U135" s="62"/>
      <c r="V135" s="63"/>
      <c r="W135" s="75"/>
      <c r="X135" s="74" t="s">
        <v>18335</v>
      </c>
      <c r="Y135" s="62"/>
      <c r="Z135" s="63"/>
      <c r="AA135" s="75"/>
      <c r="AB135" s="228">
        <f>ROUND((ROUND((ROUND((_15_同援日１．５*_15・通訳),0)*(1+_15・A夜間)),0)*(1+_15・区４)),0)+ROUND((ROUND((ROUND((_15_同援日１．５＿１．０*_15・通訳),0)*(1+_15・B深夜)),0)*(1+_15・区４)),0)</f>
        <v>903</v>
      </c>
      <c r="AC135" s="69"/>
    </row>
    <row r="136" spans="1:29" ht="16.5" customHeight="1" x14ac:dyDescent="0.3">
      <c r="A136" s="2">
        <v>15</v>
      </c>
      <c r="B136" s="2" t="s">
        <v>4396</v>
      </c>
      <c r="C136" s="60" t="s">
        <v>14736</v>
      </c>
      <c r="D136" s="1"/>
      <c r="E136" s="68"/>
      <c r="F136" s="70"/>
      <c r="G136" s="1"/>
      <c r="H136" s="68"/>
      <c r="I136" s="70"/>
      <c r="J136" s="67"/>
      <c r="K136" s="68"/>
      <c r="L136" s="76"/>
      <c r="M136" s="83" t="s">
        <v>5895</v>
      </c>
      <c r="N136" s="64" t="s">
        <v>1</v>
      </c>
      <c r="O136" s="65">
        <v>1</v>
      </c>
      <c r="P136" s="99"/>
      <c r="Q136" s="70"/>
      <c r="R136" s="99"/>
      <c r="S136" s="70"/>
      <c r="T136" s="81"/>
      <c r="U136" s="57"/>
      <c r="V136" s="58"/>
      <c r="W136" s="77"/>
      <c r="X136" s="1" t="s">
        <v>18334</v>
      </c>
      <c r="Y136" s="68"/>
      <c r="Z136" s="76"/>
      <c r="AA136" s="70"/>
      <c r="AB136" s="228">
        <f>ROUND((ROUND((ROUND((ROUND((_15_同援日１．５*_15・通訳),0)*_15・２人),0)*(1+_15・A夜間)),0)*(1+_15・区４)),0)+ROUND((ROUND((ROUND((ROUND((_15_同援日１．５＿１．０*_15・通訳),0)*_15・２人),0)*(1+_15・B深夜)),0)*(1+_15・区４)),0)</f>
        <v>903</v>
      </c>
      <c r="AC136" s="69"/>
    </row>
    <row r="137" spans="1:29" ht="16.5" customHeight="1" x14ac:dyDescent="0.3">
      <c r="A137" s="2">
        <v>15</v>
      </c>
      <c r="B137" s="2" t="s">
        <v>4397</v>
      </c>
      <c r="C137" s="60" t="s">
        <v>14735</v>
      </c>
      <c r="D137" s="1"/>
      <c r="E137" s="68"/>
      <c r="F137" s="70"/>
      <c r="G137" s="1"/>
      <c r="H137" s="68"/>
      <c r="I137" s="70"/>
      <c r="J137" s="67"/>
      <c r="K137" s="68"/>
      <c r="L137" s="76"/>
      <c r="M137" s="83"/>
      <c r="N137" s="64"/>
      <c r="O137" s="65"/>
      <c r="P137" s="99"/>
      <c r="Q137" s="70"/>
      <c r="R137" s="99"/>
      <c r="S137" s="70"/>
      <c r="T137" s="74" t="s">
        <v>18333</v>
      </c>
      <c r="U137" s="62"/>
      <c r="V137" s="63"/>
      <c r="W137" s="75"/>
      <c r="X137" s="1"/>
      <c r="Y137" s="68" t="s">
        <v>1</v>
      </c>
      <c r="Z137" s="76">
        <v>0.4</v>
      </c>
      <c r="AA137" s="70" t="s">
        <v>422</v>
      </c>
      <c r="AB137" s="228">
        <f>ROUND((ROUND((ROUND((ROUND((_15_同援日１．５*_15・通訳),0)*(1+_15・A夜間)),0)*(1+_15・盲ろう)),0)*(1+_15・区４)),0)+ROUND((ROUND((ROUND((ROUND((_15_同援日１．５＿１．０*_15・通訳),0)*(1+_15・B深夜)),0)*(1+_15・盲ろう)),0)*(1+_15・区４)),0)</f>
        <v>1130</v>
      </c>
      <c r="AC137" s="69"/>
    </row>
    <row r="138" spans="1:29" ht="16.5" customHeight="1" x14ac:dyDescent="0.3">
      <c r="A138" s="2">
        <v>15</v>
      </c>
      <c r="B138" s="2" t="s">
        <v>4398</v>
      </c>
      <c r="C138" s="60" t="s">
        <v>14734</v>
      </c>
      <c r="D138" s="1"/>
      <c r="E138" s="68"/>
      <c r="F138" s="70"/>
      <c r="G138" s="81"/>
      <c r="H138" s="57"/>
      <c r="I138" s="77"/>
      <c r="J138" s="67"/>
      <c r="K138" s="68"/>
      <c r="L138" s="76"/>
      <c r="M138" s="83" t="s">
        <v>5895</v>
      </c>
      <c r="N138" s="64" t="s">
        <v>1</v>
      </c>
      <c r="O138" s="65">
        <v>1</v>
      </c>
      <c r="P138" s="99"/>
      <c r="Q138" s="70"/>
      <c r="R138" s="99"/>
      <c r="S138" s="70"/>
      <c r="T138" s="81" t="s">
        <v>18332</v>
      </c>
      <c r="U138" s="57" t="s">
        <v>1</v>
      </c>
      <c r="V138" s="58">
        <v>0.25</v>
      </c>
      <c r="W138" s="77" t="s">
        <v>422</v>
      </c>
      <c r="X138" s="81"/>
      <c r="Y138" s="57"/>
      <c r="Z138" s="58"/>
      <c r="AA138" s="77"/>
      <c r="AB138" s="228">
        <f>ROUND((ROUND((ROUND((ROUND((ROUND((_15_同援日１．５*_15・通訳),0)*_15・２人),0)*(1+_15・A夜間)),0)*(1+_15・盲ろう)),0)*(1+_15・区４)),0)+ROUND((ROUND((ROUND((ROUND((ROUND((_15_同援日１．５＿１．０*_15・通訳),0)*_15・２人),0)*(1+_15・B深夜)),0)*(1+_15・盲ろう)),0)*(1+_15・区４)),0)</f>
        <v>1130</v>
      </c>
      <c r="AC138" s="69"/>
    </row>
    <row r="139" spans="1:29" ht="16.5" customHeight="1" x14ac:dyDescent="0.3">
      <c r="A139" s="2">
        <v>15</v>
      </c>
      <c r="B139" s="2" t="s">
        <v>4399</v>
      </c>
      <c r="C139" s="60" t="s">
        <v>14733</v>
      </c>
      <c r="D139" s="1"/>
      <c r="E139" s="68"/>
      <c r="F139" s="70"/>
      <c r="G139" s="233" t="s">
        <v>18345</v>
      </c>
      <c r="H139" s="62"/>
      <c r="I139" s="75"/>
      <c r="J139" s="67"/>
      <c r="K139" s="68"/>
      <c r="L139" s="76"/>
      <c r="M139" s="83"/>
      <c r="N139" s="64"/>
      <c r="O139" s="65"/>
      <c r="P139" s="99"/>
      <c r="Q139" s="70"/>
      <c r="R139" s="99"/>
      <c r="S139" s="70"/>
      <c r="T139" s="74"/>
      <c r="U139" s="62"/>
      <c r="V139" s="63"/>
      <c r="W139" s="75"/>
      <c r="X139" s="74"/>
      <c r="Y139" s="62"/>
      <c r="Z139" s="63"/>
      <c r="AA139" s="75"/>
      <c r="AB139" s="228">
        <f>ROUND((ROUND((_15_同援日１．５*_15・通訳),0)*(1+_15・A夜間)),0)+ROUND((ROUND((_15_同援日１．５＿１．５*_15・通訳),0)*(1+_15・B深夜)),0)</f>
        <v>731</v>
      </c>
      <c r="AC139" s="69"/>
    </row>
    <row r="140" spans="1:29" ht="16.5" customHeight="1" x14ac:dyDescent="0.3">
      <c r="A140" s="2">
        <v>15</v>
      </c>
      <c r="B140" s="2" t="s">
        <v>4400</v>
      </c>
      <c r="C140" s="60" t="s">
        <v>14732</v>
      </c>
      <c r="D140" s="1"/>
      <c r="E140" s="68"/>
      <c r="F140" s="70"/>
      <c r="G140" s="1" t="s">
        <v>18344</v>
      </c>
      <c r="H140" s="68"/>
      <c r="I140" s="70"/>
      <c r="J140" s="67"/>
      <c r="K140" s="68"/>
      <c r="L140" s="76"/>
      <c r="M140" s="83" t="s">
        <v>5895</v>
      </c>
      <c r="N140" s="64" t="s">
        <v>1</v>
      </c>
      <c r="O140" s="65">
        <v>1</v>
      </c>
      <c r="P140" s="99"/>
      <c r="Q140" s="70"/>
      <c r="R140" s="99"/>
      <c r="S140" s="70"/>
      <c r="T140" s="81"/>
      <c r="U140" s="57"/>
      <c r="V140" s="58"/>
      <c r="W140" s="77"/>
      <c r="X140" s="1"/>
      <c r="Y140" s="68"/>
      <c r="Z140" s="76"/>
      <c r="AA140" s="70"/>
      <c r="AB140" s="228">
        <f>ROUND((ROUND((ROUND((_15_同援日１．５*_15・通訳),0)*_15・２人),0)*(1+_15・A夜間)),0)+ROUND((ROUND((ROUND((_15_同援日１．５＿１．５*_15・通訳),0)*_15・２人),0)*(1+_15・B深夜)),0)</f>
        <v>731</v>
      </c>
      <c r="AC140" s="69"/>
    </row>
    <row r="141" spans="1:29" ht="16.5" customHeight="1" x14ac:dyDescent="0.3">
      <c r="A141" s="2">
        <v>15</v>
      </c>
      <c r="B141" s="2" t="s">
        <v>4401</v>
      </c>
      <c r="C141" s="60" t="s">
        <v>14731</v>
      </c>
      <c r="D141" s="1"/>
      <c r="E141" s="68"/>
      <c r="F141" s="70"/>
      <c r="G141" s="1" t="s">
        <v>8767</v>
      </c>
      <c r="H141" s="68"/>
      <c r="I141" s="70"/>
      <c r="J141" s="67"/>
      <c r="K141" s="68"/>
      <c r="L141" s="76"/>
      <c r="M141" s="83"/>
      <c r="N141" s="64"/>
      <c r="O141" s="65"/>
      <c r="P141" s="99"/>
      <c r="Q141" s="70"/>
      <c r="R141" s="99"/>
      <c r="S141" s="70"/>
      <c r="T141" s="74" t="s">
        <v>18333</v>
      </c>
      <c r="U141" s="62"/>
      <c r="V141" s="63"/>
      <c r="W141" s="75"/>
      <c r="X141" s="1"/>
      <c r="Y141" s="68"/>
      <c r="Z141" s="76"/>
      <c r="AA141" s="70"/>
      <c r="AB141" s="228">
        <f>ROUND((ROUND((ROUND((_15_同援日１．５*_15・通訳),0)*(1+_15・A夜間)),0)*(1+_15・盲ろう)),0)+ROUND((ROUND((ROUND((_15_同援日１．５＿１．５*_15・通訳),0)*(1+_15・B深夜)),0)*(1+_15・盲ろう)),0)</f>
        <v>914</v>
      </c>
      <c r="AC141" s="69"/>
    </row>
    <row r="142" spans="1:29" ht="16.5" customHeight="1" x14ac:dyDescent="0.3">
      <c r="A142" s="2">
        <v>15</v>
      </c>
      <c r="B142" s="2" t="s">
        <v>4402</v>
      </c>
      <c r="C142" s="60" t="s">
        <v>14730</v>
      </c>
      <c r="D142" s="1"/>
      <c r="E142" s="68"/>
      <c r="F142" s="70"/>
      <c r="G142" s="1"/>
      <c r="H142" s="119">
        <v>190</v>
      </c>
      <c r="I142" s="70" t="s">
        <v>0</v>
      </c>
      <c r="J142" s="67"/>
      <c r="K142" s="68"/>
      <c r="L142" s="76"/>
      <c r="M142" s="83" t="s">
        <v>5895</v>
      </c>
      <c r="N142" s="64" t="s">
        <v>1</v>
      </c>
      <c r="O142" s="65">
        <v>1</v>
      </c>
      <c r="P142" s="99"/>
      <c r="Q142" s="70"/>
      <c r="R142" s="99"/>
      <c r="S142" s="70"/>
      <c r="T142" s="81" t="s">
        <v>18332</v>
      </c>
      <c r="U142" s="57" t="s">
        <v>1</v>
      </c>
      <c r="V142" s="58">
        <v>0.25</v>
      </c>
      <c r="W142" s="77" t="s">
        <v>422</v>
      </c>
      <c r="X142" s="81"/>
      <c r="Y142" s="57"/>
      <c r="Z142" s="58"/>
      <c r="AA142" s="77"/>
      <c r="AB142" s="228">
        <f>ROUND((ROUND((ROUND((ROUND((_15_同援日１．５*_15・通訳),0)*_15・２人),0)*(1+_15・A夜間)),0)*(1+_15・盲ろう)),0)+ROUND((ROUND((ROUND((ROUND((_15_同援日１．５＿１．５*_15・通訳),0)*_15・２人),0)*(1+_15・B深夜)),0)*(1+_15・盲ろう)),0)</f>
        <v>914</v>
      </c>
      <c r="AC142" s="69"/>
    </row>
    <row r="143" spans="1:29" ht="16.5" customHeight="1" x14ac:dyDescent="0.3">
      <c r="A143" s="2">
        <v>15</v>
      </c>
      <c r="B143" s="2" t="s">
        <v>4403</v>
      </c>
      <c r="C143" s="60" t="s">
        <v>14729</v>
      </c>
      <c r="D143" s="1"/>
      <c r="E143" s="68"/>
      <c r="F143" s="70"/>
      <c r="G143" s="1"/>
      <c r="H143" s="68"/>
      <c r="I143" s="70"/>
      <c r="J143" s="67"/>
      <c r="K143" s="68"/>
      <c r="L143" s="76"/>
      <c r="M143" s="83"/>
      <c r="N143" s="64"/>
      <c r="O143" s="65"/>
      <c r="P143" s="99"/>
      <c r="Q143" s="70"/>
      <c r="R143" s="99"/>
      <c r="S143" s="70"/>
      <c r="T143" s="74"/>
      <c r="U143" s="62"/>
      <c r="V143" s="63"/>
      <c r="W143" s="75"/>
      <c r="X143" s="74" t="s">
        <v>18336</v>
      </c>
      <c r="Y143" s="62"/>
      <c r="Z143" s="63"/>
      <c r="AA143" s="75"/>
      <c r="AB143" s="228">
        <f>ROUND((ROUND((ROUND((_15_同援日１．５*_15・通訳),0)*(1+_15・A夜間)),0)*(1+_15・区３)),0)+ROUND((ROUND((ROUND((_15_同援日１．５＿１．５*_15・通訳),0)*(1+_15・B深夜)),0)*(1+_15・区３)),0)</f>
        <v>877</v>
      </c>
      <c r="AC143" s="69"/>
    </row>
    <row r="144" spans="1:29" ht="16.5" customHeight="1" x14ac:dyDescent="0.3">
      <c r="A144" s="2">
        <v>15</v>
      </c>
      <c r="B144" s="2" t="s">
        <v>4404</v>
      </c>
      <c r="C144" s="60" t="s">
        <v>14728</v>
      </c>
      <c r="D144" s="1"/>
      <c r="E144" s="68"/>
      <c r="F144" s="70"/>
      <c r="G144" s="1"/>
      <c r="H144" s="68"/>
      <c r="I144" s="70"/>
      <c r="J144" s="67"/>
      <c r="K144" s="68"/>
      <c r="L144" s="76"/>
      <c r="M144" s="83" t="s">
        <v>5895</v>
      </c>
      <c r="N144" s="64" t="s">
        <v>1</v>
      </c>
      <c r="O144" s="65">
        <v>1</v>
      </c>
      <c r="P144" s="99"/>
      <c r="Q144" s="70"/>
      <c r="R144" s="99"/>
      <c r="S144" s="70"/>
      <c r="T144" s="81"/>
      <c r="U144" s="57"/>
      <c r="V144" s="58"/>
      <c r="W144" s="77"/>
      <c r="X144" s="1" t="s">
        <v>18334</v>
      </c>
      <c r="Y144" s="68"/>
      <c r="Z144" s="76"/>
      <c r="AA144" s="70"/>
      <c r="AB144" s="228">
        <f>ROUND((ROUND((ROUND((ROUND((_15_同援日１．５*_15・通訳),0)*_15・２人),0)*(1+_15・A夜間)),0)*(1+_15・区３)),0)+ROUND((ROUND((ROUND((ROUND((_15_同援日１．５＿１．５*_15・通訳),0)*_15・２人),0)*(1+_15・B深夜)),0)*(1+_15・区３)),0)</f>
        <v>877</v>
      </c>
      <c r="AC144" s="69"/>
    </row>
    <row r="145" spans="1:29" ht="16.5" customHeight="1" x14ac:dyDescent="0.3">
      <c r="A145" s="2">
        <v>15</v>
      </c>
      <c r="B145" s="2" t="s">
        <v>4405</v>
      </c>
      <c r="C145" s="60" t="s">
        <v>14727</v>
      </c>
      <c r="D145" s="1"/>
      <c r="E145" s="68"/>
      <c r="F145" s="70"/>
      <c r="G145" s="1"/>
      <c r="H145" s="68"/>
      <c r="I145" s="70"/>
      <c r="J145" s="67"/>
      <c r="K145" s="68"/>
      <c r="L145" s="76"/>
      <c r="M145" s="83"/>
      <c r="N145" s="64"/>
      <c r="O145" s="65"/>
      <c r="P145" s="99"/>
      <c r="Q145" s="70"/>
      <c r="R145" s="99"/>
      <c r="S145" s="70"/>
      <c r="T145" s="74" t="s">
        <v>18333</v>
      </c>
      <c r="U145" s="62"/>
      <c r="V145" s="63"/>
      <c r="W145" s="75"/>
      <c r="X145" s="1"/>
      <c r="Y145" s="68" t="s">
        <v>1</v>
      </c>
      <c r="Z145" s="76">
        <v>0.2</v>
      </c>
      <c r="AA145" s="70" t="s">
        <v>422</v>
      </c>
      <c r="AB145" s="228">
        <f>ROUND((ROUND((ROUND((ROUND((_15_同援日１．５*_15・通訳),0)*(1+_15・A夜間)),0)*(1+_15・盲ろう)),0)*(1+_15・区３)),0)+ROUND((ROUND((ROUND((ROUND((_15_同援日１．５＿１．５*_15・通訳),0)*(1+_15・B深夜)),0)*(1+_15・盲ろう)),0)*(1+_15・区３)),0)</f>
        <v>1097</v>
      </c>
      <c r="AC145" s="69"/>
    </row>
    <row r="146" spans="1:29" ht="16.5" customHeight="1" x14ac:dyDescent="0.3">
      <c r="A146" s="2">
        <v>15</v>
      </c>
      <c r="B146" s="2" t="s">
        <v>4406</v>
      </c>
      <c r="C146" s="60" t="s">
        <v>14726</v>
      </c>
      <c r="D146" s="1"/>
      <c r="E146" s="68"/>
      <c r="F146" s="70"/>
      <c r="G146" s="1"/>
      <c r="H146" s="68"/>
      <c r="I146" s="70"/>
      <c r="J146" s="67"/>
      <c r="K146" s="68"/>
      <c r="L146" s="76"/>
      <c r="M146" s="83" t="s">
        <v>5895</v>
      </c>
      <c r="N146" s="64" t="s">
        <v>1</v>
      </c>
      <c r="O146" s="65">
        <v>1</v>
      </c>
      <c r="P146" s="99"/>
      <c r="Q146" s="70"/>
      <c r="R146" s="99"/>
      <c r="S146" s="70"/>
      <c r="T146" s="81" t="s">
        <v>8083</v>
      </c>
      <c r="U146" s="57" t="s">
        <v>1</v>
      </c>
      <c r="V146" s="58">
        <v>0.25</v>
      </c>
      <c r="W146" s="77" t="s">
        <v>422</v>
      </c>
      <c r="X146" s="81"/>
      <c r="Y146" s="57"/>
      <c r="Z146" s="58"/>
      <c r="AA146" s="77"/>
      <c r="AB146" s="228">
        <f>ROUND((ROUND((ROUND((ROUND((ROUND((_15_同援日１．５*_15・通訳),0)*_15・２人),0)*(1+_15・A夜間)),0)*(1+_15・盲ろう)),0)*(1+_15・区３)),0)+ROUND((ROUND((ROUND((ROUND((ROUND((_15_同援日１．５＿１．５*_15・通訳),0)*_15・２人),0)*(1+_15・B深夜)),0)*(1+_15・盲ろう)),0)*(1+_15・区３)),0)</f>
        <v>1097</v>
      </c>
      <c r="AC146" s="69"/>
    </row>
    <row r="147" spans="1:29" ht="16.5" customHeight="1" x14ac:dyDescent="0.3">
      <c r="A147" s="2">
        <v>15</v>
      </c>
      <c r="B147" s="2" t="s">
        <v>4407</v>
      </c>
      <c r="C147" s="60" t="s">
        <v>14725</v>
      </c>
      <c r="D147" s="1"/>
      <c r="E147" s="68"/>
      <c r="F147" s="70"/>
      <c r="G147" s="1"/>
      <c r="H147" s="68"/>
      <c r="I147" s="70"/>
      <c r="J147" s="67"/>
      <c r="K147" s="68"/>
      <c r="L147" s="76"/>
      <c r="M147" s="83"/>
      <c r="N147" s="64"/>
      <c r="O147" s="65"/>
      <c r="P147" s="99"/>
      <c r="Q147" s="70"/>
      <c r="R147" s="99"/>
      <c r="S147" s="70"/>
      <c r="T147" s="74"/>
      <c r="U147" s="62"/>
      <c r="V147" s="63"/>
      <c r="W147" s="75"/>
      <c r="X147" s="74" t="s">
        <v>8089</v>
      </c>
      <c r="Y147" s="62"/>
      <c r="Z147" s="63"/>
      <c r="AA147" s="75"/>
      <c r="AB147" s="228">
        <f>ROUND((ROUND((ROUND((_15_同援日１．５*_15・通訳),0)*(1+_15・A夜間)),0)*(1+_15・区４)),0)+ROUND((ROUND((ROUND((_15_同援日１．５＿１．５*_15・通訳),0)*(1+_15・B深夜)),0)*(1+_15・区４)),0)</f>
        <v>1024</v>
      </c>
      <c r="AC147" s="69"/>
    </row>
    <row r="148" spans="1:29" ht="16.5" customHeight="1" x14ac:dyDescent="0.3">
      <c r="A148" s="2">
        <v>15</v>
      </c>
      <c r="B148" s="2" t="s">
        <v>4408</v>
      </c>
      <c r="C148" s="60" t="s">
        <v>14724</v>
      </c>
      <c r="D148" s="1"/>
      <c r="E148" s="68"/>
      <c r="F148" s="70"/>
      <c r="G148" s="1"/>
      <c r="H148" s="68"/>
      <c r="I148" s="70"/>
      <c r="J148" s="67"/>
      <c r="K148" s="68"/>
      <c r="L148" s="76"/>
      <c r="M148" s="83" t="s">
        <v>5895</v>
      </c>
      <c r="N148" s="64" t="s">
        <v>1</v>
      </c>
      <c r="O148" s="65">
        <v>1</v>
      </c>
      <c r="P148" s="99"/>
      <c r="Q148" s="70"/>
      <c r="R148" s="99"/>
      <c r="S148" s="70"/>
      <c r="T148" s="81"/>
      <c r="U148" s="57"/>
      <c r="V148" s="58"/>
      <c r="W148" s="77"/>
      <c r="X148" s="1" t="s">
        <v>18334</v>
      </c>
      <c r="Y148" s="68"/>
      <c r="Z148" s="76"/>
      <c r="AA148" s="70"/>
      <c r="AB148" s="228">
        <f>ROUND((ROUND((ROUND((ROUND((_15_同援日１．５*_15・通訳),0)*_15・２人),0)*(1+_15・A夜間)),0)*(1+_15・区４)),0)+ROUND((ROUND((ROUND((ROUND((_15_同援日１．５＿１．５*_15・通訳),0)*_15・２人),0)*(1+_15・B深夜)),0)*(1+_15・区４)),0)</f>
        <v>1024</v>
      </c>
      <c r="AC148" s="69"/>
    </row>
    <row r="149" spans="1:29" ht="16.5" customHeight="1" x14ac:dyDescent="0.3">
      <c r="A149" s="2">
        <v>15</v>
      </c>
      <c r="B149" s="2" t="s">
        <v>4409</v>
      </c>
      <c r="C149" s="60" t="s">
        <v>14723</v>
      </c>
      <c r="D149" s="1"/>
      <c r="E149" s="68"/>
      <c r="F149" s="70"/>
      <c r="G149" s="1"/>
      <c r="H149" s="68"/>
      <c r="I149" s="70"/>
      <c r="J149" s="67"/>
      <c r="K149" s="68"/>
      <c r="L149" s="76"/>
      <c r="M149" s="83"/>
      <c r="N149" s="64"/>
      <c r="O149" s="65"/>
      <c r="P149" s="99"/>
      <c r="Q149" s="70"/>
      <c r="R149" s="99"/>
      <c r="S149" s="70"/>
      <c r="T149" s="74" t="s">
        <v>18333</v>
      </c>
      <c r="U149" s="62"/>
      <c r="V149" s="63"/>
      <c r="W149" s="75"/>
      <c r="X149" s="1"/>
      <c r="Y149" s="68" t="s">
        <v>1</v>
      </c>
      <c r="Z149" s="76">
        <v>0.4</v>
      </c>
      <c r="AA149" s="70" t="s">
        <v>422</v>
      </c>
      <c r="AB149" s="228">
        <f>ROUND((ROUND((ROUND((ROUND((_15_同援日１．５*_15・通訳),0)*(1+_15・A夜間)),0)*(1+_15・盲ろう)),0)*(1+_15・区４)),0)+ROUND((ROUND((ROUND((ROUND((_15_同援日１．５＿１．５*_15・通訳),0)*(1+_15・B深夜)),0)*(1+_15・盲ろう)),0)*(1+_15・区４)),0)</f>
        <v>1279</v>
      </c>
      <c r="AC149" s="69"/>
    </row>
    <row r="150" spans="1:29" ht="16.5" customHeight="1" x14ac:dyDescent="0.3">
      <c r="A150" s="2">
        <v>15</v>
      </c>
      <c r="B150" s="2" t="s">
        <v>4410</v>
      </c>
      <c r="C150" s="60" t="s">
        <v>14722</v>
      </c>
      <c r="D150" s="81"/>
      <c r="E150" s="57"/>
      <c r="F150" s="77"/>
      <c r="G150" s="81"/>
      <c r="H150" s="57"/>
      <c r="I150" s="77"/>
      <c r="J150" s="67"/>
      <c r="K150" s="68"/>
      <c r="L150" s="76"/>
      <c r="M150" s="83" t="s">
        <v>5895</v>
      </c>
      <c r="N150" s="64" t="s">
        <v>1</v>
      </c>
      <c r="O150" s="65">
        <v>1</v>
      </c>
      <c r="P150" s="99"/>
      <c r="Q150" s="70"/>
      <c r="R150" s="99"/>
      <c r="S150" s="70"/>
      <c r="T150" s="81" t="s">
        <v>18332</v>
      </c>
      <c r="U150" s="57" t="s">
        <v>1</v>
      </c>
      <c r="V150" s="58">
        <v>0.25</v>
      </c>
      <c r="W150" s="77" t="s">
        <v>422</v>
      </c>
      <c r="X150" s="81"/>
      <c r="Y150" s="57"/>
      <c r="Z150" s="58"/>
      <c r="AA150" s="77"/>
      <c r="AB150" s="228">
        <f>ROUND((ROUND((ROUND((ROUND((ROUND((_15_同援日１．５*_15・通訳),0)*_15・２人),0)*(1+_15・A夜間)),0)*(1+_15・盲ろう)),0)*(1+_15・区４)),0)+ROUND((ROUND((ROUND((ROUND((ROUND((_15_同援日１．５＿１．５*_15・通訳),0)*_15・２人),0)*(1+_15・B深夜)),0)*(1+_15・盲ろう)),0)*(1+_15・区４)),0)</f>
        <v>1279</v>
      </c>
      <c r="AC150" s="69"/>
    </row>
    <row r="151" spans="1:29" ht="16.5" customHeight="1" x14ac:dyDescent="0.3">
      <c r="A151" s="2">
        <v>15</v>
      </c>
      <c r="B151" s="2" t="s">
        <v>4411</v>
      </c>
      <c r="C151" s="60" t="s">
        <v>14721</v>
      </c>
      <c r="D151" s="233" t="s">
        <v>18343</v>
      </c>
      <c r="E151" s="62"/>
      <c r="F151" s="75"/>
      <c r="G151" s="233" t="s">
        <v>18338</v>
      </c>
      <c r="H151" s="62"/>
      <c r="I151" s="75"/>
      <c r="J151" s="67"/>
      <c r="K151" s="68"/>
      <c r="L151" s="76"/>
      <c r="M151" s="83"/>
      <c r="N151" s="64"/>
      <c r="O151" s="65"/>
      <c r="P151" s="99"/>
      <c r="Q151" s="70"/>
      <c r="R151" s="99"/>
      <c r="S151" s="70"/>
      <c r="T151" s="74"/>
      <c r="U151" s="62"/>
      <c r="V151" s="63"/>
      <c r="W151" s="75"/>
      <c r="X151" s="74"/>
      <c r="Y151" s="62"/>
      <c r="Z151" s="63"/>
      <c r="AA151" s="75"/>
      <c r="AB151" s="228">
        <f>ROUND((ROUND((_15_同援日２．０*_15・通訳),0)*(1+_15・A夜間)),0)+ROUND((ROUND((_15_同援日２．０＿０．５*_15・通訳),0)*(1+_15・B深夜)),0)</f>
        <v>632</v>
      </c>
      <c r="AC151" s="69"/>
    </row>
    <row r="152" spans="1:29" ht="16.5" customHeight="1" x14ac:dyDescent="0.3">
      <c r="A152" s="2">
        <v>15</v>
      </c>
      <c r="B152" s="2" t="s">
        <v>4412</v>
      </c>
      <c r="C152" s="60" t="s">
        <v>14720</v>
      </c>
      <c r="D152" s="1" t="s">
        <v>18342</v>
      </c>
      <c r="E152" s="68"/>
      <c r="F152" s="70"/>
      <c r="G152" s="1" t="s">
        <v>7928</v>
      </c>
      <c r="H152" s="68"/>
      <c r="I152" s="70"/>
      <c r="J152" s="67"/>
      <c r="K152" s="68"/>
      <c r="L152" s="76"/>
      <c r="M152" s="83" t="s">
        <v>5895</v>
      </c>
      <c r="N152" s="64" t="s">
        <v>1</v>
      </c>
      <c r="O152" s="65">
        <v>1</v>
      </c>
      <c r="P152" s="99"/>
      <c r="Q152" s="70"/>
      <c r="R152" s="99"/>
      <c r="S152" s="70"/>
      <c r="T152" s="81"/>
      <c r="U152" s="57"/>
      <c r="V152" s="58"/>
      <c r="W152" s="77"/>
      <c r="X152" s="1"/>
      <c r="Y152" s="68"/>
      <c r="Z152" s="76"/>
      <c r="AA152" s="70"/>
      <c r="AB152" s="228">
        <f>ROUND((ROUND((ROUND((_15_同援日２．０*_15・通訳),0)*_15・２人),0)*(1+_15・A夜間)),0)+ROUND((ROUND((ROUND((_15_同援日２．０＿０．５*_15・通訳),0)*_15・２人),0)*(1+_15・B深夜)),0)</f>
        <v>632</v>
      </c>
      <c r="AC152" s="69"/>
    </row>
    <row r="153" spans="1:29" ht="16.5" customHeight="1" x14ac:dyDescent="0.3">
      <c r="A153" s="2">
        <v>15</v>
      </c>
      <c r="B153" s="2" t="s">
        <v>4413</v>
      </c>
      <c r="C153" s="60" t="s">
        <v>14719</v>
      </c>
      <c r="D153" s="1" t="s">
        <v>6448</v>
      </c>
      <c r="E153" s="68"/>
      <c r="F153" s="70"/>
      <c r="G153" s="1"/>
      <c r="H153" s="68"/>
      <c r="I153" s="70"/>
      <c r="J153" s="67"/>
      <c r="K153" s="68"/>
      <c r="L153" s="76"/>
      <c r="M153" s="83"/>
      <c r="N153" s="64"/>
      <c r="O153" s="65"/>
      <c r="P153" s="99"/>
      <c r="Q153" s="70"/>
      <c r="R153" s="99"/>
      <c r="S153" s="70"/>
      <c r="T153" s="74" t="s">
        <v>8085</v>
      </c>
      <c r="U153" s="62"/>
      <c r="V153" s="63"/>
      <c r="W153" s="75"/>
      <c r="X153" s="1"/>
      <c r="Y153" s="68"/>
      <c r="Z153" s="76"/>
      <c r="AA153" s="70"/>
      <c r="AB153" s="228">
        <f>ROUND((ROUND((ROUND((_15_同援日２．０*_15・通訳),0)*(1+_15・A夜間)),0)*(1+_15・盲ろう)),0)+ROUND((ROUND((ROUND((_15_同援日２．０＿０．５*_15・通訳),0)*(1+_15・B深夜)),0)*(1+_15・盲ろう)),0)</f>
        <v>791</v>
      </c>
      <c r="AC153" s="69"/>
    </row>
    <row r="154" spans="1:29" ht="16.5" customHeight="1" x14ac:dyDescent="0.3">
      <c r="A154" s="2">
        <v>15</v>
      </c>
      <c r="B154" s="2" t="s">
        <v>4414</v>
      </c>
      <c r="C154" s="60" t="s">
        <v>14718</v>
      </c>
      <c r="D154" s="1"/>
      <c r="E154" s="227">
        <v>485</v>
      </c>
      <c r="F154" s="70" t="s">
        <v>0</v>
      </c>
      <c r="G154" s="1"/>
      <c r="H154" s="119">
        <v>63</v>
      </c>
      <c r="I154" s="70" t="s">
        <v>0</v>
      </c>
      <c r="J154" s="67"/>
      <c r="K154" s="68"/>
      <c r="L154" s="76"/>
      <c r="M154" s="83" t="s">
        <v>5895</v>
      </c>
      <c r="N154" s="64" t="s">
        <v>1</v>
      </c>
      <c r="O154" s="65">
        <v>1</v>
      </c>
      <c r="P154" s="99"/>
      <c r="Q154" s="70"/>
      <c r="R154" s="99"/>
      <c r="S154" s="70"/>
      <c r="T154" s="81" t="s">
        <v>18332</v>
      </c>
      <c r="U154" s="57" t="s">
        <v>1</v>
      </c>
      <c r="V154" s="58">
        <v>0.25</v>
      </c>
      <c r="W154" s="77" t="s">
        <v>422</v>
      </c>
      <c r="X154" s="81"/>
      <c r="Y154" s="57"/>
      <c r="Z154" s="58"/>
      <c r="AA154" s="77"/>
      <c r="AB154" s="228">
        <f>ROUND((ROUND((ROUND((ROUND((_15_同援日２．０*_15・通訳),0)*_15・２人),0)*(1+_15・A夜間)),0)*(1+_15・盲ろう)),0)+ROUND((ROUND((ROUND((ROUND((_15_同援日２．０＿０．５*_15・通訳),0)*_15・２人),0)*(1+_15・B深夜)),0)*(1+_15・盲ろう)),0)</f>
        <v>791</v>
      </c>
      <c r="AC154" s="69"/>
    </row>
    <row r="155" spans="1:29" ht="16.5" customHeight="1" x14ac:dyDescent="0.3">
      <c r="A155" s="2">
        <v>15</v>
      </c>
      <c r="B155" s="2" t="s">
        <v>4415</v>
      </c>
      <c r="C155" s="60" t="s">
        <v>14717</v>
      </c>
      <c r="D155" s="1"/>
      <c r="E155" s="68"/>
      <c r="F155" s="70"/>
      <c r="G155" s="1"/>
      <c r="H155" s="68"/>
      <c r="I155" s="70"/>
      <c r="J155" s="67"/>
      <c r="K155" s="68"/>
      <c r="L155" s="76"/>
      <c r="M155" s="83"/>
      <c r="N155" s="64"/>
      <c r="O155" s="65"/>
      <c r="P155" s="99"/>
      <c r="Q155" s="70"/>
      <c r="R155" s="99"/>
      <c r="S155" s="70"/>
      <c r="T155" s="74"/>
      <c r="U155" s="62"/>
      <c r="V155" s="63"/>
      <c r="W155" s="75"/>
      <c r="X155" s="74" t="s">
        <v>18336</v>
      </c>
      <c r="Y155" s="62"/>
      <c r="Z155" s="63"/>
      <c r="AA155" s="75"/>
      <c r="AB155" s="228">
        <f>ROUND((ROUND((ROUND((_15_同援日２．０*_15・通訳),0)*(1+_15・A夜間)),0)*(1+_15・区３)),0)+ROUND((ROUND((ROUND((_15_同援日２．０＿０．５*_15・通訳),0)*(1+_15・B深夜)),0)*(1+_15・区３)),0)</f>
        <v>758</v>
      </c>
      <c r="AC155" s="69"/>
    </row>
    <row r="156" spans="1:29" ht="16.5" customHeight="1" x14ac:dyDescent="0.3">
      <c r="A156" s="2">
        <v>15</v>
      </c>
      <c r="B156" s="2" t="s">
        <v>4416</v>
      </c>
      <c r="C156" s="60" t="s">
        <v>14716</v>
      </c>
      <c r="D156" s="1"/>
      <c r="E156" s="68"/>
      <c r="F156" s="70"/>
      <c r="G156" s="1"/>
      <c r="H156" s="68"/>
      <c r="I156" s="70"/>
      <c r="J156" s="67"/>
      <c r="K156" s="68"/>
      <c r="L156" s="76"/>
      <c r="M156" s="83" t="s">
        <v>5895</v>
      </c>
      <c r="N156" s="64" t="s">
        <v>1</v>
      </c>
      <c r="O156" s="65">
        <v>1</v>
      </c>
      <c r="P156" s="99"/>
      <c r="Q156" s="70"/>
      <c r="R156" s="99"/>
      <c r="S156" s="70"/>
      <c r="T156" s="81"/>
      <c r="U156" s="57"/>
      <c r="V156" s="58"/>
      <c r="W156" s="77"/>
      <c r="X156" s="1" t="s">
        <v>18334</v>
      </c>
      <c r="Y156" s="68"/>
      <c r="Z156" s="76"/>
      <c r="AA156" s="70"/>
      <c r="AB156" s="228">
        <f>ROUND((ROUND((ROUND((ROUND((_15_同援日２．０*_15・通訳),0)*_15・２人),0)*(1+_15・A夜間)),0)*(1+_15・区３)),0)+ROUND((ROUND((ROUND((ROUND((_15_同援日２．０＿０．５*_15・通訳),0)*_15・２人),0)*(1+_15・B深夜)),0)*(1+_15・区３)),0)</f>
        <v>758</v>
      </c>
      <c r="AC156" s="69"/>
    </row>
    <row r="157" spans="1:29" ht="16.5" customHeight="1" x14ac:dyDescent="0.3">
      <c r="A157" s="2">
        <v>15</v>
      </c>
      <c r="B157" s="2" t="s">
        <v>4417</v>
      </c>
      <c r="C157" s="60" t="s">
        <v>14715</v>
      </c>
      <c r="D157" s="1"/>
      <c r="E157" s="68"/>
      <c r="F157" s="70"/>
      <c r="G157" s="1"/>
      <c r="H157" s="68"/>
      <c r="I157" s="70"/>
      <c r="J157" s="67"/>
      <c r="K157" s="68"/>
      <c r="L157" s="76"/>
      <c r="M157" s="83"/>
      <c r="N157" s="64"/>
      <c r="O157" s="65"/>
      <c r="P157" s="99"/>
      <c r="Q157" s="70"/>
      <c r="R157" s="99"/>
      <c r="S157" s="70"/>
      <c r="T157" s="74" t="s">
        <v>18333</v>
      </c>
      <c r="U157" s="62"/>
      <c r="V157" s="63"/>
      <c r="W157" s="75"/>
      <c r="X157" s="1"/>
      <c r="Y157" s="68" t="s">
        <v>1</v>
      </c>
      <c r="Z157" s="76">
        <v>0.2</v>
      </c>
      <c r="AA157" s="70" t="s">
        <v>422</v>
      </c>
      <c r="AB157" s="228">
        <f>ROUND((ROUND((ROUND((ROUND((_15_同援日２．０*_15・通訳),0)*(1+_15・A夜間)),0)*(1+_15・盲ろう)),0)*(1+_15・区３)),0)+ROUND((ROUND((ROUND((ROUND((_15_同援日２．０＿０．５*_15・通訳),0)*(1+_15・B深夜)),0)*(1+_15・盲ろう)),0)*(1+_15・区３)),0)</f>
        <v>950</v>
      </c>
      <c r="AC157" s="69"/>
    </row>
    <row r="158" spans="1:29" ht="16.5" customHeight="1" x14ac:dyDescent="0.3">
      <c r="A158" s="2">
        <v>15</v>
      </c>
      <c r="B158" s="2" t="s">
        <v>4418</v>
      </c>
      <c r="C158" s="60" t="s">
        <v>14714</v>
      </c>
      <c r="D158" s="1"/>
      <c r="E158" s="68"/>
      <c r="F158" s="70"/>
      <c r="G158" s="1"/>
      <c r="H158" s="68"/>
      <c r="I158" s="70"/>
      <c r="J158" s="67"/>
      <c r="K158" s="68"/>
      <c r="L158" s="76"/>
      <c r="M158" s="83" t="s">
        <v>5895</v>
      </c>
      <c r="N158" s="64" t="s">
        <v>1</v>
      </c>
      <c r="O158" s="65">
        <v>1</v>
      </c>
      <c r="P158" s="99"/>
      <c r="Q158" s="70"/>
      <c r="R158" s="99"/>
      <c r="S158" s="70"/>
      <c r="T158" s="81" t="s">
        <v>18332</v>
      </c>
      <c r="U158" s="57" t="s">
        <v>1</v>
      </c>
      <c r="V158" s="58">
        <v>0.25</v>
      </c>
      <c r="W158" s="77" t="s">
        <v>422</v>
      </c>
      <c r="X158" s="81"/>
      <c r="Y158" s="57"/>
      <c r="Z158" s="58"/>
      <c r="AA158" s="77"/>
      <c r="AB158" s="228">
        <f>ROUND((ROUND((ROUND((ROUND((ROUND((_15_同援日２．０*_15・通訳),0)*_15・２人),0)*(1+_15・A夜間)),0)*(1+_15・盲ろう)),0)*(1+_15・区３)),0)+ROUND((ROUND((ROUND((ROUND((ROUND((_15_同援日２．０＿０．５*_15・通訳),0)*_15・２人),0)*(1+_15・B深夜)),0)*(1+_15・盲ろう)),0)*(1+_15・区３)),0)</f>
        <v>950</v>
      </c>
      <c r="AC158" s="69"/>
    </row>
    <row r="159" spans="1:29" ht="16.5" customHeight="1" x14ac:dyDescent="0.3">
      <c r="A159" s="2">
        <v>15</v>
      </c>
      <c r="B159" s="2" t="s">
        <v>4419</v>
      </c>
      <c r="C159" s="60" t="s">
        <v>14713</v>
      </c>
      <c r="D159" s="1"/>
      <c r="E159" s="68"/>
      <c r="F159" s="70"/>
      <c r="G159" s="1"/>
      <c r="H159" s="68"/>
      <c r="I159" s="70"/>
      <c r="J159" s="67"/>
      <c r="K159" s="68"/>
      <c r="L159" s="76"/>
      <c r="M159" s="83"/>
      <c r="N159" s="64"/>
      <c r="O159" s="65"/>
      <c r="P159" s="99"/>
      <c r="Q159" s="70"/>
      <c r="R159" s="99"/>
      <c r="S159" s="70"/>
      <c r="T159" s="74"/>
      <c r="U159" s="62"/>
      <c r="V159" s="63"/>
      <c r="W159" s="75"/>
      <c r="X159" s="74" t="s">
        <v>18335</v>
      </c>
      <c r="Y159" s="62"/>
      <c r="Z159" s="63"/>
      <c r="AA159" s="75"/>
      <c r="AB159" s="228">
        <f>ROUND((ROUND((ROUND((_15_同援日２．０*_15・通訳),0)*(1+_15・A夜間)),0)*(1+_15・区４)),0)+ROUND((ROUND((ROUND((_15_同援日２．０＿０．５*_15・通訳),0)*(1+_15・B深夜)),0)*(1+_15・区４)),0)</f>
        <v>884</v>
      </c>
      <c r="AC159" s="69"/>
    </row>
    <row r="160" spans="1:29" ht="16.5" customHeight="1" x14ac:dyDescent="0.3">
      <c r="A160" s="2">
        <v>15</v>
      </c>
      <c r="B160" s="2" t="s">
        <v>4420</v>
      </c>
      <c r="C160" s="60" t="s">
        <v>14712</v>
      </c>
      <c r="D160" s="1"/>
      <c r="E160" s="68"/>
      <c r="F160" s="70"/>
      <c r="G160" s="1"/>
      <c r="H160" s="68"/>
      <c r="I160" s="70"/>
      <c r="J160" s="67"/>
      <c r="K160" s="68"/>
      <c r="L160" s="76"/>
      <c r="M160" s="83" t="s">
        <v>5895</v>
      </c>
      <c r="N160" s="64" t="s">
        <v>1</v>
      </c>
      <c r="O160" s="65">
        <v>1</v>
      </c>
      <c r="P160" s="99"/>
      <c r="Q160" s="70"/>
      <c r="R160" s="99"/>
      <c r="S160" s="70"/>
      <c r="T160" s="81"/>
      <c r="U160" s="57"/>
      <c r="V160" s="58"/>
      <c r="W160" s="77"/>
      <c r="X160" s="1" t="s">
        <v>18334</v>
      </c>
      <c r="Y160" s="68"/>
      <c r="Z160" s="76"/>
      <c r="AA160" s="70"/>
      <c r="AB160" s="228">
        <f>ROUND((ROUND((ROUND((ROUND((_15_同援日２．０*_15・通訳),0)*_15・２人),0)*(1+_15・A夜間)),0)*(1+_15・区４)),0)+ROUND((ROUND((ROUND((ROUND((_15_同援日２．０＿０．５*_15・通訳),0)*_15・２人),0)*(1+_15・B深夜)),0)*(1+_15・区４)),0)</f>
        <v>884</v>
      </c>
      <c r="AC160" s="69"/>
    </row>
    <row r="161" spans="1:29" ht="16.5" customHeight="1" x14ac:dyDescent="0.3">
      <c r="A161" s="2">
        <v>15</v>
      </c>
      <c r="B161" s="2" t="s">
        <v>4421</v>
      </c>
      <c r="C161" s="60" t="s">
        <v>14711</v>
      </c>
      <c r="D161" s="1"/>
      <c r="E161" s="68"/>
      <c r="F161" s="70"/>
      <c r="G161" s="1"/>
      <c r="H161" s="68"/>
      <c r="I161" s="70"/>
      <c r="J161" s="67"/>
      <c r="K161" s="68"/>
      <c r="L161" s="76"/>
      <c r="M161" s="83"/>
      <c r="N161" s="64"/>
      <c r="O161" s="65"/>
      <c r="P161" s="99"/>
      <c r="Q161" s="70"/>
      <c r="R161" s="99"/>
      <c r="S161" s="70"/>
      <c r="T161" s="74" t="s">
        <v>18333</v>
      </c>
      <c r="U161" s="62"/>
      <c r="V161" s="63"/>
      <c r="W161" s="75"/>
      <c r="X161" s="1"/>
      <c r="Y161" s="68" t="s">
        <v>1</v>
      </c>
      <c r="Z161" s="76">
        <v>0.4</v>
      </c>
      <c r="AA161" s="70" t="s">
        <v>422</v>
      </c>
      <c r="AB161" s="228">
        <f>ROUND((ROUND((ROUND((ROUND((_15_同援日２．０*_15・通訳),0)*(1+_15・A夜間)),0)*(1+_15・盲ろう)),0)*(1+_15・区４)),0)+ROUND((ROUND((ROUND((ROUND((_15_同援日２．０＿０．５*_15・通訳),0)*(1+_15・B深夜)),0)*(1+_15・盲ろう)),0)*(1+_15・区４)),0)</f>
        <v>1107</v>
      </c>
      <c r="AC161" s="69"/>
    </row>
    <row r="162" spans="1:29" ht="16.5" customHeight="1" x14ac:dyDescent="0.3">
      <c r="A162" s="2">
        <v>15</v>
      </c>
      <c r="B162" s="2" t="s">
        <v>4422</v>
      </c>
      <c r="C162" s="60" t="s">
        <v>14710</v>
      </c>
      <c r="D162" s="1"/>
      <c r="E162" s="68"/>
      <c r="F162" s="70"/>
      <c r="G162" s="81"/>
      <c r="H162" s="57"/>
      <c r="I162" s="77"/>
      <c r="J162" s="67"/>
      <c r="K162" s="68"/>
      <c r="L162" s="76"/>
      <c r="M162" s="83" t="s">
        <v>5895</v>
      </c>
      <c r="N162" s="64" t="s">
        <v>1</v>
      </c>
      <c r="O162" s="65">
        <v>1</v>
      </c>
      <c r="P162" s="99"/>
      <c r="Q162" s="70"/>
      <c r="R162" s="99"/>
      <c r="S162" s="70"/>
      <c r="T162" s="81" t="s">
        <v>18332</v>
      </c>
      <c r="U162" s="57" t="s">
        <v>1</v>
      </c>
      <c r="V162" s="58">
        <v>0.25</v>
      </c>
      <c r="W162" s="77" t="s">
        <v>422</v>
      </c>
      <c r="X162" s="81"/>
      <c r="Y162" s="57"/>
      <c r="Z162" s="58"/>
      <c r="AA162" s="77"/>
      <c r="AB162" s="228">
        <f>ROUND((ROUND((ROUND((ROUND((ROUND((_15_同援日２．０*_15・通訳),0)*_15・２人),0)*(1+_15・A夜間)),0)*(1+_15・盲ろう)),0)*(1+_15・区４)),0)+ROUND((ROUND((ROUND((ROUND((ROUND((_15_同援日２．０＿０．５*_15・通訳),0)*_15・２人),0)*(1+_15・B深夜)),0)*(1+_15・盲ろう)),0)*(1+_15・区４)),0)</f>
        <v>1107</v>
      </c>
      <c r="AC162" s="69"/>
    </row>
    <row r="163" spans="1:29" ht="16.5" customHeight="1" x14ac:dyDescent="0.3">
      <c r="A163" s="2">
        <v>15</v>
      </c>
      <c r="B163" s="2" t="s">
        <v>4423</v>
      </c>
      <c r="C163" s="60" t="s">
        <v>14709</v>
      </c>
      <c r="D163" s="1"/>
      <c r="E163" s="68"/>
      <c r="F163" s="70"/>
      <c r="G163" s="233" t="s">
        <v>18341</v>
      </c>
      <c r="H163" s="62"/>
      <c r="I163" s="75"/>
      <c r="J163" s="67"/>
      <c r="K163" s="68"/>
      <c r="L163" s="76"/>
      <c r="M163" s="83"/>
      <c r="N163" s="64"/>
      <c r="O163" s="65"/>
      <c r="P163" s="99"/>
      <c r="Q163" s="70"/>
      <c r="R163" s="99"/>
      <c r="S163" s="70"/>
      <c r="T163" s="74"/>
      <c r="U163" s="62"/>
      <c r="V163" s="63"/>
      <c r="W163" s="75"/>
      <c r="X163" s="74"/>
      <c r="Y163" s="62"/>
      <c r="Z163" s="63"/>
      <c r="AA163" s="75"/>
      <c r="AB163" s="228">
        <f>ROUND((ROUND((_15_同援日２．０*_15・通訳),0)*(1+_15・A夜間)),0)+ROUND((ROUND((_15_同援日２．０＿１．０*_15・通訳),0)*(1+_15・B深夜)),0)</f>
        <v>716</v>
      </c>
      <c r="AC163" s="69"/>
    </row>
    <row r="164" spans="1:29" ht="16.5" customHeight="1" x14ac:dyDescent="0.3">
      <c r="A164" s="2">
        <v>15</v>
      </c>
      <c r="B164" s="2" t="s">
        <v>4424</v>
      </c>
      <c r="C164" s="60" t="s">
        <v>14708</v>
      </c>
      <c r="D164" s="1"/>
      <c r="E164" s="68"/>
      <c r="F164" s="70"/>
      <c r="G164" s="1" t="s">
        <v>18340</v>
      </c>
      <c r="H164" s="68"/>
      <c r="I164" s="70"/>
      <c r="J164" s="67"/>
      <c r="K164" s="68"/>
      <c r="L164" s="76"/>
      <c r="M164" s="83" t="s">
        <v>5895</v>
      </c>
      <c r="N164" s="64" t="s">
        <v>1</v>
      </c>
      <c r="O164" s="65">
        <v>1</v>
      </c>
      <c r="P164" s="99"/>
      <c r="Q164" s="70"/>
      <c r="R164" s="99"/>
      <c r="S164" s="70"/>
      <c r="T164" s="81"/>
      <c r="U164" s="57"/>
      <c r="V164" s="58"/>
      <c r="W164" s="77"/>
      <c r="X164" s="1"/>
      <c r="Y164" s="68"/>
      <c r="Z164" s="76"/>
      <c r="AA164" s="70"/>
      <c r="AB164" s="228">
        <f>ROUND((ROUND((ROUND((_15_同援日２．０*_15・通訳),0)*_15・２人),0)*(1+_15・A夜間)),0)+ROUND((ROUND((ROUND((_15_同援日２．０＿１．０*_15・通訳),0)*_15・２人),0)*(1+_15・B深夜)),0)</f>
        <v>716</v>
      </c>
      <c r="AC164" s="69"/>
    </row>
    <row r="165" spans="1:29" ht="16.5" customHeight="1" x14ac:dyDescent="0.3">
      <c r="A165" s="2">
        <v>15</v>
      </c>
      <c r="B165" s="2" t="s">
        <v>4425</v>
      </c>
      <c r="C165" s="60" t="s">
        <v>14707</v>
      </c>
      <c r="D165" s="1"/>
      <c r="E165" s="68"/>
      <c r="F165" s="70"/>
      <c r="G165" s="1" t="s">
        <v>8572</v>
      </c>
      <c r="H165" s="68"/>
      <c r="I165" s="70"/>
      <c r="J165" s="67"/>
      <c r="K165" s="68"/>
      <c r="L165" s="76"/>
      <c r="M165" s="83"/>
      <c r="N165" s="64"/>
      <c r="O165" s="65"/>
      <c r="P165" s="99"/>
      <c r="Q165" s="70"/>
      <c r="R165" s="99"/>
      <c r="S165" s="70"/>
      <c r="T165" s="74" t="s">
        <v>18333</v>
      </c>
      <c r="U165" s="62"/>
      <c r="V165" s="63"/>
      <c r="W165" s="75"/>
      <c r="X165" s="1"/>
      <c r="Y165" s="68"/>
      <c r="Z165" s="76"/>
      <c r="AA165" s="70"/>
      <c r="AB165" s="228">
        <f>ROUND((ROUND((ROUND((_15_同援日２．０*_15・通訳),0)*(1+_15・A夜間)),0)*(1+_15・盲ろう)),0)+ROUND((ROUND((ROUND((_15_同援日２．０＿１．０*_15・通訳),0)*(1+_15・B深夜)),0)*(1+_15・盲ろう)),0)</f>
        <v>896</v>
      </c>
      <c r="AC165" s="69"/>
    </row>
    <row r="166" spans="1:29" ht="16.5" customHeight="1" x14ac:dyDescent="0.3">
      <c r="A166" s="2">
        <v>15</v>
      </c>
      <c r="B166" s="2" t="s">
        <v>4426</v>
      </c>
      <c r="C166" s="60" t="s">
        <v>14706</v>
      </c>
      <c r="D166" s="1"/>
      <c r="E166" s="68"/>
      <c r="F166" s="70"/>
      <c r="G166" s="1"/>
      <c r="H166" s="119">
        <v>126</v>
      </c>
      <c r="I166" s="70" t="s">
        <v>0</v>
      </c>
      <c r="J166" s="67"/>
      <c r="K166" s="68"/>
      <c r="L166" s="76"/>
      <c r="M166" s="83" t="s">
        <v>5895</v>
      </c>
      <c r="N166" s="64" t="s">
        <v>1</v>
      </c>
      <c r="O166" s="65">
        <v>1</v>
      </c>
      <c r="P166" s="99"/>
      <c r="Q166" s="70"/>
      <c r="R166" s="99"/>
      <c r="S166" s="70"/>
      <c r="T166" s="81" t="s">
        <v>18332</v>
      </c>
      <c r="U166" s="57" t="s">
        <v>1</v>
      </c>
      <c r="V166" s="58">
        <v>0.25</v>
      </c>
      <c r="W166" s="77" t="s">
        <v>422</v>
      </c>
      <c r="X166" s="81"/>
      <c r="Y166" s="57"/>
      <c r="Z166" s="58"/>
      <c r="AA166" s="77"/>
      <c r="AB166" s="228">
        <f>ROUND((ROUND((ROUND((ROUND((_15_同援日２．０*_15・通訳),0)*_15・２人),0)*(1+_15・A夜間)),0)*(1+_15・盲ろう)),0)+ROUND((ROUND((ROUND((ROUND((_15_同援日２．０＿１．０*_15・通訳),0)*_15・２人),0)*(1+_15・B深夜)),0)*(1+_15・盲ろう)),0)</f>
        <v>896</v>
      </c>
      <c r="AC166" s="69"/>
    </row>
    <row r="167" spans="1:29" ht="16.5" customHeight="1" x14ac:dyDescent="0.3">
      <c r="A167" s="2">
        <v>15</v>
      </c>
      <c r="B167" s="2" t="s">
        <v>4427</v>
      </c>
      <c r="C167" s="60" t="s">
        <v>14705</v>
      </c>
      <c r="D167" s="1"/>
      <c r="E167" s="68"/>
      <c r="F167" s="70"/>
      <c r="G167" s="1"/>
      <c r="H167" s="68"/>
      <c r="I167" s="70"/>
      <c r="J167" s="67"/>
      <c r="K167" s="68"/>
      <c r="L167" s="76"/>
      <c r="M167" s="83"/>
      <c r="N167" s="64"/>
      <c r="O167" s="65"/>
      <c r="P167" s="99"/>
      <c r="Q167" s="70"/>
      <c r="R167" s="99"/>
      <c r="S167" s="70"/>
      <c r="T167" s="74"/>
      <c r="U167" s="62"/>
      <c r="V167" s="63"/>
      <c r="W167" s="75"/>
      <c r="X167" s="74" t="s">
        <v>18336</v>
      </c>
      <c r="Y167" s="62"/>
      <c r="Z167" s="63"/>
      <c r="AA167" s="75"/>
      <c r="AB167" s="228">
        <f>ROUND((ROUND((ROUND((_15_同援日２．０*_15・通訳),0)*(1+_15・A夜間)),0)*(1+_15・区３)),0)+ROUND((ROUND((ROUND((_15_同援日２．０＿１．０*_15・通訳),0)*(1+_15・B深夜)),0)*(1+_15・区３)),0)</f>
        <v>859</v>
      </c>
      <c r="AC167" s="69"/>
    </row>
    <row r="168" spans="1:29" ht="16.5" customHeight="1" x14ac:dyDescent="0.3">
      <c r="A168" s="2">
        <v>15</v>
      </c>
      <c r="B168" s="2" t="s">
        <v>4428</v>
      </c>
      <c r="C168" s="60" t="s">
        <v>14704</v>
      </c>
      <c r="D168" s="1"/>
      <c r="E168" s="68"/>
      <c r="F168" s="70"/>
      <c r="G168" s="1"/>
      <c r="H168" s="68"/>
      <c r="I168" s="70"/>
      <c r="J168" s="67"/>
      <c r="K168" s="68"/>
      <c r="L168" s="76"/>
      <c r="M168" s="83" t="s">
        <v>5895</v>
      </c>
      <c r="N168" s="64" t="s">
        <v>1</v>
      </c>
      <c r="O168" s="65">
        <v>1</v>
      </c>
      <c r="P168" s="99"/>
      <c r="Q168" s="70"/>
      <c r="R168" s="99"/>
      <c r="S168" s="70"/>
      <c r="T168" s="81"/>
      <c r="U168" s="57"/>
      <c r="V168" s="58"/>
      <c r="W168" s="77"/>
      <c r="X168" s="1" t="s">
        <v>18334</v>
      </c>
      <c r="Y168" s="68"/>
      <c r="Z168" s="76"/>
      <c r="AA168" s="70"/>
      <c r="AB168" s="228">
        <f>ROUND((ROUND((ROUND((ROUND((_15_同援日２．０*_15・通訳),0)*_15・２人),0)*(1+_15・A夜間)),0)*(1+_15・区３)),0)+ROUND((ROUND((ROUND((ROUND((_15_同援日２．０＿１．０*_15・通訳),0)*_15・２人),0)*(1+_15・B深夜)),0)*(1+_15・区３)),0)</f>
        <v>859</v>
      </c>
      <c r="AC168" s="69"/>
    </row>
    <row r="169" spans="1:29" ht="16.5" customHeight="1" x14ac:dyDescent="0.3">
      <c r="A169" s="2">
        <v>15</v>
      </c>
      <c r="B169" s="2" t="s">
        <v>4429</v>
      </c>
      <c r="C169" s="60" t="s">
        <v>14703</v>
      </c>
      <c r="D169" s="1"/>
      <c r="E169" s="68"/>
      <c r="F169" s="70"/>
      <c r="G169" s="1"/>
      <c r="H169" s="68"/>
      <c r="I169" s="70"/>
      <c r="J169" s="67"/>
      <c r="K169" s="68"/>
      <c r="L169" s="76"/>
      <c r="M169" s="83"/>
      <c r="N169" s="64"/>
      <c r="O169" s="65"/>
      <c r="P169" s="99"/>
      <c r="Q169" s="70"/>
      <c r="R169" s="99"/>
      <c r="S169" s="70"/>
      <c r="T169" s="74" t="s">
        <v>18333</v>
      </c>
      <c r="U169" s="62"/>
      <c r="V169" s="63"/>
      <c r="W169" s="75"/>
      <c r="X169" s="1"/>
      <c r="Y169" s="68" t="s">
        <v>1</v>
      </c>
      <c r="Z169" s="76">
        <v>0.2</v>
      </c>
      <c r="AA169" s="70" t="s">
        <v>422</v>
      </c>
      <c r="AB169" s="228">
        <f>ROUND((ROUND((ROUND((ROUND((_15_同援日２．０*_15・通訳),0)*(1+_15・A夜間)),0)*(1+_15・盲ろう)),0)*(1+_15・区３)),0)+ROUND((ROUND((ROUND((ROUND((_15_同援日２．０＿１．０*_15・通訳),0)*(1+_15・B深夜)),0)*(1+_15・盲ろう)),0)*(1+_15・区３)),0)</f>
        <v>1076</v>
      </c>
      <c r="AC169" s="69"/>
    </row>
    <row r="170" spans="1:29" ht="16.5" customHeight="1" x14ac:dyDescent="0.3">
      <c r="A170" s="2">
        <v>15</v>
      </c>
      <c r="B170" s="2" t="s">
        <v>4430</v>
      </c>
      <c r="C170" s="60" t="s">
        <v>14702</v>
      </c>
      <c r="D170" s="1"/>
      <c r="E170" s="68"/>
      <c r="F170" s="70"/>
      <c r="G170" s="1"/>
      <c r="H170" s="68"/>
      <c r="I170" s="70"/>
      <c r="J170" s="67"/>
      <c r="K170" s="68"/>
      <c r="L170" s="76"/>
      <c r="M170" s="83" t="s">
        <v>5895</v>
      </c>
      <c r="N170" s="64" t="s">
        <v>1</v>
      </c>
      <c r="O170" s="65">
        <v>1</v>
      </c>
      <c r="P170" s="99"/>
      <c r="Q170" s="70"/>
      <c r="R170" s="99"/>
      <c r="S170" s="70"/>
      <c r="T170" s="81" t="s">
        <v>18332</v>
      </c>
      <c r="U170" s="57" t="s">
        <v>1</v>
      </c>
      <c r="V170" s="58">
        <v>0.25</v>
      </c>
      <c r="W170" s="77" t="s">
        <v>422</v>
      </c>
      <c r="X170" s="81"/>
      <c r="Y170" s="57"/>
      <c r="Z170" s="58"/>
      <c r="AA170" s="77"/>
      <c r="AB170" s="228">
        <f>ROUND((ROUND((ROUND((ROUND((ROUND((_15_同援日２．０*_15・通訳),0)*_15・２人),0)*(1+_15・A夜間)),0)*(1+_15・盲ろう)),0)*(1+_15・区３)),0)+ROUND((ROUND((ROUND((ROUND((ROUND((_15_同援日２．０＿１．０*_15・通訳),0)*_15・２人),0)*(1+_15・B深夜)),0)*(1+_15・盲ろう)),0)*(1+_15・区３)),0)</f>
        <v>1076</v>
      </c>
      <c r="AC170" s="69"/>
    </row>
    <row r="171" spans="1:29" ht="16.5" customHeight="1" x14ac:dyDescent="0.3">
      <c r="A171" s="2">
        <v>15</v>
      </c>
      <c r="B171" s="2" t="s">
        <v>4431</v>
      </c>
      <c r="C171" s="60" t="s">
        <v>14701</v>
      </c>
      <c r="D171" s="1"/>
      <c r="E171" s="68"/>
      <c r="F171" s="70"/>
      <c r="G171" s="1"/>
      <c r="H171" s="68"/>
      <c r="I171" s="70"/>
      <c r="J171" s="67"/>
      <c r="K171" s="68"/>
      <c r="L171" s="76"/>
      <c r="M171" s="83"/>
      <c r="N171" s="64"/>
      <c r="O171" s="65"/>
      <c r="P171" s="99"/>
      <c r="Q171" s="70"/>
      <c r="R171" s="99"/>
      <c r="S171" s="70"/>
      <c r="T171" s="74"/>
      <c r="U171" s="62"/>
      <c r="V171" s="63"/>
      <c r="W171" s="75"/>
      <c r="X171" s="74" t="s">
        <v>18335</v>
      </c>
      <c r="Y171" s="62"/>
      <c r="Z171" s="63"/>
      <c r="AA171" s="75"/>
      <c r="AB171" s="228">
        <f>ROUND((ROUND((ROUND((_15_同援日２．０*_15・通訳),0)*(1+_15・A夜間)),0)*(1+_15・区４)),0)+ROUND((ROUND((ROUND((_15_同援日２．０＿１．０*_15・通訳),0)*(1+_15・B深夜)),0)*(1+_15・区４)),0)</f>
        <v>1002</v>
      </c>
      <c r="AC171" s="69"/>
    </row>
    <row r="172" spans="1:29" ht="16.5" customHeight="1" x14ac:dyDescent="0.3">
      <c r="A172" s="2">
        <v>15</v>
      </c>
      <c r="B172" s="2" t="s">
        <v>4432</v>
      </c>
      <c r="C172" s="60" t="s">
        <v>14700</v>
      </c>
      <c r="D172" s="1"/>
      <c r="E172" s="68"/>
      <c r="F172" s="70"/>
      <c r="G172" s="1"/>
      <c r="H172" s="68"/>
      <c r="I172" s="70"/>
      <c r="J172" s="67"/>
      <c r="K172" s="68"/>
      <c r="L172" s="76"/>
      <c r="M172" s="83" t="s">
        <v>5895</v>
      </c>
      <c r="N172" s="64" t="s">
        <v>1</v>
      </c>
      <c r="O172" s="65">
        <v>1</v>
      </c>
      <c r="P172" s="99"/>
      <c r="Q172" s="70"/>
      <c r="R172" s="99"/>
      <c r="S172" s="70"/>
      <c r="T172" s="81"/>
      <c r="U172" s="57"/>
      <c r="V172" s="58"/>
      <c r="W172" s="77"/>
      <c r="X172" s="1" t="s">
        <v>18334</v>
      </c>
      <c r="Y172" s="68"/>
      <c r="Z172" s="76"/>
      <c r="AA172" s="70"/>
      <c r="AB172" s="228">
        <f>ROUND((ROUND((ROUND((ROUND((_15_同援日２．０*_15・通訳),0)*_15・２人),0)*(1+_15・A夜間)),0)*(1+_15・区４)),0)+ROUND((ROUND((ROUND((ROUND((_15_同援日２．０＿１．０*_15・通訳),0)*_15・２人),0)*(1+_15・B深夜)),0)*(1+_15・区４)),0)</f>
        <v>1002</v>
      </c>
      <c r="AC172" s="69"/>
    </row>
    <row r="173" spans="1:29" ht="16.5" customHeight="1" x14ac:dyDescent="0.3">
      <c r="A173" s="2">
        <v>15</v>
      </c>
      <c r="B173" s="2" t="s">
        <v>4433</v>
      </c>
      <c r="C173" s="60" t="s">
        <v>14699</v>
      </c>
      <c r="D173" s="1"/>
      <c r="E173" s="68"/>
      <c r="F173" s="70"/>
      <c r="G173" s="1"/>
      <c r="H173" s="68"/>
      <c r="I173" s="70"/>
      <c r="J173" s="67"/>
      <c r="K173" s="68"/>
      <c r="L173" s="76"/>
      <c r="M173" s="83"/>
      <c r="N173" s="64"/>
      <c r="O173" s="65"/>
      <c r="P173" s="99"/>
      <c r="Q173" s="70"/>
      <c r="R173" s="99"/>
      <c r="S173" s="70"/>
      <c r="T173" s="74" t="s">
        <v>18333</v>
      </c>
      <c r="U173" s="62"/>
      <c r="V173" s="63"/>
      <c r="W173" s="75"/>
      <c r="X173" s="1"/>
      <c r="Y173" s="68" t="s">
        <v>1</v>
      </c>
      <c r="Z173" s="76">
        <v>0.4</v>
      </c>
      <c r="AA173" s="70" t="s">
        <v>422</v>
      </c>
      <c r="AB173" s="228">
        <f>ROUND((ROUND((ROUND((ROUND((_15_同援日２．０*_15・通訳),0)*(1+_15・A夜間)),0)*(1+_15・盲ろう)),0)*(1+_15・区４)),0)+ROUND((ROUND((ROUND((ROUND((_15_同援日２．０＿１．０*_15・通訳),0)*(1+_15・B深夜)),0)*(1+_15・盲ろう)),0)*(1+_15・区４)),0)</f>
        <v>1254</v>
      </c>
      <c r="AC173" s="69"/>
    </row>
    <row r="174" spans="1:29" ht="16.5" customHeight="1" x14ac:dyDescent="0.3">
      <c r="A174" s="2">
        <v>15</v>
      </c>
      <c r="B174" s="2" t="s">
        <v>4434</v>
      </c>
      <c r="C174" s="60" t="s">
        <v>14698</v>
      </c>
      <c r="D174" s="81"/>
      <c r="E174" s="57"/>
      <c r="F174" s="77"/>
      <c r="G174" s="81"/>
      <c r="H174" s="57"/>
      <c r="I174" s="77"/>
      <c r="J174" s="67"/>
      <c r="K174" s="68"/>
      <c r="L174" s="76"/>
      <c r="M174" s="83" t="s">
        <v>5895</v>
      </c>
      <c r="N174" s="64" t="s">
        <v>1</v>
      </c>
      <c r="O174" s="65">
        <v>1</v>
      </c>
      <c r="P174" s="99"/>
      <c r="Q174" s="70"/>
      <c r="R174" s="99"/>
      <c r="S174" s="70"/>
      <c r="T174" s="81" t="s">
        <v>18332</v>
      </c>
      <c r="U174" s="57" t="s">
        <v>1</v>
      </c>
      <c r="V174" s="58">
        <v>0.25</v>
      </c>
      <c r="W174" s="77" t="s">
        <v>422</v>
      </c>
      <c r="X174" s="81"/>
      <c r="Y174" s="57"/>
      <c r="Z174" s="58"/>
      <c r="AA174" s="77"/>
      <c r="AB174" s="228">
        <f>ROUND((ROUND((ROUND((ROUND((ROUND((_15_同援日２．０*_15・通訳),0)*_15・２人),0)*(1+_15・A夜間)),0)*(1+_15・盲ろう)),0)*(1+_15・区４)),0)+ROUND((ROUND((ROUND((ROUND((ROUND((_15_同援日２．０＿１．０*_15・通訳),0)*_15・２人),0)*(1+_15・B深夜)),0)*(1+_15・盲ろう)),0)*(1+_15・区４)),0)</f>
        <v>1254</v>
      </c>
      <c r="AC174" s="69"/>
    </row>
    <row r="175" spans="1:29" ht="16.5" customHeight="1" x14ac:dyDescent="0.3">
      <c r="A175" s="2">
        <v>15</v>
      </c>
      <c r="B175" s="2" t="s">
        <v>4435</v>
      </c>
      <c r="C175" s="60" t="s">
        <v>14697</v>
      </c>
      <c r="D175" s="233" t="s">
        <v>18339</v>
      </c>
      <c r="E175" s="62"/>
      <c r="F175" s="75"/>
      <c r="G175" s="233" t="s">
        <v>18338</v>
      </c>
      <c r="H175" s="62"/>
      <c r="I175" s="75"/>
      <c r="J175" s="67"/>
      <c r="K175" s="68"/>
      <c r="L175" s="76"/>
      <c r="M175" s="83"/>
      <c r="N175" s="64"/>
      <c r="O175" s="65"/>
      <c r="P175" s="99"/>
      <c r="Q175" s="70"/>
      <c r="R175" s="99"/>
      <c r="S175" s="70"/>
      <c r="T175" s="74"/>
      <c r="U175" s="62"/>
      <c r="V175" s="63"/>
      <c r="W175" s="75"/>
      <c r="X175" s="74"/>
      <c r="Y175" s="62"/>
      <c r="Z175" s="63"/>
      <c r="AA175" s="75"/>
      <c r="AB175" s="228">
        <f>ROUND((ROUND((_15_同援日２．５*_15・通訳),0)*(1+_15・A夜間)),0)+ROUND((ROUND((_15_同援日２．５＿０．５*_15・通訳),0)*(1+_15・B深夜)),0)</f>
        <v>702</v>
      </c>
      <c r="AC175" s="69"/>
    </row>
    <row r="176" spans="1:29" ht="16.5" customHeight="1" x14ac:dyDescent="0.3">
      <c r="A176" s="2">
        <v>15</v>
      </c>
      <c r="B176" s="2" t="s">
        <v>4436</v>
      </c>
      <c r="C176" s="60" t="s">
        <v>14696</v>
      </c>
      <c r="D176" s="1" t="s">
        <v>18337</v>
      </c>
      <c r="E176" s="68"/>
      <c r="F176" s="70"/>
      <c r="G176" s="1" t="s">
        <v>7928</v>
      </c>
      <c r="H176" s="68"/>
      <c r="I176" s="70"/>
      <c r="J176" s="67"/>
      <c r="K176" s="68"/>
      <c r="L176" s="76"/>
      <c r="M176" s="83" t="s">
        <v>5895</v>
      </c>
      <c r="N176" s="64" t="s">
        <v>1</v>
      </c>
      <c r="O176" s="65">
        <v>1</v>
      </c>
      <c r="P176" s="99"/>
      <c r="Q176" s="70"/>
      <c r="R176" s="99"/>
      <c r="S176" s="70"/>
      <c r="T176" s="81"/>
      <c r="U176" s="57"/>
      <c r="V176" s="58"/>
      <c r="W176" s="77"/>
      <c r="X176" s="1"/>
      <c r="Y176" s="68"/>
      <c r="Z176" s="76"/>
      <c r="AA176" s="70"/>
      <c r="AB176" s="228">
        <f>ROUND((ROUND((ROUND((_15_同援日２．５*_15・通訳),0)*_15・２人),0)*(1+_15・A夜間)),0)+ROUND((ROUND((ROUND((_15_同援日２．５＿０．５*_15・通訳),0)*_15・２人),0)*(1+_15・B深夜)),0)</f>
        <v>702</v>
      </c>
      <c r="AC176" s="69"/>
    </row>
    <row r="177" spans="1:29" ht="16.5" customHeight="1" x14ac:dyDescent="0.3">
      <c r="A177" s="2">
        <v>15</v>
      </c>
      <c r="B177" s="2" t="s">
        <v>4437</v>
      </c>
      <c r="C177" s="60" t="s">
        <v>14695</v>
      </c>
      <c r="D177" s="1" t="s">
        <v>8499</v>
      </c>
      <c r="E177" s="68"/>
      <c r="F177" s="70"/>
      <c r="G177" s="1"/>
      <c r="H177" s="68"/>
      <c r="I177" s="70"/>
      <c r="J177" s="67"/>
      <c r="K177" s="68"/>
      <c r="L177" s="76"/>
      <c r="M177" s="83"/>
      <c r="N177" s="64"/>
      <c r="O177" s="65"/>
      <c r="P177" s="99"/>
      <c r="Q177" s="70"/>
      <c r="R177" s="99"/>
      <c r="S177" s="70"/>
      <c r="T177" s="74" t="s">
        <v>18333</v>
      </c>
      <c r="U177" s="62"/>
      <c r="V177" s="63"/>
      <c r="W177" s="75"/>
      <c r="X177" s="1"/>
      <c r="Y177" s="68"/>
      <c r="Z177" s="76"/>
      <c r="AA177" s="70"/>
      <c r="AB177" s="228">
        <f>ROUND((ROUND((ROUND((_15_同援日２．５*_15・通訳),0)*(1+_15・A夜間)),0)*(1+_15・盲ろう)),0)+ROUND((ROUND((ROUND((_15_同援日２．５＿０．５*_15・通訳),0)*(1+_15・B深夜)),0)*(1+_15・盲ろう)),0)</f>
        <v>878</v>
      </c>
      <c r="AC177" s="69"/>
    </row>
    <row r="178" spans="1:29" ht="16.5" customHeight="1" x14ac:dyDescent="0.3">
      <c r="A178" s="2">
        <v>15</v>
      </c>
      <c r="B178" s="2" t="s">
        <v>4438</v>
      </c>
      <c r="C178" s="60" t="s">
        <v>14694</v>
      </c>
      <c r="D178" s="1"/>
      <c r="E178" s="227">
        <v>548</v>
      </c>
      <c r="F178" s="70" t="s">
        <v>0</v>
      </c>
      <c r="G178" s="1"/>
      <c r="H178" s="119">
        <v>63</v>
      </c>
      <c r="I178" s="70" t="s">
        <v>0</v>
      </c>
      <c r="J178" s="67"/>
      <c r="K178" s="68"/>
      <c r="L178" s="76"/>
      <c r="M178" s="83" t="s">
        <v>5895</v>
      </c>
      <c r="N178" s="64" t="s">
        <v>1</v>
      </c>
      <c r="O178" s="65">
        <v>1</v>
      </c>
      <c r="P178" s="99"/>
      <c r="Q178" s="70"/>
      <c r="R178" s="99"/>
      <c r="S178" s="70"/>
      <c r="T178" s="81" t="s">
        <v>18332</v>
      </c>
      <c r="U178" s="57" t="s">
        <v>1</v>
      </c>
      <c r="V178" s="58">
        <v>0.25</v>
      </c>
      <c r="W178" s="77" t="s">
        <v>422</v>
      </c>
      <c r="X178" s="81"/>
      <c r="Y178" s="57"/>
      <c r="Z178" s="58"/>
      <c r="AA178" s="77"/>
      <c r="AB178" s="228">
        <f>ROUND((ROUND((ROUND((ROUND((_15_同援日２．５*_15・通訳),0)*_15・２人),0)*(1+_15・A夜間)),0)*(1+_15・盲ろう)),0)+ROUND((ROUND((ROUND((ROUND((_15_同援日２．５＿０．５*_15・通訳),0)*_15・２人),0)*(1+_15・B深夜)),0)*(1+_15・盲ろう)),0)</f>
        <v>878</v>
      </c>
      <c r="AC178" s="69"/>
    </row>
    <row r="179" spans="1:29" ht="16.5" customHeight="1" x14ac:dyDescent="0.3">
      <c r="A179" s="2">
        <v>15</v>
      </c>
      <c r="B179" s="2" t="s">
        <v>4439</v>
      </c>
      <c r="C179" s="60" t="s">
        <v>14693</v>
      </c>
      <c r="D179" s="1"/>
      <c r="E179" s="68"/>
      <c r="F179" s="70"/>
      <c r="G179" s="1"/>
      <c r="H179" s="68"/>
      <c r="I179" s="70"/>
      <c r="J179" s="67"/>
      <c r="K179" s="68"/>
      <c r="L179" s="76"/>
      <c r="M179" s="83"/>
      <c r="N179" s="64"/>
      <c r="O179" s="65"/>
      <c r="P179" s="99"/>
      <c r="Q179" s="70"/>
      <c r="R179" s="99"/>
      <c r="S179" s="70"/>
      <c r="T179" s="74"/>
      <c r="U179" s="62"/>
      <c r="V179" s="63"/>
      <c r="W179" s="75"/>
      <c r="X179" s="74" t="s">
        <v>18336</v>
      </c>
      <c r="Y179" s="62"/>
      <c r="Z179" s="63"/>
      <c r="AA179" s="75"/>
      <c r="AB179" s="228">
        <f>ROUND((ROUND((ROUND((_15_同援日２．５*_15・通訳),0)*(1+_15・A夜間)),0)*(1+_15・区３)),0)+ROUND((ROUND((ROUND((_15_同援日２．５＿０．５*_15・通訳),0)*(1+_15・B深夜)),0)*(1+_15・区３)),0)</f>
        <v>842</v>
      </c>
      <c r="AC179" s="69"/>
    </row>
    <row r="180" spans="1:29" ht="16.5" customHeight="1" x14ac:dyDescent="0.3">
      <c r="A180" s="2">
        <v>15</v>
      </c>
      <c r="B180" s="2" t="s">
        <v>4440</v>
      </c>
      <c r="C180" s="60" t="s">
        <v>14692</v>
      </c>
      <c r="D180" s="1"/>
      <c r="E180" s="68"/>
      <c r="F180" s="70"/>
      <c r="G180" s="1"/>
      <c r="H180" s="68"/>
      <c r="I180" s="70"/>
      <c r="J180" s="67"/>
      <c r="K180" s="68"/>
      <c r="L180" s="76"/>
      <c r="M180" s="83" t="s">
        <v>5895</v>
      </c>
      <c r="N180" s="64" t="s">
        <v>1</v>
      </c>
      <c r="O180" s="65">
        <v>1</v>
      </c>
      <c r="P180" s="99"/>
      <c r="Q180" s="70"/>
      <c r="R180" s="99"/>
      <c r="S180" s="70"/>
      <c r="T180" s="81"/>
      <c r="U180" s="57"/>
      <c r="V180" s="58"/>
      <c r="W180" s="77"/>
      <c r="X180" s="1" t="s">
        <v>18334</v>
      </c>
      <c r="Y180" s="68"/>
      <c r="Z180" s="76"/>
      <c r="AA180" s="70"/>
      <c r="AB180" s="228">
        <f>ROUND((ROUND((ROUND((ROUND((_15_同援日２．５*_15・通訳),0)*_15・２人),0)*(1+_15・A夜間)),0)*(1+_15・区３)),0)+ROUND((ROUND((ROUND((ROUND((_15_同援日２．５＿０．５*_15・通訳),0)*_15・２人),0)*(1+_15・B深夜)),0)*(1+_15・区３)),0)</f>
        <v>842</v>
      </c>
      <c r="AC180" s="69"/>
    </row>
    <row r="181" spans="1:29" ht="16.5" customHeight="1" x14ac:dyDescent="0.3">
      <c r="A181" s="2">
        <v>15</v>
      </c>
      <c r="B181" s="2" t="s">
        <v>4441</v>
      </c>
      <c r="C181" s="60" t="s">
        <v>14691</v>
      </c>
      <c r="D181" s="1"/>
      <c r="E181" s="68"/>
      <c r="F181" s="70"/>
      <c r="G181" s="1"/>
      <c r="H181" s="68"/>
      <c r="I181" s="70"/>
      <c r="J181" s="67"/>
      <c r="K181" s="68"/>
      <c r="L181" s="76"/>
      <c r="M181" s="83"/>
      <c r="N181" s="64"/>
      <c r="O181" s="65"/>
      <c r="P181" s="99"/>
      <c r="Q181" s="70"/>
      <c r="R181" s="99"/>
      <c r="S181" s="70"/>
      <c r="T181" s="74" t="s">
        <v>18333</v>
      </c>
      <c r="U181" s="62"/>
      <c r="V181" s="63"/>
      <c r="W181" s="75"/>
      <c r="X181" s="1"/>
      <c r="Y181" s="68" t="s">
        <v>1</v>
      </c>
      <c r="Z181" s="76">
        <v>0.2</v>
      </c>
      <c r="AA181" s="70" t="s">
        <v>422</v>
      </c>
      <c r="AB181" s="228">
        <f>ROUND((ROUND((ROUND((ROUND((_15_同援日２．５*_15・通訳),0)*(1+_15・A夜間)),0)*(1+_15・盲ろう)),0)*(1+_15・区３)),0)+ROUND((ROUND((ROUND((ROUND((_15_同援日２．５＿０．５*_15・通訳),0)*(1+_15・B深夜)),0)*(1+_15・盲ろう)),0)*(1+_15・区３)),0)</f>
        <v>1054</v>
      </c>
      <c r="AC181" s="69"/>
    </row>
    <row r="182" spans="1:29" ht="16.5" customHeight="1" x14ac:dyDescent="0.3">
      <c r="A182" s="2">
        <v>15</v>
      </c>
      <c r="B182" s="2" t="s">
        <v>4442</v>
      </c>
      <c r="C182" s="60" t="s">
        <v>14690</v>
      </c>
      <c r="D182" s="1"/>
      <c r="E182" s="68"/>
      <c r="F182" s="70"/>
      <c r="G182" s="1"/>
      <c r="H182" s="68"/>
      <c r="I182" s="70"/>
      <c r="J182" s="67"/>
      <c r="K182" s="68"/>
      <c r="L182" s="76"/>
      <c r="M182" s="83" t="s">
        <v>5895</v>
      </c>
      <c r="N182" s="64" t="s">
        <v>1</v>
      </c>
      <c r="O182" s="65">
        <v>1</v>
      </c>
      <c r="P182" s="99"/>
      <c r="Q182" s="70"/>
      <c r="R182" s="99"/>
      <c r="S182" s="70"/>
      <c r="T182" s="81" t="s">
        <v>18332</v>
      </c>
      <c r="U182" s="57" t="s">
        <v>1</v>
      </c>
      <c r="V182" s="58">
        <v>0.25</v>
      </c>
      <c r="W182" s="77" t="s">
        <v>422</v>
      </c>
      <c r="X182" s="81"/>
      <c r="Y182" s="57"/>
      <c r="Z182" s="58"/>
      <c r="AA182" s="77"/>
      <c r="AB182" s="228">
        <f>ROUND((ROUND((ROUND((ROUND((ROUND((_15_同援日２．５*_15・通訳),0)*_15・２人),0)*(1+_15・A夜間)),0)*(1+_15・盲ろう)),0)*(1+_15・区３)),0)+ROUND((ROUND((ROUND((ROUND((ROUND((_15_同援日２．５＿０．５*_15・通訳),0)*_15・２人),0)*(1+_15・B深夜)),0)*(1+_15・盲ろう)),0)*(1+_15・区３)),0)</f>
        <v>1054</v>
      </c>
      <c r="AC182" s="69"/>
    </row>
    <row r="183" spans="1:29" ht="16.5" customHeight="1" x14ac:dyDescent="0.3">
      <c r="A183" s="2">
        <v>15</v>
      </c>
      <c r="B183" s="2" t="s">
        <v>4443</v>
      </c>
      <c r="C183" s="60" t="s">
        <v>14689</v>
      </c>
      <c r="D183" s="1"/>
      <c r="E183" s="68"/>
      <c r="F183" s="70"/>
      <c r="G183" s="1"/>
      <c r="H183" s="68"/>
      <c r="I183" s="70"/>
      <c r="J183" s="67"/>
      <c r="K183" s="68"/>
      <c r="L183" s="76"/>
      <c r="M183" s="83"/>
      <c r="N183" s="64"/>
      <c r="O183" s="65"/>
      <c r="P183" s="99"/>
      <c r="Q183" s="70"/>
      <c r="R183" s="99"/>
      <c r="S183" s="70"/>
      <c r="T183" s="74"/>
      <c r="U183" s="62"/>
      <c r="V183" s="63"/>
      <c r="W183" s="75"/>
      <c r="X183" s="74" t="s">
        <v>18335</v>
      </c>
      <c r="Y183" s="62"/>
      <c r="Z183" s="63"/>
      <c r="AA183" s="75"/>
      <c r="AB183" s="228">
        <f>ROUND((ROUND((ROUND((_15_同援日２．５*_15・通訳),0)*(1+_15・A夜間)),0)*(1+_15・区４)),0)+ROUND((ROUND((ROUND((_15_同援日２．５＿０．５*_15・通訳),0)*(1+_15・B深夜)),0)*(1+_15・区４)),0)</f>
        <v>982</v>
      </c>
      <c r="AC183" s="69"/>
    </row>
    <row r="184" spans="1:29" ht="16.5" customHeight="1" x14ac:dyDescent="0.3">
      <c r="A184" s="2">
        <v>15</v>
      </c>
      <c r="B184" s="2" t="s">
        <v>4444</v>
      </c>
      <c r="C184" s="60" t="s">
        <v>14688</v>
      </c>
      <c r="D184" s="1"/>
      <c r="E184" s="68"/>
      <c r="F184" s="70"/>
      <c r="G184" s="1"/>
      <c r="H184" s="68"/>
      <c r="I184" s="70"/>
      <c r="J184" s="67"/>
      <c r="K184" s="68"/>
      <c r="L184" s="76"/>
      <c r="M184" s="83" t="s">
        <v>5895</v>
      </c>
      <c r="N184" s="64" t="s">
        <v>1</v>
      </c>
      <c r="O184" s="65">
        <v>1</v>
      </c>
      <c r="P184" s="99"/>
      <c r="Q184" s="70"/>
      <c r="R184" s="99"/>
      <c r="S184" s="70"/>
      <c r="T184" s="81"/>
      <c r="U184" s="57"/>
      <c r="V184" s="58"/>
      <c r="W184" s="77"/>
      <c r="X184" s="1" t="s">
        <v>18334</v>
      </c>
      <c r="Y184" s="68"/>
      <c r="Z184" s="76"/>
      <c r="AA184" s="70"/>
      <c r="AB184" s="228">
        <f>ROUND((ROUND((ROUND((ROUND((_15_同援日２．５*_15・通訳),0)*_15・２人),0)*(1+_15・A夜間)),0)*(1+_15・区４)),0)+ROUND((ROUND((ROUND((ROUND((_15_同援日２．５＿０．５*_15・通訳),0)*_15・２人),0)*(1+_15・B深夜)),0)*(1+_15・区４)),0)</f>
        <v>982</v>
      </c>
      <c r="AC184" s="69"/>
    </row>
    <row r="185" spans="1:29" ht="16.5" customHeight="1" x14ac:dyDescent="0.3">
      <c r="A185" s="2">
        <v>15</v>
      </c>
      <c r="B185" s="2" t="s">
        <v>4445</v>
      </c>
      <c r="C185" s="60" t="s">
        <v>14687</v>
      </c>
      <c r="D185" s="1"/>
      <c r="E185" s="68"/>
      <c r="F185" s="70"/>
      <c r="G185" s="1"/>
      <c r="H185" s="68"/>
      <c r="I185" s="70"/>
      <c r="J185" s="67"/>
      <c r="K185" s="68"/>
      <c r="L185" s="76"/>
      <c r="M185" s="83"/>
      <c r="N185" s="64"/>
      <c r="O185" s="65"/>
      <c r="P185" s="99"/>
      <c r="Q185" s="70"/>
      <c r="R185" s="99"/>
      <c r="S185" s="70"/>
      <c r="T185" s="74" t="s">
        <v>18333</v>
      </c>
      <c r="U185" s="62"/>
      <c r="V185" s="63"/>
      <c r="W185" s="75"/>
      <c r="X185" s="1"/>
      <c r="Y185" s="68" t="s">
        <v>1</v>
      </c>
      <c r="Z185" s="76">
        <v>0.4</v>
      </c>
      <c r="AA185" s="70" t="s">
        <v>422</v>
      </c>
      <c r="AB185" s="228">
        <f>ROUND((ROUND((ROUND((ROUND((_15_同援日２．５*_15・通訳),0)*(1+_15・A夜間)),0)*(1+_15・盲ろう)),0)*(1+_15・区４)),0)+ROUND((ROUND((ROUND((ROUND((_15_同援日２．５＿０．５*_15・通訳),0)*(1+_15・B深夜)),0)*(1+_15・盲ろう)),0)*(1+_15・区４)),0)</f>
        <v>1229</v>
      </c>
      <c r="AC185" s="69"/>
    </row>
    <row r="186" spans="1:29" ht="16.5" customHeight="1" x14ac:dyDescent="0.3">
      <c r="A186" s="2">
        <v>15</v>
      </c>
      <c r="B186" s="2" t="s">
        <v>4446</v>
      </c>
      <c r="C186" s="60" t="s">
        <v>14686</v>
      </c>
      <c r="D186" s="81"/>
      <c r="E186" s="57"/>
      <c r="F186" s="77"/>
      <c r="G186" s="81"/>
      <c r="H186" s="57"/>
      <c r="I186" s="77"/>
      <c r="J186" s="66"/>
      <c r="K186" s="57"/>
      <c r="L186" s="58"/>
      <c r="M186" s="83" t="s">
        <v>5895</v>
      </c>
      <c r="N186" s="64" t="s">
        <v>1</v>
      </c>
      <c r="O186" s="65">
        <v>1</v>
      </c>
      <c r="P186" s="101"/>
      <c r="Q186" s="77"/>
      <c r="R186" s="101"/>
      <c r="S186" s="77"/>
      <c r="T186" s="81" t="s">
        <v>18332</v>
      </c>
      <c r="U186" s="57" t="s">
        <v>1</v>
      </c>
      <c r="V186" s="58">
        <v>0.25</v>
      </c>
      <c r="W186" s="77" t="s">
        <v>422</v>
      </c>
      <c r="X186" s="81"/>
      <c r="Y186" s="57"/>
      <c r="Z186" s="58"/>
      <c r="AA186" s="77"/>
      <c r="AB186" s="228">
        <f>ROUND((ROUND((ROUND((ROUND((ROUND((_15_同援日２．５*_15・通訳),0)*_15・２人),0)*(1+_15・A夜間)),0)*(1+_15・盲ろう)),0)*(1+_15・区４)),0)+ROUND((ROUND((ROUND((ROUND((ROUND((_15_同援日２．５＿０．５*_15・通訳),0)*_15・２人),0)*(1+_15・B深夜)),0)*(1+_15・盲ろう)),0)*(1+_15・区４)),0)</f>
        <v>1229</v>
      </c>
      <c r="AC186" s="71"/>
    </row>
    <row r="187" spans="1:29" ht="16.5" customHeight="1" x14ac:dyDescent="0.3"/>
    <row r="188" spans="1:2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1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1" tint="0.249977111117893"/>
    <pageSetUpPr fitToPage="1"/>
  </sheetPr>
  <dimension ref="A1:S6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6.3671875" style="84" bestFit="1" customWidth="1"/>
    <col min="19" max="19" width="7.734375" style="48" bestFit="1" customWidth="1"/>
    <col min="20" max="16384" width="9" style="49"/>
  </cols>
  <sheetData>
    <row r="1" spans="1:19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6"/>
      <c r="S1" s="137"/>
    </row>
    <row r="2" spans="1:19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6"/>
      <c r="S2" s="137"/>
    </row>
    <row r="3" spans="1:19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6"/>
      <c r="S3" s="137"/>
    </row>
    <row r="4" spans="1:19" ht="16.5" customHeight="1" x14ac:dyDescent="0.3">
      <c r="A4" s="132"/>
      <c r="B4" s="138" t="s">
        <v>6253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6"/>
      <c r="S4" s="137"/>
    </row>
    <row r="5" spans="1:19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6" t="s">
        <v>5869</v>
      </c>
      <c r="S5" s="146" t="s">
        <v>5871</v>
      </c>
    </row>
    <row r="6" spans="1:19" ht="16.5" customHeight="1" x14ac:dyDescent="0.3">
      <c r="A6" s="147" t="s">
        <v>5865</v>
      </c>
      <c r="B6" s="147" t="s">
        <v>5866</v>
      </c>
      <c r="C6" s="148"/>
      <c r="D6" s="179" t="s">
        <v>16994</v>
      </c>
      <c r="E6" s="180"/>
      <c r="F6" s="181"/>
      <c r="G6" s="149"/>
      <c r="H6" s="150"/>
      <c r="I6" s="150"/>
      <c r="J6" s="150"/>
      <c r="K6" s="150"/>
      <c r="L6" s="151"/>
      <c r="M6" s="150"/>
      <c r="N6" s="150"/>
      <c r="O6" s="151"/>
      <c r="P6" s="151"/>
      <c r="Q6" s="150"/>
      <c r="R6" s="154" t="s">
        <v>5870</v>
      </c>
      <c r="S6" s="154" t="s">
        <v>0</v>
      </c>
    </row>
    <row r="7" spans="1:19" ht="16.5" customHeight="1" x14ac:dyDescent="0.3">
      <c r="A7" s="147">
        <v>15</v>
      </c>
      <c r="B7" s="147">
        <v>1363</v>
      </c>
      <c r="C7" s="155" t="s">
        <v>6252</v>
      </c>
      <c r="D7" s="156" t="s">
        <v>16993</v>
      </c>
      <c r="E7" s="160"/>
      <c r="F7" s="158"/>
      <c r="G7" s="156" t="s">
        <v>16975</v>
      </c>
      <c r="H7" s="144"/>
      <c r="I7" s="206"/>
      <c r="J7" s="159"/>
      <c r="K7" s="160"/>
      <c r="L7" s="161"/>
      <c r="M7" s="162"/>
      <c r="N7" s="163"/>
      <c r="O7" s="164"/>
      <c r="P7" s="165"/>
      <c r="Q7" s="158"/>
      <c r="R7" s="178">
        <v>470</v>
      </c>
      <c r="S7" s="142" t="s">
        <v>5863</v>
      </c>
    </row>
    <row r="8" spans="1:19" ht="16.5" customHeight="1" x14ac:dyDescent="0.3">
      <c r="A8" s="147">
        <v>15</v>
      </c>
      <c r="B8" s="147">
        <v>1364</v>
      </c>
      <c r="C8" s="155" t="s">
        <v>6251</v>
      </c>
      <c r="D8" s="188" t="s">
        <v>16973</v>
      </c>
      <c r="E8" s="153"/>
      <c r="F8" s="171"/>
      <c r="G8" s="188" t="s">
        <v>16973</v>
      </c>
      <c r="H8" s="153"/>
      <c r="I8" s="171"/>
      <c r="J8" s="175"/>
      <c r="K8" s="150"/>
      <c r="L8" s="151"/>
      <c r="M8" s="162" t="s">
        <v>5895</v>
      </c>
      <c r="N8" s="163" t="s">
        <v>1</v>
      </c>
      <c r="O8" s="164">
        <v>1</v>
      </c>
      <c r="P8" s="170"/>
      <c r="Q8" s="171"/>
      <c r="R8" s="178">
        <v>470</v>
      </c>
      <c r="S8" s="172"/>
    </row>
    <row r="9" spans="1:19" ht="16.5" customHeight="1" x14ac:dyDescent="0.3">
      <c r="A9" s="147">
        <v>15</v>
      </c>
      <c r="B9" s="147">
        <v>1365</v>
      </c>
      <c r="C9" s="155" t="s">
        <v>6250</v>
      </c>
      <c r="D9" s="188"/>
      <c r="E9" s="205">
        <v>257</v>
      </c>
      <c r="F9" s="171" t="s">
        <v>0</v>
      </c>
      <c r="G9" s="188"/>
      <c r="H9" s="205">
        <v>149</v>
      </c>
      <c r="I9" s="171" t="s">
        <v>0</v>
      </c>
      <c r="J9" s="160" t="s">
        <v>16971</v>
      </c>
      <c r="K9" s="160"/>
      <c r="L9" s="161"/>
      <c r="M9" s="162"/>
      <c r="N9" s="163"/>
      <c r="O9" s="164"/>
      <c r="P9" s="170"/>
      <c r="Q9" s="171"/>
      <c r="R9" s="178">
        <v>329</v>
      </c>
      <c r="S9" s="172"/>
    </row>
    <row r="10" spans="1:19" ht="16.5" customHeight="1" x14ac:dyDescent="0.3">
      <c r="A10" s="147">
        <v>15</v>
      </c>
      <c r="B10" s="147">
        <v>1366</v>
      </c>
      <c r="C10" s="155" t="s">
        <v>6249</v>
      </c>
      <c r="D10" s="188"/>
      <c r="E10" s="153"/>
      <c r="F10" s="171"/>
      <c r="G10" s="188"/>
      <c r="H10" s="153"/>
      <c r="I10" s="171"/>
      <c r="J10" s="150" t="s">
        <v>16970</v>
      </c>
      <c r="K10" s="150" t="s">
        <v>1</v>
      </c>
      <c r="L10" s="151">
        <v>0.7</v>
      </c>
      <c r="M10" s="162" t="s">
        <v>5895</v>
      </c>
      <c r="N10" s="163" t="s">
        <v>1</v>
      </c>
      <c r="O10" s="164">
        <v>1</v>
      </c>
      <c r="P10" s="170"/>
      <c r="Q10" s="171"/>
      <c r="R10" s="178">
        <v>329</v>
      </c>
      <c r="S10" s="172"/>
    </row>
    <row r="11" spans="1:19" ht="16.5" customHeight="1" x14ac:dyDescent="0.3">
      <c r="A11" s="147">
        <v>15</v>
      </c>
      <c r="B11" s="147">
        <v>1367</v>
      </c>
      <c r="C11" s="155" t="s">
        <v>6248</v>
      </c>
      <c r="D11" s="188"/>
      <c r="E11" s="153"/>
      <c r="F11" s="153"/>
      <c r="G11" s="156" t="s">
        <v>16979</v>
      </c>
      <c r="H11" s="160"/>
      <c r="I11" s="158"/>
      <c r="J11" s="159"/>
      <c r="K11" s="160"/>
      <c r="L11" s="161"/>
      <c r="M11" s="162"/>
      <c r="N11" s="163"/>
      <c r="O11" s="164"/>
      <c r="P11" s="170"/>
      <c r="Q11" s="171"/>
      <c r="R11" s="178">
        <v>655</v>
      </c>
      <c r="S11" s="172"/>
    </row>
    <row r="12" spans="1:19" ht="16.5" customHeight="1" x14ac:dyDescent="0.3">
      <c r="A12" s="147">
        <v>15</v>
      </c>
      <c r="B12" s="147">
        <v>1368</v>
      </c>
      <c r="C12" s="155" t="s">
        <v>6247</v>
      </c>
      <c r="D12" s="188"/>
      <c r="E12" s="153"/>
      <c r="F12" s="153"/>
      <c r="G12" s="188" t="s">
        <v>16978</v>
      </c>
      <c r="H12" s="153"/>
      <c r="I12" s="171"/>
      <c r="J12" s="175"/>
      <c r="K12" s="150"/>
      <c r="L12" s="151"/>
      <c r="M12" s="162" t="s">
        <v>5895</v>
      </c>
      <c r="N12" s="163" t="s">
        <v>1</v>
      </c>
      <c r="O12" s="164">
        <v>1</v>
      </c>
      <c r="P12" s="170" t="s">
        <v>16992</v>
      </c>
      <c r="Q12" s="171"/>
      <c r="R12" s="178">
        <v>655</v>
      </c>
      <c r="S12" s="172"/>
    </row>
    <row r="13" spans="1:19" ht="16.5" customHeight="1" x14ac:dyDescent="0.3">
      <c r="A13" s="147">
        <v>15</v>
      </c>
      <c r="B13" s="147">
        <v>1369</v>
      </c>
      <c r="C13" s="155" t="s">
        <v>6246</v>
      </c>
      <c r="D13" s="188"/>
      <c r="E13" s="153"/>
      <c r="F13" s="153"/>
      <c r="G13" s="188" t="s">
        <v>16977</v>
      </c>
      <c r="H13" s="205">
        <v>334</v>
      </c>
      <c r="I13" s="171" t="s">
        <v>0</v>
      </c>
      <c r="J13" s="160" t="s">
        <v>16971</v>
      </c>
      <c r="K13" s="160"/>
      <c r="L13" s="161"/>
      <c r="M13" s="162"/>
      <c r="N13" s="163"/>
      <c r="O13" s="164"/>
      <c r="P13" s="170"/>
      <c r="Q13" s="174" t="s">
        <v>16991</v>
      </c>
      <c r="R13" s="178">
        <v>459</v>
      </c>
      <c r="S13" s="172"/>
    </row>
    <row r="14" spans="1:19" ht="16.5" customHeight="1" x14ac:dyDescent="0.3">
      <c r="A14" s="147">
        <v>15</v>
      </c>
      <c r="B14" s="147">
        <v>1370</v>
      </c>
      <c r="C14" s="155" t="s">
        <v>6245</v>
      </c>
      <c r="D14" s="188"/>
      <c r="E14" s="153"/>
      <c r="F14" s="153"/>
      <c r="G14" s="188"/>
      <c r="H14" s="153"/>
      <c r="I14" s="171"/>
      <c r="J14" s="150" t="s">
        <v>16970</v>
      </c>
      <c r="K14" s="150" t="s">
        <v>1</v>
      </c>
      <c r="L14" s="151">
        <v>0.7</v>
      </c>
      <c r="M14" s="162" t="s">
        <v>5895</v>
      </c>
      <c r="N14" s="163" t="s">
        <v>1</v>
      </c>
      <c r="O14" s="164">
        <v>1</v>
      </c>
      <c r="P14" s="170"/>
      <c r="Q14" s="171"/>
      <c r="R14" s="178">
        <v>459</v>
      </c>
      <c r="S14" s="172"/>
    </row>
    <row r="15" spans="1:19" ht="16.5" customHeight="1" x14ac:dyDescent="0.3">
      <c r="A15" s="147">
        <v>15</v>
      </c>
      <c r="B15" s="147">
        <v>1371</v>
      </c>
      <c r="C15" s="155" t="s">
        <v>6244</v>
      </c>
      <c r="D15" s="188"/>
      <c r="E15" s="153"/>
      <c r="F15" s="153"/>
      <c r="G15" s="156" t="s">
        <v>16985</v>
      </c>
      <c r="H15" s="160"/>
      <c r="I15" s="158"/>
      <c r="J15" s="159"/>
      <c r="K15" s="160"/>
      <c r="L15" s="161"/>
      <c r="M15" s="162"/>
      <c r="N15" s="163"/>
      <c r="O15" s="164"/>
      <c r="P15" s="169" t="s">
        <v>1</v>
      </c>
      <c r="Q15" s="173">
        <v>0.25</v>
      </c>
      <c r="R15" s="178">
        <v>738</v>
      </c>
      <c r="S15" s="172"/>
    </row>
    <row r="16" spans="1:19" ht="16.5" customHeight="1" x14ac:dyDescent="0.3">
      <c r="A16" s="147">
        <v>15</v>
      </c>
      <c r="B16" s="147">
        <v>1372</v>
      </c>
      <c r="C16" s="155" t="s">
        <v>6243</v>
      </c>
      <c r="D16" s="188"/>
      <c r="E16" s="153"/>
      <c r="F16" s="153"/>
      <c r="G16" s="188" t="s">
        <v>16984</v>
      </c>
      <c r="H16" s="153"/>
      <c r="I16" s="171"/>
      <c r="J16" s="175"/>
      <c r="K16" s="150"/>
      <c r="L16" s="151"/>
      <c r="M16" s="162" t="s">
        <v>5895</v>
      </c>
      <c r="N16" s="163" t="s">
        <v>1</v>
      </c>
      <c r="O16" s="164">
        <v>1</v>
      </c>
      <c r="P16" s="170"/>
      <c r="Q16" s="174" t="s">
        <v>16990</v>
      </c>
      <c r="R16" s="178">
        <v>738</v>
      </c>
      <c r="S16" s="172"/>
    </row>
    <row r="17" spans="1:19" ht="16.5" customHeight="1" x14ac:dyDescent="0.3">
      <c r="A17" s="147">
        <v>15</v>
      </c>
      <c r="B17" s="147">
        <v>1373</v>
      </c>
      <c r="C17" s="155" t="s">
        <v>6242</v>
      </c>
      <c r="D17" s="188"/>
      <c r="E17" s="153"/>
      <c r="F17" s="153"/>
      <c r="G17" s="188" t="s">
        <v>16983</v>
      </c>
      <c r="H17" s="205">
        <v>417</v>
      </c>
      <c r="I17" s="171" t="s">
        <v>0</v>
      </c>
      <c r="J17" s="160" t="s">
        <v>16971</v>
      </c>
      <c r="K17" s="160"/>
      <c r="L17" s="161"/>
      <c r="M17" s="162"/>
      <c r="N17" s="163"/>
      <c r="O17" s="164"/>
      <c r="P17" s="170"/>
      <c r="Q17" s="171"/>
      <c r="R17" s="178">
        <v>517</v>
      </c>
      <c r="S17" s="172"/>
    </row>
    <row r="18" spans="1:19" ht="16.5" customHeight="1" x14ac:dyDescent="0.3">
      <c r="A18" s="147">
        <v>15</v>
      </c>
      <c r="B18" s="147">
        <v>1374</v>
      </c>
      <c r="C18" s="155" t="s">
        <v>6241</v>
      </c>
      <c r="D18" s="188"/>
      <c r="E18" s="153"/>
      <c r="F18" s="153"/>
      <c r="G18" s="167"/>
      <c r="H18" s="150"/>
      <c r="I18" s="168"/>
      <c r="J18" s="150" t="s">
        <v>16970</v>
      </c>
      <c r="K18" s="150" t="s">
        <v>1</v>
      </c>
      <c r="L18" s="151">
        <v>0.7</v>
      </c>
      <c r="M18" s="162" t="s">
        <v>5895</v>
      </c>
      <c r="N18" s="163" t="s">
        <v>1</v>
      </c>
      <c r="O18" s="164">
        <v>1</v>
      </c>
      <c r="P18" s="170"/>
      <c r="Q18" s="171"/>
      <c r="R18" s="178">
        <v>517</v>
      </c>
      <c r="S18" s="172"/>
    </row>
    <row r="19" spans="1:19" ht="16.5" customHeight="1" x14ac:dyDescent="0.3">
      <c r="A19" s="147">
        <v>15</v>
      </c>
      <c r="B19" s="147">
        <v>1375</v>
      </c>
      <c r="C19" s="155" t="s">
        <v>6240</v>
      </c>
      <c r="D19" s="188"/>
      <c r="E19" s="153"/>
      <c r="F19" s="153"/>
      <c r="G19" s="156" t="s">
        <v>16987</v>
      </c>
      <c r="H19" s="160"/>
      <c r="I19" s="158"/>
      <c r="J19" s="159"/>
      <c r="K19" s="160"/>
      <c r="L19" s="161"/>
      <c r="M19" s="162"/>
      <c r="N19" s="163"/>
      <c r="O19" s="164"/>
      <c r="P19" s="170"/>
      <c r="Q19" s="171"/>
      <c r="R19" s="178">
        <v>822</v>
      </c>
      <c r="S19" s="172"/>
    </row>
    <row r="20" spans="1:19" ht="16.5" customHeight="1" x14ac:dyDescent="0.3">
      <c r="A20" s="147">
        <v>15</v>
      </c>
      <c r="B20" s="147">
        <v>1376</v>
      </c>
      <c r="C20" s="155" t="s">
        <v>6239</v>
      </c>
      <c r="D20" s="188"/>
      <c r="E20" s="153"/>
      <c r="F20" s="153"/>
      <c r="G20" s="188" t="s">
        <v>16981</v>
      </c>
      <c r="H20" s="153"/>
      <c r="I20" s="171"/>
      <c r="J20" s="175"/>
      <c r="K20" s="150"/>
      <c r="L20" s="151"/>
      <c r="M20" s="162" t="s">
        <v>5895</v>
      </c>
      <c r="N20" s="163" t="s">
        <v>1</v>
      </c>
      <c r="O20" s="164">
        <v>1</v>
      </c>
      <c r="P20" s="170"/>
      <c r="Q20" s="171"/>
      <c r="R20" s="178">
        <v>822</v>
      </c>
      <c r="S20" s="172"/>
    </row>
    <row r="21" spans="1:19" ht="16.5" customHeight="1" x14ac:dyDescent="0.3">
      <c r="A21" s="147">
        <v>15</v>
      </c>
      <c r="B21" s="147">
        <v>1377</v>
      </c>
      <c r="C21" s="155" t="s">
        <v>6238</v>
      </c>
      <c r="D21" s="188"/>
      <c r="E21" s="153"/>
      <c r="F21" s="153"/>
      <c r="G21" s="188" t="s">
        <v>16980</v>
      </c>
      <c r="H21" s="205">
        <v>501</v>
      </c>
      <c r="I21" s="171" t="s">
        <v>0</v>
      </c>
      <c r="J21" s="160" t="s">
        <v>16971</v>
      </c>
      <c r="K21" s="160"/>
      <c r="L21" s="161"/>
      <c r="M21" s="162"/>
      <c r="N21" s="163"/>
      <c r="O21" s="164"/>
      <c r="P21" s="170"/>
      <c r="Q21" s="171"/>
      <c r="R21" s="178">
        <v>576</v>
      </c>
      <c r="S21" s="172"/>
    </row>
    <row r="22" spans="1:19" ht="16.5" customHeight="1" x14ac:dyDescent="0.3">
      <c r="A22" s="147">
        <v>15</v>
      </c>
      <c r="B22" s="147">
        <v>1378</v>
      </c>
      <c r="C22" s="155" t="s">
        <v>6237</v>
      </c>
      <c r="D22" s="188"/>
      <c r="E22" s="153"/>
      <c r="F22" s="153"/>
      <c r="G22" s="167"/>
      <c r="H22" s="150"/>
      <c r="I22" s="168"/>
      <c r="J22" s="150" t="s">
        <v>16970</v>
      </c>
      <c r="K22" s="150" t="s">
        <v>1</v>
      </c>
      <c r="L22" s="151">
        <v>0.7</v>
      </c>
      <c r="M22" s="162" t="s">
        <v>5895</v>
      </c>
      <c r="N22" s="163" t="s">
        <v>1</v>
      </c>
      <c r="O22" s="164">
        <v>1</v>
      </c>
      <c r="P22" s="170"/>
      <c r="Q22" s="171"/>
      <c r="R22" s="178">
        <v>576</v>
      </c>
      <c r="S22" s="172"/>
    </row>
    <row r="23" spans="1:19" ht="16.5" customHeight="1" x14ac:dyDescent="0.3">
      <c r="A23" s="147">
        <v>15</v>
      </c>
      <c r="B23" s="147">
        <v>1379</v>
      </c>
      <c r="C23" s="155" t="s">
        <v>6236</v>
      </c>
      <c r="D23" s="188"/>
      <c r="E23" s="153"/>
      <c r="F23" s="153"/>
      <c r="G23" s="156" t="s">
        <v>16989</v>
      </c>
      <c r="H23" s="160"/>
      <c r="I23" s="158"/>
      <c r="J23" s="159"/>
      <c r="K23" s="160"/>
      <c r="L23" s="161"/>
      <c r="M23" s="162"/>
      <c r="N23" s="163"/>
      <c r="O23" s="164"/>
      <c r="P23" s="170"/>
      <c r="Q23" s="171"/>
      <c r="R23" s="178">
        <v>906</v>
      </c>
      <c r="S23" s="172"/>
    </row>
    <row r="24" spans="1:19" ht="16.5" customHeight="1" x14ac:dyDescent="0.3">
      <c r="A24" s="147">
        <v>15</v>
      </c>
      <c r="B24" s="147">
        <v>1380</v>
      </c>
      <c r="C24" s="155" t="s">
        <v>6235</v>
      </c>
      <c r="D24" s="188"/>
      <c r="E24" s="153"/>
      <c r="F24" s="153"/>
      <c r="G24" s="188" t="s">
        <v>16974</v>
      </c>
      <c r="H24" s="153"/>
      <c r="I24" s="171"/>
      <c r="J24" s="175"/>
      <c r="K24" s="150"/>
      <c r="L24" s="151"/>
      <c r="M24" s="162" t="s">
        <v>5895</v>
      </c>
      <c r="N24" s="163" t="s">
        <v>1</v>
      </c>
      <c r="O24" s="164">
        <v>1</v>
      </c>
      <c r="P24" s="170"/>
      <c r="Q24" s="171"/>
      <c r="R24" s="178">
        <v>906</v>
      </c>
      <c r="S24" s="172"/>
    </row>
    <row r="25" spans="1:19" ht="16.5" customHeight="1" x14ac:dyDescent="0.3">
      <c r="A25" s="147">
        <v>15</v>
      </c>
      <c r="B25" s="147">
        <v>1381</v>
      </c>
      <c r="C25" s="155" t="s">
        <v>6234</v>
      </c>
      <c r="D25" s="188"/>
      <c r="E25" s="153"/>
      <c r="F25" s="153"/>
      <c r="G25" s="188" t="s">
        <v>16972</v>
      </c>
      <c r="H25" s="205">
        <v>585</v>
      </c>
      <c r="I25" s="171" t="s">
        <v>0</v>
      </c>
      <c r="J25" s="160" t="s">
        <v>16971</v>
      </c>
      <c r="K25" s="160"/>
      <c r="L25" s="161"/>
      <c r="M25" s="162"/>
      <c r="N25" s="163"/>
      <c r="O25" s="164"/>
      <c r="P25" s="170"/>
      <c r="Q25" s="171"/>
      <c r="R25" s="178">
        <v>635</v>
      </c>
      <c r="S25" s="172"/>
    </row>
    <row r="26" spans="1:19" ht="16.5" customHeight="1" x14ac:dyDescent="0.3">
      <c r="A26" s="147">
        <v>15</v>
      </c>
      <c r="B26" s="147">
        <v>1382</v>
      </c>
      <c r="C26" s="155" t="s">
        <v>6233</v>
      </c>
      <c r="D26" s="167"/>
      <c r="E26" s="153"/>
      <c r="F26" s="153"/>
      <c r="G26" s="167"/>
      <c r="H26" s="150"/>
      <c r="I26" s="168"/>
      <c r="J26" s="150" t="s">
        <v>16970</v>
      </c>
      <c r="K26" s="150" t="s">
        <v>1</v>
      </c>
      <c r="L26" s="151">
        <v>0.7</v>
      </c>
      <c r="M26" s="162" t="s">
        <v>5895</v>
      </c>
      <c r="N26" s="163" t="s">
        <v>1</v>
      </c>
      <c r="O26" s="164">
        <v>1</v>
      </c>
      <c r="P26" s="170"/>
      <c r="Q26" s="171"/>
      <c r="R26" s="178">
        <v>635</v>
      </c>
      <c r="S26" s="172"/>
    </row>
    <row r="27" spans="1:19" ht="16.5" customHeight="1" x14ac:dyDescent="0.3">
      <c r="A27" s="147">
        <v>15</v>
      </c>
      <c r="B27" s="147">
        <v>1383</v>
      </c>
      <c r="C27" s="155" t="s">
        <v>6232</v>
      </c>
      <c r="D27" s="156" t="s">
        <v>16988</v>
      </c>
      <c r="E27" s="160"/>
      <c r="F27" s="160"/>
      <c r="G27" s="156" t="s">
        <v>16975</v>
      </c>
      <c r="H27" s="160"/>
      <c r="I27" s="158"/>
      <c r="J27" s="159"/>
      <c r="K27" s="160"/>
      <c r="L27" s="161"/>
      <c r="M27" s="162"/>
      <c r="N27" s="163"/>
      <c r="O27" s="164"/>
      <c r="P27" s="170"/>
      <c r="Q27" s="171"/>
      <c r="R27" s="178">
        <v>693</v>
      </c>
      <c r="S27" s="172"/>
    </row>
    <row r="28" spans="1:19" ht="16.5" customHeight="1" x14ac:dyDescent="0.3">
      <c r="A28" s="147">
        <v>15</v>
      </c>
      <c r="B28" s="147">
        <v>1384</v>
      </c>
      <c r="C28" s="155" t="s">
        <v>6231</v>
      </c>
      <c r="D28" s="188" t="s">
        <v>16978</v>
      </c>
      <c r="E28" s="153"/>
      <c r="F28" s="153"/>
      <c r="G28" s="188" t="s">
        <v>16973</v>
      </c>
      <c r="H28" s="153"/>
      <c r="I28" s="171"/>
      <c r="J28" s="175"/>
      <c r="K28" s="150"/>
      <c r="L28" s="151"/>
      <c r="M28" s="162" t="s">
        <v>5895</v>
      </c>
      <c r="N28" s="163" t="s">
        <v>1</v>
      </c>
      <c r="O28" s="164">
        <v>1</v>
      </c>
      <c r="P28" s="170"/>
      <c r="Q28" s="171"/>
      <c r="R28" s="178">
        <v>693</v>
      </c>
      <c r="S28" s="172"/>
    </row>
    <row r="29" spans="1:19" ht="16.5" customHeight="1" x14ac:dyDescent="0.3">
      <c r="A29" s="147">
        <v>15</v>
      </c>
      <c r="B29" s="147">
        <v>1385</v>
      </c>
      <c r="C29" s="155" t="s">
        <v>6230</v>
      </c>
      <c r="D29" s="188" t="s">
        <v>16977</v>
      </c>
      <c r="E29" s="205">
        <v>406</v>
      </c>
      <c r="F29" s="153" t="s">
        <v>0</v>
      </c>
      <c r="G29" s="188"/>
      <c r="H29" s="205">
        <v>185</v>
      </c>
      <c r="I29" s="171" t="s">
        <v>0</v>
      </c>
      <c r="J29" s="160" t="s">
        <v>16971</v>
      </c>
      <c r="K29" s="160"/>
      <c r="L29" s="161"/>
      <c r="M29" s="162"/>
      <c r="N29" s="163"/>
      <c r="O29" s="164"/>
      <c r="P29" s="170"/>
      <c r="Q29" s="171"/>
      <c r="R29" s="178">
        <v>485</v>
      </c>
      <c r="S29" s="172"/>
    </row>
    <row r="30" spans="1:19" ht="16.5" customHeight="1" x14ac:dyDescent="0.3">
      <c r="A30" s="147">
        <v>15</v>
      </c>
      <c r="B30" s="147">
        <v>1386</v>
      </c>
      <c r="C30" s="155" t="s">
        <v>6229</v>
      </c>
      <c r="D30" s="188"/>
      <c r="E30" s="153"/>
      <c r="F30" s="153"/>
      <c r="G30" s="167"/>
      <c r="H30" s="150"/>
      <c r="I30" s="168"/>
      <c r="J30" s="150" t="s">
        <v>16970</v>
      </c>
      <c r="K30" s="150" t="s">
        <v>1</v>
      </c>
      <c r="L30" s="151">
        <v>0.7</v>
      </c>
      <c r="M30" s="162" t="s">
        <v>5895</v>
      </c>
      <c r="N30" s="163" t="s">
        <v>1</v>
      </c>
      <c r="O30" s="164">
        <v>1</v>
      </c>
      <c r="P30" s="170"/>
      <c r="Q30" s="171"/>
      <c r="R30" s="178">
        <v>485</v>
      </c>
      <c r="S30" s="172"/>
    </row>
    <row r="31" spans="1:19" ht="16.5" customHeight="1" x14ac:dyDescent="0.3">
      <c r="A31" s="147">
        <v>15</v>
      </c>
      <c r="B31" s="147">
        <v>1387</v>
      </c>
      <c r="C31" s="155" t="s">
        <v>6228</v>
      </c>
      <c r="D31" s="188"/>
      <c r="E31" s="153"/>
      <c r="F31" s="153"/>
      <c r="G31" s="156" t="s">
        <v>16979</v>
      </c>
      <c r="H31" s="160"/>
      <c r="I31" s="158"/>
      <c r="J31" s="159"/>
      <c r="K31" s="160"/>
      <c r="L31" s="161"/>
      <c r="M31" s="162"/>
      <c r="N31" s="163"/>
      <c r="O31" s="164"/>
      <c r="P31" s="170"/>
      <c r="Q31" s="171"/>
      <c r="R31" s="178">
        <v>776</v>
      </c>
      <c r="S31" s="172"/>
    </row>
    <row r="32" spans="1:19" ht="16.5" customHeight="1" x14ac:dyDescent="0.3">
      <c r="A32" s="147">
        <v>15</v>
      </c>
      <c r="B32" s="147">
        <v>1388</v>
      </c>
      <c r="C32" s="155" t="s">
        <v>6227</v>
      </c>
      <c r="D32" s="188"/>
      <c r="E32" s="153"/>
      <c r="F32" s="153"/>
      <c r="G32" s="188" t="s">
        <v>16978</v>
      </c>
      <c r="H32" s="153"/>
      <c r="I32" s="171"/>
      <c r="J32" s="175"/>
      <c r="K32" s="150"/>
      <c r="L32" s="151"/>
      <c r="M32" s="162" t="s">
        <v>5895</v>
      </c>
      <c r="N32" s="163" t="s">
        <v>1</v>
      </c>
      <c r="O32" s="164">
        <v>1</v>
      </c>
      <c r="P32" s="170"/>
      <c r="Q32" s="171"/>
      <c r="R32" s="178">
        <v>776</v>
      </c>
      <c r="S32" s="172"/>
    </row>
    <row r="33" spans="1:19" ht="16.5" customHeight="1" x14ac:dyDescent="0.3">
      <c r="A33" s="147">
        <v>15</v>
      </c>
      <c r="B33" s="147">
        <v>1389</v>
      </c>
      <c r="C33" s="155" t="s">
        <v>6226</v>
      </c>
      <c r="D33" s="188"/>
      <c r="E33" s="153"/>
      <c r="F33" s="153"/>
      <c r="G33" s="188" t="s">
        <v>16977</v>
      </c>
      <c r="H33" s="205">
        <v>268</v>
      </c>
      <c r="I33" s="171" t="s">
        <v>0</v>
      </c>
      <c r="J33" s="160" t="s">
        <v>16971</v>
      </c>
      <c r="K33" s="160"/>
      <c r="L33" s="161"/>
      <c r="M33" s="162"/>
      <c r="N33" s="163"/>
      <c r="O33" s="164"/>
      <c r="P33" s="170"/>
      <c r="Q33" s="171"/>
      <c r="R33" s="178">
        <v>543</v>
      </c>
      <c r="S33" s="172"/>
    </row>
    <row r="34" spans="1:19" ht="16.5" customHeight="1" x14ac:dyDescent="0.3">
      <c r="A34" s="147">
        <v>15</v>
      </c>
      <c r="B34" s="147">
        <v>1390</v>
      </c>
      <c r="C34" s="155" t="s">
        <v>6225</v>
      </c>
      <c r="D34" s="188"/>
      <c r="E34" s="153"/>
      <c r="F34" s="153"/>
      <c r="G34" s="167"/>
      <c r="H34" s="150"/>
      <c r="I34" s="168"/>
      <c r="J34" s="150" t="s">
        <v>16970</v>
      </c>
      <c r="K34" s="150" t="s">
        <v>1</v>
      </c>
      <c r="L34" s="151">
        <v>0.7</v>
      </c>
      <c r="M34" s="162" t="s">
        <v>5895</v>
      </c>
      <c r="N34" s="163" t="s">
        <v>1</v>
      </c>
      <c r="O34" s="164">
        <v>1</v>
      </c>
      <c r="P34" s="170"/>
      <c r="Q34" s="171"/>
      <c r="R34" s="178">
        <v>543</v>
      </c>
      <c r="S34" s="172"/>
    </row>
    <row r="35" spans="1:19" ht="16.5" customHeight="1" x14ac:dyDescent="0.3">
      <c r="A35" s="147">
        <v>15</v>
      </c>
      <c r="B35" s="147">
        <v>1391</v>
      </c>
      <c r="C35" s="155" t="s">
        <v>6224</v>
      </c>
      <c r="D35" s="188"/>
      <c r="E35" s="153"/>
      <c r="F35" s="153"/>
      <c r="G35" s="156" t="s">
        <v>16985</v>
      </c>
      <c r="H35" s="160"/>
      <c r="I35" s="158"/>
      <c r="J35" s="159"/>
      <c r="K35" s="160"/>
      <c r="L35" s="161"/>
      <c r="M35" s="162"/>
      <c r="N35" s="163"/>
      <c r="O35" s="164"/>
      <c r="P35" s="170"/>
      <c r="Q35" s="171"/>
      <c r="R35" s="178">
        <v>860</v>
      </c>
      <c r="S35" s="172"/>
    </row>
    <row r="36" spans="1:19" ht="16.5" customHeight="1" x14ac:dyDescent="0.3">
      <c r="A36" s="147">
        <v>15</v>
      </c>
      <c r="B36" s="147">
        <v>1392</v>
      </c>
      <c r="C36" s="155" t="s">
        <v>6223</v>
      </c>
      <c r="D36" s="188"/>
      <c r="E36" s="153"/>
      <c r="F36" s="153"/>
      <c r="G36" s="188" t="s">
        <v>16984</v>
      </c>
      <c r="H36" s="153"/>
      <c r="I36" s="171"/>
      <c r="J36" s="175"/>
      <c r="K36" s="150"/>
      <c r="L36" s="151"/>
      <c r="M36" s="162" t="s">
        <v>5895</v>
      </c>
      <c r="N36" s="163" t="s">
        <v>1</v>
      </c>
      <c r="O36" s="164">
        <v>1</v>
      </c>
      <c r="P36" s="170"/>
      <c r="Q36" s="171"/>
      <c r="R36" s="178">
        <v>860</v>
      </c>
      <c r="S36" s="172"/>
    </row>
    <row r="37" spans="1:19" ht="16.5" customHeight="1" x14ac:dyDescent="0.3">
      <c r="A37" s="147">
        <v>15</v>
      </c>
      <c r="B37" s="147">
        <v>1393</v>
      </c>
      <c r="C37" s="155" t="s">
        <v>6222</v>
      </c>
      <c r="D37" s="188"/>
      <c r="E37" s="153"/>
      <c r="F37" s="153"/>
      <c r="G37" s="188" t="s">
        <v>16983</v>
      </c>
      <c r="H37" s="205">
        <v>352</v>
      </c>
      <c r="I37" s="171" t="s">
        <v>0</v>
      </c>
      <c r="J37" s="160" t="s">
        <v>16971</v>
      </c>
      <c r="K37" s="160"/>
      <c r="L37" s="161"/>
      <c r="M37" s="162"/>
      <c r="N37" s="163"/>
      <c r="O37" s="164"/>
      <c r="P37" s="170"/>
      <c r="Q37" s="171"/>
      <c r="R37" s="178">
        <v>601</v>
      </c>
      <c r="S37" s="172"/>
    </row>
    <row r="38" spans="1:19" ht="16.5" customHeight="1" x14ac:dyDescent="0.3">
      <c r="A38" s="147">
        <v>15</v>
      </c>
      <c r="B38" s="147">
        <v>1394</v>
      </c>
      <c r="C38" s="155" t="s">
        <v>6221</v>
      </c>
      <c r="D38" s="188"/>
      <c r="E38" s="153"/>
      <c r="F38" s="153"/>
      <c r="G38" s="167"/>
      <c r="H38" s="150"/>
      <c r="I38" s="168"/>
      <c r="J38" s="150" t="s">
        <v>16970</v>
      </c>
      <c r="K38" s="150" t="s">
        <v>1</v>
      </c>
      <c r="L38" s="151">
        <v>0.7</v>
      </c>
      <c r="M38" s="162" t="s">
        <v>5895</v>
      </c>
      <c r="N38" s="163" t="s">
        <v>1</v>
      </c>
      <c r="O38" s="164">
        <v>1</v>
      </c>
      <c r="P38" s="170"/>
      <c r="Q38" s="171"/>
      <c r="R38" s="178">
        <v>601</v>
      </c>
      <c r="S38" s="172"/>
    </row>
    <row r="39" spans="1:19" ht="16.5" customHeight="1" x14ac:dyDescent="0.3">
      <c r="A39" s="147">
        <v>15</v>
      </c>
      <c r="B39" s="147">
        <v>1395</v>
      </c>
      <c r="C39" s="155" t="s">
        <v>6220</v>
      </c>
      <c r="D39" s="188"/>
      <c r="E39" s="153"/>
      <c r="F39" s="153"/>
      <c r="G39" s="156" t="s">
        <v>16987</v>
      </c>
      <c r="H39" s="160"/>
      <c r="I39" s="158"/>
      <c r="J39" s="159"/>
      <c r="K39" s="160"/>
      <c r="L39" s="161"/>
      <c r="M39" s="162"/>
      <c r="N39" s="163"/>
      <c r="O39" s="164"/>
      <c r="P39" s="170"/>
      <c r="Q39" s="171"/>
      <c r="R39" s="178">
        <v>944</v>
      </c>
      <c r="S39" s="172"/>
    </row>
    <row r="40" spans="1:19" ht="16.5" customHeight="1" x14ac:dyDescent="0.3">
      <c r="A40" s="147">
        <v>15</v>
      </c>
      <c r="B40" s="147">
        <v>1396</v>
      </c>
      <c r="C40" s="155" t="s">
        <v>6219</v>
      </c>
      <c r="D40" s="188"/>
      <c r="E40" s="153"/>
      <c r="F40" s="153"/>
      <c r="G40" s="188" t="s">
        <v>16981</v>
      </c>
      <c r="H40" s="153"/>
      <c r="I40" s="171"/>
      <c r="J40" s="175"/>
      <c r="K40" s="150"/>
      <c r="L40" s="151"/>
      <c r="M40" s="162" t="s">
        <v>5895</v>
      </c>
      <c r="N40" s="163" t="s">
        <v>1</v>
      </c>
      <c r="O40" s="164">
        <v>1</v>
      </c>
      <c r="P40" s="170"/>
      <c r="Q40" s="171"/>
      <c r="R40" s="178">
        <v>944</v>
      </c>
      <c r="S40" s="172"/>
    </row>
    <row r="41" spans="1:19" ht="16.5" customHeight="1" x14ac:dyDescent="0.3">
      <c r="A41" s="147">
        <v>15</v>
      </c>
      <c r="B41" s="147">
        <v>1397</v>
      </c>
      <c r="C41" s="155" t="s">
        <v>6218</v>
      </c>
      <c r="D41" s="188"/>
      <c r="E41" s="153"/>
      <c r="F41" s="153"/>
      <c r="G41" s="188" t="s">
        <v>16980</v>
      </c>
      <c r="H41" s="205">
        <v>436</v>
      </c>
      <c r="I41" s="171" t="s">
        <v>0</v>
      </c>
      <c r="J41" s="160" t="s">
        <v>16971</v>
      </c>
      <c r="K41" s="160"/>
      <c r="L41" s="161"/>
      <c r="M41" s="162"/>
      <c r="N41" s="163"/>
      <c r="O41" s="164"/>
      <c r="P41" s="170"/>
      <c r="Q41" s="171"/>
      <c r="R41" s="178">
        <v>660</v>
      </c>
      <c r="S41" s="172"/>
    </row>
    <row r="42" spans="1:19" ht="16.5" customHeight="1" x14ac:dyDescent="0.3">
      <c r="A42" s="147">
        <v>15</v>
      </c>
      <c r="B42" s="147">
        <v>1398</v>
      </c>
      <c r="C42" s="155" t="s">
        <v>6217</v>
      </c>
      <c r="D42" s="167"/>
      <c r="E42" s="153"/>
      <c r="F42" s="153"/>
      <c r="G42" s="167"/>
      <c r="H42" s="150"/>
      <c r="I42" s="168"/>
      <c r="J42" s="150" t="s">
        <v>16970</v>
      </c>
      <c r="K42" s="150" t="s">
        <v>1</v>
      </c>
      <c r="L42" s="151">
        <v>0.7</v>
      </c>
      <c r="M42" s="162" t="s">
        <v>5895</v>
      </c>
      <c r="N42" s="163" t="s">
        <v>1</v>
      </c>
      <c r="O42" s="164">
        <v>1</v>
      </c>
      <c r="P42" s="170"/>
      <c r="Q42" s="171"/>
      <c r="R42" s="178">
        <v>660</v>
      </c>
      <c r="S42" s="172"/>
    </row>
    <row r="43" spans="1:19" ht="16.5" customHeight="1" x14ac:dyDescent="0.3">
      <c r="A43" s="147">
        <v>15</v>
      </c>
      <c r="B43" s="147">
        <v>1399</v>
      </c>
      <c r="C43" s="155" t="s">
        <v>6216</v>
      </c>
      <c r="D43" s="156" t="s">
        <v>16986</v>
      </c>
      <c r="E43" s="160"/>
      <c r="F43" s="160"/>
      <c r="G43" s="156" t="s">
        <v>16975</v>
      </c>
      <c r="H43" s="160"/>
      <c r="I43" s="158"/>
      <c r="J43" s="159"/>
      <c r="K43" s="160"/>
      <c r="L43" s="161"/>
      <c r="M43" s="162"/>
      <c r="N43" s="163"/>
      <c r="O43" s="164"/>
      <c r="P43" s="170"/>
      <c r="Q43" s="171"/>
      <c r="R43" s="178">
        <v>822</v>
      </c>
      <c r="S43" s="172"/>
    </row>
    <row r="44" spans="1:19" ht="16.5" customHeight="1" x14ac:dyDescent="0.3">
      <c r="A44" s="147">
        <v>15</v>
      </c>
      <c r="B44" s="147">
        <v>1400</v>
      </c>
      <c r="C44" s="155" t="s">
        <v>6215</v>
      </c>
      <c r="D44" s="188" t="s">
        <v>16984</v>
      </c>
      <c r="E44" s="153"/>
      <c r="F44" s="153"/>
      <c r="G44" s="188" t="s">
        <v>16973</v>
      </c>
      <c r="H44" s="153"/>
      <c r="I44" s="171"/>
      <c r="J44" s="175"/>
      <c r="K44" s="150"/>
      <c r="L44" s="151"/>
      <c r="M44" s="162" t="s">
        <v>5895</v>
      </c>
      <c r="N44" s="163" t="s">
        <v>1</v>
      </c>
      <c r="O44" s="164">
        <v>1</v>
      </c>
      <c r="P44" s="170"/>
      <c r="Q44" s="171"/>
      <c r="R44" s="178">
        <v>822</v>
      </c>
      <c r="S44" s="172"/>
    </row>
    <row r="45" spans="1:19" ht="16.5" customHeight="1" x14ac:dyDescent="0.3">
      <c r="A45" s="147">
        <v>15</v>
      </c>
      <c r="B45" s="147">
        <v>1401</v>
      </c>
      <c r="C45" s="155" t="s">
        <v>6214</v>
      </c>
      <c r="D45" s="188" t="s">
        <v>16983</v>
      </c>
      <c r="E45" s="205">
        <v>591</v>
      </c>
      <c r="F45" s="153" t="s">
        <v>0</v>
      </c>
      <c r="G45" s="188"/>
      <c r="H45" s="205">
        <v>83</v>
      </c>
      <c r="I45" s="171" t="s">
        <v>0</v>
      </c>
      <c r="J45" s="160" t="s">
        <v>16971</v>
      </c>
      <c r="K45" s="160"/>
      <c r="L45" s="161"/>
      <c r="M45" s="162"/>
      <c r="N45" s="163"/>
      <c r="O45" s="164"/>
      <c r="P45" s="170"/>
      <c r="Q45" s="171"/>
      <c r="R45" s="178">
        <v>576</v>
      </c>
      <c r="S45" s="172"/>
    </row>
    <row r="46" spans="1:19" ht="16.5" customHeight="1" x14ac:dyDescent="0.3">
      <c r="A46" s="147">
        <v>15</v>
      </c>
      <c r="B46" s="147">
        <v>1402</v>
      </c>
      <c r="C46" s="155" t="s">
        <v>6213</v>
      </c>
      <c r="D46" s="188"/>
      <c r="E46" s="153"/>
      <c r="F46" s="153"/>
      <c r="G46" s="167"/>
      <c r="H46" s="150"/>
      <c r="I46" s="168"/>
      <c r="J46" s="150" t="s">
        <v>16970</v>
      </c>
      <c r="K46" s="150" t="s">
        <v>1</v>
      </c>
      <c r="L46" s="151">
        <v>0.7</v>
      </c>
      <c r="M46" s="162" t="s">
        <v>5895</v>
      </c>
      <c r="N46" s="163" t="s">
        <v>1</v>
      </c>
      <c r="O46" s="164">
        <v>1</v>
      </c>
      <c r="P46" s="170"/>
      <c r="Q46" s="171"/>
      <c r="R46" s="178">
        <v>576</v>
      </c>
      <c r="S46" s="172"/>
    </row>
    <row r="47" spans="1:19" ht="16.5" customHeight="1" x14ac:dyDescent="0.3">
      <c r="A47" s="147">
        <v>15</v>
      </c>
      <c r="B47" s="147">
        <v>1403</v>
      </c>
      <c r="C47" s="155" t="s">
        <v>6212</v>
      </c>
      <c r="D47" s="188"/>
      <c r="E47" s="153"/>
      <c r="F47" s="153"/>
      <c r="G47" s="156" t="s">
        <v>16979</v>
      </c>
      <c r="H47" s="160"/>
      <c r="I47" s="158"/>
      <c r="J47" s="159"/>
      <c r="K47" s="160"/>
      <c r="L47" s="161"/>
      <c r="M47" s="162"/>
      <c r="N47" s="163"/>
      <c r="O47" s="164"/>
      <c r="P47" s="170"/>
      <c r="Q47" s="171"/>
      <c r="R47" s="178">
        <v>906</v>
      </c>
      <c r="S47" s="172"/>
    </row>
    <row r="48" spans="1:19" ht="16.5" customHeight="1" x14ac:dyDescent="0.3">
      <c r="A48" s="147">
        <v>15</v>
      </c>
      <c r="B48" s="147">
        <v>1404</v>
      </c>
      <c r="C48" s="155" t="s">
        <v>6211</v>
      </c>
      <c r="D48" s="188"/>
      <c r="E48" s="153"/>
      <c r="F48" s="153"/>
      <c r="G48" s="188" t="s">
        <v>16978</v>
      </c>
      <c r="H48" s="153"/>
      <c r="I48" s="171"/>
      <c r="J48" s="175"/>
      <c r="K48" s="150"/>
      <c r="L48" s="151"/>
      <c r="M48" s="162" t="s">
        <v>5895</v>
      </c>
      <c r="N48" s="163" t="s">
        <v>1</v>
      </c>
      <c r="O48" s="164">
        <v>1</v>
      </c>
      <c r="P48" s="170"/>
      <c r="Q48" s="171"/>
      <c r="R48" s="178">
        <v>906</v>
      </c>
      <c r="S48" s="172"/>
    </row>
    <row r="49" spans="1:19" ht="16.5" customHeight="1" x14ac:dyDescent="0.3">
      <c r="A49" s="147">
        <v>15</v>
      </c>
      <c r="B49" s="147">
        <v>1405</v>
      </c>
      <c r="C49" s="155" t="s">
        <v>6210</v>
      </c>
      <c r="D49" s="188"/>
      <c r="E49" s="153"/>
      <c r="F49" s="153"/>
      <c r="G49" s="188" t="s">
        <v>16977</v>
      </c>
      <c r="H49" s="205">
        <v>167</v>
      </c>
      <c r="I49" s="171" t="s">
        <v>0</v>
      </c>
      <c r="J49" s="160" t="s">
        <v>16971</v>
      </c>
      <c r="K49" s="160"/>
      <c r="L49" s="161"/>
      <c r="M49" s="162"/>
      <c r="N49" s="163"/>
      <c r="O49" s="164"/>
      <c r="P49" s="170"/>
      <c r="Q49" s="171"/>
      <c r="R49" s="178">
        <v>635</v>
      </c>
      <c r="S49" s="172"/>
    </row>
    <row r="50" spans="1:19" ht="16.5" customHeight="1" x14ac:dyDescent="0.3">
      <c r="A50" s="147">
        <v>15</v>
      </c>
      <c r="B50" s="147">
        <v>1406</v>
      </c>
      <c r="C50" s="155" t="s">
        <v>6209</v>
      </c>
      <c r="D50" s="188"/>
      <c r="E50" s="153"/>
      <c r="F50" s="153"/>
      <c r="G50" s="167"/>
      <c r="H50" s="150"/>
      <c r="I50" s="168"/>
      <c r="J50" s="150" t="s">
        <v>16970</v>
      </c>
      <c r="K50" s="150" t="s">
        <v>1</v>
      </c>
      <c r="L50" s="151">
        <v>0.7</v>
      </c>
      <c r="M50" s="162" t="s">
        <v>5895</v>
      </c>
      <c r="N50" s="163" t="s">
        <v>1</v>
      </c>
      <c r="O50" s="164">
        <v>1</v>
      </c>
      <c r="P50" s="170"/>
      <c r="Q50" s="171"/>
      <c r="R50" s="178">
        <v>635</v>
      </c>
      <c r="S50" s="172"/>
    </row>
    <row r="51" spans="1:19" ht="16.5" customHeight="1" x14ac:dyDescent="0.3">
      <c r="A51" s="147">
        <v>15</v>
      </c>
      <c r="B51" s="147">
        <v>1407</v>
      </c>
      <c r="C51" s="155" t="s">
        <v>6208</v>
      </c>
      <c r="D51" s="188"/>
      <c r="E51" s="153"/>
      <c r="F51" s="153"/>
      <c r="G51" s="156" t="s">
        <v>16985</v>
      </c>
      <c r="H51" s="160"/>
      <c r="I51" s="158"/>
      <c r="J51" s="159"/>
      <c r="K51" s="160"/>
      <c r="L51" s="161"/>
      <c r="M51" s="162"/>
      <c r="N51" s="163"/>
      <c r="O51" s="164"/>
      <c r="P51" s="170"/>
      <c r="Q51" s="171"/>
      <c r="R51" s="178">
        <v>990</v>
      </c>
      <c r="S51" s="172"/>
    </row>
    <row r="52" spans="1:19" ht="16.5" customHeight="1" x14ac:dyDescent="0.3">
      <c r="A52" s="147">
        <v>15</v>
      </c>
      <c r="B52" s="147">
        <v>1408</v>
      </c>
      <c r="C52" s="155" t="s">
        <v>6206</v>
      </c>
      <c r="D52" s="188"/>
      <c r="E52" s="153"/>
      <c r="F52" s="153"/>
      <c r="G52" s="188" t="s">
        <v>16984</v>
      </c>
      <c r="H52" s="153"/>
      <c r="I52" s="171"/>
      <c r="J52" s="175"/>
      <c r="K52" s="150"/>
      <c r="L52" s="151"/>
      <c r="M52" s="162" t="s">
        <v>5895</v>
      </c>
      <c r="N52" s="163" t="s">
        <v>1</v>
      </c>
      <c r="O52" s="164">
        <v>1</v>
      </c>
      <c r="P52" s="170"/>
      <c r="Q52" s="171"/>
      <c r="R52" s="178">
        <v>990</v>
      </c>
      <c r="S52" s="172"/>
    </row>
    <row r="53" spans="1:19" ht="16.5" customHeight="1" x14ac:dyDescent="0.3">
      <c r="A53" s="147">
        <v>15</v>
      </c>
      <c r="B53" s="147">
        <v>1409</v>
      </c>
      <c r="C53" s="155" t="s">
        <v>6205</v>
      </c>
      <c r="D53" s="188"/>
      <c r="E53" s="153"/>
      <c r="F53" s="153"/>
      <c r="G53" s="188" t="s">
        <v>16983</v>
      </c>
      <c r="H53" s="205">
        <v>251</v>
      </c>
      <c r="I53" s="171" t="s">
        <v>0</v>
      </c>
      <c r="J53" s="160" t="s">
        <v>16971</v>
      </c>
      <c r="K53" s="160"/>
      <c r="L53" s="161"/>
      <c r="M53" s="162"/>
      <c r="N53" s="163"/>
      <c r="O53" s="164"/>
      <c r="P53" s="170"/>
      <c r="Q53" s="171"/>
      <c r="R53" s="178">
        <v>694</v>
      </c>
      <c r="S53" s="172"/>
    </row>
    <row r="54" spans="1:19" ht="16.5" customHeight="1" x14ac:dyDescent="0.3">
      <c r="A54" s="147">
        <v>15</v>
      </c>
      <c r="B54" s="147">
        <v>1410</v>
      </c>
      <c r="C54" s="155" t="s">
        <v>6204</v>
      </c>
      <c r="D54" s="167"/>
      <c r="E54" s="153"/>
      <c r="F54" s="153"/>
      <c r="G54" s="167"/>
      <c r="H54" s="150"/>
      <c r="I54" s="168"/>
      <c r="J54" s="150" t="s">
        <v>16970</v>
      </c>
      <c r="K54" s="150" t="s">
        <v>1</v>
      </c>
      <c r="L54" s="151">
        <v>0.7</v>
      </c>
      <c r="M54" s="162" t="s">
        <v>5895</v>
      </c>
      <c r="N54" s="163" t="s">
        <v>1</v>
      </c>
      <c r="O54" s="164">
        <v>1</v>
      </c>
      <c r="P54" s="170"/>
      <c r="Q54" s="171"/>
      <c r="R54" s="178">
        <v>694</v>
      </c>
      <c r="S54" s="172"/>
    </row>
    <row r="55" spans="1:19" ht="16.5" customHeight="1" x14ac:dyDescent="0.3">
      <c r="A55" s="147">
        <v>15</v>
      </c>
      <c r="B55" s="147">
        <v>1411</v>
      </c>
      <c r="C55" s="155" t="s">
        <v>6203</v>
      </c>
      <c r="D55" s="156" t="s">
        <v>16982</v>
      </c>
      <c r="E55" s="160"/>
      <c r="F55" s="160"/>
      <c r="G55" s="156" t="s">
        <v>16975</v>
      </c>
      <c r="H55" s="160"/>
      <c r="I55" s="158"/>
      <c r="J55" s="159"/>
      <c r="K55" s="160"/>
      <c r="L55" s="161"/>
      <c r="M55" s="162"/>
      <c r="N55" s="163"/>
      <c r="O55" s="164"/>
      <c r="P55" s="170"/>
      <c r="Q55" s="171"/>
      <c r="R55" s="178">
        <v>927</v>
      </c>
      <c r="S55" s="172"/>
    </row>
    <row r="56" spans="1:19" ht="16.5" customHeight="1" x14ac:dyDescent="0.3">
      <c r="A56" s="147">
        <v>15</v>
      </c>
      <c r="B56" s="147">
        <v>1412</v>
      </c>
      <c r="C56" s="155" t="s">
        <v>6202</v>
      </c>
      <c r="D56" s="188" t="s">
        <v>16981</v>
      </c>
      <c r="E56" s="153"/>
      <c r="F56" s="153"/>
      <c r="G56" s="188" t="s">
        <v>16973</v>
      </c>
      <c r="H56" s="153"/>
      <c r="I56" s="171"/>
      <c r="J56" s="175"/>
      <c r="K56" s="150"/>
      <c r="L56" s="151"/>
      <c r="M56" s="162" t="s">
        <v>5895</v>
      </c>
      <c r="N56" s="163" t="s">
        <v>1</v>
      </c>
      <c r="O56" s="164">
        <v>1</v>
      </c>
      <c r="P56" s="170"/>
      <c r="Q56" s="171"/>
      <c r="R56" s="178">
        <v>927</v>
      </c>
      <c r="S56" s="172"/>
    </row>
    <row r="57" spans="1:19" ht="16.5" customHeight="1" x14ac:dyDescent="0.3">
      <c r="A57" s="147">
        <v>15</v>
      </c>
      <c r="B57" s="147">
        <v>1413</v>
      </c>
      <c r="C57" s="155" t="s">
        <v>6201</v>
      </c>
      <c r="D57" s="188" t="s">
        <v>16980</v>
      </c>
      <c r="E57" s="205">
        <v>674</v>
      </c>
      <c r="F57" s="153" t="s">
        <v>0</v>
      </c>
      <c r="G57" s="188"/>
      <c r="H57" s="205">
        <v>84</v>
      </c>
      <c r="I57" s="171" t="s">
        <v>0</v>
      </c>
      <c r="J57" s="160" t="s">
        <v>16971</v>
      </c>
      <c r="K57" s="160"/>
      <c r="L57" s="161"/>
      <c r="M57" s="162"/>
      <c r="N57" s="163"/>
      <c r="O57" s="164"/>
      <c r="P57" s="170"/>
      <c r="Q57" s="171"/>
      <c r="R57" s="178">
        <v>649</v>
      </c>
      <c r="S57" s="172"/>
    </row>
    <row r="58" spans="1:19" ht="16.5" customHeight="1" x14ac:dyDescent="0.3">
      <c r="A58" s="147">
        <v>15</v>
      </c>
      <c r="B58" s="147">
        <v>1414</v>
      </c>
      <c r="C58" s="155" t="s">
        <v>6200</v>
      </c>
      <c r="D58" s="188"/>
      <c r="E58" s="153"/>
      <c r="F58" s="153"/>
      <c r="G58" s="167"/>
      <c r="H58" s="150"/>
      <c r="I58" s="168"/>
      <c r="J58" s="150" t="s">
        <v>16970</v>
      </c>
      <c r="K58" s="150" t="s">
        <v>1</v>
      </c>
      <c r="L58" s="151">
        <v>0.7</v>
      </c>
      <c r="M58" s="162" t="s">
        <v>5895</v>
      </c>
      <c r="N58" s="163" t="s">
        <v>1</v>
      </c>
      <c r="O58" s="164">
        <v>1</v>
      </c>
      <c r="P58" s="170"/>
      <c r="Q58" s="171"/>
      <c r="R58" s="178">
        <v>649</v>
      </c>
      <c r="S58" s="172"/>
    </row>
    <row r="59" spans="1:19" ht="16.5" customHeight="1" x14ac:dyDescent="0.3">
      <c r="A59" s="147">
        <v>15</v>
      </c>
      <c r="B59" s="147">
        <v>1415</v>
      </c>
      <c r="C59" s="155" t="s">
        <v>6199</v>
      </c>
      <c r="D59" s="188"/>
      <c r="E59" s="153"/>
      <c r="F59" s="153"/>
      <c r="G59" s="156" t="s">
        <v>16979</v>
      </c>
      <c r="H59" s="160"/>
      <c r="I59" s="158"/>
      <c r="J59" s="159"/>
      <c r="K59" s="160"/>
      <c r="L59" s="161"/>
      <c r="M59" s="162"/>
      <c r="N59" s="163"/>
      <c r="O59" s="164"/>
      <c r="P59" s="170"/>
      <c r="Q59" s="171"/>
      <c r="R59" s="178">
        <v>1011</v>
      </c>
      <c r="S59" s="172"/>
    </row>
    <row r="60" spans="1:19" ht="16.5" customHeight="1" x14ac:dyDescent="0.3">
      <c r="A60" s="147">
        <v>15</v>
      </c>
      <c r="B60" s="147">
        <v>1416</v>
      </c>
      <c r="C60" s="155" t="s">
        <v>6197</v>
      </c>
      <c r="D60" s="188"/>
      <c r="E60" s="153"/>
      <c r="F60" s="153"/>
      <c r="G60" s="188" t="s">
        <v>16978</v>
      </c>
      <c r="H60" s="153"/>
      <c r="I60" s="171"/>
      <c r="J60" s="175"/>
      <c r="K60" s="150"/>
      <c r="L60" s="151"/>
      <c r="M60" s="162" t="s">
        <v>5895</v>
      </c>
      <c r="N60" s="163" t="s">
        <v>1</v>
      </c>
      <c r="O60" s="164">
        <v>1</v>
      </c>
      <c r="P60" s="170"/>
      <c r="Q60" s="171"/>
      <c r="R60" s="178">
        <v>1011</v>
      </c>
      <c r="S60" s="172"/>
    </row>
    <row r="61" spans="1:19" ht="16.5" customHeight="1" x14ac:dyDescent="0.3">
      <c r="A61" s="147">
        <v>15</v>
      </c>
      <c r="B61" s="147">
        <v>1417</v>
      </c>
      <c r="C61" s="155" t="s">
        <v>6196</v>
      </c>
      <c r="D61" s="188"/>
      <c r="E61" s="153"/>
      <c r="F61" s="153"/>
      <c r="G61" s="188" t="s">
        <v>16977</v>
      </c>
      <c r="H61" s="205">
        <v>168</v>
      </c>
      <c r="I61" s="171" t="s">
        <v>0</v>
      </c>
      <c r="J61" s="160" t="s">
        <v>16971</v>
      </c>
      <c r="K61" s="160"/>
      <c r="L61" s="161"/>
      <c r="M61" s="162"/>
      <c r="N61" s="163"/>
      <c r="O61" s="164"/>
      <c r="P61" s="170"/>
      <c r="Q61" s="171"/>
      <c r="R61" s="178">
        <v>708</v>
      </c>
      <c r="S61" s="172"/>
    </row>
    <row r="62" spans="1:19" ht="16.5" customHeight="1" x14ac:dyDescent="0.3">
      <c r="A62" s="147">
        <v>15</v>
      </c>
      <c r="B62" s="147">
        <v>1418</v>
      </c>
      <c r="C62" s="155" t="s">
        <v>6195</v>
      </c>
      <c r="D62" s="167"/>
      <c r="E62" s="153"/>
      <c r="F62" s="153"/>
      <c r="G62" s="167"/>
      <c r="H62" s="150"/>
      <c r="I62" s="168"/>
      <c r="J62" s="150" t="s">
        <v>16970</v>
      </c>
      <c r="K62" s="150" t="s">
        <v>1</v>
      </c>
      <c r="L62" s="151">
        <v>0.7</v>
      </c>
      <c r="M62" s="162" t="s">
        <v>5895</v>
      </c>
      <c r="N62" s="163" t="s">
        <v>1</v>
      </c>
      <c r="O62" s="164">
        <v>1</v>
      </c>
      <c r="P62" s="170"/>
      <c r="Q62" s="171"/>
      <c r="R62" s="178">
        <v>708</v>
      </c>
      <c r="S62" s="172"/>
    </row>
    <row r="63" spans="1:19" ht="16.5" customHeight="1" x14ac:dyDescent="0.3">
      <c r="A63" s="147">
        <v>15</v>
      </c>
      <c r="B63" s="147">
        <v>1419</v>
      </c>
      <c r="C63" s="155" t="s">
        <v>6194</v>
      </c>
      <c r="D63" s="156" t="s">
        <v>16976</v>
      </c>
      <c r="E63" s="160"/>
      <c r="F63" s="160"/>
      <c r="G63" s="156" t="s">
        <v>16975</v>
      </c>
      <c r="H63" s="160"/>
      <c r="I63" s="158"/>
      <c r="J63" s="159"/>
      <c r="K63" s="160"/>
      <c r="L63" s="161"/>
      <c r="M63" s="162"/>
      <c r="N63" s="163"/>
      <c r="O63" s="164"/>
      <c r="P63" s="170"/>
      <c r="Q63" s="171"/>
      <c r="R63" s="178">
        <v>1032</v>
      </c>
      <c r="S63" s="172"/>
    </row>
    <row r="64" spans="1:19" ht="16.5" customHeight="1" x14ac:dyDescent="0.3">
      <c r="A64" s="147">
        <v>15</v>
      </c>
      <c r="B64" s="147">
        <v>1420</v>
      </c>
      <c r="C64" s="155" t="s">
        <v>6192</v>
      </c>
      <c r="D64" s="188" t="s">
        <v>16974</v>
      </c>
      <c r="E64" s="153"/>
      <c r="F64" s="153"/>
      <c r="G64" s="188" t="s">
        <v>16973</v>
      </c>
      <c r="H64" s="153"/>
      <c r="I64" s="171"/>
      <c r="J64" s="175"/>
      <c r="K64" s="150"/>
      <c r="L64" s="151"/>
      <c r="M64" s="162" t="s">
        <v>5895</v>
      </c>
      <c r="N64" s="163" t="s">
        <v>1</v>
      </c>
      <c r="O64" s="164">
        <v>1</v>
      </c>
      <c r="P64" s="170"/>
      <c r="Q64" s="171"/>
      <c r="R64" s="178">
        <v>1032</v>
      </c>
      <c r="S64" s="172"/>
    </row>
    <row r="65" spans="1:19" ht="16.5" customHeight="1" x14ac:dyDescent="0.3">
      <c r="A65" s="147">
        <v>15</v>
      </c>
      <c r="B65" s="147">
        <v>1421</v>
      </c>
      <c r="C65" s="155" t="s">
        <v>6191</v>
      </c>
      <c r="D65" s="188" t="s">
        <v>16972</v>
      </c>
      <c r="E65" s="205">
        <v>758</v>
      </c>
      <c r="F65" s="153" t="s">
        <v>0</v>
      </c>
      <c r="G65" s="188"/>
      <c r="H65" s="205">
        <v>84</v>
      </c>
      <c r="I65" s="171" t="s">
        <v>0</v>
      </c>
      <c r="J65" s="160" t="s">
        <v>16971</v>
      </c>
      <c r="K65" s="160"/>
      <c r="L65" s="161"/>
      <c r="M65" s="162"/>
      <c r="N65" s="163"/>
      <c r="O65" s="164"/>
      <c r="P65" s="170"/>
      <c r="Q65" s="171"/>
      <c r="R65" s="178">
        <v>723</v>
      </c>
      <c r="S65" s="172"/>
    </row>
    <row r="66" spans="1:19" ht="16.5" customHeight="1" x14ac:dyDescent="0.3">
      <c r="A66" s="147">
        <v>15</v>
      </c>
      <c r="B66" s="147">
        <v>1422</v>
      </c>
      <c r="C66" s="155" t="s">
        <v>6190</v>
      </c>
      <c r="D66" s="167"/>
      <c r="E66" s="150"/>
      <c r="F66" s="150"/>
      <c r="G66" s="167"/>
      <c r="H66" s="150"/>
      <c r="I66" s="168"/>
      <c r="J66" s="150" t="s">
        <v>16970</v>
      </c>
      <c r="K66" s="150" t="s">
        <v>1</v>
      </c>
      <c r="L66" s="151">
        <v>0.7</v>
      </c>
      <c r="M66" s="162" t="s">
        <v>5895</v>
      </c>
      <c r="N66" s="163" t="s">
        <v>1</v>
      </c>
      <c r="O66" s="164">
        <v>1</v>
      </c>
      <c r="P66" s="176"/>
      <c r="Q66" s="168"/>
      <c r="R66" s="178">
        <v>723</v>
      </c>
      <c r="S66" s="177"/>
    </row>
    <row r="67" spans="1:19" ht="16.5" customHeight="1" x14ac:dyDescent="0.3"/>
    <row r="68" spans="1:19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0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0000"/>
    <pageSetUpPr fitToPage="1"/>
  </sheetPr>
  <dimension ref="A1:AA18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2.3671875" style="46" customWidth="1"/>
    <col min="5" max="5" width="12.62890625" style="45" customWidth="1"/>
    <col min="6" max="6" width="2.3671875" style="46" customWidth="1"/>
    <col min="7" max="7" width="5.62890625" style="45" customWidth="1"/>
    <col min="8" max="8" width="4.1015625" style="46" bestFit="1" customWidth="1"/>
    <col min="9" max="9" width="4.734375" style="46" bestFit="1" customWidth="1"/>
    <col min="10" max="10" width="16.62890625" style="46" customWidth="1"/>
    <col min="11" max="11" width="3.1015625" style="46" bestFit="1" customWidth="1"/>
    <col min="12" max="12" width="4.1015625" style="47" bestFit="1" customWidth="1"/>
    <col min="13" max="13" width="25.62890625" style="46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21.62890625" style="46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8.62890625" style="46" customWidth="1"/>
    <col min="23" max="23" width="3.1015625" style="46" bestFit="1" customWidth="1"/>
    <col min="24" max="24" width="4.1015625" style="47" bestFit="1" customWidth="1"/>
    <col min="25" max="25" width="4.734375" style="46" bestFit="1" customWidth="1"/>
    <col min="26" max="26" width="6.3671875" style="84" bestFit="1" customWidth="1"/>
    <col min="27" max="27" width="7.734375" style="48" bestFit="1" customWidth="1"/>
    <col min="28" max="16384" width="9" style="49"/>
  </cols>
  <sheetData>
    <row r="1" spans="1:27" ht="16.5" customHeight="1" x14ac:dyDescent="0.3"/>
    <row r="2" spans="1:27" ht="16.5" customHeight="1" x14ac:dyDescent="0.3"/>
    <row r="3" spans="1:27" ht="16.5" customHeight="1" x14ac:dyDescent="0.3"/>
    <row r="4" spans="1:27" ht="16.5" customHeight="1" x14ac:dyDescent="0.3">
      <c r="B4" s="229" t="s">
        <v>18356</v>
      </c>
      <c r="C4" s="131"/>
      <c r="D4" s="231"/>
      <c r="E4" s="230"/>
      <c r="F4" s="231"/>
    </row>
    <row r="5" spans="1:27" ht="16.5" customHeight="1" x14ac:dyDescent="0.3">
      <c r="A5" s="50" t="s">
        <v>5864</v>
      </c>
      <c r="B5" s="51"/>
      <c r="C5" s="52" t="s">
        <v>5867</v>
      </c>
      <c r="D5" s="53"/>
      <c r="E5" s="79" t="s">
        <v>5868</v>
      </c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3"/>
      <c r="S5" s="53"/>
      <c r="T5" s="54"/>
      <c r="U5" s="53"/>
      <c r="V5" s="53"/>
      <c r="W5" s="53"/>
      <c r="X5" s="54"/>
      <c r="Y5" s="53"/>
      <c r="Z5" s="55" t="s">
        <v>5869</v>
      </c>
      <c r="AA5" s="55" t="s">
        <v>5871</v>
      </c>
    </row>
    <row r="6" spans="1:27" ht="16.5" customHeight="1" x14ac:dyDescent="0.3">
      <c r="A6" s="2" t="s">
        <v>5865</v>
      </c>
      <c r="B6" s="2" t="s">
        <v>5866</v>
      </c>
      <c r="C6" s="56"/>
      <c r="D6" s="96"/>
      <c r="E6" s="73"/>
      <c r="F6" s="80" t="s">
        <v>5872</v>
      </c>
      <c r="G6" s="86"/>
      <c r="H6" s="86"/>
      <c r="I6" s="87"/>
      <c r="J6" s="57"/>
      <c r="K6" s="57"/>
      <c r="L6" s="58"/>
      <c r="M6" s="57"/>
      <c r="N6" s="57"/>
      <c r="O6" s="58"/>
      <c r="P6" s="58"/>
      <c r="Q6" s="57"/>
      <c r="R6" s="57"/>
      <c r="S6" s="57"/>
      <c r="T6" s="58"/>
      <c r="U6" s="57"/>
      <c r="V6" s="57"/>
      <c r="W6" s="57"/>
      <c r="X6" s="58"/>
      <c r="Y6" s="57"/>
      <c r="Z6" s="59" t="s">
        <v>5870</v>
      </c>
      <c r="AA6" s="59" t="s">
        <v>0</v>
      </c>
    </row>
    <row r="7" spans="1:27" ht="16.5" customHeight="1" x14ac:dyDescent="0.3">
      <c r="A7" s="2">
        <v>15</v>
      </c>
      <c r="B7" s="2" t="s">
        <v>4447</v>
      </c>
      <c r="C7" s="83" t="s">
        <v>15045</v>
      </c>
      <c r="D7" s="291" t="s">
        <v>5876</v>
      </c>
      <c r="E7" s="236" t="s">
        <v>18022</v>
      </c>
      <c r="F7" s="291" t="s">
        <v>5874</v>
      </c>
      <c r="G7" s="233" t="s">
        <v>17703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61"/>
      <c r="S7" s="62"/>
      <c r="T7" s="63"/>
      <c r="U7" s="75"/>
      <c r="V7" s="61"/>
      <c r="W7" s="62"/>
      <c r="X7" s="63"/>
      <c r="Y7" s="75"/>
      <c r="Z7" s="228">
        <f>+ROUND((ROUND((_15_同援日０．５＿０．５*_15・通訳),0)*(1+_15・B深夜)),0)</f>
        <v>146</v>
      </c>
      <c r="AA7" s="52" t="s">
        <v>5863</v>
      </c>
    </row>
    <row r="8" spans="1:27" ht="16.5" customHeight="1" x14ac:dyDescent="0.3">
      <c r="A8" s="2">
        <v>15</v>
      </c>
      <c r="B8" s="2" t="s">
        <v>4448</v>
      </c>
      <c r="C8" s="83" t="s">
        <v>15044</v>
      </c>
      <c r="D8" s="292"/>
      <c r="E8" s="82" t="s">
        <v>7928</v>
      </c>
      <c r="F8" s="292"/>
      <c r="G8" s="1" t="s">
        <v>7928</v>
      </c>
      <c r="H8" s="68"/>
      <c r="I8" s="70"/>
      <c r="J8" s="67"/>
      <c r="K8" s="68"/>
      <c r="L8" s="76"/>
      <c r="M8" s="83" t="s">
        <v>5895</v>
      </c>
      <c r="N8" s="64" t="s">
        <v>1</v>
      </c>
      <c r="O8" s="65">
        <v>1</v>
      </c>
      <c r="P8" s="99"/>
      <c r="Q8" s="70"/>
      <c r="R8" s="66"/>
      <c r="S8" s="57"/>
      <c r="T8" s="58"/>
      <c r="U8" s="77"/>
      <c r="V8" s="67"/>
      <c r="W8" s="68"/>
      <c r="X8" s="76"/>
      <c r="Y8" s="70"/>
      <c r="Z8" s="228">
        <f>+ROUND((ROUND((ROUND((_15_同援日０．５＿０．５*_15・通訳),0)*_15・２人),0)*(1+_15・B深夜)),0)</f>
        <v>146</v>
      </c>
      <c r="AA8" s="69"/>
    </row>
    <row r="9" spans="1:27" ht="16.5" customHeight="1" x14ac:dyDescent="0.3">
      <c r="A9" s="2">
        <v>15</v>
      </c>
      <c r="B9" s="2" t="s">
        <v>4449</v>
      </c>
      <c r="C9" s="83" t="s">
        <v>15043</v>
      </c>
      <c r="D9" s="292"/>
      <c r="E9" s="82"/>
      <c r="F9" s="292"/>
      <c r="G9" s="1"/>
      <c r="H9" s="68"/>
      <c r="I9" s="70"/>
      <c r="J9" s="67"/>
      <c r="K9" s="68"/>
      <c r="L9" s="76"/>
      <c r="M9" s="85"/>
      <c r="N9" s="64"/>
      <c r="O9" s="65"/>
      <c r="P9" s="99"/>
      <c r="Q9" s="70"/>
      <c r="R9" s="74" t="s">
        <v>17969</v>
      </c>
      <c r="S9" s="62"/>
      <c r="T9" s="63"/>
      <c r="U9" s="75"/>
      <c r="V9" s="67"/>
      <c r="W9" s="68"/>
      <c r="X9" s="76"/>
      <c r="Y9" s="70"/>
      <c r="Z9" s="228">
        <f>+ROUND((ROUND((ROUND((_15_同援日０．５＿０．５*_15・通訳),0)*(1+_15・B深夜)),0)*(1+_15・盲ろう)),0)</f>
        <v>183</v>
      </c>
      <c r="AA9" s="69"/>
    </row>
    <row r="10" spans="1:27" ht="16.5" customHeight="1" x14ac:dyDescent="0.3">
      <c r="A10" s="2">
        <v>15</v>
      </c>
      <c r="B10" s="2" t="s">
        <v>4450</v>
      </c>
      <c r="C10" s="83" t="s">
        <v>15042</v>
      </c>
      <c r="D10" s="292"/>
      <c r="E10" s="82"/>
      <c r="F10" s="292"/>
      <c r="G10" s="1"/>
      <c r="H10" s="227">
        <v>108</v>
      </c>
      <c r="I10" s="70" t="s">
        <v>0</v>
      </c>
      <c r="J10" s="67"/>
      <c r="K10" s="68"/>
      <c r="L10" s="76"/>
      <c r="M10" s="83" t="s">
        <v>5895</v>
      </c>
      <c r="N10" s="64" t="s">
        <v>1</v>
      </c>
      <c r="O10" s="65">
        <v>1</v>
      </c>
      <c r="P10" s="99"/>
      <c r="Q10" s="70"/>
      <c r="R10" s="106" t="s">
        <v>17968</v>
      </c>
      <c r="S10" s="57" t="s">
        <v>1</v>
      </c>
      <c r="T10" s="58">
        <v>0.25</v>
      </c>
      <c r="U10" s="77" t="s">
        <v>422</v>
      </c>
      <c r="V10" s="66"/>
      <c r="W10" s="57"/>
      <c r="X10" s="58"/>
      <c r="Y10" s="77"/>
      <c r="Z10" s="228">
        <f>+ROUND((ROUND((ROUND((ROUND((_15_同援日０．５＿０．５*_15・通訳),0)*_15・２人),0)*(1+_15・B深夜)),0)*(1+_15・盲ろう)),0)</f>
        <v>183</v>
      </c>
      <c r="AA10" s="69"/>
    </row>
    <row r="11" spans="1:27" ht="16.5" customHeight="1" x14ac:dyDescent="0.3">
      <c r="A11" s="2">
        <v>15</v>
      </c>
      <c r="B11" s="2" t="s">
        <v>4451</v>
      </c>
      <c r="C11" s="83" t="s">
        <v>15041</v>
      </c>
      <c r="D11" s="103"/>
      <c r="E11" s="82"/>
      <c r="F11" s="103"/>
      <c r="G11" s="1"/>
      <c r="H11" s="68"/>
      <c r="I11" s="70"/>
      <c r="J11" s="67"/>
      <c r="K11" s="68"/>
      <c r="L11" s="76"/>
      <c r="M11" s="85"/>
      <c r="N11" s="64"/>
      <c r="O11" s="65"/>
      <c r="P11" s="99"/>
      <c r="Q11" s="70"/>
      <c r="R11" s="61"/>
      <c r="S11" s="62"/>
      <c r="T11" s="63"/>
      <c r="U11" s="75"/>
      <c r="V11" s="74" t="s">
        <v>18089</v>
      </c>
      <c r="W11" s="62"/>
      <c r="X11" s="63"/>
      <c r="Y11" s="75"/>
      <c r="Z11" s="228">
        <f>+ROUND((ROUND((ROUND((_15_同援日０．５＿０．５*_15・通訳),0)*(1+_15・B深夜)),0)*(1+_15・区３)),0)</f>
        <v>175</v>
      </c>
      <c r="AA11" s="69"/>
    </row>
    <row r="12" spans="1:27" ht="16.5" customHeight="1" x14ac:dyDescent="0.3">
      <c r="A12" s="2">
        <v>15</v>
      </c>
      <c r="B12" s="2" t="s">
        <v>4452</v>
      </c>
      <c r="C12" s="83" t="s">
        <v>15040</v>
      </c>
      <c r="D12" s="103"/>
      <c r="E12" s="82"/>
      <c r="F12" s="103"/>
      <c r="G12" s="1"/>
      <c r="H12" s="68"/>
      <c r="I12" s="70"/>
      <c r="J12" s="1" t="s">
        <v>13802</v>
      </c>
      <c r="K12" s="68"/>
      <c r="L12" s="76"/>
      <c r="M12" s="83" t="s">
        <v>5895</v>
      </c>
      <c r="N12" s="64" t="s">
        <v>1</v>
      </c>
      <c r="O12" s="65">
        <v>1</v>
      </c>
      <c r="P12" s="108" t="s">
        <v>7920</v>
      </c>
      <c r="Q12" s="70"/>
      <c r="R12" s="66"/>
      <c r="S12" s="57"/>
      <c r="T12" s="58"/>
      <c r="U12" s="77"/>
      <c r="V12" s="94" t="s">
        <v>8087</v>
      </c>
      <c r="W12" s="68"/>
      <c r="X12" s="76"/>
      <c r="Y12" s="70"/>
      <c r="Z12" s="228">
        <f>+ROUND((ROUND((ROUND((ROUND((_15_同援日０．５＿０．５*_15・通訳),0)*_15・２人),0)*(1+_15・B深夜)),0)*(1+_15・区３)),0)</f>
        <v>175</v>
      </c>
      <c r="AA12" s="69"/>
    </row>
    <row r="13" spans="1:27" ht="16.5" customHeight="1" x14ac:dyDescent="0.3">
      <c r="A13" s="2">
        <v>15</v>
      </c>
      <c r="B13" s="2" t="s">
        <v>4453</v>
      </c>
      <c r="C13" s="83" t="s">
        <v>15039</v>
      </c>
      <c r="D13" s="103"/>
      <c r="E13" s="82"/>
      <c r="F13" s="103"/>
      <c r="G13" s="1"/>
      <c r="H13" s="68"/>
      <c r="I13" s="70"/>
      <c r="J13" s="94" t="s">
        <v>13800</v>
      </c>
      <c r="K13" s="68" t="s">
        <v>1</v>
      </c>
      <c r="L13" s="76">
        <v>0.9</v>
      </c>
      <c r="M13" s="85"/>
      <c r="N13" s="64"/>
      <c r="O13" s="65"/>
      <c r="P13" s="99"/>
      <c r="Q13" s="110" t="s">
        <v>7948</v>
      </c>
      <c r="R13" s="74" t="s">
        <v>17969</v>
      </c>
      <c r="S13" s="62"/>
      <c r="T13" s="63"/>
      <c r="U13" s="75"/>
      <c r="V13" s="67"/>
      <c r="W13" s="68" t="s">
        <v>1</v>
      </c>
      <c r="X13" s="76">
        <v>0.2</v>
      </c>
      <c r="Y13" s="70" t="s">
        <v>422</v>
      </c>
      <c r="Z13" s="228">
        <f>+ROUND((ROUND((ROUND((ROUND((_15_同援日０．５＿０．５*_15・通訳),0)*(1+_15・B深夜)),0)*(1+_15・盲ろう)),0)*(1+_15・区３)),0)</f>
        <v>220</v>
      </c>
      <c r="AA13" s="69"/>
    </row>
    <row r="14" spans="1:27" ht="16.5" customHeight="1" x14ac:dyDescent="0.3">
      <c r="A14" s="2">
        <v>15</v>
      </c>
      <c r="B14" s="2" t="s">
        <v>4454</v>
      </c>
      <c r="C14" s="83" t="s">
        <v>15038</v>
      </c>
      <c r="D14" s="103"/>
      <c r="E14" s="82"/>
      <c r="F14" s="103"/>
      <c r="G14" s="1"/>
      <c r="H14" s="68"/>
      <c r="I14" s="70"/>
      <c r="J14" s="67"/>
      <c r="K14" s="68"/>
      <c r="L14" s="76"/>
      <c r="M14" s="83" t="s">
        <v>5895</v>
      </c>
      <c r="N14" s="64" t="s">
        <v>1</v>
      </c>
      <c r="O14" s="65">
        <v>1</v>
      </c>
      <c r="P14" s="99"/>
      <c r="Q14" s="70"/>
      <c r="R14" s="106" t="s">
        <v>17968</v>
      </c>
      <c r="S14" s="57" t="s">
        <v>1</v>
      </c>
      <c r="T14" s="58">
        <v>0.25</v>
      </c>
      <c r="U14" s="77" t="s">
        <v>422</v>
      </c>
      <c r="V14" s="66"/>
      <c r="W14" s="57"/>
      <c r="X14" s="58"/>
      <c r="Y14" s="77"/>
      <c r="Z14" s="228">
        <f>+ROUND((ROUND((ROUND((ROUND((ROUND((_15_同援日０．５＿０．５*_15・通訳),0)*_15・２人),0)*(1+_15・B深夜)),0)*(1+_15・盲ろう)),0)*(1+_15・区３)),0)</f>
        <v>220</v>
      </c>
      <c r="AA14" s="69"/>
    </row>
    <row r="15" spans="1:27" ht="16.5" customHeight="1" x14ac:dyDescent="0.3">
      <c r="A15" s="2">
        <v>15</v>
      </c>
      <c r="B15" s="2" t="s">
        <v>4455</v>
      </c>
      <c r="C15" s="83" t="s">
        <v>15037</v>
      </c>
      <c r="D15" s="103"/>
      <c r="E15" s="82"/>
      <c r="F15" s="103"/>
      <c r="G15" s="1"/>
      <c r="H15" s="68"/>
      <c r="I15" s="70"/>
      <c r="J15" s="67"/>
      <c r="K15" s="68"/>
      <c r="L15" s="76"/>
      <c r="M15" s="85"/>
      <c r="N15" s="64"/>
      <c r="O15" s="65"/>
      <c r="P15" s="67" t="s">
        <v>1</v>
      </c>
      <c r="Q15" s="93">
        <v>0.5</v>
      </c>
      <c r="R15" s="61"/>
      <c r="S15" s="62"/>
      <c r="T15" s="63"/>
      <c r="U15" s="75"/>
      <c r="V15" s="74" t="s">
        <v>17971</v>
      </c>
      <c r="W15" s="62"/>
      <c r="X15" s="63"/>
      <c r="Y15" s="75"/>
      <c r="Z15" s="228">
        <f>+ROUND((ROUND((ROUND((_15_同援日０．５＿０．５*_15・通訳),0)*(1+_15・B深夜)),0)*(1+_15・区４)),0)</f>
        <v>204</v>
      </c>
      <c r="AA15" s="69"/>
    </row>
    <row r="16" spans="1:27" ht="16.5" customHeight="1" x14ac:dyDescent="0.3">
      <c r="A16" s="2">
        <v>15</v>
      </c>
      <c r="B16" s="2" t="s">
        <v>4456</v>
      </c>
      <c r="C16" s="83" t="s">
        <v>15036</v>
      </c>
      <c r="D16" s="103"/>
      <c r="E16" s="82"/>
      <c r="F16" s="103"/>
      <c r="G16" s="1"/>
      <c r="H16" s="68"/>
      <c r="I16" s="70"/>
      <c r="J16" s="67"/>
      <c r="K16" s="68"/>
      <c r="L16" s="76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66"/>
      <c r="S16" s="57"/>
      <c r="T16" s="58"/>
      <c r="U16" s="77"/>
      <c r="V16" s="94" t="s">
        <v>17970</v>
      </c>
      <c r="W16" s="68"/>
      <c r="X16" s="76"/>
      <c r="Y16" s="70"/>
      <c r="Z16" s="228">
        <f>+ROUND((ROUND((ROUND((ROUND((_15_同援日０．５＿０．５*_15・通訳),0)*_15・２人),0)*(1+_15・B深夜)),0)*(1+_15・区４)),0)</f>
        <v>204</v>
      </c>
      <c r="AA16" s="69"/>
    </row>
    <row r="17" spans="1:27" ht="16.5" customHeight="1" x14ac:dyDescent="0.3">
      <c r="A17" s="2">
        <v>15</v>
      </c>
      <c r="B17" s="2" t="s">
        <v>4457</v>
      </c>
      <c r="C17" s="83" t="s">
        <v>15035</v>
      </c>
      <c r="D17" s="103"/>
      <c r="E17" s="82"/>
      <c r="F17" s="103"/>
      <c r="G17" s="1"/>
      <c r="H17" s="68"/>
      <c r="I17" s="70"/>
      <c r="J17" s="67"/>
      <c r="K17" s="68"/>
      <c r="L17" s="76"/>
      <c r="M17" s="85"/>
      <c r="N17" s="64"/>
      <c r="O17" s="65"/>
      <c r="P17" s="99"/>
      <c r="Q17" s="70"/>
      <c r="R17" s="74" t="s">
        <v>17969</v>
      </c>
      <c r="S17" s="62"/>
      <c r="T17" s="63"/>
      <c r="U17" s="75"/>
      <c r="V17" s="67"/>
      <c r="W17" s="68" t="s">
        <v>1</v>
      </c>
      <c r="X17" s="76">
        <v>0.4</v>
      </c>
      <c r="Y17" s="70" t="s">
        <v>422</v>
      </c>
      <c r="Z17" s="228">
        <f>+ROUND((ROUND((ROUND((ROUND((_15_同援日０．５＿０．５*_15・通訳),0)*(1+_15・B深夜)),0)*(1+_15・盲ろう)),0)*(1+_15・区４)),0)</f>
        <v>256</v>
      </c>
      <c r="AA17" s="69"/>
    </row>
    <row r="18" spans="1:27" ht="16.5" customHeight="1" x14ac:dyDescent="0.3">
      <c r="A18" s="2">
        <v>15</v>
      </c>
      <c r="B18" s="2" t="s">
        <v>4458</v>
      </c>
      <c r="C18" s="83" t="s">
        <v>15034</v>
      </c>
      <c r="D18" s="103"/>
      <c r="E18" s="82"/>
      <c r="F18" s="103"/>
      <c r="G18" s="81"/>
      <c r="H18" s="57"/>
      <c r="I18" s="77"/>
      <c r="J18" s="67"/>
      <c r="K18" s="68"/>
      <c r="L18" s="76"/>
      <c r="M18" s="83" t="s">
        <v>5895</v>
      </c>
      <c r="N18" s="64" t="s">
        <v>1</v>
      </c>
      <c r="O18" s="65">
        <v>1</v>
      </c>
      <c r="P18" s="99"/>
      <c r="Q18" s="70"/>
      <c r="R18" s="106" t="s">
        <v>17968</v>
      </c>
      <c r="S18" s="57" t="s">
        <v>1</v>
      </c>
      <c r="T18" s="58">
        <v>0.25</v>
      </c>
      <c r="U18" s="77" t="s">
        <v>422</v>
      </c>
      <c r="V18" s="66"/>
      <c r="W18" s="57"/>
      <c r="X18" s="58"/>
      <c r="Y18" s="77"/>
      <c r="Z18" s="228">
        <f>+ROUND((ROUND((ROUND((ROUND((ROUND((_15_同援日０．５＿０．５*_15・通訳),0)*_15・２人),0)*(1+_15・B深夜)),0)*(1+_15・盲ろう)),0)*(1+_15・区４)),0)</f>
        <v>256</v>
      </c>
      <c r="AA18" s="69"/>
    </row>
    <row r="19" spans="1:27" ht="16.5" customHeight="1" x14ac:dyDescent="0.3">
      <c r="A19" s="2">
        <v>15</v>
      </c>
      <c r="B19" s="2" t="s">
        <v>4459</v>
      </c>
      <c r="C19" s="83" t="s">
        <v>15033</v>
      </c>
      <c r="D19" s="103"/>
      <c r="E19" s="82"/>
      <c r="F19" s="103"/>
      <c r="G19" s="233" t="s">
        <v>16961</v>
      </c>
      <c r="H19" s="62"/>
      <c r="I19" s="75"/>
      <c r="J19" s="67"/>
      <c r="K19" s="68"/>
      <c r="L19" s="76"/>
      <c r="M19" s="85"/>
      <c r="N19" s="64"/>
      <c r="O19" s="65"/>
      <c r="P19" s="99"/>
      <c r="Q19" s="70"/>
      <c r="R19" s="61"/>
      <c r="S19" s="62"/>
      <c r="T19" s="63"/>
      <c r="U19" s="75"/>
      <c r="V19" s="61"/>
      <c r="W19" s="62"/>
      <c r="X19" s="63"/>
      <c r="Y19" s="75"/>
      <c r="Z19" s="228">
        <f>+ROUND((ROUND((_15_同援日０．５＿１．０*_15・通訳),0)*(1+_15・B深夜)),0)</f>
        <v>320</v>
      </c>
      <c r="AA19" s="69"/>
    </row>
    <row r="20" spans="1:27" ht="16.5" customHeight="1" x14ac:dyDescent="0.3">
      <c r="A20" s="2">
        <v>15</v>
      </c>
      <c r="B20" s="2" t="s">
        <v>4460</v>
      </c>
      <c r="C20" s="83" t="s">
        <v>15032</v>
      </c>
      <c r="D20" s="103"/>
      <c r="E20" s="82"/>
      <c r="F20" s="103"/>
      <c r="G20" s="1" t="s">
        <v>16874</v>
      </c>
      <c r="H20" s="68"/>
      <c r="I20" s="70"/>
      <c r="J20" s="67"/>
      <c r="K20" s="68"/>
      <c r="L20" s="76"/>
      <c r="M20" s="83" t="s">
        <v>5895</v>
      </c>
      <c r="N20" s="64" t="s">
        <v>1</v>
      </c>
      <c r="O20" s="65">
        <v>1</v>
      </c>
      <c r="P20" s="99"/>
      <c r="Q20" s="70"/>
      <c r="R20" s="66"/>
      <c r="S20" s="57"/>
      <c r="T20" s="58"/>
      <c r="U20" s="77"/>
      <c r="V20" s="67"/>
      <c r="W20" s="68"/>
      <c r="X20" s="76"/>
      <c r="Y20" s="70"/>
      <c r="Z20" s="228">
        <f>+ROUND((ROUND((ROUND((_15_同援日０．５＿１．０*_15・通訳),0)*_15・２人),0)*(1+_15・B深夜)),0)</f>
        <v>320</v>
      </c>
      <c r="AA20" s="69"/>
    </row>
    <row r="21" spans="1:27" ht="16.5" customHeight="1" x14ac:dyDescent="0.3">
      <c r="A21" s="2">
        <v>15</v>
      </c>
      <c r="B21" s="2" t="s">
        <v>4461</v>
      </c>
      <c r="C21" s="83" t="s">
        <v>15031</v>
      </c>
      <c r="D21" s="103"/>
      <c r="E21" s="82"/>
      <c r="F21" s="103"/>
      <c r="G21" s="1" t="s">
        <v>8572</v>
      </c>
      <c r="H21" s="68"/>
      <c r="I21" s="70"/>
      <c r="J21" s="67"/>
      <c r="K21" s="68"/>
      <c r="L21" s="76"/>
      <c r="M21" s="85"/>
      <c r="N21" s="64"/>
      <c r="O21" s="65"/>
      <c r="P21" s="99"/>
      <c r="Q21" s="70"/>
      <c r="R21" s="74" t="s">
        <v>17969</v>
      </c>
      <c r="S21" s="62"/>
      <c r="T21" s="63"/>
      <c r="U21" s="75"/>
      <c r="V21" s="67"/>
      <c r="W21" s="68"/>
      <c r="X21" s="76"/>
      <c r="Y21" s="70"/>
      <c r="Z21" s="228">
        <f>+ROUND((ROUND((ROUND((_15_同援日０．５＿１．０*_15・通訳),0)*(1+_15・B深夜)),0)*(1+_15・盲ろう)),0)</f>
        <v>400</v>
      </c>
      <c r="AA21" s="69"/>
    </row>
    <row r="22" spans="1:27" ht="16.5" customHeight="1" x14ac:dyDescent="0.3">
      <c r="A22" s="2">
        <v>15</v>
      </c>
      <c r="B22" s="2" t="s">
        <v>4462</v>
      </c>
      <c r="C22" s="83" t="s">
        <v>15030</v>
      </c>
      <c r="D22" s="103"/>
      <c r="E22" s="82"/>
      <c r="F22" s="103"/>
      <c r="G22" s="1"/>
      <c r="H22" s="227">
        <v>237</v>
      </c>
      <c r="I22" s="70" t="s">
        <v>0</v>
      </c>
      <c r="J22" s="67"/>
      <c r="K22" s="68"/>
      <c r="L22" s="76"/>
      <c r="M22" s="83" t="s">
        <v>5895</v>
      </c>
      <c r="N22" s="64" t="s">
        <v>1</v>
      </c>
      <c r="O22" s="65">
        <v>1</v>
      </c>
      <c r="P22" s="99"/>
      <c r="Q22" s="70"/>
      <c r="R22" s="106" t="s">
        <v>17968</v>
      </c>
      <c r="S22" s="57" t="s">
        <v>1</v>
      </c>
      <c r="T22" s="58">
        <v>0.25</v>
      </c>
      <c r="U22" s="77" t="s">
        <v>422</v>
      </c>
      <c r="V22" s="66"/>
      <c r="W22" s="57"/>
      <c r="X22" s="58"/>
      <c r="Y22" s="77"/>
      <c r="Z22" s="228">
        <f>+ROUND((ROUND((ROUND((ROUND((_15_同援日０．５＿１．０*_15・通訳),0)*_15・２人),0)*(1+_15・B深夜)),0)*(1+_15・盲ろう)),0)</f>
        <v>400</v>
      </c>
      <c r="AA22" s="69"/>
    </row>
    <row r="23" spans="1:27" ht="16.5" customHeight="1" x14ac:dyDescent="0.3">
      <c r="A23" s="2">
        <v>15</v>
      </c>
      <c r="B23" s="2" t="s">
        <v>4463</v>
      </c>
      <c r="C23" s="83" t="s">
        <v>15029</v>
      </c>
      <c r="D23" s="103"/>
      <c r="E23" s="82"/>
      <c r="F23" s="103"/>
      <c r="G23" s="1"/>
      <c r="H23" s="68"/>
      <c r="I23" s="70"/>
      <c r="J23" s="67"/>
      <c r="K23" s="68"/>
      <c r="L23" s="76"/>
      <c r="M23" s="85"/>
      <c r="N23" s="64"/>
      <c r="O23" s="65"/>
      <c r="P23" s="99"/>
      <c r="Q23" s="70"/>
      <c r="R23" s="61"/>
      <c r="S23" s="62"/>
      <c r="T23" s="63"/>
      <c r="U23" s="75"/>
      <c r="V23" s="74" t="s">
        <v>17974</v>
      </c>
      <c r="W23" s="62"/>
      <c r="X23" s="63"/>
      <c r="Y23" s="75"/>
      <c r="Z23" s="228">
        <f>+ROUND((ROUND((ROUND((_15_同援日０．５＿１．０*_15・通訳),0)*(1+_15・B深夜)),0)*(1+_15・区３)),0)</f>
        <v>384</v>
      </c>
      <c r="AA23" s="69"/>
    </row>
    <row r="24" spans="1:27" ht="16.5" customHeight="1" x14ac:dyDescent="0.3">
      <c r="A24" s="2">
        <v>15</v>
      </c>
      <c r="B24" s="2" t="s">
        <v>4464</v>
      </c>
      <c r="C24" s="83" t="s">
        <v>15028</v>
      </c>
      <c r="D24" s="103"/>
      <c r="E24" s="82"/>
      <c r="F24" s="103"/>
      <c r="G24" s="1"/>
      <c r="H24" s="68"/>
      <c r="I24" s="70"/>
      <c r="J24" s="67"/>
      <c r="K24" s="68"/>
      <c r="L24" s="76"/>
      <c r="M24" s="83" t="s">
        <v>5895</v>
      </c>
      <c r="N24" s="64" t="s">
        <v>1</v>
      </c>
      <c r="O24" s="65">
        <v>1</v>
      </c>
      <c r="P24" s="99"/>
      <c r="Q24" s="70"/>
      <c r="R24" s="66"/>
      <c r="S24" s="57"/>
      <c r="T24" s="58"/>
      <c r="U24" s="77"/>
      <c r="V24" s="94" t="s">
        <v>17970</v>
      </c>
      <c r="W24" s="68"/>
      <c r="X24" s="76"/>
      <c r="Y24" s="70"/>
      <c r="Z24" s="228">
        <f>+ROUND((ROUND((ROUND((ROUND((_15_同援日０．５＿１．０*_15・通訳),0)*_15・２人),0)*(1+_15・B深夜)),0)*(1+_15・区３)),0)</f>
        <v>384</v>
      </c>
      <c r="AA24" s="69"/>
    </row>
    <row r="25" spans="1:27" ht="16.5" customHeight="1" x14ac:dyDescent="0.3">
      <c r="A25" s="2">
        <v>15</v>
      </c>
      <c r="B25" s="2" t="s">
        <v>4465</v>
      </c>
      <c r="C25" s="83" t="s">
        <v>15027</v>
      </c>
      <c r="D25" s="103"/>
      <c r="E25" s="82"/>
      <c r="F25" s="103"/>
      <c r="G25" s="1"/>
      <c r="H25" s="68"/>
      <c r="I25" s="70"/>
      <c r="J25" s="67"/>
      <c r="K25" s="68"/>
      <c r="L25" s="76"/>
      <c r="M25" s="85"/>
      <c r="N25" s="64"/>
      <c r="O25" s="65"/>
      <c r="P25" s="99"/>
      <c r="Q25" s="70"/>
      <c r="R25" s="74" t="s">
        <v>17969</v>
      </c>
      <c r="S25" s="62"/>
      <c r="T25" s="63"/>
      <c r="U25" s="75"/>
      <c r="V25" s="67"/>
      <c r="W25" s="68" t="s">
        <v>1</v>
      </c>
      <c r="X25" s="76">
        <v>0.2</v>
      </c>
      <c r="Y25" s="70" t="s">
        <v>422</v>
      </c>
      <c r="Z25" s="228">
        <f>+ROUND((ROUND((ROUND((ROUND((_15_同援日０．５＿１．０*_15・通訳),0)*(1+_15・B深夜)),0)*(1+_15・盲ろう)),0)*(1+_15・区３)),0)</f>
        <v>480</v>
      </c>
      <c r="AA25" s="69"/>
    </row>
    <row r="26" spans="1:27" ht="16.5" customHeight="1" x14ac:dyDescent="0.3">
      <c r="A26" s="2">
        <v>15</v>
      </c>
      <c r="B26" s="2" t="s">
        <v>4466</v>
      </c>
      <c r="C26" s="83" t="s">
        <v>15026</v>
      </c>
      <c r="D26" s="103"/>
      <c r="E26" s="82"/>
      <c r="F26" s="103"/>
      <c r="G26" s="1"/>
      <c r="H26" s="68"/>
      <c r="I26" s="70"/>
      <c r="J26" s="67"/>
      <c r="K26" s="68"/>
      <c r="L26" s="76"/>
      <c r="M26" s="83" t="s">
        <v>5895</v>
      </c>
      <c r="N26" s="64" t="s">
        <v>1</v>
      </c>
      <c r="O26" s="65">
        <v>1</v>
      </c>
      <c r="P26" s="99"/>
      <c r="Q26" s="70"/>
      <c r="R26" s="106" t="s">
        <v>17968</v>
      </c>
      <c r="S26" s="57" t="s">
        <v>1</v>
      </c>
      <c r="T26" s="58">
        <v>0.25</v>
      </c>
      <c r="U26" s="77" t="s">
        <v>422</v>
      </c>
      <c r="V26" s="66"/>
      <c r="W26" s="57"/>
      <c r="X26" s="58"/>
      <c r="Y26" s="77"/>
      <c r="Z26" s="228">
        <f>+ROUND((ROUND((ROUND((ROUND((ROUND((_15_同援日０．５＿１．０*_15・通訳),0)*_15・２人),0)*(1+_15・B深夜)),0)*(1+_15・盲ろう)),0)*(1+_15・区３)),0)</f>
        <v>480</v>
      </c>
      <c r="AA26" s="69"/>
    </row>
    <row r="27" spans="1:27" ht="16.5" customHeight="1" x14ac:dyDescent="0.3">
      <c r="A27" s="2">
        <v>15</v>
      </c>
      <c r="B27" s="2" t="s">
        <v>4467</v>
      </c>
      <c r="C27" s="83" t="s">
        <v>15025</v>
      </c>
      <c r="D27" s="103"/>
      <c r="E27" s="82"/>
      <c r="F27" s="103"/>
      <c r="G27" s="1"/>
      <c r="H27" s="68"/>
      <c r="I27" s="70"/>
      <c r="J27" s="67"/>
      <c r="K27" s="68"/>
      <c r="L27" s="76"/>
      <c r="M27" s="85"/>
      <c r="N27" s="64"/>
      <c r="O27" s="65"/>
      <c r="P27" s="99"/>
      <c r="Q27" s="70"/>
      <c r="R27" s="61"/>
      <c r="S27" s="62"/>
      <c r="T27" s="63"/>
      <c r="U27" s="75"/>
      <c r="V27" s="74" t="s">
        <v>17971</v>
      </c>
      <c r="W27" s="62"/>
      <c r="X27" s="63"/>
      <c r="Y27" s="75"/>
      <c r="Z27" s="228">
        <f>+ROUND((ROUND((ROUND((_15_同援日０．５＿１．０*_15・通訳),0)*(1+_15・B深夜)),0)*(1+_15・区４)),0)</f>
        <v>448</v>
      </c>
      <c r="AA27" s="69"/>
    </row>
    <row r="28" spans="1:27" ht="16.5" customHeight="1" x14ac:dyDescent="0.3">
      <c r="A28" s="2">
        <v>15</v>
      </c>
      <c r="B28" s="2" t="s">
        <v>4468</v>
      </c>
      <c r="C28" s="83" t="s">
        <v>15024</v>
      </c>
      <c r="D28" s="103"/>
      <c r="E28" s="82"/>
      <c r="F28" s="103"/>
      <c r="G28" s="1"/>
      <c r="H28" s="68"/>
      <c r="I28" s="70"/>
      <c r="J28" s="67"/>
      <c r="K28" s="68"/>
      <c r="L28" s="76"/>
      <c r="M28" s="83" t="s">
        <v>5895</v>
      </c>
      <c r="N28" s="64" t="s">
        <v>1</v>
      </c>
      <c r="O28" s="65">
        <v>1</v>
      </c>
      <c r="P28" s="99"/>
      <c r="Q28" s="70"/>
      <c r="R28" s="66"/>
      <c r="S28" s="57"/>
      <c r="T28" s="58"/>
      <c r="U28" s="77"/>
      <c r="V28" s="94" t="s">
        <v>18084</v>
      </c>
      <c r="W28" s="68"/>
      <c r="X28" s="76"/>
      <c r="Y28" s="70"/>
      <c r="Z28" s="228">
        <f>+ROUND((ROUND((ROUND((ROUND((_15_同援日０．５＿１．０*_15・通訳),0)*_15・２人),0)*(1+_15・B深夜)),0)*(1+_15・区４)),0)</f>
        <v>448</v>
      </c>
      <c r="AA28" s="69"/>
    </row>
    <row r="29" spans="1:27" ht="16.5" customHeight="1" x14ac:dyDescent="0.3">
      <c r="A29" s="2">
        <v>15</v>
      </c>
      <c r="B29" s="2" t="s">
        <v>4469</v>
      </c>
      <c r="C29" s="83" t="s">
        <v>15023</v>
      </c>
      <c r="D29" s="103"/>
      <c r="E29" s="82"/>
      <c r="F29" s="103"/>
      <c r="G29" s="1"/>
      <c r="H29" s="68"/>
      <c r="I29" s="70"/>
      <c r="J29" s="67"/>
      <c r="K29" s="68"/>
      <c r="L29" s="76"/>
      <c r="M29" s="85"/>
      <c r="N29" s="64"/>
      <c r="O29" s="65"/>
      <c r="P29" s="99"/>
      <c r="Q29" s="70"/>
      <c r="R29" s="74" t="s">
        <v>17969</v>
      </c>
      <c r="S29" s="62"/>
      <c r="T29" s="63"/>
      <c r="U29" s="75"/>
      <c r="V29" s="67"/>
      <c r="W29" s="68" t="s">
        <v>1</v>
      </c>
      <c r="X29" s="76">
        <v>0.4</v>
      </c>
      <c r="Y29" s="70" t="s">
        <v>422</v>
      </c>
      <c r="Z29" s="228">
        <f>+ROUND((ROUND((ROUND((ROUND((_15_同援日０．５＿１．０*_15・通訳),0)*(1+_15・B深夜)),0)*(1+_15・盲ろう)),0)*(1+_15・区４)),0)</f>
        <v>560</v>
      </c>
      <c r="AA29" s="69"/>
    </row>
    <row r="30" spans="1:27" ht="16.5" customHeight="1" x14ac:dyDescent="0.3">
      <c r="A30" s="2">
        <v>15</v>
      </c>
      <c r="B30" s="2" t="s">
        <v>4470</v>
      </c>
      <c r="C30" s="83" t="s">
        <v>15022</v>
      </c>
      <c r="D30" s="103"/>
      <c r="E30" s="82"/>
      <c r="F30" s="103"/>
      <c r="G30" s="81"/>
      <c r="H30" s="57"/>
      <c r="I30" s="77"/>
      <c r="J30" s="67"/>
      <c r="K30" s="68"/>
      <c r="L30" s="76"/>
      <c r="M30" s="83" t="s">
        <v>5895</v>
      </c>
      <c r="N30" s="64" t="s">
        <v>1</v>
      </c>
      <c r="O30" s="65">
        <v>1</v>
      </c>
      <c r="P30" s="99"/>
      <c r="Q30" s="70"/>
      <c r="R30" s="106" t="s">
        <v>18086</v>
      </c>
      <c r="S30" s="57" t="s">
        <v>1</v>
      </c>
      <c r="T30" s="58">
        <v>0.25</v>
      </c>
      <c r="U30" s="77" t="s">
        <v>422</v>
      </c>
      <c r="V30" s="66"/>
      <c r="W30" s="57"/>
      <c r="X30" s="58"/>
      <c r="Y30" s="77"/>
      <c r="Z30" s="228">
        <f>+ROUND((ROUND((ROUND((ROUND((ROUND((_15_同援日０．５＿１．０*_15・通訳),0)*_15・２人),0)*(1+_15・B深夜)),0)*(1+_15・盲ろう)),0)*(1+_15・区４)),0)</f>
        <v>560</v>
      </c>
      <c r="AA30" s="69"/>
    </row>
    <row r="31" spans="1:27" ht="16.5" customHeight="1" x14ac:dyDescent="0.3">
      <c r="A31" s="2">
        <v>15</v>
      </c>
      <c r="B31" s="2" t="s">
        <v>4471</v>
      </c>
      <c r="C31" s="83" t="s">
        <v>15021</v>
      </c>
      <c r="D31" s="103"/>
      <c r="E31" s="82"/>
      <c r="F31" s="103"/>
      <c r="G31" s="233" t="s">
        <v>16958</v>
      </c>
      <c r="H31" s="62"/>
      <c r="I31" s="75"/>
      <c r="J31" s="67"/>
      <c r="K31" s="68"/>
      <c r="L31" s="76"/>
      <c r="M31" s="85"/>
      <c r="N31" s="64"/>
      <c r="O31" s="65"/>
      <c r="P31" s="99"/>
      <c r="Q31" s="70"/>
      <c r="R31" s="61"/>
      <c r="S31" s="62"/>
      <c r="T31" s="63"/>
      <c r="U31" s="75"/>
      <c r="V31" s="61"/>
      <c r="W31" s="62"/>
      <c r="X31" s="63"/>
      <c r="Y31" s="75"/>
      <c r="Z31" s="228">
        <f>+ROUND((ROUND((_15_同援日０．５＿１．５*_15・通訳),0)*(1+_15・B深夜)),0)</f>
        <v>407</v>
      </c>
      <c r="AA31" s="69"/>
    </row>
    <row r="32" spans="1:27" ht="16.5" customHeight="1" x14ac:dyDescent="0.3">
      <c r="A32" s="2">
        <v>15</v>
      </c>
      <c r="B32" s="2" t="s">
        <v>4472</v>
      </c>
      <c r="C32" s="83" t="s">
        <v>15020</v>
      </c>
      <c r="D32" s="103"/>
      <c r="E32" s="82"/>
      <c r="F32" s="103"/>
      <c r="G32" s="1" t="s">
        <v>16871</v>
      </c>
      <c r="H32" s="68"/>
      <c r="I32" s="70"/>
      <c r="J32" s="67"/>
      <c r="K32" s="68"/>
      <c r="L32" s="76"/>
      <c r="M32" s="83" t="s">
        <v>5895</v>
      </c>
      <c r="N32" s="64" t="s">
        <v>1</v>
      </c>
      <c r="O32" s="65">
        <v>1</v>
      </c>
      <c r="P32" s="99"/>
      <c r="Q32" s="70"/>
      <c r="R32" s="66"/>
      <c r="S32" s="57"/>
      <c r="T32" s="58"/>
      <c r="U32" s="77"/>
      <c r="V32" s="67"/>
      <c r="W32" s="68"/>
      <c r="X32" s="76"/>
      <c r="Y32" s="70"/>
      <c r="Z32" s="228">
        <f>+ROUND((ROUND((ROUND((_15_同援日０．５＿１．５*_15・通訳),0)*_15・２人),0)*(1+_15・B深夜)),0)</f>
        <v>407</v>
      </c>
      <c r="AA32" s="69"/>
    </row>
    <row r="33" spans="1:27" ht="16.5" customHeight="1" x14ac:dyDescent="0.3">
      <c r="A33" s="2">
        <v>15</v>
      </c>
      <c r="B33" s="2" t="s">
        <v>4473</v>
      </c>
      <c r="C33" s="83" t="s">
        <v>15019</v>
      </c>
      <c r="D33" s="103"/>
      <c r="E33" s="82"/>
      <c r="F33" s="103"/>
      <c r="G33" s="1" t="s">
        <v>8767</v>
      </c>
      <c r="H33" s="68"/>
      <c r="I33" s="70"/>
      <c r="J33" s="67"/>
      <c r="K33" s="68"/>
      <c r="L33" s="76"/>
      <c r="M33" s="85"/>
      <c r="N33" s="64"/>
      <c r="O33" s="65"/>
      <c r="P33" s="99"/>
      <c r="Q33" s="70"/>
      <c r="R33" s="74" t="s">
        <v>17969</v>
      </c>
      <c r="S33" s="62"/>
      <c r="T33" s="63"/>
      <c r="U33" s="75"/>
      <c r="V33" s="67"/>
      <c r="W33" s="68"/>
      <c r="X33" s="76"/>
      <c r="Y33" s="70"/>
      <c r="Z33" s="228">
        <f>+ROUND((ROUND((ROUND((_15_同援日０．５＿１．５*_15・通訳),0)*(1+_15・B深夜)),0)*(1+_15・盲ろう)),0)</f>
        <v>509</v>
      </c>
      <c r="AA33" s="69"/>
    </row>
    <row r="34" spans="1:27" ht="16.5" customHeight="1" x14ac:dyDescent="0.3">
      <c r="A34" s="2">
        <v>15</v>
      </c>
      <c r="B34" s="2" t="s">
        <v>4474</v>
      </c>
      <c r="C34" s="83" t="s">
        <v>15018</v>
      </c>
      <c r="D34" s="103"/>
      <c r="E34" s="82"/>
      <c r="F34" s="103"/>
      <c r="G34" s="1"/>
      <c r="H34" s="227">
        <v>301</v>
      </c>
      <c r="I34" s="70" t="s">
        <v>0</v>
      </c>
      <c r="J34" s="67"/>
      <c r="K34" s="68"/>
      <c r="L34" s="76"/>
      <c r="M34" s="83" t="s">
        <v>5895</v>
      </c>
      <c r="N34" s="64" t="s">
        <v>1</v>
      </c>
      <c r="O34" s="65">
        <v>1</v>
      </c>
      <c r="P34" s="99"/>
      <c r="Q34" s="70"/>
      <c r="R34" s="106" t="s">
        <v>17968</v>
      </c>
      <c r="S34" s="57" t="s">
        <v>1</v>
      </c>
      <c r="T34" s="58">
        <v>0.25</v>
      </c>
      <c r="U34" s="77" t="s">
        <v>422</v>
      </c>
      <c r="V34" s="66"/>
      <c r="W34" s="57"/>
      <c r="X34" s="58"/>
      <c r="Y34" s="77"/>
      <c r="Z34" s="228">
        <f>+ROUND((ROUND((ROUND((ROUND((_15_同援日０．５＿１．５*_15・通訳),0)*_15・２人),0)*(1+_15・B深夜)),0)*(1+_15・盲ろう)),0)</f>
        <v>509</v>
      </c>
      <c r="AA34" s="69"/>
    </row>
    <row r="35" spans="1:27" ht="16.5" customHeight="1" x14ac:dyDescent="0.3">
      <c r="A35" s="2">
        <v>15</v>
      </c>
      <c r="B35" s="2" t="s">
        <v>4475</v>
      </c>
      <c r="C35" s="83" t="s">
        <v>15017</v>
      </c>
      <c r="D35" s="103"/>
      <c r="E35" s="82"/>
      <c r="F35" s="103"/>
      <c r="G35" s="1"/>
      <c r="H35" s="68"/>
      <c r="I35" s="70"/>
      <c r="J35" s="67"/>
      <c r="K35" s="68"/>
      <c r="L35" s="76"/>
      <c r="M35" s="85"/>
      <c r="N35" s="64"/>
      <c r="O35" s="65"/>
      <c r="P35" s="99"/>
      <c r="Q35" s="70"/>
      <c r="R35" s="61"/>
      <c r="S35" s="62"/>
      <c r="T35" s="63"/>
      <c r="U35" s="75"/>
      <c r="V35" s="74" t="s">
        <v>18089</v>
      </c>
      <c r="W35" s="62"/>
      <c r="X35" s="63"/>
      <c r="Y35" s="75"/>
      <c r="Z35" s="228">
        <f>+ROUND((ROUND((ROUND((_15_同援日０．５＿１．５*_15・通訳),0)*(1+_15・B深夜)),0)*(1+_15・区３)),0)</f>
        <v>488</v>
      </c>
      <c r="AA35" s="69"/>
    </row>
    <row r="36" spans="1:27" ht="16.5" customHeight="1" x14ac:dyDescent="0.3">
      <c r="A36" s="2">
        <v>15</v>
      </c>
      <c r="B36" s="2" t="s">
        <v>4476</v>
      </c>
      <c r="C36" s="83" t="s">
        <v>15016</v>
      </c>
      <c r="D36" s="103"/>
      <c r="E36" s="82"/>
      <c r="F36" s="103"/>
      <c r="G36" s="1"/>
      <c r="H36" s="68"/>
      <c r="I36" s="70"/>
      <c r="J36" s="67"/>
      <c r="K36" s="68"/>
      <c r="L36" s="76"/>
      <c r="M36" s="83" t="s">
        <v>5895</v>
      </c>
      <c r="N36" s="64" t="s">
        <v>1</v>
      </c>
      <c r="O36" s="65">
        <v>1</v>
      </c>
      <c r="P36" s="99"/>
      <c r="Q36" s="70"/>
      <c r="R36" s="66"/>
      <c r="S36" s="57"/>
      <c r="T36" s="58"/>
      <c r="U36" s="77"/>
      <c r="V36" s="94" t="s">
        <v>17970</v>
      </c>
      <c r="W36" s="68"/>
      <c r="X36" s="76"/>
      <c r="Y36" s="70"/>
      <c r="Z36" s="228">
        <f>+ROUND((ROUND((ROUND((ROUND((_15_同援日０．５＿１．５*_15・通訳),0)*_15・２人),0)*(1+_15・B深夜)),0)*(1+_15・区３)),0)</f>
        <v>488</v>
      </c>
      <c r="AA36" s="69"/>
    </row>
    <row r="37" spans="1:27" ht="16.5" customHeight="1" x14ac:dyDescent="0.3">
      <c r="A37" s="2">
        <v>15</v>
      </c>
      <c r="B37" s="2" t="s">
        <v>4477</v>
      </c>
      <c r="C37" s="83" t="s">
        <v>15015</v>
      </c>
      <c r="D37" s="103"/>
      <c r="E37" s="82"/>
      <c r="F37" s="103"/>
      <c r="G37" s="1"/>
      <c r="H37" s="68"/>
      <c r="I37" s="70"/>
      <c r="J37" s="67"/>
      <c r="K37" s="68"/>
      <c r="L37" s="76"/>
      <c r="M37" s="85"/>
      <c r="N37" s="64"/>
      <c r="O37" s="65"/>
      <c r="P37" s="99"/>
      <c r="Q37" s="70"/>
      <c r="R37" s="74" t="s">
        <v>18087</v>
      </c>
      <c r="S37" s="62"/>
      <c r="T37" s="63"/>
      <c r="U37" s="75"/>
      <c r="V37" s="67"/>
      <c r="W37" s="68" t="s">
        <v>1</v>
      </c>
      <c r="X37" s="76">
        <v>0.2</v>
      </c>
      <c r="Y37" s="70" t="s">
        <v>422</v>
      </c>
      <c r="Z37" s="228">
        <f>+ROUND((ROUND((ROUND((ROUND((_15_同援日０．５＿１．５*_15・通訳),0)*(1+_15・B深夜)),0)*(1+_15・盲ろう)),0)*(1+_15・区３)),0)</f>
        <v>611</v>
      </c>
      <c r="AA37" s="69"/>
    </row>
    <row r="38" spans="1:27" ht="16.5" customHeight="1" x14ac:dyDescent="0.3">
      <c r="A38" s="2">
        <v>15</v>
      </c>
      <c r="B38" s="2" t="s">
        <v>4478</v>
      </c>
      <c r="C38" s="83" t="s">
        <v>15014</v>
      </c>
      <c r="D38" s="103"/>
      <c r="E38" s="82"/>
      <c r="F38" s="103"/>
      <c r="G38" s="1"/>
      <c r="H38" s="68"/>
      <c r="I38" s="70"/>
      <c r="J38" s="67"/>
      <c r="K38" s="68"/>
      <c r="L38" s="76"/>
      <c r="M38" s="83" t="s">
        <v>5895</v>
      </c>
      <c r="N38" s="64" t="s">
        <v>1</v>
      </c>
      <c r="O38" s="65">
        <v>1</v>
      </c>
      <c r="P38" s="99"/>
      <c r="Q38" s="70"/>
      <c r="R38" s="106" t="s">
        <v>17968</v>
      </c>
      <c r="S38" s="57" t="s">
        <v>1</v>
      </c>
      <c r="T38" s="58">
        <v>0.25</v>
      </c>
      <c r="U38" s="77" t="s">
        <v>422</v>
      </c>
      <c r="V38" s="66"/>
      <c r="W38" s="57"/>
      <c r="X38" s="58"/>
      <c r="Y38" s="77"/>
      <c r="Z38" s="228">
        <f>+ROUND((ROUND((ROUND((ROUND((ROUND((_15_同援日０．５＿１．５*_15・通訳),0)*_15・２人),0)*(1+_15・B深夜)),0)*(1+_15・盲ろう)),0)*(1+_15・区３)),0)</f>
        <v>611</v>
      </c>
      <c r="AA38" s="69"/>
    </row>
    <row r="39" spans="1:27" ht="16.5" customHeight="1" x14ac:dyDescent="0.3">
      <c r="A39" s="2">
        <v>15</v>
      </c>
      <c r="B39" s="2" t="s">
        <v>4479</v>
      </c>
      <c r="C39" s="83" t="s">
        <v>15013</v>
      </c>
      <c r="D39" s="103"/>
      <c r="E39" s="82"/>
      <c r="F39" s="103"/>
      <c r="G39" s="1"/>
      <c r="H39" s="68"/>
      <c r="I39" s="70"/>
      <c r="J39" s="67"/>
      <c r="K39" s="68"/>
      <c r="L39" s="76"/>
      <c r="M39" s="85"/>
      <c r="N39" s="64"/>
      <c r="O39" s="65"/>
      <c r="P39" s="99"/>
      <c r="Q39" s="70"/>
      <c r="R39" s="61"/>
      <c r="S39" s="62"/>
      <c r="T39" s="63"/>
      <c r="U39" s="75"/>
      <c r="V39" s="74" t="s">
        <v>18094</v>
      </c>
      <c r="W39" s="62"/>
      <c r="X39" s="63"/>
      <c r="Y39" s="75"/>
      <c r="Z39" s="228">
        <f>+ROUND((ROUND((ROUND((_15_同援日０．５＿１．５*_15・通訳),0)*(1+_15・B深夜)),0)*(1+_15・区４)),0)</f>
        <v>570</v>
      </c>
      <c r="AA39" s="69"/>
    </row>
    <row r="40" spans="1:27" ht="16.5" customHeight="1" x14ac:dyDescent="0.3">
      <c r="A40" s="2">
        <v>15</v>
      </c>
      <c r="B40" s="2" t="s">
        <v>4480</v>
      </c>
      <c r="C40" s="83" t="s">
        <v>15012</v>
      </c>
      <c r="D40" s="103"/>
      <c r="E40" s="82"/>
      <c r="F40" s="103"/>
      <c r="G40" s="1"/>
      <c r="H40" s="68"/>
      <c r="I40" s="70"/>
      <c r="J40" s="67"/>
      <c r="K40" s="68"/>
      <c r="L40" s="76"/>
      <c r="M40" s="83" t="s">
        <v>5895</v>
      </c>
      <c r="N40" s="64" t="s">
        <v>1</v>
      </c>
      <c r="O40" s="65">
        <v>1</v>
      </c>
      <c r="P40" s="99"/>
      <c r="Q40" s="70"/>
      <c r="R40" s="66"/>
      <c r="S40" s="57"/>
      <c r="T40" s="58"/>
      <c r="U40" s="77"/>
      <c r="V40" s="94" t="s">
        <v>17970</v>
      </c>
      <c r="W40" s="68"/>
      <c r="X40" s="76"/>
      <c r="Y40" s="70"/>
      <c r="Z40" s="228">
        <f>+ROUND((ROUND((ROUND((ROUND((_15_同援日０．５＿１．５*_15・通訳),0)*_15・２人),0)*(1+_15・B深夜)),0)*(1+_15・区４)),0)</f>
        <v>570</v>
      </c>
      <c r="AA40" s="69"/>
    </row>
    <row r="41" spans="1:27" ht="16.5" customHeight="1" x14ac:dyDescent="0.3">
      <c r="A41" s="2">
        <v>15</v>
      </c>
      <c r="B41" s="2" t="s">
        <v>4481</v>
      </c>
      <c r="C41" s="83" t="s">
        <v>15011</v>
      </c>
      <c r="D41" s="103"/>
      <c r="E41" s="82"/>
      <c r="F41" s="103"/>
      <c r="G41" s="1"/>
      <c r="H41" s="68"/>
      <c r="I41" s="70"/>
      <c r="J41" s="67"/>
      <c r="K41" s="68"/>
      <c r="L41" s="76"/>
      <c r="M41" s="85"/>
      <c r="N41" s="64"/>
      <c r="O41" s="65"/>
      <c r="P41" s="99"/>
      <c r="Q41" s="70"/>
      <c r="R41" s="74" t="s">
        <v>17969</v>
      </c>
      <c r="S41" s="62"/>
      <c r="T41" s="63"/>
      <c r="U41" s="75"/>
      <c r="V41" s="67"/>
      <c r="W41" s="68" t="s">
        <v>1</v>
      </c>
      <c r="X41" s="76">
        <v>0.4</v>
      </c>
      <c r="Y41" s="70" t="s">
        <v>422</v>
      </c>
      <c r="Z41" s="228">
        <f>+ROUND((ROUND((ROUND((ROUND((_15_同援日０．５＿１．５*_15・通訳),0)*(1+_15・B深夜)),0)*(1+_15・盲ろう)),0)*(1+_15・区４)),0)</f>
        <v>713</v>
      </c>
      <c r="AA41" s="69"/>
    </row>
    <row r="42" spans="1:27" ht="16.5" customHeight="1" x14ac:dyDescent="0.3">
      <c r="A42" s="2">
        <v>15</v>
      </c>
      <c r="B42" s="2" t="s">
        <v>4482</v>
      </c>
      <c r="C42" s="83" t="s">
        <v>15010</v>
      </c>
      <c r="D42" s="103"/>
      <c r="E42" s="82"/>
      <c r="F42" s="103"/>
      <c r="G42" s="81"/>
      <c r="H42" s="57"/>
      <c r="I42" s="77"/>
      <c r="J42" s="67"/>
      <c r="K42" s="68"/>
      <c r="L42" s="76"/>
      <c r="M42" s="83" t="s">
        <v>5895</v>
      </c>
      <c r="N42" s="64" t="s">
        <v>1</v>
      </c>
      <c r="O42" s="65">
        <v>1</v>
      </c>
      <c r="P42" s="99"/>
      <c r="Q42" s="70"/>
      <c r="R42" s="106" t="s">
        <v>17968</v>
      </c>
      <c r="S42" s="57" t="s">
        <v>1</v>
      </c>
      <c r="T42" s="58">
        <v>0.25</v>
      </c>
      <c r="U42" s="77" t="s">
        <v>422</v>
      </c>
      <c r="V42" s="66"/>
      <c r="W42" s="57"/>
      <c r="X42" s="58"/>
      <c r="Y42" s="77"/>
      <c r="Z42" s="228">
        <f>+ROUND((ROUND((ROUND((ROUND((ROUND((_15_同援日０．５＿１．５*_15・通訳),0)*_15・２人),0)*(1+_15・B深夜)),0)*(1+_15・盲ろう)),0)*(1+_15・区４)),0)</f>
        <v>713</v>
      </c>
      <c r="AA42" s="69"/>
    </row>
    <row r="43" spans="1:27" ht="16.5" customHeight="1" x14ac:dyDescent="0.3">
      <c r="A43" s="2">
        <v>15</v>
      </c>
      <c r="B43" s="2" t="s">
        <v>4483</v>
      </c>
      <c r="C43" s="83" t="s">
        <v>15009</v>
      </c>
      <c r="D43" s="103"/>
      <c r="E43" s="82"/>
      <c r="F43" s="103"/>
      <c r="G43" s="233" t="s">
        <v>6111</v>
      </c>
      <c r="H43" s="62"/>
      <c r="I43" s="75"/>
      <c r="J43" s="67"/>
      <c r="K43" s="68"/>
      <c r="L43" s="76"/>
      <c r="M43" s="85"/>
      <c r="N43" s="64"/>
      <c r="O43" s="65"/>
      <c r="P43" s="99"/>
      <c r="Q43" s="70"/>
      <c r="R43" s="61"/>
      <c r="S43" s="62"/>
      <c r="T43" s="63"/>
      <c r="U43" s="75"/>
      <c r="V43" s="61"/>
      <c r="W43" s="62"/>
      <c r="X43" s="63"/>
      <c r="Y43" s="75"/>
      <c r="Z43" s="228">
        <f>+ROUND((ROUND((_15_同援日０．５＿２．０*_15・通訳),0)*(1+_15・B深夜)),0)</f>
        <v>492</v>
      </c>
      <c r="AA43" s="69"/>
    </row>
    <row r="44" spans="1:27" ht="16.5" customHeight="1" x14ac:dyDescent="0.3">
      <c r="A44" s="2">
        <v>15</v>
      </c>
      <c r="B44" s="2" t="s">
        <v>4484</v>
      </c>
      <c r="C44" s="83" t="s">
        <v>15008</v>
      </c>
      <c r="D44" s="103"/>
      <c r="E44" s="82"/>
      <c r="F44" s="103"/>
      <c r="G44" s="1" t="s">
        <v>16868</v>
      </c>
      <c r="H44" s="68"/>
      <c r="I44" s="70"/>
      <c r="J44" s="67"/>
      <c r="K44" s="68"/>
      <c r="L44" s="76"/>
      <c r="M44" s="83" t="s">
        <v>5895</v>
      </c>
      <c r="N44" s="64" t="s">
        <v>1</v>
      </c>
      <c r="O44" s="65">
        <v>1</v>
      </c>
      <c r="P44" s="99"/>
      <c r="Q44" s="70"/>
      <c r="R44" s="66"/>
      <c r="S44" s="57"/>
      <c r="T44" s="58"/>
      <c r="U44" s="77"/>
      <c r="V44" s="67"/>
      <c r="W44" s="68"/>
      <c r="X44" s="76"/>
      <c r="Y44" s="70"/>
      <c r="Z44" s="228">
        <f>+ROUND((ROUND((ROUND((_15_同援日０．５＿２．０*_15・通訳),0)*_15・２人),0)*(1+_15・B深夜)),0)</f>
        <v>492</v>
      </c>
      <c r="AA44" s="69"/>
    </row>
    <row r="45" spans="1:27" ht="16.5" customHeight="1" x14ac:dyDescent="0.3">
      <c r="A45" s="2">
        <v>15</v>
      </c>
      <c r="B45" s="2" t="s">
        <v>4485</v>
      </c>
      <c r="C45" s="83" t="s">
        <v>15007</v>
      </c>
      <c r="D45" s="103"/>
      <c r="E45" s="82"/>
      <c r="F45" s="103"/>
      <c r="G45" s="1" t="s">
        <v>6448</v>
      </c>
      <c r="H45" s="68"/>
      <c r="I45" s="70"/>
      <c r="J45" s="67"/>
      <c r="K45" s="68"/>
      <c r="L45" s="76"/>
      <c r="M45" s="85"/>
      <c r="N45" s="64"/>
      <c r="O45" s="65"/>
      <c r="P45" s="99"/>
      <c r="Q45" s="70"/>
      <c r="R45" s="74" t="s">
        <v>17969</v>
      </c>
      <c r="S45" s="62"/>
      <c r="T45" s="63"/>
      <c r="U45" s="75"/>
      <c r="V45" s="67"/>
      <c r="W45" s="68"/>
      <c r="X45" s="76"/>
      <c r="Y45" s="70"/>
      <c r="Z45" s="228">
        <f>+ROUND((ROUND((ROUND((_15_同援日０．５＿２．０*_15・通訳),0)*(1+_15・B深夜)),0)*(1+_15・盲ろう)),0)</f>
        <v>615</v>
      </c>
      <c r="AA45" s="69"/>
    </row>
    <row r="46" spans="1:27" ht="16.5" customHeight="1" x14ac:dyDescent="0.3">
      <c r="A46" s="2">
        <v>15</v>
      </c>
      <c r="B46" s="2" t="s">
        <v>4486</v>
      </c>
      <c r="C46" s="83" t="s">
        <v>15006</v>
      </c>
      <c r="D46" s="103"/>
      <c r="E46" s="82"/>
      <c r="F46" s="103"/>
      <c r="G46" s="1"/>
      <c r="H46" s="227">
        <v>364</v>
      </c>
      <c r="I46" s="70" t="s">
        <v>0</v>
      </c>
      <c r="J46" s="67"/>
      <c r="K46" s="68"/>
      <c r="L46" s="76"/>
      <c r="M46" s="83" t="s">
        <v>5895</v>
      </c>
      <c r="N46" s="64" t="s">
        <v>1</v>
      </c>
      <c r="O46" s="65">
        <v>1</v>
      </c>
      <c r="P46" s="99"/>
      <c r="Q46" s="70"/>
      <c r="R46" s="106" t="s">
        <v>17968</v>
      </c>
      <c r="S46" s="57" t="s">
        <v>1</v>
      </c>
      <c r="T46" s="58">
        <v>0.25</v>
      </c>
      <c r="U46" s="77" t="s">
        <v>422</v>
      </c>
      <c r="V46" s="66"/>
      <c r="W46" s="57"/>
      <c r="X46" s="58"/>
      <c r="Y46" s="77"/>
      <c r="Z46" s="228">
        <f>+ROUND((ROUND((ROUND((ROUND((_15_同援日０．５＿２．０*_15・通訳),0)*_15・２人),0)*(1+_15・B深夜)),0)*(1+_15・盲ろう)),0)</f>
        <v>615</v>
      </c>
      <c r="AA46" s="69"/>
    </row>
    <row r="47" spans="1:27" ht="16.5" customHeight="1" x14ac:dyDescent="0.3">
      <c r="A47" s="2">
        <v>15</v>
      </c>
      <c r="B47" s="2" t="s">
        <v>4487</v>
      </c>
      <c r="C47" s="83" t="s">
        <v>15005</v>
      </c>
      <c r="D47" s="103"/>
      <c r="E47" s="82"/>
      <c r="F47" s="103"/>
      <c r="G47" s="1"/>
      <c r="H47" s="68"/>
      <c r="I47" s="70"/>
      <c r="J47" s="67"/>
      <c r="K47" s="68"/>
      <c r="L47" s="76"/>
      <c r="M47" s="85"/>
      <c r="N47" s="64"/>
      <c r="O47" s="65"/>
      <c r="P47" s="99"/>
      <c r="Q47" s="70"/>
      <c r="R47" s="61"/>
      <c r="S47" s="62"/>
      <c r="T47" s="63"/>
      <c r="U47" s="75"/>
      <c r="V47" s="74" t="s">
        <v>17974</v>
      </c>
      <c r="W47" s="62"/>
      <c r="X47" s="63"/>
      <c r="Y47" s="75"/>
      <c r="Z47" s="228">
        <f>+ROUND((ROUND((ROUND((_15_同援日０．５＿２．０*_15・通訳),0)*(1+_15・B深夜)),0)*(1+_15・区３)),0)</f>
        <v>590</v>
      </c>
      <c r="AA47" s="69"/>
    </row>
    <row r="48" spans="1:27" ht="16.5" customHeight="1" x14ac:dyDescent="0.3">
      <c r="A48" s="2">
        <v>15</v>
      </c>
      <c r="B48" s="2" t="s">
        <v>4488</v>
      </c>
      <c r="C48" s="83" t="s">
        <v>15004</v>
      </c>
      <c r="D48" s="103"/>
      <c r="E48" s="82"/>
      <c r="F48" s="103"/>
      <c r="G48" s="1"/>
      <c r="H48" s="68"/>
      <c r="I48" s="70"/>
      <c r="J48" s="67"/>
      <c r="K48" s="68"/>
      <c r="L48" s="76"/>
      <c r="M48" s="83" t="s">
        <v>5895</v>
      </c>
      <c r="N48" s="64" t="s">
        <v>1</v>
      </c>
      <c r="O48" s="65">
        <v>1</v>
      </c>
      <c r="P48" s="99"/>
      <c r="Q48" s="70"/>
      <c r="R48" s="66"/>
      <c r="S48" s="57"/>
      <c r="T48" s="58"/>
      <c r="U48" s="77"/>
      <c r="V48" s="94" t="s">
        <v>17970</v>
      </c>
      <c r="W48" s="68"/>
      <c r="X48" s="76"/>
      <c r="Y48" s="70"/>
      <c r="Z48" s="228">
        <f>+ROUND((ROUND((ROUND((ROUND((_15_同援日０．５＿２．０*_15・通訳),0)*_15・２人),0)*(1+_15・B深夜)),0)*(1+_15・区３)),0)</f>
        <v>590</v>
      </c>
      <c r="AA48" s="69"/>
    </row>
    <row r="49" spans="1:27" ht="16.5" customHeight="1" x14ac:dyDescent="0.3">
      <c r="A49" s="2">
        <v>15</v>
      </c>
      <c r="B49" s="2" t="s">
        <v>4489</v>
      </c>
      <c r="C49" s="83" t="s">
        <v>15003</v>
      </c>
      <c r="D49" s="103"/>
      <c r="E49" s="82"/>
      <c r="F49" s="103"/>
      <c r="G49" s="1"/>
      <c r="H49" s="68"/>
      <c r="I49" s="70"/>
      <c r="J49" s="67"/>
      <c r="K49" s="68"/>
      <c r="L49" s="76"/>
      <c r="M49" s="85"/>
      <c r="N49" s="64"/>
      <c r="O49" s="65"/>
      <c r="P49" s="99"/>
      <c r="Q49" s="70"/>
      <c r="R49" s="74" t="s">
        <v>17969</v>
      </c>
      <c r="S49" s="62"/>
      <c r="T49" s="63"/>
      <c r="U49" s="75"/>
      <c r="V49" s="67"/>
      <c r="W49" s="68" t="s">
        <v>1</v>
      </c>
      <c r="X49" s="76">
        <v>0.2</v>
      </c>
      <c r="Y49" s="70" t="s">
        <v>422</v>
      </c>
      <c r="Z49" s="228">
        <f>+ROUND((ROUND((ROUND((ROUND((_15_同援日０．５＿２．０*_15・通訳),0)*(1+_15・B深夜)),0)*(1+_15・盲ろう)),0)*(1+_15・区３)),0)</f>
        <v>738</v>
      </c>
      <c r="AA49" s="69"/>
    </row>
    <row r="50" spans="1:27" ht="16.5" customHeight="1" x14ac:dyDescent="0.3">
      <c r="A50" s="2">
        <v>15</v>
      </c>
      <c r="B50" s="2" t="s">
        <v>4490</v>
      </c>
      <c r="C50" s="83" t="s">
        <v>15002</v>
      </c>
      <c r="D50" s="103"/>
      <c r="E50" s="82"/>
      <c r="F50" s="103"/>
      <c r="G50" s="1"/>
      <c r="H50" s="68"/>
      <c r="I50" s="70"/>
      <c r="J50" s="67"/>
      <c r="K50" s="68"/>
      <c r="L50" s="76"/>
      <c r="M50" s="83" t="s">
        <v>5895</v>
      </c>
      <c r="N50" s="64" t="s">
        <v>1</v>
      </c>
      <c r="O50" s="65">
        <v>1</v>
      </c>
      <c r="P50" s="99"/>
      <c r="Q50" s="70"/>
      <c r="R50" s="106" t="s">
        <v>18086</v>
      </c>
      <c r="S50" s="57" t="s">
        <v>1</v>
      </c>
      <c r="T50" s="58">
        <v>0.25</v>
      </c>
      <c r="U50" s="77" t="s">
        <v>422</v>
      </c>
      <c r="V50" s="66"/>
      <c r="W50" s="57"/>
      <c r="X50" s="58"/>
      <c r="Y50" s="77"/>
      <c r="Z50" s="228">
        <f>+ROUND((ROUND((ROUND((ROUND((ROUND((_15_同援日０．５＿２．０*_15・通訳),0)*_15・２人),0)*(1+_15・B深夜)),0)*(1+_15・盲ろう)),0)*(1+_15・区３)),0)</f>
        <v>738</v>
      </c>
      <c r="AA50" s="69"/>
    </row>
    <row r="51" spans="1:27" ht="16.5" customHeight="1" x14ac:dyDescent="0.3">
      <c r="A51" s="2">
        <v>15</v>
      </c>
      <c r="B51" s="2" t="s">
        <v>4491</v>
      </c>
      <c r="C51" s="83" t="s">
        <v>15001</v>
      </c>
      <c r="D51" s="103"/>
      <c r="E51" s="82"/>
      <c r="F51" s="103"/>
      <c r="G51" s="1"/>
      <c r="H51" s="68"/>
      <c r="I51" s="70"/>
      <c r="J51" s="67"/>
      <c r="K51" s="68"/>
      <c r="L51" s="76"/>
      <c r="M51" s="85"/>
      <c r="N51" s="64"/>
      <c r="O51" s="65"/>
      <c r="P51" s="99"/>
      <c r="Q51" s="70"/>
      <c r="R51" s="61"/>
      <c r="S51" s="62"/>
      <c r="T51" s="63"/>
      <c r="U51" s="75"/>
      <c r="V51" s="74" t="s">
        <v>17971</v>
      </c>
      <c r="W51" s="62"/>
      <c r="X51" s="63"/>
      <c r="Y51" s="75"/>
      <c r="Z51" s="228">
        <f>+ROUND((ROUND((ROUND((_15_同援日０．５＿２．０*_15・通訳),0)*(1+_15・B深夜)),0)*(1+_15・区４)),0)</f>
        <v>689</v>
      </c>
      <c r="AA51" s="69"/>
    </row>
    <row r="52" spans="1:27" ht="16.5" customHeight="1" x14ac:dyDescent="0.3">
      <c r="A52" s="2">
        <v>15</v>
      </c>
      <c r="B52" s="2" t="s">
        <v>4492</v>
      </c>
      <c r="C52" s="83" t="s">
        <v>15000</v>
      </c>
      <c r="D52" s="103"/>
      <c r="E52" s="82"/>
      <c r="F52" s="103"/>
      <c r="G52" s="1"/>
      <c r="H52" s="68"/>
      <c r="I52" s="70"/>
      <c r="J52" s="67"/>
      <c r="K52" s="68"/>
      <c r="L52" s="76"/>
      <c r="M52" s="83" t="s">
        <v>5895</v>
      </c>
      <c r="N52" s="64" t="s">
        <v>1</v>
      </c>
      <c r="O52" s="65">
        <v>1</v>
      </c>
      <c r="P52" s="99"/>
      <c r="Q52" s="70"/>
      <c r="R52" s="66"/>
      <c r="S52" s="57"/>
      <c r="T52" s="58"/>
      <c r="U52" s="77"/>
      <c r="V52" s="94" t="s">
        <v>17970</v>
      </c>
      <c r="W52" s="68"/>
      <c r="X52" s="76"/>
      <c r="Y52" s="70"/>
      <c r="Z52" s="228">
        <f>+ROUND((ROUND((ROUND((ROUND((_15_同援日０．５＿２．０*_15・通訳),0)*_15・２人),0)*(1+_15・B深夜)),0)*(1+_15・区４)),0)</f>
        <v>689</v>
      </c>
      <c r="AA52" s="69"/>
    </row>
    <row r="53" spans="1:27" ht="16.5" customHeight="1" x14ac:dyDescent="0.3">
      <c r="A53" s="2">
        <v>15</v>
      </c>
      <c r="B53" s="2" t="s">
        <v>4493</v>
      </c>
      <c r="C53" s="83" t="s">
        <v>14999</v>
      </c>
      <c r="D53" s="103"/>
      <c r="E53" s="82"/>
      <c r="F53" s="103"/>
      <c r="G53" s="1"/>
      <c r="H53" s="68"/>
      <c r="I53" s="70"/>
      <c r="J53" s="67"/>
      <c r="K53" s="68"/>
      <c r="L53" s="76"/>
      <c r="M53" s="85"/>
      <c r="N53" s="64"/>
      <c r="O53" s="65"/>
      <c r="P53" s="99"/>
      <c r="Q53" s="70"/>
      <c r="R53" s="74" t="s">
        <v>17969</v>
      </c>
      <c r="S53" s="62"/>
      <c r="T53" s="63"/>
      <c r="U53" s="75"/>
      <c r="V53" s="67"/>
      <c r="W53" s="68" t="s">
        <v>1</v>
      </c>
      <c r="X53" s="76">
        <v>0.4</v>
      </c>
      <c r="Y53" s="70" t="s">
        <v>422</v>
      </c>
      <c r="Z53" s="228">
        <f>+ROUND((ROUND((ROUND((ROUND((_15_同援日０．５＿２．０*_15・通訳),0)*(1+_15・B深夜)),0)*(1+_15・盲ろう)),0)*(1+_15・区４)),0)</f>
        <v>861</v>
      </c>
      <c r="AA53" s="69"/>
    </row>
    <row r="54" spans="1:27" ht="16.5" customHeight="1" x14ac:dyDescent="0.3">
      <c r="A54" s="2">
        <v>15</v>
      </c>
      <c r="B54" s="2" t="s">
        <v>4494</v>
      </c>
      <c r="C54" s="83" t="s">
        <v>14998</v>
      </c>
      <c r="D54" s="103"/>
      <c r="E54" s="82"/>
      <c r="F54" s="103"/>
      <c r="G54" s="81"/>
      <c r="H54" s="57"/>
      <c r="I54" s="77"/>
      <c r="J54" s="67"/>
      <c r="K54" s="68"/>
      <c r="L54" s="76"/>
      <c r="M54" s="83" t="s">
        <v>5895</v>
      </c>
      <c r="N54" s="64" t="s">
        <v>1</v>
      </c>
      <c r="O54" s="65">
        <v>1</v>
      </c>
      <c r="P54" s="99"/>
      <c r="Q54" s="70"/>
      <c r="R54" s="106" t="s">
        <v>17968</v>
      </c>
      <c r="S54" s="57" t="s">
        <v>1</v>
      </c>
      <c r="T54" s="58">
        <v>0.25</v>
      </c>
      <c r="U54" s="77" t="s">
        <v>422</v>
      </c>
      <c r="V54" s="66"/>
      <c r="W54" s="57"/>
      <c r="X54" s="58"/>
      <c r="Y54" s="77"/>
      <c r="Z54" s="228">
        <f>+ROUND((ROUND((ROUND((ROUND((ROUND((_15_同援日０．５＿２．０*_15・通訳),0)*_15・２人),0)*(1+_15・B深夜)),0)*(1+_15・盲ろう)),0)*(1+_15・区４)),0)</f>
        <v>861</v>
      </c>
      <c r="AA54" s="69"/>
    </row>
    <row r="55" spans="1:27" ht="16.5" customHeight="1" x14ac:dyDescent="0.3">
      <c r="A55" s="2">
        <v>15</v>
      </c>
      <c r="B55" s="2" t="s">
        <v>4495</v>
      </c>
      <c r="C55" s="83" t="s">
        <v>14997</v>
      </c>
      <c r="D55" s="103"/>
      <c r="E55" s="82"/>
      <c r="F55" s="103"/>
      <c r="G55" s="233" t="s">
        <v>16954</v>
      </c>
      <c r="H55" s="62"/>
      <c r="I55" s="75"/>
      <c r="J55" s="67"/>
      <c r="K55" s="68"/>
      <c r="L55" s="76"/>
      <c r="M55" s="85"/>
      <c r="N55" s="64"/>
      <c r="O55" s="65"/>
      <c r="P55" s="99"/>
      <c r="Q55" s="70"/>
      <c r="R55" s="61"/>
      <c r="S55" s="62"/>
      <c r="T55" s="63"/>
      <c r="U55" s="75"/>
      <c r="V55" s="61"/>
      <c r="W55" s="62"/>
      <c r="X55" s="63"/>
      <c r="Y55" s="75"/>
      <c r="Z55" s="228">
        <f>+ROUND((ROUND((_15_同援日０．５＿２．５*_15・通訳),0)*(1+_15・B深夜)),0)</f>
        <v>576</v>
      </c>
      <c r="AA55" s="69"/>
    </row>
    <row r="56" spans="1:27" ht="16.5" customHeight="1" x14ac:dyDescent="0.3">
      <c r="A56" s="2">
        <v>15</v>
      </c>
      <c r="B56" s="2" t="s">
        <v>4496</v>
      </c>
      <c r="C56" s="83" t="s">
        <v>14996</v>
      </c>
      <c r="D56" s="103"/>
      <c r="E56" s="82"/>
      <c r="F56" s="103"/>
      <c r="G56" s="1" t="s">
        <v>5977</v>
      </c>
      <c r="H56" s="68"/>
      <c r="I56" s="70"/>
      <c r="J56" s="67"/>
      <c r="K56" s="68"/>
      <c r="L56" s="76"/>
      <c r="M56" s="83" t="s">
        <v>5895</v>
      </c>
      <c r="N56" s="64" t="s">
        <v>1</v>
      </c>
      <c r="O56" s="65">
        <v>1</v>
      </c>
      <c r="P56" s="99"/>
      <c r="Q56" s="70"/>
      <c r="R56" s="66"/>
      <c r="S56" s="57"/>
      <c r="T56" s="58"/>
      <c r="U56" s="77"/>
      <c r="V56" s="67"/>
      <c r="W56" s="68"/>
      <c r="X56" s="76"/>
      <c r="Y56" s="70"/>
      <c r="Z56" s="228">
        <f>+ROUND((ROUND((ROUND((_15_同援日０．５＿２．５*_15・通訳),0)*_15・２人),0)*(1+_15・B深夜)),0)</f>
        <v>576</v>
      </c>
      <c r="AA56" s="69"/>
    </row>
    <row r="57" spans="1:27" ht="16.5" customHeight="1" x14ac:dyDescent="0.3">
      <c r="A57" s="2">
        <v>15</v>
      </c>
      <c r="B57" s="2" t="s">
        <v>4497</v>
      </c>
      <c r="C57" s="83" t="s">
        <v>14995</v>
      </c>
      <c r="D57" s="103"/>
      <c r="E57" s="82"/>
      <c r="F57" s="103"/>
      <c r="G57" s="1" t="s">
        <v>8499</v>
      </c>
      <c r="H57" s="68"/>
      <c r="I57" s="70"/>
      <c r="J57" s="67"/>
      <c r="K57" s="68"/>
      <c r="L57" s="76"/>
      <c r="M57" s="85"/>
      <c r="N57" s="64"/>
      <c r="O57" s="65"/>
      <c r="P57" s="99"/>
      <c r="Q57" s="70"/>
      <c r="R57" s="74" t="s">
        <v>17969</v>
      </c>
      <c r="S57" s="62"/>
      <c r="T57" s="63"/>
      <c r="U57" s="75"/>
      <c r="V57" s="67"/>
      <c r="W57" s="68"/>
      <c r="X57" s="76"/>
      <c r="Y57" s="70"/>
      <c r="Z57" s="228">
        <f>+ROUND((ROUND((ROUND((_15_同援日０．５＿２．５*_15・通訳),0)*(1+_15・B深夜)),0)*(1+_15・盲ろう)),0)</f>
        <v>720</v>
      </c>
      <c r="AA57" s="69"/>
    </row>
    <row r="58" spans="1:27" ht="16.5" customHeight="1" x14ac:dyDescent="0.3">
      <c r="A58" s="2">
        <v>15</v>
      </c>
      <c r="B58" s="2" t="s">
        <v>4498</v>
      </c>
      <c r="C58" s="83" t="s">
        <v>14994</v>
      </c>
      <c r="D58" s="103"/>
      <c r="E58" s="82"/>
      <c r="F58" s="103"/>
      <c r="G58" s="1"/>
      <c r="H58" s="227">
        <v>427</v>
      </c>
      <c r="I58" s="70" t="s">
        <v>0</v>
      </c>
      <c r="J58" s="67"/>
      <c r="K58" s="68"/>
      <c r="L58" s="76"/>
      <c r="M58" s="83" t="s">
        <v>5895</v>
      </c>
      <c r="N58" s="64" t="s">
        <v>1</v>
      </c>
      <c r="O58" s="65">
        <v>1</v>
      </c>
      <c r="P58" s="99"/>
      <c r="Q58" s="70"/>
      <c r="R58" s="106" t="s">
        <v>17968</v>
      </c>
      <c r="S58" s="57" t="s">
        <v>1</v>
      </c>
      <c r="T58" s="58">
        <v>0.25</v>
      </c>
      <c r="U58" s="77" t="s">
        <v>422</v>
      </c>
      <c r="V58" s="66"/>
      <c r="W58" s="57"/>
      <c r="X58" s="58"/>
      <c r="Y58" s="77"/>
      <c r="Z58" s="228">
        <f>+ROUND((ROUND((ROUND((ROUND((_15_同援日０．５＿２．５*_15・通訳),0)*_15・２人),0)*(1+_15・B深夜)),0)*(1+_15・盲ろう)),0)</f>
        <v>720</v>
      </c>
      <c r="AA58" s="69"/>
    </row>
    <row r="59" spans="1:27" ht="16.5" customHeight="1" x14ac:dyDescent="0.3">
      <c r="A59" s="2">
        <v>15</v>
      </c>
      <c r="B59" s="2" t="s">
        <v>4499</v>
      </c>
      <c r="C59" s="83" t="s">
        <v>14993</v>
      </c>
      <c r="D59" s="103"/>
      <c r="E59" s="82"/>
      <c r="F59" s="103"/>
      <c r="G59" s="1"/>
      <c r="H59" s="68"/>
      <c r="I59" s="70"/>
      <c r="J59" s="67"/>
      <c r="K59" s="68"/>
      <c r="L59" s="76"/>
      <c r="M59" s="85"/>
      <c r="N59" s="64"/>
      <c r="O59" s="65"/>
      <c r="P59" s="99"/>
      <c r="Q59" s="70"/>
      <c r="R59" s="61"/>
      <c r="S59" s="62"/>
      <c r="T59" s="63"/>
      <c r="U59" s="75"/>
      <c r="V59" s="74" t="s">
        <v>17974</v>
      </c>
      <c r="W59" s="62"/>
      <c r="X59" s="63"/>
      <c r="Y59" s="75"/>
      <c r="Z59" s="228">
        <f>+ROUND((ROUND((ROUND((_15_同援日０．５＿２．５*_15・通訳),0)*(1+_15・B深夜)),0)*(1+_15・区３)),0)</f>
        <v>691</v>
      </c>
      <c r="AA59" s="69"/>
    </row>
    <row r="60" spans="1:27" ht="16.5" customHeight="1" x14ac:dyDescent="0.3">
      <c r="A60" s="2">
        <v>15</v>
      </c>
      <c r="B60" s="2" t="s">
        <v>4500</v>
      </c>
      <c r="C60" s="83" t="s">
        <v>14992</v>
      </c>
      <c r="D60" s="103"/>
      <c r="E60" s="82"/>
      <c r="F60" s="103"/>
      <c r="G60" s="1"/>
      <c r="H60" s="68"/>
      <c r="I60" s="70"/>
      <c r="J60" s="67"/>
      <c r="K60" s="68"/>
      <c r="L60" s="76"/>
      <c r="M60" s="83" t="s">
        <v>5895</v>
      </c>
      <c r="N60" s="64" t="s">
        <v>1</v>
      </c>
      <c r="O60" s="65">
        <v>1</v>
      </c>
      <c r="P60" s="99"/>
      <c r="Q60" s="70"/>
      <c r="R60" s="66"/>
      <c r="S60" s="57"/>
      <c r="T60" s="58"/>
      <c r="U60" s="77"/>
      <c r="V60" s="94" t="s">
        <v>17970</v>
      </c>
      <c r="W60" s="68"/>
      <c r="X60" s="76"/>
      <c r="Y60" s="70"/>
      <c r="Z60" s="228">
        <f>+ROUND((ROUND((ROUND((ROUND((_15_同援日０．５＿２．５*_15・通訳),0)*_15・２人),0)*(1+_15・B深夜)),0)*(1+_15・区３)),0)</f>
        <v>691</v>
      </c>
      <c r="AA60" s="69"/>
    </row>
    <row r="61" spans="1:27" ht="16.5" customHeight="1" x14ac:dyDescent="0.3">
      <c r="A61" s="2">
        <v>15</v>
      </c>
      <c r="B61" s="2" t="s">
        <v>4501</v>
      </c>
      <c r="C61" s="83" t="s">
        <v>14991</v>
      </c>
      <c r="D61" s="103"/>
      <c r="E61" s="82"/>
      <c r="F61" s="103"/>
      <c r="G61" s="1"/>
      <c r="H61" s="68"/>
      <c r="I61" s="70"/>
      <c r="J61" s="67"/>
      <c r="K61" s="68"/>
      <c r="L61" s="76"/>
      <c r="M61" s="85"/>
      <c r="N61" s="64"/>
      <c r="O61" s="65"/>
      <c r="P61" s="99"/>
      <c r="Q61" s="70"/>
      <c r="R61" s="74" t="s">
        <v>17969</v>
      </c>
      <c r="S61" s="62"/>
      <c r="T61" s="63"/>
      <c r="U61" s="75"/>
      <c r="V61" s="67"/>
      <c r="W61" s="68" t="s">
        <v>1</v>
      </c>
      <c r="X61" s="76">
        <v>0.2</v>
      </c>
      <c r="Y61" s="70" t="s">
        <v>422</v>
      </c>
      <c r="Z61" s="228">
        <f>+ROUND((ROUND((ROUND((ROUND((_15_同援日０．５＿２．５*_15・通訳),0)*(1+_15・B深夜)),0)*(1+_15・盲ろう)),0)*(1+_15・区３)),0)</f>
        <v>864</v>
      </c>
      <c r="AA61" s="69"/>
    </row>
    <row r="62" spans="1:27" ht="16.5" customHeight="1" x14ac:dyDescent="0.3">
      <c r="A62" s="2">
        <v>15</v>
      </c>
      <c r="B62" s="2" t="s">
        <v>4502</v>
      </c>
      <c r="C62" s="83" t="s">
        <v>14990</v>
      </c>
      <c r="D62" s="103"/>
      <c r="E62" s="82"/>
      <c r="F62" s="103"/>
      <c r="G62" s="1"/>
      <c r="H62" s="68"/>
      <c r="I62" s="70"/>
      <c r="J62" s="67"/>
      <c r="K62" s="68"/>
      <c r="L62" s="76"/>
      <c r="M62" s="83" t="s">
        <v>5895</v>
      </c>
      <c r="N62" s="64" t="s">
        <v>1</v>
      </c>
      <c r="O62" s="65">
        <v>1</v>
      </c>
      <c r="P62" s="99"/>
      <c r="Q62" s="70"/>
      <c r="R62" s="106" t="s">
        <v>17968</v>
      </c>
      <c r="S62" s="57" t="s">
        <v>1</v>
      </c>
      <c r="T62" s="58">
        <v>0.25</v>
      </c>
      <c r="U62" s="77" t="s">
        <v>422</v>
      </c>
      <c r="V62" s="66"/>
      <c r="W62" s="57"/>
      <c r="X62" s="58"/>
      <c r="Y62" s="77"/>
      <c r="Z62" s="228">
        <f>+ROUND((ROUND((ROUND((ROUND((ROUND((_15_同援日０．５＿２．５*_15・通訳),0)*_15・２人),0)*(1+_15・B深夜)),0)*(1+_15・盲ろう)),0)*(1+_15・区３)),0)</f>
        <v>864</v>
      </c>
      <c r="AA62" s="69"/>
    </row>
    <row r="63" spans="1:27" ht="16.5" customHeight="1" x14ac:dyDescent="0.3">
      <c r="A63" s="2">
        <v>15</v>
      </c>
      <c r="B63" s="2" t="s">
        <v>4503</v>
      </c>
      <c r="C63" s="83" t="s">
        <v>14989</v>
      </c>
      <c r="D63" s="103"/>
      <c r="E63" s="82"/>
      <c r="F63" s="103"/>
      <c r="G63" s="1"/>
      <c r="H63" s="68"/>
      <c r="I63" s="70"/>
      <c r="J63" s="67"/>
      <c r="K63" s="68"/>
      <c r="L63" s="76"/>
      <c r="M63" s="85"/>
      <c r="N63" s="64"/>
      <c r="O63" s="65"/>
      <c r="P63" s="99"/>
      <c r="Q63" s="70"/>
      <c r="R63" s="61"/>
      <c r="S63" s="62"/>
      <c r="T63" s="63"/>
      <c r="U63" s="75"/>
      <c r="V63" s="74" t="s">
        <v>18094</v>
      </c>
      <c r="W63" s="62"/>
      <c r="X63" s="63"/>
      <c r="Y63" s="75"/>
      <c r="Z63" s="228">
        <f>+ROUND((ROUND((ROUND((_15_同援日０．５＿２．５*_15・通訳),0)*(1+_15・B深夜)),0)*(1+_15・区４)),0)</f>
        <v>806</v>
      </c>
      <c r="AA63" s="69"/>
    </row>
    <row r="64" spans="1:27" ht="16.5" customHeight="1" x14ac:dyDescent="0.3">
      <c r="A64" s="2">
        <v>15</v>
      </c>
      <c r="B64" s="2" t="s">
        <v>4504</v>
      </c>
      <c r="C64" s="83" t="s">
        <v>14988</v>
      </c>
      <c r="D64" s="103"/>
      <c r="E64" s="82"/>
      <c r="F64" s="103"/>
      <c r="G64" s="1"/>
      <c r="H64" s="68"/>
      <c r="I64" s="70"/>
      <c r="J64" s="67"/>
      <c r="K64" s="68"/>
      <c r="L64" s="76"/>
      <c r="M64" s="83" t="s">
        <v>5895</v>
      </c>
      <c r="N64" s="64" t="s">
        <v>1</v>
      </c>
      <c r="O64" s="65">
        <v>1</v>
      </c>
      <c r="P64" s="99"/>
      <c r="Q64" s="70"/>
      <c r="R64" s="66"/>
      <c r="S64" s="57"/>
      <c r="T64" s="58"/>
      <c r="U64" s="77"/>
      <c r="V64" s="94" t="s">
        <v>17970</v>
      </c>
      <c r="W64" s="68"/>
      <c r="X64" s="76"/>
      <c r="Y64" s="70"/>
      <c r="Z64" s="228">
        <f>+ROUND((ROUND((ROUND((ROUND((_15_同援日０．５＿２．５*_15・通訳),0)*_15・２人),0)*(1+_15・B深夜)),0)*(1+_15・区４)),0)</f>
        <v>806</v>
      </c>
      <c r="AA64" s="69"/>
    </row>
    <row r="65" spans="1:27" ht="16.5" customHeight="1" x14ac:dyDescent="0.3">
      <c r="A65" s="2">
        <v>15</v>
      </c>
      <c r="B65" s="2" t="s">
        <v>4505</v>
      </c>
      <c r="C65" s="83" t="s">
        <v>14987</v>
      </c>
      <c r="D65" s="103"/>
      <c r="E65" s="82"/>
      <c r="F65" s="103"/>
      <c r="G65" s="1"/>
      <c r="H65" s="68"/>
      <c r="I65" s="70"/>
      <c r="J65" s="67"/>
      <c r="K65" s="68"/>
      <c r="L65" s="76"/>
      <c r="M65" s="85"/>
      <c r="N65" s="64"/>
      <c r="O65" s="65"/>
      <c r="P65" s="99"/>
      <c r="Q65" s="70"/>
      <c r="R65" s="74" t="s">
        <v>17969</v>
      </c>
      <c r="S65" s="62"/>
      <c r="T65" s="63"/>
      <c r="U65" s="75"/>
      <c r="V65" s="67"/>
      <c r="W65" s="68" t="s">
        <v>1</v>
      </c>
      <c r="X65" s="76">
        <v>0.4</v>
      </c>
      <c r="Y65" s="70" t="s">
        <v>422</v>
      </c>
      <c r="Z65" s="228">
        <f>+ROUND((ROUND((ROUND((ROUND((_15_同援日０．５＿２．５*_15・通訳),0)*(1+_15・B深夜)),0)*(1+_15・盲ろう)),0)*(1+_15・区４)),0)</f>
        <v>1008</v>
      </c>
      <c r="AA65" s="69"/>
    </row>
    <row r="66" spans="1:27" ht="16.5" customHeight="1" x14ac:dyDescent="0.3">
      <c r="A66" s="2">
        <v>15</v>
      </c>
      <c r="B66" s="2" t="s">
        <v>4506</v>
      </c>
      <c r="C66" s="83" t="s">
        <v>14986</v>
      </c>
      <c r="D66" s="103"/>
      <c r="E66" s="73"/>
      <c r="F66" s="103"/>
      <c r="G66" s="81"/>
      <c r="H66" s="57"/>
      <c r="I66" s="77"/>
      <c r="J66" s="67"/>
      <c r="K66" s="68"/>
      <c r="L66" s="76"/>
      <c r="M66" s="83" t="s">
        <v>5895</v>
      </c>
      <c r="N66" s="64" t="s">
        <v>1</v>
      </c>
      <c r="O66" s="65">
        <v>1</v>
      </c>
      <c r="P66" s="99"/>
      <c r="Q66" s="70"/>
      <c r="R66" s="106" t="s">
        <v>17968</v>
      </c>
      <c r="S66" s="57" t="s">
        <v>1</v>
      </c>
      <c r="T66" s="58">
        <v>0.25</v>
      </c>
      <c r="U66" s="77" t="s">
        <v>422</v>
      </c>
      <c r="V66" s="66"/>
      <c r="W66" s="57"/>
      <c r="X66" s="58"/>
      <c r="Y66" s="77"/>
      <c r="Z66" s="228">
        <f>+ROUND((ROUND((ROUND((ROUND((ROUND((_15_同援日０．５＿２．５*_15・通訳),0)*_15・２人),0)*(1+_15・B深夜)),0)*(1+_15・盲ろう)),0)*(1+_15・区４)),0)</f>
        <v>1008</v>
      </c>
      <c r="AA66" s="69"/>
    </row>
    <row r="67" spans="1:27" ht="16.5" customHeight="1" x14ac:dyDescent="0.3">
      <c r="A67" s="2">
        <v>15</v>
      </c>
      <c r="B67" s="2" t="s">
        <v>4507</v>
      </c>
      <c r="C67" s="83" t="s">
        <v>14985</v>
      </c>
      <c r="D67" s="103"/>
      <c r="E67" s="236" t="s">
        <v>18117</v>
      </c>
      <c r="F67" s="103"/>
      <c r="G67" s="233" t="s">
        <v>17703</v>
      </c>
      <c r="H67" s="62"/>
      <c r="I67" s="75"/>
      <c r="J67" s="67"/>
      <c r="K67" s="68"/>
      <c r="L67" s="76"/>
      <c r="M67" s="85"/>
      <c r="N67" s="64"/>
      <c r="O67" s="65"/>
      <c r="P67" s="99"/>
      <c r="Q67" s="70"/>
      <c r="R67" s="61"/>
      <c r="S67" s="62"/>
      <c r="T67" s="63"/>
      <c r="U67" s="75"/>
      <c r="V67" s="61"/>
      <c r="W67" s="62"/>
      <c r="X67" s="63"/>
      <c r="Y67" s="75"/>
      <c r="Z67" s="120">
        <f>+ROUND((ROUND((_15_同援日１．０＿０．５*_15・通訳),0)*(1+_15・B深夜)),0)</f>
        <v>174</v>
      </c>
      <c r="AA67" s="69"/>
    </row>
    <row r="68" spans="1:27" ht="16.5" customHeight="1" x14ac:dyDescent="0.3">
      <c r="A68" s="2">
        <v>15</v>
      </c>
      <c r="B68" s="2" t="s">
        <v>4508</v>
      </c>
      <c r="C68" s="83" t="s">
        <v>14984</v>
      </c>
      <c r="D68" s="103"/>
      <c r="E68" s="82" t="s">
        <v>16874</v>
      </c>
      <c r="F68" s="103"/>
      <c r="G68" s="1" t="s">
        <v>7928</v>
      </c>
      <c r="H68" s="68"/>
      <c r="I68" s="70"/>
      <c r="J68" s="67"/>
      <c r="K68" s="68"/>
      <c r="L68" s="76"/>
      <c r="M68" s="83" t="s">
        <v>5895</v>
      </c>
      <c r="N68" s="64" t="s">
        <v>1</v>
      </c>
      <c r="O68" s="65">
        <v>1</v>
      </c>
      <c r="P68" s="99"/>
      <c r="Q68" s="70"/>
      <c r="R68" s="66"/>
      <c r="S68" s="57"/>
      <c r="T68" s="58"/>
      <c r="U68" s="77"/>
      <c r="V68" s="67"/>
      <c r="W68" s="68"/>
      <c r="X68" s="76"/>
      <c r="Y68" s="70"/>
      <c r="Z68" s="120">
        <f>+ROUND((ROUND((ROUND((_15_同援日１．０＿０．５*_15・通訳),0)*_15・２人),0)*(1+_15・B深夜)),0)</f>
        <v>174</v>
      </c>
      <c r="AA68" s="69"/>
    </row>
    <row r="69" spans="1:27" ht="16.5" customHeight="1" x14ac:dyDescent="0.3">
      <c r="A69" s="2">
        <v>15</v>
      </c>
      <c r="B69" s="2" t="s">
        <v>4509</v>
      </c>
      <c r="C69" s="83" t="s">
        <v>14983</v>
      </c>
      <c r="D69" s="103"/>
      <c r="E69" s="82" t="s">
        <v>8572</v>
      </c>
      <c r="F69" s="103"/>
      <c r="G69" s="1"/>
      <c r="H69" s="68"/>
      <c r="I69" s="70"/>
      <c r="J69" s="67"/>
      <c r="K69" s="68"/>
      <c r="L69" s="76"/>
      <c r="M69" s="85"/>
      <c r="N69" s="64"/>
      <c r="O69" s="65"/>
      <c r="P69" s="99"/>
      <c r="Q69" s="70"/>
      <c r="R69" s="74" t="s">
        <v>17969</v>
      </c>
      <c r="S69" s="62"/>
      <c r="T69" s="63"/>
      <c r="U69" s="75"/>
      <c r="V69" s="67"/>
      <c r="W69" s="68"/>
      <c r="X69" s="76"/>
      <c r="Y69" s="70"/>
      <c r="Z69" s="120">
        <f>+ROUND((ROUND((ROUND((_15_同援日１．０＿０．５*_15・通訳),0)*(1+_15・B深夜)),0)*(1+_15・盲ろう)),0)</f>
        <v>218</v>
      </c>
      <c r="AA69" s="69"/>
    </row>
    <row r="70" spans="1:27" ht="16.5" customHeight="1" x14ac:dyDescent="0.3">
      <c r="A70" s="2">
        <v>15</v>
      </c>
      <c r="B70" s="2" t="s">
        <v>4510</v>
      </c>
      <c r="C70" s="83" t="s">
        <v>14982</v>
      </c>
      <c r="D70" s="103"/>
      <c r="E70" s="82"/>
      <c r="F70" s="103"/>
      <c r="G70" s="1"/>
      <c r="H70" s="119">
        <v>129</v>
      </c>
      <c r="I70" s="70" t="s">
        <v>0</v>
      </c>
      <c r="J70" s="67"/>
      <c r="K70" s="68"/>
      <c r="L70" s="76"/>
      <c r="M70" s="83" t="s">
        <v>5895</v>
      </c>
      <c r="N70" s="64" t="s">
        <v>1</v>
      </c>
      <c r="O70" s="65">
        <v>1</v>
      </c>
      <c r="P70" s="99"/>
      <c r="Q70" s="70"/>
      <c r="R70" s="106" t="s">
        <v>18086</v>
      </c>
      <c r="S70" s="57" t="s">
        <v>1</v>
      </c>
      <c r="T70" s="58">
        <v>0.25</v>
      </c>
      <c r="U70" s="77" t="s">
        <v>422</v>
      </c>
      <c r="V70" s="66"/>
      <c r="W70" s="57"/>
      <c r="X70" s="58"/>
      <c r="Y70" s="77"/>
      <c r="Z70" s="120">
        <f>+ROUND((ROUND((ROUND((ROUND((_15_同援日１．０＿０．５*_15・通訳),0)*_15・２人),0)*(1+_15・B深夜)),0)*(1+_15・盲ろう)),0)</f>
        <v>218</v>
      </c>
      <c r="AA70" s="69"/>
    </row>
    <row r="71" spans="1:27" ht="16.5" customHeight="1" x14ac:dyDescent="0.3">
      <c r="A71" s="2">
        <v>15</v>
      </c>
      <c r="B71" s="2" t="s">
        <v>4511</v>
      </c>
      <c r="C71" s="83" t="s">
        <v>14981</v>
      </c>
      <c r="D71" s="103"/>
      <c r="E71" s="82"/>
      <c r="F71" s="103"/>
      <c r="G71" s="1"/>
      <c r="H71" s="68"/>
      <c r="I71" s="70"/>
      <c r="J71" s="67"/>
      <c r="K71" s="68"/>
      <c r="L71" s="76"/>
      <c r="M71" s="85"/>
      <c r="N71" s="64"/>
      <c r="O71" s="65"/>
      <c r="P71" s="99"/>
      <c r="Q71" s="70"/>
      <c r="R71" s="61"/>
      <c r="S71" s="62"/>
      <c r="T71" s="63"/>
      <c r="U71" s="75"/>
      <c r="V71" s="74" t="s">
        <v>18089</v>
      </c>
      <c r="W71" s="62"/>
      <c r="X71" s="63"/>
      <c r="Y71" s="75"/>
      <c r="Z71" s="120">
        <f>+ROUND((ROUND((ROUND((_15_同援日１．０＿０．５*_15・通訳),0)*(1+_15・B深夜)),0)*(1+_15・区３)),0)</f>
        <v>209</v>
      </c>
      <c r="AA71" s="69"/>
    </row>
    <row r="72" spans="1:27" ht="16.5" customHeight="1" x14ac:dyDescent="0.3">
      <c r="A72" s="2">
        <v>15</v>
      </c>
      <c r="B72" s="2" t="s">
        <v>4512</v>
      </c>
      <c r="C72" s="83" t="s">
        <v>14980</v>
      </c>
      <c r="D72" s="103"/>
      <c r="E72" s="82"/>
      <c r="F72" s="103"/>
      <c r="G72" s="1"/>
      <c r="H72" s="68"/>
      <c r="I72" s="70"/>
      <c r="J72" s="67"/>
      <c r="K72" s="68"/>
      <c r="L72" s="76"/>
      <c r="M72" s="83" t="s">
        <v>5895</v>
      </c>
      <c r="N72" s="64" t="s">
        <v>1</v>
      </c>
      <c r="O72" s="65">
        <v>1</v>
      </c>
      <c r="P72" s="99"/>
      <c r="Q72" s="70"/>
      <c r="R72" s="66"/>
      <c r="S72" s="57"/>
      <c r="T72" s="58"/>
      <c r="U72" s="77"/>
      <c r="V72" s="94" t="s">
        <v>17970</v>
      </c>
      <c r="W72" s="68"/>
      <c r="X72" s="76"/>
      <c r="Y72" s="70"/>
      <c r="Z72" s="120">
        <f>+ROUND((ROUND((ROUND((ROUND((_15_同援日１．０＿０．５*_15・通訳),0)*_15・２人),0)*(1+_15・B深夜)),0)*(1+_15・区３)),0)</f>
        <v>209</v>
      </c>
      <c r="AA72" s="69"/>
    </row>
    <row r="73" spans="1:27" ht="16.5" customHeight="1" x14ac:dyDescent="0.3">
      <c r="A73" s="2">
        <v>15</v>
      </c>
      <c r="B73" s="2" t="s">
        <v>4513</v>
      </c>
      <c r="C73" s="83" t="s">
        <v>14979</v>
      </c>
      <c r="D73" s="103"/>
      <c r="E73" s="82"/>
      <c r="F73" s="103"/>
      <c r="G73" s="1"/>
      <c r="H73" s="68"/>
      <c r="I73" s="70"/>
      <c r="J73" s="67"/>
      <c r="K73" s="68"/>
      <c r="L73" s="76"/>
      <c r="M73" s="85"/>
      <c r="N73" s="64"/>
      <c r="O73" s="65"/>
      <c r="P73" s="99"/>
      <c r="Q73" s="70"/>
      <c r="R73" s="74" t="s">
        <v>17969</v>
      </c>
      <c r="S73" s="62"/>
      <c r="T73" s="63"/>
      <c r="U73" s="75"/>
      <c r="V73" s="67"/>
      <c r="W73" s="68" t="s">
        <v>1</v>
      </c>
      <c r="X73" s="76">
        <v>0.2</v>
      </c>
      <c r="Y73" s="70" t="s">
        <v>422</v>
      </c>
      <c r="Z73" s="120">
        <f>+ROUND((ROUND((ROUND((ROUND((_15_同援日１．０＿０．５*_15・通訳),0)*(1+_15・B深夜)),0)*(1+_15・盲ろう)),0)*(1+_15・区３)),0)</f>
        <v>262</v>
      </c>
      <c r="AA73" s="69"/>
    </row>
    <row r="74" spans="1:27" ht="16.5" customHeight="1" x14ac:dyDescent="0.3">
      <c r="A74" s="2">
        <v>15</v>
      </c>
      <c r="B74" s="2" t="s">
        <v>4514</v>
      </c>
      <c r="C74" s="83" t="s">
        <v>14978</v>
      </c>
      <c r="D74" s="103"/>
      <c r="E74" s="82"/>
      <c r="F74" s="103"/>
      <c r="G74" s="1"/>
      <c r="H74" s="68"/>
      <c r="I74" s="70"/>
      <c r="J74" s="67"/>
      <c r="K74" s="68"/>
      <c r="L74" s="76"/>
      <c r="M74" s="83" t="s">
        <v>5895</v>
      </c>
      <c r="N74" s="64" t="s">
        <v>1</v>
      </c>
      <c r="O74" s="65">
        <v>1</v>
      </c>
      <c r="P74" s="99"/>
      <c r="Q74" s="70"/>
      <c r="R74" s="106" t="s">
        <v>18086</v>
      </c>
      <c r="S74" s="57" t="s">
        <v>1</v>
      </c>
      <c r="T74" s="58">
        <v>0.25</v>
      </c>
      <c r="U74" s="77" t="s">
        <v>422</v>
      </c>
      <c r="V74" s="66"/>
      <c r="W74" s="57"/>
      <c r="X74" s="58"/>
      <c r="Y74" s="77"/>
      <c r="Z74" s="120">
        <f>+ROUND((ROUND((ROUND((ROUND((ROUND((_15_同援日１．０＿０．５*_15・通訳),0)*_15・２人),0)*(1+_15・B深夜)),0)*(1+_15・盲ろう)),0)*(1+_15・区３)),0)</f>
        <v>262</v>
      </c>
      <c r="AA74" s="69"/>
    </row>
    <row r="75" spans="1:27" ht="16.5" customHeight="1" x14ac:dyDescent="0.3">
      <c r="A75" s="2">
        <v>15</v>
      </c>
      <c r="B75" s="2" t="s">
        <v>4515</v>
      </c>
      <c r="C75" s="83" t="s">
        <v>14977</v>
      </c>
      <c r="D75" s="103"/>
      <c r="E75" s="82"/>
      <c r="F75" s="103"/>
      <c r="G75" s="1"/>
      <c r="H75" s="68"/>
      <c r="I75" s="70"/>
      <c r="J75" s="67"/>
      <c r="K75" s="68"/>
      <c r="L75" s="76"/>
      <c r="M75" s="85"/>
      <c r="N75" s="64"/>
      <c r="O75" s="65"/>
      <c r="P75" s="99"/>
      <c r="Q75" s="70"/>
      <c r="R75" s="61"/>
      <c r="S75" s="62"/>
      <c r="T75" s="63"/>
      <c r="U75" s="75"/>
      <c r="V75" s="74" t="s">
        <v>17971</v>
      </c>
      <c r="W75" s="62"/>
      <c r="X75" s="63"/>
      <c r="Y75" s="75"/>
      <c r="Z75" s="120">
        <f>+ROUND((ROUND((ROUND((_15_同援日１．０＿０．５*_15・通訳),0)*(1+_15・B深夜)),0)*(1+_15・区４)),0)</f>
        <v>244</v>
      </c>
      <c r="AA75" s="69"/>
    </row>
    <row r="76" spans="1:27" ht="16.5" customHeight="1" x14ac:dyDescent="0.3">
      <c r="A76" s="2">
        <v>15</v>
      </c>
      <c r="B76" s="2" t="s">
        <v>4516</v>
      </c>
      <c r="C76" s="83" t="s">
        <v>14976</v>
      </c>
      <c r="D76" s="103"/>
      <c r="E76" s="82"/>
      <c r="F76" s="103"/>
      <c r="G76" s="1"/>
      <c r="H76" s="68"/>
      <c r="I76" s="70"/>
      <c r="J76" s="67"/>
      <c r="K76" s="68"/>
      <c r="L76" s="76"/>
      <c r="M76" s="83" t="s">
        <v>5895</v>
      </c>
      <c r="N76" s="64" t="s">
        <v>1</v>
      </c>
      <c r="O76" s="65">
        <v>1</v>
      </c>
      <c r="P76" s="99"/>
      <c r="Q76" s="70"/>
      <c r="R76" s="66"/>
      <c r="S76" s="57"/>
      <c r="T76" s="58"/>
      <c r="U76" s="77"/>
      <c r="V76" s="94" t="s">
        <v>17970</v>
      </c>
      <c r="W76" s="68"/>
      <c r="X76" s="76"/>
      <c r="Y76" s="70"/>
      <c r="Z76" s="120">
        <f>+ROUND((ROUND((ROUND((ROUND((_15_同援日１．０＿０．５*_15・通訳),0)*_15・２人),0)*(1+_15・B深夜)),0)*(1+_15・区４)),0)</f>
        <v>244</v>
      </c>
      <c r="AA76" s="69"/>
    </row>
    <row r="77" spans="1:27" ht="16.5" customHeight="1" x14ac:dyDescent="0.3">
      <c r="A77" s="2">
        <v>15</v>
      </c>
      <c r="B77" s="2" t="s">
        <v>4517</v>
      </c>
      <c r="C77" s="83" t="s">
        <v>14975</v>
      </c>
      <c r="D77" s="103"/>
      <c r="E77" s="82"/>
      <c r="F77" s="103"/>
      <c r="G77" s="1"/>
      <c r="H77" s="68"/>
      <c r="I77" s="70"/>
      <c r="J77" s="67"/>
      <c r="K77" s="68"/>
      <c r="L77" s="76"/>
      <c r="M77" s="85"/>
      <c r="N77" s="64"/>
      <c r="O77" s="65"/>
      <c r="P77" s="99"/>
      <c r="Q77" s="70"/>
      <c r="R77" s="74" t="s">
        <v>17969</v>
      </c>
      <c r="S77" s="62"/>
      <c r="T77" s="63"/>
      <c r="U77" s="75"/>
      <c r="V77" s="67"/>
      <c r="W77" s="68" t="s">
        <v>1</v>
      </c>
      <c r="X77" s="76">
        <v>0.4</v>
      </c>
      <c r="Y77" s="70" t="s">
        <v>422</v>
      </c>
      <c r="Z77" s="120">
        <f>+ROUND((ROUND((ROUND((ROUND((_15_同援日１．０＿０．５*_15・通訳),0)*(1+_15・B深夜)),0)*(1+_15・盲ろう)),0)*(1+_15・区４)),0)</f>
        <v>305</v>
      </c>
      <c r="AA77" s="69"/>
    </row>
    <row r="78" spans="1:27" ht="16.5" customHeight="1" x14ac:dyDescent="0.3">
      <c r="A78" s="2">
        <v>15</v>
      </c>
      <c r="B78" s="2" t="s">
        <v>4518</v>
      </c>
      <c r="C78" s="83" t="s">
        <v>14974</v>
      </c>
      <c r="D78" s="103"/>
      <c r="E78" s="82"/>
      <c r="F78" s="103"/>
      <c r="G78" s="81"/>
      <c r="H78" s="57"/>
      <c r="I78" s="77"/>
      <c r="J78" s="67"/>
      <c r="K78" s="68"/>
      <c r="L78" s="76"/>
      <c r="M78" s="83" t="s">
        <v>5895</v>
      </c>
      <c r="N78" s="64" t="s">
        <v>1</v>
      </c>
      <c r="O78" s="65">
        <v>1</v>
      </c>
      <c r="P78" s="99"/>
      <c r="Q78" s="70"/>
      <c r="R78" s="106" t="s">
        <v>17968</v>
      </c>
      <c r="S78" s="57" t="s">
        <v>1</v>
      </c>
      <c r="T78" s="58">
        <v>0.25</v>
      </c>
      <c r="U78" s="77" t="s">
        <v>422</v>
      </c>
      <c r="V78" s="66"/>
      <c r="W78" s="57"/>
      <c r="X78" s="58"/>
      <c r="Y78" s="77"/>
      <c r="Z78" s="120">
        <f>+ROUND((ROUND((ROUND((ROUND((ROUND((_15_同援日１．０＿０．５*_15・通訳),0)*_15・２人),0)*(1+_15・B深夜)),0)*(1+_15・盲ろう)),0)*(1+_15・区４)),0)</f>
        <v>305</v>
      </c>
      <c r="AA78" s="69"/>
    </row>
    <row r="79" spans="1:27" ht="16.5" customHeight="1" x14ac:dyDescent="0.3">
      <c r="A79" s="2">
        <v>15</v>
      </c>
      <c r="B79" s="2" t="s">
        <v>4519</v>
      </c>
      <c r="C79" s="83" t="s">
        <v>14973</v>
      </c>
      <c r="D79" s="103"/>
      <c r="E79" s="82"/>
      <c r="F79" s="103"/>
      <c r="G79" s="233" t="s">
        <v>6121</v>
      </c>
      <c r="H79" s="62"/>
      <c r="I79" s="75"/>
      <c r="J79" s="67"/>
      <c r="K79" s="68"/>
      <c r="L79" s="76"/>
      <c r="M79" s="85"/>
      <c r="N79" s="64"/>
      <c r="O79" s="65"/>
      <c r="P79" s="99"/>
      <c r="Q79" s="70"/>
      <c r="R79" s="61"/>
      <c r="S79" s="62"/>
      <c r="T79" s="63"/>
      <c r="U79" s="75"/>
      <c r="V79" s="61"/>
      <c r="W79" s="62"/>
      <c r="X79" s="63"/>
      <c r="Y79" s="75"/>
      <c r="Z79" s="120">
        <f>+ROUND((ROUND((_15_同援日１．０＿１．０*_15・通訳),0)*(1+_15・B深夜)),0)</f>
        <v>261</v>
      </c>
      <c r="AA79" s="69"/>
    </row>
    <row r="80" spans="1:27" ht="16.5" customHeight="1" x14ac:dyDescent="0.3">
      <c r="A80" s="2">
        <v>15</v>
      </c>
      <c r="B80" s="2" t="s">
        <v>4520</v>
      </c>
      <c r="C80" s="83" t="s">
        <v>14972</v>
      </c>
      <c r="D80" s="103"/>
      <c r="E80" s="82"/>
      <c r="F80" s="103"/>
      <c r="G80" s="1" t="s">
        <v>17067</v>
      </c>
      <c r="H80" s="68"/>
      <c r="I80" s="70"/>
      <c r="J80" s="67"/>
      <c r="K80" s="68"/>
      <c r="L80" s="76"/>
      <c r="M80" s="83" t="s">
        <v>5895</v>
      </c>
      <c r="N80" s="64" t="s">
        <v>1</v>
      </c>
      <c r="O80" s="65">
        <v>1</v>
      </c>
      <c r="P80" s="99"/>
      <c r="Q80" s="70"/>
      <c r="R80" s="66"/>
      <c r="S80" s="57"/>
      <c r="T80" s="58"/>
      <c r="U80" s="77"/>
      <c r="V80" s="67"/>
      <c r="W80" s="68"/>
      <c r="X80" s="76"/>
      <c r="Y80" s="70"/>
      <c r="Z80" s="120">
        <f>+ROUND((ROUND((ROUND((_15_同援日１．０＿１．０*_15・通訳),0)*_15・２人),0)*(1+_15・B深夜)),0)</f>
        <v>261</v>
      </c>
      <c r="AA80" s="69"/>
    </row>
    <row r="81" spans="1:27" ht="16.5" customHeight="1" x14ac:dyDescent="0.3">
      <c r="A81" s="2">
        <v>15</v>
      </c>
      <c r="B81" s="2" t="s">
        <v>4521</v>
      </c>
      <c r="C81" s="83" t="s">
        <v>14971</v>
      </c>
      <c r="D81" s="103"/>
      <c r="E81" s="82"/>
      <c r="F81" s="103"/>
      <c r="G81" s="1" t="s">
        <v>8572</v>
      </c>
      <c r="H81" s="68"/>
      <c r="I81" s="70"/>
      <c r="J81" s="67"/>
      <c r="K81" s="68"/>
      <c r="L81" s="76"/>
      <c r="M81" s="85"/>
      <c r="N81" s="64"/>
      <c r="O81" s="65"/>
      <c r="P81" s="99"/>
      <c r="Q81" s="70"/>
      <c r="R81" s="74" t="s">
        <v>17969</v>
      </c>
      <c r="S81" s="62"/>
      <c r="T81" s="63"/>
      <c r="U81" s="75"/>
      <c r="V81" s="67"/>
      <c r="W81" s="68"/>
      <c r="X81" s="76"/>
      <c r="Y81" s="70"/>
      <c r="Z81" s="120">
        <f>+ROUND((ROUND((ROUND((_15_同援日１．０＿１．０*_15・通訳),0)*(1+_15・B深夜)),0)*(1+_15・盲ろう)),0)</f>
        <v>326</v>
      </c>
      <c r="AA81" s="69"/>
    </row>
    <row r="82" spans="1:27" ht="16.5" customHeight="1" x14ac:dyDescent="0.3">
      <c r="A82" s="2">
        <v>15</v>
      </c>
      <c r="B82" s="2" t="s">
        <v>4522</v>
      </c>
      <c r="C82" s="83" t="s">
        <v>14970</v>
      </c>
      <c r="D82" s="103"/>
      <c r="E82" s="82"/>
      <c r="F82" s="103"/>
      <c r="G82" s="1"/>
      <c r="H82" s="119">
        <v>193</v>
      </c>
      <c r="I82" s="70" t="s">
        <v>0</v>
      </c>
      <c r="J82" s="67"/>
      <c r="K82" s="68"/>
      <c r="L82" s="76"/>
      <c r="M82" s="83" t="s">
        <v>5895</v>
      </c>
      <c r="N82" s="64" t="s">
        <v>1</v>
      </c>
      <c r="O82" s="65">
        <v>1</v>
      </c>
      <c r="P82" s="99"/>
      <c r="Q82" s="70"/>
      <c r="R82" s="106" t="s">
        <v>18086</v>
      </c>
      <c r="S82" s="57" t="s">
        <v>1</v>
      </c>
      <c r="T82" s="58">
        <v>0.25</v>
      </c>
      <c r="U82" s="77" t="s">
        <v>422</v>
      </c>
      <c r="V82" s="66"/>
      <c r="W82" s="57"/>
      <c r="X82" s="58"/>
      <c r="Y82" s="77"/>
      <c r="Z82" s="120">
        <f>+ROUND((ROUND((ROUND((ROUND((_15_同援日１．０＿１．０*_15・通訳),0)*_15・２人),0)*(1+_15・B深夜)),0)*(1+_15・盲ろう)),0)</f>
        <v>326</v>
      </c>
      <c r="AA82" s="69"/>
    </row>
    <row r="83" spans="1:27" ht="16.5" customHeight="1" x14ac:dyDescent="0.3">
      <c r="A83" s="2">
        <v>15</v>
      </c>
      <c r="B83" s="2" t="s">
        <v>4523</v>
      </c>
      <c r="C83" s="83" t="s">
        <v>14969</v>
      </c>
      <c r="D83" s="103"/>
      <c r="E83" s="82"/>
      <c r="F83" s="103"/>
      <c r="G83" s="1"/>
      <c r="H83" s="68"/>
      <c r="I83" s="70"/>
      <c r="J83" s="67"/>
      <c r="K83" s="68"/>
      <c r="L83" s="76"/>
      <c r="M83" s="85"/>
      <c r="N83" s="64"/>
      <c r="O83" s="65"/>
      <c r="P83" s="99"/>
      <c r="Q83" s="70"/>
      <c r="R83" s="61"/>
      <c r="S83" s="62"/>
      <c r="T83" s="63"/>
      <c r="U83" s="75"/>
      <c r="V83" s="74" t="s">
        <v>17974</v>
      </c>
      <c r="W83" s="62"/>
      <c r="X83" s="63"/>
      <c r="Y83" s="75"/>
      <c r="Z83" s="120">
        <f>+ROUND((ROUND((ROUND((_15_同援日１．０＿１．０*_15・通訳),0)*(1+_15・B深夜)),0)*(1+_15・区３)),0)</f>
        <v>313</v>
      </c>
      <c r="AA83" s="69"/>
    </row>
    <row r="84" spans="1:27" ht="16.5" customHeight="1" x14ac:dyDescent="0.3">
      <c r="A84" s="2">
        <v>15</v>
      </c>
      <c r="B84" s="2" t="s">
        <v>4524</v>
      </c>
      <c r="C84" s="83" t="s">
        <v>14968</v>
      </c>
      <c r="D84" s="103"/>
      <c r="E84" s="82"/>
      <c r="F84" s="103"/>
      <c r="G84" s="1"/>
      <c r="H84" s="68"/>
      <c r="I84" s="70"/>
      <c r="J84" s="67"/>
      <c r="K84" s="68"/>
      <c r="L84" s="76"/>
      <c r="M84" s="83" t="s">
        <v>5895</v>
      </c>
      <c r="N84" s="64" t="s">
        <v>1</v>
      </c>
      <c r="O84" s="65">
        <v>1</v>
      </c>
      <c r="P84" s="99"/>
      <c r="Q84" s="70"/>
      <c r="R84" s="66"/>
      <c r="S84" s="57"/>
      <c r="T84" s="58"/>
      <c r="U84" s="77"/>
      <c r="V84" s="94" t="s">
        <v>17970</v>
      </c>
      <c r="W84" s="68"/>
      <c r="X84" s="76"/>
      <c r="Y84" s="70"/>
      <c r="Z84" s="120">
        <f>+ROUND((ROUND((ROUND((ROUND((_15_同援日１．０＿１．０*_15・通訳),0)*_15・２人),0)*(1+_15・B深夜)),0)*(1+_15・区３)),0)</f>
        <v>313</v>
      </c>
      <c r="AA84" s="69"/>
    </row>
    <row r="85" spans="1:27" ht="16.5" customHeight="1" x14ac:dyDescent="0.3">
      <c r="A85" s="2">
        <v>15</v>
      </c>
      <c r="B85" s="2" t="s">
        <v>4525</v>
      </c>
      <c r="C85" s="83" t="s">
        <v>14967</v>
      </c>
      <c r="D85" s="103"/>
      <c r="E85" s="82"/>
      <c r="F85" s="103"/>
      <c r="G85" s="1"/>
      <c r="H85" s="68"/>
      <c r="I85" s="70"/>
      <c r="J85" s="67"/>
      <c r="K85" s="68"/>
      <c r="L85" s="76"/>
      <c r="M85" s="85"/>
      <c r="N85" s="64"/>
      <c r="O85" s="65"/>
      <c r="P85" s="99"/>
      <c r="Q85" s="70"/>
      <c r="R85" s="74" t="s">
        <v>17969</v>
      </c>
      <c r="S85" s="62"/>
      <c r="T85" s="63"/>
      <c r="U85" s="75"/>
      <c r="V85" s="67"/>
      <c r="W85" s="68" t="s">
        <v>1</v>
      </c>
      <c r="X85" s="76">
        <v>0.2</v>
      </c>
      <c r="Y85" s="70" t="s">
        <v>422</v>
      </c>
      <c r="Z85" s="120">
        <f>+ROUND((ROUND((ROUND((ROUND((_15_同援日１．０＿１．０*_15・通訳),0)*(1+_15・B深夜)),0)*(1+_15・盲ろう)),0)*(1+_15・区３)),0)</f>
        <v>391</v>
      </c>
      <c r="AA85" s="69"/>
    </row>
    <row r="86" spans="1:27" ht="16.5" customHeight="1" x14ac:dyDescent="0.3">
      <c r="A86" s="2">
        <v>15</v>
      </c>
      <c r="B86" s="2" t="s">
        <v>4526</v>
      </c>
      <c r="C86" s="83" t="s">
        <v>14966</v>
      </c>
      <c r="D86" s="103"/>
      <c r="E86" s="82"/>
      <c r="F86" s="103"/>
      <c r="G86" s="1"/>
      <c r="H86" s="68"/>
      <c r="I86" s="70"/>
      <c r="J86" s="67"/>
      <c r="K86" s="68"/>
      <c r="L86" s="76"/>
      <c r="M86" s="83" t="s">
        <v>5895</v>
      </c>
      <c r="N86" s="64" t="s">
        <v>1</v>
      </c>
      <c r="O86" s="65">
        <v>1</v>
      </c>
      <c r="P86" s="99"/>
      <c r="Q86" s="70"/>
      <c r="R86" s="106" t="s">
        <v>18086</v>
      </c>
      <c r="S86" s="57" t="s">
        <v>1</v>
      </c>
      <c r="T86" s="58">
        <v>0.25</v>
      </c>
      <c r="U86" s="77" t="s">
        <v>422</v>
      </c>
      <c r="V86" s="66"/>
      <c r="W86" s="57"/>
      <c r="X86" s="58"/>
      <c r="Y86" s="77"/>
      <c r="Z86" s="120">
        <f>+ROUND((ROUND((ROUND((ROUND((ROUND((_15_同援日１．０＿１．０*_15・通訳),0)*_15・２人),0)*(1+_15・B深夜)),0)*(1+_15・盲ろう)),0)*(1+_15・区３)),0)</f>
        <v>391</v>
      </c>
      <c r="AA86" s="69"/>
    </row>
    <row r="87" spans="1:27" ht="16.5" customHeight="1" x14ac:dyDescent="0.3">
      <c r="A87" s="2">
        <v>15</v>
      </c>
      <c r="B87" s="2" t="s">
        <v>4527</v>
      </c>
      <c r="C87" s="83" t="s">
        <v>14965</v>
      </c>
      <c r="D87" s="103"/>
      <c r="E87" s="82"/>
      <c r="F87" s="103"/>
      <c r="G87" s="1"/>
      <c r="H87" s="68"/>
      <c r="I87" s="70"/>
      <c r="J87" s="67"/>
      <c r="K87" s="68"/>
      <c r="L87" s="76"/>
      <c r="M87" s="85"/>
      <c r="N87" s="64"/>
      <c r="O87" s="65"/>
      <c r="P87" s="99"/>
      <c r="Q87" s="70"/>
      <c r="R87" s="61"/>
      <c r="S87" s="62"/>
      <c r="T87" s="63"/>
      <c r="U87" s="75"/>
      <c r="V87" s="74" t="s">
        <v>17971</v>
      </c>
      <c r="W87" s="62"/>
      <c r="X87" s="63"/>
      <c r="Y87" s="75"/>
      <c r="Z87" s="120">
        <f>+ROUND((ROUND((ROUND((_15_同援日１．０＿１．０*_15・通訳),0)*(1+_15・B深夜)),0)*(1+_15・区４)),0)</f>
        <v>365</v>
      </c>
      <c r="AA87" s="69"/>
    </row>
    <row r="88" spans="1:27" ht="16.5" customHeight="1" x14ac:dyDescent="0.3">
      <c r="A88" s="2">
        <v>15</v>
      </c>
      <c r="B88" s="2" t="s">
        <v>4528</v>
      </c>
      <c r="C88" s="83" t="s">
        <v>14964</v>
      </c>
      <c r="D88" s="103"/>
      <c r="E88" s="82"/>
      <c r="F88" s="103"/>
      <c r="G88" s="1"/>
      <c r="H88" s="68"/>
      <c r="I88" s="70"/>
      <c r="J88" s="67"/>
      <c r="K88" s="68"/>
      <c r="L88" s="76"/>
      <c r="M88" s="83" t="s">
        <v>5895</v>
      </c>
      <c r="N88" s="64" t="s">
        <v>1</v>
      </c>
      <c r="O88" s="65">
        <v>1</v>
      </c>
      <c r="P88" s="99"/>
      <c r="Q88" s="70"/>
      <c r="R88" s="66"/>
      <c r="S88" s="57"/>
      <c r="T88" s="58"/>
      <c r="U88" s="77"/>
      <c r="V88" s="94" t="s">
        <v>17970</v>
      </c>
      <c r="W88" s="68"/>
      <c r="X88" s="76"/>
      <c r="Y88" s="70"/>
      <c r="Z88" s="120">
        <f>+ROUND((ROUND((ROUND((ROUND((_15_同援日１．０＿１．０*_15・通訳),0)*_15・２人),0)*(1+_15・B深夜)),0)*(1+_15・区４)),0)</f>
        <v>365</v>
      </c>
      <c r="AA88" s="69"/>
    </row>
    <row r="89" spans="1:27" ht="16.5" customHeight="1" x14ac:dyDescent="0.3">
      <c r="A89" s="2">
        <v>15</v>
      </c>
      <c r="B89" s="2" t="s">
        <v>4529</v>
      </c>
      <c r="C89" s="83" t="s">
        <v>14963</v>
      </c>
      <c r="D89" s="103"/>
      <c r="E89" s="82"/>
      <c r="F89" s="103"/>
      <c r="G89" s="1"/>
      <c r="H89" s="68"/>
      <c r="I89" s="70"/>
      <c r="J89" s="67"/>
      <c r="K89" s="68"/>
      <c r="L89" s="76"/>
      <c r="M89" s="85"/>
      <c r="N89" s="64"/>
      <c r="O89" s="65"/>
      <c r="P89" s="99"/>
      <c r="Q89" s="70"/>
      <c r="R89" s="74" t="s">
        <v>17969</v>
      </c>
      <c r="S89" s="62"/>
      <c r="T89" s="63"/>
      <c r="U89" s="75"/>
      <c r="V89" s="67"/>
      <c r="W89" s="68" t="s">
        <v>1</v>
      </c>
      <c r="X89" s="76">
        <v>0.4</v>
      </c>
      <c r="Y89" s="70" t="s">
        <v>422</v>
      </c>
      <c r="Z89" s="120">
        <f>+ROUND((ROUND((ROUND((ROUND((_15_同援日１．０＿１．０*_15・通訳),0)*(1+_15・B深夜)),0)*(1+_15・盲ろう)),0)*(1+_15・区４)),0)</f>
        <v>456</v>
      </c>
      <c r="AA89" s="69"/>
    </row>
    <row r="90" spans="1:27" ht="16.5" customHeight="1" x14ac:dyDescent="0.3">
      <c r="A90" s="2">
        <v>15</v>
      </c>
      <c r="B90" s="2" t="s">
        <v>4530</v>
      </c>
      <c r="C90" s="83" t="s">
        <v>14962</v>
      </c>
      <c r="D90" s="103"/>
      <c r="E90" s="82"/>
      <c r="F90" s="103"/>
      <c r="G90" s="81"/>
      <c r="H90" s="57"/>
      <c r="I90" s="77"/>
      <c r="J90" s="67"/>
      <c r="K90" s="68"/>
      <c r="L90" s="76"/>
      <c r="M90" s="83" t="s">
        <v>5895</v>
      </c>
      <c r="N90" s="64" t="s">
        <v>1</v>
      </c>
      <c r="O90" s="65">
        <v>1</v>
      </c>
      <c r="P90" s="99"/>
      <c r="Q90" s="70"/>
      <c r="R90" s="106" t="s">
        <v>17968</v>
      </c>
      <c r="S90" s="57" t="s">
        <v>1</v>
      </c>
      <c r="T90" s="58">
        <v>0.25</v>
      </c>
      <c r="U90" s="77" t="s">
        <v>422</v>
      </c>
      <c r="V90" s="66"/>
      <c r="W90" s="57"/>
      <c r="X90" s="58"/>
      <c r="Y90" s="77"/>
      <c r="Z90" s="120">
        <f>+ROUND((ROUND((ROUND((ROUND((ROUND((_15_同援日１．０＿１．０*_15・通訳),0)*_15・２人),0)*(1+_15・B深夜)),0)*(1+_15・盲ろう)),0)*(1+_15・区４)),0)</f>
        <v>456</v>
      </c>
      <c r="AA90" s="69"/>
    </row>
    <row r="91" spans="1:27" ht="16.5" customHeight="1" x14ac:dyDescent="0.3">
      <c r="A91" s="2">
        <v>15</v>
      </c>
      <c r="B91" s="2" t="s">
        <v>4531</v>
      </c>
      <c r="C91" s="83" t="s">
        <v>14961</v>
      </c>
      <c r="D91" s="103"/>
      <c r="E91" s="82"/>
      <c r="F91" s="103"/>
      <c r="G91" s="233" t="s">
        <v>16958</v>
      </c>
      <c r="H91" s="62"/>
      <c r="I91" s="75"/>
      <c r="J91" s="67"/>
      <c r="K91" s="68"/>
      <c r="L91" s="76"/>
      <c r="M91" s="85"/>
      <c r="N91" s="64"/>
      <c r="O91" s="65"/>
      <c r="P91" s="99"/>
      <c r="Q91" s="70"/>
      <c r="R91" s="61"/>
      <c r="S91" s="62"/>
      <c r="T91" s="63"/>
      <c r="U91" s="75"/>
      <c r="V91" s="61"/>
      <c r="W91" s="62"/>
      <c r="X91" s="63"/>
      <c r="Y91" s="75"/>
      <c r="Z91" s="120">
        <f>+ROUND((ROUND((_15_同援日１．０＿１．５*_15・通訳),0)*(1+_15・B深夜)),0)</f>
        <v>345</v>
      </c>
      <c r="AA91" s="69"/>
    </row>
    <row r="92" spans="1:27" ht="16.5" customHeight="1" x14ac:dyDescent="0.3">
      <c r="A92" s="2">
        <v>15</v>
      </c>
      <c r="B92" s="2" t="s">
        <v>4532</v>
      </c>
      <c r="C92" s="83" t="s">
        <v>14960</v>
      </c>
      <c r="D92" s="103"/>
      <c r="E92" s="82"/>
      <c r="F92" s="103"/>
      <c r="G92" s="1" t="s">
        <v>16871</v>
      </c>
      <c r="H92" s="68"/>
      <c r="I92" s="70"/>
      <c r="J92" s="67"/>
      <c r="K92" s="68"/>
      <c r="L92" s="76"/>
      <c r="M92" s="83" t="s">
        <v>5895</v>
      </c>
      <c r="N92" s="64" t="s">
        <v>1</v>
      </c>
      <c r="O92" s="65">
        <v>1</v>
      </c>
      <c r="P92" s="99"/>
      <c r="Q92" s="70"/>
      <c r="R92" s="66"/>
      <c r="S92" s="57"/>
      <c r="T92" s="58"/>
      <c r="U92" s="77"/>
      <c r="V92" s="67"/>
      <c r="W92" s="68"/>
      <c r="X92" s="76"/>
      <c r="Y92" s="70"/>
      <c r="Z92" s="120">
        <f>+ROUND((ROUND((ROUND((_15_同援日１．０＿１．５*_15・通訳),0)*_15・２人),0)*(1+_15・B深夜)),0)</f>
        <v>345</v>
      </c>
      <c r="AA92" s="69"/>
    </row>
    <row r="93" spans="1:27" ht="16.5" customHeight="1" x14ac:dyDescent="0.3">
      <c r="A93" s="2">
        <v>15</v>
      </c>
      <c r="B93" s="2" t="s">
        <v>4533</v>
      </c>
      <c r="C93" s="83" t="s">
        <v>14959</v>
      </c>
      <c r="D93" s="103"/>
      <c r="E93" s="82"/>
      <c r="F93" s="103"/>
      <c r="G93" s="1" t="s">
        <v>8767</v>
      </c>
      <c r="H93" s="68"/>
      <c r="I93" s="70"/>
      <c r="J93" s="67"/>
      <c r="K93" s="68"/>
      <c r="L93" s="76"/>
      <c r="M93" s="85"/>
      <c r="N93" s="64"/>
      <c r="O93" s="65"/>
      <c r="P93" s="99"/>
      <c r="Q93" s="70"/>
      <c r="R93" s="74" t="s">
        <v>17969</v>
      </c>
      <c r="S93" s="62"/>
      <c r="T93" s="63"/>
      <c r="U93" s="75"/>
      <c r="V93" s="67"/>
      <c r="W93" s="68"/>
      <c r="X93" s="76"/>
      <c r="Y93" s="70"/>
      <c r="Z93" s="120">
        <f>+ROUND((ROUND((ROUND((_15_同援日１．０＿１．５*_15・通訳),0)*(1+_15・B深夜)),0)*(1+_15・盲ろう)),0)</f>
        <v>431</v>
      </c>
      <c r="AA93" s="69"/>
    </row>
    <row r="94" spans="1:27" ht="16.5" customHeight="1" x14ac:dyDescent="0.3">
      <c r="A94" s="2">
        <v>15</v>
      </c>
      <c r="B94" s="2" t="s">
        <v>4534</v>
      </c>
      <c r="C94" s="83" t="s">
        <v>14958</v>
      </c>
      <c r="D94" s="103"/>
      <c r="E94" s="82"/>
      <c r="F94" s="103"/>
      <c r="G94" s="1"/>
      <c r="H94" s="119">
        <v>256</v>
      </c>
      <c r="I94" s="70" t="s">
        <v>0</v>
      </c>
      <c r="J94" s="67"/>
      <c r="K94" s="68"/>
      <c r="L94" s="76"/>
      <c r="M94" s="83" t="s">
        <v>5895</v>
      </c>
      <c r="N94" s="64" t="s">
        <v>1</v>
      </c>
      <c r="O94" s="65">
        <v>1</v>
      </c>
      <c r="P94" s="99"/>
      <c r="Q94" s="70"/>
      <c r="R94" s="106" t="s">
        <v>17968</v>
      </c>
      <c r="S94" s="57" t="s">
        <v>1</v>
      </c>
      <c r="T94" s="58">
        <v>0.25</v>
      </c>
      <c r="U94" s="77" t="s">
        <v>422</v>
      </c>
      <c r="V94" s="66"/>
      <c r="W94" s="57"/>
      <c r="X94" s="58"/>
      <c r="Y94" s="77"/>
      <c r="Z94" s="120">
        <f>+ROUND((ROUND((ROUND((ROUND((_15_同援日１．０＿１．５*_15・通訳),0)*_15・２人),0)*(1+_15・B深夜)),0)*(1+_15・盲ろう)),0)</f>
        <v>431</v>
      </c>
      <c r="AA94" s="69"/>
    </row>
    <row r="95" spans="1:27" ht="16.5" customHeight="1" x14ac:dyDescent="0.3">
      <c r="A95" s="2">
        <v>15</v>
      </c>
      <c r="B95" s="2" t="s">
        <v>4535</v>
      </c>
      <c r="C95" s="83" t="s">
        <v>14957</v>
      </c>
      <c r="D95" s="103"/>
      <c r="E95" s="82"/>
      <c r="F95" s="103"/>
      <c r="G95" s="1"/>
      <c r="H95" s="68"/>
      <c r="I95" s="70"/>
      <c r="J95" s="67"/>
      <c r="K95" s="68"/>
      <c r="L95" s="76"/>
      <c r="M95" s="85"/>
      <c r="N95" s="64"/>
      <c r="O95" s="65"/>
      <c r="P95" s="99"/>
      <c r="Q95" s="70"/>
      <c r="R95" s="61"/>
      <c r="S95" s="62"/>
      <c r="T95" s="63"/>
      <c r="U95" s="75"/>
      <c r="V95" s="74" t="s">
        <v>17974</v>
      </c>
      <c r="W95" s="62"/>
      <c r="X95" s="63"/>
      <c r="Y95" s="75"/>
      <c r="Z95" s="120">
        <f>+ROUND((ROUND((ROUND((_15_同援日１．０＿１．５*_15・通訳),0)*(1+_15・B深夜)),0)*(1+_15・区３)),0)</f>
        <v>414</v>
      </c>
      <c r="AA95" s="69"/>
    </row>
    <row r="96" spans="1:27" ht="16.5" customHeight="1" x14ac:dyDescent="0.3">
      <c r="A96" s="2">
        <v>15</v>
      </c>
      <c r="B96" s="2" t="s">
        <v>4536</v>
      </c>
      <c r="C96" s="83" t="s">
        <v>14956</v>
      </c>
      <c r="D96" s="103"/>
      <c r="E96" s="82"/>
      <c r="F96" s="103"/>
      <c r="G96" s="1"/>
      <c r="H96" s="68"/>
      <c r="I96" s="70"/>
      <c r="J96" s="67"/>
      <c r="K96" s="68"/>
      <c r="L96" s="76"/>
      <c r="M96" s="83" t="s">
        <v>5895</v>
      </c>
      <c r="N96" s="64" t="s">
        <v>1</v>
      </c>
      <c r="O96" s="65">
        <v>1</v>
      </c>
      <c r="P96" s="99"/>
      <c r="Q96" s="70"/>
      <c r="R96" s="66"/>
      <c r="S96" s="57"/>
      <c r="T96" s="58"/>
      <c r="U96" s="77"/>
      <c r="V96" s="94" t="s">
        <v>18084</v>
      </c>
      <c r="W96" s="68"/>
      <c r="X96" s="76"/>
      <c r="Y96" s="70"/>
      <c r="Z96" s="120">
        <f>+ROUND((ROUND((ROUND((ROUND((_15_同援日１．０＿１．５*_15・通訳),0)*_15・２人),0)*(1+_15・B深夜)),0)*(1+_15・区３)),0)</f>
        <v>414</v>
      </c>
      <c r="AA96" s="69"/>
    </row>
    <row r="97" spans="1:27" ht="16.5" customHeight="1" x14ac:dyDescent="0.3">
      <c r="A97" s="2">
        <v>15</v>
      </c>
      <c r="B97" s="2" t="s">
        <v>4537</v>
      </c>
      <c r="C97" s="83" t="s">
        <v>14955</v>
      </c>
      <c r="D97" s="103"/>
      <c r="E97" s="82"/>
      <c r="F97" s="103"/>
      <c r="G97" s="1"/>
      <c r="H97" s="68"/>
      <c r="I97" s="70"/>
      <c r="J97" s="67"/>
      <c r="K97" s="68"/>
      <c r="L97" s="76"/>
      <c r="M97" s="85"/>
      <c r="N97" s="64"/>
      <c r="O97" s="65"/>
      <c r="P97" s="99"/>
      <c r="Q97" s="70"/>
      <c r="R97" s="74" t="s">
        <v>17969</v>
      </c>
      <c r="S97" s="62"/>
      <c r="T97" s="63"/>
      <c r="U97" s="75"/>
      <c r="V97" s="67"/>
      <c r="W97" s="68" t="s">
        <v>1</v>
      </c>
      <c r="X97" s="76">
        <v>0.2</v>
      </c>
      <c r="Y97" s="70" t="s">
        <v>422</v>
      </c>
      <c r="Z97" s="120">
        <f>+ROUND((ROUND((ROUND((ROUND((_15_同援日１．０＿１．５*_15・通訳),0)*(1+_15・B深夜)),0)*(1+_15・盲ろう)),0)*(1+_15・区３)),0)</f>
        <v>517</v>
      </c>
      <c r="AA97" s="69"/>
    </row>
    <row r="98" spans="1:27" ht="16.5" customHeight="1" x14ac:dyDescent="0.3">
      <c r="A98" s="2">
        <v>15</v>
      </c>
      <c r="B98" s="2" t="s">
        <v>4538</v>
      </c>
      <c r="C98" s="83" t="s">
        <v>14954</v>
      </c>
      <c r="D98" s="103"/>
      <c r="E98" s="82"/>
      <c r="F98" s="103"/>
      <c r="G98" s="1"/>
      <c r="H98" s="68"/>
      <c r="I98" s="70"/>
      <c r="J98" s="67"/>
      <c r="K98" s="68"/>
      <c r="L98" s="76"/>
      <c r="M98" s="83" t="s">
        <v>5895</v>
      </c>
      <c r="N98" s="64" t="s">
        <v>1</v>
      </c>
      <c r="O98" s="65">
        <v>1</v>
      </c>
      <c r="P98" s="99"/>
      <c r="Q98" s="70"/>
      <c r="R98" s="106" t="s">
        <v>17968</v>
      </c>
      <c r="S98" s="57" t="s">
        <v>1</v>
      </c>
      <c r="T98" s="58">
        <v>0.25</v>
      </c>
      <c r="U98" s="77" t="s">
        <v>422</v>
      </c>
      <c r="V98" s="66"/>
      <c r="W98" s="57"/>
      <c r="X98" s="58"/>
      <c r="Y98" s="77"/>
      <c r="Z98" s="120">
        <f>+ROUND((ROUND((ROUND((ROUND((ROUND((_15_同援日１．０＿１．５*_15・通訳),0)*_15・２人),0)*(1+_15・B深夜)),0)*(1+_15・盲ろう)),0)*(1+_15・区３)),0)</f>
        <v>517</v>
      </c>
      <c r="AA98" s="69"/>
    </row>
    <row r="99" spans="1:27" ht="16.5" customHeight="1" x14ac:dyDescent="0.3">
      <c r="A99" s="2">
        <v>15</v>
      </c>
      <c r="B99" s="2" t="s">
        <v>4539</v>
      </c>
      <c r="C99" s="83" t="s">
        <v>14953</v>
      </c>
      <c r="D99" s="103"/>
      <c r="E99" s="82"/>
      <c r="F99" s="103"/>
      <c r="G99" s="1"/>
      <c r="H99" s="68"/>
      <c r="I99" s="70"/>
      <c r="J99" s="67"/>
      <c r="K99" s="68"/>
      <c r="L99" s="76"/>
      <c r="M99" s="85"/>
      <c r="N99" s="64"/>
      <c r="O99" s="65"/>
      <c r="P99" s="99"/>
      <c r="Q99" s="70"/>
      <c r="R99" s="61"/>
      <c r="S99" s="62"/>
      <c r="T99" s="63"/>
      <c r="U99" s="75"/>
      <c r="V99" s="74" t="s">
        <v>17971</v>
      </c>
      <c r="W99" s="62"/>
      <c r="X99" s="63"/>
      <c r="Y99" s="75"/>
      <c r="Z99" s="120">
        <f>+ROUND((ROUND((ROUND((_15_同援日１．０＿１．５*_15・通訳),0)*(1+_15・B深夜)),0)*(1+_15・区４)),0)</f>
        <v>483</v>
      </c>
      <c r="AA99" s="69"/>
    </row>
    <row r="100" spans="1:27" ht="16.5" customHeight="1" x14ac:dyDescent="0.3">
      <c r="A100" s="2">
        <v>15</v>
      </c>
      <c r="B100" s="2" t="s">
        <v>4540</v>
      </c>
      <c r="C100" s="83" t="s">
        <v>14952</v>
      </c>
      <c r="D100" s="103"/>
      <c r="E100" s="82"/>
      <c r="F100" s="103"/>
      <c r="G100" s="1"/>
      <c r="H100" s="68"/>
      <c r="I100" s="70"/>
      <c r="J100" s="67"/>
      <c r="K100" s="68"/>
      <c r="L100" s="76"/>
      <c r="M100" s="83" t="s">
        <v>5895</v>
      </c>
      <c r="N100" s="64" t="s">
        <v>1</v>
      </c>
      <c r="O100" s="65">
        <v>1</v>
      </c>
      <c r="P100" s="99"/>
      <c r="Q100" s="70"/>
      <c r="R100" s="66"/>
      <c r="S100" s="57"/>
      <c r="T100" s="58"/>
      <c r="U100" s="77"/>
      <c r="V100" s="94" t="s">
        <v>17970</v>
      </c>
      <c r="W100" s="68"/>
      <c r="X100" s="76"/>
      <c r="Y100" s="70"/>
      <c r="Z100" s="120">
        <f>+ROUND((ROUND((ROUND((ROUND((_15_同援日１．０＿１．５*_15・通訳),0)*_15・２人),0)*(1+_15・B深夜)),0)*(1+_15・区４)),0)</f>
        <v>483</v>
      </c>
      <c r="AA100" s="69"/>
    </row>
    <row r="101" spans="1:27" ht="16.5" customHeight="1" x14ac:dyDescent="0.3">
      <c r="A101" s="2">
        <v>15</v>
      </c>
      <c r="B101" s="2" t="s">
        <v>4541</v>
      </c>
      <c r="C101" s="83" t="s">
        <v>14951</v>
      </c>
      <c r="D101" s="103"/>
      <c r="E101" s="82"/>
      <c r="F101" s="103"/>
      <c r="G101" s="1"/>
      <c r="H101" s="68"/>
      <c r="I101" s="70"/>
      <c r="J101" s="67"/>
      <c r="K101" s="68"/>
      <c r="L101" s="76"/>
      <c r="M101" s="85"/>
      <c r="N101" s="64"/>
      <c r="O101" s="65"/>
      <c r="P101" s="99"/>
      <c r="Q101" s="70"/>
      <c r="R101" s="74" t="s">
        <v>18087</v>
      </c>
      <c r="S101" s="62"/>
      <c r="T101" s="63"/>
      <c r="U101" s="75"/>
      <c r="V101" s="67"/>
      <c r="W101" s="68" t="s">
        <v>1</v>
      </c>
      <c r="X101" s="76">
        <v>0.4</v>
      </c>
      <c r="Y101" s="70" t="s">
        <v>422</v>
      </c>
      <c r="Z101" s="120">
        <f>+ROUND((ROUND((ROUND((ROUND((_15_同援日１．０＿１．５*_15・通訳),0)*(1+_15・B深夜)),0)*(1+_15・盲ろう)),0)*(1+_15・区４)),0)</f>
        <v>603</v>
      </c>
      <c r="AA101" s="69"/>
    </row>
    <row r="102" spans="1:27" ht="16.5" customHeight="1" x14ac:dyDescent="0.3">
      <c r="A102" s="2">
        <v>15</v>
      </c>
      <c r="B102" s="2" t="s">
        <v>4542</v>
      </c>
      <c r="C102" s="83" t="s">
        <v>14950</v>
      </c>
      <c r="D102" s="103"/>
      <c r="E102" s="82"/>
      <c r="F102" s="103"/>
      <c r="G102" s="81"/>
      <c r="H102" s="57"/>
      <c r="I102" s="77"/>
      <c r="J102" s="67"/>
      <c r="K102" s="68"/>
      <c r="L102" s="76"/>
      <c r="M102" s="83" t="s">
        <v>5895</v>
      </c>
      <c r="N102" s="64" t="s">
        <v>1</v>
      </c>
      <c r="O102" s="65">
        <v>1</v>
      </c>
      <c r="P102" s="99"/>
      <c r="Q102" s="70"/>
      <c r="R102" s="106" t="s">
        <v>17968</v>
      </c>
      <c r="S102" s="57" t="s">
        <v>1</v>
      </c>
      <c r="T102" s="58">
        <v>0.25</v>
      </c>
      <c r="U102" s="77" t="s">
        <v>422</v>
      </c>
      <c r="V102" s="66"/>
      <c r="W102" s="57"/>
      <c r="X102" s="58"/>
      <c r="Y102" s="77"/>
      <c r="Z102" s="120">
        <f>+ROUND((ROUND((ROUND((ROUND((ROUND((_15_同援日１．０＿１．５*_15・通訳),0)*_15・２人),0)*(1+_15・B深夜)),0)*(1+_15・盲ろう)),0)*(1+_15・区４)),0)</f>
        <v>603</v>
      </c>
      <c r="AA102" s="69"/>
    </row>
    <row r="103" spans="1:27" ht="16.5" customHeight="1" x14ac:dyDescent="0.3">
      <c r="A103" s="2">
        <v>15</v>
      </c>
      <c r="B103" s="2" t="s">
        <v>4543</v>
      </c>
      <c r="C103" s="83" t="s">
        <v>14949</v>
      </c>
      <c r="D103" s="103"/>
      <c r="E103" s="82"/>
      <c r="F103" s="103"/>
      <c r="G103" s="233" t="s">
        <v>17839</v>
      </c>
      <c r="H103" s="62"/>
      <c r="I103" s="75"/>
      <c r="J103" s="67"/>
      <c r="K103" s="68"/>
      <c r="L103" s="76"/>
      <c r="M103" s="85"/>
      <c r="N103" s="64"/>
      <c r="O103" s="65"/>
      <c r="P103" s="99"/>
      <c r="Q103" s="70"/>
      <c r="R103" s="61"/>
      <c r="S103" s="62"/>
      <c r="T103" s="63"/>
      <c r="U103" s="75"/>
      <c r="V103" s="61"/>
      <c r="W103" s="62"/>
      <c r="X103" s="63"/>
      <c r="Y103" s="75"/>
      <c r="Z103" s="120">
        <f>+ROUND((ROUND((_15_同援日１．０＿２．０*_15・通訳),0)*(1+_15・B深夜)),0)</f>
        <v>431</v>
      </c>
      <c r="AA103" s="69"/>
    </row>
    <row r="104" spans="1:27" ht="16.5" customHeight="1" x14ac:dyDescent="0.3">
      <c r="A104" s="2">
        <v>15</v>
      </c>
      <c r="B104" s="2" t="s">
        <v>4544</v>
      </c>
      <c r="C104" s="83" t="s">
        <v>14948</v>
      </c>
      <c r="D104" s="103"/>
      <c r="E104" s="82"/>
      <c r="F104" s="103"/>
      <c r="G104" s="1" t="s">
        <v>16868</v>
      </c>
      <c r="H104" s="68"/>
      <c r="I104" s="70"/>
      <c r="J104" s="67"/>
      <c r="K104" s="68"/>
      <c r="L104" s="76"/>
      <c r="M104" s="83" t="s">
        <v>5895</v>
      </c>
      <c r="N104" s="64" t="s">
        <v>1</v>
      </c>
      <c r="O104" s="65">
        <v>1</v>
      </c>
      <c r="P104" s="99"/>
      <c r="Q104" s="70"/>
      <c r="R104" s="66"/>
      <c r="S104" s="57"/>
      <c r="T104" s="58"/>
      <c r="U104" s="77"/>
      <c r="V104" s="67"/>
      <c r="W104" s="68"/>
      <c r="X104" s="76"/>
      <c r="Y104" s="70"/>
      <c r="Z104" s="120">
        <f>+ROUND((ROUND((ROUND((_15_同援日１．０＿２．０*_15・通訳),0)*_15・２人),0)*(1+_15・B深夜)),0)</f>
        <v>431</v>
      </c>
      <c r="AA104" s="69"/>
    </row>
    <row r="105" spans="1:27" ht="16.5" customHeight="1" x14ac:dyDescent="0.3">
      <c r="A105" s="2">
        <v>15</v>
      </c>
      <c r="B105" s="2" t="s">
        <v>4545</v>
      </c>
      <c r="C105" s="83" t="s">
        <v>14947</v>
      </c>
      <c r="D105" s="103"/>
      <c r="E105" s="82"/>
      <c r="F105" s="103"/>
      <c r="G105" s="1" t="s">
        <v>6448</v>
      </c>
      <c r="H105" s="68"/>
      <c r="I105" s="70"/>
      <c r="J105" s="67"/>
      <c r="K105" s="68"/>
      <c r="L105" s="76"/>
      <c r="M105" s="85"/>
      <c r="N105" s="64"/>
      <c r="O105" s="65"/>
      <c r="P105" s="99"/>
      <c r="Q105" s="70"/>
      <c r="R105" s="74" t="s">
        <v>17969</v>
      </c>
      <c r="S105" s="62"/>
      <c r="T105" s="63"/>
      <c r="U105" s="75"/>
      <c r="V105" s="67"/>
      <c r="W105" s="68"/>
      <c r="X105" s="76"/>
      <c r="Y105" s="70"/>
      <c r="Z105" s="120">
        <f>+ROUND((ROUND((ROUND((_15_同援日１．０＿２．０*_15・通訳),0)*(1+_15・B深夜)),0)*(1+_15・盲ろう)),0)</f>
        <v>539</v>
      </c>
      <c r="AA105" s="69"/>
    </row>
    <row r="106" spans="1:27" ht="16.5" customHeight="1" x14ac:dyDescent="0.3">
      <c r="A106" s="2">
        <v>15</v>
      </c>
      <c r="B106" s="2" t="s">
        <v>4546</v>
      </c>
      <c r="C106" s="83" t="s">
        <v>14946</v>
      </c>
      <c r="D106" s="103"/>
      <c r="E106" s="82"/>
      <c r="F106" s="103"/>
      <c r="G106" s="1"/>
      <c r="H106" s="119">
        <v>319</v>
      </c>
      <c r="I106" s="70" t="s">
        <v>0</v>
      </c>
      <c r="J106" s="67"/>
      <c r="K106" s="68"/>
      <c r="L106" s="76"/>
      <c r="M106" s="83" t="s">
        <v>5895</v>
      </c>
      <c r="N106" s="64" t="s">
        <v>1</v>
      </c>
      <c r="O106" s="65">
        <v>1</v>
      </c>
      <c r="P106" s="99"/>
      <c r="Q106" s="70"/>
      <c r="R106" s="106" t="s">
        <v>17968</v>
      </c>
      <c r="S106" s="57" t="s">
        <v>1</v>
      </c>
      <c r="T106" s="58">
        <v>0.25</v>
      </c>
      <c r="U106" s="77" t="s">
        <v>422</v>
      </c>
      <c r="V106" s="66"/>
      <c r="W106" s="57"/>
      <c r="X106" s="58"/>
      <c r="Y106" s="77"/>
      <c r="Z106" s="120">
        <f>+ROUND((ROUND((ROUND((ROUND((_15_同援日１．０＿２．０*_15・通訳),0)*_15・２人),0)*(1+_15・B深夜)),0)*(1+_15・盲ろう)),0)</f>
        <v>539</v>
      </c>
      <c r="AA106" s="69"/>
    </row>
    <row r="107" spans="1:27" ht="16.5" customHeight="1" x14ac:dyDescent="0.3">
      <c r="A107" s="2">
        <v>15</v>
      </c>
      <c r="B107" s="2" t="s">
        <v>4547</v>
      </c>
      <c r="C107" s="83" t="s">
        <v>14945</v>
      </c>
      <c r="D107" s="103"/>
      <c r="E107" s="82"/>
      <c r="F107" s="103"/>
      <c r="G107" s="1"/>
      <c r="H107" s="68"/>
      <c r="I107" s="70"/>
      <c r="J107" s="67"/>
      <c r="K107" s="68"/>
      <c r="L107" s="76"/>
      <c r="M107" s="85"/>
      <c r="N107" s="64"/>
      <c r="O107" s="65"/>
      <c r="P107" s="99"/>
      <c r="Q107" s="70"/>
      <c r="R107" s="61"/>
      <c r="S107" s="62"/>
      <c r="T107" s="63"/>
      <c r="U107" s="75"/>
      <c r="V107" s="74" t="s">
        <v>18089</v>
      </c>
      <c r="W107" s="62"/>
      <c r="X107" s="63"/>
      <c r="Y107" s="75"/>
      <c r="Z107" s="120">
        <f>+ROUND((ROUND((ROUND((_15_同援日１．０＿２．０*_15・通訳),0)*(1+_15・B深夜)),0)*(1+_15・区３)),0)</f>
        <v>517</v>
      </c>
      <c r="AA107" s="69"/>
    </row>
    <row r="108" spans="1:27" ht="16.5" customHeight="1" x14ac:dyDescent="0.3">
      <c r="A108" s="2">
        <v>15</v>
      </c>
      <c r="B108" s="2" t="s">
        <v>4548</v>
      </c>
      <c r="C108" s="83" t="s">
        <v>14944</v>
      </c>
      <c r="D108" s="103"/>
      <c r="E108" s="82"/>
      <c r="F108" s="103"/>
      <c r="G108" s="1"/>
      <c r="H108" s="68"/>
      <c r="I108" s="70"/>
      <c r="J108" s="67"/>
      <c r="K108" s="68"/>
      <c r="L108" s="76"/>
      <c r="M108" s="83" t="s">
        <v>5895</v>
      </c>
      <c r="N108" s="64" t="s">
        <v>1</v>
      </c>
      <c r="O108" s="65">
        <v>1</v>
      </c>
      <c r="P108" s="99"/>
      <c r="Q108" s="70"/>
      <c r="R108" s="66"/>
      <c r="S108" s="57"/>
      <c r="T108" s="58"/>
      <c r="U108" s="77"/>
      <c r="V108" s="94" t="s">
        <v>17970</v>
      </c>
      <c r="W108" s="68"/>
      <c r="X108" s="76"/>
      <c r="Y108" s="70"/>
      <c r="Z108" s="120">
        <f>+ROUND((ROUND((ROUND((ROUND((_15_同援日１．０＿２．０*_15・通訳),0)*_15・２人),0)*(1+_15・B深夜)),0)*(1+_15・区３)),0)</f>
        <v>517</v>
      </c>
      <c r="AA108" s="69"/>
    </row>
    <row r="109" spans="1:27" ht="16.5" customHeight="1" x14ac:dyDescent="0.3">
      <c r="A109" s="2">
        <v>15</v>
      </c>
      <c r="B109" s="2" t="s">
        <v>4549</v>
      </c>
      <c r="C109" s="83" t="s">
        <v>14943</v>
      </c>
      <c r="D109" s="103"/>
      <c r="E109" s="82"/>
      <c r="F109" s="103"/>
      <c r="G109" s="1"/>
      <c r="H109" s="68"/>
      <c r="I109" s="70"/>
      <c r="J109" s="67"/>
      <c r="K109" s="68"/>
      <c r="L109" s="76"/>
      <c r="M109" s="85"/>
      <c r="N109" s="64"/>
      <c r="O109" s="65"/>
      <c r="P109" s="99"/>
      <c r="Q109" s="70"/>
      <c r="R109" s="74" t="s">
        <v>17969</v>
      </c>
      <c r="S109" s="62"/>
      <c r="T109" s="63"/>
      <c r="U109" s="75"/>
      <c r="V109" s="67"/>
      <c r="W109" s="68" t="s">
        <v>1</v>
      </c>
      <c r="X109" s="76">
        <v>0.2</v>
      </c>
      <c r="Y109" s="70" t="s">
        <v>422</v>
      </c>
      <c r="Z109" s="120">
        <f>+ROUND((ROUND((ROUND((ROUND((_15_同援日１．０＿２．０*_15・通訳),0)*(1+_15・B深夜)),0)*(1+_15・盲ろう)),0)*(1+_15・区３)),0)</f>
        <v>647</v>
      </c>
      <c r="AA109" s="69"/>
    </row>
    <row r="110" spans="1:27" ht="16.5" customHeight="1" x14ac:dyDescent="0.3">
      <c r="A110" s="2">
        <v>15</v>
      </c>
      <c r="B110" s="2" t="s">
        <v>4550</v>
      </c>
      <c r="C110" s="83" t="s">
        <v>14942</v>
      </c>
      <c r="D110" s="103"/>
      <c r="E110" s="82"/>
      <c r="F110" s="103"/>
      <c r="G110" s="1"/>
      <c r="H110" s="68"/>
      <c r="I110" s="70"/>
      <c r="J110" s="67"/>
      <c r="K110" s="68"/>
      <c r="L110" s="76"/>
      <c r="M110" s="83" t="s">
        <v>5895</v>
      </c>
      <c r="N110" s="64" t="s">
        <v>1</v>
      </c>
      <c r="O110" s="65">
        <v>1</v>
      </c>
      <c r="P110" s="99"/>
      <c r="Q110" s="70"/>
      <c r="R110" s="106" t="s">
        <v>18086</v>
      </c>
      <c r="S110" s="57" t="s">
        <v>1</v>
      </c>
      <c r="T110" s="58">
        <v>0.25</v>
      </c>
      <c r="U110" s="77" t="s">
        <v>422</v>
      </c>
      <c r="V110" s="66"/>
      <c r="W110" s="57"/>
      <c r="X110" s="58"/>
      <c r="Y110" s="77"/>
      <c r="Z110" s="120">
        <f>+ROUND((ROUND((ROUND((ROUND((ROUND((_15_同援日１．０＿２．０*_15・通訳),0)*_15・２人),0)*(1+_15・B深夜)),0)*(1+_15・盲ろう)),0)*(1+_15・区３)),0)</f>
        <v>647</v>
      </c>
      <c r="AA110" s="69"/>
    </row>
    <row r="111" spans="1:27" ht="16.5" customHeight="1" x14ac:dyDescent="0.3">
      <c r="A111" s="2">
        <v>15</v>
      </c>
      <c r="B111" s="2" t="s">
        <v>4551</v>
      </c>
      <c r="C111" s="83" t="s">
        <v>14941</v>
      </c>
      <c r="D111" s="103"/>
      <c r="E111" s="82"/>
      <c r="F111" s="103"/>
      <c r="G111" s="1"/>
      <c r="H111" s="68"/>
      <c r="I111" s="70"/>
      <c r="J111" s="67"/>
      <c r="K111" s="68"/>
      <c r="L111" s="76"/>
      <c r="M111" s="85"/>
      <c r="N111" s="64"/>
      <c r="O111" s="65"/>
      <c r="P111" s="99"/>
      <c r="Q111" s="70"/>
      <c r="R111" s="61"/>
      <c r="S111" s="62"/>
      <c r="T111" s="63"/>
      <c r="U111" s="75"/>
      <c r="V111" s="74" t="s">
        <v>17971</v>
      </c>
      <c r="W111" s="62"/>
      <c r="X111" s="63"/>
      <c r="Y111" s="75"/>
      <c r="Z111" s="120">
        <f>+ROUND((ROUND((ROUND((_15_同援日１．０＿２．０*_15・通訳),0)*(1+_15・B深夜)),0)*(1+_15・区４)),0)</f>
        <v>603</v>
      </c>
      <c r="AA111" s="69"/>
    </row>
    <row r="112" spans="1:27" ht="16.5" customHeight="1" x14ac:dyDescent="0.3">
      <c r="A112" s="2">
        <v>15</v>
      </c>
      <c r="B112" s="2" t="s">
        <v>4552</v>
      </c>
      <c r="C112" s="83" t="s">
        <v>14940</v>
      </c>
      <c r="D112" s="103"/>
      <c r="E112" s="82"/>
      <c r="F112" s="103"/>
      <c r="G112" s="1"/>
      <c r="H112" s="68"/>
      <c r="I112" s="70"/>
      <c r="J112" s="67"/>
      <c r="K112" s="68"/>
      <c r="L112" s="76"/>
      <c r="M112" s="83" t="s">
        <v>5895</v>
      </c>
      <c r="N112" s="64" t="s">
        <v>1</v>
      </c>
      <c r="O112" s="65">
        <v>1</v>
      </c>
      <c r="P112" s="99"/>
      <c r="Q112" s="70"/>
      <c r="R112" s="66"/>
      <c r="S112" s="57"/>
      <c r="T112" s="58"/>
      <c r="U112" s="77"/>
      <c r="V112" s="94" t="s">
        <v>17970</v>
      </c>
      <c r="W112" s="68"/>
      <c r="X112" s="76"/>
      <c r="Y112" s="70"/>
      <c r="Z112" s="120">
        <f>+ROUND((ROUND((ROUND((ROUND((_15_同援日１．０＿２．０*_15・通訳),0)*_15・２人),0)*(1+_15・B深夜)),0)*(1+_15・区４)),0)</f>
        <v>603</v>
      </c>
      <c r="AA112" s="69"/>
    </row>
    <row r="113" spans="1:27" ht="16.5" customHeight="1" x14ac:dyDescent="0.3">
      <c r="A113" s="2">
        <v>15</v>
      </c>
      <c r="B113" s="2" t="s">
        <v>4553</v>
      </c>
      <c r="C113" s="83" t="s">
        <v>14939</v>
      </c>
      <c r="D113" s="103"/>
      <c r="E113" s="82"/>
      <c r="F113" s="103"/>
      <c r="G113" s="1"/>
      <c r="H113" s="68"/>
      <c r="I113" s="70"/>
      <c r="J113" s="67"/>
      <c r="K113" s="68"/>
      <c r="L113" s="76"/>
      <c r="M113" s="85"/>
      <c r="N113" s="64"/>
      <c r="O113" s="65"/>
      <c r="P113" s="99"/>
      <c r="Q113" s="70"/>
      <c r="R113" s="74" t="s">
        <v>18087</v>
      </c>
      <c r="S113" s="62"/>
      <c r="T113" s="63"/>
      <c r="U113" s="75"/>
      <c r="V113" s="67"/>
      <c r="W113" s="68" t="s">
        <v>1</v>
      </c>
      <c r="X113" s="76">
        <v>0.4</v>
      </c>
      <c r="Y113" s="70" t="s">
        <v>422</v>
      </c>
      <c r="Z113" s="120">
        <f>+ROUND((ROUND((ROUND((ROUND((_15_同援日１．０＿２．０*_15・通訳),0)*(1+_15・B深夜)),0)*(1+_15・盲ろう)),0)*(1+_15・区４)),0)</f>
        <v>755</v>
      </c>
      <c r="AA113" s="69"/>
    </row>
    <row r="114" spans="1:27" ht="16.5" customHeight="1" x14ac:dyDescent="0.3">
      <c r="A114" s="2">
        <v>15</v>
      </c>
      <c r="B114" s="2" t="s">
        <v>4554</v>
      </c>
      <c r="C114" s="83" t="s">
        <v>14938</v>
      </c>
      <c r="D114" s="103"/>
      <c r="E114" s="73"/>
      <c r="F114" s="103"/>
      <c r="G114" s="81"/>
      <c r="H114" s="57"/>
      <c r="I114" s="77"/>
      <c r="J114" s="67"/>
      <c r="K114" s="68"/>
      <c r="L114" s="76"/>
      <c r="M114" s="83" t="s">
        <v>5895</v>
      </c>
      <c r="N114" s="64" t="s">
        <v>1</v>
      </c>
      <c r="O114" s="65">
        <v>1</v>
      </c>
      <c r="P114" s="99"/>
      <c r="Q114" s="70"/>
      <c r="R114" s="106" t="s">
        <v>18086</v>
      </c>
      <c r="S114" s="57" t="s">
        <v>1</v>
      </c>
      <c r="T114" s="58">
        <v>0.25</v>
      </c>
      <c r="U114" s="77" t="s">
        <v>422</v>
      </c>
      <c r="V114" s="66"/>
      <c r="W114" s="57"/>
      <c r="X114" s="58"/>
      <c r="Y114" s="77"/>
      <c r="Z114" s="120">
        <f>+ROUND((ROUND((ROUND((ROUND((ROUND((_15_同援日１．０＿２．０*_15・通訳),0)*_15・２人),0)*(1+_15・B深夜)),0)*(1+_15・盲ろう)),0)*(1+_15・区４)),0)</f>
        <v>755</v>
      </c>
      <c r="AA114" s="69"/>
    </row>
    <row r="115" spans="1:27" ht="16.5" customHeight="1" x14ac:dyDescent="0.3">
      <c r="A115" s="2">
        <v>15</v>
      </c>
      <c r="B115" s="2" t="s">
        <v>4555</v>
      </c>
      <c r="C115" s="83" t="s">
        <v>14937</v>
      </c>
      <c r="D115" s="103"/>
      <c r="E115" s="236" t="s">
        <v>18355</v>
      </c>
      <c r="F115" s="103"/>
      <c r="G115" s="233" t="s">
        <v>17703</v>
      </c>
      <c r="H115" s="62"/>
      <c r="I115" s="75"/>
      <c r="J115" s="67"/>
      <c r="K115" s="68"/>
      <c r="L115" s="76"/>
      <c r="M115" s="85"/>
      <c r="N115" s="64"/>
      <c r="O115" s="65"/>
      <c r="P115" s="99"/>
      <c r="Q115" s="70"/>
      <c r="R115" s="61"/>
      <c r="S115" s="62"/>
      <c r="T115" s="63"/>
      <c r="U115" s="75"/>
      <c r="V115" s="61"/>
      <c r="W115" s="62"/>
      <c r="X115" s="63"/>
      <c r="Y115" s="75"/>
      <c r="Z115" s="120">
        <f>+ROUND((ROUND((_15_同援日１．５＿０．５*_15・通訳),0)*(1+_15・B深夜)),0)</f>
        <v>87</v>
      </c>
      <c r="AA115" s="69"/>
    </row>
    <row r="116" spans="1:27" ht="16.5" customHeight="1" x14ac:dyDescent="0.3">
      <c r="A116" s="2">
        <v>15</v>
      </c>
      <c r="B116" s="2" t="s">
        <v>4556</v>
      </c>
      <c r="C116" s="83" t="s">
        <v>14936</v>
      </c>
      <c r="D116" s="103"/>
      <c r="E116" s="82" t="s">
        <v>16871</v>
      </c>
      <c r="F116" s="103"/>
      <c r="G116" s="1" t="s">
        <v>7928</v>
      </c>
      <c r="H116" s="68"/>
      <c r="I116" s="70"/>
      <c r="J116" s="67"/>
      <c r="K116" s="68"/>
      <c r="L116" s="76"/>
      <c r="M116" s="83" t="s">
        <v>5895</v>
      </c>
      <c r="N116" s="64" t="s">
        <v>1</v>
      </c>
      <c r="O116" s="65">
        <v>1</v>
      </c>
      <c r="P116" s="99"/>
      <c r="Q116" s="70"/>
      <c r="R116" s="66"/>
      <c r="S116" s="57"/>
      <c r="T116" s="58"/>
      <c r="U116" s="77"/>
      <c r="V116" s="67"/>
      <c r="W116" s="68"/>
      <c r="X116" s="76"/>
      <c r="Y116" s="70"/>
      <c r="Z116" s="120">
        <f>+ROUND((ROUND((ROUND((_15_同援日１．５＿０．５*_15・通訳),0)*_15・２人),0)*(1+_15・B深夜)),0)</f>
        <v>87</v>
      </c>
      <c r="AA116" s="69"/>
    </row>
    <row r="117" spans="1:27" ht="16.5" customHeight="1" x14ac:dyDescent="0.3">
      <c r="A117" s="2">
        <v>15</v>
      </c>
      <c r="B117" s="2" t="s">
        <v>4557</v>
      </c>
      <c r="C117" s="83" t="s">
        <v>14935</v>
      </c>
      <c r="D117" s="103"/>
      <c r="E117" s="82" t="s">
        <v>8767</v>
      </c>
      <c r="F117" s="103"/>
      <c r="G117" s="1"/>
      <c r="H117" s="68"/>
      <c r="I117" s="70"/>
      <c r="J117" s="67"/>
      <c r="K117" s="68"/>
      <c r="L117" s="76"/>
      <c r="M117" s="85"/>
      <c r="N117" s="64"/>
      <c r="O117" s="65"/>
      <c r="P117" s="99"/>
      <c r="Q117" s="70"/>
      <c r="R117" s="74" t="s">
        <v>17969</v>
      </c>
      <c r="S117" s="62"/>
      <c r="T117" s="63"/>
      <c r="U117" s="75"/>
      <c r="V117" s="67"/>
      <c r="W117" s="68"/>
      <c r="X117" s="76"/>
      <c r="Y117" s="70"/>
      <c r="Z117" s="120">
        <f>+ROUND((ROUND((ROUND((_15_同援日１．５＿０．５*_15・通訳),0)*(1+_15・B深夜)),0)*(1+_15・盲ろう)),0)</f>
        <v>109</v>
      </c>
      <c r="AA117" s="69"/>
    </row>
    <row r="118" spans="1:27" ht="16.5" customHeight="1" x14ac:dyDescent="0.3">
      <c r="A118" s="2">
        <v>15</v>
      </c>
      <c r="B118" s="2" t="s">
        <v>4558</v>
      </c>
      <c r="C118" s="83" t="s">
        <v>14934</v>
      </c>
      <c r="D118" s="103"/>
      <c r="E118" s="82"/>
      <c r="F118" s="103"/>
      <c r="G118" s="1"/>
      <c r="H118" s="119">
        <v>64</v>
      </c>
      <c r="I118" s="70" t="s">
        <v>0</v>
      </c>
      <c r="J118" s="67"/>
      <c r="K118" s="68"/>
      <c r="L118" s="76"/>
      <c r="M118" s="83" t="s">
        <v>5895</v>
      </c>
      <c r="N118" s="64" t="s">
        <v>1</v>
      </c>
      <c r="O118" s="65">
        <v>1</v>
      </c>
      <c r="P118" s="99"/>
      <c r="Q118" s="70"/>
      <c r="R118" s="106" t="s">
        <v>18086</v>
      </c>
      <c r="S118" s="57" t="s">
        <v>1</v>
      </c>
      <c r="T118" s="58">
        <v>0.25</v>
      </c>
      <c r="U118" s="77" t="s">
        <v>422</v>
      </c>
      <c r="V118" s="66"/>
      <c r="W118" s="57"/>
      <c r="X118" s="58"/>
      <c r="Y118" s="77"/>
      <c r="Z118" s="120">
        <f>+ROUND((ROUND((ROUND((ROUND((_15_同援日１．５＿０．５*_15・通訳),0)*_15・２人),0)*(1+_15・B深夜)),0)*(1+_15・盲ろう)),0)</f>
        <v>109</v>
      </c>
      <c r="AA118" s="69"/>
    </row>
    <row r="119" spans="1:27" ht="16.5" customHeight="1" x14ac:dyDescent="0.3">
      <c r="A119" s="2">
        <v>15</v>
      </c>
      <c r="B119" s="2" t="s">
        <v>4559</v>
      </c>
      <c r="C119" s="83" t="s">
        <v>14933</v>
      </c>
      <c r="D119" s="103"/>
      <c r="E119" s="82"/>
      <c r="F119" s="103"/>
      <c r="G119" s="1"/>
      <c r="H119" s="68"/>
      <c r="I119" s="70"/>
      <c r="J119" s="67"/>
      <c r="K119" s="68"/>
      <c r="L119" s="76"/>
      <c r="M119" s="85"/>
      <c r="N119" s="64"/>
      <c r="O119" s="65"/>
      <c r="P119" s="99"/>
      <c r="Q119" s="70"/>
      <c r="R119" s="61"/>
      <c r="S119" s="62"/>
      <c r="T119" s="63"/>
      <c r="U119" s="75"/>
      <c r="V119" s="74" t="s">
        <v>17974</v>
      </c>
      <c r="W119" s="62"/>
      <c r="X119" s="63"/>
      <c r="Y119" s="75"/>
      <c r="Z119" s="120">
        <f>+ROUND((ROUND((ROUND((_15_同援日１．５＿０．５*_15・通訳),0)*(1+_15・B深夜)),0)*(1+_15・区３)),0)</f>
        <v>104</v>
      </c>
      <c r="AA119" s="69"/>
    </row>
    <row r="120" spans="1:27" ht="16.5" customHeight="1" x14ac:dyDescent="0.3">
      <c r="A120" s="2">
        <v>15</v>
      </c>
      <c r="B120" s="2" t="s">
        <v>4560</v>
      </c>
      <c r="C120" s="83" t="s">
        <v>14932</v>
      </c>
      <c r="D120" s="103"/>
      <c r="E120" s="82"/>
      <c r="F120" s="103"/>
      <c r="G120" s="1"/>
      <c r="H120" s="68"/>
      <c r="I120" s="70"/>
      <c r="J120" s="67"/>
      <c r="K120" s="68"/>
      <c r="L120" s="76"/>
      <c r="M120" s="83" t="s">
        <v>5895</v>
      </c>
      <c r="N120" s="64" t="s">
        <v>1</v>
      </c>
      <c r="O120" s="65">
        <v>1</v>
      </c>
      <c r="P120" s="99"/>
      <c r="Q120" s="70"/>
      <c r="R120" s="66"/>
      <c r="S120" s="57"/>
      <c r="T120" s="58"/>
      <c r="U120" s="77"/>
      <c r="V120" s="94" t="s">
        <v>17970</v>
      </c>
      <c r="W120" s="68"/>
      <c r="X120" s="76"/>
      <c r="Y120" s="70"/>
      <c r="Z120" s="120">
        <f>+ROUND((ROUND((ROUND((ROUND((_15_同援日１．５＿０．５*_15・通訳),0)*_15・２人),0)*(1+_15・B深夜)),0)*(1+_15・区３)),0)</f>
        <v>104</v>
      </c>
      <c r="AA120" s="69"/>
    </row>
    <row r="121" spans="1:27" ht="16.5" customHeight="1" x14ac:dyDescent="0.3">
      <c r="A121" s="2">
        <v>15</v>
      </c>
      <c r="B121" s="2" t="s">
        <v>4561</v>
      </c>
      <c r="C121" s="83" t="s">
        <v>14931</v>
      </c>
      <c r="D121" s="103"/>
      <c r="E121" s="82"/>
      <c r="F121" s="103"/>
      <c r="G121" s="1"/>
      <c r="H121" s="68"/>
      <c r="I121" s="70"/>
      <c r="J121" s="67"/>
      <c r="K121" s="68"/>
      <c r="L121" s="76"/>
      <c r="M121" s="85"/>
      <c r="N121" s="64"/>
      <c r="O121" s="65"/>
      <c r="P121" s="99"/>
      <c r="Q121" s="70"/>
      <c r="R121" s="74" t="s">
        <v>17969</v>
      </c>
      <c r="S121" s="62"/>
      <c r="T121" s="63"/>
      <c r="U121" s="75"/>
      <c r="V121" s="67"/>
      <c r="W121" s="68" t="s">
        <v>1</v>
      </c>
      <c r="X121" s="76">
        <v>0.2</v>
      </c>
      <c r="Y121" s="70" t="s">
        <v>422</v>
      </c>
      <c r="Z121" s="120">
        <f>+ROUND((ROUND((ROUND((ROUND((_15_同援日１．５＿０．５*_15・通訳),0)*(1+_15・B深夜)),0)*(1+_15・盲ろう)),0)*(1+_15・区３)),0)</f>
        <v>131</v>
      </c>
      <c r="AA121" s="69"/>
    </row>
    <row r="122" spans="1:27" ht="16.5" customHeight="1" x14ac:dyDescent="0.3">
      <c r="A122" s="2">
        <v>15</v>
      </c>
      <c r="B122" s="2" t="s">
        <v>4562</v>
      </c>
      <c r="C122" s="83" t="s">
        <v>14930</v>
      </c>
      <c r="D122" s="103"/>
      <c r="E122" s="82"/>
      <c r="F122" s="103"/>
      <c r="G122" s="1"/>
      <c r="H122" s="68"/>
      <c r="I122" s="70"/>
      <c r="J122" s="67"/>
      <c r="K122" s="68"/>
      <c r="L122" s="76"/>
      <c r="M122" s="83" t="s">
        <v>5895</v>
      </c>
      <c r="N122" s="64" t="s">
        <v>1</v>
      </c>
      <c r="O122" s="65">
        <v>1</v>
      </c>
      <c r="P122" s="99"/>
      <c r="Q122" s="70"/>
      <c r="R122" s="106" t="s">
        <v>17968</v>
      </c>
      <c r="S122" s="57" t="s">
        <v>1</v>
      </c>
      <c r="T122" s="58">
        <v>0.25</v>
      </c>
      <c r="U122" s="77" t="s">
        <v>422</v>
      </c>
      <c r="V122" s="66"/>
      <c r="W122" s="57"/>
      <c r="X122" s="58"/>
      <c r="Y122" s="77"/>
      <c r="Z122" s="120">
        <f>+ROUND((ROUND((ROUND((ROUND((ROUND((_15_同援日１．５＿０．５*_15・通訳),0)*_15・２人),0)*(1+_15・B深夜)),0)*(1+_15・盲ろう)),0)*(1+_15・区３)),0)</f>
        <v>131</v>
      </c>
      <c r="AA122" s="69"/>
    </row>
    <row r="123" spans="1:27" ht="16.5" customHeight="1" x14ac:dyDescent="0.3">
      <c r="A123" s="2">
        <v>15</v>
      </c>
      <c r="B123" s="2" t="s">
        <v>4563</v>
      </c>
      <c r="C123" s="83" t="s">
        <v>14929</v>
      </c>
      <c r="D123" s="103"/>
      <c r="E123" s="82"/>
      <c r="F123" s="103"/>
      <c r="G123" s="1"/>
      <c r="H123" s="68"/>
      <c r="I123" s="70"/>
      <c r="J123" s="67"/>
      <c r="K123" s="68"/>
      <c r="L123" s="76"/>
      <c r="M123" s="85"/>
      <c r="N123" s="64"/>
      <c r="O123" s="65"/>
      <c r="P123" s="99"/>
      <c r="Q123" s="70"/>
      <c r="R123" s="61"/>
      <c r="S123" s="62"/>
      <c r="T123" s="63"/>
      <c r="U123" s="75"/>
      <c r="V123" s="74" t="s">
        <v>17971</v>
      </c>
      <c r="W123" s="62"/>
      <c r="X123" s="63"/>
      <c r="Y123" s="75"/>
      <c r="Z123" s="120">
        <f>+ROUND((ROUND((ROUND((_15_同援日１．５＿０．５*_15・通訳),0)*(1+_15・B深夜)),0)*(1+_15・区４)),0)</f>
        <v>122</v>
      </c>
      <c r="AA123" s="69"/>
    </row>
    <row r="124" spans="1:27" ht="16.5" customHeight="1" x14ac:dyDescent="0.3">
      <c r="A124" s="2">
        <v>15</v>
      </c>
      <c r="B124" s="2" t="s">
        <v>4564</v>
      </c>
      <c r="C124" s="83" t="s">
        <v>14928</v>
      </c>
      <c r="D124" s="103"/>
      <c r="E124" s="82"/>
      <c r="F124" s="103"/>
      <c r="G124" s="1"/>
      <c r="H124" s="68"/>
      <c r="I124" s="70"/>
      <c r="J124" s="67"/>
      <c r="K124" s="68"/>
      <c r="L124" s="76"/>
      <c r="M124" s="83" t="s">
        <v>5895</v>
      </c>
      <c r="N124" s="64" t="s">
        <v>1</v>
      </c>
      <c r="O124" s="65">
        <v>1</v>
      </c>
      <c r="P124" s="99"/>
      <c r="Q124" s="70"/>
      <c r="R124" s="66"/>
      <c r="S124" s="57"/>
      <c r="T124" s="58"/>
      <c r="U124" s="77"/>
      <c r="V124" s="94" t="s">
        <v>17970</v>
      </c>
      <c r="W124" s="68"/>
      <c r="X124" s="76"/>
      <c r="Y124" s="70"/>
      <c r="Z124" s="120">
        <f>+ROUND((ROUND((ROUND((ROUND((_15_同援日１．５＿０．５*_15・通訳),0)*_15・２人),0)*(1+_15・B深夜)),0)*(1+_15・区４)),0)</f>
        <v>122</v>
      </c>
      <c r="AA124" s="69"/>
    </row>
    <row r="125" spans="1:27" ht="16.5" customHeight="1" x14ac:dyDescent="0.3">
      <c r="A125" s="2">
        <v>15</v>
      </c>
      <c r="B125" s="2" t="s">
        <v>4565</v>
      </c>
      <c r="C125" s="83" t="s">
        <v>14927</v>
      </c>
      <c r="D125" s="103"/>
      <c r="E125" s="82"/>
      <c r="F125" s="103"/>
      <c r="G125" s="1"/>
      <c r="H125" s="68"/>
      <c r="I125" s="70"/>
      <c r="J125" s="67"/>
      <c r="K125" s="68"/>
      <c r="L125" s="76"/>
      <c r="M125" s="85"/>
      <c r="N125" s="64"/>
      <c r="O125" s="65"/>
      <c r="P125" s="99"/>
      <c r="Q125" s="70"/>
      <c r="R125" s="74" t="s">
        <v>17969</v>
      </c>
      <c r="S125" s="62"/>
      <c r="T125" s="63"/>
      <c r="U125" s="75"/>
      <c r="V125" s="67"/>
      <c r="W125" s="68" t="s">
        <v>1</v>
      </c>
      <c r="X125" s="76">
        <v>0.4</v>
      </c>
      <c r="Y125" s="70" t="s">
        <v>422</v>
      </c>
      <c r="Z125" s="120">
        <f>+ROUND((ROUND((ROUND((ROUND((_15_同援日１．５＿０．５*_15・通訳),0)*(1+_15・B深夜)),0)*(1+_15・盲ろう)),0)*(1+_15・区４)),0)</f>
        <v>153</v>
      </c>
      <c r="AA125" s="69"/>
    </row>
    <row r="126" spans="1:27" ht="16.5" customHeight="1" x14ac:dyDescent="0.3">
      <c r="A126" s="2">
        <v>15</v>
      </c>
      <c r="B126" s="2" t="s">
        <v>4566</v>
      </c>
      <c r="C126" s="83" t="s">
        <v>14926</v>
      </c>
      <c r="D126" s="103"/>
      <c r="E126" s="82"/>
      <c r="F126" s="103"/>
      <c r="G126" s="81"/>
      <c r="H126" s="57"/>
      <c r="I126" s="77"/>
      <c r="J126" s="67"/>
      <c r="K126" s="68"/>
      <c r="L126" s="76"/>
      <c r="M126" s="83" t="s">
        <v>5895</v>
      </c>
      <c r="N126" s="64" t="s">
        <v>1</v>
      </c>
      <c r="O126" s="65">
        <v>1</v>
      </c>
      <c r="P126" s="99"/>
      <c r="Q126" s="70"/>
      <c r="R126" s="106" t="s">
        <v>17968</v>
      </c>
      <c r="S126" s="57" t="s">
        <v>1</v>
      </c>
      <c r="T126" s="58">
        <v>0.25</v>
      </c>
      <c r="U126" s="77" t="s">
        <v>422</v>
      </c>
      <c r="V126" s="66"/>
      <c r="W126" s="57"/>
      <c r="X126" s="58"/>
      <c r="Y126" s="77"/>
      <c r="Z126" s="120">
        <f>+ROUND((ROUND((ROUND((ROUND((ROUND((_15_同援日１．５＿０．５*_15・通訳),0)*_15・２人),0)*(1+_15・B深夜)),0)*(1+_15・盲ろう)),0)*(1+_15・区４)),0)</f>
        <v>153</v>
      </c>
      <c r="AA126" s="69"/>
    </row>
    <row r="127" spans="1:27" ht="16.5" customHeight="1" x14ac:dyDescent="0.3">
      <c r="A127" s="2">
        <v>15</v>
      </c>
      <c r="B127" s="2" t="s">
        <v>4567</v>
      </c>
      <c r="C127" s="83" t="s">
        <v>14925</v>
      </c>
      <c r="D127" s="103"/>
      <c r="E127" s="82"/>
      <c r="F127" s="103"/>
      <c r="G127" s="233" t="s">
        <v>16961</v>
      </c>
      <c r="H127" s="62"/>
      <c r="I127" s="75"/>
      <c r="J127" s="67"/>
      <c r="K127" s="68"/>
      <c r="L127" s="76"/>
      <c r="M127" s="85"/>
      <c r="N127" s="64"/>
      <c r="O127" s="65"/>
      <c r="P127" s="99"/>
      <c r="Q127" s="70"/>
      <c r="R127" s="61"/>
      <c r="S127" s="62"/>
      <c r="T127" s="63"/>
      <c r="U127" s="75"/>
      <c r="V127" s="61"/>
      <c r="W127" s="62"/>
      <c r="X127" s="63"/>
      <c r="Y127" s="75"/>
      <c r="Z127" s="120">
        <f>+ROUND((ROUND((_15_同援日１．５＿１．０*_15・通訳),0)*(1+_15・B深夜)),0)</f>
        <v>171</v>
      </c>
      <c r="AA127" s="69"/>
    </row>
    <row r="128" spans="1:27" ht="16.5" customHeight="1" x14ac:dyDescent="0.3">
      <c r="A128" s="2">
        <v>15</v>
      </c>
      <c r="B128" s="2" t="s">
        <v>4568</v>
      </c>
      <c r="C128" s="83" t="s">
        <v>14924</v>
      </c>
      <c r="D128" s="103"/>
      <c r="E128" s="82"/>
      <c r="F128" s="103"/>
      <c r="G128" s="1" t="s">
        <v>16874</v>
      </c>
      <c r="H128" s="68"/>
      <c r="I128" s="70"/>
      <c r="J128" s="67"/>
      <c r="K128" s="68"/>
      <c r="L128" s="76"/>
      <c r="M128" s="83" t="s">
        <v>5895</v>
      </c>
      <c r="N128" s="64" t="s">
        <v>1</v>
      </c>
      <c r="O128" s="65">
        <v>1</v>
      </c>
      <c r="P128" s="99"/>
      <c r="Q128" s="70"/>
      <c r="R128" s="66"/>
      <c r="S128" s="57"/>
      <c r="T128" s="58"/>
      <c r="U128" s="77"/>
      <c r="V128" s="67"/>
      <c r="W128" s="68"/>
      <c r="X128" s="76"/>
      <c r="Y128" s="70"/>
      <c r="Z128" s="120">
        <f>+ROUND((ROUND((ROUND((_15_同援日１．５＿１．０*_15・通訳),0)*_15・２人),0)*(1+_15・B深夜)),0)</f>
        <v>171</v>
      </c>
      <c r="AA128" s="69"/>
    </row>
    <row r="129" spans="1:27" ht="16.5" customHeight="1" x14ac:dyDescent="0.3">
      <c r="A129" s="2">
        <v>15</v>
      </c>
      <c r="B129" s="2" t="s">
        <v>4569</v>
      </c>
      <c r="C129" s="83" t="s">
        <v>14923</v>
      </c>
      <c r="D129" s="103"/>
      <c r="E129" s="82"/>
      <c r="F129" s="103"/>
      <c r="G129" s="1" t="s">
        <v>8572</v>
      </c>
      <c r="H129" s="68"/>
      <c r="I129" s="70"/>
      <c r="J129" s="67"/>
      <c r="K129" s="68"/>
      <c r="L129" s="76"/>
      <c r="M129" s="85"/>
      <c r="N129" s="64"/>
      <c r="O129" s="65"/>
      <c r="P129" s="99"/>
      <c r="Q129" s="70"/>
      <c r="R129" s="74" t="s">
        <v>17969</v>
      </c>
      <c r="S129" s="62"/>
      <c r="T129" s="63"/>
      <c r="U129" s="75"/>
      <c r="V129" s="67"/>
      <c r="W129" s="68"/>
      <c r="X129" s="76"/>
      <c r="Y129" s="70"/>
      <c r="Z129" s="120">
        <f>+ROUND((ROUND((ROUND((_15_同援日１．５＿１．０*_15・通訳),0)*(1+_15・B深夜)),0)*(1+_15・盲ろう)),0)</f>
        <v>214</v>
      </c>
      <c r="AA129" s="69"/>
    </row>
    <row r="130" spans="1:27" ht="16.5" customHeight="1" x14ac:dyDescent="0.3">
      <c r="A130" s="2">
        <v>15</v>
      </c>
      <c r="B130" s="2" t="s">
        <v>4570</v>
      </c>
      <c r="C130" s="83" t="s">
        <v>14922</v>
      </c>
      <c r="D130" s="103"/>
      <c r="E130" s="82"/>
      <c r="F130" s="103"/>
      <c r="G130" s="1"/>
      <c r="H130" s="119">
        <v>127</v>
      </c>
      <c r="I130" s="70" t="s">
        <v>0</v>
      </c>
      <c r="J130" s="67"/>
      <c r="K130" s="68"/>
      <c r="L130" s="76"/>
      <c r="M130" s="83" t="s">
        <v>5895</v>
      </c>
      <c r="N130" s="64" t="s">
        <v>1</v>
      </c>
      <c r="O130" s="65">
        <v>1</v>
      </c>
      <c r="P130" s="99"/>
      <c r="Q130" s="70"/>
      <c r="R130" s="106" t="s">
        <v>17968</v>
      </c>
      <c r="S130" s="57" t="s">
        <v>1</v>
      </c>
      <c r="T130" s="58">
        <v>0.25</v>
      </c>
      <c r="U130" s="77" t="s">
        <v>422</v>
      </c>
      <c r="V130" s="66"/>
      <c r="W130" s="57"/>
      <c r="X130" s="58"/>
      <c r="Y130" s="77"/>
      <c r="Z130" s="120">
        <f>+ROUND((ROUND((ROUND((ROUND((_15_同援日１．５＿１．０*_15・通訳),0)*_15・２人),0)*(1+_15・B深夜)),0)*(1+_15・盲ろう)),0)</f>
        <v>214</v>
      </c>
      <c r="AA130" s="69"/>
    </row>
    <row r="131" spans="1:27" ht="16.5" customHeight="1" x14ac:dyDescent="0.3">
      <c r="A131" s="2">
        <v>15</v>
      </c>
      <c r="B131" s="2" t="s">
        <v>4571</v>
      </c>
      <c r="C131" s="83" t="s">
        <v>14921</v>
      </c>
      <c r="D131" s="103"/>
      <c r="E131" s="82"/>
      <c r="F131" s="103"/>
      <c r="G131" s="1"/>
      <c r="H131" s="68"/>
      <c r="I131" s="70"/>
      <c r="J131" s="67"/>
      <c r="K131" s="68"/>
      <c r="L131" s="76"/>
      <c r="M131" s="85"/>
      <c r="N131" s="64"/>
      <c r="O131" s="65"/>
      <c r="P131" s="99"/>
      <c r="Q131" s="70"/>
      <c r="R131" s="61"/>
      <c r="S131" s="62"/>
      <c r="T131" s="63"/>
      <c r="U131" s="75"/>
      <c r="V131" s="74" t="s">
        <v>17974</v>
      </c>
      <c r="W131" s="62"/>
      <c r="X131" s="63"/>
      <c r="Y131" s="75"/>
      <c r="Z131" s="120">
        <f>+ROUND((ROUND((ROUND((_15_同援日１．５＿１．０*_15・通訳),0)*(1+_15・B深夜)),0)*(1+_15・区３)),0)</f>
        <v>205</v>
      </c>
      <c r="AA131" s="69"/>
    </row>
    <row r="132" spans="1:27" ht="16.5" customHeight="1" x14ac:dyDescent="0.3">
      <c r="A132" s="2">
        <v>15</v>
      </c>
      <c r="B132" s="2" t="s">
        <v>4572</v>
      </c>
      <c r="C132" s="83" t="s">
        <v>14920</v>
      </c>
      <c r="D132" s="103"/>
      <c r="E132" s="82"/>
      <c r="F132" s="103"/>
      <c r="G132" s="1"/>
      <c r="H132" s="68"/>
      <c r="I132" s="70"/>
      <c r="J132" s="67"/>
      <c r="K132" s="68"/>
      <c r="L132" s="76"/>
      <c r="M132" s="83" t="s">
        <v>5895</v>
      </c>
      <c r="N132" s="64" t="s">
        <v>1</v>
      </c>
      <c r="O132" s="65">
        <v>1</v>
      </c>
      <c r="P132" s="99"/>
      <c r="Q132" s="70"/>
      <c r="R132" s="66"/>
      <c r="S132" s="57"/>
      <c r="T132" s="58"/>
      <c r="U132" s="77"/>
      <c r="V132" s="94" t="s">
        <v>18084</v>
      </c>
      <c r="W132" s="68"/>
      <c r="X132" s="76"/>
      <c r="Y132" s="70"/>
      <c r="Z132" s="120">
        <f>+ROUND((ROUND((ROUND((ROUND((_15_同援日１．５＿１．０*_15・通訳),0)*_15・２人),0)*(1+_15・B深夜)),0)*(1+_15・区３)),0)</f>
        <v>205</v>
      </c>
      <c r="AA132" s="69"/>
    </row>
    <row r="133" spans="1:27" ht="16.5" customHeight="1" x14ac:dyDescent="0.3">
      <c r="A133" s="2">
        <v>15</v>
      </c>
      <c r="B133" s="2" t="s">
        <v>4573</v>
      </c>
      <c r="C133" s="83" t="s">
        <v>14919</v>
      </c>
      <c r="D133" s="103"/>
      <c r="E133" s="82"/>
      <c r="F133" s="103"/>
      <c r="G133" s="1"/>
      <c r="H133" s="68"/>
      <c r="I133" s="70"/>
      <c r="J133" s="67"/>
      <c r="K133" s="68"/>
      <c r="L133" s="76"/>
      <c r="M133" s="85"/>
      <c r="N133" s="64"/>
      <c r="O133" s="65"/>
      <c r="P133" s="99"/>
      <c r="Q133" s="70"/>
      <c r="R133" s="74" t="s">
        <v>17969</v>
      </c>
      <c r="S133" s="62"/>
      <c r="T133" s="63"/>
      <c r="U133" s="75"/>
      <c r="V133" s="67"/>
      <c r="W133" s="68" t="s">
        <v>1</v>
      </c>
      <c r="X133" s="76">
        <v>0.2</v>
      </c>
      <c r="Y133" s="70" t="s">
        <v>422</v>
      </c>
      <c r="Z133" s="120">
        <f>+ROUND((ROUND((ROUND((ROUND((_15_同援日１．５＿１．０*_15・通訳),0)*(1+_15・B深夜)),0)*(1+_15・盲ろう)),0)*(1+_15・区３)),0)</f>
        <v>257</v>
      </c>
      <c r="AA133" s="69"/>
    </row>
    <row r="134" spans="1:27" ht="16.5" customHeight="1" x14ac:dyDescent="0.3">
      <c r="A134" s="2">
        <v>15</v>
      </c>
      <c r="B134" s="2" t="s">
        <v>4574</v>
      </c>
      <c r="C134" s="83" t="s">
        <v>14918</v>
      </c>
      <c r="D134" s="103"/>
      <c r="E134" s="82"/>
      <c r="F134" s="103"/>
      <c r="G134" s="1"/>
      <c r="H134" s="68"/>
      <c r="I134" s="70"/>
      <c r="J134" s="67"/>
      <c r="K134" s="68"/>
      <c r="L134" s="76"/>
      <c r="M134" s="83" t="s">
        <v>5895</v>
      </c>
      <c r="N134" s="64" t="s">
        <v>1</v>
      </c>
      <c r="O134" s="65">
        <v>1</v>
      </c>
      <c r="P134" s="99"/>
      <c r="Q134" s="70"/>
      <c r="R134" s="106" t="s">
        <v>18086</v>
      </c>
      <c r="S134" s="57" t="s">
        <v>1</v>
      </c>
      <c r="T134" s="58">
        <v>0.25</v>
      </c>
      <c r="U134" s="77" t="s">
        <v>422</v>
      </c>
      <c r="V134" s="66"/>
      <c r="W134" s="57"/>
      <c r="X134" s="58"/>
      <c r="Y134" s="77"/>
      <c r="Z134" s="120">
        <f>+ROUND((ROUND((ROUND((ROUND((ROUND((_15_同援日１．５＿１．０*_15・通訳),0)*_15・２人),0)*(1+_15・B深夜)),0)*(1+_15・盲ろう)),0)*(1+_15・区３)),0)</f>
        <v>257</v>
      </c>
      <c r="AA134" s="69"/>
    </row>
    <row r="135" spans="1:27" ht="16.5" customHeight="1" x14ac:dyDescent="0.3">
      <c r="A135" s="2">
        <v>15</v>
      </c>
      <c r="B135" s="2" t="s">
        <v>4575</v>
      </c>
      <c r="C135" s="83" t="s">
        <v>14917</v>
      </c>
      <c r="D135" s="103"/>
      <c r="E135" s="82"/>
      <c r="F135" s="103"/>
      <c r="G135" s="1"/>
      <c r="H135" s="68"/>
      <c r="I135" s="70"/>
      <c r="J135" s="67"/>
      <c r="K135" s="68"/>
      <c r="L135" s="76"/>
      <c r="M135" s="85"/>
      <c r="N135" s="64"/>
      <c r="O135" s="65"/>
      <c r="P135" s="99"/>
      <c r="Q135" s="70"/>
      <c r="R135" s="61"/>
      <c r="S135" s="62"/>
      <c r="T135" s="63"/>
      <c r="U135" s="75"/>
      <c r="V135" s="74" t="s">
        <v>18094</v>
      </c>
      <c r="W135" s="62"/>
      <c r="X135" s="63"/>
      <c r="Y135" s="75"/>
      <c r="Z135" s="120">
        <f>+ROUND((ROUND((ROUND((_15_同援日１．５＿１．０*_15・通訳),0)*(1+_15・B深夜)),0)*(1+_15・区４)),0)</f>
        <v>239</v>
      </c>
      <c r="AA135" s="69"/>
    </row>
    <row r="136" spans="1:27" ht="16.5" customHeight="1" x14ac:dyDescent="0.3">
      <c r="A136" s="2">
        <v>15</v>
      </c>
      <c r="B136" s="2" t="s">
        <v>4576</v>
      </c>
      <c r="C136" s="83" t="s">
        <v>14916</v>
      </c>
      <c r="D136" s="103"/>
      <c r="E136" s="82"/>
      <c r="F136" s="103"/>
      <c r="G136" s="1"/>
      <c r="H136" s="68"/>
      <c r="I136" s="70"/>
      <c r="J136" s="67"/>
      <c r="K136" s="68"/>
      <c r="L136" s="76"/>
      <c r="M136" s="83" t="s">
        <v>5895</v>
      </c>
      <c r="N136" s="64" t="s">
        <v>1</v>
      </c>
      <c r="O136" s="65">
        <v>1</v>
      </c>
      <c r="P136" s="99"/>
      <c r="Q136" s="70"/>
      <c r="R136" s="66"/>
      <c r="S136" s="57"/>
      <c r="T136" s="58"/>
      <c r="U136" s="77"/>
      <c r="V136" s="94" t="s">
        <v>17970</v>
      </c>
      <c r="W136" s="68"/>
      <c r="X136" s="76"/>
      <c r="Y136" s="70"/>
      <c r="Z136" s="120">
        <f>+ROUND((ROUND((ROUND((ROUND((_15_同援日１．５＿１．０*_15・通訳),0)*_15・２人),0)*(1+_15・B深夜)),0)*(1+_15・区４)),0)</f>
        <v>239</v>
      </c>
      <c r="AA136" s="69"/>
    </row>
    <row r="137" spans="1:27" ht="16.5" customHeight="1" x14ac:dyDescent="0.3">
      <c r="A137" s="2">
        <v>15</v>
      </c>
      <c r="B137" s="2" t="s">
        <v>4577</v>
      </c>
      <c r="C137" s="83" t="s">
        <v>14915</v>
      </c>
      <c r="D137" s="103"/>
      <c r="E137" s="82"/>
      <c r="F137" s="103"/>
      <c r="G137" s="1"/>
      <c r="H137" s="68"/>
      <c r="I137" s="70"/>
      <c r="J137" s="67"/>
      <c r="K137" s="68"/>
      <c r="L137" s="76"/>
      <c r="M137" s="85"/>
      <c r="N137" s="64"/>
      <c r="O137" s="65"/>
      <c r="P137" s="99"/>
      <c r="Q137" s="70"/>
      <c r="R137" s="74" t="s">
        <v>17969</v>
      </c>
      <c r="S137" s="62"/>
      <c r="T137" s="63"/>
      <c r="U137" s="75"/>
      <c r="V137" s="67"/>
      <c r="W137" s="68" t="s">
        <v>1</v>
      </c>
      <c r="X137" s="76">
        <v>0.4</v>
      </c>
      <c r="Y137" s="70" t="s">
        <v>422</v>
      </c>
      <c r="Z137" s="120">
        <f>+ROUND((ROUND((ROUND((ROUND((_15_同援日１．５＿１．０*_15・通訳),0)*(1+_15・B深夜)),0)*(1+_15・盲ろう)),0)*(1+_15・区４)),0)</f>
        <v>300</v>
      </c>
      <c r="AA137" s="69"/>
    </row>
    <row r="138" spans="1:27" ht="16.5" customHeight="1" x14ac:dyDescent="0.3">
      <c r="A138" s="2">
        <v>15</v>
      </c>
      <c r="B138" s="2" t="s">
        <v>4578</v>
      </c>
      <c r="C138" s="83" t="s">
        <v>14914</v>
      </c>
      <c r="D138" s="103"/>
      <c r="E138" s="82"/>
      <c r="F138" s="103"/>
      <c r="G138" s="81"/>
      <c r="H138" s="57"/>
      <c r="I138" s="77"/>
      <c r="J138" s="67"/>
      <c r="K138" s="68"/>
      <c r="L138" s="76"/>
      <c r="M138" s="83" t="s">
        <v>5895</v>
      </c>
      <c r="N138" s="64" t="s">
        <v>1</v>
      </c>
      <c r="O138" s="65">
        <v>1</v>
      </c>
      <c r="P138" s="99"/>
      <c r="Q138" s="70"/>
      <c r="R138" s="106" t="s">
        <v>17968</v>
      </c>
      <c r="S138" s="57" t="s">
        <v>1</v>
      </c>
      <c r="T138" s="58">
        <v>0.25</v>
      </c>
      <c r="U138" s="77" t="s">
        <v>422</v>
      </c>
      <c r="V138" s="66"/>
      <c r="W138" s="57"/>
      <c r="X138" s="58"/>
      <c r="Y138" s="77"/>
      <c r="Z138" s="120">
        <f>+ROUND((ROUND((ROUND((ROUND((ROUND((_15_同援日１．５＿１．０*_15・通訳),0)*_15・２人),0)*(1+_15・B深夜)),0)*(1+_15・盲ろう)),0)*(1+_15・区４)),0)</f>
        <v>300</v>
      </c>
      <c r="AA138" s="69"/>
    </row>
    <row r="139" spans="1:27" ht="16.5" customHeight="1" x14ac:dyDescent="0.3">
      <c r="A139" s="2">
        <v>15</v>
      </c>
      <c r="B139" s="2" t="s">
        <v>4579</v>
      </c>
      <c r="C139" s="83" t="s">
        <v>14913</v>
      </c>
      <c r="D139" s="103"/>
      <c r="E139" s="82"/>
      <c r="F139" s="103"/>
      <c r="G139" s="233" t="s">
        <v>6116</v>
      </c>
      <c r="H139" s="62"/>
      <c r="I139" s="75"/>
      <c r="J139" s="67"/>
      <c r="K139" s="68"/>
      <c r="L139" s="76"/>
      <c r="M139" s="85"/>
      <c r="N139" s="64"/>
      <c r="O139" s="65"/>
      <c r="P139" s="99"/>
      <c r="Q139" s="70"/>
      <c r="R139" s="61"/>
      <c r="S139" s="62"/>
      <c r="T139" s="63"/>
      <c r="U139" s="75"/>
      <c r="V139" s="61"/>
      <c r="W139" s="62"/>
      <c r="X139" s="63"/>
      <c r="Y139" s="75"/>
      <c r="Z139" s="120">
        <f>+ROUND((ROUND((_15_同援日１．５＿１．５*_15・通訳),0)*(1+_15・B深夜)),0)</f>
        <v>257</v>
      </c>
      <c r="AA139" s="69"/>
    </row>
    <row r="140" spans="1:27" ht="16.5" customHeight="1" x14ac:dyDescent="0.3">
      <c r="A140" s="2">
        <v>15</v>
      </c>
      <c r="B140" s="2" t="s">
        <v>4580</v>
      </c>
      <c r="C140" s="83" t="s">
        <v>14912</v>
      </c>
      <c r="D140" s="103"/>
      <c r="E140" s="82"/>
      <c r="F140" s="103"/>
      <c r="G140" s="1" t="s">
        <v>16871</v>
      </c>
      <c r="H140" s="68"/>
      <c r="I140" s="70"/>
      <c r="J140" s="67"/>
      <c r="K140" s="68"/>
      <c r="L140" s="76"/>
      <c r="M140" s="83" t="s">
        <v>5895</v>
      </c>
      <c r="N140" s="64" t="s">
        <v>1</v>
      </c>
      <c r="O140" s="65">
        <v>1</v>
      </c>
      <c r="P140" s="99"/>
      <c r="Q140" s="70"/>
      <c r="R140" s="66"/>
      <c r="S140" s="57"/>
      <c r="T140" s="58"/>
      <c r="U140" s="77"/>
      <c r="V140" s="67"/>
      <c r="W140" s="68"/>
      <c r="X140" s="76"/>
      <c r="Y140" s="70"/>
      <c r="Z140" s="120">
        <f>+ROUND((ROUND((ROUND((_15_同援日１．５＿１．５*_15・通訳),0)*_15・２人),0)*(1+_15・B深夜)),0)</f>
        <v>257</v>
      </c>
      <c r="AA140" s="69"/>
    </row>
    <row r="141" spans="1:27" ht="16.5" customHeight="1" x14ac:dyDescent="0.3">
      <c r="A141" s="2">
        <v>15</v>
      </c>
      <c r="B141" s="2" t="s">
        <v>4581</v>
      </c>
      <c r="C141" s="83" t="s">
        <v>14911</v>
      </c>
      <c r="D141" s="103"/>
      <c r="E141" s="82"/>
      <c r="F141" s="103"/>
      <c r="G141" s="1" t="s">
        <v>8767</v>
      </c>
      <c r="H141" s="68"/>
      <c r="I141" s="70"/>
      <c r="J141" s="67"/>
      <c r="K141" s="68"/>
      <c r="L141" s="76"/>
      <c r="M141" s="85"/>
      <c r="N141" s="64"/>
      <c r="O141" s="65"/>
      <c r="P141" s="99"/>
      <c r="Q141" s="70"/>
      <c r="R141" s="74" t="s">
        <v>18087</v>
      </c>
      <c r="S141" s="62"/>
      <c r="T141" s="63"/>
      <c r="U141" s="75"/>
      <c r="V141" s="67"/>
      <c r="W141" s="68"/>
      <c r="X141" s="76"/>
      <c r="Y141" s="70"/>
      <c r="Z141" s="120">
        <f>+ROUND((ROUND((ROUND((_15_同援日１．５＿１．５*_15・通訳),0)*(1+_15・B深夜)),0)*(1+_15・盲ろう)),0)</f>
        <v>321</v>
      </c>
      <c r="AA141" s="69"/>
    </row>
    <row r="142" spans="1:27" ht="16.5" customHeight="1" x14ac:dyDescent="0.3">
      <c r="A142" s="2">
        <v>15</v>
      </c>
      <c r="B142" s="2" t="s">
        <v>4582</v>
      </c>
      <c r="C142" s="83" t="s">
        <v>14910</v>
      </c>
      <c r="D142" s="103"/>
      <c r="E142" s="82"/>
      <c r="F142" s="103"/>
      <c r="G142" s="1"/>
      <c r="H142" s="119">
        <v>190</v>
      </c>
      <c r="I142" s="70" t="s">
        <v>0</v>
      </c>
      <c r="J142" s="67"/>
      <c r="K142" s="68"/>
      <c r="L142" s="76"/>
      <c r="M142" s="83" t="s">
        <v>5895</v>
      </c>
      <c r="N142" s="64" t="s">
        <v>1</v>
      </c>
      <c r="O142" s="65">
        <v>1</v>
      </c>
      <c r="P142" s="99"/>
      <c r="Q142" s="70"/>
      <c r="R142" s="106" t="s">
        <v>18086</v>
      </c>
      <c r="S142" s="57" t="s">
        <v>1</v>
      </c>
      <c r="T142" s="58">
        <v>0.25</v>
      </c>
      <c r="U142" s="77" t="s">
        <v>422</v>
      </c>
      <c r="V142" s="66"/>
      <c r="W142" s="57"/>
      <c r="X142" s="58"/>
      <c r="Y142" s="77"/>
      <c r="Z142" s="120">
        <f>+ROUND((ROUND((ROUND((ROUND((_15_同援日１．５＿１．５*_15・通訳),0)*_15・２人),0)*(1+_15・B深夜)),0)*(1+_15・盲ろう)),0)</f>
        <v>321</v>
      </c>
      <c r="AA142" s="69"/>
    </row>
    <row r="143" spans="1:27" ht="16.5" customHeight="1" x14ac:dyDescent="0.3">
      <c r="A143" s="2">
        <v>15</v>
      </c>
      <c r="B143" s="2" t="s">
        <v>4583</v>
      </c>
      <c r="C143" s="83" t="s">
        <v>14909</v>
      </c>
      <c r="D143" s="103"/>
      <c r="E143" s="82"/>
      <c r="F143" s="103"/>
      <c r="G143" s="1"/>
      <c r="H143" s="68"/>
      <c r="I143" s="70"/>
      <c r="J143" s="67"/>
      <c r="K143" s="68"/>
      <c r="L143" s="76"/>
      <c r="M143" s="85"/>
      <c r="N143" s="64"/>
      <c r="O143" s="65"/>
      <c r="P143" s="99"/>
      <c r="Q143" s="70"/>
      <c r="R143" s="61"/>
      <c r="S143" s="62"/>
      <c r="T143" s="63"/>
      <c r="U143" s="75"/>
      <c r="V143" s="74" t="s">
        <v>18089</v>
      </c>
      <c r="W143" s="62"/>
      <c r="X143" s="63"/>
      <c r="Y143" s="75"/>
      <c r="Z143" s="120">
        <f>+ROUND((ROUND((ROUND((_15_同援日１．５＿１．５*_15・通訳),0)*(1+_15・B深夜)),0)*(1+_15・区３)),0)</f>
        <v>308</v>
      </c>
      <c r="AA143" s="69"/>
    </row>
    <row r="144" spans="1:27" ht="16.5" customHeight="1" x14ac:dyDescent="0.3">
      <c r="A144" s="2">
        <v>15</v>
      </c>
      <c r="B144" s="2" t="s">
        <v>4584</v>
      </c>
      <c r="C144" s="83" t="s">
        <v>14908</v>
      </c>
      <c r="D144" s="103"/>
      <c r="E144" s="82"/>
      <c r="F144" s="103"/>
      <c r="G144" s="1"/>
      <c r="H144" s="68"/>
      <c r="I144" s="70"/>
      <c r="J144" s="67"/>
      <c r="K144" s="68"/>
      <c r="L144" s="76"/>
      <c r="M144" s="83" t="s">
        <v>5895</v>
      </c>
      <c r="N144" s="64" t="s">
        <v>1</v>
      </c>
      <c r="O144" s="65">
        <v>1</v>
      </c>
      <c r="P144" s="99"/>
      <c r="Q144" s="70"/>
      <c r="R144" s="66"/>
      <c r="S144" s="57"/>
      <c r="T144" s="58"/>
      <c r="U144" s="77"/>
      <c r="V144" s="94" t="s">
        <v>17970</v>
      </c>
      <c r="W144" s="68"/>
      <c r="X144" s="76"/>
      <c r="Y144" s="70"/>
      <c r="Z144" s="120">
        <f>+ROUND((ROUND((ROUND((ROUND((_15_同援日１．５＿１．５*_15・通訳),0)*_15・２人),0)*(1+_15・B深夜)),0)*(1+_15・区３)),0)</f>
        <v>308</v>
      </c>
      <c r="AA144" s="69"/>
    </row>
    <row r="145" spans="1:27" ht="16.5" customHeight="1" x14ac:dyDescent="0.3">
      <c r="A145" s="2">
        <v>15</v>
      </c>
      <c r="B145" s="2" t="s">
        <v>4585</v>
      </c>
      <c r="C145" s="83" t="s">
        <v>14907</v>
      </c>
      <c r="D145" s="103"/>
      <c r="E145" s="82"/>
      <c r="F145" s="103"/>
      <c r="G145" s="1"/>
      <c r="H145" s="68"/>
      <c r="I145" s="70"/>
      <c r="J145" s="67"/>
      <c r="K145" s="68"/>
      <c r="L145" s="76"/>
      <c r="M145" s="85"/>
      <c r="N145" s="64"/>
      <c r="O145" s="65"/>
      <c r="P145" s="99"/>
      <c r="Q145" s="70"/>
      <c r="R145" s="74" t="s">
        <v>17969</v>
      </c>
      <c r="S145" s="62"/>
      <c r="T145" s="63"/>
      <c r="U145" s="75"/>
      <c r="V145" s="67"/>
      <c r="W145" s="68" t="s">
        <v>1</v>
      </c>
      <c r="X145" s="76">
        <v>0.2</v>
      </c>
      <c r="Y145" s="70" t="s">
        <v>422</v>
      </c>
      <c r="Z145" s="120">
        <f>+ROUND((ROUND((ROUND((ROUND((_15_同援日１．５＿１．５*_15・通訳),0)*(1+_15・B深夜)),0)*(1+_15・盲ろう)),0)*(1+_15・区３)),0)</f>
        <v>385</v>
      </c>
      <c r="AA145" s="69"/>
    </row>
    <row r="146" spans="1:27" ht="16.5" customHeight="1" x14ac:dyDescent="0.3">
      <c r="A146" s="2">
        <v>15</v>
      </c>
      <c r="B146" s="2" t="s">
        <v>4586</v>
      </c>
      <c r="C146" s="83" t="s">
        <v>14906</v>
      </c>
      <c r="D146" s="103"/>
      <c r="E146" s="82"/>
      <c r="F146" s="103"/>
      <c r="G146" s="1"/>
      <c r="H146" s="68"/>
      <c r="I146" s="70"/>
      <c r="J146" s="67"/>
      <c r="K146" s="68"/>
      <c r="L146" s="76"/>
      <c r="M146" s="83" t="s">
        <v>5895</v>
      </c>
      <c r="N146" s="64" t="s">
        <v>1</v>
      </c>
      <c r="O146" s="65">
        <v>1</v>
      </c>
      <c r="P146" s="99"/>
      <c r="Q146" s="70"/>
      <c r="R146" s="106" t="s">
        <v>17968</v>
      </c>
      <c r="S146" s="57" t="s">
        <v>1</v>
      </c>
      <c r="T146" s="58">
        <v>0.25</v>
      </c>
      <c r="U146" s="77" t="s">
        <v>422</v>
      </c>
      <c r="V146" s="66"/>
      <c r="W146" s="57"/>
      <c r="X146" s="58"/>
      <c r="Y146" s="77"/>
      <c r="Z146" s="120">
        <f>+ROUND((ROUND((ROUND((ROUND((ROUND((_15_同援日１．５＿１．５*_15・通訳),0)*_15・２人),0)*(1+_15・B深夜)),0)*(1+_15・盲ろう)),0)*(1+_15・区３)),0)</f>
        <v>385</v>
      </c>
      <c r="AA146" s="69"/>
    </row>
    <row r="147" spans="1:27" ht="16.5" customHeight="1" x14ac:dyDescent="0.3">
      <c r="A147" s="2">
        <v>15</v>
      </c>
      <c r="B147" s="2" t="s">
        <v>4587</v>
      </c>
      <c r="C147" s="83" t="s">
        <v>14905</v>
      </c>
      <c r="D147" s="103"/>
      <c r="E147" s="82"/>
      <c r="F147" s="103"/>
      <c r="G147" s="1"/>
      <c r="H147" s="68"/>
      <c r="I147" s="70"/>
      <c r="J147" s="67"/>
      <c r="K147" s="68"/>
      <c r="L147" s="76"/>
      <c r="M147" s="85"/>
      <c r="N147" s="64"/>
      <c r="O147" s="65"/>
      <c r="P147" s="99"/>
      <c r="Q147" s="70"/>
      <c r="R147" s="61"/>
      <c r="S147" s="62"/>
      <c r="T147" s="63"/>
      <c r="U147" s="75"/>
      <c r="V147" s="74" t="s">
        <v>18094</v>
      </c>
      <c r="W147" s="62"/>
      <c r="X147" s="63"/>
      <c r="Y147" s="75"/>
      <c r="Z147" s="120">
        <f>+ROUND((ROUND((ROUND((_15_同援日１．５＿１．５*_15・通訳),0)*(1+_15・B深夜)),0)*(1+_15・区４)),0)</f>
        <v>360</v>
      </c>
      <c r="AA147" s="69"/>
    </row>
    <row r="148" spans="1:27" ht="16.5" customHeight="1" x14ac:dyDescent="0.3">
      <c r="A148" s="2">
        <v>15</v>
      </c>
      <c r="B148" s="2" t="s">
        <v>4588</v>
      </c>
      <c r="C148" s="83" t="s">
        <v>14904</v>
      </c>
      <c r="D148" s="103"/>
      <c r="E148" s="82"/>
      <c r="F148" s="103"/>
      <c r="G148" s="1"/>
      <c r="H148" s="68"/>
      <c r="I148" s="70"/>
      <c r="J148" s="67"/>
      <c r="K148" s="68"/>
      <c r="L148" s="76"/>
      <c r="M148" s="83" t="s">
        <v>5895</v>
      </c>
      <c r="N148" s="64" t="s">
        <v>1</v>
      </c>
      <c r="O148" s="65">
        <v>1</v>
      </c>
      <c r="P148" s="99"/>
      <c r="Q148" s="70"/>
      <c r="R148" s="66"/>
      <c r="S148" s="57"/>
      <c r="T148" s="58"/>
      <c r="U148" s="77"/>
      <c r="V148" s="94" t="s">
        <v>18084</v>
      </c>
      <c r="W148" s="68"/>
      <c r="X148" s="76"/>
      <c r="Y148" s="70"/>
      <c r="Z148" s="120">
        <f>+ROUND((ROUND((ROUND((ROUND((_15_同援日１．５＿１．５*_15・通訳),0)*_15・２人),0)*(1+_15・B深夜)),0)*(1+_15・区４)),0)</f>
        <v>360</v>
      </c>
      <c r="AA148" s="69"/>
    </row>
    <row r="149" spans="1:27" ht="16.5" customHeight="1" x14ac:dyDescent="0.3">
      <c r="A149" s="2">
        <v>15</v>
      </c>
      <c r="B149" s="2" t="s">
        <v>4589</v>
      </c>
      <c r="C149" s="83" t="s">
        <v>14903</v>
      </c>
      <c r="D149" s="103"/>
      <c r="E149" s="82"/>
      <c r="F149" s="103"/>
      <c r="G149" s="1"/>
      <c r="H149" s="68"/>
      <c r="I149" s="70"/>
      <c r="J149" s="67"/>
      <c r="K149" s="68"/>
      <c r="L149" s="76"/>
      <c r="M149" s="85"/>
      <c r="N149" s="64"/>
      <c r="O149" s="65"/>
      <c r="P149" s="99"/>
      <c r="Q149" s="70"/>
      <c r="R149" s="74" t="s">
        <v>17969</v>
      </c>
      <c r="S149" s="62"/>
      <c r="T149" s="63"/>
      <c r="U149" s="75"/>
      <c r="V149" s="67"/>
      <c r="W149" s="68" t="s">
        <v>1</v>
      </c>
      <c r="X149" s="76">
        <v>0.4</v>
      </c>
      <c r="Y149" s="70" t="s">
        <v>422</v>
      </c>
      <c r="Z149" s="120">
        <f>+ROUND((ROUND((ROUND((ROUND((_15_同援日１．５＿１．５*_15・通訳),0)*(1+_15・B深夜)),0)*(1+_15・盲ろう)),0)*(1+_15・区４)),0)</f>
        <v>449</v>
      </c>
      <c r="AA149" s="69"/>
    </row>
    <row r="150" spans="1:27" ht="16.5" customHeight="1" x14ac:dyDescent="0.3">
      <c r="A150" s="2">
        <v>15</v>
      </c>
      <c r="B150" s="2" t="s">
        <v>4590</v>
      </c>
      <c r="C150" s="83" t="s">
        <v>14902</v>
      </c>
      <c r="D150" s="103"/>
      <c r="E150" s="73"/>
      <c r="F150" s="103"/>
      <c r="G150" s="81"/>
      <c r="H150" s="57"/>
      <c r="I150" s="77"/>
      <c r="J150" s="67"/>
      <c r="K150" s="68"/>
      <c r="L150" s="76"/>
      <c r="M150" s="83" t="s">
        <v>5895</v>
      </c>
      <c r="N150" s="64" t="s">
        <v>1</v>
      </c>
      <c r="O150" s="65">
        <v>1</v>
      </c>
      <c r="P150" s="99"/>
      <c r="Q150" s="70"/>
      <c r="R150" s="106" t="s">
        <v>8083</v>
      </c>
      <c r="S150" s="57" t="s">
        <v>1</v>
      </c>
      <c r="T150" s="58">
        <v>0.25</v>
      </c>
      <c r="U150" s="77" t="s">
        <v>422</v>
      </c>
      <c r="V150" s="66"/>
      <c r="W150" s="57"/>
      <c r="X150" s="58"/>
      <c r="Y150" s="77"/>
      <c r="Z150" s="120">
        <f>+ROUND((ROUND((ROUND((ROUND((ROUND((_15_同援日１．５＿１．５*_15・通訳),0)*_15・２人),0)*(1+_15・B深夜)),0)*(1+_15・盲ろう)),0)*(1+_15・区４)),0)</f>
        <v>449</v>
      </c>
      <c r="AA150" s="69"/>
    </row>
    <row r="151" spans="1:27" ht="16.5" customHeight="1" x14ac:dyDescent="0.3">
      <c r="A151" s="2">
        <v>15</v>
      </c>
      <c r="B151" s="2" t="s">
        <v>4591</v>
      </c>
      <c r="C151" s="83" t="s">
        <v>14901</v>
      </c>
      <c r="D151" s="103"/>
      <c r="E151" s="236" t="s">
        <v>18354</v>
      </c>
      <c r="F151" s="103"/>
      <c r="G151" s="233" t="s">
        <v>17703</v>
      </c>
      <c r="H151" s="62"/>
      <c r="I151" s="75"/>
      <c r="J151" s="67"/>
      <c r="K151" s="68"/>
      <c r="L151" s="76"/>
      <c r="M151" s="85"/>
      <c r="N151" s="64"/>
      <c r="O151" s="65"/>
      <c r="P151" s="99"/>
      <c r="Q151" s="70"/>
      <c r="R151" s="61"/>
      <c r="S151" s="62"/>
      <c r="T151" s="63"/>
      <c r="U151" s="75"/>
      <c r="V151" s="61"/>
      <c r="W151" s="62"/>
      <c r="X151" s="63"/>
      <c r="Y151" s="75"/>
      <c r="Z151" s="120">
        <f>+ROUND((ROUND((_15_同援日２．０＿０．５*_15・通訳),0)*(1+_15・B深夜)),0)</f>
        <v>86</v>
      </c>
      <c r="AA151" s="69"/>
    </row>
    <row r="152" spans="1:27" ht="16.5" customHeight="1" x14ac:dyDescent="0.3">
      <c r="A152" s="2">
        <v>15</v>
      </c>
      <c r="B152" s="2" t="s">
        <v>4592</v>
      </c>
      <c r="C152" s="83" t="s">
        <v>14900</v>
      </c>
      <c r="D152" s="103"/>
      <c r="E152" s="82" t="s">
        <v>16868</v>
      </c>
      <c r="F152" s="103"/>
      <c r="G152" s="1" t="s">
        <v>7928</v>
      </c>
      <c r="H152" s="68"/>
      <c r="I152" s="70"/>
      <c r="J152" s="67"/>
      <c r="K152" s="68"/>
      <c r="L152" s="76"/>
      <c r="M152" s="83" t="s">
        <v>5895</v>
      </c>
      <c r="N152" s="64" t="s">
        <v>1</v>
      </c>
      <c r="O152" s="65">
        <v>1</v>
      </c>
      <c r="P152" s="99"/>
      <c r="Q152" s="70"/>
      <c r="R152" s="66"/>
      <c r="S152" s="57"/>
      <c r="T152" s="58"/>
      <c r="U152" s="77"/>
      <c r="V152" s="67"/>
      <c r="W152" s="68"/>
      <c r="X152" s="76"/>
      <c r="Y152" s="70"/>
      <c r="Z152" s="120">
        <f>+ROUND((ROUND((ROUND((_15_同援日２．０＿０．５*_15・通訳),0)*_15・２人),0)*(1+_15・B深夜)),0)</f>
        <v>86</v>
      </c>
      <c r="AA152" s="69"/>
    </row>
    <row r="153" spans="1:27" ht="16.5" customHeight="1" x14ac:dyDescent="0.3">
      <c r="A153" s="2">
        <v>15</v>
      </c>
      <c r="B153" s="2" t="s">
        <v>4593</v>
      </c>
      <c r="C153" s="83" t="s">
        <v>14899</v>
      </c>
      <c r="D153" s="103"/>
      <c r="E153" s="82" t="s">
        <v>6448</v>
      </c>
      <c r="F153" s="103"/>
      <c r="G153" s="1"/>
      <c r="H153" s="68"/>
      <c r="I153" s="70"/>
      <c r="J153" s="67"/>
      <c r="K153" s="68"/>
      <c r="L153" s="76"/>
      <c r="M153" s="85"/>
      <c r="N153" s="64"/>
      <c r="O153" s="65"/>
      <c r="P153" s="99"/>
      <c r="Q153" s="70"/>
      <c r="R153" s="74" t="s">
        <v>18087</v>
      </c>
      <c r="S153" s="62"/>
      <c r="T153" s="63"/>
      <c r="U153" s="75"/>
      <c r="V153" s="67"/>
      <c r="W153" s="68"/>
      <c r="X153" s="76"/>
      <c r="Y153" s="70"/>
      <c r="Z153" s="120">
        <f>+ROUND((ROUND((ROUND((_15_同援日２．０＿０．５*_15・通訳),0)*(1+_15・B深夜)),0)*(1+_15・盲ろう)),0)</f>
        <v>108</v>
      </c>
      <c r="AA153" s="69"/>
    </row>
    <row r="154" spans="1:27" ht="16.5" customHeight="1" x14ac:dyDescent="0.3">
      <c r="A154" s="2">
        <v>15</v>
      </c>
      <c r="B154" s="2" t="s">
        <v>4594</v>
      </c>
      <c r="C154" s="83" t="s">
        <v>14898</v>
      </c>
      <c r="D154" s="103"/>
      <c r="E154" s="82"/>
      <c r="F154" s="103"/>
      <c r="G154" s="1"/>
      <c r="H154" s="119">
        <v>63</v>
      </c>
      <c r="I154" s="70" t="s">
        <v>0</v>
      </c>
      <c r="J154" s="67"/>
      <c r="K154" s="68"/>
      <c r="L154" s="76"/>
      <c r="M154" s="83" t="s">
        <v>5895</v>
      </c>
      <c r="N154" s="64" t="s">
        <v>1</v>
      </c>
      <c r="O154" s="65">
        <v>1</v>
      </c>
      <c r="P154" s="99"/>
      <c r="Q154" s="70"/>
      <c r="R154" s="106" t="s">
        <v>8083</v>
      </c>
      <c r="S154" s="57" t="s">
        <v>1</v>
      </c>
      <c r="T154" s="58">
        <v>0.25</v>
      </c>
      <c r="U154" s="77" t="s">
        <v>422</v>
      </c>
      <c r="V154" s="66"/>
      <c r="W154" s="57"/>
      <c r="X154" s="58"/>
      <c r="Y154" s="77"/>
      <c r="Z154" s="120">
        <f>+ROUND((ROUND((ROUND((ROUND((_15_同援日２．０＿０．５*_15・通訳),0)*_15・２人),0)*(1+_15・B深夜)),0)*(1+_15・盲ろう)),0)</f>
        <v>108</v>
      </c>
      <c r="AA154" s="69"/>
    </row>
    <row r="155" spans="1:27" ht="16.5" customHeight="1" x14ac:dyDescent="0.3">
      <c r="A155" s="2">
        <v>15</v>
      </c>
      <c r="B155" s="2" t="s">
        <v>4595</v>
      </c>
      <c r="C155" s="83" t="s">
        <v>14897</v>
      </c>
      <c r="D155" s="103"/>
      <c r="E155" s="82"/>
      <c r="F155" s="103"/>
      <c r="G155" s="1"/>
      <c r="H155" s="68"/>
      <c r="I155" s="70"/>
      <c r="J155" s="67"/>
      <c r="K155" s="68"/>
      <c r="L155" s="76"/>
      <c r="M155" s="85"/>
      <c r="N155" s="64"/>
      <c r="O155" s="65"/>
      <c r="P155" s="99"/>
      <c r="Q155" s="70"/>
      <c r="R155" s="61"/>
      <c r="S155" s="62"/>
      <c r="T155" s="63"/>
      <c r="U155" s="75"/>
      <c r="V155" s="74" t="s">
        <v>17974</v>
      </c>
      <c r="W155" s="62"/>
      <c r="X155" s="63"/>
      <c r="Y155" s="75"/>
      <c r="Z155" s="120">
        <f>+ROUND((ROUND((ROUND((_15_同援日２．０＿０．５*_15・通訳),0)*(1+_15・B深夜)),0)*(1+_15・区３)),0)</f>
        <v>103</v>
      </c>
      <c r="AA155" s="69"/>
    </row>
    <row r="156" spans="1:27" ht="16.5" customHeight="1" x14ac:dyDescent="0.3">
      <c r="A156" s="2">
        <v>15</v>
      </c>
      <c r="B156" s="2" t="s">
        <v>4596</v>
      </c>
      <c r="C156" s="83" t="s">
        <v>14896</v>
      </c>
      <c r="D156" s="103"/>
      <c r="E156" s="82"/>
      <c r="F156" s="103"/>
      <c r="G156" s="1"/>
      <c r="H156" s="68"/>
      <c r="I156" s="70"/>
      <c r="J156" s="67"/>
      <c r="K156" s="68"/>
      <c r="L156" s="76"/>
      <c r="M156" s="83" t="s">
        <v>5895</v>
      </c>
      <c r="N156" s="64" t="s">
        <v>1</v>
      </c>
      <c r="O156" s="65">
        <v>1</v>
      </c>
      <c r="P156" s="99"/>
      <c r="Q156" s="70"/>
      <c r="R156" s="66"/>
      <c r="S156" s="57"/>
      <c r="T156" s="58"/>
      <c r="U156" s="77"/>
      <c r="V156" s="94" t="s">
        <v>18084</v>
      </c>
      <c r="W156" s="68"/>
      <c r="X156" s="76"/>
      <c r="Y156" s="70"/>
      <c r="Z156" s="120">
        <f>+ROUND((ROUND((ROUND((ROUND((_15_同援日２．０＿０．５*_15・通訳),0)*_15・２人),0)*(1+_15・B深夜)),0)*(1+_15・区３)),0)</f>
        <v>103</v>
      </c>
      <c r="AA156" s="69"/>
    </row>
    <row r="157" spans="1:27" ht="16.5" customHeight="1" x14ac:dyDescent="0.3">
      <c r="A157" s="2">
        <v>15</v>
      </c>
      <c r="B157" s="2" t="s">
        <v>4597</v>
      </c>
      <c r="C157" s="83" t="s">
        <v>14895</v>
      </c>
      <c r="D157" s="103"/>
      <c r="E157" s="82"/>
      <c r="F157" s="103"/>
      <c r="G157" s="1"/>
      <c r="H157" s="68"/>
      <c r="I157" s="70"/>
      <c r="J157" s="67"/>
      <c r="K157" s="68"/>
      <c r="L157" s="76"/>
      <c r="M157" s="85"/>
      <c r="N157" s="64"/>
      <c r="O157" s="65"/>
      <c r="P157" s="99"/>
      <c r="Q157" s="70"/>
      <c r="R157" s="74" t="s">
        <v>17969</v>
      </c>
      <c r="S157" s="62"/>
      <c r="T157" s="63"/>
      <c r="U157" s="75"/>
      <c r="V157" s="67"/>
      <c r="W157" s="68" t="s">
        <v>1</v>
      </c>
      <c r="X157" s="76">
        <v>0.2</v>
      </c>
      <c r="Y157" s="70" t="s">
        <v>422</v>
      </c>
      <c r="Z157" s="120">
        <f>+ROUND((ROUND((ROUND((ROUND((_15_同援日２．０＿０．５*_15・通訳),0)*(1+_15・B深夜)),0)*(1+_15・盲ろう)),0)*(1+_15・区３)),0)</f>
        <v>130</v>
      </c>
      <c r="AA157" s="69"/>
    </row>
    <row r="158" spans="1:27" ht="16.5" customHeight="1" x14ac:dyDescent="0.3">
      <c r="A158" s="2">
        <v>15</v>
      </c>
      <c r="B158" s="2" t="s">
        <v>4598</v>
      </c>
      <c r="C158" s="83" t="s">
        <v>14894</v>
      </c>
      <c r="D158" s="103"/>
      <c r="E158" s="82"/>
      <c r="F158" s="103"/>
      <c r="G158" s="1"/>
      <c r="H158" s="68"/>
      <c r="I158" s="70"/>
      <c r="J158" s="67"/>
      <c r="K158" s="68"/>
      <c r="L158" s="76"/>
      <c r="M158" s="83" t="s">
        <v>5895</v>
      </c>
      <c r="N158" s="64" t="s">
        <v>1</v>
      </c>
      <c r="O158" s="65">
        <v>1</v>
      </c>
      <c r="P158" s="99"/>
      <c r="Q158" s="70"/>
      <c r="R158" s="106" t="s">
        <v>17968</v>
      </c>
      <c r="S158" s="57" t="s">
        <v>1</v>
      </c>
      <c r="T158" s="58">
        <v>0.25</v>
      </c>
      <c r="U158" s="77" t="s">
        <v>422</v>
      </c>
      <c r="V158" s="66"/>
      <c r="W158" s="57"/>
      <c r="X158" s="58"/>
      <c r="Y158" s="77"/>
      <c r="Z158" s="120">
        <f>+ROUND((ROUND((ROUND((ROUND((ROUND((_15_同援日２．０＿０．５*_15・通訳),0)*_15・２人),0)*(1+_15・B深夜)),0)*(1+_15・盲ろう)),0)*(1+_15・区３)),0)</f>
        <v>130</v>
      </c>
      <c r="AA158" s="69"/>
    </row>
    <row r="159" spans="1:27" ht="16.5" customHeight="1" x14ac:dyDescent="0.3">
      <c r="A159" s="2">
        <v>15</v>
      </c>
      <c r="B159" s="2" t="s">
        <v>4599</v>
      </c>
      <c r="C159" s="83" t="s">
        <v>14893</v>
      </c>
      <c r="D159" s="103"/>
      <c r="E159" s="82"/>
      <c r="F159" s="103"/>
      <c r="G159" s="1"/>
      <c r="H159" s="68"/>
      <c r="I159" s="70"/>
      <c r="J159" s="67"/>
      <c r="K159" s="68"/>
      <c r="L159" s="76"/>
      <c r="M159" s="85"/>
      <c r="N159" s="64"/>
      <c r="O159" s="65"/>
      <c r="P159" s="99"/>
      <c r="Q159" s="70"/>
      <c r="R159" s="61"/>
      <c r="S159" s="62"/>
      <c r="T159" s="63"/>
      <c r="U159" s="75"/>
      <c r="V159" s="74" t="s">
        <v>18094</v>
      </c>
      <c r="W159" s="62"/>
      <c r="X159" s="63"/>
      <c r="Y159" s="75"/>
      <c r="Z159" s="120">
        <f>+ROUND((ROUND((ROUND((_15_同援日２．０＿０．５*_15・通訳),0)*(1+_15・B深夜)),0)*(1+_15・区４)),0)</f>
        <v>120</v>
      </c>
      <c r="AA159" s="69"/>
    </row>
    <row r="160" spans="1:27" ht="16.5" customHeight="1" x14ac:dyDescent="0.3">
      <c r="A160" s="2">
        <v>15</v>
      </c>
      <c r="B160" s="2" t="s">
        <v>4600</v>
      </c>
      <c r="C160" s="83" t="s">
        <v>14892</v>
      </c>
      <c r="D160" s="103"/>
      <c r="E160" s="82"/>
      <c r="F160" s="103"/>
      <c r="G160" s="1"/>
      <c r="H160" s="68"/>
      <c r="I160" s="70"/>
      <c r="J160" s="67"/>
      <c r="K160" s="68"/>
      <c r="L160" s="76"/>
      <c r="M160" s="83" t="s">
        <v>5895</v>
      </c>
      <c r="N160" s="64" t="s">
        <v>1</v>
      </c>
      <c r="O160" s="65">
        <v>1</v>
      </c>
      <c r="P160" s="99"/>
      <c r="Q160" s="70"/>
      <c r="R160" s="66"/>
      <c r="S160" s="57"/>
      <c r="T160" s="58"/>
      <c r="U160" s="77"/>
      <c r="V160" s="94" t="s">
        <v>17970</v>
      </c>
      <c r="W160" s="68"/>
      <c r="X160" s="76"/>
      <c r="Y160" s="70"/>
      <c r="Z160" s="120">
        <f>+ROUND((ROUND((ROUND((ROUND((_15_同援日２．０＿０．５*_15・通訳),0)*_15・２人),0)*(1+_15・B深夜)),0)*(1+_15・区４)),0)</f>
        <v>120</v>
      </c>
      <c r="AA160" s="69"/>
    </row>
    <row r="161" spans="1:27" ht="16.5" customHeight="1" x14ac:dyDescent="0.3">
      <c r="A161" s="2">
        <v>15</v>
      </c>
      <c r="B161" s="2" t="s">
        <v>4601</v>
      </c>
      <c r="C161" s="83" t="s">
        <v>14891</v>
      </c>
      <c r="D161" s="103"/>
      <c r="E161" s="82"/>
      <c r="F161" s="103"/>
      <c r="G161" s="1"/>
      <c r="H161" s="68"/>
      <c r="I161" s="70"/>
      <c r="J161" s="67"/>
      <c r="K161" s="68"/>
      <c r="L161" s="76"/>
      <c r="M161" s="85"/>
      <c r="N161" s="64"/>
      <c r="O161" s="65"/>
      <c r="P161" s="99"/>
      <c r="Q161" s="70"/>
      <c r="R161" s="74" t="s">
        <v>17969</v>
      </c>
      <c r="S161" s="62"/>
      <c r="T161" s="63"/>
      <c r="U161" s="75"/>
      <c r="V161" s="67"/>
      <c r="W161" s="68" t="s">
        <v>1</v>
      </c>
      <c r="X161" s="76">
        <v>0.4</v>
      </c>
      <c r="Y161" s="70" t="s">
        <v>422</v>
      </c>
      <c r="Z161" s="120">
        <f>+ROUND((ROUND((ROUND((ROUND((_15_同援日２．０＿０．５*_15・通訳),0)*(1+_15・B深夜)),0)*(1+_15・盲ろう)),0)*(1+_15・区４)),0)</f>
        <v>151</v>
      </c>
      <c r="AA161" s="69"/>
    </row>
    <row r="162" spans="1:27" ht="16.5" customHeight="1" x14ac:dyDescent="0.3">
      <c r="A162" s="2">
        <v>15</v>
      </c>
      <c r="B162" s="2" t="s">
        <v>4602</v>
      </c>
      <c r="C162" s="83" t="s">
        <v>14890</v>
      </c>
      <c r="D162" s="103"/>
      <c r="E162" s="82"/>
      <c r="F162" s="103"/>
      <c r="G162" s="81"/>
      <c r="H162" s="57"/>
      <c r="I162" s="77"/>
      <c r="J162" s="67"/>
      <c r="K162" s="68"/>
      <c r="L162" s="76"/>
      <c r="M162" s="83" t="s">
        <v>5895</v>
      </c>
      <c r="N162" s="64" t="s">
        <v>1</v>
      </c>
      <c r="O162" s="65">
        <v>1</v>
      </c>
      <c r="P162" s="99"/>
      <c r="Q162" s="70"/>
      <c r="R162" s="106" t="s">
        <v>17968</v>
      </c>
      <c r="S162" s="57" t="s">
        <v>1</v>
      </c>
      <c r="T162" s="58">
        <v>0.25</v>
      </c>
      <c r="U162" s="77" t="s">
        <v>422</v>
      </c>
      <c r="V162" s="66"/>
      <c r="W162" s="57"/>
      <c r="X162" s="58"/>
      <c r="Y162" s="77"/>
      <c r="Z162" s="120">
        <f>+ROUND((ROUND((ROUND((ROUND((ROUND((_15_同援日２．０＿０．５*_15・通訳),0)*_15・２人),0)*(1+_15・B深夜)),0)*(1+_15・盲ろう)),0)*(1+_15・区４)),0)</f>
        <v>151</v>
      </c>
      <c r="AA162" s="69"/>
    </row>
    <row r="163" spans="1:27" ht="16.5" customHeight="1" x14ac:dyDescent="0.3">
      <c r="A163" s="2">
        <v>15</v>
      </c>
      <c r="B163" s="2" t="s">
        <v>4603</v>
      </c>
      <c r="C163" s="83" t="s">
        <v>14889</v>
      </c>
      <c r="D163" s="103"/>
      <c r="E163" s="82"/>
      <c r="F163" s="103"/>
      <c r="G163" s="233" t="s">
        <v>16961</v>
      </c>
      <c r="H163" s="62"/>
      <c r="I163" s="75"/>
      <c r="J163" s="67"/>
      <c r="K163" s="68"/>
      <c r="L163" s="76"/>
      <c r="M163" s="85"/>
      <c r="N163" s="64"/>
      <c r="O163" s="65"/>
      <c r="P163" s="99"/>
      <c r="Q163" s="70"/>
      <c r="R163" s="61"/>
      <c r="S163" s="62"/>
      <c r="T163" s="63"/>
      <c r="U163" s="75"/>
      <c r="V163" s="61"/>
      <c r="W163" s="62"/>
      <c r="X163" s="63"/>
      <c r="Y163" s="75"/>
      <c r="Z163" s="120">
        <f>+ROUND((ROUND((_15_同援日２．０＿１．０*_15・通訳),0)*(1+_15・B深夜)),0)</f>
        <v>170</v>
      </c>
      <c r="AA163" s="69"/>
    </row>
    <row r="164" spans="1:27" ht="16.5" customHeight="1" x14ac:dyDescent="0.3">
      <c r="A164" s="2">
        <v>15</v>
      </c>
      <c r="B164" s="2" t="s">
        <v>4604</v>
      </c>
      <c r="C164" s="83" t="s">
        <v>14888</v>
      </c>
      <c r="D164" s="103"/>
      <c r="E164" s="82"/>
      <c r="F164" s="103"/>
      <c r="G164" s="1" t="s">
        <v>17067</v>
      </c>
      <c r="H164" s="68"/>
      <c r="I164" s="70"/>
      <c r="J164" s="67"/>
      <c r="K164" s="68"/>
      <c r="L164" s="76"/>
      <c r="M164" s="83" t="s">
        <v>5895</v>
      </c>
      <c r="N164" s="64" t="s">
        <v>1</v>
      </c>
      <c r="O164" s="65">
        <v>1</v>
      </c>
      <c r="P164" s="99"/>
      <c r="Q164" s="70"/>
      <c r="R164" s="66"/>
      <c r="S164" s="57"/>
      <c r="T164" s="58"/>
      <c r="U164" s="77"/>
      <c r="V164" s="67"/>
      <c r="W164" s="68"/>
      <c r="X164" s="76"/>
      <c r="Y164" s="70"/>
      <c r="Z164" s="120">
        <f>+ROUND((ROUND((ROUND((_15_同援日２．０＿１．０*_15・通訳),0)*_15・２人),0)*(1+_15・B深夜)),0)</f>
        <v>170</v>
      </c>
      <c r="AA164" s="69"/>
    </row>
    <row r="165" spans="1:27" ht="16.5" customHeight="1" x14ac:dyDescent="0.3">
      <c r="A165" s="2">
        <v>15</v>
      </c>
      <c r="B165" s="2" t="s">
        <v>4605</v>
      </c>
      <c r="C165" s="83" t="s">
        <v>14887</v>
      </c>
      <c r="D165" s="103"/>
      <c r="E165" s="82"/>
      <c r="F165" s="103"/>
      <c r="G165" s="1" t="s">
        <v>8572</v>
      </c>
      <c r="H165" s="68"/>
      <c r="I165" s="70"/>
      <c r="J165" s="67"/>
      <c r="K165" s="68"/>
      <c r="L165" s="76"/>
      <c r="M165" s="85"/>
      <c r="N165" s="64"/>
      <c r="O165" s="65"/>
      <c r="P165" s="99"/>
      <c r="Q165" s="70"/>
      <c r="R165" s="74" t="s">
        <v>18087</v>
      </c>
      <c r="S165" s="62"/>
      <c r="T165" s="63"/>
      <c r="U165" s="75"/>
      <c r="V165" s="67"/>
      <c r="W165" s="68"/>
      <c r="X165" s="76"/>
      <c r="Y165" s="70"/>
      <c r="Z165" s="120">
        <f>+ROUND((ROUND((ROUND((_15_同援日２．０＿１．０*_15・通訳),0)*(1+_15・B深夜)),0)*(1+_15・盲ろう)),0)</f>
        <v>213</v>
      </c>
      <c r="AA165" s="69"/>
    </row>
    <row r="166" spans="1:27" ht="16.5" customHeight="1" x14ac:dyDescent="0.3">
      <c r="A166" s="2">
        <v>15</v>
      </c>
      <c r="B166" s="2" t="s">
        <v>4606</v>
      </c>
      <c r="C166" s="83" t="s">
        <v>14886</v>
      </c>
      <c r="D166" s="103"/>
      <c r="E166" s="82"/>
      <c r="F166" s="103"/>
      <c r="G166" s="1"/>
      <c r="H166" s="119">
        <v>126</v>
      </c>
      <c r="I166" s="70" t="s">
        <v>0</v>
      </c>
      <c r="J166" s="67"/>
      <c r="K166" s="68"/>
      <c r="L166" s="76"/>
      <c r="M166" s="83" t="s">
        <v>5895</v>
      </c>
      <c r="N166" s="64" t="s">
        <v>1</v>
      </c>
      <c r="O166" s="65">
        <v>1</v>
      </c>
      <c r="P166" s="99"/>
      <c r="Q166" s="70"/>
      <c r="R166" s="106" t="s">
        <v>18086</v>
      </c>
      <c r="S166" s="57" t="s">
        <v>1</v>
      </c>
      <c r="T166" s="58">
        <v>0.25</v>
      </c>
      <c r="U166" s="77" t="s">
        <v>422</v>
      </c>
      <c r="V166" s="66"/>
      <c r="W166" s="57"/>
      <c r="X166" s="58"/>
      <c r="Y166" s="77"/>
      <c r="Z166" s="120">
        <f>+ROUND((ROUND((ROUND((ROUND((_15_同援日２．０＿１．０*_15・通訳),0)*_15・２人),0)*(1+_15・B深夜)),0)*(1+_15・盲ろう)),0)</f>
        <v>213</v>
      </c>
      <c r="AA166" s="69"/>
    </row>
    <row r="167" spans="1:27" ht="16.5" customHeight="1" x14ac:dyDescent="0.3">
      <c r="A167" s="2">
        <v>15</v>
      </c>
      <c r="B167" s="2" t="s">
        <v>4607</v>
      </c>
      <c r="C167" s="83" t="s">
        <v>14885</v>
      </c>
      <c r="D167" s="103"/>
      <c r="E167" s="82"/>
      <c r="F167" s="103"/>
      <c r="G167" s="1"/>
      <c r="H167" s="68"/>
      <c r="I167" s="70"/>
      <c r="J167" s="67"/>
      <c r="K167" s="68"/>
      <c r="L167" s="76"/>
      <c r="M167" s="85"/>
      <c r="N167" s="64"/>
      <c r="O167" s="65"/>
      <c r="P167" s="99"/>
      <c r="Q167" s="70"/>
      <c r="R167" s="61"/>
      <c r="S167" s="62"/>
      <c r="T167" s="63"/>
      <c r="U167" s="75"/>
      <c r="V167" s="74" t="s">
        <v>17974</v>
      </c>
      <c r="W167" s="62"/>
      <c r="X167" s="63"/>
      <c r="Y167" s="75"/>
      <c r="Z167" s="120">
        <f>+ROUND((ROUND((ROUND((_15_同援日２．０＿１．０*_15・通訳),0)*(1+_15・B深夜)),0)*(1+_15・区３)),0)</f>
        <v>204</v>
      </c>
      <c r="AA167" s="69"/>
    </row>
    <row r="168" spans="1:27" ht="16.5" customHeight="1" x14ac:dyDescent="0.3">
      <c r="A168" s="2">
        <v>15</v>
      </c>
      <c r="B168" s="2" t="s">
        <v>4608</v>
      </c>
      <c r="C168" s="83" t="s">
        <v>14884</v>
      </c>
      <c r="D168" s="103"/>
      <c r="E168" s="82"/>
      <c r="F168" s="103"/>
      <c r="G168" s="1"/>
      <c r="H168" s="68"/>
      <c r="I168" s="70"/>
      <c r="J168" s="67"/>
      <c r="K168" s="68"/>
      <c r="L168" s="76"/>
      <c r="M168" s="83" t="s">
        <v>5895</v>
      </c>
      <c r="N168" s="64" t="s">
        <v>1</v>
      </c>
      <c r="O168" s="65">
        <v>1</v>
      </c>
      <c r="P168" s="99"/>
      <c r="Q168" s="70"/>
      <c r="R168" s="66"/>
      <c r="S168" s="57"/>
      <c r="T168" s="58"/>
      <c r="U168" s="77"/>
      <c r="V168" s="94" t="s">
        <v>17970</v>
      </c>
      <c r="W168" s="68"/>
      <c r="X168" s="76"/>
      <c r="Y168" s="70"/>
      <c r="Z168" s="120">
        <f>+ROUND((ROUND((ROUND((ROUND((_15_同援日２．０＿１．０*_15・通訳),0)*_15・２人),0)*(1+_15・B深夜)),0)*(1+_15・区３)),0)</f>
        <v>204</v>
      </c>
      <c r="AA168" s="69"/>
    </row>
    <row r="169" spans="1:27" ht="16.5" customHeight="1" x14ac:dyDescent="0.3">
      <c r="A169" s="2">
        <v>15</v>
      </c>
      <c r="B169" s="2" t="s">
        <v>4609</v>
      </c>
      <c r="C169" s="83" t="s">
        <v>14883</v>
      </c>
      <c r="D169" s="103"/>
      <c r="E169" s="82"/>
      <c r="F169" s="103"/>
      <c r="G169" s="1"/>
      <c r="H169" s="68"/>
      <c r="I169" s="70"/>
      <c r="J169" s="67"/>
      <c r="K169" s="68"/>
      <c r="L169" s="76"/>
      <c r="M169" s="85"/>
      <c r="N169" s="64"/>
      <c r="O169" s="65"/>
      <c r="P169" s="99"/>
      <c r="Q169" s="70"/>
      <c r="R169" s="74" t="s">
        <v>17969</v>
      </c>
      <c r="S169" s="62"/>
      <c r="T169" s="63"/>
      <c r="U169" s="75"/>
      <c r="V169" s="67"/>
      <c r="W169" s="68" t="s">
        <v>1</v>
      </c>
      <c r="X169" s="76">
        <v>0.2</v>
      </c>
      <c r="Y169" s="70" t="s">
        <v>422</v>
      </c>
      <c r="Z169" s="120">
        <f>+ROUND((ROUND((ROUND((ROUND((_15_同援日２．０＿１．０*_15・通訳),0)*(1+_15・B深夜)),0)*(1+_15・盲ろう)),0)*(1+_15・区３)),0)</f>
        <v>256</v>
      </c>
      <c r="AA169" s="69"/>
    </row>
    <row r="170" spans="1:27" ht="16.5" customHeight="1" x14ac:dyDescent="0.3">
      <c r="A170" s="2">
        <v>15</v>
      </c>
      <c r="B170" s="2" t="s">
        <v>4610</v>
      </c>
      <c r="C170" s="83" t="s">
        <v>14882</v>
      </c>
      <c r="D170" s="103"/>
      <c r="E170" s="82"/>
      <c r="F170" s="103"/>
      <c r="G170" s="1"/>
      <c r="H170" s="68"/>
      <c r="I170" s="70"/>
      <c r="J170" s="67"/>
      <c r="K170" s="68"/>
      <c r="L170" s="76"/>
      <c r="M170" s="83" t="s">
        <v>5895</v>
      </c>
      <c r="N170" s="64" t="s">
        <v>1</v>
      </c>
      <c r="O170" s="65">
        <v>1</v>
      </c>
      <c r="P170" s="99"/>
      <c r="Q170" s="70"/>
      <c r="R170" s="106" t="s">
        <v>17968</v>
      </c>
      <c r="S170" s="57" t="s">
        <v>1</v>
      </c>
      <c r="T170" s="58">
        <v>0.25</v>
      </c>
      <c r="U170" s="77" t="s">
        <v>422</v>
      </c>
      <c r="V170" s="66"/>
      <c r="W170" s="57"/>
      <c r="X170" s="58"/>
      <c r="Y170" s="77"/>
      <c r="Z170" s="120">
        <f>+ROUND((ROUND((ROUND((ROUND((ROUND((_15_同援日２．０＿１．０*_15・通訳),0)*_15・２人),0)*(1+_15・B深夜)),0)*(1+_15・盲ろう)),0)*(1+_15・区３)),0)</f>
        <v>256</v>
      </c>
      <c r="AA170" s="69"/>
    </row>
    <row r="171" spans="1:27" ht="16.5" customHeight="1" x14ac:dyDescent="0.3">
      <c r="A171" s="2">
        <v>15</v>
      </c>
      <c r="B171" s="2" t="s">
        <v>4611</v>
      </c>
      <c r="C171" s="83" t="s">
        <v>14881</v>
      </c>
      <c r="D171" s="103"/>
      <c r="E171" s="82"/>
      <c r="F171" s="103"/>
      <c r="G171" s="1"/>
      <c r="H171" s="68"/>
      <c r="I171" s="70"/>
      <c r="J171" s="67"/>
      <c r="K171" s="68"/>
      <c r="L171" s="76"/>
      <c r="M171" s="85"/>
      <c r="N171" s="64"/>
      <c r="O171" s="65"/>
      <c r="P171" s="99"/>
      <c r="Q171" s="70"/>
      <c r="R171" s="61"/>
      <c r="S171" s="62"/>
      <c r="T171" s="63"/>
      <c r="U171" s="75"/>
      <c r="V171" s="74" t="s">
        <v>17971</v>
      </c>
      <c r="W171" s="62"/>
      <c r="X171" s="63"/>
      <c r="Y171" s="75"/>
      <c r="Z171" s="120">
        <f>+ROUND((ROUND((ROUND((_15_同援日２．０＿１．０*_15・通訳),0)*(1+_15・B深夜)),0)*(1+_15・区４)),0)</f>
        <v>238</v>
      </c>
      <c r="AA171" s="69"/>
    </row>
    <row r="172" spans="1:27" ht="16.5" customHeight="1" x14ac:dyDescent="0.3">
      <c r="A172" s="2">
        <v>15</v>
      </c>
      <c r="B172" s="2" t="s">
        <v>4612</v>
      </c>
      <c r="C172" s="83" t="s">
        <v>14880</v>
      </c>
      <c r="D172" s="103"/>
      <c r="E172" s="82"/>
      <c r="F172" s="103"/>
      <c r="G172" s="1"/>
      <c r="H172" s="68"/>
      <c r="I172" s="70"/>
      <c r="J172" s="67"/>
      <c r="K172" s="68"/>
      <c r="L172" s="76"/>
      <c r="M172" s="83" t="s">
        <v>5895</v>
      </c>
      <c r="N172" s="64" t="s">
        <v>1</v>
      </c>
      <c r="O172" s="65">
        <v>1</v>
      </c>
      <c r="P172" s="99"/>
      <c r="Q172" s="70"/>
      <c r="R172" s="66"/>
      <c r="S172" s="57"/>
      <c r="T172" s="58"/>
      <c r="U172" s="77"/>
      <c r="V172" s="94" t="s">
        <v>18084</v>
      </c>
      <c r="W172" s="68"/>
      <c r="X172" s="76"/>
      <c r="Y172" s="70"/>
      <c r="Z172" s="120">
        <f>+ROUND((ROUND((ROUND((ROUND((_15_同援日２．０＿１．０*_15・通訳),0)*_15・２人),0)*(1+_15・B深夜)),0)*(1+_15・区４)),0)</f>
        <v>238</v>
      </c>
      <c r="AA172" s="69"/>
    </row>
    <row r="173" spans="1:27" ht="16.5" customHeight="1" x14ac:dyDescent="0.3">
      <c r="A173" s="2">
        <v>15</v>
      </c>
      <c r="B173" s="2" t="s">
        <v>4613</v>
      </c>
      <c r="C173" s="83" t="s">
        <v>14879</v>
      </c>
      <c r="D173" s="103"/>
      <c r="E173" s="82"/>
      <c r="F173" s="103"/>
      <c r="G173" s="1"/>
      <c r="H173" s="68"/>
      <c r="I173" s="70"/>
      <c r="J173" s="67"/>
      <c r="K173" s="68"/>
      <c r="L173" s="76"/>
      <c r="M173" s="85"/>
      <c r="N173" s="64"/>
      <c r="O173" s="65"/>
      <c r="P173" s="99"/>
      <c r="Q173" s="70"/>
      <c r="R173" s="74" t="s">
        <v>17969</v>
      </c>
      <c r="S173" s="62"/>
      <c r="T173" s="63"/>
      <c r="U173" s="75"/>
      <c r="V173" s="67"/>
      <c r="W173" s="68" t="s">
        <v>1</v>
      </c>
      <c r="X173" s="76">
        <v>0.4</v>
      </c>
      <c r="Y173" s="70" t="s">
        <v>422</v>
      </c>
      <c r="Z173" s="120">
        <f>+ROUND((ROUND((ROUND((ROUND((_15_同援日２．０＿１．０*_15・通訳),0)*(1+_15・B深夜)),0)*(1+_15・盲ろう)),0)*(1+_15・区４)),0)</f>
        <v>298</v>
      </c>
      <c r="AA173" s="69"/>
    </row>
    <row r="174" spans="1:27" ht="16.5" customHeight="1" x14ac:dyDescent="0.3">
      <c r="A174" s="2">
        <v>15</v>
      </c>
      <c r="B174" s="2" t="s">
        <v>4614</v>
      </c>
      <c r="C174" s="83" t="s">
        <v>14878</v>
      </c>
      <c r="D174" s="103"/>
      <c r="E174" s="73"/>
      <c r="F174" s="103"/>
      <c r="G174" s="81"/>
      <c r="H174" s="57"/>
      <c r="I174" s="77"/>
      <c r="J174" s="67"/>
      <c r="K174" s="68"/>
      <c r="L174" s="76"/>
      <c r="M174" s="83" t="s">
        <v>5895</v>
      </c>
      <c r="N174" s="64" t="s">
        <v>1</v>
      </c>
      <c r="O174" s="65">
        <v>1</v>
      </c>
      <c r="P174" s="99"/>
      <c r="Q174" s="70"/>
      <c r="R174" s="106" t="s">
        <v>17968</v>
      </c>
      <c r="S174" s="57" t="s">
        <v>1</v>
      </c>
      <c r="T174" s="58">
        <v>0.25</v>
      </c>
      <c r="U174" s="77" t="s">
        <v>422</v>
      </c>
      <c r="V174" s="66"/>
      <c r="W174" s="57"/>
      <c r="X174" s="58"/>
      <c r="Y174" s="77"/>
      <c r="Z174" s="120">
        <f>+ROUND((ROUND((ROUND((ROUND((ROUND((_15_同援日２．０＿１．０*_15・通訳),0)*_15・２人),0)*(1+_15・B深夜)),0)*(1+_15・盲ろう)),0)*(1+_15・区４)),0)</f>
        <v>298</v>
      </c>
      <c r="AA174" s="69"/>
    </row>
    <row r="175" spans="1:27" ht="16.5" customHeight="1" x14ac:dyDescent="0.3">
      <c r="A175" s="2">
        <v>15</v>
      </c>
      <c r="B175" s="2" t="s">
        <v>4615</v>
      </c>
      <c r="C175" s="83" t="s">
        <v>14877</v>
      </c>
      <c r="D175" s="103"/>
      <c r="E175" s="236" t="s">
        <v>18353</v>
      </c>
      <c r="F175" s="103"/>
      <c r="G175" s="233" t="s">
        <v>17703</v>
      </c>
      <c r="H175" s="62"/>
      <c r="I175" s="75"/>
      <c r="J175" s="67"/>
      <c r="K175" s="68"/>
      <c r="L175" s="76"/>
      <c r="M175" s="85"/>
      <c r="N175" s="64"/>
      <c r="O175" s="65"/>
      <c r="P175" s="99"/>
      <c r="Q175" s="70"/>
      <c r="R175" s="61"/>
      <c r="S175" s="62"/>
      <c r="T175" s="63"/>
      <c r="U175" s="75"/>
      <c r="V175" s="61"/>
      <c r="W175" s="62"/>
      <c r="X175" s="63"/>
      <c r="Y175" s="75"/>
      <c r="Z175" s="120">
        <f>+ROUND((ROUND((_15_同援日２．５＿０．５*_15・通訳),0)*(1+_15・B深夜)),0)</f>
        <v>86</v>
      </c>
      <c r="AA175" s="69"/>
    </row>
    <row r="176" spans="1:27" ht="16.5" customHeight="1" x14ac:dyDescent="0.3">
      <c r="A176" s="2">
        <v>15</v>
      </c>
      <c r="B176" s="2" t="s">
        <v>4616</v>
      </c>
      <c r="C176" s="83" t="s">
        <v>14876</v>
      </c>
      <c r="D176" s="103"/>
      <c r="E176" s="82" t="s">
        <v>17057</v>
      </c>
      <c r="F176" s="103"/>
      <c r="G176" s="1" t="s">
        <v>7928</v>
      </c>
      <c r="H176" s="68"/>
      <c r="I176" s="70"/>
      <c r="J176" s="67"/>
      <c r="K176" s="68"/>
      <c r="L176" s="76"/>
      <c r="M176" s="83" t="s">
        <v>5895</v>
      </c>
      <c r="N176" s="64" t="s">
        <v>1</v>
      </c>
      <c r="O176" s="65">
        <v>1</v>
      </c>
      <c r="P176" s="99"/>
      <c r="Q176" s="70"/>
      <c r="R176" s="66"/>
      <c r="S176" s="57"/>
      <c r="T176" s="58"/>
      <c r="U176" s="77"/>
      <c r="V176" s="67"/>
      <c r="W176" s="68"/>
      <c r="X176" s="76"/>
      <c r="Y176" s="70"/>
      <c r="Z176" s="120">
        <f>+ROUND((ROUND((ROUND((_15_同援日２．５＿０．５*_15・通訳),0)*_15・２人),0)*(1+_15・B深夜)),0)</f>
        <v>86</v>
      </c>
      <c r="AA176" s="69"/>
    </row>
    <row r="177" spans="1:27" ht="16.5" customHeight="1" x14ac:dyDescent="0.3">
      <c r="A177" s="2">
        <v>15</v>
      </c>
      <c r="B177" s="2" t="s">
        <v>4617</v>
      </c>
      <c r="C177" s="83" t="s">
        <v>14875</v>
      </c>
      <c r="D177" s="103"/>
      <c r="E177" s="82" t="s">
        <v>8499</v>
      </c>
      <c r="F177" s="103"/>
      <c r="G177" s="1"/>
      <c r="H177" s="68"/>
      <c r="I177" s="70"/>
      <c r="J177" s="67"/>
      <c r="K177" s="68"/>
      <c r="L177" s="76"/>
      <c r="M177" s="85"/>
      <c r="N177" s="64"/>
      <c r="O177" s="65"/>
      <c r="P177" s="99"/>
      <c r="Q177" s="70"/>
      <c r="R177" s="74" t="s">
        <v>17969</v>
      </c>
      <c r="S177" s="62"/>
      <c r="T177" s="63"/>
      <c r="U177" s="75"/>
      <c r="V177" s="67"/>
      <c r="W177" s="68"/>
      <c r="X177" s="76"/>
      <c r="Y177" s="70"/>
      <c r="Z177" s="120">
        <f>+ROUND((ROUND((ROUND((_15_同援日２．５＿０．５*_15・通訳),0)*(1+_15・B深夜)),0)*(1+_15・盲ろう)),0)</f>
        <v>108</v>
      </c>
      <c r="AA177" s="69"/>
    </row>
    <row r="178" spans="1:27" ht="16.5" customHeight="1" x14ac:dyDescent="0.3">
      <c r="A178" s="2">
        <v>15</v>
      </c>
      <c r="B178" s="2" t="s">
        <v>4618</v>
      </c>
      <c r="C178" s="83" t="s">
        <v>14874</v>
      </c>
      <c r="D178" s="103"/>
      <c r="E178" s="82"/>
      <c r="F178" s="103"/>
      <c r="G178" s="1"/>
      <c r="H178" s="119">
        <v>63</v>
      </c>
      <c r="I178" s="70" t="s">
        <v>0</v>
      </c>
      <c r="J178" s="67"/>
      <c r="K178" s="68"/>
      <c r="L178" s="76"/>
      <c r="M178" s="83" t="s">
        <v>5895</v>
      </c>
      <c r="N178" s="64" t="s">
        <v>1</v>
      </c>
      <c r="O178" s="65">
        <v>1</v>
      </c>
      <c r="P178" s="99"/>
      <c r="Q178" s="70"/>
      <c r="R178" s="106" t="s">
        <v>17968</v>
      </c>
      <c r="S178" s="57" t="s">
        <v>1</v>
      </c>
      <c r="T178" s="58">
        <v>0.25</v>
      </c>
      <c r="U178" s="77" t="s">
        <v>422</v>
      </c>
      <c r="V178" s="66"/>
      <c r="W178" s="57"/>
      <c r="X178" s="58"/>
      <c r="Y178" s="77"/>
      <c r="Z178" s="120">
        <f>+ROUND((ROUND((ROUND((ROUND((_15_同援日２．５＿０．５*_15・通訳),0)*_15・２人),0)*(1+_15・B深夜)),0)*(1+_15・盲ろう)),0)</f>
        <v>108</v>
      </c>
      <c r="AA178" s="69"/>
    </row>
    <row r="179" spans="1:27" ht="16.5" customHeight="1" x14ac:dyDescent="0.3">
      <c r="A179" s="2">
        <v>15</v>
      </c>
      <c r="B179" s="2" t="s">
        <v>4619</v>
      </c>
      <c r="C179" s="83" t="s">
        <v>14873</v>
      </c>
      <c r="D179" s="103"/>
      <c r="E179" s="82"/>
      <c r="F179" s="103"/>
      <c r="G179" s="1"/>
      <c r="H179" s="68"/>
      <c r="I179" s="70"/>
      <c r="J179" s="67"/>
      <c r="K179" s="68"/>
      <c r="L179" s="76"/>
      <c r="M179" s="85"/>
      <c r="N179" s="64"/>
      <c r="O179" s="65"/>
      <c r="P179" s="99"/>
      <c r="Q179" s="70"/>
      <c r="R179" s="61"/>
      <c r="S179" s="62"/>
      <c r="T179" s="63"/>
      <c r="U179" s="75"/>
      <c r="V179" s="74" t="s">
        <v>18089</v>
      </c>
      <c r="W179" s="62"/>
      <c r="X179" s="63"/>
      <c r="Y179" s="75"/>
      <c r="Z179" s="120">
        <f>+ROUND((ROUND((ROUND((_15_同援日２．５＿０．５*_15・通訳),0)*(1+_15・B深夜)),0)*(1+_15・区３)),0)</f>
        <v>103</v>
      </c>
      <c r="AA179" s="69"/>
    </row>
    <row r="180" spans="1:27" ht="16.5" customHeight="1" x14ac:dyDescent="0.3">
      <c r="A180" s="2">
        <v>15</v>
      </c>
      <c r="B180" s="2" t="s">
        <v>4620</v>
      </c>
      <c r="C180" s="83" t="s">
        <v>14872</v>
      </c>
      <c r="D180" s="103"/>
      <c r="E180" s="82"/>
      <c r="F180" s="103"/>
      <c r="G180" s="1"/>
      <c r="H180" s="68"/>
      <c r="I180" s="70"/>
      <c r="J180" s="67"/>
      <c r="K180" s="68"/>
      <c r="L180" s="76"/>
      <c r="M180" s="83" t="s">
        <v>5895</v>
      </c>
      <c r="N180" s="64" t="s">
        <v>1</v>
      </c>
      <c r="O180" s="65">
        <v>1</v>
      </c>
      <c r="P180" s="99"/>
      <c r="Q180" s="70"/>
      <c r="R180" s="66"/>
      <c r="S180" s="57"/>
      <c r="T180" s="58"/>
      <c r="U180" s="77"/>
      <c r="V180" s="94" t="s">
        <v>17970</v>
      </c>
      <c r="W180" s="68"/>
      <c r="X180" s="76"/>
      <c r="Y180" s="70"/>
      <c r="Z180" s="120">
        <f>+ROUND((ROUND((ROUND((ROUND((_15_同援日２．５＿０．５*_15・通訳),0)*_15・２人),0)*(1+_15・B深夜)),0)*(1+_15・区３)),0)</f>
        <v>103</v>
      </c>
      <c r="AA180" s="69"/>
    </row>
    <row r="181" spans="1:27" ht="16.5" customHeight="1" x14ac:dyDescent="0.3">
      <c r="A181" s="2">
        <v>15</v>
      </c>
      <c r="B181" s="2" t="s">
        <v>4621</v>
      </c>
      <c r="C181" s="83" t="s">
        <v>14871</v>
      </c>
      <c r="D181" s="103"/>
      <c r="E181" s="82"/>
      <c r="F181" s="103"/>
      <c r="G181" s="1"/>
      <c r="H181" s="68"/>
      <c r="I181" s="70"/>
      <c r="J181" s="67"/>
      <c r="K181" s="68"/>
      <c r="L181" s="76"/>
      <c r="M181" s="85"/>
      <c r="N181" s="64"/>
      <c r="O181" s="65"/>
      <c r="P181" s="99"/>
      <c r="Q181" s="70"/>
      <c r="R181" s="74" t="s">
        <v>18087</v>
      </c>
      <c r="S181" s="62"/>
      <c r="T181" s="63"/>
      <c r="U181" s="75"/>
      <c r="V181" s="67"/>
      <c r="W181" s="68" t="s">
        <v>1</v>
      </c>
      <c r="X181" s="76">
        <v>0.2</v>
      </c>
      <c r="Y181" s="70" t="s">
        <v>422</v>
      </c>
      <c r="Z181" s="120">
        <f>+ROUND((ROUND((ROUND((ROUND((_15_同援日２．５＿０．５*_15・通訳),0)*(1+_15・B深夜)),0)*(1+_15・盲ろう)),0)*(1+_15・区３)),0)</f>
        <v>130</v>
      </c>
      <c r="AA181" s="69"/>
    </row>
    <row r="182" spans="1:27" ht="16.5" customHeight="1" x14ac:dyDescent="0.3">
      <c r="A182" s="2">
        <v>15</v>
      </c>
      <c r="B182" s="2" t="s">
        <v>4622</v>
      </c>
      <c r="C182" s="83" t="s">
        <v>14870</v>
      </c>
      <c r="D182" s="103"/>
      <c r="E182" s="82"/>
      <c r="F182" s="103"/>
      <c r="G182" s="1"/>
      <c r="H182" s="68"/>
      <c r="I182" s="70"/>
      <c r="J182" s="67"/>
      <c r="K182" s="68"/>
      <c r="L182" s="76"/>
      <c r="M182" s="83" t="s">
        <v>5895</v>
      </c>
      <c r="N182" s="64" t="s">
        <v>1</v>
      </c>
      <c r="O182" s="65">
        <v>1</v>
      </c>
      <c r="P182" s="99"/>
      <c r="Q182" s="70"/>
      <c r="R182" s="106" t="s">
        <v>18086</v>
      </c>
      <c r="S182" s="57" t="s">
        <v>1</v>
      </c>
      <c r="T182" s="58">
        <v>0.25</v>
      </c>
      <c r="U182" s="77" t="s">
        <v>422</v>
      </c>
      <c r="V182" s="66"/>
      <c r="W182" s="57"/>
      <c r="X182" s="58"/>
      <c r="Y182" s="77"/>
      <c r="Z182" s="120">
        <f>+ROUND((ROUND((ROUND((ROUND((ROUND((_15_同援日２．５＿０．５*_15・通訳),0)*_15・２人),0)*(1+_15・B深夜)),0)*(1+_15・盲ろう)),0)*(1+_15・区３)),0)</f>
        <v>130</v>
      </c>
      <c r="AA182" s="69"/>
    </row>
    <row r="183" spans="1:27" ht="16.5" customHeight="1" x14ac:dyDescent="0.3">
      <c r="A183" s="2">
        <v>15</v>
      </c>
      <c r="B183" s="2" t="s">
        <v>4623</v>
      </c>
      <c r="C183" s="83" t="s">
        <v>14869</v>
      </c>
      <c r="D183" s="103"/>
      <c r="E183" s="82"/>
      <c r="F183" s="103"/>
      <c r="G183" s="1"/>
      <c r="H183" s="68"/>
      <c r="I183" s="70"/>
      <c r="J183" s="67"/>
      <c r="K183" s="68"/>
      <c r="L183" s="76"/>
      <c r="M183" s="85"/>
      <c r="N183" s="64"/>
      <c r="O183" s="65"/>
      <c r="P183" s="99"/>
      <c r="Q183" s="70"/>
      <c r="R183" s="61"/>
      <c r="S183" s="62"/>
      <c r="T183" s="63"/>
      <c r="U183" s="75"/>
      <c r="V183" s="74" t="s">
        <v>17971</v>
      </c>
      <c r="W183" s="62"/>
      <c r="X183" s="63"/>
      <c r="Y183" s="75"/>
      <c r="Z183" s="120">
        <f>+ROUND((ROUND((ROUND((_15_同援日２．５＿０．５*_15・通訳),0)*(1+_15・B深夜)),0)*(1+_15・区４)),0)</f>
        <v>120</v>
      </c>
      <c r="AA183" s="69"/>
    </row>
    <row r="184" spans="1:27" ht="16.5" customHeight="1" x14ac:dyDescent="0.3">
      <c r="A184" s="2">
        <v>15</v>
      </c>
      <c r="B184" s="2" t="s">
        <v>4624</v>
      </c>
      <c r="C184" s="83" t="s">
        <v>14868</v>
      </c>
      <c r="D184" s="103"/>
      <c r="E184" s="82"/>
      <c r="F184" s="103"/>
      <c r="G184" s="1"/>
      <c r="H184" s="68"/>
      <c r="I184" s="70"/>
      <c r="J184" s="67"/>
      <c r="K184" s="68"/>
      <c r="L184" s="76"/>
      <c r="M184" s="83" t="s">
        <v>5895</v>
      </c>
      <c r="N184" s="64" t="s">
        <v>1</v>
      </c>
      <c r="O184" s="65">
        <v>1</v>
      </c>
      <c r="P184" s="99"/>
      <c r="Q184" s="70"/>
      <c r="R184" s="66"/>
      <c r="S184" s="57"/>
      <c r="T184" s="58"/>
      <c r="U184" s="77"/>
      <c r="V184" s="94" t="s">
        <v>17970</v>
      </c>
      <c r="W184" s="68"/>
      <c r="X184" s="76"/>
      <c r="Y184" s="70"/>
      <c r="Z184" s="120">
        <f>+ROUND((ROUND((ROUND((ROUND((_15_同援日２．５＿０．５*_15・通訳),0)*_15・２人),0)*(1+_15・B深夜)),0)*(1+_15・区４)),0)</f>
        <v>120</v>
      </c>
      <c r="AA184" s="69"/>
    </row>
    <row r="185" spans="1:27" ht="16.5" customHeight="1" x14ac:dyDescent="0.3">
      <c r="A185" s="2">
        <v>15</v>
      </c>
      <c r="B185" s="2" t="s">
        <v>4625</v>
      </c>
      <c r="C185" s="83" t="s">
        <v>14867</v>
      </c>
      <c r="D185" s="103"/>
      <c r="E185" s="82"/>
      <c r="F185" s="103"/>
      <c r="G185" s="1"/>
      <c r="H185" s="68"/>
      <c r="I185" s="70"/>
      <c r="J185" s="67"/>
      <c r="K185" s="68"/>
      <c r="L185" s="76"/>
      <c r="M185" s="85"/>
      <c r="N185" s="64"/>
      <c r="O185" s="65"/>
      <c r="P185" s="99"/>
      <c r="Q185" s="70"/>
      <c r="R185" s="74" t="s">
        <v>18087</v>
      </c>
      <c r="S185" s="62"/>
      <c r="T185" s="63"/>
      <c r="U185" s="75"/>
      <c r="V185" s="67"/>
      <c r="W185" s="68" t="s">
        <v>1</v>
      </c>
      <c r="X185" s="76">
        <v>0.4</v>
      </c>
      <c r="Y185" s="70" t="s">
        <v>422</v>
      </c>
      <c r="Z185" s="120">
        <f>+ROUND((ROUND((ROUND((ROUND((_15_同援日２．５＿０．５*_15・通訳),0)*(1+_15・B深夜)),0)*(1+_15・盲ろう)),0)*(1+_15・区４)),0)</f>
        <v>151</v>
      </c>
      <c r="AA185" s="69"/>
    </row>
    <row r="186" spans="1:27" ht="16.5" customHeight="1" x14ac:dyDescent="0.3">
      <c r="A186" s="2">
        <v>15</v>
      </c>
      <c r="B186" s="2" t="s">
        <v>4626</v>
      </c>
      <c r="C186" s="83" t="s">
        <v>14866</v>
      </c>
      <c r="D186" s="104"/>
      <c r="E186" s="73"/>
      <c r="F186" s="104"/>
      <c r="G186" s="81"/>
      <c r="H186" s="57"/>
      <c r="I186" s="77"/>
      <c r="J186" s="66"/>
      <c r="K186" s="57"/>
      <c r="L186" s="58"/>
      <c r="M186" s="83" t="s">
        <v>5895</v>
      </c>
      <c r="N186" s="64" t="s">
        <v>1</v>
      </c>
      <c r="O186" s="65">
        <v>1</v>
      </c>
      <c r="P186" s="101"/>
      <c r="Q186" s="77"/>
      <c r="R186" s="106" t="s">
        <v>18086</v>
      </c>
      <c r="S186" s="57" t="s">
        <v>1</v>
      </c>
      <c r="T186" s="58">
        <v>0.25</v>
      </c>
      <c r="U186" s="77" t="s">
        <v>422</v>
      </c>
      <c r="V186" s="66"/>
      <c r="W186" s="57"/>
      <c r="X186" s="58"/>
      <c r="Y186" s="77"/>
      <c r="Z186" s="120">
        <f>+ROUND((ROUND((ROUND((ROUND((ROUND((_15_同援日２．５＿０．５*_15・通訳),0)*_15・２人),0)*(1+_15・B深夜)),0)*(1+_15・盲ろう)),0)*(1+_15・区４)),0)</f>
        <v>151</v>
      </c>
      <c r="AA186" s="71"/>
    </row>
    <row r="187" spans="1:27" ht="16.5" customHeight="1" x14ac:dyDescent="0.3"/>
    <row r="188" spans="1:27" ht="16.5" customHeight="1" x14ac:dyDescent="0.3"/>
  </sheetData>
  <mergeCells count="2">
    <mergeCell ref="D7:D10"/>
    <mergeCell ref="F7:F10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1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2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0000"/>
    <pageSetUpPr fitToPage="1"/>
  </sheetPr>
  <dimension ref="A1:AF236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4.62890625" style="45" customWidth="1"/>
    <col min="11" max="11" width="4.1015625" style="46" bestFit="1" customWidth="1"/>
    <col min="12" max="12" width="4.734375" style="46" bestFit="1" customWidth="1"/>
    <col min="13" max="13" width="15.62890625" style="46" customWidth="1"/>
    <col min="14" max="14" width="3.1015625" style="46" bestFit="1" customWidth="1"/>
    <col min="15" max="15" width="4.1015625" style="47" bestFit="1" customWidth="1"/>
    <col min="16" max="16" width="25.62890625" style="46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bestFit="1" customWidth="1"/>
    <col min="21" max="21" width="4.1015625" style="47" bestFit="1" customWidth="1"/>
    <col min="22" max="22" width="4.734375" style="46" bestFit="1" customWidth="1"/>
    <col min="23" max="23" width="20.62890625" style="46" customWidth="1"/>
    <col min="24" max="24" width="3.1015625" style="46" bestFit="1" customWidth="1"/>
    <col min="25" max="25" width="4.1015625" style="47" bestFit="1" customWidth="1"/>
    <col min="26" max="26" width="4.734375" style="46" bestFit="1" customWidth="1"/>
    <col min="27" max="27" width="7.62890625" style="46" customWidth="1"/>
    <col min="28" max="28" width="3.1015625" style="46" bestFit="1" customWidth="1"/>
    <col min="29" max="29" width="4.1015625" style="47" bestFit="1" customWidth="1"/>
    <col min="30" max="30" width="4.734375" style="46" bestFit="1" customWidth="1"/>
    <col min="31" max="31" width="6.3671875" style="84" bestFit="1" customWidth="1"/>
    <col min="32" max="32" width="7.734375" style="48" bestFit="1" customWidth="1"/>
    <col min="33" max="16384" width="9" style="49"/>
  </cols>
  <sheetData>
    <row r="1" spans="1:32" ht="16.5" customHeight="1" x14ac:dyDescent="0.3"/>
    <row r="2" spans="1:32" ht="16.5" customHeight="1" x14ac:dyDescent="0.3"/>
    <row r="3" spans="1:32" ht="16.5" customHeight="1" x14ac:dyDescent="0.3"/>
    <row r="4" spans="1:32" ht="16.5" customHeight="1" x14ac:dyDescent="0.3">
      <c r="B4" s="229" t="s">
        <v>18365</v>
      </c>
      <c r="C4" s="131"/>
      <c r="D4" s="230"/>
      <c r="E4" s="231"/>
      <c r="F4" s="231"/>
      <c r="G4" s="131"/>
      <c r="H4" s="231"/>
      <c r="I4" s="231"/>
      <c r="J4" s="131"/>
      <c r="K4" s="231"/>
      <c r="L4" s="231"/>
      <c r="M4" s="231"/>
    </row>
    <row r="5" spans="1:3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79"/>
      <c r="K5" s="53"/>
      <c r="L5" s="53"/>
      <c r="M5" s="53"/>
      <c r="N5" s="53"/>
      <c r="O5" s="54"/>
      <c r="P5" s="53"/>
      <c r="Q5" s="53"/>
      <c r="R5" s="54"/>
      <c r="S5" s="54"/>
      <c r="T5" s="53"/>
      <c r="U5" s="54"/>
      <c r="V5" s="53"/>
      <c r="W5" s="53"/>
      <c r="X5" s="53"/>
      <c r="Y5" s="54"/>
      <c r="Z5" s="53"/>
      <c r="AA5" s="53"/>
      <c r="AB5" s="53"/>
      <c r="AC5" s="54"/>
      <c r="AD5" s="53"/>
      <c r="AE5" s="55" t="s">
        <v>5869</v>
      </c>
      <c r="AF5" s="55" t="s">
        <v>5871</v>
      </c>
    </row>
    <row r="6" spans="1:32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80" t="s">
        <v>18318</v>
      </c>
      <c r="H6" s="86"/>
      <c r="I6" s="87"/>
      <c r="J6" s="73"/>
      <c r="K6" s="57"/>
      <c r="L6" s="57"/>
      <c r="M6" s="57"/>
      <c r="N6" s="57"/>
      <c r="O6" s="58"/>
      <c r="P6" s="57"/>
      <c r="Q6" s="57"/>
      <c r="R6" s="58"/>
      <c r="S6" s="58"/>
      <c r="T6" s="57"/>
      <c r="U6" s="58"/>
      <c r="V6" s="57"/>
      <c r="W6" s="57"/>
      <c r="X6" s="57"/>
      <c r="Y6" s="58"/>
      <c r="Z6" s="57"/>
      <c r="AA6" s="57"/>
      <c r="AB6" s="57"/>
      <c r="AC6" s="58"/>
      <c r="AD6" s="57"/>
      <c r="AE6" s="59" t="s">
        <v>5870</v>
      </c>
      <c r="AF6" s="59" t="s">
        <v>0</v>
      </c>
    </row>
    <row r="7" spans="1:32" ht="16.5" customHeight="1" x14ac:dyDescent="0.3">
      <c r="A7" s="2">
        <v>15</v>
      </c>
      <c r="B7" s="2" t="s">
        <v>4627</v>
      </c>
      <c r="C7" s="60" t="s">
        <v>15273</v>
      </c>
      <c r="D7" s="233" t="s">
        <v>18317</v>
      </c>
      <c r="E7" s="235"/>
      <c r="F7" s="75"/>
      <c r="G7" s="233" t="s">
        <v>18316</v>
      </c>
      <c r="H7" s="62"/>
      <c r="I7" s="75"/>
      <c r="J7" s="74" t="s">
        <v>17105</v>
      </c>
      <c r="K7" s="62"/>
      <c r="L7" s="75"/>
      <c r="M7" s="61"/>
      <c r="N7" s="62"/>
      <c r="O7" s="63"/>
      <c r="P7" s="83"/>
      <c r="Q7" s="64"/>
      <c r="R7" s="65"/>
      <c r="S7" s="98"/>
      <c r="T7" s="75"/>
      <c r="U7" s="98"/>
      <c r="V7" s="75"/>
      <c r="W7" s="74"/>
      <c r="X7" s="62"/>
      <c r="Y7" s="63"/>
      <c r="Z7" s="75"/>
      <c r="AA7" s="74"/>
      <c r="AB7" s="62"/>
      <c r="AC7" s="63"/>
      <c r="AD7" s="75"/>
      <c r="AE7" s="228">
        <f>ROUND((ROUND((_15_同援日０．５*_15・通訳),0)*(1+_15・A深夜)),0)+ROUND((ROUND((_15_同援日０．５＿０．５*_15・通訳),0)*(1+_15・B早朝)),0)+ROUND((_15_同援日０．５＿０．５＿０．５*_15・通訳),0)</f>
        <v>486</v>
      </c>
      <c r="AF7" s="52" t="s">
        <v>5863</v>
      </c>
    </row>
    <row r="8" spans="1:32" ht="16.5" customHeight="1" x14ac:dyDescent="0.3">
      <c r="A8" s="2">
        <v>15</v>
      </c>
      <c r="B8" s="2" t="s">
        <v>4628</v>
      </c>
      <c r="C8" s="60" t="s">
        <v>15272</v>
      </c>
      <c r="D8" s="1" t="s">
        <v>7928</v>
      </c>
      <c r="E8" s="68"/>
      <c r="F8" s="70"/>
      <c r="G8" s="1" t="s">
        <v>7928</v>
      </c>
      <c r="H8" s="68"/>
      <c r="I8" s="70"/>
      <c r="J8" s="1" t="s">
        <v>7928</v>
      </c>
      <c r="K8" s="68"/>
      <c r="L8" s="70"/>
      <c r="M8" s="67"/>
      <c r="N8" s="68"/>
      <c r="O8" s="76"/>
      <c r="P8" s="83" t="s">
        <v>5895</v>
      </c>
      <c r="Q8" s="64" t="s">
        <v>1</v>
      </c>
      <c r="R8" s="65">
        <v>1</v>
      </c>
      <c r="S8" s="99"/>
      <c r="T8" s="70"/>
      <c r="U8" s="99"/>
      <c r="V8" s="70"/>
      <c r="W8" s="81"/>
      <c r="X8" s="57"/>
      <c r="Y8" s="58"/>
      <c r="Z8" s="77"/>
      <c r="AA8" s="1"/>
      <c r="AB8" s="68"/>
      <c r="AC8" s="76"/>
      <c r="AD8" s="70"/>
      <c r="AE8" s="228">
        <f>ROUND((ROUND((ROUND((_15_同援日０．５*_15・通訳),0)*_15・２人),0)*(1+_15・A深夜)),0)+ROUND((ROUND((ROUND((_15_同援日０．５＿０．５*_15・通訳),0)*_15・２人),0)*(1+_15・B早朝)),0)+ROUND((ROUND((_15_同援日０．５＿０．５＿０．５*_15・通訳),0)*_15・２人),0)</f>
        <v>486</v>
      </c>
      <c r="AF8" s="69"/>
    </row>
    <row r="9" spans="1:32" ht="16.5" customHeight="1" x14ac:dyDescent="0.3">
      <c r="A9" s="2">
        <v>15</v>
      </c>
      <c r="B9" s="2" t="s">
        <v>4629</v>
      </c>
      <c r="C9" s="60" t="s">
        <v>15271</v>
      </c>
      <c r="D9" s="1"/>
      <c r="E9" s="68"/>
      <c r="F9" s="70"/>
      <c r="G9" s="1"/>
      <c r="H9" s="68"/>
      <c r="I9" s="70"/>
      <c r="J9" s="1"/>
      <c r="K9" s="68"/>
      <c r="L9" s="70"/>
      <c r="M9" s="67"/>
      <c r="N9" s="68"/>
      <c r="O9" s="76"/>
      <c r="P9" s="83"/>
      <c r="Q9" s="64"/>
      <c r="R9" s="65"/>
      <c r="S9" s="99"/>
      <c r="T9" s="70"/>
      <c r="U9" s="99"/>
      <c r="V9" s="70"/>
      <c r="W9" s="74" t="s">
        <v>18087</v>
      </c>
      <c r="X9" s="62"/>
      <c r="Y9" s="63"/>
      <c r="Z9" s="75"/>
      <c r="AA9" s="1"/>
      <c r="AB9" s="68"/>
      <c r="AC9" s="76"/>
      <c r="AD9" s="70"/>
      <c r="AE9" s="228">
        <f>ROUND((ROUND((ROUND((_15_同援日０．５*_15・通訳),0)*(1+_15・A深夜)),0)*(1+_15・盲ろう)),0)+ROUND((ROUND((ROUND((_15_同援日０．５＿０．５*_15・通訳),0)*(1+_15・B早朝)),0)*(1+_15・盲ろう)),0)+ROUND((ROUND((_15_同援日０．５＿０．５＿０．５*_15・通訳),0)*(1+_15・盲ろう)),0)</f>
        <v>607</v>
      </c>
      <c r="AF9" s="69"/>
    </row>
    <row r="10" spans="1:32" ht="16.5" customHeight="1" x14ac:dyDescent="0.3">
      <c r="A10" s="2">
        <v>15</v>
      </c>
      <c r="B10" s="2" t="s">
        <v>4630</v>
      </c>
      <c r="C10" s="60" t="s">
        <v>15270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"/>
      <c r="K10" s="227">
        <v>129</v>
      </c>
      <c r="L10" s="70" t="s">
        <v>0</v>
      </c>
      <c r="M10" s="67"/>
      <c r="N10" s="68"/>
      <c r="O10" s="76"/>
      <c r="P10" s="83" t="s">
        <v>5895</v>
      </c>
      <c r="Q10" s="64" t="s">
        <v>1</v>
      </c>
      <c r="R10" s="65">
        <v>1</v>
      </c>
      <c r="S10" s="99"/>
      <c r="T10" s="70"/>
      <c r="U10" s="99"/>
      <c r="V10" s="70"/>
      <c r="W10" s="81" t="s">
        <v>18086</v>
      </c>
      <c r="X10" s="57" t="s">
        <v>1</v>
      </c>
      <c r="Y10" s="58">
        <v>0.25</v>
      </c>
      <c r="Z10" s="77" t="s">
        <v>422</v>
      </c>
      <c r="AA10" s="81"/>
      <c r="AB10" s="57"/>
      <c r="AC10" s="58"/>
      <c r="AD10" s="77"/>
      <c r="AE10" s="228">
        <f>ROUND((ROUND((ROUND((ROUND((_15_同援日０．５*_15・通訳),0)*_15・２人),0)*(1+_15・A深夜)),0)*(1+_15・盲ろう)),0)+ROUND((ROUND((ROUND((ROUND((_15_同援日０．５＿０．５*_15・通訳),0)*_15・２人),0)*(1+_15・B早朝)),0)*(1+_15・盲ろう)),0)+ROUND((ROUND((ROUND((_15_同援日０．５＿０．５＿０．５*_15・通訳),0)*_15・２人),0)*(1+_15・盲ろう)),0)</f>
        <v>607</v>
      </c>
      <c r="AF10" s="69"/>
    </row>
    <row r="11" spans="1:32" ht="16.5" customHeight="1" x14ac:dyDescent="0.3">
      <c r="A11" s="2">
        <v>15</v>
      </c>
      <c r="B11" s="2" t="s">
        <v>4631</v>
      </c>
      <c r="C11" s="60" t="s">
        <v>15269</v>
      </c>
      <c r="D11" s="1"/>
      <c r="E11" s="68"/>
      <c r="F11" s="70"/>
      <c r="G11" s="1"/>
      <c r="H11" s="68"/>
      <c r="I11" s="70"/>
      <c r="J11" s="1"/>
      <c r="K11" s="68"/>
      <c r="L11" s="70"/>
      <c r="M11" s="67"/>
      <c r="N11" s="68"/>
      <c r="O11" s="76"/>
      <c r="P11" s="83"/>
      <c r="Q11" s="64"/>
      <c r="R11" s="65"/>
      <c r="S11" s="99"/>
      <c r="T11" s="70"/>
      <c r="U11" s="99"/>
      <c r="V11" s="70"/>
      <c r="W11" s="74"/>
      <c r="X11" s="62"/>
      <c r="Y11" s="63"/>
      <c r="Z11" s="75"/>
      <c r="AA11" s="74" t="s">
        <v>18089</v>
      </c>
      <c r="AB11" s="62"/>
      <c r="AC11" s="63"/>
      <c r="AD11" s="75"/>
      <c r="AE11" s="228">
        <f>ROUND((ROUND((ROUND((_15_同援日０．５*_15・通訳),0)*(1+_15・A深夜)),0)*(1+_15・区３)),0)+ROUND((ROUND((ROUND((_15_同援日０．５＿０．５*_15・通訳),0)*(1+_15・B早朝)),0)*(1+_15・区３)),0)+ROUND((ROUND((_15_同援日０．５＿０．５＿０．５*_15・通訳),0)*(1+_15・区３)),0)</f>
        <v>583</v>
      </c>
      <c r="AF11" s="69"/>
    </row>
    <row r="12" spans="1:32" ht="16.5" customHeight="1" x14ac:dyDescent="0.3">
      <c r="A12" s="2">
        <v>15</v>
      </c>
      <c r="B12" s="2" t="s">
        <v>4632</v>
      </c>
      <c r="C12" s="60" t="s">
        <v>15268</v>
      </c>
      <c r="D12" s="1"/>
      <c r="E12" s="68"/>
      <c r="F12" s="70"/>
      <c r="G12" s="1"/>
      <c r="H12" s="68"/>
      <c r="I12" s="70"/>
      <c r="J12" s="1"/>
      <c r="K12" s="68"/>
      <c r="L12" s="70"/>
      <c r="M12" s="1" t="s">
        <v>18364</v>
      </c>
      <c r="N12" s="68"/>
      <c r="O12" s="76"/>
      <c r="P12" s="83" t="s">
        <v>5895</v>
      </c>
      <c r="Q12" s="64" t="s">
        <v>1</v>
      </c>
      <c r="R12" s="65">
        <v>1</v>
      </c>
      <c r="S12" s="108" t="s">
        <v>7920</v>
      </c>
      <c r="T12" s="70"/>
      <c r="U12" s="113" t="s">
        <v>7895</v>
      </c>
      <c r="V12" s="70"/>
      <c r="W12" s="81"/>
      <c r="X12" s="57"/>
      <c r="Y12" s="58"/>
      <c r="Z12" s="77"/>
      <c r="AA12" s="1" t="s">
        <v>18084</v>
      </c>
      <c r="AB12" s="68"/>
      <c r="AC12" s="76"/>
      <c r="AD12" s="70"/>
      <c r="AE12" s="228">
        <f>ROUND((ROUND((ROUND((ROUND((_15_同援日０．５*_15・通訳),0)*_15・２人),0)*(1+_15・A深夜)),0)*(1+_15・区３)),0)+ROUND((ROUND((ROUND((ROUND((_15_同援日０．５＿０．５*_15・通訳),0)*_15・２人),0)*(1+_15・B早朝)),0)*(1+_15・区３)),0)+ROUND((ROUND((ROUND((_15_同援日０．５＿０．５＿０．５*_15・通訳),0)*_15・２人),0)*(1+_15・区３)),0)</f>
        <v>583</v>
      </c>
      <c r="AF12" s="69"/>
    </row>
    <row r="13" spans="1:32" ht="16.5" customHeight="1" x14ac:dyDescent="0.3">
      <c r="A13" s="2">
        <v>15</v>
      </c>
      <c r="B13" s="2" t="s">
        <v>4633</v>
      </c>
      <c r="C13" s="60" t="s">
        <v>15267</v>
      </c>
      <c r="D13" s="1"/>
      <c r="E13" s="68"/>
      <c r="F13" s="70"/>
      <c r="G13" s="1"/>
      <c r="H13" s="68"/>
      <c r="I13" s="70"/>
      <c r="J13" s="1"/>
      <c r="K13" s="68"/>
      <c r="L13" s="70"/>
      <c r="M13" s="94" t="s">
        <v>13800</v>
      </c>
      <c r="N13" s="68" t="s">
        <v>1</v>
      </c>
      <c r="O13" s="76">
        <v>0.9</v>
      </c>
      <c r="P13" s="83"/>
      <c r="Q13" s="64"/>
      <c r="R13" s="65"/>
      <c r="S13" s="99"/>
      <c r="T13" s="110" t="s">
        <v>7948</v>
      </c>
      <c r="U13" s="99"/>
      <c r="V13" s="110" t="s">
        <v>11531</v>
      </c>
      <c r="W13" s="74" t="s">
        <v>18087</v>
      </c>
      <c r="X13" s="62"/>
      <c r="Y13" s="63"/>
      <c r="Z13" s="75"/>
      <c r="AA13" s="1"/>
      <c r="AB13" s="68" t="s">
        <v>1</v>
      </c>
      <c r="AC13" s="76">
        <v>0.2</v>
      </c>
      <c r="AD13" s="70" t="s">
        <v>422</v>
      </c>
      <c r="AE13" s="228">
        <f>ROUND((ROUND((ROUND((ROUND((_15_同援日０．５*_15・通訳),0)*(1+_15・A深夜)),0)*(1+_15・盲ろう)),0)*(1+_15・区３)),0)+ROUND((ROUND((ROUND((ROUND((_15_同援日０．５＿０．５*_15・通訳),0)*(1+_15・B早朝)),0)*(1+_15・盲ろう)),0)*(1+_15・区３)),0)+ROUND((ROUND((ROUND((_15_同援日０．５＿０．５＿０．５*_15・通訳),0)*(1+_15・盲ろう)),0)*(1+_15・区３)),0)</f>
        <v>728</v>
      </c>
      <c r="AF13" s="69"/>
    </row>
    <row r="14" spans="1:32" ht="16.5" customHeight="1" x14ac:dyDescent="0.3">
      <c r="A14" s="2">
        <v>15</v>
      </c>
      <c r="B14" s="2" t="s">
        <v>4634</v>
      </c>
      <c r="C14" s="60" t="s">
        <v>15266</v>
      </c>
      <c r="D14" s="1"/>
      <c r="E14" s="68"/>
      <c r="F14" s="70"/>
      <c r="G14" s="1"/>
      <c r="H14" s="68"/>
      <c r="I14" s="70"/>
      <c r="J14" s="1"/>
      <c r="K14" s="68"/>
      <c r="L14" s="70"/>
      <c r="M14" s="67"/>
      <c r="N14" s="68"/>
      <c r="O14" s="76"/>
      <c r="P14" s="83" t="s">
        <v>5895</v>
      </c>
      <c r="Q14" s="64" t="s">
        <v>1</v>
      </c>
      <c r="R14" s="65">
        <v>1</v>
      </c>
      <c r="S14" s="99"/>
      <c r="T14" s="70"/>
      <c r="U14" s="99"/>
      <c r="V14" s="70"/>
      <c r="W14" s="81" t="s">
        <v>18086</v>
      </c>
      <c r="X14" s="57" t="s">
        <v>1</v>
      </c>
      <c r="Y14" s="58">
        <v>0.25</v>
      </c>
      <c r="Z14" s="77" t="s">
        <v>422</v>
      </c>
      <c r="AA14" s="81"/>
      <c r="AB14" s="57"/>
      <c r="AC14" s="58"/>
      <c r="AD14" s="77"/>
      <c r="AE14" s="228">
        <f>ROUND((ROUND((ROUND((ROUND((ROUND((_15_同援日０．５*_15・通訳),0)*_15・２人),0)*(1+_15・A深夜)),0)*(1+_15・盲ろう)),0)*(1+_15・区３)),0)+ROUND((ROUND((ROUND((ROUND((ROUND((_15_同援日０．５＿０．５*_15・通訳),0)*_15・２人),0)*(1+_15・B早朝)),0)*(1+_15・盲ろう)),0)*(1+_15・区３)),0)+ROUND((ROUND((ROUND((ROUND((_15_同援日０．５＿０．５＿０．５*_15・通訳),0)*_15・２人),0)*(1+_15・盲ろう)),0)*(1+_15・区３)),0)</f>
        <v>728</v>
      </c>
      <c r="AF14" s="69"/>
    </row>
    <row r="15" spans="1:32" ht="16.5" customHeight="1" x14ac:dyDescent="0.3">
      <c r="A15" s="2">
        <v>15</v>
      </c>
      <c r="B15" s="2" t="s">
        <v>4635</v>
      </c>
      <c r="C15" s="60" t="s">
        <v>15265</v>
      </c>
      <c r="D15" s="1"/>
      <c r="E15" s="68"/>
      <c r="F15" s="70"/>
      <c r="G15" s="1"/>
      <c r="H15" s="68"/>
      <c r="I15" s="70"/>
      <c r="J15" s="1"/>
      <c r="K15" s="68"/>
      <c r="L15" s="70"/>
      <c r="M15" s="67"/>
      <c r="N15" s="68"/>
      <c r="O15" s="76"/>
      <c r="P15" s="83"/>
      <c r="Q15" s="64"/>
      <c r="R15" s="65"/>
      <c r="S15" s="67" t="s">
        <v>1</v>
      </c>
      <c r="T15" s="93">
        <v>0.5</v>
      </c>
      <c r="U15" s="67" t="s">
        <v>1</v>
      </c>
      <c r="V15" s="93">
        <v>0.25</v>
      </c>
      <c r="W15" s="74"/>
      <c r="X15" s="62"/>
      <c r="Y15" s="63"/>
      <c r="Z15" s="75"/>
      <c r="AA15" s="74" t="s">
        <v>18094</v>
      </c>
      <c r="AB15" s="62"/>
      <c r="AC15" s="63"/>
      <c r="AD15" s="75"/>
      <c r="AE15" s="228">
        <f>ROUND((ROUND((ROUND((_15_同援日０．５*_15・通訳),0)*(1+_15・A深夜)),0)*(1+_15・区４)),0)+ROUND((ROUND((ROUND((_15_同援日０．５＿０．５*_15・通訳),0)*(1+_15・B早朝)),0)*(1+_15・区４)),0)+ROUND((ROUND((_15_同援日０．５＿０．５＿０．５*_15・通訳),0)*(1+_15・区４)),0)</f>
        <v>680</v>
      </c>
      <c r="AF15" s="69"/>
    </row>
    <row r="16" spans="1:32" ht="16.5" customHeight="1" x14ac:dyDescent="0.3">
      <c r="A16" s="2">
        <v>15</v>
      </c>
      <c r="B16" s="2" t="s">
        <v>4636</v>
      </c>
      <c r="C16" s="60" t="s">
        <v>15264</v>
      </c>
      <c r="D16" s="1"/>
      <c r="E16" s="68"/>
      <c r="F16" s="70"/>
      <c r="G16" s="1"/>
      <c r="H16" s="68"/>
      <c r="I16" s="70"/>
      <c r="J16" s="1"/>
      <c r="K16" s="68"/>
      <c r="L16" s="70"/>
      <c r="M16" s="67"/>
      <c r="N16" s="68"/>
      <c r="O16" s="76"/>
      <c r="P16" s="83" t="s">
        <v>5895</v>
      </c>
      <c r="Q16" s="64" t="s">
        <v>1</v>
      </c>
      <c r="R16" s="65">
        <v>1</v>
      </c>
      <c r="S16" s="99"/>
      <c r="T16" s="100" t="s">
        <v>422</v>
      </c>
      <c r="U16" s="99"/>
      <c r="V16" s="100" t="s">
        <v>422</v>
      </c>
      <c r="W16" s="81"/>
      <c r="X16" s="57"/>
      <c r="Y16" s="58"/>
      <c r="Z16" s="77"/>
      <c r="AA16" s="1" t="s">
        <v>18084</v>
      </c>
      <c r="AB16" s="68"/>
      <c r="AC16" s="76"/>
      <c r="AD16" s="70"/>
      <c r="AE16" s="228">
        <f>ROUND((ROUND((ROUND((ROUND((_15_同援日０．５*_15・通訳),0)*_15・２人),0)*(1+_15・A深夜)),0)*(1+_15・区４)),0)+ROUND((ROUND((ROUND((ROUND((_15_同援日０．５＿０．５*_15・通訳),0)*_15・２人),0)*(1+_15・B早朝)),0)*(1+_15・区４)),0)+ROUND((ROUND((ROUND((_15_同援日０．５＿０．５＿０．５*_15・通訳),0)*_15・２人),0)*(1+_15・区４)),0)</f>
        <v>680</v>
      </c>
      <c r="AF16" s="69"/>
    </row>
    <row r="17" spans="1:32" ht="16.5" customHeight="1" x14ac:dyDescent="0.3">
      <c r="A17" s="2">
        <v>15</v>
      </c>
      <c r="B17" s="2" t="s">
        <v>4637</v>
      </c>
      <c r="C17" s="60" t="s">
        <v>15263</v>
      </c>
      <c r="D17" s="1"/>
      <c r="E17" s="68"/>
      <c r="F17" s="70"/>
      <c r="G17" s="1"/>
      <c r="H17" s="68"/>
      <c r="I17" s="70"/>
      <c r="J17" s="1"/>
      <c r="K17" s="68"/>
      <c r="L17" s="70"/>
      <c r="M17" s="67"/>
      <c r="N17" s="68"/>
      <c r="O17" s="76"/>
      <c r="P17" s="83"/>
      <c r="Q17" s="64"/>
      <c r="R17" s="65"/>
      <c r="S17" s="99"/>
      <c r="T17" s="70"/>
      <c r="U17" s="99"/>
      <c r="V17" s="70"/>
      <c r="W17" s="74" t="s">
        <v>18087</v>
      </c>
      <c r="X17" s="62"/>
      <c r="Y17" s="63"/>
      <c r="Z17" s="75"/>
      <c r="AA17" s="1"/>
      <c r="AB17" s="68" t="s">
        <v>1</v>
      </c>
      <c r="AC17" s="76">
        <v>0.4</v>
      </c>
      <c r="AD17" s="70" t="s">
        <v>422</v>
      </c>
      <c r="AE17" s="228">
        <f>ROUND((ROUND((ROUND((ROUND((_15_同援日０．５*_15・通訳),0)*(1+_15・A深夜)),0)*(1+_15・盲ろう)),0)*(1+_15・区４)),0)+ROUND((ROUND((ROUND((ROUND((_15_同援日０．５＿０．５*_15・通訳),0)*(1+_15・B早朝)),0)*(1+_15・盲ろう)),0)*(1+_15・区４)),0)+ROUND((ROUND((ROUND((_15_同援日０．５＿０．５＿０．５*_15・通訳),0)*(1+_15・盲ろう)),0)*(1+_15・区４)),0)</f>
        <v>849</v>
      </c>
      <c r="AF17" s="69"/>
    </row>
    <row r="18" spans="1:32" ht="16.5" customHeight="1" x14ac:dyDescent="0.3">
      <c r="A18" s="2">
        <v>15</v>
      </c>
      <c r="B18" s="2" t="s">
        <v>4638</v>
      </c>
      <c r="C18" s="60" t="s">
        <v>15262</v>
      </c>
      <c r="D18" s="1"/>
      <c r="E18" s="68"/>
      <c r="F18" s="70"/>
      <c r="G18" s="1"/>
      <c r="H18" s="68"/>
      <c r="I18" s="70"/>
      <c r="J18" s="81"/>
      <c r="K18" s="57"/>
      <c r="L18" s="77"/>
      <c r="M18" s="67"/>
      <c r="N18" s="68"/>
      <c r="O18" s="76"/>
      <c r="P18" s="83" t="s">
        <v>5895</v>
      </c>
      <c r="Q18" s="64" t="s">
        <v>1</v>
      </c>
      <c r="R18" s="65">
        <v>1</v>
      </c>
      <c r="S18" s="99"/>
      <c r="T18" s="70"/>
      <c r="U18" s="99"/>
      <c r="V18" s="70"/>
      <c r="W18" s="81" t="s">
        <v>18086</v>
      </c>
      <c r="X18" s="57" t="s">
        <v>1</v>
      </c>
      <c r="Y18" s="58">
        <v>0.25</v>
      </c>
      <c r="Z18" s="77" t="s">
        <v>422</v>
      </c>
      <c r="AA18" s="81"/>
      <c r="AB18" s="57"/>
      <c r="AC18" s="58"/>
      <c r="AD18" s="77"/>
      <c r="AE18" s="228">
        <f>ROUND((ROUND((ROUND((ROUND((ROUND((_15_同援日０．５*_15・通訳),0)*_15・２人),0)*(1+_15・A深夜)),0)*(1+_15・盲ろう)),0)*(1+_15・区４)),0)+ROUND((ROUND((ROUND((ROUND((ROUND((_15_同援日０．５＿０．５*_15・通訳),0)*_15・２人),0)*(1+_15・B早朝)),0)*(1+_15・盲ろう)),0)*(1+_15・区４)),0)+ROUND((ROUND((ROUND((ROUND((_15_同援日０．５＿０．５＿０．５*_15・通訳),0)*_15・２人),0)*(1+_15・盲ろう)),0)*(1+_15・区４)),0)</f>
        <v>849</v>
      </c>
      <c r="AF18" s="69"/>
    </row>
    <row r="19" spans="1:32" ht="16.5" customHeight="1" x14ac:dyDescent="0.3">
      <c r="A19" s="2">
        <v>15</v>
      </c>
      <c r="B19" s="2" t="s">
        <v>4639</v>
      </c>
      <c r="C19" s="60" t="s">
        <v>15261</v>
      </c>
      <c r="D19" s="1"/>
      <c r="E19" s="68"/>
      <c r="F19" s="70"/>
      <c r="G19" s="1"/>
      <c r="H19" s="68"/>
      <c r="I19" s="70"/>
      <c r="J19" s="74" t="s">
        <v>17106</v>
      </c>
      <c r="K19" s="62"/>
      <c r="L19" s="75"/>
      <c r="M19" s="67"/>
      <c r="N19" s="68"/>
      <c r="O19" s="76"/>
      <c r="P19" s="83"/>
      <c r="Q19" s="64"/>
      <c r="R19" s="65"/>
      <c r="S19" s="99"/>
      <c r="T19" s="70"/>
      <c r="U19" s="99"/>
      <c r="V19" s="70"/>
      <c r="W19" s="74"/>
      <c r="X19" s="62"/>
      <c r="Y19" s="63"/>
      <c r="Z19" s="75"/>
      <c r="AA19" s="74"/>
      <c r="AB19" s="62"/>
      <c r="AC19" s="63"/>
      <c r="AD19" s="75"/>
      <c r="AE19" s="228">
        <f>ROUND((ROUND((_15_同援日０．５*_15・通訳),0)*(1+_15・A深夜)),0)+ROUND((ROUND((_15_同援日０．５＿０．５*_15・通訳),0)*(1+_15・B早朝)),0)+ROUND((_15_同援日０．５＿０．５＿１．０*_15・通訳),0)</f>
        <v>544</v>
      </c>
      <c r="AF19" s="69"/>
    </row>
    <row r="20" spans="1:32" ht="16.5" customHeight="1" x14ac:dyDescent="0.3">
      <c r="A20" s="2">
        <v>15</v>
      </c>
      <c r="B20" s="2" t="s">
        <v>4640</v>
      </c>
      <c r="C20" s="60" t="s">
        <v>15260</v>
      </c>
      <c r="D20" s="1"/>
      <c r="E20" s="68"/>
      <c r="F20" s="70"/>
      <c r="G20" s="1"/>
      <c r="H20" s="68"/>
      <c r="I20" s="70"/>
      <c r="J20" s="1" t="s">
        <v>17067</v>
      </c>
      <c r="K20" s="68"/>
      <c r="L20" s="70"/>
      <c r="M20" s="67"/>
      <c r="N20" s="68"/>
      <c r="O20" s="76"/>
      <c r="P20" s="83" t="s">
        <v>5895</v>
      </c>
      <c r="Q20" s="64" t="s">
        <v>1</v>
      </c>
      <c r="R20" s="65">
        <v>1</v>
      </c>
      <c r="S20" s="99"/>
      <c r="T20" s="70"/>
      <c r="U20" s="99"/>
      <c r="V20" s="70"/>
      <c r="W20" s="81"/>
      <c r="X20" s="57"/>
      <c r="Y20" s="58"/>
      <c r="Z20" s="77"/>
      <c r="AA20" s="1"/>
      <c r="AB20" s="68"/>
      <c r="AC20" s="76"/>
      <c r="AD20" s="70"/>
      <c r="AE20" s="228">
        <f>ROUND((ROUND((ROUND((_15_同援日０．５*_15・通訳),0)*_15・２人),0)*(1+_15・A深夜)),0)+ROUND((ROUND((ROUND((_15_同援日０．５＿０．５*_15・通訳),0)*_15・２人),0)*(1+_15・B早朝)),0)+ROUND((ROUND((_15_同援日０．５＿０．５＿１．０*_15・通訳),0)*_15・２人),0)</f>
        <v>544</v>
      </c>
      <c r="AF20" s="69"/>
    </row>
    <row r="21" spans="1:32" ht="16.5" customHeight="1" x14ac:dyDescent="0.3">
      <c r="A21" s="2">
        <v>15</v>
      </c>
      <c r="B21" s="2" t="s">
        <v>4641</v>
      </c>
      <c r="C21" s="60" t="s">
        <v>15259</v>
      </c>
      <c r="D21" s="1"/>
      <c r="E21" s="68"/>
      <c r="F21" s="70"/>
      <c r="G21" s="1"/>
      <c r="H21" s="68"/>
      <c r="I21" s="70"/>
      <c r="J21" s="1" t="s">
        <v>8572</v>
      </c>
      <c r="K21" s="68"/>
      <c r="L21" s="70"/>
      <c r="M21" s="67"/>
      <c r="N21" s="68"/>
      <c r="O21" s="76"/>
      <c r="P21" s="83"/>
      <c r="Q21" s="64"/>
      <c r="R21" s="65"/>
      <c r="S21" s="99"/>
      <c r="T21" s="70"/>
      <c r="U21" s="99"/>
      <c r="V21" s="70"/>
      <c r="W21" s="74" t="s">
        <v>18087</v>
      </c>
      <c r="X21" s="62"/>
      <c r="Y21" s="63"/>
      <c r="Z21" s="75"/>
      <c r="AA21" s="1"/>
      <c r="AB21" s="68"/>
      <c r="AC21" s="76"/>
      <c r="AD21" s="70"/>
      <c r="AE21" s="228">
        <f>ROUND((ROUND((ROUND((_15_同援日０．５*_15・通訳),0)*(1+_15・A深夜)),0)*(1+_15・盲ろう)),0)+ROUND((ROUND((ROUND((_15_同援日０．５＿０．５*_15・通訳),0)*(1+_15・B早朝)),0)*(1+_15・盲ろう)),0)+ROUND((ROUND((_15_同援日０．５＿０．５＿１．０*_15・通訳),0)*(1+_15・盲ろう)),0)</f>
        <v>680</v>
      </c>
      <c r="AF21" s="69"/>
    </row>
    <row r="22" spans="1:32" ht="16.5" customHeight="1" x14ac:dyDescent="0.3">
      <c r="A22" s="2">
        <v>15</v>
      </c>
      <c r="B22" s="2" t="s">
        <v>4642</v>
      </c>
      <c r="C22" s="60" t="s">
        <v>15258</v>
      </c>
      <c r="D22" s="1"/>
      <c r="E22" s="68"/>
      <c r="F22" s="70"/>
      <c r="G22" s="1"/>
      <c r="H22" s="68"/>
      <c r="I22" s="70"/>
      <c r="J22" s="1"/>
      <c r="K22" s="227">
        <v>193</v>
      </c>
      <c r="L22" s="70" t="s">
        <v>0</v>
      </c>
      <c r="M22" s="67"/>
      <c r="N22" s="68"/>
      <c r="O22" s="76"/>
      <c r="P22" s="83" t="s">
        <v>5895</v>
      </c>
      <c r="Q22" s="64" t="s">
        <v>1</v>
      </c>
      <c r="R22" s="65">
        <v>1</v>
      </c>
      <c r="S22" s="99"/>
      <c r="T22" s="70"/>
      <c r="U22" s="99"/>
      <c r="V22" s="70"/>
      <c r="W22" s="81" t="s">
        <v>18086</v>
      </c>
      <c r="X22" s="57" t="s">
        <v>1</v>
      </c>
      <c r="Y22" s="58">
        <v>0.25</v>
      </c>
      <c r="Z22" s="77" t="s">
        <v>422</v>
      </c>
      <c r="AA22" s="81"/>
      <c r="AB22" s="57"/>
      <c r="AC22" s="58"/>
      <c r="AD22" s="77"/>
      <c r="AE22" s="228">
        <f>ROUND((ROUND((ROUND((ROUND((_15_同援日０．５*_15・通訳),0)*_15・２人),0)*(1+_15・A深夜)),0)*(1+_15・盲ろう)),0)+ROUND((ROUND((ROUND((ROUND((_15_同援日０．５＿０．５*_15・通訳),0)*_15・２人),0)*(1+_15・B早朝)),0)*(1+_15・盲ろう)),0)+ROUND((ROUND((ROUND((_15_同援日０．５＿０．５＿１．０*_15・通訳),0)*_15・２人),0)*(1+_15・盲ろう)),0)</f>
        <v>680</v>
      </c>
      <c r="AF22" s="69"/>
    </row>
    <row r="23" spans="1:32" ht="16.5" customHeight="1" x14ac:dyDescent="0.3">
      <c r="A23" s="2">
        <v>15</v>
      </c>
      <c r="B23" s="2" t="s">
        <v>4643</v>
      </c>
      <c r="C23" s="60" t="s">
        <v>15257</v>
      </c>
      <c r="D23" s="1"/>
      <c r="E23" s="68"/>
      <c r="F23" s="70"/>
      <c r="G23" s="1"/>
      <c r="H23" s="68"/>
      <c r="I23" s="70"/>
      <c r="J23" s="1"/>
      <c r="K23" s="68"/>
      <c r="L23" s="70"/>
      <c r="M23" s="67"/>
      <c r="N23" s="68"/>
      <c r="O23" s="76"/>
      <c r="P23" s="83"/>
      <c r="Q23" s="64"/>
      <c r="R23" s="65"/>
      <c r="S23" s="99"/>
      <c r="T23" s="70"/>
      <c r="U23" s="99"/>
      <c r="V23" s="70"/>
      <c r="W23" s="74"/>
      <c r="X23" s="62"/>
      <c r="Y23" s="63"/>
      <c r="Z23" s="75"/>
      <c r="AA23" s="74" t="s">
        <v>18089</v>
      </c>
      <c r="AB23" s="62"/>
      <c r="AC23" s="63"/>
      <c r="AD23" s="75"/>
      <c r="AE23" s="228">
        <f>ROUND((ROUND((ROUND((_15_同援日０．５*_15・通訳),0)*(1+_15・A深夜)),0)*(1+_15・区３)),0)+ROUND((ROUND((ROUND((_15_同援日０．５＿０．５*_15・通訳),0)*(1+_15・B早朝)),0)*(1+_15・区３)),0)+ROUND((ROUND((_15_同援日０．５＿０．５＿１．０*_15・通訳),0)*(1+_15・区３)),0)</f>
        <v>653</v>
      </c>
      <c r="AF23" s="69"/>
    </row>
    <row r="24" spans="1:32" ht="16.5" customHeight="1" x14ac:dyDescent="0.3">
      <c r="A24" s="2">
        <v>15</v>
      </c>
      <c r="B24" s="2" t="s">
        <v>4644</v>
      </c>
      <c r="C24" s="60" t="s">
        <v>15256</v>
      </c>
      <c r="D24" s="1"/>
      <c r="E24" s="68"/>
      <c r="F24" s="70"/>
      <c r="G24" s="1"/>
      <c r="H24" s="68"/>
      <c r="I24" s="70"/>
      <c r="J24" s="1"/>
      <c r="K24" s="68"/>
      <c r="L24" s="70"/>
      <c r="M24" s="67"/>
      <c r="N24" s="68"/>
      <c r="O24" s="76"/>
      <c r="P24" s="83" t="s">
        <v>5895</v>
      </c>
      <c r="Q24" s="64" t="s">
        <v>1</v>
      </c>
      <c r="R24" s="65">
        <v>1</v>
      </c>
      <c r="S24" s="99"/>
      <c r="T24" s="70"/>
      <c r="U24" s="99"/>
      <c r="V24" s="70"/>
      <c r="W24" s="81"/>
      <c r="X24" s="57"/>
      <c r="Y24" s="58"/>
      <c r="Z24" s="77"/>
      <c r="AA24" s="1" t="s">
        <v>18084</v>
      </c>
      <c r="AB24" s="68"/>
      <c r="AC24" s="76"/>
      <c r="AD24" s="70"/>
      <c r="AE24" s="228">
        <f>ROUND((ROUND((ROUND((ROUND((_15_同援日０．５*_15・通訳),0)*_15・２人),0)*(1+_15・A深夜)),0)*(1+_15・区３)),0)+ROUND((ROUND((ROUND((ROUND((_15_同援日０．５＿０．５*_15・通訳),0)*_15・２人),0)*(1+_15・B早朝)),0)*(1+_15・区３)),0)+ROUND((ROUND((ROUND((_15_同援日０．５＿０．５＿１．０*_15・通訳),0)*_15・２人),0)*(1+_15・区３)),0)</f>
        <v>653</v>
      </c>
      <c r="AF24" s="69"/>
    </row>
    <row r="25" spans="1:32" ht="16.5" customHeight="1" x14ac:dyDescent="0.3">
      <c r="A25" s="2">
        <v>15</v>
      </c>
      <c r="B25" s="2" t="s">
        <v>4645</v>
      </c>
      <c r="C25" s="60" t="s">
        <v>15255</v>
      </c>
      <c r="D25" s="1"/>
      <c r="E25" s="68"/>
      <c r="F25" s="70"/>
      <c r="G25" s="1"/>
      <c r="H25" s="68"/>
      <c r="I25" s="70"/>
      <c r="J25" s="1"/>
      <c r="K25" s="68"/>
      <c r="L25" s="70"/>
      <c r="M25" s="67"/>
      <c r="N25" s="68"/>
      <c r="O25" s="76"/>
      <c r="P25" s="83"/>
      <c r="Q25" s="64"/>
      <c r="R25" s="65"/>
      <c r="S25" s="99"/>
      <c r="T25" s="70"/>
      <c r="U25" s="99"/>
      <c r="V25" s="70"/>
      <c r="W25" s="74" t="s">
        <v>18087</v>
      </c>
      <c r="X25" s="62"/>
      <c r="Y25" s="63"/>
      <c r="Z25" s="75"/>
      <c r="AA25" s="1"/>
      <c r="AB25" s="68" t="s">
        <v>1</v>
      </c>
      <c r="AC25" s="76">
        <v>0.2</v>
      </c>
      <c r="AD25" s="70" t="s">
        <v>422</v>
      </c>
      <c r="AE25" s="228">
        <f>ROUND((ROUND((ROUND((ROUND((_15_同援日０．５*_15・通訳),0)*(1+_15・A深夜)),0)*(1+_15・盲ろう)),0)*(1+_15・区３)),0)+ROUND((ROUND((ROUND((ROUND((_15_同援日０．５＿０．５*_15・通訳),0)*(1+_15・B早朝)),0)*(1+_15・盲ろう)),0)*(1+_15・区３)),0)+ROUND((ROUND((ROUND((_15_同援日０．５＿０．５＿１．０*_15・通訳),0)*(1+_15・盲ろう)),0)*(1+_15・区３)),0)</f>
        <v>816</v>
      </c>
      <c r="AF25" s="69"/>
    </row>
    <row r="26" spans="1:32" ht="16.5" customHeight="1" x14ac:dyDescent="0.3">
      <c r="A26" s="2">
        <v>15</v>
      </c>
      <c r="B26" s="2" t="s">
        <v>4646</v>
      </c>
      <c r="C26" s="60" t="s">
        <v>15254</v>
      </c>
      <c r="D26" s="1"/>
      <c r="E26" s="68"/>
      <c r="F26" s="70"/>
      <c r="G26" s="1"/>
      <c r="H26" s="68"/>
      <c r="I26" s="70"/>
      <c r="J26" s="1"/>
      <c r="K26" s="68"/>
      <c r="L26" s="70"/>
      <c r="M26" s="67"/>
      <c r="N26" s="68"/>
      <c r="O26" s="76"/>
      <c r="P26" s="83" t="s">
        <v>5895</v>
      </c>
      <c r="Q26" s="64" t="s">
        <v>1</v>
      </c>
      <c r="R26" s="65">
        <v>1</v>
      </c>
      <c r="S26" s="99"/>
      <c r="T26" s="70"/>
      <c r="U26" s="99"/>
      <c r="V26" s="70"/>
      <c r="W26" s="81" t="s">
        <v>18086</v>
      </c>
      <c r="X26" s="57" t="s">
        <v>1</v>
      </c>
      <c r="Y26" s="58">
        <v>0.25</v>
      </c>
      <c r="Z26" s="77" t="s">
        <v>422</v>
      </c>
      <c r="AA26" s="81"/>
      <c r="AB26" s="57"/>
      <c r="AC26" s="58"/>
      <c r="AD26" s="77"/>
      <c r="AE26" s="228">
        <f>ROUND((ROUND((ROUND((ROUND((ROUND((_15_同援日０．５*_15・通訳),0)*_15・２人),0)*(1+_15・A深夜)),0)*(1+_15・盲ろう)),0)*(1+_15・区３)),0)+ROUND((ROUND((ROUND((ROUND((ROUND((_15_同援日０．５＿０．５*_15・通訳),0)*_15・２人),0)*(1+_15・B早朝)),0)*(1+_15・盲ろう)),0)*(1+_15・区３)),0)+ROUND((ROUND((ROUND((ROUND((_15_同援日０．５＿０．５＿１．０*_15・通訳),0)*_15・２人),0)*(1+_15・盲ろう)),0)*(1+_15・区３)),0)</f>
        <v>816</v>
      </c>
      <c r="AF26" s="69"/>
    </row>
    <row r="27" spans="1:32" ht="16.5" customHeight="1" x14ac:dyDescent="0.3">
      <c r="A27" s="2">
        <v>15</v>
      </c>
      <c r="B27" s="2" t="s">
        <v>4647</v>
      </c>
      <c r="C27" s="60" t="s">
        <v>15253</v>
      </c>
      <c r="D27" s="1"/>
      <c r="E27" s="68"/>
      <c r="F27" s="70"/>
      <c r="G27" s="1"/>
      <c r="H27" s="68"/>
      <c r="I27" s="70"/>
      <c r="J27" s="1"/>
      <c r="K27" s="68"/>
      <c r="L27" s="70"/>
      <c r="M27" s="67"/>
      <c r="N27" s="68"/>
      <c r="O27" s="76"/>
      <c r="P27" s="83"/>
      <c r="Q27" s="64"/>
      <c r="R27" s="65"/>
      <c r="S27" s="99"/>
      <c r="T27" s="70"/>
      <c r="U27" s="99"/>
      <c r="V27" s="70"/>
      <c r="W27" s="74"/>
      <c r="X27" s="62"/>
      <c r="Y27" s="63"/>
      <c r="Z27" s="75"/>
      <c r="AA27" s="74" t="s">
        <v>18094</v>
      </c>
      <c r="AB27" s="62"/>
      <c r="AC27" s="63"/>
      <c r="AD27" s="75"/>
      <c r="AE27" s="228">
        <f>ROUND((ROUND((ROUND((_15_同援日０．５*_15・通訳),0)*(1+_15・A深夜)),0)*(1+_15・区４)),0)+ROUND((ROUND((ROUND((_15_同援日０．５＿０．５*_15・通訳),0)*(1+_15・B早朝)),0)*(1+_15・区４)),0)+ROUND((ROUND((_15_同援日０．５＿０．５＿１．０*_15・通訳),0)*(1+_15・区４)),0)</f>
        <v>762</v>
      </c>
      <c r="AF27" s="69"/>
    </row>
    <row r="28" spans="1:32" ht="16.5" customHeight="1" x14ac:dyDescent="0.3">
      <c r="A28" s="2">
        <v>15</v>
      </c>
      <c r="B28" s="2" t="s">
        <v>4648</v>
      </c>
      <c r="C28" s="60" t="s">
        <v>15252</v>
      </c>
      <c r="D28" s="1"/>
      <c r="E28" s="68"/>
      <c r="F28" s="70"/>
      <c r="G28" s="1"/>
      <c r="H28" s="68"/>
      <c r="I28" s="70"/>
      <c r="J28" s="1"/>
      <c r="K28" s="68"/>
      <c r="L28" s="70"/>
      <c r="M28" s="67"/>
      <c r="N28" s="68"/>
      <c r="O28" s="76"/>
      <c r="P28" s="83" t="s">
        <v>5895</v>
      </c>
      <c r="Q28" s="64" t="s">
        <v>1</v>
      </c>
      <c r="R28" s="65">
        <v>1</v>
      </c>
      <c r="S28" s="99"/>
      <c r="T28" s="70"/>
      <c r="U28" s="99"/>
      <c r="V28" s="70"/>
      <c r="W28" s="81"/>
      <c r="X28" s="57"/>
      <c r="Y28" s="58"/>
      <c r="Z28" s="77"/>
      <c r="AA28" s="1" t="s">
        <v>18084</v>
      </c>
      <c r="AB28" s="68"/>
      <c r="AC28" s="76"/>
      <c r="AD28" s="70"/>
      <c r="AE28" s="228">
        <f>ROUND((ROUND((ROUND((ROUND((_15_同援日０．５*_15・通訳),0)*_15・２人),0)*(1+_15・A深夜)),0)*(1+_15・区４)),0)+ROUND((ROUND((ROUND((ROUND((_15_同援日０．５＿０．５*_15・通訳),0)*_15・２人),0)*(1+_15・B早朝)),0)*(1+_15・区４)),0)+ROUND((ROUND((ROUND((_15_同援日０．５＿０．５＿１．０*_15・通訳),0)*_15・２人),0)*(1+_15・区４)),0)</f>
        <v>762</v>
      </c>
      <c r="AF28" s="69"/>
    </row>
    <row r="29" spans="1:32" ht="16.5" customHeight="1" x14ac:dyDescent="0.3">
      <c r="A29" s="2">
        <v>15</v>
      </c>
      <c r="B29" s="2" t="s">
        <v>4649</v>
      </c>
      <c r="C29" s="60" t="s">
        <v>15251</v>
      </c>
      <c r="D29" s="1"/>
      <c r="E29" s="68"/>
      <c r="F29" s="70"/>
      <c r="G29" s="1"/>
      <c r="H29" s="68"/>
      <c r="I29" s="70"/>
      <c r="J29" s="1"/>
      <c r="K29" s="68"/>
      <c r="L29" s="70"/>
      <c r="M29" s="67"/>
      <c r="N29" s="68"/>
      <c r="O29" s="76"/>
      <c r="P29" s="83"/>
      <c r="Q29" s="64"/>
      <c r="R29" s="65"/>
      <c r="S29" s="99"/>
      <c r="T29" s="70"/>
      <c r="U29" s="99"/>
      <c r="V29" s="70"/>
      <c r="W29" s="74" t="s">
        <v>18087</v>
      </c>
      <c r="X29" s="62"/>
      <c r="Y29" s="63"/>
      <c r="Z29" s="75"/>
      <c r="AA29" s="1"/>
      <c r="AB29" s="68" t="s">
        <v>1</v>
      </c>
      <c r="AC29" s="76">
        <v>0.4</v>
      </c>
      <c r="AD29" s="70" t="s">
        <v>422</v>
      </c>
      <c r="AE29" s="228">
        <f>ROUND((ROUND((ROUND((ROUND((_15_同援日０．５*_15・通訳),0)*(1+_15・A深夜)),0)*(1+_15・盲ろう)),0)*(1+_15・区４)),0)+ROUND((ROUND((ROUND((ROUND((_15_同援日０．５＿０．５*_15・通訳),0)*(1+_15・B早朝)),0)*(1+_15・盲ろう)),0)*(1+_15・区４)),0)+ROUND((ROUND((ROUND((_15_同援日０．５＿０．５＿１．０*_15・通訳),0)*(1+_15・盲ろう)),0)*(1+_15・区４)),0)</f>
        <v>951</v>
      </c>
      <c r="AF29" s="69"/>
    </row>
    <row r="30" spans="1:32" ht="16.5" customHeight="1" x14ac:dyDescent="0.3">
      <c r="A30" s="2">
        <v>15</v>
      </c>
      <c r="B30" s="2" t="s">
        <v>4650</v>
      </c>
      <c r="C30" s="60" t="s">
        <v>15250</v>
      </c>
      <c r="D30" s="1"/>
      <c r="E30" s="68"/>
      <c r="F30" s="70"/>
      <c r="G30" s="1"/>
      <c r="H30" s="68"/>
      <c r="I30" s="70"/>
      <c r="J30" s="81"/>
      <c r="K30" s="57"/>
      <c r="L30" s="77"/>
      <c r="M30" s="67"/>
      <c r="N30" s="68"/>
      <c r="O30" s="76"/>
      <c r="P30" s="83" t="s">
        <v>5895</v>
      </c>
      <c r="Q30" s="64" t="s">
        <v>1</v>
      </c>
      <c r="R30" s="65">
        <v>1</v>
      </c>
      <c r="S30" s="99"/>
      <c r="T30" s="70"/>
      <c r="U30" s="99"/>
      <c r="V30" s="70"/>
      <c r="W30" s="81" t="s">
        <v>18086</v>
      </c>
      <c r="X30" s="57" t="s">
        <v>1</v>
      </c>
      <c r="Y30" s="58">
        <v>0.25</v>
      </c>
      <c r="Z30" s="77" t="s">
        <v>422</v>
      </c>
      <c r="AA30" s="81"/>
      <c r="AB30" s="57"/>
      <c r="AC30" s="58"/>
      <c r="AD30" s="77"/>
      <c r="AE30" s="228">
        <f>ROUND((ROUND((ROUND((ROUND((ROUND((_15_同援日０．５*_15・通訳),0)*_15・２人),0)*(1+_15・A深夜)),0)*(1+_15・盲ろう)),0)*(1+_15・区４)),0)+ROUND((ROUND((ROUND((ROUND((ROUND((_15_同援日０．５＿０．５*_15・通訳),0)*_15・２人),0)*(1+_15・B早朝)),0)*(1+_15・盲ろう)),0)*(1+_15・区４)),0)+ROUND((ROUND((ROUND((ROUND((_15_同援日０．５＿０．５＿１．０*_15・通訳),0)*_15・２人),0)*(1+_15・盲ろう)),0)*(1+_15・区４)),0)</f>
        <v>951</v>
      </c>
      <c r="AF30" s="69"/>
    </row>
    <row r="31" spans="1:32" ht="16.5" customHeight="1" x14ac:dyDescent="0.3">
      <c r="A31" s="2">
        <v>15</v>
      </c>
      <c r="B31" s="2" t="s">
        <v>4651</v>
      </c>
      <c r="C31" s="60" t="s">
        <v>15249</v>
      </c>
      <c r="D31" s="1"/>
      <c r="E31" s="68"/>
      <c r="F31" s="70"/>
      <c r="G31" s="1"/>
      <c r="H31" s="68"/>
      <c r="I31" s="70"/>
      <c r="J31" s="74" t="s">
        <v>17107</v>
      </c>
      <c r="K31" s="62"/>
      <c r="L31" s="75"/>
      <c r="M31" s="67"/>
      <c r="N31" s="68"/>
      <c r="O31" s="76"/>
      <c r="P31" s="83"/>
      <c r="Q31" s="64"/>
      <c r="R31" s="65"/>
      <c r="S31" s="99"/>
      <c r="T31" s="70"/>
      <c r="U31" s="99"/>
      <c r="V31" s="70"/>
      <c r="W31" s="74"/>
      <c r="X31" s="62"/>
      <c r="Y31" s="63"/>
      <c r="Z31" s="75"/>
      <c r="AA31" s="74"/>
      <c r="AB31" s="62"/>
      <c r="AC31" s="63"/>
      <c r="AD31" s="75"/>
      <c r="AE31" s="228">
        <f>ROUND((ROUND((_15_同援日０．５*_15・通訳),0)*(1+_15・A深夜)),0)+ROUND((ROUND((_15_同援日０．５＿０．５*_15・通訳),0)*(1+_15・B早朝)),0)+ROUND((_15_同援日０．５＿０．５＿１．５*_15・通訳),0)</f>
        <v>600</v>
      </c>
      <c r="AF31" s="69"/>
    </row>
    <row r="32" spans="1:32" ht="16.5" customHeight="1" x14ac:dyDescent="0.3">
      <c r="A32" s="2">
        <v>15</v>
      </c>
      <c r="B32" s="2" t="s">
        <v>4652</v>
      </c>
      <c r="C32" s="60" t="s">
        <v>15248</v>
      </c>
      <c r="D32" s="1"/>
      <c r="E32" s="68"/>
      <c r="F32" s="70"/>
      <c r="G32" s="1"/>
      <c r="H32" s="68"/>
      <c r="I32" s="70"/>
      <c r="J32" s="1" t="s">
        <v>17070</v>
      </c>
      <c r="K32" s="68"/>
      <c r="L32" s="70"/>
      <c r="M32" s="67"/>
      <c r="N32" s="68"/>
      <c r="O32" s="76"/>
      <c r="P32" s="83" t="s">
        <v>5895</v>
      </c>
      <c r="Q32" s="64" t="s">
        <v>1</v>
      </c>
      <c r="R32" s="65">
        <v>1</v>
      </c>
      <c r="S32" s="99"/>
      <c r="T32" s="70"/>
      <c r="U32" s="99"/>
      <c r="V32" s="70"/>
      <c r="W32" s="81"/>
      <c r="X32" s="57"/>
      <c r="Y32" s="58"/>
      <c r="Z32" s="77"/>
      <c r="AA32" s="1"/>
      <c r="AB32" s="68"/>
      <c r="AC32" s="76"/>
      <c r="AD32" s="70"/>
      <c r="AE32" s="228">
        <f>ROUND((ROUND((ROUND((_15_同援日０．５*_15・通訳),0)*_15・２人),0)*(1+_15・A深夜)),0)+ROUND((ROUND((ROUND((_15_同援日０．５＿０．５*_15・通訳),0)*_15・２人),0)*(1+_15・B早朝)),0)+ROUND((ROUND((_15_同援日０．５＿０．５＿１．５*_15・通訳),0)*_15・２人),0)</f>
        <v>600</v>
      </c>
      <c r="AF32" s="69"/>
    </row>
    <row r="33" spans="1:32" ht="16.5" customHeight="1" x14ac:dyDescent="0.3">
      <c r="A33" s="2">
        <v>15</v>
      </c>
      <c r="B33" s="2" t="s">
        <v>4653</v>
      </c>
      <c r="C33" s="60" t="s">
        <v>15247</v>
      </c>
      <c r="D33" s="1"/>
      <c r="E33" s="68"/>
      <c r="F33" s="70"/>
      <c r="G33" s="1"/>
      <c r="H33" s="68"/>
      <c r="I33" s="70"/>
      <c r="J33" s="1" t="s">
        <v>8767</v>
      </c>
      <c r="K33" s="68"/>
      <c r="L33" s="70"/>
      <c r="M33" s="67"/>
      <c r="N33" s="68"/>
      <c r="O33" s="76"/>
      <c r="P33" s="83"/>
      <c r="Q33" s="64"/>
      <c r="R33" s="65"/>
      <c r="S33" s="99"/>
      <c r="T33" s="70"/>
      <c r="U33" s="99"/>
      <c r="V33" s="70"/>
      <c r="W33" s="74" t="s">
        <v>18087</v>
      </c>
      <c r="X33" s="62"/>
      <c r="Y33" s="63"/>
      <c r="Z33" s="75"/>
      <c r="AA33" s="1"/>
      <c r="AB33" s="68"/>
      <c r="AC33" s="76"/>
      <c r="AD33" s="70"/>
      <c r="AE33" s="228">
        <f>ROUND((ROUND((ROUND((_15_同援日０．５*_15・通訳),0)*(1+_15・A深夜)),0)*(1+_15・盲ろう)),0)+ROUND((ROUND((ROUND((_15_同援日０．５＿０．５*_15・通訳),0)*(1+_15・B早朝)),0)*(1+_15・盲ろう)),0)+ROUND((ROUND((_15_同援日０．５＿０．５＿１．５*_15・通訳),0)*(1+_15・盲ろう)),0)</f>
        <v>750</v>
      </c>
      <c r="AF33" s="69"/>
    </row>
    <row r="34" spans="1:32" ht="16.5" customHeight="1" x14ac:dyDescent="0.3">
      <c r="A34" s="2">
        <v>15</v>
      </c>
      <c r="B34" s="2" t="s">
        <v>4654</v>
      </c>
      <c r="C34" s="60" t="s">
        <v>15246</v>
      </c>
      <c r="D34" s="1"/>
      <c r="E34" s="68"/>
      <c r="F34" s="70"/>
      <c r="G34" s="1"/>
      <c r="H34" s="68"/>
      <c r="I34" s="70"/>
      <c r="J34" s="1"/>
      <c r="K34" s="119">
        <v>256</v>
      </c>
      <c r="L34" s="70" t="s">
        <v>0</v>
      </c>
      <c r="M34" s="67"/>
      <c r="N34" s="68"/>
      <c r="O34" s="76"/>
      <c r="P34" s="83" t="s">
        <v>5895</v>
      </c>
      <c r="Q34" s="64" t="s">
        <v>1</v>
      </c>
      <c r="R34" s="65">
        <v>1</v>
      </c>
      <c r="S34" s="99"/>
      <c r="T34" s="70"/>
      <c r="U34" s="99"/>
      <c r="V34" s="70"/>
      <c r="W34" s="81" t="s">
        <v>18086</v>
      </c>
      <c r="X34" s="57" t="s">
        <v>1</v>
      </c>
      <c r="Y34" s="58">
        <v>0.25</v>
      </c>
      <c r="Z34" s="77" t="s">
        <v>422</v>
      </c>
      <c r="AA34" s="81"/>
      <c r="AB34" s="57"/>
      <c r="AC34" s="58"/>
      <c r="AD34" s="77"/>
      <c r="AE34" s="228">
        <f>ROUND((ROUND((ROUND((ROUND((_15_同援日０．５*_15・通訳),0)*_15・２人),0)*(1+_15・A深夜)),0)*(1+_15・盲ろう)),0)+ROUND((ROUND((ROUND((ROUND((_15_同援日０．５＿０．５*_15・通訳),0)*_15・２人),0)*(1+_15・B早朝)),0)*(1+_15・盲ろう)),0)+ROUND((ROUND((ROUND((_15_同援日０．５＿０．５＿１．５*_15・通訳),0)*_15・２人),0)*(1+_15・盲ろう)),0)</f>
        <v>750</v>
      </c>
      <c r="AF34" s="69"/>
    </row>
    <row r="35" spans="1:32" ht="16.5" customHeight="1" x14ac:dyDescent="0.3">
      <c r="A35" s="2">
        <v>15</v>
      </c>
      <c r="B35" s="2" t="s">
        <v>4655</v>
      </c>
      <c r="C35" s="60" t="s">
        <v>15245</v>
      </c>
      <c r="D35" s="1"/>
      <c r="E35" s="68"/>
      <c r="F35" s="70"/>
      <c r="G35" s="1"/>
      <c r="H35" s="68"/>
      <c r="I35" s="70"/>
      <c r="J35" s="1"/>
      <c r="K35" s="68"/>
      <c r="L35" s="70"/>
      <c r="M35" s="67"/>
      <c r="N35" s="68"/>
      <c r="O35" s="76"/>
      <c r="P35" s="83"/>
      <c r="Q35" s="64"/>
      <c r="R35" s="65"/>
      <c r="S35" s="99"/>
      <c r="T35" s="70"/>
      <c r="U35" s="99"/>
      <c r="V35" s="70"/>
      <c r="W35" s="74"/>
      <c r="X35" s="62"/>
      <c r="Y35" s="63"/>
      <c r="Z35" s="75"/>
      <c r="AA35" s="74" t="s">
        <v>18089</v>
      </c>
      <c r="AB35" s="62"/>
      <c r="AC35" s="63"/>
      <c r="AD35" s="75"/>
      <c r="AE35" s="228">
        <f>ROUND((ROUND((ROUND((_15_同援日０．５*_15・通訳),0)*(1+_15・A深夜)),0)*(1+_15・区３)),0)+ROUND((ROUND((ROUND((_15_同援日０．５＿０．５*_15・通訳),0)*(1+_15・B早朝)),0)*(1+_15・区３)),0)+ROUND((ROUND((_15_同援日０．５＿０．５＿１．５*_15・通訳),0)*(1+_15・区３)),0)</f>
        <v>720</v>
      </c>
      <c r="AF35" s="69"/>
    </row>
    <row r="36" spans="1:32" ht="16.5" customHeight="1" x14ac:dyDescent="0.3">
      <c r="A36" s="2">
        <v>15</v>
      </c>
      <c r="B36" s="2" t="s">
        <v>4656</v>
      </c>
      <c r="C36" s="60" t="s">
        <v>15244</v>
      </c>
      <c r="D36" s="1"/>
      <c r="E36" s="68"/>
      <c r="F36" s="70"/>
      <c r="G36" s="1"/>
      <c r="H36" s="68"/>
      <c r="I36" s="70"/>
      <c r="J36" s="1"/>
      <c r="K36" s="68"/>
      <c r="L36" s="70"/>
      <c r="M36" s="67"/>
      <c r="N36" s="68"/>
      <c r="O36" s="76"/>
      <c r="P36" s="83" t="s">
        <v>5895</v>
      </c>
      <c r="Q36" s="64" t="s">
        <v>1</v>
      </c>
      <c r="R36" s="65">
        <v>1</v>
      </c>
      <c r="S36" s="99"/>
      <c r="T36" s="70"/>
      <c r="U36" s="99"/>
      <c r="V36" s="70"/>
      <c r="W36" s="81"/>
      <c r="X36" s="57"/>
      <c r="Y36" s="58"/>
      <c r="Z36" s="77"/>
      <c r="AA36" s="1" t="s">
        <v>18084</v>
      </c>
      <c r="AB36" s="68"/>
      <c r="AC36" s="76"/>
      <c r="AD36" s="70"/>
      <c r="AE36" s="228">
        <f>ROUND((ROUND((ROUND((ROUND((_15_同援日０．５*_15・通訳),0)*_15・２人),0)*(1+_15・A深夜)),0)*(1+_15・区３)),0)+ROUND((ROUND((ROUND((ROUND((_15_同援日０．５＿０．５*_15・通訳),0)*_15・２人),0)*(1+_15・B早朝)),0)*(1+_15・区３)),0)+ROUND((ROUND((ROUND((_15_同援日０．５＿０．５＿１．５*_15・通訳),0)*_15・２人),0)*(1+_15・区３)),0)</f>
        <v>720</v>
      </c>
      <c r="AF36" s="69"/>
    </row>
    <row r="37" spans="1:32" ht="16.5" customHeight="1" x14ac:dyDescent="0.3">
      <c r="A37" s="2">
        <v>15</v>
      </c>
      <c r="B37" s="2" t="s">
        <v>4657</v>
      </c>
      <c r="C37" s="60" t="s">
        <v>15243</v>
      </c>
      <c r="D37" s="1"/>
      <c r="E37" s="68"/>
      <c r="F37" s="70"/>
      <c r="G37" s="1"/>
      <c r="H37" s="68"/>
      <c r="I37" s="70"/>
      <c r="J37" s="1"/>
      <c r="K37" s="68"/>
      <c r="L37" s="70"/>
      <c r="M37" s="67"/>
      <c r="N37" s="68"/>
      <c r="O37" s="76"/>
      <c r="P37" s="83"/>
      <c r="Q37" s="64"/>
      <c r="R37" s="65"/>
      <c r="S37" s="99"/>
      <c r="T37" s="70"/>
      <c r="U37" s="99"/>
      <c r="V37" s="70"/>
      <c r="W37" s="74" t="s">
        <v>18087</v>
      </c>
      <c r="X37" s="62"/>
      <c r="Y37" s="63"/>
      <c r="Z37" s="75"/>
      <c r="AA37" s="1"/>
      <c r="AB37" s="68" t="s">
        <v>1</v>
      </c>
      <c r="AC37" s="76">
        <v>0.2</v>
      </c>
      <c r="AD37" s="70" t="s">
        <v>422</v>
      </c>
      <c r="AE37" s="228">
        <f>ROUND((ROUND((ROUND((ROUND((_15_同援日０．５*_15・通訳),0)*(1+_15・A深夜)),0)*(1+_15・盲ろう)),0)*(1+_15・区３)),0)+ROUND((ROUND((ROUND((ROUND((_15_同援日０．５＿０．５*_15・通訳),0)*(1+_15・B早朝)),0)*(1+_15・盲ろう)),0)*(1+_15・区３)),0)+ROUND((ROUND((ROUND((_15_同援日０．５＿０．５＿１．５*_15・通訳),0)*(1+_15・盲ろう)),0)*(1+_15・区３)),0)</f>
        <v>900</v>
      </c>
      <c r="AF37" s="69"/>
    </row>
    <row r="38" spans="1:32" ht="16.5" customHeight="1" x14ac:dyDescent="0.3">
      <c r="A38" s="2">
        <v>15</v>
      </c>
      <c r="B38" s="2" t="s">
        <v>4658</v>
      </c>
      <c r="C38" s="60" t="s">
        <v>15242</v>
      </c>
      <c r="D38" s="1"/>
      <c r="E38" s="68"/>
      <c r="F38" s="70"/>
      <c r="G38" s="1"/>
      <c r="H38" s="68"/>
      <c r="I38" s="70"/>
      <c r="J38" s="1"/>
      <c r="K38" s="68"/>
      <c r="L38" s="70"/>
      <c r="M38" s="67"/>
      <c r="N38" s="68"/>
      <c r="O38" s="76"/>
      <c r="P38" s="83" t="s">
        <v>5895</v>
      </c>
      <c r="Q38" s="64" t="s">
        <v>1</v>
      </c>
      <c r="R38" s="65">
        <v>1</v>
      </c>
      <c r="S38" s="99"/>
      <c r="T38" s="70"/>
      <c r="U38" s="99"/>
      <c r="V38" s="70"/>
      <c r="W38" s="81" t="s">
        <v>18086</v>
      </c>
      <c r="X38" s="57" t="s">
        <v>1</v>
      </c>
      <c r="Y38" s="58">
        <v>0.25</v>
      </c>
      <c r="Z38" s="77" t="s">
        <v>422</v>
      </c>
      <c r="AA38" s="81"/>
      <c r="AB38" s="57"/>
      <c r="AC38" s="58"/>
      <c r="AD38" s="77"/>
      <c r="AE38" s="228">
        <f>ROUND((ROUND((ROUND((ROUND((ROUND((_15_同援日０．５*_15・通訳),0)*_15・２人),0)*(1+_15・A深夜)),0)*(1+_15・盲ろう)),0)*(1+_15・区３)),0)+ROUND((ROUND((ROUND((ROUND((ROUND((_15_同援日０．５＿０．５*_15・通訳),0)*_15・２人),0)*(1+_15・B早朝)),0)*(1+_15・盲ろう)),0)*(1+_15・区３)),0)+ROUND((ROUND((ROUND((ROUND((_15_同援日０．５＿０．５＿１．５*_15・通訳),0)*_15・２人),0)*(1+_15・盲ろう)),0)*(1+_15・区３)),0)</f>
        <v>900</v>
      </c>
      <c r="AF38" s="69"/>
    </row>
    <row r="39" spans="1:32" ht="16.5" customHeight="1" x14ac:dyDescent="0.3">
      <c r="A39" s="2">
        <v>15</v>
      </c>
      <c r="B39" s="2" t="s">
        <v>4659</v>
      </c>
      <c r="C39" s="60" t="s">
        <v>15241</v>
      </c>
      <c r="D39" s="1"/>
      <c r="E39" s="68"/>
      <c r="F39" s="70"/>
      <c r="G39" s="1"/>
      <c r="H39" s="68"/>
      <c r="I39" s="70"/>
      <c r="J39" s="1"/>
      <c r="K39" s="68"/>
      <c r="L39" s="70"/>
      <c r="M39" s="67"/>
      <c r="N39" s="68"/>
      <c r="O39" s="76"/>
      <c r="P39" s="83"/>
      <c r="Q39" s="64"/>
      <c r="R39" s="65"/>
      <c r="S39" s="99"/>
      <c r="T39" s="70"/>
      <c r="U39" s="99"/>
      <c r="V39" s="70"/>
      <c r="W39" s="74"/>
      <c r="X39" s="62"/>
      <c r="Y39" s="63"/>
      <c r="Z39" s="75"/>
      <c r="AA39" s="74" t="s">
        <v>18094</v>
      </c>
      <c r="AB39" s="62"/>
      <c r="AC39" s="63"/>
      <c r="AD39" s="75"/>
      <c r="AE39" s="228">
        <f>ROUND((ROUND((ROUND((_15_同援日０．５*_15・通訳),0)*(1+_15・A深夜)),0)*(1+_15・区４)),0)+ROUND((ROUND((ROUND((_15_同援日０．５＿０．５*_15・通訳),0)*(1+_15・B早朝)),0)*(1+_15・区４)),0)+ROUND((ROUND((_15_同援日０．５＿０．５＿１．５*_15・通訳),0)*(1+_15・区４)),0)</f>
        <v>840</v>
      </c>
      <c r="AF39" s="69"/>
    </row>
    <row r="40" spans="1:32" ht="16.5" customHeight="1" x14ac:dyDescent="0.3">
      <c r="A40" s="2">
        <v>15</v>
      </c>
      <c r="B40" s="2" t="s">
        <v>4660</v>
      </c>
      <c r="C40" s="60" t="s">
        <v>15240</v>
      </c>
      <c r="D40" s="1"/>
      <c r="E40" s="68"/>
      <c r="F40" s="70"/>
      <c r="G40" s="1"/>
      <c r="H40" s="68"/>
      <c r="I40" s="70"/>
      <c r="J40" s="1"/>
      <c r="K40" s="68"/>
      <c r="L40" s="70"/>
      <c r="M40" s="67"/>
      <c r="N40" s="68"/>
      <c r="O40" s="76"/>
      <c r="P40" s="83" t="s">
        <v>5895</v>
      </c>
      <c r="Q40" s="64" t="s">
        <v>1</v>
      </c>
      <c r="R40" s="65">
        <v>1</v>
      </c>
      <c r="S40" s="99"/>
      <c r="T40" s="70"/>
      <c r="U40" s="99"/>
      <c r="V40" s="70"/>
      <c r="W40" s="81"/>
      <c r="X40" s="57"/>
      <c r="Y40" s="58"/>
      <c r="Z40" s="77"/>
      <c r="AA40" s="1" t="s">
        <v>18084</v>
      </c>
      <c r="AB40" s="68"/>
      <c r="AC40" s="76"/>
      <c r="AD40" s="70"/>
      <c r="AE40" s="228">
        <f>ROUND((ROUND((ROUND((ROUND((_15_同援日０．５*_15・通訳),0)*_15・２人),0)*(1+_15・A深夜)),0)*(1+_15・区４)),0)+ROUND((ROUND((ROUND((ROUND((_15_同援日０．５＿０．５*_15・通訳),0)*_15・２人),0)*(1+_15・B早朝)),0)*(1+_15・区４)),0)+ROUND((ROUND((ROUND((_15_同援日０．５＿０．５＿１．５*_15・通訳),0)*_15・２人),0)*(1+_15・区４)),0)</f>
        <v>840</v>
      </c>
      <c r="AF40" s="69"/>
    </row>
    <row r="41" spans="1:32" ht="16.5" customHeight="1" x14ac:dyDescent="0.3">
      <c r="A41" s="2">
        <v>15</v>
      </c>
      <c r="B41" s="2" t="s">
        <v>4661</v>
      </c>
      <c r="C41" s="60" t="s">
        <v>15239</v>
      </c>
      <c r="D41" s="1"/>
      <c r="E41" s="68"/>
      <c r="F41" s="70"/>
      <c r="G41" s="1"/>
      <c r="H41" s="68"/>
      <c r="I41" s="70"/>
      <c r="J41" s="1"/>
      <c r="K41" s="68"/>
      <c r="L41" s="70"/>
      <c r="M41" s="67"/>
      <c r="N41" s="68"/>
      <c r="O41" s="76"/>
      <c r="P41" s="83"/>
      <c r="Q41" s="64"/>
      <c r="R41" s="65"/>
      <c r="S41" s="99"/>
      <c r="T41" s="70"/>
      <c r="U41" s="99"/>
      <c r="V41" s="70"/>
      <c r="W41" s="74" t="s">
        <v>18087</v>
      </c>
      <c r="X41" s="62"/>
      <c r="Y41" s="63"/>
      <c r="Z41" s="75"/>
      <c r="AA41" s="1"/>
      <c r="AB41" s="68" t="s">
        <v>1</v>
      </c>
      <c r="AC41" s="76">
        <v>0.4</v>
      </c>
      <c r="AD41" s="70" t="s">
        <v>422</v>
      </c>
      <c r="AE41" s="228">
        <f>ROUND((ROUND((ROUND((ROUND((_15_同援日０．５*_15・通訳),0)*(1+_15・A深夜)),0)*(1+_15・盲ろう)),0)*(1+_15・区４)),0)+ROUND((ROUND((ROUND((ROUND((_15_同援日０．５＿０．５*_15・通訳),0)*(1+_15・B早朝)),0)*(1+_15・盲ろう)),0)*(1+_15・区４)),0)+ROUND((ROUND((ROUND((_15_同援日０．５＿０．５＿１．５*_15・通訳),0)*(1+_15・盲ろう)),0)*(1+_15・区４)),0)</f>
        <v>1049</v>
      </c>
      <c r="AF41" s="69"/>
    </row>
    <row r="42" spans="1:32" ht="16.5" customHeight="1" x14ac:dyDescent="0.3">
      <c r="A42" s="2">
        <v>15</v>
      </c>
      <c r="B42" s="2" t="s">
        <v>4662</v>
      </c>
      <c r="C42" s="60" t="s">
        <v>15238</v>
      </c>
      <c r="D42" s="1"/>
      <c r="E42" s="68"/>
      <c r="F42" s="70"/>
      <c r="G42" s="1"/>
      <c r="H42" s="68"/>
      <c r="I42" s="70"/>
      <c r="J42" s="81"/>
      <c r="K42" s="57"/>
      <c r="L42" s="77"/>
      <c r="M42" s="67"/>
      <c r="N42" s="68"/>
      <c r="O42" s="76"/>
      <c r="P42" s="83" t="s">
        <v>5895</v>
      </c>
      <c r="Q42" s="64" t="s">
        <v>1</v>
      </c>
      <c r="R42" s="65">
        <v>1</v>
      </c>
      <c r="S42" s="99"/>
      <c r="T42" s="70"/>
      <c r="U42" s="99"/>
      <c r="V42" s="70"/>
      <c r="W42" s="81" t="s">
        <v>18086</v>
      </c>
      <c r="X42" s="57" t="s">
        <v>1</v>
      </c>
      <c r="Y42" s="58">
        <v>0.25</v>
      </c>
      <c r="Z42" s="77" t="s">
        <v>422</v>
      </c>
      <c r="AA42" s="81"/>
      <c r="AB42" s="57"/>
      <c r="AC42" s="58"/>
      <c r="AD42" s="77"/>
      <c r="AE42" s="228">
        <f>ROUND((ROUND((ROUND((ROUND((ROUND((_15_同援日０．５*_15・通訳),0)*_15・２人),0)*(1+_15・A深夜)),0)*(1+_15・盲ろう)),0)*(1+_15・区４)),0)+ROUND((ROUND((ROUND((ROUND((ROUND((_15_同援日０．５＿０．５*_15・通訳),0)*_15・２人),0)*(1+_15・B早朝)),0)*(1+_15・盲ろう)),0)*(1+_15・区４)),0)+ROUND((ROUND((ROUND((ROUND((_15_同援日０．５＿０．５＿１．５*_15・通訳),0)*_15・２人),0)*(1+_15・盲ろう)),0)*(1+_15・区４)),0)</f>
        <v>1049</v>
      </c>
      <c r="AF42" s="69"/>
    </row>
    <row r="43" spans="1:32" ht="16.5" customHeight="1" x14ac:dyDescent="0.3">
      <c r="A43" s="2">
        <v>15</v>
      </c>
      <c r="B43" s="2" t="s">
        <v>4663</v>
      </c>
      <c r="C43" s="60" t="s">
        <v>15237</v>
      </c>
      <c r="D43" s="1"/>
      <c r="E43" s="68"/>
      <c r="F43" s="70"/>
      <c r="G43" s="1"/>
      <c r="H43" s="68"/>
      <c r="I43" s="70"/>
      <c r="J43" s="74" t="s">
        <v>17108</v>
      </c>
      <c r="K43" s="62"/>
      <c r="L43" s="75"/>
      <c r="M43" s="67"/>
      <c r="N43" s="68"/>
      <c r="O43" s="76"/>
      <c r="P43" s="83"/>
      <c r="Q43" s="64"/>
      <c r="R43" s="65"/>
      <c r="S43" s="99"/>
      <c r="T43" s="70"/>
      <c r="U43" s="99"/>
      <c r="V43" s="70"/>
      <c r="W43" s="74"/>
      <c r="X43" s="62"/>
      <c r="Y43" s="63"/>
      <c r="Z43" s="75"/>
      <c r="AA43" s="74"/>
      <c r="AB43" s="62"/>
      <c r="AC43" s="63"/>
      <c r="AD43" s="75"/>
      <c r="AE43" s="228">
        <f>ROUND((ROUND((_15_同援日０．５*_15・通訳),0)*(1+_15・A深夜)),0)+ROUND((ROUND((_15_同援日０．５＿０．５*_15・通訳),0)*(1+_15・B早朝)),0)+ROUND((_15_同援日０．５＿０．５＿２．０*_15・通訳),0)</f>
        <v>657</v>
      </c>
      <c r="AF43" s="69"/>
    </row>
    <row r="44" spans="1:32" ht="16.5" customHeight="1" x14ac:dyDescent="0.3">
      <c r="A44" s="2">
        <v>15</v>
      </c>
      <c r="B44" s="2" t="s">
        <v>4664</v>
      </c>
      <c r="C44" s="60" t="s">
        <v>15236</v>
      </c>
      <c r="D44" s="1"/>
      <c r="E44" s="68"/>
      <c r="F44" s="70"/>
      <c r="G44" s="1"/>
      <c r="H44" s="68"/>
      <c r="I44" s="70"/>
      <c r="J44" s="1" t="s">
        <v>17063</v>
      </c>
      <c r="K44" s="68"/>
      <c r="L44" s="70"/>
      <c r="M44" s="67"/>
      <c r="N44" s="68"/>
      <c r="O44" s="76"/>
      <c r="P44" s="83" t="s">
        <v>5895</v>
      </c>
      <c r="Q44" s="64" t="s">
        <v>1</v>
      </c>
      <c r="R44" s="65">
        <v>1</v>
      </c>
      <c r="S44" s="99"/>
      <c r="T44" s="70"/>
      <c r="U44" s="99"/>
      <c r="V44" s="70"/>
      <c r="W44" s="81"/>
      <c r="X44" s="57"/>
      <c r="Y44" s="58"/>
      <c r="Z44" s="77"/>
      <c r="AA44" s="1"/>
      <c r="AB44" s="68"/>
      <c r="AC44" s="76"/>
      <c r="AD44" s="70"/>
      <c r="AE44" s="228">
        <f>ROUND((ROUND((ROUND((_15_同援日０．５*_15・通訳),0)*_15・２人),0)*(1+_15・A深夜)),0)+ROUND((ROUND((ROUND((_15_同援日０．５＿０．５*_15・通訳),0)*_15・２人),0)*(1+_15・B早朝)),0)+ROUND((ROUND((_15_同援日０．５＿０．５＿２．０*_15・通訳),0)*_15・２人),0)</f>
        <v>657</v>
      </c>
      <c r="AF44" s="69"/>
    </row>
    <row r="45" spans="1:32" ht="16.5" customHeight="1" x14ac:dyDescent="0.3">
      <c r="A45" s="2">
        <v>15</v>
      </c>
      <c r="B45" s="2" t="s">
        <v>4665</v>
      </c>
      <c r="C45" s="60" t="s">
        <v>15235</v>
      </c>
      <c r="D45" s="1"/>
      <c r="E45" s="68"/>
      <c r="F45" s="70"/>
      <c r="G45" s="1"/>
      <c r="H45" s="68"/>
      <c r="I45" s="70"/>
      <c r="J45" s="1" t="s">
        <v>6448</v>
      </c>
      <c r="K45" s="68"/>
      <c r="L45" s="70"/>
      <c r="M45" s="67"/>
      <c r="N45" s="68"/>
      <c r="O45" s="76"/>
      <c r="P45" s="83"/>
      <c r="Q45" s="64"/>
      <c r="R45" s="65"/>
      <c r="S45" s="99"/>
      <c r="T45" s="70"/>
      <c r="U45" s="99"/>
      <c r="V45" s="70"/>
      <c r="W45" s="74" t="s">
        <v>18087</v>
      </c>
      <c r="X45" s="62"/>
      <c r="Y45" s="63"/>
      <c r="Z45" s="75"/>
      <c r="AA45" s="1"/>
      <c r="AB45" s="68"/>
      <c r="AC45" s="76"/>
      <c r="AD45" s="70"/>
      <c r="AE45" s="228">
        <f>ROUND((ROUND((ROUND((_15_同援日０．５*_15・通訳),0)*(1+_15・A深夜)),0)*(1+_15・盲ろう)),0)+ROUND((ROUND((ROUND((_15_同援日０．５＿０．５*_15・通訳),0)*(1+_15・B早朝)),0)*(1+_15・盲ろう)),0)+ROUND((ROUND((_15_同援日０．５＿０．５＿２．０*_15・通訳),0)*(1+_15・盲ろう)),0)</f>
        <v>821</v>
      </c>
      <c r="AF45" s="69"/>
    </row>
    <row r="46" spans="1:32" ht="16.5" customHeight="1" x14ac:dyDescent="0.3">
      <c r="A46" s="2">
        <v>15</v>
      </c>
      <c r="B46" s="2" t="s">
        <v>4666</v>
      </c>
      <c r="C46" s="60" t="s">
        <v>15234</v>
      </c>
      <c r="D46" s="1"/>
      <c r="E46" s="68"/>
      <c r="F46" s="70"/>
      <c r="G46" s="1"/>
      <c r="H46" s="68"/>
      <c r="I46" s="70"/>
      <c r="J46" s="1"/>
      <c r="K46" s="119">
        <v>319</v>
      </c>
      <c r="L46" s="70" t="s">
        <v>0</v>
      </c>
      <c r="M46" s="67"/>
      <c r="N46" s="68"/>
      <c r="O46" s="76"/>
      <c r="P46" s="83" t="s">
        <v>5895</v>
      </c>
      <c r="Q46" s="64" t="s">
        <v>1</v>
      </c>
      <c r="R46" s="65">
        <v>1</v>
      </c>
      <c r="S46" s="99"/>
      <c r="T46" s="70"/>
      <c r="U46" s="99"/>
      <c r="V46" s="70"/>
      <c r="W46" s="81" t="s">
        <v>18086</v>
      </c>
      <c r="X46" s="57" t="s">
        <v>1</v>
      </c>
      <c r="Y46" s="58">
        <v>0.25</v>
      </c>
      <c r="Z46" s="77" t="s">
        <v>422</v>
      </c>
      <c r="AA46" s="81"/>
      <c r="AB46" s="57"/>
      <c r="AC46" s="58"/>
      <c r="AD46" s="77"/>
      <c r="AE46" s="228">
        <f>ROUND((ROUND((ROUND((ROUND((_15_同援日０．５*_15・通訳),0)*_15・２人),0)*(1+_15・A深夜)),0)*(1+_15・盲ろう)),0)+ROUND((ROUND((ROUND((ROUND((_15_同援日０．５＿０．５*_15・通訳),0)*_15・２人),0)*(1+_15・B早朝)),0)*(1+_15・盲ろう)),0)+ROUND((ROUND((ROUND((_15_同援日０．５＿０．５＿２．０*_15・通訳),0)*_15・２人),0)*(1+_15・盲ろう)),0)</f>
        <v>821</v>
      </c>
      <c r="AF46" s="69"/>
    </row>
    <row r="47" spans="1:32" ht="16.5" customHeight="1" x14ac:dyDescent="0.3">
      <c r="A47" s="2">
        <v>15</v>
      </c>
      <c r="B47" s="2" t="s">
        <v>4667</v>
      </c>
      <c r="C47" s="60" t="s">
        <v>15233</v>
      </c>
      <c r="D47" s="1"/>
      <c r="E47" s="68"/>
      <c r="F47" s="70"/>
      <c r="G47" s="1"/>
      <c r="H47" s="68"/>
      <c r="I47" s="70"/>
      <c r="J47" s="1"/>
      <c r="K47" s="68"/>
      <c r="L47" s="70"/>
      <c r="M47" s="67"/>
      <c r="N47" s="68"/>
      <c r="O47" s="76"/>
      <c r="P47" s="83"/>
      <c r="Q47" s="64"/>
      <c r="R47" s="65"/>
      <c r="S47" s="99"/>
      <c r="T47" s="70"/>
      <c r="U47" s="99"/>
      <c r="V47" s="70"/>
      <c r="W47" s="74"/>
      <c r="X47" s="62"/>
      <c r="Y47" s="63"/>
      <c r="Z47" s="75"/>
      <c r="AA47" s="74" t="s">
        <v>18089</v>
      </c>
      <c r="AB47" s="62"/>
      <c r="AC47" s="63"/>
      <c r="AD47" s="75"/>
      <c r="AE47" s="228">
        <f>ROUND((ROUND((ROUND((_15_同援日０．５*_15・通訳),0)*(1+_15・A深夜)),0)*(1+_15・区３)),0)+ROUND((ROUND((ROUND((_15_同援日０．５＿０．５*_15・通訳),0)*(1+_15・B早朝)),0)*(1+_15・区３)),0)+ROUND((ROUND((_15_同援日０．５＿０．５＿２．０*_15・通訳),0)*(1+_15・区３)),0)</f>
        <v>788</v>
      </c>
      <c r="AF47" s="69"/>
    </row>
    <row r="48" spans="1:32" ht="16.5" customHeight="1" x14ac:dyDescent="0.3">
      <c r="A48" s="2">
        <v>15</v>
      </c>
      <c r="B48" s="2" t="s">
        <v>4668</v>
      </c>
      <c r="C48" s="60" t="s">
        <v>15232</v>
      </c>
      <c r="D48" s="1"/>
      <c r="E48" s="68"/>
      <c r="F48" s="70"/>
      <c r="G48" s="1"/>
      <c r="H48" s="68"/>
      <c r="I48" s="70"/>
      <c r="J48" s="1"/>
      <c r="K48" s="68"/>
      <c r="L48" s="70"/>
      <c r="M48" s="67"/>
      <c r="N48" s="68"/>
      <c r="O48" s="76"/>
      <c r="P48" s="83" t="s">
        <v>5895</v>
      </c>
      <c r="Q48" s="64" t="s">
        <v>1</v>
      </c>
      <c r="R48" s="65">
        <v>1</v>
      </c>
      <c r="S48" s="99"/>
      <c r="T48" s="70"/>
      <c r="U48" s="99"/>
      <c r="V48" s="70"/>
      <c r="W48" s="81"/>
      <c r="X48" s="57"/>
      <c r="Y48" s="58"/>
      <c r="Z48" s="77"/>
      <c r="AA48" s="1" t="s">
        <v>18084</v>
      </c>
      <c r="AB48" s="68"/>
      <c r="AC48" s="76"/>
      <c r="AD48" s="70"/>
      <c r="AE48" s="228">
        <f>ROUND((ROUND((ROUND((ROUND((_15_同援日０．５*_15・通訳),0)*_15・２人),0)*(1+_15・A深夜)),0)*(1+_15・区３)),0)+ROUND((ROUND((ROUND((ROUND((_15_同援日０．５＿０．５*_15・通訳),0)*_15・２人),0)*(1+_15・B早朝)),0)*(1+_15・区３)),0)+ROUND((ROUND((ROUND((_15_同援日０．５＿０．５＿２．０*_15・通訳),0)*_15・２人),0)*(1+_15・区３)),0)</f>
        <v>788</v>
      </c>
      <c r="AF48" s="69"/>
    </row>
    <row r="49" spans="1:32" ht="16.5" customHeight="1" x14ac:dyDescent="0.3">
      <c r="A49" s="2">
        <v>15</v>
      </c>
      <c r="B49" s="2" t="s">
        <v>4669</v>
      </c>
      <c r="C49" s="60" t="s">
        <v>15231</v>
      </c>
      <c r="D49" s="1"/>
      <c r="E49" s="68"/>
      <c r="F49" s="70"/>
      <c r="G49" s="1"/>
      <c r="H49" s="68"/>
      <c r="I49" s="70"/>
      <c r="J49" s="1"/>
      <c r="K49" s="68"/>
      <c r="L49" s="70"/>
      <c r="M49" s="67"/>
      <c r="N49" s="68"/>
      <c r="O49" s="76"/>
      <c r="P49" s="83"/>
      <c r="Q49" s="64"/>
      <c r="R49" s="65"/>
      <c r="S49" s="99"/>
      <c r="T49" s="70"/>
      <c r="U49" s="99"/>
      <c r="V49" s="70"/>
      <c r="W49" s="74" t="s">
        <v>18087</v>
      </c>
      <c r="X49" s="62"/>
      <c r="Y49" s="63"/>
      <c r="Z49" s="75"/>
      <c r="AA49" s="1"/>
      <c r="AB49" s="68" t="s">
        <v>1</v>
      </c>
      <c r="AC49" s="76">
        <v>0.2</v>
      </c>
      <c r="AD49" s="70" t="s">
        <v>422</v>
      </c>
      <c r="AE49" s="228">
        <f>ROUND((ROUND((ROUND((ROUND((_15_同援日０．５*_15・通訳),0)*(1+_15・A深夜)),0)*(1+_15・盲ろう)),0)*(1+_15・区３)),0)+ROUND((ROUND((ROUND((ROUND((_15_同援日０．５＿０．５*_15・通訳),0)*(1+_15・B早朝)),0)*(1+_15・盲ろう)),0)*(1+_15・区３)),0)+ROUND((ROUND((ROUND((_15_同援日０．５＿０．５＿２．０*_15・通訳),0)*(1+_15・盲ろう)),0)*(1+_15・区３)),0)</f>
        <v>985</v>
      </c>
      <c r="AF49" s="69"/>
    </row>
    <row r="50" spans="1:32" ht="16.5" customHeight="1" x14ac:dyDescent="0.3">
      <c r="A50" s="2">
        <v>15</v>
      </c>
      <c r="B50" s="2" t="s">
        <v>4670</v>
      </c>
      <c r="C50" s="60" t="s">
        <v>15230</v>
      </c>
      <c r="D50" s="1"/>
      <c r="E50" s="68"/>
      <c r="F50" s="70"/>
      <c r="G50" s="1"/>
      <c r="H50" s="68"/>
      <c r="I50" s="70"/>
      <c r="J50" s="1"/>
      <c r="K50" s="68"/>
      <c r="L50" s="70"/>
      <c r="M50" s="67"/>
      <c r="N50" s="68"/>
      <c r="O50" s="76"/>
      <c r="P50" s="83" t="s">
        <v>5895</v>
      </c>
      <c r="Q50" s="64" t="s">
        <v>1</v>
      </c>
      <c r="R50" s="65">
        <v>1</v>
      </c>
      <c r="S50" s="99"/>
      <c r="T50" s="70"/>
      <c r="U50" s="99"/>
      <c r="V50" s="70"/>
      <c r="W50" s="81" t="s">
        <v>18086</v>
      </c>
      <c r="X50" s="57" t="s">
        <v>1</v>
      </c>
      <c r="Y50" s="58">
        <v>0.25</v>
      </c>
      <c r="Z50" s="77" t="s">
        <v>422</v>
      </c>
      <c r="AA50" s="81"/>
      <c r="AB50" s="57"/>
      <c r="AC50" s="58"/>
      <c r="AD50" s="77"/>
      <c r="AE50" s="228">
        <f>ROUND((ROUND((ROUND((ROUND((ROUND((_15_同援日０．５*_15・通訳),0)*_15・２人),0)*(1+_15・A深夜)),0)*(1+_15・盲ろう)),0)*(1+_15・区３)),0)+ROUND((ROUND((ROUND((ROUND((ROUND((_15_同援日０．５＿０．５*_15・通訳),0)*_15・２人),0)*(1+_15・B早朝)),0)*(1+_15・盲ろう)),0)*(1+_15・区３)),0)+ROUND((ROUND((ROUND((ROUND((_15_同援日０．５＿０．５＿２．０*_15・通訳),0)*_15・２人),0)*(1+_15・盲ろう)),0)*(1+_15・区３)),0)</f>
        <v>985</v>
      </c>
      <c r="AF50" s="69"/>
    </row>
    <row r="51" spans="1:32" ht="16.5" customHeight="1" x14ac:dyDescent="0.3">
      <c r="A51" s="2">
        <v>15</v>
      </c>
      <c r="B51" s="2" t="s">
        <v>4671</v>
      </c>
      <c r="C51" s="60" t="s">
        <v>15229</v>
      </c>
      <c r="D51" s="1"/>
      <c r="E51" s="68"/>
      <c r="F51" s="70"/>
      <c r="G51" s="1"/>
      <c r="H51" s="68"/>
      <c r="I51" s="70"/>
      <c r="J51" s="1"/>
      <c r="K51" s="68"/>
      <c r="L51" s="70"/>
      <c r="M51" s="67"/>
      <c r="N51" s="68"/>
      <c r="O51" s="76"/>
      <c r="P51" s="83"/>
      <c r="Q51" s="64"/>
      <c r="R51" s="65"/>
      <c r="S51" s="99"/>
      <c r="T51" s="70"/>
      <c r="U51" s="99"/>
      <c r="V51" s="70"/>
      <c r="W51" s="74"/>
      <c r="X51" s="62"/>
      <c r="Y51" s="63"/>
      <c r="Z51" s="75"/>
      <c r="AA51" s="74" t="s">
        <v>18094</v>
      </c>
      <c r="AB51" s="62"/>
      <c r="AC51" s="63"/>
      <c r="AD51" s="75"/>
      <c r="AE51" s="228">
        <f>ROUND((ROUND((ROUND((_15_同援日０．５*_15・通訳),0)*(1+_15・A深夜)),0)*(1+_15・区４)),0)+ROUND((ROUND((ROUND((_15_同援日０．５＿０．５*_15・通訳),0)*(1+_15・B早朝)),0)*(1+_15・区４)),0)+ROUND((ROUND((_15_同援日０．５＿０．５＿２．０*_15・通訳),0)*(1+_15・区４)),0)</f>
        <v>920</v>
      </c>
      <c r="AF51" s="69"/>
    </row>
    <row r="52" spans="1:32" ht="16.5" customHeight="1" x14ac:dyDescent="0.3">
      <c r="A52" s="2">
        <v>15</v>
      </c>
      <c r="B52" s="2" t="s">
        <v>4672</v>
      </c>
      <c r="C52" s="60" t="s">
        <v>15228</v>
      </c>
      <c r="D52" s="1"/>
      <c r="E52" s="68"/>
      <c r="F52" s="70"/>
      <c r="G52" s="1"/>
      <c r="H52" s="68"/>
      <c r="I52" s="70"/>
      <c r="J52" s="1"/>
      <c r="K52" s="68"/>
      <c r="L52" s="70"/>
      <c r="M52" s="67"/>
      <c r="N52" s="68"/>
      <c r="O52" s="76"/>
      <c r="P52" s="83" t="s">
        <v>5895</v>
      </c>
      <c r="Q52" s="64" t="s">
        <v>1</v>
      </c>
      <c r="R52" s="65">
        <v>1</v>
      </c>
      <c r="S52" s="99"/>
      <c r="T52" s="70"/>
      <c r="U52" s="99"/>
      <c r="V52" s="70"/>
      <c r="W52" s="81"/>
      <c r="X52" s="57"/>
      <c r="Y52" s="58"/>
      <c r="Z52" s="77"/>
      <c r="AA52" s="1" t="s">
        <v>18084</v>
      </c>
      <c r="AB52" s="68"/>
      <c r="AC52" s="76"/>
      <c r="AD52" s="70"/>
      <c r="AE52" s="228">
        <f>ROUND((ROUND((ROUND((ROUND((_15_同援日０．５*_15・通訳),0)*_15・２人),0)*(1+_15・A深夜)),0)*(1+_15・区４)),0)+ROUND((ROUND((ROUND((ROUND((_15_同援日０．５＿０．５*_15・通訳),0)*_15・２人),0)*(1+_15・B早朝)),0)*(1+_15・区４)),0)+ROUND((ROUND((ROUND((_15_同援日０．５＿０．５＿２．０*_15・通訳),0)*_15・２人),0)*(1+_15・区４)),0)</f>
        <v>920</v>
      </c>
      <c r="AF52" s="69"/>
    </row>
    <row r="53" spans="1:32" ht="16.5" customHeight="1" x14ac:dyDescent="0.3">
      <c r="A53" s="2">
        <v>15</v>
      </c>
      <c r="B53" s="2" t="s">
        <v>4673</v>
      </c>
      <c r="C53" s="60" t="s">
        <v>15227</v>
      </c>
      <c r="D53" s="1"/>
      <c r="E53" s="68"/>
      <c r="F53" s="70"/>
      <c r="G53" s="1"/>
      <c r="H53" s="68"/>
      <c r="I53" s="70"/>
      <c r="J53" s="1"/>
      <c r="K53" s="68"/>
      <c r="L53" s="70"/>
      <c r="M53" s="67"/>
      <c r="N53" s="68"/>
      <c r="O53" s="76"/>
      <c r="P53" s="83"/>
      <c r="Q53" s="64"/>
      <c r="R53" s="65"/>
      <c r="S53" s="99"/>
      <c r="T53" s="70"/>
      <c r="U53" s="99"/>
      <c r="V53" s="70"/>
      <c r="W53" s="74" t="s">
        <v>18087</v>
      </c>
      <c r="X53" s="62"/>
      <c r="Y53" s="63"/>
      <c r="Z53" s="75"/>
      <c r="AA53" s="1"/>
      <c r="AB53" s="68" t="s">
        <v>1</v>
      </c>
      <c r="AC53" s="76">
        <v>0.4</v>
      </c>
      <c r="AD53" s="70" t="s">
        <v>422</v>
      </c>
      <c r="AE53" s="228">
        <f>ROUND((ROUND((ROUND((ROUND((_15_同援日０．５*_15・通訳),0)*(1+_15・A深夜)),0)*(1+_15・盲ろう)),0)*(1+_15・区４)),0)+ROUND((ROUND((ROUND((ROUND((_15_同援日０．５＿０．５*_15・通訳),0)*(1+_15・B早朝)),0)*(1+_15・盲ろう)),0)*(1+_15・区４)),0)+ROUND((ROUND((ROUND((_15_同援日０．５＿０．５＿２．０*_15・通訳),0)*(1+_15・盲ろう)),0)*(1+_15・区４)),0)</f>
        <v>1149</v>
      </c>
      <c r="AF53" s="69"/>
    </row>
    <row r="54" spans="1:32" ht="16.5" customHeight="1" x14ac:dyDescent="0.3">
      <c r="A54" s="2">
        <v>15</v>
      </c>
      <c r="B54" s="2" t="s">
        <v>4674</v>
      </c>
      <c r="C54" s="60" t="s">
        <v>15226</v>
      </c>
      <c r="D54" s="1"/>
      <c r="E54" s="68"/>
      <c r="F54" s="70"/>
      <c r="G54" s="81"/>
      <c r="H54" s="57"/>
      <c r="I54" s="77"/>
      <c r="J54" s="81"/>
      <c r="K54" s="57"/>
      <c r="L54" s="77"/>
      <c r="M54" s="67"/>
      <c r="N54" s="68"/>
      <c r="O54" s="76"/>
      <c r="P54" s="83" t="s">
        <v>5895</v>
      </c>
      <c r="Q54" s="64" t="s">
        <v>1</v>
      </c>
      <c r="R54" s="65">
        <v>1</v>
      </c>
      <c r="S54" s="99"/>
      <c r="T54" s="70"/>
      <c r="U54" s="99"/>
      <c r="V54" s="70"/>
      <c r="W54" s="81" t="s">
        <v>18086</v>
      </c>
      <c r="X54" s="57" t="s">
        <v>1</v>
      </c>
      <c r="Y54" s="58">
        <v>0.25</v>
      </c>
      <c r="Z54" s="77" t="s">
        <v>422</v>
      </c>
      <c r="AA54" s="81"/>
      <c r="AB54" s="57"/>
      <c r="AC54" s="58"/>
      <c r="AD54" s="77"/>
      <c r="AE54" s="228">
        <f>ROUND((ROUND((ROUND((ROUND((ROUND((_15_同援日０．５*_15・通訳),0)*_15・２人),0)*(1+_15・A深夜)),0)*(1+_15・盲ろう)),0)*(1+_15・区４)),0)+ROUND((ROUND((ROUND((ROUND((ROUND((_15_同援日０．５＿０．５*_15・通訳),0)*_15・２人),0)*(1+_15・B早朝)),0)*(1+_15・盲ろう)),0)*(1+_15・区４)),0)+ROUND((ROUND((ROUND((ROUND((_15_同援日０．５＿０．５＿２．０*_15・通訳),0)*_15・２人),0)*(1+_15・盲ろう)),0)*(1+_15・区４)),0)</f>
        <v>1149</v>
      </c>
      <c r="AF54" s="69"/>
    </row>
    <row r="55" spans="1:32" ht="16.5" customHeight="1" x14ac:dyDescent="0.3">
      <c r="A55" s="2">
        <v>15</v>
      </c>
      <c r="B55" s="2" t="s">
        <v>4675</v>
      </c>
      <c r="C55" s="60" t="s">
        <v>15225</v>
      </c>
      <c r="D55" s="1"/>
      <c r="E55" s="68"/>
      <c r="F55" s="70"/>
      <c r="G55" s="233" t="s">
        <v>18363</v>
      </c>
      <c r="H55" s="62"/>
      <c r="I55" s="75"/>
      <c r="J55" s="74" t="s">
        <v>17105</v>
      </c>
      <c r="K55" s="62"/>
      <c r="L55" s="75"/>
      <c r="M55" s="67"/>
      <c r="N55" s="68"/>
      <c r="O55" s="76"/>
      <c r="P55" s="83"/>
      <c r="Q55" s="64"/>
      <c r="R55" s="65"/>
      <c r="S55" s="99"/>
      <c r="T55" s="70"/>
      <c r="U55" s="99"/>
      <c r="V55" s="70"/>
      <c r="W55" s="74"/>
      <c r="X55" s="62"/>
      <c r="Y55" s="63"/>
      <c r="Z55" s="75"/>
      <c r="AA55" s="74"/>
      <c r="AB55" s="62"/>
      <c r="AC55" s="63"/>
      <c r="AD55" s="75"/>
      <c r="AE55" s="228">
        <f>ROUND((ROUND((_15_同援日０．５*_15・通訳),0)*(1+_15・A深夜)),0)+ROUND((ROUND((_15_同援日０．５＿１．０*_15・通訳),0)*(1+_15・B早朝)),0)+ROUND((_15_同援日０．５＿１．０＿０．５*_15・通訳),0)</f>
        <v>573</v>
      </c>
      <c r="AF55" s="69"/>
    </row>
    <row r="56" spans="1:32" ht="16.5" customHeight="1" x14ac:dyDescent="0.3">
      <c r="A56" s="2">
        <v>15</v>
      </c>
      <c r="B56" s="2" t="s">
        <v>4676</v>
      </c>
      <c r="C56" s="60" t="s">
        <v>15224</v>
      </c>
      <c r="D56" s="1"/>
      <c r="E56" s="68"/>
      <c r="F56" s="70"/>
      <c r="G56" s="1" t="s">
        <v>18360</v>
      </c>
      <c r="H56" s="68"/>
      <c r="I56" s="70"/>
      <c r="J56" s="1" t="s">
        <v>7928</v>
      </c>
      <c r="K56" s="68"/>
      <c r="L56" s="70"/>
      <c r="M56" s="67"/>
      <c r="N56" s="68"/>
      <c r="O56" s="76"/>
      <c r="P56" s="83" t="s">
        <v>5895</v>
      </c>
      <c r="Q56" s="64" t="s">
        <v>1</v>
      </c>
      <c r="R56" s="65">
        <v>1</v>
      </c>
      <c r="S56" s="99"/>
      <c r="T56" s="70"/>
      <c r="U56" s="99"/>
      <c r="V56" s="70"/>
      <c r="W56" s="81"/>
      <c r="X56" s="57"/>
      <c r="Y56" s="58"/>
      <c r="Z56" s="77"/>
      <c r="AA56" s="1"/>
      <c r="AB56" s="68"/>
      <c r="AC56" s="76"/>
      <c r="AD56" s="70"/>
      <c r="AE56" s="228">
        <f>ROUND((ROUND((ROUND((_15_同援日０．５*_15・通訳),0)*_15・２人),0)*(1+_15・A深夜)),0)+ROUND((ROUND((ROUND((_15_同援日０．５＿１．０*_15・通訳),0)*_15・２人),0)*(1+_15・B早朝)),0)+ROUND((ROUND((_15_同援日０．５＿１．０＿０．５*_15・通訳),0)*_15・２人),0)</f>
        <v>573</v>
      </c>
      <c r="AF56" s="69"/>
    </row>
    <row r="57" spans="1:32" ht="16.5" customHeight="1" x14ac:dyDescent="0.3">
      <c r="A57" s="2">
        <v>15</v>
      </c>
      <c r="B57" s="2" t="s">
        <v>4677</v>
      </c>
      <c r="C57" s="60" t="s">
        <v>15223</v>
      </c>
      <c r="D57" s="1"/>
      <c r="E57" s="68"/>
      <c r="F57" s="70"/>
      <c r="G57" s="1" t="s">
        <v>8572</v>
      </c>
      <c r="H57" s="68"/>
      <c r="I57" s="70"/>
      <c r="J57" s="1"/>
      <c r="K57" s="68"/>
      <c r="L57" s="70"/>
      <c r="M57" s="67"/>
      <c r="N57" s="68"/>
      <c r="O57" s="76"/>
      <c r="P57" s="83"/>
      <c r="Q57" s="64"/>
      <c r="R57" s="65"/>
      <c r="S57" s="99"/>
      <c r="T57" s="70"/>
      <c r="U57" s="99"/>
      <c r="V57" s="70"/>
      <c r="W57" s="74" t="s">
        <v>18087</v>
      </c>
      <c r="X57" s="62"/>
      <c r="Y57" s="63"/>
      <c r="Z57" s="75"/>
      <c r="AA57" s="1"/>
      <c r="AB57" s="68"/>
      <c r="AC57" s="76"/>
      <c r="AD57" s="70"/>
      <c r="AE57" s="228">
        <f>ROUND((ROUND((ROUND((_15_同援日０．５*_15・通訳),0)*(1+_15・A深夜)),0)*(1+_15・盲ろう)),0)+ROUND((ROUND((ROUND((_15_同援日０．５＿１．０*_15・通訳),0)*(1+_15・B早朝)),0)*(1+_15・盲ろう)),0)+ROUND((ROUND((_15_同援日０．５＿１．０＿０．５*_15・通訳),0)*(1+_15・盲ろう)),0)</f>
        <v>717</v>
      </c>
      <c r="AF57" s="69"/>
    </row>
    <row r="58" spans="1:32" ht="16.5" customHeight="1" x14ac:dyDescent="0.3">
      <c r="A58" s="2">
        <v>15</v>
      </c>
      <c r="B58" s="2" t="s">
        <v>4678</v>
      </c>
      <c r="C58" s="60" t="s">
        <v>15222</v>
      </c>
      <c r="D58" s="1"/>
      <c r="E58" s="68"/>
      <c r="F58" s="70"/>
      <c r="G58" s="1"/>
      <c r="H58" s="227">
        <v>237</v>
      </c>
      <c r="I58" s="70" t="s">
        <v>0</v>
      </c>
      <c r="J58" s="1"/>
      <c r="K58" s="227">
        <v>64</v>
      </c>
      <c r="L58" s="70" t="s">
        <v>0</v>
      </c>
      <c r="M58" s="67"/>
      <c r="N58" s="68"/>
      <c r="O58" s="76"/>
      <c r="P58" s="83" t="s">
        <v>5895</v>
      </c>
      <c r="Q58" s="64" t="s">
        <v>1</v>
      </c>
      <c r="R58" s="65">
        <v>1</v>
      </c>
      <c r="S58" s="99"/>
      <c r="T58" s="70"/>
      <c r="U58" s="99"/>
      <c r="V58" s="70"/>
      <c r="W58" s="81" t="s">
        <v>18086</v>
      </c>
      <c r="X58" s="57" t="s">
        <v>1</v>
      </c>
      <c r="Y58" s="58">
        <v>0.25</v>
      </c>
      <c r="Z58" s="77" t="s">
        <v>422</v>
      </c>
      <c r="AA58" s="81"/>
      <c r="AB58" s="57"/>
      <c r="AC58" s="58"/>
      <c r="AD58" s="77"/>
      <c r="AE58" s="228">
        <f>ROUND((ROUND((ROUND((ROUND((_15_同援日０．５*_15・通訳),0)*_15・２人),0)*(1+_15・A深夜)),0)*(1+_15・盲ろう)),0)+ROUND((ROUND((ROUND((ROUND((_15_同援日０．５＿１．０*_15・通訳),0)*_15・２人),0)*(1+_15・B早朝)),0)*(1+_15・盲ろう)),0)+ROUND((ROUND((ROUND((_15_同援日０．５＿１．０＿０．５*_15・通訳),0)*_15・２人),0)*(1+_15・盲ろう)),0)</f>
        <v>717</v>
      </c>
      <c r="AF58" s="69"/>
    </row>
    <row r="59" spans="1:32" ht="16.5" customHeight="1" x14ac:dyDescent="0.3">
      <c r="A59" s="2">
        <v>15</v>
      </c>
      <c r="B59" s="2" t="s">
        <v>4679</v>
      </c>
      <c r="C59" s="60" t="s">
        <v>15221</v>
      </c>
      <c r="D59" s="1"/>
      <c r="E59" s="68"/>
      <c r="F59" s="70"/>
      <c r="G59" s="1"/>
      <c r="H59" s="68"/>
      <c r="I59" s="70"/>
      <c r="J59" s="1"/>
      <c r="K59" s="68"/>
      <c r="L59" s="70"/>
      <c r="M59" s="67"/>
      <c r="N59" s="68"/>
      <c r="O59" s="76"/>
      <c r="P59" s="83"/>
      <c r="Q59" s="64"/>
      <c r="R59" s="65"/>
      <c r="S59" s="99"/>
      <c r="T59" s="70"/>
      <c r="U59" s="99"/>
      <c r="V59" s="70"/>
      <c r="W59" s="74"/>
      <c r="X59" s="62"/>
      <c r="Y59" s="63"/>
      <c r="Z59" s="75"/>
      <c r="AA59" s="74" t="s">
        <v>18089</v>
      </c>
      <c r="AB59" s="62"/>
      <c r="AC59" s="63"/>
      <c r="AD59" s="75"/>
      <c r="AE59" s="228">
        <f>ROUND((ROUND((ROUND((_15_同援日０．５*_15・通訳),0)*(1+_15・A深夜)),0)*(1+_15・区３)),0)+ROUND((ROUND((ROUND((_15_同援日０．５＿１．０*_15・通訳),0)*(1+_15・B早朝)),0)*(1+_15・区３)),0)+ROUND((ROUND((_15_同援日０．５＿１．０＿０．５*_15・通訳),0)*(1+_15・区３)),0)</f>
        <v>688</v>
      </c>
      <c r="AF59" s="69"/>
    </row>
    <row r="60" spans="1:32" ht="16.5" customHeight="1" x14ac:dyDescent="0.3">
      <c r="A60" s="2">
        <v>15</v>
      </c>
      <c r="B60" s="2" t="s">
        <v>4680</v>
      </c>
      <c r="C60" s="60" t="s">
        <v>15220</v>
      </c>
      <c r="D60" s="1"/>
      <c r="E60" s="68"/>
      <c r="F60" s="70"/>
      <c r="G60" s="1"/>
      <c r="H60" s="68"/>
      <c r="I60" s="70"/>
      <c r="J60" s="1"/>
      <c r="K60" s="68"/>
      <c r="L60" s="70"/>
      <c r="M60" s="67"/>
      <c r="N60" s="68"/>
      <c r="O60" s="76"/>
      <c r="P60" s="83" t="s">
        <v>5895</v>
      </c>
      <c r="Q60" s="64" t="s">
        <v>1</v>
      </c>
      <c r="R60" s="65">
        <v>1</v>
      </c>
      <c r="S60" s="99"/>
      <c r="T60" s="70"/>
      <c r="U60" s="99"/>
      <c r="V60" s="70"/>
      <c r="W60" s="81"/>
      <c r="X60" s="57"/>
      <c r="Y60" s="58"/>
      <c r="Z60" s="77"/>
      <c r="AA60" s="1" t="s">
        <v>18112</v>
      </c>
      <c r="AB60" s="68"/>
      <c r="AC60" s="76"/>
      <c r="AD60" s="70"/>
      <c r="AE60" s="228">
        <f>ROUND((ROUND((ROUND((ROUND((_15_同援日０．５*_15・通訳),0)*_15・２人),0)*(1+_15・A深夜)),0)*(1+_15・区３)),0)+ROUND((ROUND((ROUND((ROUND((_15_同援日０．５＿１．０*_15・通訳),0)*_15・２人),0)*(1+_15・B早朝)),0)*(1+_15・区３)),0)+ROUND((ROUND((ROUND((_15_同援日０．５＿１．０＿０．５*_15・通訳),0)*_15・２人),0)*(1+_15・区３)),0)</f>
        <v>688</v>
      </c>
      <c r="AF60" s="69"/>
    </row>
    <row r="61" spans="1:32" ht="16.5" customHeight="1" x14ac:dyDescent="0.3">
      <c r="A61" s="2">
        <v>15</v>
      </c>
      <c r="B61" s="2" t="s">
        <v>4681</v>
      </c>
      <c r="C61" s="60" t="s">
        <v>15219</v>
      </c>
      <c r="D61" s="1"/>
      <c r="E61" s="68"/>
      <c r="F61" s="70"/>
      <c r="G61" s="1"/>
      <c r="H61" s="68"/>
      <c r="I61" s="70"/>
      <c r="J61" s="1"/>
      <c r="K61" s="68"/>
      <c r="L61" s="70"/>
      <c r="M61" s="67"/>
      <c r="N61" s="68"/>
      <c r="O61" s="76"/>
      <c r="P61" s="83"/>
      <c r="Q61" s="64"/>
      <c r="R61" s="65"/>
      <c r="S61" s="99"/>
      <c r="T61" s="70"/>
      <c r="U61" s="99"/>
      <c r="V61" s="70"/>
      <c r="W61" s="74" t="s">
        <v>18087</v>
      </c>
      <c r="X61" s="62"/>
      <c r="Y61" s="63"/>
      <c r="Z61" s="75"/>
      <c r="AA61" s="1"/>
      <c r="AB61" s="68" t="s">
        <v>1</v>
      </c>
      <c r="AC61" s="76">
        <v>0.2</v>
      </c>
      <c r="AD61" s="70" t="s">
        <v>422</v>
      </c>
      <c r="AE61" s="228">
        <f>ROUND((ROUND((ROUND((ROUND((_15_同援日０．５*_15・通訳),0)*(1+_15・A深夜)),0)*(1+_15・盲ろう)),0)*(1+_15・区３)),0)+ROUND((ROUND((ROUND((ROUND((_15_同援日０．５＿１．０*_15・通訳),0)*(1+_15・B早朝)),0)*(1+_15・盲ろう)),0)*(1+_15・区３)),0)+ROUND((ROUND((ROUND((_15_同援日０．５＿１．０＿０．５*_15・通訳),0)*(1+_15・盲ろう)),0)*(1+_15・区３)),0)</f>
        <v>861</v>
      </c>
      <c r="AF61" s="69"/>
    </row>
    <row r="62" spans="1:32" ht="16.5" customHeight="1" x14ac:dyDescent="0.3">
      <c r="A62" s="2">
        <v>15</v>
      </c>
      <c r="B62" s="2" t="s">
        <v>4682</v>
      </c>
      <c r="C62" s="60" t="s">
        <v>15218</v>
      </c>
      <c r="D62" s="1"/>
      <c r="E62" s="68"/>
      <c r="F62" s="70"/>
      <c r="G62" s="1"/>
      <c r="H62" s="68"/>
      <c r="I62" s="70"/>
      <c r="J62" s="1"/>
      <c r="K62" s="68"/>
      <c r="L62" s="70"/>
      <c r="M62" s="67"/>
      <c r="N62" s="68"/>
      <c r="O62" s="76"/>
      <c r="P62" s="83" t="s">
        <v>5895</v>
      </c>
      <c r="Q62" s="64" t="s">
        <v>1</v>
      </c>
      <c r="R62" s="65">
        <v>1</v>
      </c>
      <c r="S62" s="99"/>
      <c r="T62" s="70"/>
      <c r="U62" s="99"/>
      <c r="V62" s="70"/>
      <c r="W62" s="81" t="s">
        <v>18115</v>
      </c>
      <c r="X62" s="57" t="s">
        <v>1</v>
      </c>
      <c r="Y62" s="58">
        <v>0.25</v>
      </c>
      <c r="Z62" s="77" t="s">
        <v>422</v>
      </c>
      <c r="AA62" s="81"/>
      <c r="AB62" s="57"/>
      <c r="AC62" s="58"/>
      <c r="AD62" s="77"/>
      <c r="AE62" s="228">
        <f>ROUND((ROUND((ROUND((ROUND((ROUND((_15_同援日０．５*_15・通訳),0)*_15・２人),0)*(1+_15・A深夜)),0)*(1+_15・盲ろう)),0)*(1+_15・区３)),0)+ROUND((ROUND((ROUND((ROUND((ROUND((_15_同援日０．５＿１．０*_15・通訳),0)*_15・２人),0)*(1+_15・B早朝)),0)*(1+_15・盲ろう)),0)*(1+_15・区３)),0)+ROUND((ROUND((ROUND((ROUND((_15_同援日０．５＿１．０＿０．５*_15・通訳),0)*_15・２人),0)*(1+_15・盲ろう)),0)*(1+_15・区３)),0)</f>
        <v>861</v>
      </c>
      <c r="AF62" s="69"/>
    </row>
    <row r="63" spans="1:32" ht="16.5" customHeight="1" x14ac:dyDescent="0.3">
      <c r="A63" s="2">
        <v>15</v>
      </c>
      <c r="B63" s="2" t="s">
        <v>4683</v>
      </c>
      <c r="C63" s="60" t="s">
        <v>15217</v>
      </c>
      <c r="D63" s="1"/>
      <c r="E63" s="68"/>
      <c r="F63" s="70"/>
      <c r="G63" s="1"/>
      <c r="H63" s="68"/>
      <c r="I63" s="70"/>
      <c r="J63" s="1"/>
      <c r="K63" s="68"/>
      <c r="L63" s="70"/>
      <c r="M63" s="67"/>
      <c r="N63" s="68"/>
      <c r="O63" s="76"/>
      <c r="P63" s="83"/>
      <c r="Q63" s="64"/>
      <c r="R63" s="65"/>
      <c r="S63" s="99"/>
      <c r="T63" s="70"/>
      <c r="U63" s="99"/>
      <c r="V63" s="70"/>
      <c r="W63" s="74"/>
      <c r="X63" s="62"/>
      <c r="Y63" s="63"/>
      <c r="Z63" s="75"/>
      <c r="AA63" s="74" t="s">
        <v>18094</v>
      </c>
      <c r="AB63" s="62"/>
      <c r="AC63" s="63"/>
      <c r="AD63" s="75"/>
      <c r="AE63" s="228">
        <f>ROUND((ROUND((ROUND((_15_同援日０．５*_15・通訳),0)*(1+_15・A深夜)),0)*(1+_15・区４)),0)+ROUND((ROUND((ROUND((_15_同援日０．５＿１．０*_15・通訳),0)*(1+_15・B早朝)),0)*(1+_15・区４)),0)+ROUND((ROUND((_15_同援日０．５＿１．０＿０．５*_15・通訳),0)*(1+_15・区４)),0)</f>
        <v>802</v>
      </c>
      <c r="AF63" s="69"/>
    </row>
    <row r="64" spans="1:32" ht="16.5" customHeight="1" x14ac:dyDescent="0.3">
      <c r="A64" s="2">
        <v>15</v>
      </c>
      <c r="B64" s="2" t="s">
        <v>4684</v>
      </c>
      <c r="C64" s="60" t="s">
        <v>15216</v>
      </c>
      <c r="D64" s="1"/>
      <c r="E64" s="68"/>
      <c r="F64" s="70"/>
      <c r="G64" s="1"/>
      <c r="H64" s="68"/>
      <c r="I64" s="70"/>
      <c r="J64" s="1"/>
      <c r="K64" s="68"/>
      <c r="L64" s="70"/>
      <c r="M64" s="67"/>
      <c r="N64" s="68"/>
      <c r="O64" s="76"/>
      <c r="P64" s="83" t="s">
        <v>5895</v>
      </c>
      <c r="Q64" s="64" t="s">
        <v>1</v>
      </c>
      <c r="R64" s="65">
        <v>1</v>
      </c>
      <c r="S64" s="99"/>
      <c r="T64" s="70"/>
      <c r="U64" s="99"/>
      <c r="V64" s="70"/>
      <c r="W64" s="81"/>
      <c r="X64" s="57"/>
      <c r="Y64" s="58"/>
      <c r="Z64" s="77"/>
      <c r="AA64" s="1" t="s">
        <v>18084</v>
      </c>
      <c r="AB64" s="68"/>
      <c r="AC64" s="76"/>
      <c r="AD64" s="70"/>
      <c r="AE64" s="228">
        <f>ROUND((ROUND((ROUND((ROUND((_15_同援日０．５*_15・通訳),0)*_15・２人),0)*(1+_15・A深夜)),0)*(1+_15・区４)),0)+ROUND((ROUND((ROUND((ROUND((_15_同援日０．５＿１．０*_15・通訳),0)*_15・２人),0)*(1+_15・B早朝)),0)*(1+_15・区４)),0)+ROUND((ROUND((ROUND((_15_同援日０．５＿１．０＿０．５*_15・通訳),0)*_15・２人),0)*(1+_15・区４)),0)</f>
        <v>802</v>
      </c>
      <c r="AF64" s="69"/>
    </row>
    <row r="65" spans="1:32" ht="16.5" customHeight="1" x14ac:dyDescent="0.3">
      <c r="A65" s="2">
        <v>15</v>
      </c>
      <c r="B65" s="2" t="s">
        <v>4685</v>
      </c>
      <c r="C65" s="60" t="s">
        <v>15215</v>
      </c>
      <c r="D65" s="1"/>
      <c r="E65" s="68"/>
      <c r="F65" s="70"/>
      <c r="G65" s="1"/>
      <c r="H65" s="68"/>
      <c r="I65" s="70"/>
      <c r="J65" s="1"/>
      <c r="K65" s="68"/>
      <c r="L65" s="70"/>
      <c r="M65" s="67"/>
      <c r="N65" s="68"/>
      <c r="O65" s="76"/>
      <c r="P65" s="83"/>
      <c r="Q65" s="64"/>
      <c r="R65" s="65"/>
      <c r="S65" s="99"/>
      <c r="T65" s="70"/>
      <c r="U65" s="99"/>
      <c r="V65" s="70"/>
      <c r="W65" s="74" t="s">
        <v>18087</v>
      </c>
      <c r="X65" s="62"/>
      <c r="Y65" s="63"/>
      <c r="Z65" s="75"/>
      <c r="AA65" s="1"/>
      <c r="AB65" s="68" t="s">
        <v>1</v>
      </c>
      <c r="AC65" s="76">
        <v>0.4</v>
      </c>
      <c r="AD65" s="70" t="s">
        <v>422</v>
      </c>
      <c r="AE65" s="228">
        <f>ROUND((ROUND((ROUND((ROUND((_15_同援日０．５*_15・通訳),0)*(1+_15・A深夜)),0)*(1+_15・盲ろう)),0)*(1+_15・区４)),0)+ROUND((ROUND((ROUND((ROUND((_15_同援日０．５＿１．０*_15・通訳),0)*(1+_15・B早朝)),0)*(1+_15・盲ろう)),0)*(1+_15・区４)),0)+ROUND((ROUND((ROUND((_15_同援日０．５＿１．０＿０．５*_15・通訳),0)*(1+_15・盲ろう)),0)*(1+_15・区４)),0)</f>
        <v>1003</v>
      </c>
      <c r="AF65" s="69"/>
    </row>
    <row r="66" spans="1:32" ht="16.5" customHeight="1" x14ac:dyDescent="0.3">
      <c r="A66" s="2">
        <v>15</v>
      </c>
      <c r="B66" s="2" t="s">
        <v>4686</v>
      </c>
      <c r="C66" s="60" t="s">
        <v>15214</v>
      </c>
      <c r="D66" s="1"/>
      <c r="E66" s="68"/>
      <c r="F66" s="70"/>
      <c r="G66" s="1"/>
      <c r="H66" s="68"/>
      <c r="I66" s="70"/>
      <c r="J66" s="81"/>
      <c r="K66" s="57"/>
      <c r="L66" s="77"/>
      <c r="M66" s="67"/>
      <c r="N66" s="68"/>
      <c r="O66" s="76"/>
      <c r="P66" s="83" t="s">
        <v>5895</v>
      </c>
      <c r="Q66" s="64" t="s">
        <v>1</v>
      </c>
      <c r="R66" s="65">
        <v>1</v>
      </c>
      <c r="S66" s="99"/>
      <c r="T66" s="70"/>
      <c r="U66" s="99"/>
      <c r="V66" s="70"/>
      <c r="W66" s="81" t="s">
        <v>18115</v>
      </c>
      <c r="X66" s="57" t="s">
        <v>1</v>
      </c>
      <c r="Y66" s="58">
        <v>0.25</v>
      </c>
      <c r="Z66" s="77" t="s">
        <v>422</v>
      </c>
      <c r="AA66" s="81"/>
      <c r="AB66" s="57"/>
      <c r="AC66" s="58"/>
      <c r="AD66" s="77"/>
      <c r="AE66" s="228">
        <f>ROUND((ROUND((ROUND((ROUND((ROUND((_15_同援日０．５*_15・通訳),0)*_15・２人),0)*(1+_15・A深夜)),0)*(1+_15・盲ろう)),0)*(1+_15・区４)),0)+ROUND((ROUND((ROUND((ROUND((ROUND((_15_同援日０．５＿１．０*_15・通訳),0)*_15・２人),0)*(1+_15・B早朝)),0)*(1+_15・盲ろう)),0)*(1+_15・区４)),0)+ROUND((ROUND((ROUND((ROUND((_15_同援日０．５＿１．０＿０．５*_15・通訳),0)*_15・２人),0)*(1+_15・盲ろう)),0)*(1+_15・区４)),0)</f>
        <v>1003</v>
      </c>
      <c r="AF66" s="69"/>
    </row>
    <row r="67" spans="1:32" ht="16.5" customHeight="1" x14ac:dyDescent="0.3">
      <c r="A67" s="2">
        <v>15</v>
      </c>
      <c r="B67" s="2" t="s">
        <v>4687</v>
      </c>
      <c r="C67" s="60" t="s">
        <v>15213</v>
      </c>
      <c r="D67" s="1"/>
      <c r="E67" s="68"/>
      <c r="F67" s="70"/>
      <c r="G67" s="1"/>
      <c r="H67" s="68"/>
      <c r="I67" s="70"/>
      <c r="J67" s="74" t="s">
        <v>17106</v>
      </c>
      <c r="K67" s="62"/>
      <c r="L67" s="75"/>
      <c r="M67" s="67"/>
      <c r="N67" s="68"/>
      <c r="O67" s="76"/>
      <c r="P67" s="83"/>
      <c r="Q67" s="64"/>
      <c r="R67" s="65"/>
      <c r="S67" s="99"/>
      <c r="T67" s="70"/>
      <c r="U67" s="99"/>
      <c r="V67" s="70"/>
      <c r="W67" s="74"/>
      <c r="X67" s="62"/>
      <c r="Y67" s="63"/>
      <c r="Z67" s="75"/>
      <c r="AA67" s="74"/>
      <c r="AB67" s="62"/>
      <c r="AC67" s="63"/>
      <c r="AD67" s="75"/>
      <c r="AE67" s="228">
        <f>ROUND((ROUND((_15_同援日０．５*_15・通訳),0)*(1+_15・A深夜)),0)+ROUND((ROUND((_15_同援日０．５＿１．０*_15・通訳),0)*(1+_15・B早朝)),0)+ROUND((_15_同援日０．５＿１．０＿１．０*_15・通訳),0)</f>
        <v>629</v>
      </c>
      <c r="AF67" s="69"/>
    </row>
    <row r="68" spans="1:32" ht="16.5" customHeight="1" x14ac:dyDescent="0.3">
      <c r="A68" s="2">
        <v>15</v>
      </c>
      <c r="B68" s="2" t="s">
        <v>4688</v>
      </c>
      <c r="C68" s="60" t="s">
        <v>15212</v>
      </c>
      <c r="D68" s="1"/>
      <c r="E68" s="68"/>
      <c r="F68" s="70"/>
      <c r="G68" s="1"/>
      <c r="H68" s="68"/>
      <c r="I68" s="70"/>
      <c r="J68" s="1" t="s">
        <v>17067</v>
      </c>
      <c r="K68" s="68"/>
      <c r="L68" s="70"/>
      <c r="M68" s="67"/>
      <c r="N68" s="68"/>
      <c r="O68" s="76"/>
      <c r="P68" s="83" t="s">
        <v>5895</v>
      </c>
      <c r="Q68" s="64" t="s">
        <v>1</v>
      </c>
      <c r="R68" s="65">
        <v>1</v>
      </c>
      <c r="S68" s="99"/>
      <c r="T68" s="70"/>
      <c r="U68" s="99"/>
      <c r="V68" s="70"/>
      <c r="W68" s="81"/>
      <c r="X68" s="57"/>
      <c r="Y68" s="58"/>
      <c r="Z68" s="77"/>
      <c r="AA68" s="1"/>
      <c r="AB68" s="68"/>
      <c r="AC68" s="76"/>
      <c r="AD68" s="70"/>
      <c r="AE68" s="228">
        <f>ROUND((ROUND((ROUND((_15_同援日０．５*_15・通訳),0)*_15・２人),0)*(1+_15・A深夜)),0)+ROUND((ROUND((ROUND((_15_同援日０．５＿１．０*_15・通訳),0)*_15・２人),0)*(1+_15・B早朝)),0)+ROUND((ROUND((_15_同援日０．５＿１．０＿１．０*_15・通訳),0)*_15・２人),0)</f>
        <v>629</v>
      </c>
      <c r="AF68" s="69"/>
    </row>
    <row r="69" spans="1:32" ht="16.5" customHeight="1" x14ac:dyDescent="0.3">
      <c r="A69" s="2">
        <v>15</v>
      </c>
      <c r="B69" s="2" t="s">
        <v>4689</v>
      </c>
      <c r="C69" s="60" t="s">
        <v>15211</v>
      </c>
      <c r="D69" s="1"/>
      <c r="E69" s="68"/>
      <c r="F69" s="70"/>
      <c r="G69" s="1"/>
      <c r="H69" s="68"/>
      <c r="I69" s="70"/>
      <c r="J69" s="1" t="s">
        <v>8572</v>
      </c>
      <c r="K69" s="68"/>
      <c r="L69" s="70"/>
      <c r="M69" s="67"/>
      <c r="N69" s="68"/>
      <c r="O69" s="76"/>
      <c r="P69" s="83"/>
      <c r="Q69" s="64"/>
      <c r="R69" s="65"/>
      <c r="S69" s="99"/>
      <c r="T69" s="70"/>
      <c r="U69" s="99"/>
      <c r="V69" s="70"/>
      <c r="W69" s="74" t="s">
        <v>18087</v>
      </c>
      <c r="X69" s="62"/>
      <c r="Y69" s="63"/>
      <c r="Z69" s="75"/>
      <c r="AA69" s="1"/>
      <c r="AB69" s="68"/>
      <c r="AC69" s="76"/>
      <c r="AD69" s="70"/>
      <c r="AE69" s="228">
        <f>ROUND((ROUND((ROUND((_15_同援日０．５*_15・通訳),0)*(1+_15・A深夜)),0)*(1+_15・盲ろう)),0)+ROUND((ROUND((ROUND((_15_同援日０．５＿１．０*_15・通訳),0)*(1+_15・B早朝)),0)*(1+_15・盲ろう)),0)+ROUND((ROUND((_15_同援日０．５＿１．０＿１．０*_15・通訳),0)*(1+_15・盲ろう)),0)</f>
        <v>787</v>
      </c>
      <c r="AF69" s="69"/>
    </row>
    <row r="70" spans="1:32" ht="16.5" customHeight="1" x14ac:dyDescent="0.3">
      <c r="A70" s="2">
        <v>15</v>
      </c>
      <c r="B70" s="2" t="s">
        <v>4690</v>
      </c>
      <c r="C70" s="60" t="s">
        <v>15210</v>
      </c>
      <c r="D70" s="1"/>
      <c r="E70" s="68"/>
      <c r="F70" s="70"/>
      <c r="G70" s="1"/>
      <c r="H70" s="68"/>
      <c r="I70" s="70"/>
      <c r="J70" s="1"/>
      <c r="K70" s="227">
        <v>127</v>
      </c>
      <c r="L70" s="70" t="s">
        <v>0</v>
      </c>
      <c r="M70" s="67"/>
      <c r="N70" s="68"/>
      <c r="O70" s="76"/>
      <c r="P70" s="83" t="s">
        <v>5895</v>
      </c>
      <c r="Q70" s="64" t="s">
        <v>1</v>
      </c>
      <c r="R70" s="65">
        <v>1</v>
      </c>
      <c r="S70" s="99"/>
      <c r="T70" s="70"/>
      <c r="U70" s="99"/>
      <c r="V70" s="70"/>
      <c r="W70" s="81" t="s">
        <v>18086</v>
      </c>
      <c r="X70" s="57" t="s">
        <v>1</v>
      </c>
      <c r="Y70" s="58">
        <v>0.25</v>
      </c>
      <c r="Z70" s="77" t="s">
        <v>422</v>
      </c>
      <c r="AA70" s="81"/>
      <c r="AB70" s="57"/>
      <c r="AC70" s="58"/>
      <c r="AD70" s="77"/>
      <c r="AE70" s="228">
        <f>ROUND((ROUND((ROUND((ROUND((_15_同援日０．５*_15・通訳),0)*_15・２人),0)*(1+_15・A深夜)),0)*(1+_15・盲ろう)),0)+ROUND((ROUND((ROUND((ROUND((_15_同援日０．５＿１．０*_15・通訳),0)*_15・２人),0)*(1+_15・B早朝)),0)*(1+_15・盲ろう)),0)+ROUND((ROUND((ROUND((_15_同援日０．５＿１．０＿１．０*_15・通訳),0)*_15・２人),0)*(1+_15・盲ろう)),0)</f>
        <v>787</v>
      </c>
      <c r="AF70" s="69"/>
    </row>
    <row r="71" spans="1:32" ht="16.5" customHeight="1" x14ac:dyDescent="0.3">
      <c r="A71" s="2">
        <v>15</v>
      </c>
      <c r="B71" s="2" t="s">
        <v>4691</v>
      </c>
      <c r="C71" s="60" t="s">
        <v>15209</v>
      </c>
      <c r="D71" s="1"/>
      <c r="E71" s="68"/>
      <c r="F71" s="70"/>
      <c r="G71" s="1"/>
      <c r="H71" s="68"/>
      <c r="I71" s="70"/>
      <c r="J71" s="1"/>
      <c r="K71" s="68"/>
      <c r="L71" s="70"/>
      <c r="M71" s="67"/>
      <c r="N71" s="68"/>
      <c r="O71" s="76"/>
      <c r="P71" s="83"/>
      <c r="Q71" s="64"/>
      <c r="R71" s="65"/>
      <c r="S71" s="99"/>
      <c r="T71" s="70"/>
      <c r="U71" s="99"/>
      <c r="V71" s="70"/>
      <c r="W71" s="74"/>
      <c r="X71" s="62"/>
      <c r="Y71" s="63"/>
      <c r="Z71" s="75"/>
      <c r="AA71" s="74" t="s">
        <v>18089</v>
      </c>
      <c r="AB71" s="62"/>
      <c r="AC71" s="63"/>
      <c r="AD71" s="75"/>
      <c r="AE71" s="228">
        <f>ROUND((ROUND((ROUND((_15_同援日０．５*_15・通訳),0)*(1+_15・A深夜)),0)*(1+_15・区３)),0)+ROUND((ROUND((ROUND((_15_同援日０．５＿１．０*_15・通訳),0)*(1+_15・B早朝)),0)*(1+_15・区３)),0)+ROUND((ROUND((_15_同援日０．５＿１．０＿１．０*_15・通訳),0)*(1+_15・区３)),0)</f>
        <v>755</v>
      </c>
      <c r="AF71" s="69"/>
    </row>
    <row r="72" spans="1:32" ht="16.5" customHeight="1" x14ac:dyDescent="0.3">
      <c r="A72" s="2">
        <v>15</v>
      </c>
      <c r="B72" s="2" t="s">
        <v>4692</v>
      </c>
      <c r="C72" s="60" t="s">
        <v>15208</v>
      </c>
      <c r="D72" s="1"/>
      <c r="E72" s="68"/>
      <c r="F72" s="70"/>
      <c r="G72" s="1"/>
      <c r="H72" s="68"/>
      <c r="I72" s="70"/>
      <c r="J72" s="1"/>
      <c r="K72" s="68"/>
      <c r="L72" s="70"/>
      <c r="M72" s="67"/>
      <c r="N72" s="68"/>
      <c r="O72" s="76"/>
      <c r="P72" s="83" t="s">
        <v>5895</v>
      </c>
      <c r="Q72" s="64" t="s">
        <v>1</v>
      </c>
      <c r="R72" s="65">
        <v>1</v>
      </c>
      <c r="S72" s="99"/>
      <c r="T72" s="70"/>
      <c r="U72" s="99"/>
      <c r="V72" s="70"/>
      <c r="W72" s="81"/>
      <c r="X72" s="57"/>
      <c r="Y72" s="58"/>
      <c r="Z72" s="77"/>
      <c r="AA72" s="1" t="s">
        <v>18084</v>
      </c>
      <c r="AB72" s="68"/>
      <c r="AC72" s="76"/>
      <c r="AD72" s="70"/>
      <c r="AE72" s="228">
        <f>ROUND((ROUND((ROUND((ROUND((_15_同援日０．５*_15・通訳),0)*_15・２人),0)*(1+_15・A深夜)),0)*(1+_15・区３)),0)+ROUND((ROUND((ROUND((ROUND((_15_同援日０．５＿１．０*_15・通訳),0)*_15・２人),0)*(1+_15・B早朝)),0)*(1+_15・区３)),0)+ROUND((ROUND((ROUND((_15_同援日０．５＿１．０＿１．０*_15・通訳),0)*_15・２人),0)*(1+_15・区３)),0)</f>
        <v>755</v>
      </c>
      <c r="AF72" s="69"/>
    </row>
    <row r="73" spans="1:32" ht="16.5" customHeight="1" x14ac:dyDescent="0.3">
      <c r="A73" s="2">
        <v>15</v>
      </c>
      <c r="B73" s="2" t="s">
        <v>4693</v>
      </c>
      <c r="C73" s="60" t="s">
        <v>15207</v>
      </c>
      <c r="D73" s="1"/>
      <c r="E73" s="68"/>
      <c r="F73" s="70"/>
      <c r="G73" s="1"/>
      <c r="H73" s="68"/>
      <c r="I73" s="70"/>
      <c r="J73" s="1"/>
      <c r="K73" s="68"/>
      <c r="L73" s="70"/>
      <c r="M73" s="67"/>
      <c r="N73" s="68"/>
      <c r="O73" s="76"/>
      <c r="P73" s="83"/>
      <c r="Q73" s="64"/>
      <c r="R73" s="65"/>
      <c r="S73" s="99"/>
      <c r="T73" s="70"/>
      <c r="U73" s="99"/>
      <c r="V73" s="70"/>
      <c r="W73" s="74" t="s">
        <v>18087</v>
      </c>
      <c r="X73" s="62"/>
      <c r="Y73" s="63"/>
      <c r="Z73" s="75"/>
      <c r="AA73" s="1"/>
      <c r="AB73" s="68" t="s">
        <v>1</v>
      </c>
      <c r="AC73" s="76">
        <v>0.2</v>
      </c>
      <c r="AD73" s="70" t="s">
        <v>422</v>
      </c>
      <c r="AE73" s="228">
        <f>ROUND((ROUND((ROUND((ROUND((_15_同援日０．５*_15・通訳),0)*(1+_15・A深夜)),0)*(1+_15・盲ろう)),0)*(1+_15・区３)),0)+ROUND((ROUND((ROUND((ROUND((_15_同援日０．５＿１．０*_15・通訳),0)*(1+_15・B早朝)),0)*(1+_15・盲ろう)),0)*(1+_15・区３)),0)+ROUND((ROUND((ROUND((_15_同援日０．５＿１．０＿１．０*_15・通訳),0)*(1+_15・盲ろう)),0)*(1+_15・区３)),0)</f>
        <v>945</v>
      </c>
      <c r="AF73" s="69"/>
    </row>
    <row r="74" spans="1:32" ht="16.5" customHeight="1" x14ac:dyDescent="0.3">
      <c r="A74" s="2">
        <v>15</v>
      </c>
      <c r="B74" s="2" t="s">
        <v>4694</v>
      </c>
      <c r="C74" s="60" t="s">
        <v>15206</v>
      </c>
      <c r="D74" s="1"/>
      <c r="E74" s="68"/>
      <c r="F74" s="70"/>
      <c r="G74" s="1"/>
      <c r="H74" s="68"/>
      <c r="I74" s="70"/>
      <c r="J74" s="1"/>
      <c r="K74" s="68"/>
      <c r="L74" s="70"/>
      <c r="M74" s="67"/>
      <c r="N74" s="68"/>
      <c r="O74" s="76"/>
      <c r="P74" s="83" t="s">
        <v>5895</v>
      </c>
      <c r="Q74" s="64" t="s">
        <v>1</v>
      </c>
      <c r="R74" s="65">
        <v>1</v>
      </c>
      <c r="S74" s="99"/>
      <c r="T74" s="70"/>
      <c r="U74" s="99"/>
      <c r="V74" s="70"/>
      <c r="W74" s="81" t="s">
        <v>18086</v>
      </c>
      <c r="X74" s="57" t="s">
        <v>1</v>
      </c>
      <c r="Y74" s="58">
        <v>0.25</v>
      </c>
      <c r="Z74" s="77" t="s">
        <v>422</v>
      </c>
      <c r="AA74" s="81"/>
      <c r="AB74" s="57"/>
      <c r="AC74" s="58"/>
      <c r="AD74" s="77"/>
      <c r="AE74" s="228">
        <f>ROUND((ROUND((ROUND((ROUND((ROUND((_15_同援日０．５*_15・通訳),0)*_15・２人),0)*(1+_15・A深夜)),0)*(1+_15・盲ろう)),0)*(1+_15・区３)),0)+ROUND((ROUND((ROUND((ROUND((ROUND((_15_同援日０．５＿１．０*_15・通訳),0)*_15・２人),0)*(1+_15・B早朝)),0)*(1+_15・盲ろう)),0)*(1+_15・区３)),0)+ROUND((ROUND((ROUND((ROUND((_15_同援日０．５＿１．０＿１．０*_15・通訳),0)*_15・２人),0)*(1+_15・盲ろう)),0)*(1+_15・区３)),0)</f>
        <v>945</v>
      </c>
      <c r="AF74" s="69"/>
    </row>
    <row r="75" spans="1:32" ht="16.5" customHeight="1" x14ac:dyDescent="0.3">
      <c r="A75" s="2">
        <v>15</v>
      </c>
      <c r="B75" s="2" t="s">
        <v>4695</v>
      </c>
      <c r="C75" s="60" t="s">
        <v>15205</v>
      </c>
      <c r="D75" s="1"/>
      <c r="E75" s="68"/>
      <c r="F75" s="70"/>
      <c r="G75" s="1"/>
      <c r="H75" s="68"/>
      <c r="I75" s="70"/>
      <c r="J75" s="1"/>
      <c r="K75" s="68"/>
      <c r="L75" s="70"/>
      <c r="M75" s="67"/>
      <c r="N75" s="68"/>
      <c r="O75" s="76"/>
      <c r="P75" s="83"/>
      <c r="Q75" s="64"/>
      <c r="R75" s="65"/>
      <c r="S75" s="99"/>
      <c r="T75" s="70"/>
      <c r="U75" s="99"/>
      <c r="V75" s="70"/>
      <c r="W75" s="74"/>
      <c r="X75" s="62"/>
      <c r="Y75" s="63"/>
      <c r="Z75" s="75"/>
      <c r="AA75" s="74" t="s">
        <v>18094</v>
      </c>
      <c r="AB75" s="62"/>
      <c r="AC75" s="63"/>
      <c r="AD75" s="75"/>
      <c r="AE75" s="228">
        <f>ROUND((ROUND((ROUND((_15_同援日０．５*_15・通訳),0)*(1+_15・A深夜)),0)*(1+_15・区４)),0)+ROUND((ROUND((ROUND((_15_同援日０．５＿１．０*_15・通訳),0)*(1+_15・B早朝)),0)*(1+_15・区４)),0)+ROUND((ROUND((_15_同援日０．５＿１．０＿１．０*_15・通訳),0)*(1+_15・区４)),0)</f>
        <v>881</v>
      </c>
      <c r="AF75" s="69"/>
    </row>
    <row r="76" spans="1:32" ht="16.5" customHeight="1" x14ac:dyDescent="0.3">
      <c r="A76" s="2">
        <v>15</v>
      </c>
      <c r="B76" s="2" t="s">
        <v>4696</v>
      </c>
      <c r="C76" s="60" t="s">
        <v>15204</v>
      </c>
      <c r="D76" s="1"/>
      <c r="E76" s="68"/>
      <c r="F76" s="70"/>
      <c r="G76" s="1"/>
      <c r="H76" s="68"/>
      <c r="I76" s="70"/>
      <c r="J76" s="1"/>
      <c r="K76" s="68"/>
      <c r="L76" s="70"/>
      <c r="M76" s="67"/>
      <c r="N76" s="68"/>
      <c r="O76" s="76"/>
      <c r="P76" s="83" t="s">
        <v>5895</v>
      </c>
      <c r="Q76" s="64" t="s">
        <v>1</v>
      </c>
      <c r="R76" s="65">
        <v>1</v>
      </c>
      <c r="S76" s="99"/>
      <c r="T76" s="70"/>
      <c r="U76" s="99"/>
      <c r="V76" s="70"/>
      <c r="W76" s="81"/>
      <c r="X76" s="57"/>
      <c r="Y76" s="58"/>
      <c r="Z76" s="77"/>
      <c r="AA76" s="1" t="s">
        <v>18084</v>
      </c>
      <c r="AB76" s="68"/>
      <c r="AC76" s="76"/>
      <c r="AD76" s="70"/>
      <c r="AE76" s="228">
        <f>ROUND((ROUND((ROUND((ROUND((_15_同援日０．５*_15・通訳),0)*_15・２人),0)*(1+_15・A深夜)),0)*(1+_15・区４)),0)+ROUND((ROUND((ROUND((ROUND((_15_同援日０．５＿１．０*_15・通訳),0)*_15・２人),0)*(1+_15・B早朝)),0)*(1+_15・区４)),0)+ROUND((ROUND((ROUND((_15_同援日０．５＿１．０＿１．０*_15・通訳),0)*_15・２人),0)*(1+_15・区４)),0)</f>
        <v>881</v>
      </c>
      <c r="AF76" s="69"/>
    </row>
    <row r="77" spans="1:32" ht="16.5" customHeight="1" x14ac:dyDescent="0.3">
      <c r="A77" s="2">
        <v>15</v>
      </c>
      <c r="B77" s="2" t="s">
        <v>4697</v>
      </c>
      <c r="C77" s="60" t="s">
        <v>15203</v>
      </c>
      <c r="D77" s="1"/>
      <c r="E77" s="68"/>
      <c r="F77" s="70"/>
      <c r="G77" s="1"/>
      <c r="H77" s="68"/>
      <c r="I77" s="70"/>
      <c r="J77" s="1"/>
      <c r="K77" s="68"/>
      <c r="L77" s="70"/>
      <c r="M77" s="67"/>
      <c r="N77" s="68"/>
      <c r="O77" s="76"/>
      <c r="P77" s="83"/>
      <c r="Q77" s="64"/>
      <c r="R77" s="65"/>
      <c r="S77" s="99"/>
      <c r="T77" s="70"/>
      <c r="U77" s="99"/>
      <c r="V77" s="70"/>
      <c r="W77" s="74" t="s">
        <v>18087</v>
      </c>
      <c r="X77" s="62"/>
      <c r="Y77" s="63"/>
      <c r="Z77" s="75"/>
      <c r="AA77" s="1"/>
      <c r="AB77" s="68" t="s">
        <v>1</v>
      </c>
      <c r="AC77" s="76">
        <v>0.4</v>
      </c>
      <c r="AD77" s="70" t="s">
        <v>422</v>
      </c>
      <c r="AE77" s="228">
        <f>ROUND((ROUND((ROUND((ROUND((_15_同援日０．５*_15・通訳),0)*(1+_15・A深夜)),0)*(1+_15・盲ろう)),0)*(1+_15・区４)),0)+ROUND((ROUND((ROUND((ROUND((_15_同援日０．５＿１．０*_15・通訳),0)*(1+_15・B早朝)),0)*(1+_15・盲ろう)),0)*(1+_15・区４)),0)+ROUND((ROUND((ROUND((_15_同援日０．５＿１．０＿１．０*_15・通訳),0)*(1+_15・盲ろう)),0)*(1+_15・区４)),0)</f>
        <v>1101</v>
      </c>
      <c r="AF77" s="69"/>
    </row>
    <row r="78" spans="1:32" ht="16.5" customHeight="1" x14ac:dyDescent="0.3">
      <c r="A78" s="2">
        <v>15</v>
      </c>
      <c r="B78" s="2" t="s">
        <v>4698</v>
      </c>
      <c r="C78" s="60" t="s">
        <v>15202</v>
      </c>
      <c r="D78" s="1"/>
      <c r="E78" s="68"/>
      <c r="F78" s="70"/>
      <c r="G78" s="1"/>
      <c r="H78" s="68"/>
      <c r="I78" s="70"/>
      <c r="J78" s="81"/>
      <c r="K78" s="57"/>
      <c r="L78" s="77"/>
      <c r="M78" s="67"/>
      <c r="N78" s="68"/>
      <c r="O78" s="76"/>
      <c r="P78" s="83" t="s">
        <v>5895</v>
      </c>
      <c r="Q78" s="64" t="s">
        <v>1</v>
      </c>
      <c r="R78" s="65">
        <v>1</v>
      </c>
      <c r="S78" s="99"/>
      <c r="T78" s="70"/>
      <c r="U78" s="99"/>
      <c r="V78" s="70"/>
      <c r="W78" s="81" t="s">
        <v>18086</v>
      </c>
      <c r="X78" s="57" t="s">
        <v>1</v>
      </c>
      <c r="Y78" s="58">
        <v>0.25</v>
      </c>
      <c r="Z78" s="77" t="s">
        <v>422</v>
      </c>
      <c r="AA78" s="81"/>
      <c r="AB78" s="57"/>
      <c r="AC78" s="58"/>
      <c r="AD78" s="77"/>
      <c r="AE78" s="228">
        <f>ROUND((ROUND((ROUND((ROUND((ROUND((_15_同援日０．５*_15・通訳),0)*_15・２人),0)*(1+_15・A深夜)),0)*(1+_15・盲ろう)),0)*(1+_15・区４)),0)+ROUND((ROUND((ROUND((ROUND((ROUND((_15_同援日０．５＿１．０*_15・通訳),0)*_15・２人),0)*(1+_15・B早朝)),0)*(1+_15・盲ろう)),0)*(1+_15・区４)),0)+ROUND((ROUND((ROUND((ROUND((_15_同援日０．５＿１．０＿１．０*_15・通訳),0)*_15・２人),0)*(1+_15・盲ろう)),0)*(1+_15・区４)),0)</f>
        <v>1101</v>
      </c>
      <c r="AF78" s="69"/>
    </row>
    <row r="79" spans="1:32" ht="16.5" customHeight="1" x14ac:dyDescent="0.3">
      <c r="A79" s="2">
        <v>15</v>
      </c>
      <c r="B79" s="2" t="s">
        <v>4699</v>
      </c>
      <c r="C79" s="60" t="s">
        <v>15201</v>
      </c>
      <c r="D79" s="1"/>
      <c r="E79" s="68"/>
      <c r="F79" s="70"/>
      <c r="G79" s="1"/>
      <c r="H79" s="68"/>
      <c r="I79" s="70"/>
      <c r="J79" s="74" t="s">
        <v>17107</v>
      </c>
      <c r="K79" s="62"/>
      <c r="L79" s="75"/>
      <c r="M79" s="67"/>
      <c r="N79" s="68"/>
      <c r="O79" s="76"/>
      <c r="P79" s="83"/>
      <c r="Q79" s="64"/>
      <c r="R79" s="65"/>
      <c r="S79" s="99"/>
      <c r="T79" s="70"/>
      <c r="U79" s="99"/>
      <c r="V79" s="70"/>
      <c r="W79" s="74"/>
      <c r="X79" s="62"/>
      <c r="Y79" s="63"/>
      <c r="Z79" s="75"/>
      <c r="AA79" s="74"/>
      <c r="AB79" s="62"/>
      <c r="AC79" s="63"/>
      <c r="AD79" s="75"/>
      <c r="AE79" s="228">
        <f>ROUND((ROUND((_15_同援日０．５*_15・通訳),0)*(1+_15・A深夜)),0)+ROUND((ROUND((_15_同援日０．５＿１．０*_15・通訳),0)*(1+_15・B早朝)),0)+ROUND((_15_同援日０．５＿１．０＿１．５*_15・通訳),0)</f>
        <v>686</v>
      </c>
      <c r="AF79" s="69"/>
    </row>
    <row r="80" spans="1:32" ht="16.5" customHeight="1" x14ac:dyDescent="0.3">
      <c r="A80" s="2">
        <v>15</v>
      </c>
      <c r="B80" s="2" t="s">
        <v>4700</v>
      </c>
      <c r="C80" s="60" t="s">
        <v>15200</v>
      </c>
      <c r="D80" s="1"/>
      <c r="E80" s="68"/>
      <c r="F80" s="70"/>
      <c r="G80" s="1"/>
      <c r="H80" s="68"/>
      <c r="I80" s="70"/>
      <c r="J80" s="1" t="s">
        <v>18120</v>
      </c>
      <c r="K80" s="68"/>
      <c r="L80" s="70"/>
      <c r="M80" s="67"/>
      <c r="N80" s="68"/>
      <c r="O80" s="76"/>
      <c r="P80" s="83" t="s">
        <v>5895</v>
      </c>
      <c r="Q80" s="64" t="s">
        <v>1</v>
      </c>
      <c r="R80" s="65">
        <v>1</v>
      </c>
      <c r="S80" s="99"/>
      <c r="T80" s="70"/>
      <c r="U80" s="99"/>
      <c r="V80" s="70"/>
      <c r="W80" s="81"/>
      <c r="X80" s="57"/>
      <c r="Y80" s="58"/>
      <c r="Z80" s="77"/>
      <c r="AA80" s="1"/>
      <c r="AB80" s="68"/>
      <c r="AC80" s="76"/>
      <c r="AD80" s="70"/>
      <c r="AE80" s="228">
        <f>ROUND((ROUND((ROUND((_15_同援日０．５*_15・通訳),0)*_15・２人),0)*(1+_15・A深夜)),0)+ROUND((ROUND((ROUND((_15_同援日０．５＿１．０*_15・通訳),0)*_15・２人),0)*(1+_15・B早朝)),0)+ROUND((ROUND((_15_同援日０．５＿１．０＿１．５*_15・通訳),0)*_15・２人),0)</f>
        <v>686</v>
      </c>
      <c r="AF80" s="69"/>
    </row>
    <row r="81" spans="1:32" ht="16.5" customHeight="1" x14ac:dyDescent="0.3">
      <c r="A81" s="2">
        <v>15</v>
      </c>
      <c r="B81" s="2" t="s">
        <v>4701</v>
      </c>
      <c r="C81" s="60" t="s">
        <v>15199</v>
      </c>
      <c r="D81" s="1"/>
      <c r="E81" s="68"/>
      <c r="F81" s="70"/>
      <c r="G81" s="1"/>
      <c r="H81" s="68"/>
      <c r="I81" s="70"/>
      <c r="J81" s="1" t="s">
        <v>8767</v>
      </c>
      <c r="K81" s="68"/>
      <c r="L81" s="70"/>
      <c r="M81" s="67"/>
      <c r="N81" s="68"/>
      <c r="O81" s="76"/>
      <c r="P81" s="83"/>
      <c r="Q81" s="64"/>
      <c r="R81" s="65"/>
      <c r="S81" s="99"/>
      <c r="T81" s="70"/>
      <c r="U81" s="99"/>
      <c r="V81" s="70"/>
      <c r="W81" s="74" t="s">
        <v>18087</v>
      </c>
      <c r="X81" s="62"/>
      <c r="Y81" s="63"/>
      <c r="Z81" s="75"/>
      <c r="AA81" s="1"/>
      <c r="AB81" s="68"/>
      <c r="AC81" s="76"/>
      <c r="AD81" s="70"/>
      <c r="AE81" s="228">
        <f>ROUND((ROUND((ROUND((_15_同援日０．５*_15・通訳),0)*(1+_15・A深夜)),0)*(1+_15・盲ろう)),0)+ROUND((ROUND((ROUND((_15_同援日０．５＿１．０*_15・通訳),0)*(1+_15・B早朝)),0)*(1+_15・盲ろう)),0)+ROUND((ROUND((_15_同援日０．５＿１．０＿１．５*_15・通訳),0)*(1+_15・盲ろう)),0)</f>
        <v>858</v>
      </c>
      <c r="AF81" s="69"/>
    </row>
    <row r="82" spans="1:32" ht="16.5" customHeight="1" x14ac:dyDescent="0.3">
      <c r="A82" s="2">
        <v>15</v>
      </c>
      <c r="B82" s="2" t="s">
        <v>4702</v>
      </c>
      <c r="C82" s="60" t="s">
        <v>15198</v>
      </c>
      <c r="D82" s="1"/>
      <c r="E82" s="68"/>
      <c r="F82" s="70"/>
      <c r="G82" s="1"/>
      <c r="H82" s="68"/>
      <c r="I82" s="70"/>
      <c r="J82" s="1"/>
      <c r="K82" s="119">
        <v>190</v>
      </c>
      <c r="L82" s="70" t="s">
        <v>0</v>
      </c>
      <c r="M82" s="67"/>
      <c r="N82" s="68"/>
      <c r="O82" s="76"/>
      <c r="P82" s="83" t="s">
        <v>5895</v>
      </c>
      <c r="Q82" s="64" t="s">
        <v>1</v>
      </c>
      <c r="R82" s="65">
        <v>1</v>
      </c>
      <c r="S82" s="99"/>
      <c r="T82" s="70"/>
      <c r="U82" s="99"/>
      <c r="V82" s="70"/>
      <c r="W82" s="81" t="s">
        <v>18086</v>
      </c>
      <c r="X82" s="57" t="s">
        <v>1</v>
      </c>
      <c r="Y82" s="58">
        <v>0.25</v>
      </c>
      <c r="Z82" s="77" t="s">
        <v>422</v>
      </c>
      <c r="AA82" s="81"/>
      <c r="AB82" s="57"/>
      <c r="AC82" s="58"/>
      <c r="AD82" s="77"/>
      <c r="AE82" s="228">
        <f>ROUND((ROUND((ROUND((ROUND((_15_同援日０．５*_15・通訳),0)*_15・２人),0)*(1+_15・A深夜)),0)*(1+_15・盲ろう)),0)+ROUND((ROUND((ROUND((ROUND((_15_同援日０．５＿１．０*_15・通訳),0)*_15・２人),0)*(1+_15・B早朝)),0)*(1+_15・盲ろう)),0)+ROUND((ROUND((ROUND((_15_同援日０．５＿１．０＿１．５*_15・通訳),0)*_15・２人),0)*(1+_15・盲ろう)),0)</f>
        <v>858</v>
      </c>
      <c r="AF82" s="69"/>
    </row>
    <row r="83" spans="1:32" ht="16.5" customHeight="1" x14ac:dyDescent="0.3">
      <c r="A83" s="2">
        <v>15</v>
      </c>
      <c r="B83" s="2" t="s">
        <v>4703</v>
      </c>
      <c r="C83" s="60" t="s">
        <v>15197</v>
      </c>
      <c r="D83" s="1"/>
      <c r="E83" s="68"/>
      <c r="F83" s="70"/>
      <c r="G83" s="1"/>
      <c r="H83" s="68"/>
      <c r="I83" s="70"/>
      <c r="J83" s="1"/>
      <c r="K83" s="68"/>
      <c r="L83" s="70"/>
      <c r="M83" s="67"/>
      <c r="N83" s="68"/>
      <c r="O83" s="76"/>
      <c r="P83" s="83"/>
      <c r="Q83" s="64"/>
      <c r="R83" s="65"/>
      <c r="S83" s="99"/>
      <c r="T83" s="70"/>
      <c r="U83" s="99"/>
      <c r="V83" s="70"/>
      <c r="W83" s="74"/>
      <c r="X83" s="62"/>
      <c r="Y83" s="63"/>
      <c r="Z83" s="75"/>
      <c r="AA83" s="74" t="s">
        <v>18116</v>
      </c>
      <c r="AB83" s="62"/>
      <c r="AC83" s="63"/>
      <c r="AD83" s="75"/>
      <c r="AE83" s="228">
        <f>ROUND((ROUND((ROUND((_15_同援日０．５*_15・通訳),0)*(1+_15・A深夜)),0)*(1+_15・区３)),0)+ROUND((ROUND((ROUND((_15_同援日０．５＿１．０*_15・通訳),0)*(1+_15・B早朝)),0)*(1+_15・区３)),0)+ROUND((ROUND((_15_同援日０．５＿１．０＿１．５*_15・通訳),0)*(1+_15・区３)),0)</f>
        <v>823</v>
      </c>
      <c r="AF83" s="69"/>
    </row>
    <row r="84" spans="1:32" ht="16.5" customHeight="1" x14ac:dyDescent="0.3">
      <c r="A84" s="2">
        <v>15</v>
      </c>
      <c r="B84" s="2" t="s">
        <v>4704</v>
      </c>
      <c r="C84" s="60" t="s">
        <v>15196</v>
      </c>
      <c r="D84" s="1"/>
      <c r="E84" s="68"/>
      <c r="F84" s="70"/>
      <c r="G84" s="1"/>
      <c r="H84" s="68"/>
      <c r="I84" s="70"/>
      <c r="J84" s="1"/>
      <c r="K84" s="68"/>
      <c r="L84" s="70"/>
      <c r="M84" s="67"/>
      <c r="N84" s="68"/>
      <c r="O84" s="76"/>
      <c r="P84" s="83" t="s">
        <v>5895</v>
      </c>
      <c r="Q84" s="64" t="s">
        <v>1</v>
      </c>
      <c r="R84" s="65">
        <v>1</v>
      </c>
      <c r="S84" s="99"/>
      <c r="T84" s="70"/>
      <c r="U84" s="99"/>
      <c r="V84" s="70"/>
      <c r="W84" s="81"/>
      <c r="X84" s="57"/>
      <c r="Y84" s="58"/>
      <c r="Z84" s="77"/>
      <c r="AA84" s="1" t="s">
        <v>18084</v>
      </c>
      <c r="AB84" s="68"/>
      <c r="AC84" s="76"/>
      <c r="AD84" s="70"/>
      <c r="AE84" s="228">
        <f>ROUND((ROUND((ROUND((ROUND((_15_同援日０．５*_15・通訳),0)*_15・２人),0)*(1+_15・A深夜)),0)*(1+_15・区３)),0)+ROUND((ROUND((ROUND((ROUND((_15_同援日０．５＿１．０*_15・通訳),0)*_15・２人),0)*(1+_15・B早朝)),0)*(1+_15・区３)),0)+ROUND((ROUND((ROUND((_15_同援日０．５＿１．０＿１．５*_15・通訳),0)*_15・２人),0)*(1+_15・区３)),0)</f>
        <v>823</v>
      </c>
      <c r="AF84" s="69"/>
    </row>
    <row r="85" spans="1:32" ht="16.5" customHeight="1" x14ac:dyDescent="0.3">
      <c r="A85" s="2">
        <v>15</v>
      </c>
      <c r="B85" s="2" t="s">
        <v>4705</v>
      </c>
      <c r="C85" s="60" t="s">
        <v>15195</v>
      </c>
      <c r="D85" s="1"/>
      <c r="E85" s="68"/>
      <c r="F85" s="70"/>
      <c r="G85" s="1"/>
      <c r="H85" s="68"/>
      <c r="I85" s="70"/>
      <c r="J85" s="1"/>
      <c r="K85" s="68"/>
      <c r="L85" s="70"/>
      <c r="M85" s="67"/>
      <c r="N85" s="68"/>
      <c r="O85" s="76"/>
      <c r="P85" s="83"/>
      <c r="Q85" s="64"/>
      <c r="R85" s="65"/>
      <c r="S85" s="99"/>
      <c r="T85" s="70"/>
      <c r="U85" s="99"/>
      <c r="V85" s="70"/>
      <c r="W85" s="74" t="s">
        <v>18087</v>
      </c>
      <c r="X85" s="62"/>
      <c r="Y85" s="63"/>
      <c r="Z85" s="75"/>
      <c r="AA85" s="1"/>
      <c r="AB85" s="68" t="s">
        <v>1</v>
      </c>
      <c r="AC85" s="76">
        <v>0.2</v>
      </c>
      <c r="AD85" s="70" t="s">
        <v>422</v>
      </c>
      <c r="AE85" s="228">
        <f>ROUND((ROUND((ROUND((ROUND((_15_同援日０．５*_15・通訳),0)*(1+_15・A深夜)),0)*(1+_15・盲ろう)),0)*(1+_15・区３)),0)+ROUND((ROUND((ROUND((ROUND((_15_同援日０．５＿１．０*_15・通訳),0)*(1+_15・B早朝)),0)*(1+_15・盲ろう)),0)*(1+_15・区３)),0)+ROUND((ROUND((ROUND((_15_同援日０．５＿１．０＿１．５*_15・通訳),0)*(1+_15・盲ろう)),0)*(1+_15・区３)),0)</f>
        <v>1030</v>
      </c>
      <c r="AF85" s="69"/>
    </row>
    <row r="86" spans="1:32" ht="16.5" customHeight="1" x14ac:dyDescent="0.3">
      <c r="A86" s="2">
        <v>15</v>
      </c>
      <c r="B86" s="2" t="s">
        <v>4706</v>
      </c>
      <c r="C86" s="60" t="s">
        <v>15194</v>
      </c>
      <c r="D86" s="1"/>
      <c r="E86" s="68"/>
      <c r="F86" s="70"/>
      <c r="G86" s="1"/>
      <c r="H86" s="68"/>
      <c r="I86" s="70"/>
      <c r="J86" s="1"/>
      <c r="K86" s="68"/>
      <c r="L86" s="70"/>
      <c r="M86" s="67"/>
      <c r="N86" s="68"/>
      <c r="O86" s="76"/>
      <c r="P86" s="83" t="s">
        <v>5895</v>
      </c>
      <c r="Q86" s="64" t="s">
        <v>1</v>
      </c>
      <c r="R86" s="65">
        <v>1</v>
      </c>
      <c r="S86" s="99"/>
      <c r="T86" s="70"/>
      <c r="U86" s="99"/>
      <c r="V86" s="70"/>
      <c r="W86" s="81" t="s">
        <v>18086</v>
      </c>
      <c r="X86" s="57" t="s">
        <v>1</v>
      </c>
      <c r="Y86" s="58">
        <v>0.25</v>
      </c>
      <c r="Z86" s="77" t="s">
        <v>422</v>
      </c>
      <c r="AA86" s="81"/>
      <c r="AB86" s="57"/>
      <c r="AC86" s="58"/>
      <c r="AD86" s="77"/>
      <c r="AE86" s="228">
        <f>ROUND((ROUND((ROUND((ROUND((ROUND((_15_同援日０．５*_15・通訳),0)*_15・２人),0)*(1+_15・A深夜)),0)*(1+_15・盲ろう)),0)*(1+_15・区３)),0)+ROUND((ROUND((ROUND((ROUND((ROUND((_15_同援日０．５＿１．０*_15・通訳),0)*_15・２人),0)*(1+_15・B早朝)),0)*(1+_15・盲ろう)),0)*(1+_15・区３)),0)+ROUND((ROUND((ROUND((ROUND((_15_同援日０．５＿１．０＿１．５*_15・通訳),0)*_15・２人),0)*(1+_15・盲ろう)),0)*(1+_15・区３)),0)</f>
        <v>1030</v>
      </c>
      <c r="AF86" s="69"/>
    </row>
    <row r="87" spans="1:32" ht="16.5" customHeight="1" x14ac:dyDescent="0.3">
      <c r="A87" s="2">
        <v>15</v>
      </c>
      <c r="B87" s="2" t="s">
        <v>4707</v>
      </c>
      <c r="C87" s="60" t="s">
        <v>15193</v>
      </c>
      <c r="D87" s="1"/>
      <c r="E87" s="68"/>
      <c r="F87" s="70"/>
      <c r="G87" s="1"/>
      <c r="H87" s="68"/>
      <c r="I87" s="70"/>
      <c r="J87" s="1"/>
      <c r="K87" s="68"/>
      <c r="L87" s="70"/>
      <c r="M87" s="67"/>
      <c r="N87" s="68"/>
      <c r="O87" s="76"/>
      <c r="P87" s="83"/>
      <c r="Q87" s="64"/>
      <c r="R87" s="65"/>
      <c r="S87" s="99"/>
      <c r="T87" s="70"/>
      <c r="U87" s="99"/>
      <c r="V87" s="70"/>
      <c r="W87" s="74"/>
      <c r="X87" s="62"/>
      <c r="Y87" s="63"/>
      <c r="Z87" s="75"/>
      <c r="AA87" s="74" t="s">
        <v>18094</v>
      </c>
      <c r="AB87" s="62"/>
      <c r="AC87" s="63"/>
      <c r="AD87" s="75"/>
      <c r="AE87" s="228">
        <f>ROUND((ROUND((ROUND((_15_同援日０．５*_15・通訳),0)*(1+_15・A深夜)),0)*(1+_15・区４)),0)+ROUND((ROUND((ROUND((_15_同援日０．５＿１．０*_15・通訳),0)*(1+_15・B早朝)),0)*(1+_15・区４)),0)+ROUND((ROUND((_15_同援日０．５＿１．０＿１．５*_15・通訳),0)*(1+_15・区４)),0)</f>
        <v>960</v>
      </c>
      <c r="AF87" s="69"/>
    </row>
    <row r="88" spans="1:32" ht="16.5" customHeight="1" x14ac:dyDescent="0.3">
      <c r="A88" s="2">
        <v>15</v>
      </c>
      <c r="B88" s="2" t="s">
        <v>4708</v>
      </c>
      <c r="C88" s="60" t="s">
        <v>15192</v>
      </c>
      <c r="D88" s="1"/>
      <c r="E88" s="68"/>
      <c r="F88" s="70"/>
      <c r="G88" s="1"/>
      <c r="H88" s="68"/>
      <c r="I88" s="70"/>
      <c r="J88" s="1"/>
      <c r="K88" s="68"/>
      <c r="L88" s="70"/>
      <c r="M88" s="67"/>
      <c r="N88" s="68"/>
      <c r="O88" s="76"/>
      <c r="P88" s="83" t="s">
        <v>5895</v>
      </c>
      <c r="Q88" s="64" t="s">
        <v>1</v>
      </c>
      <c r="R88" s="65">
        <v>1</v>
      </c>
      <c r="S88" s="99"/>
      <c r="T88" s="70"/>
      <c r="U88" s="99"/>
      <c r="V88" s="70"/>
      <c r="W88" s="81"/>
      <c r="X88" s="57"/>
      <c r="Y88" s="58"/>
      <c r="Z88" s="77"/>
      <c r="AA88" s="1" t="s">
        <v>18084</v>
      </c>
      <c r="AB88" s="68"/>
      <c r="AC88" s="76"/>
      <c r="AD88" s="70"/>
      <c r="AE88" s="228">
        <f>ROUND((ROUND((ROUND((ROUND((_15_同援日０．５*_15・通訳),0)*_15・２人),0)*(1+_15・A深夜)),0)*(1+_15・区４)),0)+ROUND((ROUND((ROUND((ROUND((_15_同援日０．５＿１．０*_15・通訳),0)*_15・２人),0)*(1+_15・B早朝)),0)*(1+_15・区４)),0)+ROUND((ROUND((ROUND((_15_同援日０．５＿１．０＿１．５*_15・通訳),0)*_15・２人),0)*(1+_15・区４)),0)</f>
        <v>960</v>
      </c>
      <c r="AF88" s="69"/>
    </row>
    <row r="89" spans="1:32" ht="16.5" customHeight="1" x14ac:dyDescent="0.3">
      <c r="A89" s="2">
        <v>15</v>
      </c>
      <c r="B89" s="2" t="s">
        <v>4709</v>
      </c>
      <c r="C89" s="60" t="s">
        <v>15191</v>
      </c>
      <c r="D89" s="1"/>
      <c r="E89" s="68"/>
      <c r="F89" s="70"/>
      <c r="G89" s="1"/>
      <c r="H89" s="68"/>
      <c r="I89" s="70"/>
      <c r="J89" s="1"/>
      <c r="K89" s="68"/>
      <c r="L89" s="70"/>
      <c r="M89" s="67"/>
      <c r="N89" s="68"/>
      <c r="O89" s="76"/>
      <c r="P89" s="83"/>
      <c r="Q89" s="64"/>
      <c r="R89" s="65"/>
      <c r="S89" s="99"/>
      <c r="T89" s="70"/>
      <c r="U89" s="99"/>
      <c r="V89" s="70"/>
      <c r="W89" s="74" t="s">
        <v>18087</v>
      </c>
      <c r="X89" s="62"/>
      <c r="Y89" s="63"/>
      <c r="Z89" s="75"/>
      <c r="AA89" s="1"/>
      <c r="AB89" s="68" t="s">
        <v>1</v>
      </c>
      <c r="AC89" s="76">
        <v>0.4</v>
      </c>
      <c r="AD89" s="70" t="s">
        <v>422</v>
      </c>
      <c r="AE89" s="228">
        <f>ROUND((ROUND((ROUND((ROUND((_15_同援日０．５*_15・通訳),0)*(1+_15・A深夜)),0)*(1+_15・盲ろう)),0)*(1+_15・区４)),0)+ROUND((ROUND((ROUND((ROUND((_15_同援日０．５＿１．０*_15・通訳),0)*(1+_15・B早朝)),0)*(1+_15・盲ろう)),0)*(1+_15・区４)),0)+ROUND((ROUND((ROUND((_15_同援日０．５＿１．０＿１．５*_15・通訳),0)*(1+_15・盲ろう)),0)*(1+_15・区４)),0)</f>
        <v>1201</v>
      </c>
      <c r="AF89" s="69"/>
    </row>
    <row r="90" spans="1:32" ht="16.5" customHeight="1" x14ac:dyDescent="0.3">
      <c r="A90" s="2">
        <v>15</v>
      </c>
      <c r="B90" s="2" t="s">
        <v>4710</v>
      </c>
      <c r="C90" s="60" t="s">
        <v>15190</v>
      </c>
      <c r="D90" s="1"/>
      <c r="E90" s="68"/>
      <c r="F90" s="70"/>
      <c r="G90" s="81"/>
      <c r="H90" s="57"/>
      <c r="I90" s="77"/>
      <c r="J90" s="81"/>
      <c r="K90" s="57"/>
      <c r="L90" s="77"/>
      <c r="M90" s="67"/>
      <c r="N90" s="68"/>
      <c r="O90" s="76"/>
      <c r="P90" s="83" t="s">
        <v>5895</v>
      </c>
      <c r="Q90" s="64" t="s">
        <v>1</v>
      </c>
      <c r="R90" s="65">
        <v>1</v>
      </c>
      <c r="S90" s="99"/>
      <c r="T90" s="70"/>
      <c r="U90" s="99"/>
      <c r="V90" s="70"/>
      <c r="W90" s="81" t="s">
        <v>18115</v>
      </c>
      <c r="X90" s="57" t="s">
        <v>1</v>
      </c>
      <c r="Y90" s="58">
        <v>0.25</v>
      </c>
      <c r="Z90" s="77" t="s">
        <v>422</v>
      </c>
      <c r="AA90" s="81"/>
      <c r="AB90" s="57"/>
      <c r="AC90" s="58"/>
      <c r="AD90" s="77"/>
      <c r="AE90" s="228">
        <f>ROUND((ROUND((ROUND((ROUND((ROUND((_15_同援日０．５*_15・通訳),0)*_15・２人),0)*(1+_15・A深夜)),0)*(1+_15・盲ろう)),0)*(1+_15・区４)),0)+ROUND((ROUND((ROUND((ROUND((ROUND((_15_同援日０．５＿１．０*_15・通訳),0)*_15・２人),0)*(1+_15・B早朝)),0)*(1+_15・盲ろう)),0)*(1+_15・区４)),0)+ROUND((ROUND((ROUND((ROUND((_15_同援日０．５＿１．０＿１．５*_15・通訳),0)*_15・２人),0)*(1+_15・盲ろう)),0)*(1+_15・区４)),0)</f>
        <v>1201</v>
      </c>
      <c r="AF90" s="69"/>
    </row>
    <row r="91" spans="1:32" ht="16.5" customHeight="1" x14ac:dyDescent="0.3">
      <c r="A91" s="2">
        <v>15</v>
      </c>
      <c r="B91" s="2" t="s">
        <v>4711</v>
      </c>
      <c r="C91" s="60" t="s">
        <v>15189</v>
      </c>
      <c r="D91" s="1"/>
      <c r="E91" s="68"/>
      <c r="F91" s="70"/>
      <c r="G91" s="233" t="s">
        <v>18359</v>
      </c>
      <c r="H91" s="62"/>
      <c r="I91" s="75"/>
      <c r="J91" s="74" t="s">
        <v>18121</v>
      </c>
      <c r="K91" s="62"/>
      <c r="L91" s="75"/>
      <c r="M91" s="67"/>
      <c r="N91" s="68"/>
      <c r="O91" s="76"/>
      <c r="P91" s="83"/>
      <c r="Q91" s="64"/>
      <c r="R91" s="65"/>
      <c r="S91" s="99"/>
      <c r="T91" s="70"/>
      <c r="U91" s="99"/>
      <c r="V91" s="70"/>
      <c r="W91" s="74"/>
      <c r="X91" s="62"/>
      <c r="Y91" s="63"/>
      <c r="Z91" s="75"/>
      <c r="AA91" s="74"/>
      <c r="AB91" s="62"/>
      <c r="AC91" s="63"/>
      <c r="AD91" s="75"/>
      <c r="AE91" s="228">
        <f>ROUND((ROUND((_15_同援日０．５*_15・通訳),0)*(1+_15・A深夜)),0)+ROUND((ROUND((_15_同援日０．５＿１．５*_15・通訳),0)*(1+_15・B早朝)),0)+ROUND((_15_同援日０．５＿１．５＿０．５*_15・通訳),0)</f>
        <v>645</v>
      </c>
      <c r="AF91" s="69"/>
    </row>
    <row r="92" spans="1:32" ht="16.5" customHeight="1" x14ac:dyDescent="0.3">
      <c r="A92" s="2">
        <v>15</v>
      </c>
      <c r="B92" s="2" t="s">
        <v>4712</v>
      </c>
      <c r="C92" s="60" t="s">
        <v>15188</v>
      </c>
      <c r="D92" s="1"/>
      <c r="E92" s="68"/>
      <c r="F92" s="70"/>
      <c r="G92" s="1" t="s">
        <v>17070</v>
      </c>
      <c r="H92" s="68"/>
      <c r="I92" s="70"/>
      <c r="J92" s="1" t="s">
        <v>7928</v>
      </c>
      <c r="K92" s="68"/>
      <c r="L92" s="70"/>
      <c r="M92" s="67"/>
      <c r="N92" s="68"/>
      <c r="O92" s="76"/>
      <c r="P92" s="83" t="s">
        <v>5895</v>
      </c>
      <c r="Q92" s="64" t="s">
        <v>1</v>
      </c>
      <c r="R92" s="65">
        <v>1</v>
      </c>
      <c r="S92" s="99"/>
      <c r="T92" s="70"/>
      <c r="U92" s="99"/>
      <c r="V92" s="70"/>
      <c r="W92" s="81"/>
      <c r="X92" s="57"/>
      <c r="Y92" s="58"/>
      <c r="Z92" s="77"/>
      <c r="AA92" s="1"/>
      <c r="AB92" s="68"/>
      <c r="AC92" s="76"/>
      <c r="AD92" s="70"/>
      <c r="AE92" s="228">
        <f>ROUND((ROUND((ROUND((_15_同援日０．５*_15・通訳),0)*_15・２人),0)*(1+_15・A深夜)),0)+ROUND((ROUND((ROUND((_15_同援日０．５＿１．５*_15・通訳),0)*_15・２人),0)*(1+_15・B早朝)),0)+ROUND((ROUND((_15_同援日０．５＿１．５＿０．５*_15・通訳),0)*_15・２人),0)</f>
        <v>645</v>
      </c>
      <c r="AF92" s="69"/>
    </row>
    <row r="93" spans="1:32" ht="16.5" customHeight="1" x14ac:dyDescent="0.3">
      <c r="A93" s="2">
        <v>15</v>
      </c>
      <c r="B93" s="2" t="s">
        <v>4713</v>
      </c>
      <c r="C93" s="60" t="s">
        <v>15187</v>
      </c>
      <c r="D93" s="1"/>
      <c r="E93" s="68"/>
      <c r="F93" s="70"/>
      <c r="G93" s="1" t="s">
        <v>8767</v>
      </c>
      <c r="H93" s="68"/>
      <c r="I93" s="70"/>
      <c r="J93" s="1"/>
      <c r="K93" s="68"/>
      <c r="L93" s="70"/>
      <c r="M93" s="67"/>
      <c r="N93" s="68"/>
      <c r="O93" s="76"/>
      <c r="P93" s="83"/>
      <c r="Q93" s="64"/>
      <c r="R93" s="65"/>
      <c r="S93" s="99"/>
      <c r="T93" s="70"/>
      <c r="U93" s="99"/>
      <c r="V93" s="70"/>
      <c r="W93" s="74" t="s">
        <v>18087</v>
      </c>
      <c r="X93" s="62"/>
      <c r="Y93" s="63"/>
      <c r="Z93" s="75"/>
      <c r="AA93" s="1"/>
      <c r="AB93" s="68"/>
      <c r="AC93" s="76"/>
      <c r="AD93" s="70"/>
      <c r="AE93" s="228">
        <f>ROUND((ROUND((ROUND((_15_同援日０．５*_15・通訳),0)*(1+_15・A深夜)),0)*(1+_15・盲ろう)),0)+ROUND((ROUND((ROUND((_15_同援日０．５＿１．５*_15・通訳),0)*(1+_15・B早朝)),0)*(1+_15・盲ろう)),0)+ROUND((ROUND((_15_同援日０．５＿１．５＿０．５*_15・通訳),0)*(1+_15・盲ろう)),0)</f>
        <v>806</v>
      </c>
      <c r="AF93" s="69"/>
    </row>
    <row r="94" spans="1:32" ht="16.5" customHeight="1" x14ac:dyDescent="0.3">
      <c r="A94" s="2">
        <v>15</v>
      </c>
      <c r="B94" s="2" t="s">
        <v>4714</v>
      </c>
      <c r="C94" s="60" t="s">
        <v>15186</v>
      </c>
      <c r="D94" s="1"/>
      <c r="E94" s="68"/>
      <c r="F94" s="70"/>
      <c r="G94" s="1"/>
      <c r="H94" s="227">
        <v>301</v>
      </c>
      <c r="I94" s="70" t="s">
        <v>0</v>
      </c>
      <c r="J94" s="1"/>
      <c r="K94" s="119">
        <v>63</v>
      </c>
      <c r="L94" s="70" t="s">
        <v>0</v>
      </c>
      <c r="M94" s="67"/>
      <c r="N94" s="68"/>
      <c r="O94" s="76"/>
      <c r="P94" s="83" t="s">
        <v>5895</v>
      </c>
      <c r="Q94" s="64" t="s">
        <v>1</v>
      </c>
      <c r="R94" s="65">
        <v>1</v>
      </c>
      <c r="S94" s="99"/>
      <c r="T94" s="70"/>
      <c r="U94" s="99"/>
      <c r="V94" s="70"/>
      <c r="W94" s="81" t="s">
        <v>18086</v>
      </c>
      <c r="X94" s="57" t="s">
        <v>1</v>
      </c>
      <c r="Y94" s="58">
        <v>0.25</v>
      </c>
      <c r="Z94" s="77" t="s">
        <v>422</v>
      </c>
      <c r="AA94" s="81"/>
      <c r="AB94" s="57"/>
      <c r="AC94" s="58"/>
      <c r="AD94" s="77"/>
      <c r="AE94" s="228">
        <f>ROUND((ROUND((ROUND((ROUND((_15_同援日０．５*_15・通訳),0)*_15・２人),0)*(1+_15・A深夜)),0)*(1+_15・盲ろう)),0)+ROUND((ROUND((ROUND((ROUND((_15_同援日０．５＿１．５*_15・通訳),0)*_15・２人),0)*(1+_15・B早朝)),0)*(1+_15・盲ろう)),0)+ROUND((ROUND((ROUND((_15_同援日０．５＿１．５＿０．５*_15・通訳),0)*_15・２人),0)*(1+_15・盲ろう)),0)</f>
        <v>806</v>
      </c>
      <c r="AF94" s="69"/>
    </row>
    <row r="95" spans="1:32" ht="16.5" customHeight="1" x14ac:dyDescent="0.3">
      <c r="A95" s="2">
        <v>15</v>
      </c>
      <c r="B95" s="2" t="s">
        <v>4715</v>
      </c>
      <c r="C95" s="60" t="s">
        <v>15185</v>
      </c>
      <c r="D95" s="1"/>
      <c r="E95" s="68"/>
      <c r="F95" s="70"/>
      <c r="G95" s="1"/>
      <c r="H95" s="68"/>
      <c r="I95" s="70"/>
      <c r="J95" s="1"/>
      <c r="K95" s="68"/>
      <c r="L95" s="70"/>
      <c r="M95" s="67"/>
      <c r="N95" s="68"/>
      <c r="O95" s="76"/>
      <c r="P95" s="83"/>
      <c r="Q95" s="64"/>
      <c r="R95" s="65"/>
      <c r="S95" s="99"/>
      <c r="T95" s="70"/>
      <c r="U95" s="99"/>
      <c r="V95" s="70"/>
      <c r="W95" s="74"/>
      <c r="X95" s="62"/>
      <c r="Y95" s="63"/>
      <c r="Z95" s="75"/>
      <c r="AA95" s="74" t="s">
        <v>8098</v>
      </c>
      <c r="AB95" s="62"/>
      <c r="AC95" s="63"/>
      <c r="AD95" s="75"/>
      <c r="AE95" s="228">
        <f>ROUND((ROUND((ROUND((_15_同援日０．５*_15・通訳),0)*(1+_15・A深夜)),0)*(1+_15・区３)),0)+ROUND((ROUND((ROUND((_15_同援日０．５＿１．５*_15・通訳),0)*(1+_15・B早朝)),0)*(1+_15・区３)),0)+ROUND((ROUND((_15_同援日０．５＿１．５＿０．５*_15・通訳),0)*(1+_15・区３)),0)</f>
        <v>774</v>
      </c>
      <c r="AF95" s="69"/>
    </row>
    <row r="96" spans="1:32" ht="16.5" customHeight="1" x14ac:dyDescent="0.3">
      <c r="A96" s="2">
        <v>15</v>
      </c>
      <c r="B96" s="2" t="s">
        <v>4716</v>
      </c>
      <c r="C96" s="60" t="s">
        <v>15184</v>
      </c>
      <c r="D96" s="1"/>
      <c r="E96" s="68"/>
      <c r="F96" s="70"/>
      <c r="G96" s="1"/>
      <c r="H96" s="68"/>
      <c r="I96" s="70"/>
      <c r="J96" s="1"/>
      <c r="K96" s="68"/>
      <c r="L96" s="70"/>
      <c r="M96" s="67"/>
      <c r="N96" s="68"/>
      <c r="O96" s="76"/>
      <c r="P96" s="83" t="s">
        <v>5895</v>
      </c>
      <c r="Q96" s="64" t="s">
        <v>1</v>
      </c>
      <c r="R96" s="65">
        <v>1</v>
      </c>
      <c r="S96" s="99"/>
      <c r="T96" s="70"/>
      <c r="U96" s="99"/>
      <c r="V96" s="70"/>
      <c r="W96" s="81"/>
      <c r="X96" s="57"/>
      <c r="Y96" s="58"/>
      <c r="Z96" s="77"/>
      <c r="AA96" s="1" t="s">
        <v>18084</v>
      </c>
      <c r="AB96" s="68"/>
      <c r="AC96" s="76"/>
      <c r="AD96" s="70"/>
      <c r="AE96" s="228">
        <f>ROUND((ROUND((ROUND((ROUND((_15_同援日０．５*_15・通訳),0)*_15・２人),0)*(1+_15・A深夜)),0)*(1+_15・区３)),0)+ROUND((ROUND((ROUND((ROUND((_15_同援日０．５＿１．５*_15・通訳),0)*_15・２人),0)*(1+_15・B早朝)),0)*(1+_15・区３)),0)+ROUND((ROUND((ROUND((_15_同援日０．５＿１．５＿０．５*_15・通訳),0)*_15・２人),0)*(1+_15・区３)),0)</f>
        <v>774</v>
      </c>
      <c r="AF96" s="69"/>
    </row>
    <row r="97" spans="1:32" ht="16.5" customHeight="1" x14ac:dyDescent="0.3">
      <c r="A97" s="2">
        <v>15</v>
      </c>
      <c r="B97" s="2" t="s">
        <v>4717</v>
      </c>
      <c r="C97" s="60" t="s">
        <v>15183</v>
      </c>
      <c r="D97" s="1"/>
      <c r="E97" s="68"/>
      <c r="F97" s="70"/>
      <c r="G97" s="1"/>
      <c r="H97" s="68"/>
      <c r="I97" s="70"/>
      <c r="J97" s="1"/>
      <c r="K97" s="68"/>
      <c r="L97" s="70"/>
      <c r="M97" s="67"/>
      <c r="N97" s="68"/>
      <c r="O97" s="76"/>
      <c r="P97" s="83"/>
      <c r="Q97" s="64"/>
      <c r="R97" s="65"/>
      <c r="S97" s="99"/>
      <c r="T97" s="70"/>
      <c r="U97" s="99"/>
      <c r="V97" s="70"/>
      <c r="W97" s="74" t="s">
        <v>18087</v>
      </c>
      <c r="X97" s="62"/>
      <c r="Y97" s="63"/>
      <c r="Z97" s="75"/>
      <c r="AA97" s="1"/>
      <c r="AB97" s="68" t="s">
        <v>1</v>
      </c>
      <c r="AC97" s="76">
        <v>0.2</v>
      </c>
      <c r="AD97" s="70" t="s">
        <v>422</v>
      </c>
      <c r="AE97" s="228">
        <f>ROUND((ROUND((ROUND((ROUND((_15_同援日０．５*_15・通訳),0)*(1+_15・A深夜)),0)*(1+_15・盲ろう)),0)*(1+_15・区３)),0)+ROUND((ROUND((ROUND((ROUND((_15_同援日０．５＿１．５*_15・通訳),0)*(1+_15・B早朝)),0)*(1+_15・盲ろう)),0)*(1+_15・区３)),0)+ROUND((ROUND((ROUND((_15_同援日０．５＿１．５＿０．５*_15・通訳),0)*(1+_15・盲ろう)),0)*(1+_15・区３)),0)</f>
        <v>967</v>
      </c>
      <c r="AF97" s="69"/>
    </row>
    <row r="98" spans="1:32" ht="16.5" customHeight="1" x14ac:dyDescent="0.3">
      <c r="A98" s="2">
        <v>15</v>
      </c>
      <c r="B98" s="2" t="s">
        <v>4718</v>
      </c>
      <c r="C98" s="60" t="s">
        <v>15182</v>
      </c>
      <c r="D98" s="1"/>
      <c r="E98" s="68"/>
      <c r="F98" s="70"/>
      <c r="G98" s="1"/>
      <c r="H98" s="68"/>
      <c r="I98" s="70"/>
      <c r="J98" s="1"/>
      <c r="K98" s="68"/>
      <c r="L98" s="70"/>
      <c r="M98" s="67"/>
      <c r="N98" s="68"/>
      <c r="O98" s="76"/>
      <c r="P98" s="83" t="s">
        <v>5895</v>
      </c>
      <c r="Q98" s="64" t="s">
        <v>1</v>
      </c>
      <c r="R98" s="65">
        <v>1</v>
      </c>
      <c r="S98" s="99"/>
      <c r="T98" s="70"/>
      <c r="U98" s="99"/>
      <c r="V98" s="70"/>
      <c r="W98" s="81" t="s">
        <v>8083</v>
      </c>
      <c r="X98" s="57" t="s">
        <v>1</v>
      </c>
      <c r="Y98" s="58">
        <v>0.25</v>
      </c>
      <c r="Z98" s="77" t="s">
        <v>422</v>
      </c>
      <c r="AA98" s="81"/>
      <c r="AB98" s="57"/>
      <c r="AC98" s="58"/>
      <c r="AD98" s="77"/>
      <c r="AE98" s="228">
        <f>ROUND((ROUND((ROUND((ROUND((ROUND((_15_同援日０．５*_15・通訳),0)*_15・２人),0)*(1+_15・A深夜)),0)*(1+_15・盲ろう)),0)*(1+_15・区３)),0)+ROUND((ROUND((ROUND((ROUND((ROUND((_15_同援日０．５＿１．５*_15・通訳),0)*_15・２人),0)*(1+_15・B早朝)),0)*(1+_15・盲ろう)),0)*(1+_15・区３)),0)+ROUND((ROUND((ROUND((ROUND((_15_同援日０．５＿１．５＿０．５*_15・通訳),0)*_15・２人),0)*(1+_15・盲ろう)),0)*(1+_15・区３)),0)</f>
        <v>967</v>
      </c>
      <c r="AF98" s="69"/>
    </row>
    <row r="99" spans="1:32" ht="16.5" customHeight="1" x14ac:dyDescent="0.3">
      <c r="A99" s="2">
        <v>15</v>
      </c>
      <c r="B99" s="2" t="s">
        <v>4719</v>
      </c>
      <c r="C99" s="60" t="s">
        <v>15181</v>
      </c>
      <c r="D99" s="1"/>
      <c r="E99" s="68"/>
      <c r="F99" s="70"/>
      <c r="G99" s="1"/>
      <c r="H99" s="68"/>
      <c r="I99" s="70"/>
      <c r="J99" s="1"/>
      <c r="K99" s="68"/>
      <c r="L99" s="70"/>
      <c r="M99" s="67"/>
      <c r="N99" s="68"/>
      <c r="O99" s="76"/>
      <c r="P99" s="83"/>
      <c r="Q99" s="64"/>
      <c r="R99" s="65"/>
      <c r="S99" s="99"/>
      <c r="T99" s="70"/>
      <c r="U99" s="99"/>
      <c r="V99" s="70"/>
      <c r="W99" s="74"/>
      <c r="X99" s="62"/>
      <c r="Y99" s="63"/>
      <c r="Z99" s="75"/>
      <c r="AA99" s="74" t="s">
        <v>18094</v>
      </c>
      <c r="AB99" s="62"/>
      <c r="AC99" s="63"/>
      <c r="AD99" s="75"/>
      <c r="AE99" s="228">
        <f>ROUND((ROUND((ROUND((_15_同援日０．５*_15・通訳),0)*(1+_15・A深夜)),0)*(1+_15・区４)),0)+ROUND((ROUND((ROUND((_15_同援日０．５＿１．５*_15・通訳),0)*(1+_15・B早朝)),0)*(1+_15・区４)),0)+ROUND((ROUND((_15_同援日０．５＿１．５＿０．５*_15・通訳),0)*(1+_15・区４)),0)</f>
        <v>904</v>
      </c>
      <c r="AF99" s="69"/>
    </row>
    <row r="100" spans="1:32" ht="16.5" customHeight="1" x14ac:dyDescent="0.3">
      <c r="A100" s="2">
        <v>15</v>
      </c>
      <c r="B100" s="2" t="s">
        <v>4720</v>
      </c>
      <c r="C100" s="60" t="s">
        <v>15180</v>
      </c>
      <c r="D100" s="1"/>
      <c r="E100" s="68"/>
      <c r="F100" s="70"/>
      <c r="G100" s="1"/>
      <c r="H100" s="68"/>
      <c r="I100" s="70"/>
      <c r="J100" s="1"/>
      <c r="K100" s="68"/>
      <c r="L100" s="70"/>
      <c r="M100" s="67"/>
      <c r="N100" s="68"/>
      <c r="O100" s="76"/>
      <c r="P100" s="83" t="s">
        <v>5895</v>
      </c>
      <c r="Q100" s="64" t="s">
        <v>1</v>
      </c>
      <c r="R100" s="65">
        <v>1</v>
      </c>
      <c r="S100" s="99"/>
      <c r="T100" s="70"/>
      <c r="U100" s="99"/>
      <c r="V100" s="70"/>
      <c r="W100" s="81"/>
      <c r="X100" s="57"/>
      <c r="Y100" s="58"/>
      <c r="Z100" s="77"/>
      <c r="AA100" s="1" t="s">
        <v>18084</v>
      </c>
      <c r="AB100" s="68"/>
      <c r="AC100" s="76"/>
      <c r="AD100" s="70"/>
      <c r="AE100" s="228">
        <f>ROUND((ROUND((ROUND((ROUND((_15_同援日０．５*_15・通訳),0)*_15・２人),0)*(1+_15・A深夜)),0)*(1+_15・区４)),0)+ROUND((ROUND((ROUND((ROUND((_15_同援日０．５＿１．５*_15・通訳),0)*_15・２人),0)*(1+_15・B早朝)),0)*(1+_15・区４)),0)+ROUND((ROUND((ROUND((_15_同援日０．５＿１．５＿０．５*_15・通訳),0)*_15・２人),0)*(1+_15・区４)),0)</f>
        <v>904</v>
      </c>
      <c r="AF100" s="69"/>
    </row>
    <row r="101" spans="1:32" ht="16.5" customHeight="1" x14ac:dyDescent="0.3">
      <c r="A101" s="2">
        <v>15</v>
      </c>
      <c r="B101" s="2" t="s">
        <v>4721</v>
      </c>
      <c r="C101" s="60" t="s">
        <v>15179</v>
      </c>
      <c r="D101" s="1"/>
      <c r="E101" s="68"/>
      <c r="F101" s="70"/>
      <c r="G101" s="1"/>
      <c r="H101" s="68"/>
      <c r="I101" s="70"/>
      <c r="J101" s="1"/>
      <c r="K101" s="68"/>
      <c r="L101" s="70"/>
      <c r="M101" s="67"/>
      <c r="N101" s="68"/>
      <c r="O101" s="76"/>
      <c r="P101" s="83"/>
      <c r="Q101" s="64"/>
      <c r="R101" s="65"/>
      <c r="S101" s="99"/>
      <c r="T101" s="70"/>
      <c r="U101" s="99"/>
      <c r="V101" s="70"/>
      <c r="W101" s="74" t="s">
        <v>8085</v>
      </c>
      <c r="X101" s="62"/>
      <c r="Y101" s="63"/>
      <c r="Z101" s="75"/>
      <c r="AA101" s="1"/>
      <c r="AB101" s="68" t="s">
        <v>1</v>
      </c>
      <c r="AC101" s="76">
        <v>0.4</v>
      </c>
      <c r="AD101" s="70" t="s">
        <v>422</v>
      </c>
      <c r="AE101" s="228">
        <f>ROUND((ROUND((ROUND((ROUND((_15_同援日０．５*_15・通訳),0)*(1+_15・A深夜)),0)*(1+_15・盲ろう)),0)*(1+_15・区４)),0)+ROUND((ROUND((ROUND((ROUND((_15_同援日０．５＿１．５*_15・通訳),0)*(1+_15・B早朝)),0)*(1+_15・盲ろう)),0)*(1+_15・区４)),0)+ROUND((ROUND((ROUND((_15_同援日０．５＿１．５＿０．５*_15・通訳),0)*(1+_15・盲ろう)),0)*(1+_15・区４)),0)</f>
        <v>1128</v>
      </c>
      <c r="AF101" s="69"/>
    </row>
    <row r="102" spans="1:32" ht="16.5" customHeight="1" x14ac:dyDescent="0.3">
      <c r="A102" s="2">
        <v>15</v>
      </c>
      <c r="B102" s="2" t="s">
        <v>4722</v>
      </c>
      <c r="C102" s="60" t="s">
        <v>15178</v>
      </c>
      <c r="D102" s="1"/>
      <c r="E102" s="68"/>
      <c r="F102" s="70"/>
      <c r="G102" s="1"/>
      <c r="H102" s="68"/>
      <c r="I102" s="70"/>
      <c r="J102" s="81"/>
      <c r="K102" s="57"/>
      <c r="L102" s="77"/>
      <c r="M102" s="67"/>
      <c r="N102" s="68"/>
      <c r="O102" s="76"/>
      <c r="P102" s="83" t="s">
        <v>5895</v>
      </c>
      <c r="Q102" s="64" t="s">
        <v>1</v>
      </c>
      <c r="R102" s="65">
        <v>1</v>
      </c>
      <c r="S102" s="99"/>
      <c r="T102" s="70"/>
      <c r="U102" s="99"/>
      <c r="V102" s="70"/>
      <c r="W102" s="81" t="s">
        <v>18086</v>
      </c>
      <c r="X102" s="57" t="s">
        <v>1</v>
      </c>
      <c r="Y102" s="58">
        <v>0.25</v>
      </c>
      <c r="Z102" s="77" t="s">
        <v>422</v>
      </c>
      <c r="AA102" s="81"/>
      <c r="AB102" s="57"/>
      <c r="AC102" s="58"/>
      <c r="AD102" s="77"/>
      <c r="AE102" s="228">
        <f>ROUND((ROUND((ROUND((ROUND((ROUND((_15_同援日０．５*_15・通訳),0)*_15・２人),0)*(1+_15・A深夜)),0)*(1+_15・盲ろう)),0)*(1+_15・区４)),0)+ROUND((ROUND((ROUND((ROUND((ROUND((_15_同援日０．５＿１．５*_15・通訳),0)*_15・２人),0)*(1+_15・B早朝)),0)*(1+_15・盲ろう)),0)*(1+_15・区４)),0)+ROUND((ROUND((ROUND((ROUND((_15_同援日０．５＿１．５＿０．５*_15・通訳),0)*_15・２人),0)*(1+_15・盲ろう)),0)*(1+_15・区４)),0)</f>
        <v>1128</v>
      </c>
      <c r="AF102" s="69"/>
    </row>
    <row r="103" spans="1:32" ht="16.5" customHeight="1" x14ac:dyDescent="0.3">
      <c r="A103" s="2">
        <v>15</v>
      </c>
      <c r="B103" s="2" t="s">
        <v>4723</v>
      </c>
      <c r="C103" s="60" t="s">
        <v>15177</v>
      </c>
      <c r="D103" s="1"/>
      <c r="E103" s="68"/>
      <c r="F103" s="70"/>
      <c r="G103" s="1"/>
      <c r="H103" s="68"/>
      <c r="I103" s="70"/>
      <c r="J103" s="74" t="s">
        <v>17106</v>
      </c>
      <c r="K103" s="62"/>
      <c r="L103" s="75"/>
      <c r="M103" s="67"/>
      <c r="N103" s="68"/>
      <c r="O103" s="76"/>
      <c r="P103" s="83"/>
      <c r="Q103" s="64"/>
      <c r="R103" s="65"/>
      <c r="S103" s="99"/>
      <c r="T103" s="70"/>
      <c r="U103" s="99"/>
      <c r="V103" s="70"/>
      <c r="W103" s="74"/>
      <c r="X103" s="62"/>
      <c r="Y103" s="63"/>
      <c r="Z103" s="75"/>
      <c r="AA103" s="74"/>
      <c r="AB103" s="62"/>
      <c r="AC103" s="63"/>
      <c r="AD103" s="75"/>
      <c r="AE103" s="228">
        <f>ROUND((ROUND((_15_同援日０．５*_15・通訳),0)*(1+_15・A深夜)),0)+ROUND((ROUND((_15_同援日０．５＿１．５*_15・通訳),0)*(1+_15・B早朝)),0)+ROUND((_15_同援日０．５＿１．５＿１．０*_15・通訳),0)</f>
        <v>701</v>
      </c>
      <c r="AF103" s="69"/>
    </row>
    <row r="104" spans="1:32" ht="16.5" customHeight="1" x14ac:dyDescent="0.3">
      <c r="A104" s="2">
        <v>15</v>
      </c>
      <c r="B104" s="2" t="s">
        <v>4724</v>
      </c>
      <c r="C104" s="60" t="s">
        <v>15176</v>
      </c>
      <c r="D104" s="1"/>
      <c r="E104" s="68"/>
      <c r="F104" s="70"/>
      <c r="G104" s="1"/>
      <c r="H104" s="68"/>
      <c r="I104" s="70"/>
      <c r="J104" s="1" t="s">
        <v>17067</v>
      </c>
      <c r="K104" s="68"/>
      <c r="L104" s="70"/>
      <c r="M104" s="67"/>
      <c r="N104" s="68"/>
      <c r="O104" s="76"/>
      <c r="P104" s="83" t="s">
        <v>5895</v>
      </c>
      <c r="Q104" s="64" t="s">
        <v>1</v>
      </c>
      <c r="R104" s="65">
        <v>1</v>
      </c>
      <c r="S104" s="99"/>
      <c r="T104" s="70"/>
      <c r="U104" s="99"/>
      <c r="V104" s="70"/>
      <c r="W104" s="81"/>
      <c r="X104" s="57"/>
      <c r="Y104" s="58"/>
      <c r="Z104" s="77"/>
      <c r="AA104" s="1"/>
      <c r="AB104" s="68"/>
      <c r="AC104" s="76"/>
      <c r="AD104" s="70"/>
      <c r="AE104" s="228">
        <f>ROUND((ROUND((ROUND((_15_同援日０．５*_15・通訳),0)*_15・２人),0)*(1+_15・A深夜)),0)+ROUND((ROUND((ROUND((_15_同援日０．５＿１．５*_15・通訳),0)*_15・２人),0)*(1+_15・B早朝)),0)+ROUND((ROUND((_15_同援日０．５＿１．５＿１．０*_15・通訳),0)*_15・２人),0)</f>
        <v>701</v>
      </c>
      <c r="AF104" s="69"/>
    </row>
    <row r="105" spans="1:32" ht="16.5" customHeight="1" x14ac:dyDescent="0.3">
      <c r="A105" s="2">
        <v>15</v>
      </c>
      <c r="B105" s="2" t="s">
        <v>4725</v>
      </c>
      <c r="C105" s="60" t="s">
        <v>15175</v>
      </c>
      <c r="D105" s="1"/>
      <c r="E105" s="68"/>
      <c r="F105" s="70"/>
      <c r="G105" s="1"/>
      <c r="H105" s="68"/>
      <c r="I105" s="70"/>
      <c r="J105" s="1" t="s">
        <v>8572</v>
      </c>
      <c r="K105" s="68"/>
      <c r="L105" s="70"/>
      <c r="M105" s="67"/>
      <c r="N105" s="68"/>
      <c r="O105" s="76"/>
      <c r="P105" s="83"/>
      <c r="Q105" s="64"/>
      <c r="R105" s="65"/>
      <c r="S105" s="99"/>
      <c r="T105" s="70"/>
      <c r="U105" s="99"/>
      <c r="V105" s="70"/>
      <c r="W105" s="74" t="s">
        <v>8085</v>
      </c>
      <c r="X105" s="62"/>
      <c r="Y105" s="63"/>
      <c r="Z105" s="75"/>
      <c r="AA105" s="1"/>
      <c r="AB105" s="68"/>
      <c r="AC105" s="76"/>
      <c r="AD105" s="70"/>
      <c r="AE105" s="228">
        <f>ROUND((ROUND((ROUND((_15_同援日０．５*_15・通訳),0)*(1+_15・A深夜)),0)*(1+_15・盲ろう)),0)+ROUND((ROUND((ROUND((_15_同援日０．５＿１．５*_15・通訳),0)*(1+_15・B早朝)),0)*(1+_15・盲ろう)),0)+ROUND((ROUND((_15_同援日０．５＿１．５＿１．０*_15・通訳),0)*(1+_15・盲ろう)),0)</f>
        <v>876</v>
      </c>
      <c r="AF105" s="69"/>
    </row>
    <row r="106" spans="1:32" ht="16.5" customHeight="1" x14ac:dyDescent="0.3">
      <c r="A106" s="2">
        <v>15</v>
      </c>
      <c r="B106" s="2" t="s">
        <v>4726</v>
      </c>
      <c r="C106" s="60" t="s">
        <v>15174</v>
      </c>
      <c r="D106" s="1"/>
      <c r="E106" s="68"/>
      <c r="F106" s="70"/>
      <c r="G106" s="1"/>
      <c r="H106" s="68"/>
      <c r="I106" s="70"/>
      <c r="J106" s="1"/>
      <c r="K106" s="119">
        <v>126</v>
      </c>
      <c r="L106" s="70" t="s">
        <v>0</v>
      </c>
      <c r="M106" s="67"/>
      <c r="N106" s="68"/>
      <c r="O106" s="76"/>
      <c r="P106" s="83" t="s">
        <v>5895</v>
      </c>
      <c r="Q106" s="64" t="s">
        <v>1</v>
      </c>
      <c r="R106" s="65">
        <v>1</v>
      </c>
      <c r="S106" s="99"/>
      <c r="T106" s="70"/>
      <c r="U106" s="99"/>
      <c r="V106" s="70"/>
      <c r="W106" s="81" t="s">
        <v>18115</v>
      </c>
      <c r="X106" s="57" t="s">
        <v>1</v>
      </c>
      <c r="Y106" s="58">
        <v>0.25</v>
      </c>
      <c r="Z106" s="77" t="s">
        <v>422</v>
      </c>
      <c r="AA106" s="81"/>
      <c r="AB106" s="57"/>
      <c r="AC106" s="58"/>
      <c r="AD106" s="77"/>
      <c r="AE106" s="228">
        <f>ROUND((ROUND((ROUND((ROUND((_15_同援日０．５*_15・通訳),0)*_15・２人),0)*(1+_15・A深夜)),0)*(1+_15・盲ろう)),0)+ROUND((ROUND((ROUND((ROUND((_15_同援日０．５＿１．５*_15・通訳),0)*_15・２人),0)*(1+_15・B早朝)),0)*(1+_15・盲ろう)),0)+ROUND((ROUND((ROUND((_15_同援日０．５＿１．５＿１．０*_15・通訳),0)*_15・２人),0)*(1+_15・盲ろう)),0)</f>
        <v>876</v>
      </c>
      <c r="AF106" s="69"/>
    </row>
    <row r="107" spans="1:32" ht="16.5" customHeight="1" x14ac:dyDescent="0.3">
      <c r="A107" s="2">
        <v>15</v>
      </c>
      <c r="B107" s="2" t="s">
        <v>4727</v>
      </c>
      <c r="C107" s="60" t="s">
        <v>15173</v>
      </c>
      <c r="D107" s="1"/>
      <c r="E107" s="68"/>
      <c r="F107" s="70"/>
      <c r="G107" s="1"/>
      <c r="H107" s="68"/>
      <c r="I107" s="70"/>
      <c r="J107" s="1"/>
      <c r="K107" s="68"/>
      <c r="L107" s="70"/>
      <c r="M107" s="67"/>
      <c r="N107" s="68"/>
      <c r="O107" s="76"/>
      <c r="P107" s="83"/>
      <c r="Q107" s="64"/>
      <c r="R107" s="65"/>
      <c r="S107" s="99"/>
      <c r="T107" s="70"/>
      <c r="U107" s="99"/>
      <c r="V107" s="70"/>
      <c r="W107" s="74"/>
      <c r="X107" s="62"/>
      <c r="Y107" s="63"/>
      <c r="Z107" s="75"/>
      <c r="AA107" s="74" t="s">
        <v>18089</v>
      </c>
      <c r="AB107" s="62"/>
      <c r="AC107" s="63"/>
      <c r="AD107" s="75"/>
      <c r="AE107" s="228">
        <f>ROUND((ROUND((ROUND((_15_同援日０．５*_15・通訳),0)*(1+_15・A深夜)),0)*(1+_15・区３)),0)+ROUND((ROUND((ROUND((_15_同援日０．５＿１．５*_15・通訳),0)*(1+_15・B早朝)),0)*(1+_15・区３)),0)+ROUND((ROUND((_15_同援日０．５＿１．５＿１．０*_15・通訳),0)*(1+_15・区３)),0)</f>
        <v>842</v>
      </c>
      <c r="AF107" s="69"/>
    </row>
    <row r="108" spans="1:32" ht="16.5" customHeight="1" x14ac:dyDescent="0.3">
      <c r="A108" s="2">
        <v>15</v>
      </c>
      <c r="B108" s="2" t="s">
        <v>4728</v>
      </c>
      <c r="C108" s="60" t="s">
        <v>15172</v>
      </c>
      <c r="D108" s="1"/>
      <c r="E108" s="68"/>
      <c r="F108" s="70"/>
      <c r="G108" s="1"/>
      <c r="H108" s="68"/>
      <c r="I108" s="70"/>
      <c r="J108" s="1"/>
      <c r="K108" s="68"/>
      <c r="L108" s="70"/>
      <c r="M108" s="67"/>
      <c r="N108" s="68"/>
      <c r="O108" s="76"/>
      <c r="P108" s="83" t="s">
        <v>5895</v>
      </c>
      <c r="Q108" s="64" t="s">
        <v>1</v>
      </c>
      <c r="R108" s="65">
        <v>1</v>
      </c>
      <c r="S108" s="99"/>
      <c r="T108" s="70"/>
      <c r="U108" s="99"/>
      <c r="V108" s="70"/>
      <c r="W108" s="81"/>
      <c r="X108" s="57"/>
      <c r="Y108" s="58"/>
      <c r="Z108" s="77"/>
      <c r="AA108" s="1" t="s">
        <v>8087</v>
      </c>
      <c r="AB108" s="68"/>
      <c r="AC108" s="76"/>
      <c r="AD108" s="70"/>
      <c r="AE108" s="228">
        <f>ROUND((ROUND((ROUND((ROUND((_15_同援日０．５*_15・通訳),0)*_15・２人),0)*(1+_15・A深夜)),0)*(1+_15・区３)),0)+ROUND((ROUND((ROUND((ROUND((_15_同援日０．５＿１．５*_15・通訳),0)*_15・２人),0)*(1+_15・B早朝)),0)*(1+_15・区３)),0)+ROUND((ROUND((ROUND((_15_同援日０．５＿１．５＿１．０*_15・通訳),0)*_15・２人),0)*(1+_15・区３)),0)</f>
        <v>842</v>
      </c>
      <c r="AF108" s="69"/>
    </row>
    <row r="109" spans="1:32" ht="16.5" customHeight="1" x14ac:dyDescent="0.3">
      <c r="A109" s="2">
        <v>15</v>
      </c>
      <c r="B109" s="2" t="s">
        <v>4729</v>
      </c>
      <c r="C109" s="60" t="s">
        <v>15171</v>
      </c>
      <c r="D109" s="1"/>
      <c r="E109" s="68"/>
      <c r="F109" s="70"/>
      <c r="G109" s="1"/>
      <c r="H109" s="68"/>
      <c r="I109" s="70"/>
      <c r="J109" s="1"/>
      <c r="K109" s="68"/>
      <c r="L109" s="70"/>
      <c r="M109" s="67"/>
      <c r="N109" s="68"/>
      <c r="O109" s="76"/>
      <c r="P109" s="83"/>
      <c r="Q109" s="64"/>
      <c r="R109" s="65"/>
      <c r="S109" s="99"/>
      <c r="T109" s="70"/>
      <c r="U109" s="99"/>
      <c r="V109" s="70"/>
      <c r="W109" s="74" t="s">
        <v>18087</v>
      </c>
      <c r="X109" s="62"/>
      <c r="Y109" s="63"/>
      <c r="Z109" s="75"/>
      <c r="AA109" s="1"/>
      <c r="AB109" s="68" t="s">
        <v>1</v>
      </c>
      <c r="AC109" s="76">
        <v>0.2</v>
      </c>
      <c r="AD109" s="70" t="s">
        <v>422</v>
      </c>
      <c r="AE109" s="228">
        <f>ROUND((ROUND((ROUND((ROUND((_15_同援日０．５*_15・通訳),0)*(1+_15・A深夜)),0)*(1+_15・盲ろう)),0)*(1+_15・区３)),0)+ROUND((ROUND((ROUND((ROUND((_15_同援日０．５＿１．５*_15・通訳),0)*(1+_15・B早朝)),0)*(1+_15・盲ろう)),0)*(1+_15・区３)),0)+ROUND((ROUND((ROUND((_15_同援日０．５＿１．５＿１．０*_15・通訳),0)*(1+_15・盲ろう)),0)*(1+_15・区３)),0)</f>
        <v>1051</v>
      </c>
      <c r="AF109" s="69"/>
    </row>
    <row r="110" spans="1:32" ht="16.5" customHeight="1" x14ac:dyDescent="0.3">
      <c r="A110" s="2">
        <v>15</v>
      </c>
      <c r="B110" s="2" t="s">
        <v>4730</v>
      </c>
      <c r="C110" s="60" t="s">
        <v>15170</v>
      </c>
      <c r="D110" s="1"/>
      <c r="E110" s="68"/>
      <c r="F110" s="70"/>
      <c r="G110" s="1"/>
      <c r="H110" s="68"/>
      <c r="I110" s="70"/>
      <c r="J110" s="1"/>
      <c r="K110" s="68"/>
      <c r="L110" s="70"/>
      <c r="M110" s="67"/>
      <c r="N110" s="68"/>
      <c r="O110" s="76"/>
      <c r="P110" s="83" t="s">
        <v>5895</v>
      </c>
      <c r="Q110" s="64" t="s">
        <v>1</v>
      </c>
      <c r="R110" s="65">
        <v>1</v>
      </c>
      <c r="S110" s="99"/>
      <c r="T110" s="70"/>
      <c r="U110" s="99"/>
      <c r="V110" s="70"/>
      <c r="W110" s="81" t="s">
        <v>18086</v>
      </c>
      <c r="X110" s="57" t="s">
        <v>1</v>
      </c>
      <c r="Y110" s="58">
        <v>0.25</v>
      </c>
      <c r="Z110" s="77" t="s">
        <v>422</v>
      </c>
      <c r="AA110" s="81"/>
      <c r="AB110" s="57"/>
      <c r="AC110" s="58"/>
      <c r="AD110" s="77"/>
      <c r="AE110" s="228">
        <f>ROUND((ROUND((ROUND((ROUND((ROUND((_15_同援日０．５*_15・通訳),0)*_15・２人),0)*(1+_15・A深夜)),0)*(1+_15・盲ろう)),0)*(1+_15・区３)),0)+ROUND((ROUND((ROUND((ROUND((ROUND((_15_同援日０．５＿１．５*_15・通訳),0)*_15・２人),0)*(1+_15・B早朝)),0)*(1+_15・盲ろう)),0)*(1+_15・区３)),0)+ROUND((ROUND((ROUND((ROUND((_15_同援日０．５＿１．５＿１．０*_15・通訳),0)*_15・２人),0)*(1+_15・盲ろう)),0)*(1+_15・区３)),0)</f>
        <v>1051</v>
      </c>
      <c r="AF110" s="69"/>
    </row>
    <row r="111" spans="1:32" ht="16.5" customHeight="1" x14ac:dyDescent="0.3">
      <c r="A111" s="2">
        <v>15</v>
      </c>
      <c r="B111" s="2" t="s">
        <v>4731</v>
      </c>
      <c r="C111" s="60" t="s">
        <v>15169</v>
      </c>
      <c r="D111" s="1"/>
      <c r="E111" s="68"/>
      <c r="F111" s="70"/>
      <c r="G111" s="1"/>
      <c r="H111" s="68"/>
      <c r="I111" s="70"/>
      <c r="J111" s="1"/>
      <c r="K111" s="68"/>
      <c r="L111" s="70"/>
      <c r="M111" s="67"/>
      <c r="N111" s="68"/>
      <c r="O111" s="76"/>
      <c r="P111" s="83"/>
      <c r="Q111" s="64"/>
      <c r="R111" s="65"/>
      <c r="S111" s="99"/>
      <c r="T111" s="70"/>
      <c r="U111" s="99"/>
      <c r="V111" s="70"/>
      <c r="W111" s="74"/>
      <c r="X111" s="62"/>
      <c r="Y111" s="63"/>
      <c r="Z111" s="75"/>
      <c r="AA111" s="74" t="s">
        <v>18094</v>
      </c>
      <c r="AB111" s="62"/>
      <c r="AC111" s="63"/>
      <c r="AD111" s="75"/>
      <c r="AE111" s="228">
        <f>ROUND((ROUND((ROUND((_15_同援日０．５*_15・通訳),0)*(1+_15・A深夜)),0)*(1+_15・区４)),0)+ROUND((ROUND((ROUND((_15_同援日０．５＿１．５*_15・通訳),0)*(1+_15・B早朝)),0)*(1+_15・区４)),0)+ROUND((ROUND((_15_同援日０．５＿１．５＿１．０*_15・通訳),0)*(1+_15・区４)),0)</f>
        <v>982</v>
      </c>
      <c r="AF111" s="69"/>
    </row>
    <row r="112" spans="1:32" ht="16.5" customHeight="1" x14ac:dyDescent="0.3">
      <c r="A112" s="2">
        <v>15</v>
      </c>
      <c r="B112" s="2" t="s">
        <v>4732</v>
      </c>
      <c r="C112" s="60" t="s">
        <v>15168</v>
      </c>
      <c r="D112" s="1"/>
      <c r="E112" s="68"/>
      <c r="F112" s="70"/>
      <c r="G112" s="1"/>
      <c r="H112" s="68"/>
      <c r="I112" s="70"/>
      <c r="J112" s="1"/>
      <c r="K112" s="68"/>
      <c r="L112" s="70"/>
      <c r="M112" s="67"/>
      <c r="N112" s="68"/>
      <c r="O112" s="76"/>
      <c r="P112" s="83" t="s">
        <v>5895</v>
      </c>
      <c r="Q112" s="64" t="s">
        <v>1</v>
      </c>
      <c r="R112" s="65">
        <v>1</v>
      </c>
      <c r="S112" s="99"/>
      <c r="T112" s="70"/>
      <c r="U112" s="99"/>
      <c r="V112" s="70"/>
      <c r="W112" s="81"/>
      <c r="X112" s="57"/>
      <c r="Y112" s="58"/>
      <c r="Z112" s="77"/>
      <c r="AA112" s="1" t="s">
        <v>8087</v>
      </c>
      <c r="AB112" s="68"/>
      <c r="AC112" s="76"/>
      <c r="AD112" s="70"/>
      <c r="AE112" s="228">
        <f>ROUND((ROUND((ROUND((ROUND((_15_同援日０．５*_15・通訳),0)*_15・２人),0)*(1+_15・A深夜)),0)*(1+_15・区４)),0)+ROUND((ROUND((ROUND((ROUND((_15_同援日０．５＿１．５*_15・通訳),0)*_15・２人),0)*(1+_15・B早朝)),0)*(1+_15・区４)),0)+ROUND((ROUND((ROUND((_15_同援日０．５＿１．５＿１．０*_15・通訳),0)*_15・２人),0)*(1+_15・区４)),0)</f>
        <v>982</v>
      </c>
      <c r="AF112" s="69"/>
    </row>
    <row r="113" spans="1:32" ht="16.5" customHeight="1" x14ac:dyDescent="0.3">
      <c r="A113" s="2">
        <v>15</v>
      </c>
      <c r="B113" s="2" t="s">
        <v>4733</v>
      </c>
      <c r="C113" s="60" t="s">
        <v>15167</v>
      </c>
      <c r="D113" s="1"/>
      <c r="E113" s="68"/>
      <c r="F113" s="70"/>
      <c r="G113" s="1"/>
      <c r="H113" s="68"/>
      <c r="I113" s="70"/>
      <c r="J113" s="1"/>
      <c r="K113" s="68"/>
      <c r="L113" s="70"/>
      <c r="M113" s="67"/>
      <c r="N113" s="68"/>
      <c r="O113" s="76"/>
      <c r="P113" s="83"/>
      <c r="Q113" s="64"/>
      <c r="R113" s="65"/>
      <c r="S113" s="99"/>
      <c r="T113" s="70"/>
      <c r="U113" s="99"/>
      <c r="V113" s="70"/>
      <c r="W113" s="74" t="s">
        <v>18087</v>
      </c>
      <c r="X113" s="62"/>
      <c r="Y113" s="63"/>
      <c r="Z113" s="75"/>
      <c r="AA113" s="1"/>
      <c r="AB113" s="68" t="s">
        <v>1</v>
      </c>
      <c r="AC113" s="76">
        <v>0.4</v>
      </c>
      <c r="AD113" s="70" t="s">
        <v>422</v>
      </c>
      <c r="AE113" s="228">
        <f>ROUND((ROUND((ROUND((ROUND((_15_同援日０．５*_15・通訳),0)*(1+_15・A深夜)),0)*(1+_15・盲ろう)),0)*(1+_15・区４)),0)+ROUND((ROUND((ROUND((ROUND((_15_同援日０．５＿１．５*_15・通訳),0)*(1+_15・B早朝)),0)*(1+_15・盲ろう)),0)*(1+_15・区４)),0)+ROUND((ROUND((ROUND((_15_同援日０．５＿１．５＿１．０*_15・通訳),0)*(1+_15・盲ろう)),0)*(1+_15・区４)),0)</f>
        <v>1226</v>
      </c>
      <c r="AF113" s="69"/>
    </row>
    <row r="114" spans="1:32" ht="16.5" customHeight="1" x14ac:dyDescent="0.3">
      <c r="A114" s="2">
        <v>15</v>
      </c>
      <c r="B114" s="2" t="s">
        <v>4734</v>
      </c>
      <c r="C114" s="60" t="s">
        <v>15166</v>
      </c>
      <c r="D114" s="81"/>
      <c r="E114" s="57"/>
      <c r="F114" s="77"/>
      <c r="G114" s="81"/>
      <c r="H114" s="57"/>
      <c r="I114" s="77"/>
      <c r="J114" s="81"/>
      <c r="K114" s="57"/>
      <c r="L114" s="77"/>
      <c r="M114" s="67"/>
      <c r="N114" s="68"/>
      <c r="O114" s="76"/>
      <c r="P114" s="83" t="s">
        <v>5895</v>
      </c>
      <c r="Q114" s="64" t="s">
        <v>1</v>
      </c>
      <c r="R114" s="65">
        <v>1</v>
      </c>
      <c r="S114" s="99"/>
      <c r="T114" s="70"/>
      <c r="U114" s="99"/>
      <c r="V114" s="70"/>
      <c r="W114" s="81" t="s">
        <v>18086</v>
      </c>
      <c r="X114" s="57" t="s">
        <v>1</v>
      </c>
      <c r="Y114" s="58">
        <v>0.25</v>
      </c>
      <c r="Z114" s="77" t="s">
        <v>422</v>
      </c>
      <c r="AA114" s="81"/>
      <c r="AB114" s="57"/>
      <c r="AC114" s="58"/>
      <c r="AD114" s="77"/>
      <c r="AE114" s="228">
        <f>ROUND((ROUND((ROUND((ROUND((ROUND((_15_同援日０．５*_15・通訳),0)*_15・２人),0)*(1+_15・A深夜)),0)*(1+_15・盲ろう)),0)*(1+_15・区４)),0)+ROUND((ROUND((ROUND((ROUND((ROUND((_15_同援日０．５＿１．５*_15・通訳),0)*_15・２人),0)*(1+_15・B早朝)),0)*(1+_15・盲ろう)),0)*(1+_15・区４)),0)+ROUND((ROUND((ROUND((ROUND((_15_同援日０．５＿１．５＿１．０*_15・通訳),0)*_15・２人),0)*(1+_15・盲ろう)),0)*(1+_15・区４)),0)</f>
        <v>1226</v>
      </c>
      <c r="AF114" s="69"/>
    </row>
    <row r="115" spans="1:32" ht="16.5" customHeight="1" x14ac:dyDescent="0.3">
      <c r="A115" s="2">
        <v>15</v>
      </c>
      <c r="B115" s="2" t="s">
        <v>4735</v>
      </c>
      <c r="C115" s="60" t="s">
        <v>15165</v>
      </c>
      <c r="D115" s="233" t="s">
        <v>18362</v>
      </c>
      <c r="E115" s="235"/>
      <c r="F115" s="75"/>
      <c r="G115" s="233" t="s">
        <v>18361</v>
      </c>
      <c r="H115" s="62"/>
      <c r="I115" s="75"/>
      <c r="J115" s="74" t="s">
        <v>17105</v>
      </c>
      <c r="K115" s="62"/>
      <c r="L115" s="75"/>
      <c r="M115" s="67"/>
      <c r="N115" s="68"/>
      <c r="O115" s="76"/>
      <c r="P115" s="83"/>
      <c r="Q115" s="64"/>
      <c r="R115" s="65"/>
      <c r="S115" s="99"/>
      <c r="T115" s="70"/>
      <c r="U115" s="99"/>
      <c r="V115" s="70"/>
      <c r="W115" s="74"/>
      <c r="X115" s="62"/>
      <c r="Y115" s="63"/>
      <c r="Z115" s="75"/>
      <c r="AA115" s="74"/>
      <c r="AB115" s="62"/>
      <c r="AC115" s="63"/>
      <c r="AD115" s="75"/>
      <c r="AE115" s="228">
        <f>ROUND((ROUND((_15_同援日１．０*_15・通訳),0)*(1+_15・A深夜)),0)+ROUND((ROUND((_15_同援日１．０＿０．５*_15・通訳),0)*(1+_15・B早朝)),0)+ROUND((_15_同援日１．０＿０．５＿０．５*_15・通訳),0)</f>
        <v>598</v>
      </c>
      <c r="AF115" s="69"/>
    </row>
    <row r="116" spans="1:32" ht="16.5" customHeight="1" x14ac:dyDescent="0.3">
      <c r="A116" s="2">
        <v>15</v>
      </c>
      <c r="B116" s="2" t="s">
        <v>4736</v>
      </c>
      <c r="C116" s="60" t="s">
        <v>15164</v>
      </c>
      <c r="D116" s="1" t="s">
        <v>17067</v>
      </c>
      <c r="E116" s="68"/>
      <c r="F116" s="70"/>
      <c r="G116" s="1" t="s">
        <v>7928</v>
      </c>
      <c r="H116" s="68"/>
      <c r="I116" s="70"/>
      <c r="J116" s="1" t="s">
        <v>7928</v>
      </c>
      <c r="K116" s="68"/>
      <c r="L116" s="70"/>
      <c r="M116" s="67"/>
      <c r="N116" s="68"/>
      <c r="O116" s="76"/>
      <c r="P116" s="83" t="s">
        <v>5895</v>
      </c>
      <c r="Q116" s="64" t="s">
        <v>1</v>
      </c>
      <c r="R116" s="65">
        <v>1</v>
      </c>
      <c r="S116" s="99"/>
      <c r="T116" s="70"/>
      <c r="U116" s="99"/>
      <c r="V116" s="70"/>
      <c r="W116" s="81"/>
      <c r="X116" s="57"/>
      <c r="Y116" s="58"/>
      <c r="Z116" s="77"/>
      <c r="AA116" s="1"/>
      <c r="AB116" s="68"/>
      <c r="AC116" s="76"/>
      <c r="AD116" s="70"/>
      <c r="AE116" s="228">
        <f>ROUND((ROUND((ROUND((_15_同援日１．０*_15・通訳),0)*_15・２人),0)*(1+_15・A深夜)),0)+ROUND((ROUND((ROUND((_15_同援日１．０＿０．５*_15・通訳),0)*_15・２人),0)*(1+_15・B早朝)),0)+ROUND((ROUND((_15_同援日１．０＿０．５＿０．５*_15・通訳),0)*_15・２人),0)</f>
        <v>598</v>
      </c>
      <c r="AF116" s="69"/>
    </row>
    <row r="117" spans="1:32" ht="16.5" customHeight="1" x14ac:dyDescent="0.3">
      <c r="A117" s="2">
        <v>15</v>
      </c>
      <c r="B117" s="2" t="s">
        <v>4737</v>
      </c>
      <c r="C117" s="60" t="s">
        <v>15163</v>
      </c>
      <c r="D117" s="1" t="s">
        <v>8572</v>
      </c>
      <c r="E117" s="68"/>
      <c r="F117" s="70"/>
      <c r="G117" s="1"/>
      <c r="H117" s="68"/>
      <c r="I117" s="70"/>
      <c r="J117" s="1"/>
      <c r="K117" s="68"/>
      <c r="L117" s="70"/>
      <c r="M117" s="67"/>
      <c r="N117" s="68"/>
      <c r="O117" s="76"/>
      <c r="P117" s="83"/>
      <c r="Q117" s="64"/>
      <c r="R117" s="65"/>
      <c r="S117" s="99"/>
      <c r="T117" s="70"/>
      <c r="U117" s="99"/>
      <c r="V117" s="70"/>
      <c r="W117" s="74" t="s">
        <v>18087</v>
      </c>
      <c r="X117" s="62"/>
      <c r="Y117" s="63"/>
      <c r="Z117" s="75"/>
      <c r="AA117" s="1"/>
      <c r="AB117" s="68"/>
      <c r="AC117" s="76"/>
      <c r="AD117" s="70"/>
      <c r="AE117" s="228">
        <f>ROUND((ROUND((ROUND((_15_同援日１．０*_15・通訳),0)*(1+_15・A深夜)),0)*(1+_15・盲ろう)),0)+ROUND((ROUND((ROUND((_15_同援日１．０＿０．５*_15・通訳),0)*(1+_15・B早朝)),0)*(1+_15・盲ろう)),0)+ROUND((ROUND((_15_同援日１．０＿０．５＿０．５*_15・通訳),0)*(1+_15・盲ろう)),0)</f>
        <v>748</v>
      </c>
      <c r="AF117" s="69"/>
    </row>
    <row r="118" spans="1:32" ht="16.5" customHeight="1" x14ac:dyDescent="0.3">
      <c r="A118" s="2">
        <v>15</v>
      </c>
      <c r="B118" s="2" t="s">
        <v>4738</v>
      </c>
      <c r="C118" s="60" t="s">
        <v>15162</v>
      </c>
      <c r="D118" s="1"/>
      <c r="E118" s="227">
        <v>292</v>
      </c>
      <c r="F118" s="70" t="s">
        <v>0</v>
      </c>
      <c r="G118" s="1"/>
      <c r="H118" s="227">
        <v>129</v>
      </c>
      <c r="I118" s="70" t="s">
        <v>0</v>
      </c>
      <c r="J118" s="1"/>
      <c r="K118" s="227">
        <v>64</v>
      </c>
      <c r="L118" s="70" t="s">
        <v>0</v>
      </c>
      <c r="M118" s="67"/>
      <c r="N118" s="68"/>
      <c r="O118" s="76"/>
      <c r="P118" s="83" t="s">
        <v>5895</v>
      </c>
      <c r="Q118" s="64" t="s">
        <v>1</v>
      </c>
      <c r="R118" s="65">
        <v>1</v>
      </c>
      <c r="S118" s="99"/>
      <c r="T118" s="70"/>
      <c r="U118" s="99"/>
      <c r="V118" s="70"/>
      <c r="W118" s="81" t="s">
        <v>18086</v>
      </c>
      <c r="X118" s="57" t="s">
        <v>1</v>
      </c>
      <c r="Y118" s="58">
        <v>0.25</v>
      </c>
      <c r="Z118" s="77" t="s">
        <v>422</v>
      </c>
      <c r="AA118" s="81"/>
      <c r="AB118" s="57"/>
      <c r="AC118" s="58"/>
      <c r="AD118" s="77"/>
      <c r="AE118" s="228">
        <f>ROUND((ROUND((ROUND((ROUND((_15_同援日１．０*_15・通訳),0)*_15・２人),0)*(1+_15・A深夜)),0)*(1+_15・盲ろう)),0)+ROUND((ROUND((ROUND((ROUND((_15_同援日１．０＿０．５*_15・通訳),0)*_15・２人),0)*(1+_15・B早朝)),0)*(1+_15・盲ろう)),0)+ROUND((ROUND((ROUND((_15_同援日１．０＿０．５＿０．５*_15・通訳),0)*_15・２人),0)*(1+_15・盲ろう)),0)</f>
        <v>748</v>
      </c>
      <c r="AF118" s="69"/>
    </row>
    <row r="119" spans="1:32" ht="16.5" customHeight="1" x14ac:dyDescent="0.3">
      <c r="A119" s="2">
        <v>15</v>
      </c>
      <c r="B119" s="2" t="s">
        <v>4739</v>
      </c>
      <c r="C119" s="60" t="s">
        <v>15161</v>
      </c>
      <c r="D119" s="1"/>
      <c r="E119" s="68"/>
      <c r="F119" s="70"/>
      <c r="G119" s="1"/>
      <c r="H119" s="68"/>
      <c r="I119" s="70"/>
      <c r="J119" s="1"/>
      <c r="K119" s="68"/>
      <c r="L119" s="70"/>
      <c r="M119" s="67"/>
      <c r="N119" s="68"/>
      <c r="O119" s="76"/>
      <c r="P119" s="83"/>
      <c r="Q119" s="64"/>
      <c r="R119" s="65"/>
      <c r="S119" s="99"/>
      <c r="T119" s="70"/>
      <c r="U119" s="99"/>
      <c r="V119" s="70"/>
      <c r="W119" s="74"/>
      <c r="X119" s="62"/>
      <c r="Y119" s="63"/>
      <c r="Z119" s="75"/>
      <c r="AA119" s="74" t="s">
        <v>18089</v>
      </c>
      <c r="AB119" s="62"/>
      <c r="AC119" s="63"/>
      <c r="AD119" s="75"/>
      <c r="AE119" s="228">
        <f>ROUND((ROUND((ROUND((_15_同援日１．０*_15・通訳),0)*(1+_15・A深夜)),0)*(1+_15・区３)),0)+ROUND((ROUND((ROUND((_15_同援日１．０＿０．５*_15・通訳),0)*(1+_15・B早朝)),0)*(1+_15・区３)),0)+ROUND((ROUND((_15_同援日１．０＿０．５＿０．５*_15・通訳),0)*(1+_15・区３)),0)</f>
        <v>718</v>
      </c>
      <c r="AF119" s="69"/>
    </row>
    <row r="120" spans="1:32" ht="16.5" customHeight="1" x14ac:dyDescent="0.3">
      <c r="A120" s="2">
        <v>15</v>
      </c>
      <c r="B120" s="2" t="s">
        <v>4740</v>
      </c>
      <c r="C120" s="60" t="s">
        <v>15160</v>
      </c>
      <c r="D120" s="1"/>
      <c r="E120" s="68"/>
      <c r="F120" s="70"/>
      <c r="G120" s="1"/>
      <c r="H120" s="68"/>
      <c r="I120" s="70"/>
      <c r="J120" s="1"/>
      <c r="K120" s="68"/>
      <c r="L120" s="70"/>
      <c r="M120" s="67"/>
      <c r="N120" s="68"/>
      <c r="O120" s="76"/>
      <c r="P120" s="83" t="s">
        <v>5895</v>
      </c>
      <c r="Q120" s="64" t="s">
        <v>1</v>
      </c>
      <c r="R120" s="65">
        <v>1</v>
      </c>
      <c r="S120" s="99"/>
      <c r="T120" s="70"/>
      <c r="U120" s="99"/>
      <c r="V120" s="70"/>
      <c r="W120" s="81"/>
      <c r="X120" s="57"/>
      <c r="Y120" s="58"/>
      <c r="Z120" s="77"/>
      <c r="AA120" s="1" t="s">
        <v>18084</v>
      </c>
      <c r="AB120" s="68"/>
      <c r="AC120" s="76"/>
      <c r="AD120" s="70"/>
      <c r="AE120" s="228">
        <f>ROUND((ROUND((ROUND((ROUND((_15_同援日１．０*_15・通訳),0)*_15・２人),0)*(1+_15・A深夜)),0)*(1+_15・区３)),0)+ROUND((ROUND((ROUND((ROUND((_15_同援日１．０＿０．５*_15・通訳),0)*_15・２人),0)*(1+_15・B早朝)),0)*(1+_15・区３)),0)+ROUND((ROUND((ROUND((_15_同援日１．０＿０．５＿０．５*_15・通訳),0)*_15・２人),0)*(1+_15・区３)),0)</f>
        <v>718</v>
      </c>
      <c r="AF120" s="69"/>
    </row>
    <row r="121" spans="1:32" ht="16.5" customHeight="1" x14ac:dyDescent="0.3">
      <c r="A121" s="2">
        <v>15</v>
      </c>
      <c r="B121" s="2" t="s">
        <v>4741</v>
      </c>
      <c r="C121" s="60" t="s">
        <v>15159</v>
      </c>
      <c r="D121" s="1"/>
      <c r="E121" s="68"/>
      <c r="F121" s="70"/>
      <c r="G121" s="1"/>
      <c r="H121" s="68"/>
      <c r="I121" s="70"/>
      <c r="J121" s="1"/>
      <c r="K121" s="68"/>
      <c r="L121" s="70"/>
      <c r="M121" s="67"/>
      <c r="N121" s="68"/>
      <c r="O121" s="76"/>
      <c r="P121" s="83"/>
      <c r="Q121" s="64"/>
      <c r="R121" s="65"/>
      <c r="S121" s="99"/>
      <c r="T121" s="70"/>
      <c r="U121" s="99"/>
      <c r="V121" s="70"/>
      <c r="W121" s="74" t="s">
        <v>8085</v>
      </c>
      <c r="X121" s="62"/>
      <c r="Y121" s="63"/>
      <c r="Z121" s="75"/>
      <c r="AA121" s="1"/>
      <c r="AB121" s="68" t="s">
        <v>1</v>
      </c>
      <c r="AC121" s="76">
        <v>0.2</v>
      </c>
      <c r="AD121" s="70" t="s">
        <v>422</v>
      </c>
      <c r="AE121" s="228">
        <f>ROUND((ROUND((ROUND((ROUND((_15_同援日１．０*_15・通訳),0)*(1+_15・A深夜)),0)*(1+_15・盲ろう)),0)*(1+_15・区３)),0)+ROUND((ROUND((ROUND((ROUND((_15_同援日１．０＿０．５*_15・通訳),0)*(1+_15・B早朝)),0)*(1+_15・盲ろう)),0)*(1+_15・区３)),0)+ROUND((ROUND((ROUND((_15_同援日１．０＿０．５＿０．５*_15・通訳),0)*(1+_15・盲ろう)),0)*(1+_15・区３)),0)</f>
        <v>898</v>
      </c>
      <c r="AF121" s="69"/>
    </row>
    <row r="122" spans="1:32" ht="16.5" customHeight="1" x14ac:dyDescent="0.3">
      <c r="A122" s="2">
        <v>15</v>
      </c>
      <c r="B122" s="2" t="s">
        <v>4742</v>
      </c>
      <c r="C122" s="60" t="s">
        <v>15158</v>
      </c>
      <c r="D122" s="1"/>
      <c r="E122" s="68"/>
      <c r="F122" s="70"/>
      <c r="G122" s="1"/>
      <c r="H122" s="68"/>
      <c r="I122" s="70"/>
      <c r="J122" s="1"/>
      <c r="K122" s="68"/>
      <c r="L122" s="70"/>
      <c r="M122" s="67"/>
      <c r="N122" s="68"/>
      <c r="O122" s="76"/>
      <c r="P122" s="83" t="s">
        <v>5895</v>
      </c>
      <c r="Q122" s="64" t="s">
        <v>1</v>
      </c>
      <c r="R122" s="65">
        <v>1</v>
      </c>
      <c r="S122" s="99"/>
      <c r="T122" s="70"/>
      <c r="U122" s="99"/>
      <c r="V122" s="70"/>
      <c r="W122" s="81" t="s">
        <v>18086</v>
      </c>
      <c r="X122" s="57" t="s">
        <v>1</v>
      </c>
      <c r="Y122" s="58">
        <v>0.25</v>
      </c>
      <c r="Z122" s="77" t="s">
        <v>422</v>
      </c>
      <c r="AA122" s="81"/>
      <c r="AB122" s="57"/>
      <c r="AC122" s="58"/>
      <c r="AD122" s="77"/>
      <c r="AE122" s="228">
        <f>ROUND((ROUND((ROUND((ROUND((ROUND((_15_同援日１．０*_15・通訳),0)*_15・２人),0)*(1+_15・A深夜)),0)*(1+_15・盲ろう)),0)*(1+_15・区３)),0)+ROUND((ROUND((ROUND((ROUND((ROUND((_15_同援日１．０＿０．５*_15・通訳),0)*_15・２人),0)*(1+_15・B早朝)),0)*(1+_15・盲ろう)),0)*(1+_15・区３)),0)+ROUND((ROUND((ROUND((ROUND((_15_同援日１．０＿０．５＿０．５*_15・通訳),0)*_15・２人),0)*(1+_15・盲ろう)),0)*(1+_15・区３)),0)</f>
        <v>898</v>
      </c>
      <c r="AF122" s="69"/>
    </row>
    <row r="123" spans="1:32" ht="16.5" customHeight="1" x14ac:dyDescent="0.3">
      <c r="A123" s="2">
        <v>15</v>
      </c>
      <c r="B123" s="2" t="s">
        <v>4743</v>
      </c>
      <c r="C123" s="60" t="s">
        <v>15157</v>
      </c>
      <c r="D123" s="1"/>
      <c r="E123" s="68"/>
      <c r="F123" s="70"/>
      <c r="G123" s="1"/>
      <c r="H123" s="68"/>
      <c r="I123" s="70"/>
      <c r="J123" s="1"/>
      <c r="K123" s="68"/>
      <c r="L123" s="70"/>
      <c r="M123" s="67"/>
      <c r="N123" s="68"/>
      <c r="O123" s="76"/>
      <c r="P123" s="83"/>
      <c r="Q123" s="64"/>
      <c r="R123" s="65"/>
      <c r="S123" s="99"/>
      <c r="T123" s="70"/>
      <c r="U123" s="99"/>
      <c r="V123" s="70"/>
      <c r="W123" s="74"/>
      <c r="X123" s="62"/>
      <c r="Y123" s="63"/>
      <c r="Z123" s="75"/>
      <c r="AA123" s="74" t="s">
        <v>18094</v>
      </c>
      <c r="AB123" s="62"/>
      <c r="AC123" s="63"/>
      <c r="AD123" s="75"/>
      <c r="AE123" s="228">
        <f>ROUND((ROUND((ROUND((_15_同援日１．０*_15・通訳),0)*(1+_15・A深夜)),0)*(1+_15・区４)),0)+ROUND((ROUND((ROUND((_15_同援日１．０＿０．５*_15・通訳),0)*(1+_15・B早朝)),0)*(1+_15・区４)),0)+ROUND((ROUND((_15_同援日１．０＿０．５＿０．５*_15・通訳),0)*(1+_15・区４)),0)</f>
        <v>837</v>
      </c>
      <c r="AF123" s="69"/>
    </row>
    <row r="124" spans="1:32" ht="16.5" customHeight="1" x14ac:dyDescent="0.3">
      <c r="A124" s="2">
        <v>15</v>
      </c>
      <c r="B124" s="2" t="s">
        <v>4744</v>
      </c>
      <c r="C124" s="60" t="s">
        <v>15156</v>
      </c>
      <c r="D124" s="1"/>
      <c r="E124" s="68"/>
      <c r="F124" s="70"/>
      <c r="G124" s="1"/>
      <c r="H124" s="68"/>
      <c r="I124" s="70"/>
      <c r="J124" s="1"/>
      <c r="K124" s="68"/>
      <c r="L124" s="70"/>
      <c r="M124" s="67"/>
      <c r="N124" s="68"/>
      <c r="O124" s="76"/>
      <c r="P124" s="83" t="s">
        <v>5895</v>
      </c>
      <c r="Q124" s="64" t="s">
        <v>1</v>
      </c>
      <c r="R124" s="65">
        <v>1</v>
      </c>
      <c r="S124" s="99"/>
      <c r="T124" s="70"/>
      <c r="U124" s="99"/>
      <c r="V124" s="70"/>
      <c r="W124" s="81"/>
      <c r="X124" s="57"/>
      <c r="Y124" s="58"/>
      <c r="Z124" s="77"/>
      <c r="AA124" s="1" t="s">
        <v>18084</v>
      </c>
      <c r="AB124" s="68"/>
      <c r="AC124" s="76"/>
      <c r="AD124" s="70"/>
      <c r="AE124" s="228">
        <f>ROUND((ROUND((ROUND((ROUND((_15_同援日１．０*_15・通訳),0)*_15・２人),0)*(1+_15・A深夜)),0)*(1+_15・区４)),0)+ROUND((ROUND((ROUND((ROUND((_15_同援日１．０＿０．５*_15・通訳),0)*_15・２人),0)*(1+_15・B早朝)),0)*(1+_15・区４)),0)+ROUND((ROUND((ROUND((_15_同援日１．０＿０．５＿０．５*_15・通訳),0)*_15・２人),0)*(1+_15・区４)),0)</f>
        <v>837</v>
      </c>
      <c r="AF124" s="69"/>
    </row>
    <row r="125" spans="1:32" ht="16.5" customHeight="1" x14ac:dyDescent="0.3">
      <c r="A125" s="2">
        <v>15</v>
      </c>
      <c r="B125" s="2" t="s">
        <v>4745</v>
      </c>
      <c r="C125" s="60" t="s">
        <v>15155</v>
      </c>
      <c r="D125" s="1"/>
      <c r="E125" s="68"/>
      <c r="F125" s="70"/>
      <c r="G125" s="1"/>
      <c r="H125" s="68"/>
      <c r="I125" s="70"/>
      <c r="J125" s="1"/>
      <c r="K125" s="68"/>
      <c r="L125" s="70"/>
      <c r="M125" s="67"/>
      <c r="N125" s="68"/>
      <c r="O125" s="76"/>
      <c r="P125" s="83"/>
      <c r="Q125" s="64"/>
      <c r="R125" s="65"/>
      <c r="S125" s="99"/>
      <c r="T125" s="70"/>
      <c r="U125" s="99"/>
      <c r="V125" s="70"/>
      <c r="W125" s="74" t="s">
        <v>18087</v>
      </c>
      <c r="X125" s="62"/>
      <c r="Y125" s="63"/>
      <c r="Z125" s="75"/>
      <c r="AA125" s="1"/>
      <c r="AB125" s="68" t="s">
        <v>1</v>
      </c>
      <c r="AC125" s="76">
        <v>0.4</v>
      </c>
      <c r="AD125" s="70" t="s">
        <v>422</v>
      </c>
      <c r="AE125" s="228">
        <f>ROUND((ROUND((ROUND((ROUND((_15_同援日１．０*_15・通訳),0)*(1+_15・A深夜)),0)*(1+_15・盲ろう)),0)*(1+_15・区４)),0)+ROUND((ROUND((ROUND((ROUND((_15_同援日１．０＿０．５*_15・通訳),0)*(1+_15・B早朝)),0)*(1+_15・盲ろう)),0)*(1+_15・区４)),0)+ROUND((ROUND((ROUND((_15_同援日１．０＿０．５＿０．５*_15・通訳),0)*(1+_15・盲ろう)),0)*(1+_15・区４)),0)</f>
        <v>1047</v>
      </c>
      <c r="AF125" s="69"/>
    </row>
    <row r="126" spans="1:32" ht="16.5" customHeight="1" x14ac:dyDescent="0.3">
      <c r="A126" s="2">
        <v>15</v>
      </c>
      <c r="B126" s="2" t="s">
        <v>4746</v>
      </c>
      <c r="C126" s="60" t="s">
        <v>15154</v>
      </c>
      <c r="D126" s="1"/>
      <c r="E126" s="68"/>
      <c r="F126" s="70"/>
      <c r="G126" s="1"/>
      <c r="H126" s="68"/>
      <c r="I126" s="70"/>
      <c r="J126" s="81"/>
      <c r="K126" s="57"/>
      <c r="L126" s="77"/>
      <c r="M126" s="67"/>
      <c r="N126" s="68"/>
      <c r="O126" s="76"/>
      <c r="P126" s="83" t="s">
        <v>5895</v>
      </c>
      <c r="Q126" s="64" t="s">
        <v>1</v>
      </c>
      <c r="R126" s="65">
        <v>1</v>
      </c>
      <c r="S126" s="99"/>
      <c r="T126" s="70"/>
      <c r="U126" s="99"/>
      <c r="V126" s="70"/>
      <c r="W126" s="81" t="s">
        <v>18086</v>
      </c>
      <c r="X126" s="57" t="s">
        <v>1</v>
      </c>
      <c r="Y126" s="58">
        <v>0.25</v>
      </c>
      <c r="Z126" s="77" t="s">
        <v>422</v>
      </c>
      <c r="AA126" s="81"/>
      <c r="AB126" s="57"/>
      <c r="AC126" s="58"/>
      <c r="AD126" s="77"/>
      <c r="AE126" s="228">
        <f>ROUND((ROUND((ROUND((ROUND((ROUND((_15_同援日１．０*_15・通訳),0)*_15・２人),0)*(1+_15・A深夜)),0)*(1+_15・盲ろう)),0)*(1+_15・区４)),0)+ROUND((ROUND((ROUND((ROUND((ROUND((_15_同援日１．０＿０．５*_15・通訳),0)*_15・２人),0)*(1+_15・B早朝)),0)*(1+_15・盲ろう)),0)*(1+_15・区４)),0)+ROUND((ROUND((ROUND((ROUND((_15_同援日１．０＿０．５＿０．５*_15・通訳),0)*_15・２人),0)*(1+_15・盲ろう)),0)*(1+_15・区４)),0)</f>
        <v>1047</v>
      </c>
      <c r="AF126" s="69"/>
    </row>
    <row r="127" spans="1:32" ht="16.5" customHeight="1" x14ac:dyDescent="0.3">
      <c r="A127" s="2">
        <v>15</v>
      </c>
      <c r="B127" s="2" t="s">
        <v>4747</v>
      </c>
      <c r="C127" s="60" t="s">
        <v>15153</v>
      </c>
      <c r="D127" s="1"/>
      <c r="E127" s="68"/>
      <c r="F127" s="70"/>
      <c r="G127" s="1"/>
      <c r="H127" s="68"/>
      <c r="I127" s="70"/>
      <c r="J127" s="74" t="s">
        <v>17106</v>
      </c>
      <c r="K127" s="62"/>
      <c r="L127" s="75"/>
      <c r="M127" s="67"/>
      <c r="N127" s="68"/>
      <c r="O127" s="76"/>
      <c r="P127" s="83"/>
      <c r="Q127" s="64"/>
      <c r="R127" s="65"/>
      <c r="S127" s="99"/>
      <c r="T127" s="70"/>
      <c r="U127" s="99"/>
      <c r="V127" s="70"/>
      <c r="W127" s="74"/>
      <c r="X127" s="62"/>
      <c r="Y127" s="63"/>
      <c r="Z127" s="75"/>
      <c r="AA127" s="74"/>
      <c r="AB127" s="62"/>
      <c r="AC127" s="63"/>
      <c r="AD127" s="75"/>
      <c r="AE127" s="228">
        <f>ROUND((ROUND((_15_同援日１．０*_15・通訳),0)*(1+_15・A深夜)),0)+ROUND((ROUND((_15_同援日１．０＿０．５*_15・通訳),0)*(1+_15・B早朝)),0)+ROUND((_15_同援日１．０＿０．５＿１．０*_15・通訳),0)</f>
        <v>654</v>
      </c>
      <c r="AF127" s="69"/>
    </row>
    <row r="128" spans="1:32" ht="16.5" customHeight="1" x14ac:dyDescent="0.3">
      <c r="A128" s="2">
        <v>15</v>
      </c>
      <c r="B128" s="2" t="s">
        <v>4748</v>
      </c>
      <c r="C128" s="60" t="s">
        <v>15152</v>
      </c>
      <c r="D128" s="1"/>
      <c r="E128" s="68"/>
      <c r="F128" s="70"/>
      <c r="G128" s="1"/>
      <c r="H128" s="68"/>
      <c r="I128" s="70"/>
      <c r="J128" s="1" t="s">
        <v>17067</v>
      </c>
      <c r="K128" s="68"/>
      <c r="L128" s="70"/>
      <c r="M128" s="67"/>
      <c r="N128" s="68"/>
      <c r="O128" s="76"/>
      <c r="P128" s="83" t="s">
        <v>5895</v>
      </c>
      <c r="Q128" s="64" t="s">
        <v>1</v>
      </c>
      <c r="R128" s="65">
        <v>1</v>
      </c>
      <c r="S128" s="99"/>
      <c r="T128" s="70"/>
      <c r="U128" s="99"/>
      <c r="V128" s="70"/>
      <c r="W128" s="81"/>
      <c r="X128" s="57"/>
      <c r="Y128" s="58"/>
      <c r="Z128" s="77"/>
      <c r="AA128" s="1"/>
      <c r="AB128" s="68"/>
      <c r="AC128" s="76"/>
      <c r="AD128" s="70"/>
      <c r="AE128" s="228">
        <f>ROUND((ROUND((ROUND((_15_同援日１．０*_15・通訳),0)*_15・２人),0)*(1+_15・A深夜)),0)+ROUND((ROUND((ROUND((_15_同援日１．０＿０．５*_15・通訳),0)*_15・２人),0)*(1+_15・B早朝)),0)+ROUND((ROUND((_15_同援日１．０＿０．５＿１．０*_15・通訳),0)*_15・２人),0)</f>
        <v>654</v>
      </c>
      <c r="AF128" s="69"/>
    </row>
    <row r="129" spans="1:32" ht="16.5" customHeight="1" x14ac:dyDescent="0.3">
      <c r="A129" s="2">
        <v>15</v>
      </c>
      <c r="B129" s="2" t="s">
        <v>4749</v>
      </c>
      <c r="C129" s="60" t="s">
        <v>15151</v>
      </c>
      <c r="D129" s="1"/>
      <c r="E129" s="68"/>
      <c r="F129" s="70"/>
      <c r="G129" s="1"/>
      <c r="H129" s="68"/>
      <c r="I129" s="70"/>
      <c r="J129" s="1" t="s">
        <v>8572</v>
      </c>
      <c r="K129" s="68"/>
      <c r="L129" s="70"/>
      <c r="M129" s="67"/>
      <c r="N129" s="68"/>
      <c r="O129" s="76"/>
      <c r="P129" s="83"/>
      <c r="Q129" s="64"/>
      <c r="R129" s="65"/>
      <c r="S129" s="99"/>
      <c r="T129" s="70"/>
      <c r="U129" s="99"/>
      <c r="V129" s="70"/>
      <c r="W129" s="74" t="s">
        <v>18118</v>
      </c>
      <c r="X129" s="62"/>
      <c r="Y129" s="63"/>
      <c r="Z129" s="75"/>
      <c r="AA129" s="1"/>
      <c r="AB129" s="68"/>
      <c r="AC129" s="76"/>
      <c r="AD129" s="70"/>
      <c r="AE129" s="228">
        <f>ROUND((ROUND((ROUND((_15_同援日１．０*_15・通訳),0)*(1+_15・A深夜)),0)*(1+_15・盲ろう)),0)+ROUND((ROUND((ROUND((_15_同援日１．０＿０．５*_15・通訳),0)*(1+_15・B早朝)),0)*(1+_15・盲ろう)),0)+ROUND((ROUND((_15_同援日１．０＿０．５＿１．０*_15・通訳),0)*(1+_15・盲ろう)),0)</f>
        <v>818</v>
      </c>
      <c r="AF129" s="69"/>
    </row>
    <row r="130" spans="1:32" ht="16.5" customHeight="1" x14ac:dyDescent="0.3">
      <c r="A130" s="2">
        <v>15</v>
      </c>
      <c r="B130" s="2" t="s">
        <v>4750</v>
      </c>
      <c r="C130" s="60" t="s">
        <v>15150</v>
      </c>
      <c r="D130" s="1"/>
      <c r="E130" s="68"/>
      <c r="F130" s="70"/>
      <c r="G130" s="1"/>
      <c r="H130" s="68"/>
      <c r="I130" s="70"/>
      <c r="J130" s="1"/>
      <c r="K130" s="227">
        <v>127</v>
      </c>
      <c r="L130" s="70" t="s">
        <v>0</v>
      </c>
      <c r="M130" s="67"/>
      <c r="N130" s="68"/>
      <c r="O130" s="76"/>
      <c r="P130" s="83" t="s">
        <v>5895</v>
      </c>
      <c r="Q130" s="64" t="s">
        <v>1</v>
      </c>
      <c r="R130" s="65">
        <v>1</v>
      </c>
      <c r="S130" s="99"/>
      <c r="T130" s="70"/>
      <c r="U130" s="99"/>
      <c r="V130" s="70"/>
      <c r="W130" s="81" t="s">
        <v>18086</v>
      </c>
      <c r="X130" s="57" t="s">
        <v>1</v>
      </c>
      <c r="Y130" s="58">
        <v>0.25</v>
      </c>
      <c r="Z130" s="77" t="s">
        <v>422</v>
      </c>
      <c r="AA130" s="81"/>
      <c r="AB130" s="57"/>
      <c r="AC130" s="58"/>
      <c r="AD130" s="77"/>
      <c r="AE130" s="228">
        <f>ROUND((ROUND((ROUND((ROUND((_15_同援日１．０*_15・通訳),0)*_15・２人),0)*(1+_15・A深夜)),0)*(1+_15・盲ろう)),0)+ROUND((ROUND((ROUND((ROUND((_15_同援日１．０＿０．５*_15・通訳),0)*_15・２人),0)*(1+_15・B早朝)),0)*(1+_15・盲ろう)),0)+ROUND((ROUND((ROUND((_15_同援日１．０＿０．５＿１．０*_15・通訳),0)*_15・２人),0)*(1+_15・盲ろう)),0)</f>
        <v>818</v>
      </c>
      <c r="AF130" s="69"/>
    </row>
    <row r="131" spans="1:32" ht="16.5" customHeight="1" x14ac:dyDescent="0.3">
      <c r="A131" s="2">
        <v>15</v>
      </c>
      <c r="B131" s="2" t="s">
        <v>4751</v>
      </c>
      <c r="C131" s="60" t="s">
        <v>15149</v>
      </c>
      <c r="D131" s="1"/>
      <c r="E131" s="68"/>
      <c r="F131" s="70"/>
      <c r="G131" s="1"/>
      <c r="H131" s="68"/>
      <c r="I131" s="70"/>
      <c r="J131" s="1"/>
      <c r="K131" s="68"/>
      <c r="L131" s="70"/>
      <c r="M131" s="67"/>
      <c r="N131" s="68"/>
      <c r="O131" s="76"/>
      <c r="P131" s="83"/>
      <c r="Q131" s="64"/>
      <c r="R131" s="65"/>
      <c r="S131" s="99"/>
      <c r="T131" s="70"/>
      <c r="U131" s="99"/>
      <c r="V131" s="70"/>
      <c r="W131" s="74"/>
      <c r="X131" s="62"/>
      <c r="Y131" s="63"/>
      <c r="Z131" s="75"/>
      <c r="AA131" s="74" t="s">
        <v>18089</v>
      </c>
      <c r="AB131" s="62"/>
      <c r="AC131" s="63"/>
      <c r="AD131" s="75"/>
      <c r="AE131" s="228">
        <f>ROUND((ROUND((ROUND((_15_同援日１．０*_15・通訳),0)*(1+_15・A深夜)),0)*(1+_15・区３)),0)+ROUND((ROUND((ROUND((_15_同援日１．０＿０．５*_15・通訳),0)*(1+_15・B早朝)),0)*(1+_15・区３)),0)+ROUND((ROUND((_15_同援日１．０＿０．５＿１．０*_15・通訳),0)*(1+_15・区３)),0)</f>
        <v>785</v>
      </c>
      <c r="AF131" s="69"/>
    </row>
    <row r="132" spans="1:32" ht="16.5" customHeight="1" x14ac:dyDescent="0.3">
      <c r="A132" s="2">
        <v>15</v>
      </c>
      <c r="B132" s="2" t="s">
        <v>4752</v>
      </c>
      <c r="C132" s="60" t="s">
        <v>15148</v>
      </c>
      <c r="D132" s="1"/>
      <c r="E132" s="68"/>
      <c r="F132" s="70"/>
      <c r="G132" s="1"/>
      <c r="H132" s="68"/>
      <c r="I132" s="70"/>
      <c r="J132" s="1"/>
      <c r="K132" s="68"/>
      <c r="L132" s="70"/>
      <c r="M132" s="67"/>
      <c r="N132" s="68"/>
      <c r="O132" s="76"/>
      <c r="P132" s="83" t="s">
        <v>5895</v>
      </c>
      <c r="Q132" s="64" t="s">
        <v>1</v>
      </c>
      <c r="R132" s="65">
        <v>1</v>
      </c>
      <c r="S132" s="99"/>
      <c r="T132" s="70"/>
      <c r="U132" s="99"/>
      <c r="V132" s="70"/>
      <c r="W132" s="81"/>
      <c r="X132" s="57"/>
      <c r="Y132" s="58"/>
      <c r="Z132" s="77"/>
      <c r="AA132" s="1" t="s">
        <v>18084</v>
      </c>
      <c r="AB132" s="68"/>
      <c r="AC132" s="76"/>
      <c r="AD132" s="70"/>
      <c r="AE132" s="228">
        <f>ROUND((ROUND((ROUND((ROUND((_15_同援日１．０*_15・通訳),0)*_15・２人),0)*(1+_15・A深夜)),0)*(1+_15・区３)),0)+ROUND((ROUND((ROUND((ROUND((_15_同援日１．０＿０．５*_15・通訳),0)*_15・２人),0)*(1+_15・B早朝)),0)*(1+_15・区３)),0)+ROUND((ROUND((ROUND((_15_同援日１．０＿０．５＿１．０*_15・通訳),0)*_15・２人),0)*(1+_15・区３)),0)</f>
        <v>785</v>
      </c>
      <c r="AF132" s="69"/>
    </row>
    <row r="133" spans="1:32" ht="16.5" customHeight="1" x14ac:dyDescent="0.3">
      <c r="A133" s="2">
        <v>15</v>
      </c>
      <c r="B133" s="2" t="s">
        <v>4753</v>
      </c>
      <c r="C133" s="60" t="s">
        <v>15147</v>
      </c>
      <c r="D133" s="1"/>
      <c r="E133" s="68"/>
      <c r="F133" s="70"/>
      <c r="G133" s="1"/>
      <c r="H133" s="68"/>
      <c r="I133" s="70"/>
      <c r="J133" s="1"/>
      <c r="K133" s="68"/>
      <c r="L133" s="70"/>
      <c r="M133" s="67"/>
      <c r="N133" s="68"/>
      <c r="O133" s="76"/>
      <c r="P133" s="83"/>
      <c r="Q133" s="64"/>
      <c r="R133" s="65"/>
      <c r="S133" s="99"/>
      <c r="T133" s="70"/>
      <c r="U133" s="99"/>
      <c r="V133" s="70"/>
      <c r="W133" s="74" t="s">
        <v>18087</v>
      </c>
      <c r="X133" s="62"/>
      <c r="Y133" s="63"/>
      <c r="Z133" s="75"/>
      <c r="AA133" s="1"/>
      <c r="AB133" s="68" t="s">
        <v>1</v>
      </c>
      <c r="AC133" s="76">
        <v>0.2</v>
      </c>
      <c r="AD133" s="70" t="s">
        <v>422</v>
      </c>
      <c r="AE133" s="228">
        <f>ROUND((ROUND((ROUND((ROUND((_15_同援日１．０*_15・通訳),0)*(1+_15・A深夜)),0)*(1+_15・盲ろう)),0)*(1+_15・区３)),0)+ROUND((ROUND((ROUND((ROUND((_15_同援日１．０＿０．５*_15・通訳),0)*(1+_15・B早朝)),0)*(1+_15・盲ろう)),0)*(1+_15・区３)),0)+ROUND((ROUND((ROUND((_15_同援日１．０＿０．５＿１．０*_15・通訳),0)*(1+_15・盲ろう)),0)*(1+_15・区３)),0)</f>
        <v>982</v>
      </c>
      <c r="AF133" s="69"/>
    </row>
    <row r="134" spans="1:32" ht="16.5" customHeight="1" x14ac:dyDescent="0.3">
      <c r="A134" s="2">
        <v>15</v>
      </c>
      <c r="B134" s="2" t="s">
        <v>4754</v>
      </c>
      <c r="C134" s="60" t="s">
        <v>15146</v>
      </c>
      <c r="D134" s="1"/>
      <c r="E134" s="68"/>
      <c r="F134" s="70"/>
      <c r="G134" s="1"/>
      <c r="H134" s="68"/>
      <c r="I134" s="70"/>
      <c r="J134" s="1"/>
      <c r="K134" s="68"/>
      <c r="L134" s="70"/>
      <c r="M134" s="67"/>
      <c r="N134" s="68"/>
      <c r="O134" s="76"/>
      <c r="P134" s="83" t="s">
        <v>5895</v>
      </c>
      <c r="Q134" s="64" t="s">
        <v>1</v>
      </c>
      <c r="R134" s="65">
        <v>1</v>
      </c>
      <c r="S134" s="99"/>
      <c r="T134" s="70"/>
      <c r="U134" s="99"/>
      <c r="V134" s="70"/>
      <c r="W134" s="81" t="s">
        <v>18086</v>
      </c>
      <c r="X134" s="57" t="s">
        <v>1</v>
      </c>
      <c r="Y134" s="58">
        <v>0.25</v>
      </c>
      <c r="Z134" s="77" t="s">
        <v>422</v>
      </c>
      <c r="AA134" s="81"/>
      <c r="AB134" s="57"/>
      <c r="AC134" s="58"/>
      <c r="AD134" s="77"/>
      <c r="AE134" s="228">
        <f>ROUND((ROUND((ROUND((ROUND((ROUND((_15_同援日１．０*_15・通訳),0)*_15・２人),0)*(1+_15・A深夜)),0)*(1+_15・盲ろう)),0)*(1+_15・区３)),0)+ROUND((ROUND((ROUND((ROUND((ROUND((_15_同援日１．０＿０．５*_15・通訳),0)*_15・２人),0)*(1+_15・B早朝)),0)*(1+_15・盲ろう)),0)*(1+_15・区３)),0)+ROUND((ROUND((ROUND((ROUND((_15_同援日１．０＿０．５＿１．０*_15・通訳),0)*_15・２人),0)*(1+_15・盲ろう)),0)*(1+_15・区３)),0)</f>
        <v>982</v>
      </c>
      <c r="AF134" s="69"/>
    </row>
    <row r="135" spans="1:32" ht="16.5" customHeight="1" x14ac:dyDescent="0.3">
      <c r="A135" s="2">
        <v>15</v>
      </c>
      <c r="B135" s="2" t="s">
        <v>4755</v>
      </c>
      <c r="C135" s="60" t="s">
        <v>15145</v>
      </c>
      <c r="D135" s="1"/>
      <c r="E135" s="68"/>
      <c r="F135" s="70"/>
      <c r="G135" s="1"/>
      <c r="H135" s="68"/>
      <c r="I135" s="70"/>
      <c r="J135" s="1"/>
      <c r="K135" s="68"/>
      <c r="L135" s="70"/>
      <c r="M135" s="67"/>
      <c r="N135" s="68"/>
      <c r="O135" s="76"/>
      <c r="P135" s="83"/>
      <c r="Q135" s="64"/>
      <c r="R135" s="65"/>
      <c r="S135" s="99"/>
      <c r="T135" s="70"/>
      <c r="U135" s="99"/>
      <c r="V135" s="70"/>
      <c r="W135" s="74"/>
      <c r="X135" s="62"/>
      <c r="Y135" s="63"/>
      <c r="Z135" s="75"/>
      <c r="AA135" s="74" t="s">
        <v>18119</v>
      </c>
      <c r="AB135" s="62"/>
      <c r="AC135" s="63"/>
      <c r="AD135" s="75"/>
      <c r="AE135" s="228">
        <f>ROUND((ROUND((ROUND((_15_同援日１．０*_15・通訳),0)*(1+_15・A深夜)),0)*(1+_15・区４)),0)+ROUND((ROUND((ROUND((_15_同援日１．０＿０．５*_15・通訳),0)*(1+_15・B早朝)),0)*(1+_15・区４)),0)+ROUND((ROUND((_15_同援日１．０＿０．５＿１．０*_15・通訳),0)*(1+_15・区４)),0)</f>
        <v>916</v>
      </c>
      <c r="AF135" s="69"/>
    </row>
    <row r="136" spans="1:32" ht="16.5" customHeight="1" x14ac:dyDescent="0.3">
      <c r="A136" s="2">
        <v>15</v>
      </c>
      <c r="B136" s="2" t="s">
        <v>4756</v>
      </c>
      <c r="C136" s="60" t="s">
        <v>15144</v>
      </c>
      <c r="D136" s="1"/>
      <c r="E136" s="68"/>
      <c r="F136" s="70"/>
      <c r="G136" s="1"/>
      <c r="H136" s="68"/>
      <c r="I136" s="70"/>
      <c r="J136" s="1"/>
      <c r="K136" s="68"/>
      <c r="L136" s="70"/>
      <c r="M136" s="67"/>
      <c r="N136" s="68"/>
      <c r="O136" s="76"/>
      <c r="P136" s="83" t="s">
        <v>5895</v>
      </c>
      <c r="Q136" s="64" t="s">
        <v>1</v>
      </c>
      <c r="R136" s="65">
        <v>1</v>
      </c>
      <c r="S136" s="99"/>
      <c r="T136" s="70"/>
      <c r="U136" s="99"/>
      <c r="V136" s="70"/>
      <c r="W136" s="81"/>
      <c r="X136" s="57"/>
      <c r="Y136" s="58"/>
      <c r="Z136" s="77"/>
      <c r="AA136" s="1" t="s">
        <v>18084</v>
      </c>
      <c r="AB136" s="68"/>
      <c r="AC136" s="76"/>
      <c r="AD136" s="70"/>
      <c r="AE136" s="228">
        <f>ROUND((ROUND((ROUND((ROUND((_15_同援日１．０*_15・通訳),0)*_15・２人),0)*(1+_15・A深夜)),0)*(1+_15・区４)),0)+ROUND((ROUND((ROUND((ROUND((_15_同援日１．０＿０．５*_15・通訳),0)*_15・２人),0)*(1+_15・B早朝)),0)*(1+_15・区４)),0)+ROUND((ROUND((ROUND((_15_同援日１．０＿０．５＿１．０*_15・通訳),0)*_15・２人),0)*(1+_15・区４)),0)</f>
        <v>916</v>
      </c>
      <c r="AF136" s="69"/>
    </row>
    <row r="137" spans="1:32" ht="16.5" customHeight="1" x14ac:dyDescent="0.3">
      <c r="A137" s="2">
        <v>15</v>
      </c>
      <c r="B137" s="2" t="s">
        <v>4757</v>
      </c>
      <c r="C137" s="60" t="s">
        <v>15143</v>
      </c>
      <c r="D137" s="1"/>
      <c r="E137" s="68"/>
      <c r="F137" s="70"/>
      <c r="G137" s="1"/>
      <c r="H137" s="68"/>
      <c r="I137" s="70"/>
      <c r="J137" s="1"/>
      <c r="K137" s="68"/>
      <c r="L137" s="70"/>
      <c r="M137" s="67"/>
      <c r="N137" s="68"/>
      <c r="O137" s="76"/>
      <c r="P137" s="83"/>
      <c r="Q137" s="64"/>
      <c r="R137" s="65"/>
      <c r="S137" s="99"/>
      <c r="T137" s="70"/>
      <c r="U137" s="99"/>
      <c r="V137" s="70"/>
      <c r="W137" s="74" t="s">
        <v>8085</v>
      </c>
      <c r="X137" s="62"/>
      <c r="Y137" s="63"/>
      <c r="Z137" s="75"/>
      <c r="AA137" s="1"/>
      <c r="AB137" s="68" t="s">
        <v>1</v>
      </c>
      <c r="AC137" s="76">
        <v>0.4</v>
      </c>
      <c r="AD137" s="70" t="s">
        <v>422</v>
      </c>
      <c r="AE137" s="228">
        <f>ROUND((ROUND((ROUND((ROUND((_15_同援日１．０*_15・通訳),0)*(1+_15・A深夜)),0)*(1+_15・盲ろう)),0)*(1+_15・区４)),0)+ROUND((ROUND((ROUND((ROUND((_15_同援日１．０＿０．５*_15・通訳),0)*(1+_15・B早朝)),0)*(1+_15・盲ろう)),0)*(1+_15・区４)),0)+ROUND((ROUND((ROUND((_15_同援日１．０＿０．５＿１．０*_15・通訳),0)*(1+_15・盲ろう)),0)*(1+_15・区４)),0)</f>
        <v>1145</v>
      </c>
      <c r="AF137" s="69"/>
    </row>
    <row r="138" spans="1:32" ht="16.5" customHeight="1" x14ac:dyDescent="0.3">
      <c r="A138" s="2">
        <v>15</v>
      </c>
      <c r="B138" s="2" t="s">
        <v>4758</v>
      </c>
      <c r="C138" s="60" t="s">
        <v>15142</v>
      </c>
      <c r="D138" s="1"/>
      <c r="E138" s="68"/>
      <c r="F138" s="70"/>
      <c r="G138" s="1"/>
      <c r="H138" s="68"/>
      <c r="I138" s="70"/>
      <c r="J138" s="81"/>
      <c r="K138" s="57"/>
      <c r="L138" s="77"/>
      <c r="M138" s="67"/>
      <c r="N138" s="68"/>
      <c r="O138" s="76"/>
      <c r="P138" s="83" t="s">
        <v>5895</v>
      </c>
      <c r="Q138" s="64" t="s">
        <v>1</v>
      </c>
      <c r="R138" s="65">
        <v>1</v>
      </c>
      <c r="S138" s="99"/>
      <c r="T138" s="70"/>
      <c r="U138" s="99"/>
      <c r="V138" s="70"/>
      <c r="W138" s="81" t="s">
        <v>18086</v>
      </c>
      <c r="X138" s="57" t="s">
        <v>1</v>
      </c>
      <c r="Y138" s="58">
        <v>0.25</v>
      </c>
      <c r="Z138" s="77" t="s">
        <v>422</v>
      </c>
      <c r="AA138" s="81"/>
      <c r="AB138" s="57"/>
      <c r="AC138" s="58"/>
      <c r="AD138" s="77"/>
      <c r="AE138" s="228">
        <f>ROUND((ROUND((ROUND((ROUND((ROUND((_15_同援日１．０*_15・通訳),0)*_15・２人),0)*(1+_15・A深夜)),0)*(1+_15・盲ろう)),0)*(1+_15・区４)),0)+ROUND((ROUND((ROUND((ROUND((ROUND((_15_同援日１．０＿０．５*_15・通訳),0)*_15・２人),0)*(1+_15・B早朝)),0)*(1+_15・盲ろう)),0)*(1+_15・区４)),0)+ROUND((ROUND((ROUND((ROUND((_15_同援日１．０＿０．５＿１．０*_15・通訳),0)*_15・２人),0)*(1+_15・盲ろう)),0)*(1+_15・区４)),0)</f>
        <v>1145</v>
      </c>
      <c r="AF138" s="69"/>
    </row>
    <row r="139" spans="1:32" ht="16.5" customHeight="1" x14ac:dyDescent="0.3">
      <c r="A139" s="2">
        <v>15</v>
      </c>
      <c r="B139" s="2" t="s">
        <v>4759</v>
      </c>
      <c r="C139" s="60" t="s">
        <v>15141</v>
      </c>
      <c r="D139" s="1"/>
      <c r="E139" s="68"/>
      <c r="F139" s="70"/>
      <c r="G139" s="1"/>
      <c r="H139" s="68"/>
      <c r="I139" s="70"/>
      <c r="J139" s="74" t="s">
        <v>17107</v>
      </c>
      <c r="K139" s="62"/>
      <c r="L139" s="75"/>
      <c r="M139" s="67"/>
      <c r="N139" s="68"/>
      <c r="O139" s="76"/>
      <c r="P139" s="83"/>
      <c r="Q139" s="64"/>
      <c r="R139" s="65"/>
      <c r="S139" s="99"/>
      <c r="T139" s="70"/>
      <c r="U139" s="99"/>
      <c r="V139" s="70"/>
      <c r="W139" s="74"/>
      <c r="X139" s="62"/>
      <c r="Y139" s="63"/>
      <c r="Z139" s="75"/>
      <c r="AA139" s="74"/>
      <c r="AB139" s="62"/>
      <c r="AC139" s="63"/>
      <c r="AD139" s="75"/>
      <c r="AE139" s="228">
        <f>ROUND((ROUND((_15_同援日１．０*_15・通訳),0)*(1+_15・A深夜)),0)+ROUND((ROUND((_15_同援日１．０＿０．５*_15・通訳),0)*(1+_15・B早朝)),0)+ROUND((_15_同援日１．０＿０．５＿１．５*_15・通訳),0)</f>
        <v>711</v>
      </c>
      <c r="AF139" s="69"/>
    </row>
    <row r="140" spans="1:32" ht="16.5" customHeight="1" x14ac:dyDescent="0.3">
      <c r="A140" s="2">
        <v>15</v>
      </c>
      <c r="B140" s="2" t="s">
        <v>4760</v>
      </c>
      <c r="C140" s="60" t="s">
        <v>15140</v>
      </c>
      <c r="D140" s="1"/>
      <c r="E140" s="68"/>
      <c r="F140" s="70"/>
      <c r="G140" s="1"/>
      <c r="H140" s="68"/>
      <c r="I140" s="70"/>
      <c r="J140" s="1" t="s">
        <v>17070</v>
      </c>
      <c r="K140" s="68"/>
      <c r="L140" s="70"/>
      <c r="M140" s="67"/>
      <c r="N140" s="68"/>
      <c r="O140" s="76"/>
      <c r="P140" s="83" t="s">
        <v>5895</v>
      </c>
      <c r="Q140" s="64" t="s">
        <v>1</v>
      </c>
      <c r="R140" s="65">
        <v>1</v>
      </c>
      <c r="S140" s="99"/>
      <c r="T140" s="70"/>
      <c r="U140" s="99"/>
      <c r="V140" s="70"/>
      <c r="W140" s="81"/>
      <c r="X140" s="57"/>
      <c r="Y140" s="58"/>
      <c r="Z140" s="77"/>
      <c r="AA140" s="1"/>
      <c r="AB140" s="68"/>
      <c r="AC140" s="76"/>
      <c r="AD140" s="70"/>
      <c r="AE140" s="228">
        <f>ROUND((ROUND((ROUND((_15_同援日１．０*_15・通訳),0)*_15・２人),0)*(1+_15・A深夜)),0)+ROUND((ROUND((ROUND((_15_同援日１．０＿０．５*_15・通訳),0)*_15・２人),0)*(1+_15・B早朝)),0)+ROUND((ROUND((_15_同援日１．０＿０．５＿１．５*_15・通訳),0)*_15・２人),0)</f>
        <v>711</v>
      </c>
      <c r="AF140" s="69"/>
    </row>
    <row r="141" spans="1:32" ht="16.5" customHeight="1" x14ac:dyDescent="0.3">
      <c r="A141" s="2">
        <v>15</v>
      </c>
      <c r="B141" s="2" t="s">
        <v>4761</v>
      </c>
      <c r="C141" s="60" t="s">
        <v>15139</v>
      </c>
      <c r="D141" s="1"/>
      <c r="E141" s="68"/>
      <c r="F141" s="70"/>
      <c r="G141" s="1"/>
      <c r="H141" s="68"/>
      <c r="I141" s="70"/>
      <c r="J141" s="1" t="s">
        <v>8767</v>
      </c>
      <c r="K141" s="68"/>
      <c r="L141" s="70"/>
      <c r="M141" s="67"/>
      <c r="N141" s="68"/>
      <c r="O141" s="76"/>
      <c r="P141" s="83"/>
      <c r="Q141" s="64"/>
      <c r="R141" s="65"/>
      <c r="S141" s="99"/>
      <c r="T141" s="70"/>
      <c r="U141" s="99"/>
      <c r="V141" s="70"/>
      <c r="W141" s="74" t="s">
        <v>18118</v>
      </c>
      <c r="X141" s="62"/>
      <c r="Y141" s="63"/>
      <c r="Z141" s="75"/>
      <c r="AA141" s="1"/>
      <c r="AB141" s="68"/>
      <c r="AC141" s="76"/>
      <c r="AD141" s="70"/>
      <c r="AE141" s="228">
        <f>ROUND((ROUND((ROUND((_15_同援日１．０*_15・通訳),0)*(1+_15・A深夜)),0)*(1+_15・盲ろう)),0)+ROUND((ROUND((ROUND((_15_同援日１．０＿０．５*_15・通訳),0)*(1+_15・B早朝)),0)*(1+_15・盲ろう)),0)+ROUND((ROUND((_15_同援日１．０＿０．５＿１．５*_15・通訳),0)*(1+_15・盲ろう)),0)</f>
        <v>889</v>
      </c>
      <c r="AF141" s="69"/>
    </row>
    <row r="142" spans="1:32" ht="16.5" customHeight="1" x14ac:dyDescent="0.3">
      <c r="A142" s="2">
        <v>15</v>
      </c>
      <c r="B142" s="2" t="s">
        <v>4762</v>
      </c>
      <c r="C142" s="60" t="s">
        <v>15138</v>
      </c>
      <c r="D142" s="1"/>
      <c r="E142" s="68"/>
      <c r="F142" s="70"/>
      <c r="G142" s="1"/>
      <c r="H142" s="68"/>
      <c r="I142" s="70"/>
      <c r="J142" s="1"/>
      <c r="K142" s="119">
        <v>190</v>
      </c>
      <c r="L142" s="70" t="s">
        <v>0</v>
      </c>
      <c r="M142" s="67"/>
      <c r="N142" s="68"/>
      <c r="O142" s="76"/>
      <c r="P142" s="83" t="s">
        <v>5895</v>
      </c>
      <c r="Q142" s="64" t="s">
        <v>1</v>
      </c>
      <c r="R142" s="65">
        <v>1</v>
      </c>
      <c r="S142" s="99"/>
      <c r="T142" s="70"/>
      <c r="U142" s="99"/>
      <c r="V142" s="70"/>
      <c r="W142" s="81" t="s">
        <v>18086</v>
      </c>
      <c r="X142" s="57" t="s">
        <v>1</v>
      </c>
      <c r="Y142" s="58">
        <v>0.25</v>
      </c>
      <c r="Z142" s="77" t="s">
        <v>422</v>
      </c>
      <c r="AA142" s="81"/>
      <c r="AB142" s="57"/>
      <c r="AC142" s="58"/>
      <c r="AD142" s="77"/>
      <c r="AE142" s="228">
        <f>ROUND((ROUND((ROUND((ROUND((_15_同援日１．０*_15・通訳),0)*_15・２人),0)*(1+_15・A深夜)),0)*(1+_15・盲ろう)),0)+ROUND((ROUND((ROUND((ROUND((_15_同援日１．０＿０．５*_15・通訳),0)*_15・２人),0)*(1+_15・B早朝)),0)*(1+_15・盲ろう)),0)+ROUND((ROUND((ROUND((_15_同援日１．０＿０．５＿１．５*_15・通訳),0)*_15・２人),0)*(1+_15・盲ろう)),0)</f>
        <v>889</v>
      </c>
      <c r="AF142" s="69"/>
    </row>
    <row r="143" spans="1:32" ht="16.5" customHeight="1" x14ac:dyDescent="0.3">
      <c r="A143" s="2">
        <v>15</v>
      </c>
      <c r="B143" s="2" t="s">
        <v>4763</v>
      </c>
      <c r="C143" s="60" t="s">
        <v>15137</v>
      </c>
      <c r="D143" s="1"/>
      <c r="E143" s="68"/>
      <c r="F143" s="70"/>
      <c r="G143" s="1"/>
      <c r="H143" s="68"/>
      <c r="I143" s="70"/>
      <c r="J143" s="1"/>
      <c r="K143" s="68"/>
      <c r="L143" s="70"/>
      <c r="M143" s="67"/>
      <c r="N143" s="68"/>
      <c r="O143" s="76"/>
      <c r="P143" s="83"/>
      <c r="Q143" s="64"/>
      <c r="R143" s="65"/>
      <c r="S143" s="99"/>
      <c r="T143" s="70"/>
      <c r="U143" s="99"/>
      <c r="V143" s="70"/>
      <c r="W143" s="74"/>
      <c r="X143" s="62"/>
      <c r="Y143" s="63"/>
      <c r="Z143" s="75"/>
      <c r="AA143" s="74" t="s">
        <v>18089</v>
      </c>
      <c r="AB143" s="62"/>
      <c r="AC143" s="63"/>
      <c r="AD143" s="75"/>
      <c r="AE143" s="228">
        <f>ROUND((ROUND((ROUND((_15_同援日１．０*_15・通訳),0)*(1+_15・A深夜)),0)*(1+_15・区３)),0)+ROUND((ROUND((ROUND((_15_同援日１．０＿０．５*_15・通訳),0)*(1+_15・B早朝)),0)*(1+_15・区３)),0)+ROUND((ROUND((_15_同援日１．０＿０．５＿１．５*_15・通訳),0)*(1+_15・区３)),0)</f>
        <v>853</v>
      </c>
      <c r="AF143" s="69"/>
    </row>
    <row r="144" spans="1:32" ht="16.5" customHeight="1" x14ac:dyDescent="0.3">
      <c r="A144" s="2">
        <v>15</v>
      </c>
      <c r="B144" s="2" t="s">
        <v>4764</v>
      </c>
      <c r="C144" s="60" t="s">
        <v>15136</v>
      </c>
      <c r="D144" s="1"/>
      <c r="E144" s="68"/>
      <c r="F144" s="70"/>
      <c r="G144" s="1"/>
      <c r="H144" s="68"/>
      <c r="I144" s="70"/>
      <c r="J144" s="1"/>
      <c r="K144" s="68"/>
      <c r="L144" s="70"/>
      <c r="M144" s="67"/>
      <c r="N144" s="68"/>
      <c r="O144" s="76"/>
      <c r="P144" s="83" t="s">
        <v>5895</v>
      </c>
      <c r="Q144" s="64" t="s">
        <v>1</v>
      </c>
      <c r="R144" s="65">
        <v>1</v>
      </c>
      <c r="S144" s="99"/>
      <c r="T144" s="70"/>
      <c r="U144" s="99"/>
      <c r="V144" s="70"/>
      <c r="W144" s="81"/>
      <c r="X144" s="57"/>
      <c r="Y144" s="58"/>
      <c r="Z144" s="77"/>
      <c r="AA144" s="1" t="s">
        <v>18112</v>
      </c>
      <c r="AB144" s="68"/>
      <c r="AC144" s="76"/>
      <c r="AD144" s="70"/>
      <c r="AE144" s="228">
        <f>ROUND((ROUND((ROUND((ROUND((_15_同援日１．０*_15・通訳),0)*_15・２人),0)*(1+_15・A深夜)),0)*(1+_15・区３)),0)+ROUND((ROUND((ROUND((ROUND((_15_同援日１．０＿０．５*_15・通訳),0)*_15・２人),0)*(1+_15・B早朝)),0)*(1+_15・区３)),0)+ROUND((ROUND((ROUND((_15_同援日１．０＿０．５＿１．５*_15・通訳),0)*_15・２人),0)*(1+_15・区３)),0)</f>
        <v>853</v>
      </c>
      <c r="AF144" s="69"/>
    </row>
    <row r="145" spans="1:32" ht="16.5" customHeight="1" x14ac:dyDescent="0.3">
      <c r="A145" s="2">
        <v>15</v>
      </c>
      <c r="B145" s="2" t="s">
        <v>4765</v>
      </c>
      <c r="C145" s="60" t="s">
        <v>15135</v>
      </c>
      <c r="D145" s="1"/>
      <c r="E145" s="68"/>
      <c r="F145" s="70"/>
      <c r="G145" s="1"/>
      <c r="H145" s="68"/>
      <c r="I145" s="70"/>
      <c r="J145" s="1"/>
      <c r="K145" s="68"/>
      <c r="L145" s="70"/>
      <c r="M145" s="67"/>
      <c r="N145" s="68"/>
      <c r="O145" s="76"/>
      <c r="P145" s="83"/>
      <c r="Q145" s="64"/>
      <c r="R145" s="65"/>
      <c r="S145" s="99"/>
      <c r="T145" s="70"/>
      <c r="U145" s="99"/>
      <c r="V145" s="70"/>
      <c r="W145" s="74" t="s">
        <v>18087</v>
      </c>
      <c r="X145" s="62"/>
      <c r="Y145" s="63"/>
      <c r="Z145" s="75"/>
      <c r="AA145" s="1"/>
      <c r="AB145" s="68" t="s">
        <v>1</v>
      </c>
      <c r="AC145" s="76">
        <v>0.2</v>
      </c>
      <c r="AD145" s="70" t="s">
        <v>422</v>
      </c>
      <c r="AE145" s="228">
        <f>ROUND((ROUND((ROUND((ROUND((_15_同援日１．０*_15・通訳),0)*(1+_15・A深夜)),0)*(1+_15・盲ろう)),0)*(1+_15・区３)),0)+ROUND((ROUND((ROUND((ROUND((_15_同援日１．０＿０．５*_15・通訳),0)*(1+_15・B早朝)),0)*(1+_15・盲ろう)),0)*(1+_15・区３)),0)+ROUND((ROUND((ROUND((_15_同援日１．０＿０．５＿１．５*_15・通訳),0)*(1+_15・盲ろう)),0)*(1+_15・区３)),0)</f>
        <v>1067</v>
      </c>
      <c r="AF145" s="69"/>
    </row>
    <row r="146" spans="1:32" ht="16.5" customHeight="1" x14ac:dyDescent="0.3">
      <c r="A146" s="2">
        <v>15</v>
      </c>
      <c r="B146" s="2" t="s">
        <v>4766</v>
      </c>
      <c r="C146" s="60" t="s">
        <v>15134</v>
      </c>
      <c r="D146" s="1"/>
      <c r="E146" s="68"/>
      <c r="F146" s="70"/>
      <c r="G146" s="1"/>
      <c r="H146" s="68"/>
      <c r="I146" s="70"/>
      <c r="J146" s="1"/>
      <c r="K146" s="68"/>
      <c r="L146" s="70"/>
      <c r="M146" s="67"/>
      <c r="N146" s="68"/>
      <c r="O146" s="76"/>
      <c r="P146" s="83" t="s">
        <v>5895</v>
      </c>
      <c r="Q146" s="64" t="s">
        <v>1</v>
      </c>
      <c r="R146" s="65">
        <v>1</v>
      </c>
      <c r="S146" s="99"/>
      <c r="T146" s="70"/>
      <c r="U146" s="99"/>
      <c r="V146" s="70"/>
      <c r="W146" s="81" t="s">
        <v>18086</v>
      </c>
      <c r="X146" s="57" t="s">
        <v>1</v>
      </c>
      <c r="Y146" s="58">
        <v>0.25</v>
      </c>
      <c r="Z146" s="77" t="s">
        <v>422</v>
      </c>
      <c r="AA146" s="81"/>
      <c r="AB146" s="57"/>
      <c r="AC146" s="58"/>
      <c r="AD146" s="77"/>
      <c r="AE146" s="228">
        <f>ROUND((ROUND((ROUND((ROUND((ROUND((_15_同援日１．０*_15・通訳),0)*_15・２人),0)*(1+_15・A深夜)),0)*(1+_15・盲ろう)),0)*(1+_15・区３)),0)+ROUND((ROUND((ROUND((ROUND((ROUND((_15_同援日１．０＿０．５*_15・通訳),0)*_15・２人),0)*(1+_15・B早朝)),0)*(1+_15・盲ろう)),0)*(1+_15・区３)),0)+ROUND((ROUND((ROUND((ROUND((_15_同援日１．０＿０．５＿１．５*_15・通訳),0)*_15・２人),0)*(1+_15・盲ろう)),0)*(1+_15・区３)),0)</f>
        <v>1067</v>
      </c>
      <c r="AF146" s="69"/>
    </row>
    <row r="147" spans="1:32" ht="16.5" customHeight="1" x14ac:dyDescent="0.3">
      <c r="A147" s="2">
        <v>15</v>
      </c>
      <c r="B147" s="2" t="s">
        <v>4767</v>
      </c>
      <c r="C147" s="60" t="s">
        <v>15133</v>
      </c>
      <c r="D147" s="1"/>
      <c r="E147" s="68"/>
      <c r="F147" s="70"/>
      <c r="G147" s="1"/>
      <c r="H147" s="68"/>
      <c r="I147" s="70"/>
      <c r="J147" s="1"/>
      <c r="K147" s="68"/>
      <c r="L147" s="70"/>
      <c r="M147" s="67"/>
      <c r="N147" s="68"/>
      <c r="O147" s="76"/>
      <c r="P147" s="83"/>
      <c r="Q147" s="64"/>
      <c r="R147" s="65"/>
      <c r="S147" s="99"/>
      <c r="T147" s="70"/>
      <c r="U147" s="99"/>
      <c r="V147" s="70"/>
      <c r="W147" s="74"/>
      <c r="X147" s="62"/>
      <c r="Y147" s="63"/>
      <c r="Z147" s="75"/>
      <c r="AA147" s="74" t="s">
        <v>18094</v>
      </c>
      <c r="AB147" s="62"/>
      <c r="AC147" s="63"/>
      <c r="AD147" s="75"/>
      <c r="AE147" s="228">
        <f>ROUND((ROUND((ROUND((_15_同援日１．０*_15・通訳),0)*(1+_15・A深夜)),0)*(1+_15・区４)),0)+ROUND((ROUND((ROUND((_15_同援日１．０＿０．５*_15・通訳),0)*(1+_15・B早朝)),0)*(1+_15・区４)),0)+ROUND((ROUND((_15_同援日１．０＿０．５＿１．５*_15・通訳),0)*(1+_15・区４)),0)</f>
        <v>995</v>
      </c>
      <c r="AF147" s="69"/>
    </row>
    <row r="148" spans="1:32" ht="16.5" customHeight="1" x14ac:dyDescent="0.3">
      <c r="A148" s="2">
        <v>15</v>
      </c>
      <c r="B148" s="2" t="s">
        <v>4768</v>
      </c>
      <c r="C148" s="60" t="s">
        <v>15132</v>
      </c>
      <c r="D148" s="1"/>
      <c r="E148" s="68"/>
      <c r="F148" s="70"/>
      <c r="G148" s="1"/>
      <c r="H148" s="68"/>
      <c r="I148" s="70"/>
      <c r="J148" s="1"/>
      <c r="K148" s="68"/>
      <c r="L148" s="70"/>
      <c r="M148" s="67"/>
      <c r="N148" s="68"/>
      <c r="O148" s="76"/>
      <c r="P148" s="83" t="s">
        <v>5895</v>
      </c>
      <c r="Q148" s="64" t="s">
        <v>1</v>
      </c>
      <c r="R148" s="65">
        <v>1</v>
      </c>
      <c r="S148" s="99"/>
      <c r="T148" s="70"/>
      <c r="U148" s="99"/>
      <c r="V148" s="70"/>
      <c r="W148" s="81"/>
      <c r="X148" s="57"/>
      <c r="Y148" s="58"/>
      <c r="Z148" s="77"/>
      <c r="AA148" s="1" t="s">
        <v>18084</v>
      </c>
      <c r="AB148" s="68"/>
      <c r="AC148" s="76"/>
      <c r="AD148" s="70"/>
      <c r="AE148" s="228">
        <f>ROUND((ROUND((ROUND((ROUND((_15_同援日１．０*_15・通訳),0)*_15・２人),0)*(1+_15・A深夜)),0)*(1+_15・区４)),0)+ROUND((ROUND((ROUND((ROUND((_15_同援日１．０＿０．５*_15・通訳),0)*_15・２人),0)*(1+_15・B早朝)),0)*(1+_15・区４)),0)+ROUND((ROUND((ROUND((_15_同援日１．０＿０．５＿１．５*_15・通訳),0)*_15・２人),0)*(1+_15・区４)),0)</f>
        <v>995</v>
      </c>
      <c r="AF148" s="69"/>
    </row>
    <row r="149" spans="1:32" ht="16.5" customHeight="1" x14ac:dyDescent="0.3">
      <c r="A149" s="2">
        <v>15</v>
      </c>
      <c r="B149" s="2" t="s">
        <v>4769</v>
      </c>
      <c r="C149" s="60" t="s">
        <v>15131</v>
      </c>
      <c r="D149" s="1"/>
      <c r="E149" s="68"/>
      <c r="F149" s="70"/>
      <c r="G149" s="1"/>
      <c r="H149" s="68"/>
      <c r="I149" s="70"/>
      <c r="J149" s="1"/>
      <c r="K149" s="68"/>
      <c r="L149" s="70"/>
      <c r="M149" s="67"/>
      <c r="N149" s="68"/>
      <c r="O149" s="76"/>
      <c r="P149" s="83"/>
      <c r="Q149" s="64"/>
      <c r="R149" s="65"/>
      <c r="S149" s="99"/>
      <c r="T149" s="70"/>
      <c r="U149" s="99"/>
      <c r="V149" s="70"/>
      <c r="W149" s="74" t="s">
        <v>18087</v>
      </c>
      <c r="X149" s="62"/>
      <c r="Y149" s="63"/>
      <c r="Z149" s="75"/>
      <c r="AA149" s="1"/>
      <c r="AB149" s="68" t="s">
        <v>1</v>
      </c>
      <c r="AC149" s="76">
        <v>0.4</v>
      </c>
      <c r="AD149" s="70" t="s">
        <v>422</v>
      </c>
      <c r="AE149" s="228">
        <f>ROUND((ROUND((ROUND((ROUND((_15_同援日１．０*_15・通訳),0)*(1+_15・A深夜)),0)*(1+_15・盲ろう)),0)*(1+_15・区４)),0)+ROUND((ROUND((ROUND((ROUND((_15_同援日１．０＿０．５*_15・通訳),0)*(1+_15・B早朝)),0)*(1+_15・盲ろう)),0)*(1+_15・区４)),0)+ROUND((ROUND((ROUND((_15_同援日１．０＿０．５＿１．５*_15・通訳),0)*(1+_15・盲ろう)),0)*(1+_15・区４)),0)</f>
        <v>1245</v>
      </c>
      <c r="AF149" s="69"/>
    </row>
    <row r="150" spans="1:32" ht="16.5" customHeight="1" x14ac:dyDescent="0.3">
      <c r="A150" s="2">
        <v>15</v>
      </c>
      <c r="B150" s="2" t="s">
        <v>4770</v>
      </c>
      <c r="C150" s="60" t="s">
        <v>15130</v>
      </c>
      <c r="D150" s="1"/>
      <c r="E150" s="68"/>
      <c r="F150" s="70"/>
      <c r="G150" s="81"/>
      <c r="H150" s="57"/>
      <c r="I150" s="77"/>
      <c r="J150" s="81"/>
      <c r="K150" s="57"/>
      <c r="L150" s="77"/>
      <c r="M150" s="67"/>
      <c r="N150" s="68"/>
      <c r="O150" s="76"/>
      <c r="P150" s="83" t="s">
        <v>5895</v>
      </c>
      <c r="Q150" s="64" t="s">
        <v>1</v>
      </c>
      <c r="R150" s="65">
        <v>1</v>
      </c>
      <c r="S150" s="99"/>
      <c r="T150" s="70"/>
      <c r="U150" s="99"/>
      <c r="V150" s="70"/>
      <c r="W150" s="81" t="s">
        <v>18086</v>
      </c>
      <c r="X150" s="57" t="s">
        <v>1</v>
      </c>
      <c r="Y150" s="58">
        <v>0.25</v>
      </c>
      <c r="Z150" s="77" t="s">
        <v>422</v>
      </c>
      <c r="AA150" s="81"/>
      <c r="AB150" s="57"/>
      <c r="AC150" s="58"/>
      <c r="AD150" s="77"/>
      <c r="AE150" s="228">
        <f>ROUND((ROUND((ROUND((ROUND((ROUND((_15_同援日１．０*_15・通訳),0)*_15・２人),0)*(1+_15・A深夜)),0)*(1+_15・盲ろう)),0)*(1+_15・区４)),0)+ROUND((ROUND((ROUND((ROUND((ROUND((_15_同援日１．０＿０．５*_15・通訳),0)*_15・２人),0)*(1+_15・B早朝)),0)*(1+_15・盲ろう)),0)*(1+_15・区４)),0)+ROUND((ROUND((ROUND((ROUND((_15_同援日１．０＿０．５＿１．５*_15・通訳),0)*_15・２人),0)*(1+_15・盲ろう)),0)*(1+_15・区４)),0)</f>
        <v>1245</v>
      </c>
      <c r="AF150" s="69"/>
    </row>
    <row r="151" spans="1:32" ht="16.5" customHeight="1" x14ac:dyDescent="0.3">
      <c r="A151" s="2">
        <v>15</v>
      </c>
      <c r="B151" s="2" t="s">
        <v>4771</v>
      </c>
      <c r="C151" s="60" t="s">
        <v>15129</v>
      </c>
      <c r="D151" s="1"/>
      <c r="E151" s="68"/>
      <c r="F151" s="70"/>
      <c r="G151" s="233" t="s">
        <v>18357</v>
      </c>
      <c r="H151" s="62"/>
      <c r="I151" s="75"/>
      <c r="J151" s="74" t="s">
        <v>17105</v>
      </c>
      <c r="K151" s="62"/>
      <c r="L151" s="75"/>
      <c r="M151" s="67"/>
      <c r="N151" s="68"/>
      <c r="O151" s="76"/>
      <c r="P151" s="83"/>
      <c r="Q151" s="64"/>
      <c r="R151" s="65"/>
      <c r="S151" s="99"/>
      <c r="T151" s="70"/>
      <c r="U151" s="99"/>
      <c r="V151" s="70"/>
      <c r="W151" s="74"/>
      <c r="X151" s="62"/>
      <c r="Y151" s="63"/>
      <c r="Z151" s="75"/>
      <c r="AA151" s="74"/>
      <c r="AB151" s="62"/>
      <c r="AC151" s="63"/>
      <c r="AD151" s="75"/>
      <c r="AE151" s="228">
        <f>ROUND((ROUND((_15_同援日１．０*_15・通訳),0)*(1+_15・A深夜)),0)+ROUND((ROUND((_15_同援日１．０＿１．０*_15・通訳),0)*(1+_15・B早朝)),0)+ROUND((_15_同援日１．０＿１．０＿０．５*_15・通訳),0)</f>
        <v>670</v>
      </c>
      <c r="AF151" s="69"/>
    </row>
    <row r="152" spans="1:32" ht="16.5" customHeight="1" x14ac:dyDescent="0.3">
      <c r="A152" s="2">
        <v>15</v>
      </c>
      <c r="B152" s="2" t="s">
        <v>4772</v>
      </c>
      <c r="C152" s="60" t="s">
        <v>15128</v>
      </c>
      <c r="D152" s="1"/>
      <c r="E152" s="68"/>
      <c r="F152" s="70"/>
      <c r="G152" s="1" t="s">
        <v>17067</v>
      </c>
      <c r="H152" s="68"/>
      <c r="I152" s="70"/>
      <c r="J152" s="1" t="s">
        <v>7928</v>
      </c>
      <c r="K152" s="68"/>
      <c r="L152" s="70"/>
      <c r="M152" s="67"/>
      <c r="N152" s="68"/>
      <c r="O152" s="76"/>
      <c r="P152" s="83" t="s">
        <v>5895</v>
      </c>
      <c r="Q152" s="64" t="s">
        <v>1</v>
      </c>
      <c r="R152" s="65">
        <v>1</v>
      </c>
      <c r="S152" s="99"/>
      <c r="T152" s="70"/>
      <c r="U152" s="99"/>
      <c r="V152" s="70"/>
      <c r="W152" s="81"/>
      <c r="X152" s="57"/>
      <c r="Y152" s="58"/>
      <c r="Z152" s="77"/>
      <c r="AA152" s="1"/>
      <c r="AB152" s="68"/>
      <c r="AC152" s="76"/>
      <c r="AD152" s="70"/>
      <c r="AE152" s="228">
        <f>ROUND((ROUND((ROUND((_15_同援日１．０*_15・通訳),0)*_15・２人),0)*(1+_15・A深夜)),0)+ROUND((ROUND((ROUND((_15_同援日１．０＿１．０*_15・通訳),0)*_15・２人),0)*(1+_15・B早朝)),0)+ROUND((ROUND((_15_同援日１．０＿１．０＿０．５*_15・通訳),0)*_15・２人),0)</f>
        <v>670</v>
      </c>
      <c r="AF152" s="69"/>
    </row>
    <row r="153" spans="1:32" ht="16.5" customHeight="1" x14ac:dyDescent="0.3">
      <c r="A153" s="2">
        <v>15</v>
      </c>
      <c r="B153" s="2" t="s">
        <v>4773</v>
      </c>
      <c r="C153" s="60" t="s">
        <v>15127</v>
      </c>
      <c r="D153" s="1"/>
      <c r="E153" s="68"/>
      <c r="F153" s="70"/>
      <c r="G153" s="1" t="s">
        <v>8572</v>
      </c>
      <c r="H153" s="68"/>
      <c r="I153" s="70"/>
      <c r="J153" s="1"/>
      <c r="K153" s="68"/>
      <c r="L153" s="70"/>
      <c r="M153" s="67"/>
      <c r="N153" s="68"/>
      <c r="O153" s="76"/>
      <c r="P153" s="83"/>
      <c r="Q153" s="64"/>
      <c r="R153" s="65"/>
      <c r="S153" s="99"/>
      <c r="T153" s="70"/>
      <c r="U153" s="99"/>
      <c r="V153" s="70"/>
      <c r="W153" s="74" t="s">
        <v>18087</v>
      </c>
      <c r="X153" s="62"/>
      <c r="Y153" s="63"/>
      <c r="Z153" s="75"/>
      <c r="AA153" s="1"/>
      <c r="AB153" s="68"/>
      <c r="AC153" s="76"/>
      <c r="AD153" s="70"/>
      <c r="AE153" s="228">
        <f>ROUND((ROUND((ROUND((_15_同援日１．０*_15・通訳),0)*(1+_15・A深夜)),0)*(1+_15・盲ろう)),0)+ROUND((ROUND((ROUND((_15_同援日１．０＿１．０*_15・通訳),0)*(1+_15・B早朝)),0)*(1+_15・盲ろう)),0)+ROUND((ROUND((_15_同援日１．０＿１．０＿０．５*_15・通訳),0)*(1+_15・盲ろう)),0)</f>
        <v>838</v>
      </c>
      <c r="AF153" s="69"/>
    </row>
    <row r="154" spans="1:32" ht="16.5" customHeight="1" x14ac:dyDescent="0.3">
      <c r="A154" s="2">
        <v>15</v>
      </c>
      <c r="B154" s="2" t="s">
        <v>4774</v>
      </c>
      <c r="C154" s="60" t="s">
        <v>15126</v>
      </c>
      <c r="D154" s="1"/>
      <c r="E154" s="68"/>
      <c r="F154" s="70"/>
      <c r="G154" s="1"/>
      <c r="H154" s="119">
        <v>193</v>
      </c>
      <c r="I154" s="70" t="s">
        <v>0</v>
      </c>
      <c r="J154" s="1"/>
      <c r="K154" s="119">
        <v>63</v>
      </c>
      <c r="L154" s="70" t="s">
        <v>0</v>
      </c>
      <c r="M154" s="67"/>
      <c r="N154" s="68"/>
      <c r="O154" s="76"/>
      <c r="P154" s="83" t="s">
        <v>5895</v>
      </c>
      <c r="Q154" s="64" t="s">
        <v>1</v>
      </c>
      <c r="R154" s="65">
        <v>1</v>
      </c>
      <c r="S154" s="99"/>
      <c r="T154" s="70"/>
      <c r="U154" s="99"/>
      <c r="V154" s="70"/>
      <c r="W154" s="81" t="s">
        <v>18086</v>
      </c>
      <c r="X154" s="57" t="s">
        <v>1</v>
      </c>
      <c r="Y154" s="58">
        <v>0.25</v>
      </c>
      <c r="Z154" s="77" t="s">
        <v>422</v>
      </c>
      <c r="AA154" s="81"/>
      <c r="AB154" s="57"/>
      <c r="AC154" s="58"/>
      <c r="AD154" s="77"/>
      <c r="AE154" s="228">
        <f>ROUND((ROUND((ROUND((ROUND((_15_同援日１．０*_15・通訳),0)*_15・２人),0)*(1+_15・A深夜)),0)*(1+_15・盲ろう)),0)+ROUND((ROUND((ROUND((ROUND((_15_同援日１．０＿１．０*_15・通訳),0)*_15・２人),0)*(1+_15・B早朝)),0)*(1+_15・盲ろう)),0)+ROUND((ROUND((ROUND((_15_同援日１．０＿１．０＿０．５*_15・通訳),0)*_15・２人),0)*(1+_15・盲ろう)),0)</f>
        <v>838</v>
      </c>
      <c r="AF154" s="69"/>
    </row>
    <row r="155" spans="1:32" ht="16.5" customHeight="1" x14ac:dyDescent="0.3">
      <c r="A155" s="2">
        <v>15</v>
      </c>
      <c r="B155" s="2" t="s">
        <v>4775</v>
      </c>
      <c r="C155" s="60" t="s">
        <v>15125</v>
      </c>
      <c r="D155" s="1"/>
      <c r="E155" s="68"/>
      <c r="F155" s="70"/>
      <c r="G155" s="1"/>
      <c r="H155" s="68"/>
      <c r="I155" s="70"/>
      <c r="J155" s="1"/>
      <c r="K155" s="68"/>
      <c r="L155" s="70"/>
      <c r="M155" s="67"/>
      <c r="N155" s="68"/>
      <c r="O155" s="76"/>
      <c r="P155" s="83"/>
      <c r="Q155" s="64"/>
      <c r="R155" s="65"/>
      <c r="S155" s="99"/>
      <c r="T155" s="70"/>
      <c r="U155" s="99"/>
      <c r="V155" s="70"/>
      <c r="W155" s="74"/>
      <c r="X155" s="62"/>
      <c r="Y155" s="63"/>
      <c r="Z155" s="75"/>
      <c r="AA155" s="74" t="s">
        <v>18089</v>
      </c>
      <c r="AB155" s="62"/>
      <c r="AC155" s="63"/>
      <c r="AD155" s="75"/>
      <c r="AE155" s="228">
        <f>ROUND((ROUND((ROUND((_15_同援日１．０*_15・通訳),0)*(1+_15・A深夜)),0)*(1+_15・区３)),0)+ROUND((ROUND((ROUND((_15_同援日１．０＿１．０*_15・通訳),0)*(1+_15・B早朝)),0)*(1+_15・区３)),0)+ROUND((ROUND((_15_同援日１．０＿１．０＿０．５*_15・通訳),0)*(1+_15・区３)),0)</f>
        <v>804</v>
      </c>
      <c r="AF155" s="69"/>
    </row>
    <row r="156" spans="1:32" ht="16.5" customHeight="1" x14ac:dyDescent="0.3">
      <c r="A156" s="2">
        <v>15</v>
      </c>
      <c r="B156" s="2" t="s">
        <v>4776</v>
      </c>
      <c r="C156" s="60" t="s">
        <v>15124</v>
      </c>
      <c r="D156" s="1"/>
      <c r="E156" s="68"/>
      <c r="F156" s="70"/>
      <c r="G156" s="1"/>
      <c r="H156" s="68"/>
      <c r="I156" s="70"/>
      <c r="J156" s="1"/>
      <c r="K156" s="68"/>
      <c r="L156" s="70"/>
      <c r="M156" s="67"/>
      <c r="N156" s="68"/>
      <c r="O156" s="76"/>
      <c r="P156" s="83" t="s">
        <v>5895</v>
      </c>
      <c r="Q156" s="64" t="s">
        <v>1</v>
      </c>
      <c r="R156" s="65">
        <v>1</v>
      </c>
      <c r="S156" s="99"/>
      <c r="T156" s="70"/>
      <c r="U156" s="99"/>
      <c r="V156" s="70"/>
      <c r="W156" s="81"/>
      <c r="X156" s="57"/>
      <c r="Y156" s="58"/>
      <c r="Z156" s="77"/>
      <c r="AA156" s="1" t="s">
        <v>18084</v>
      </c>
      <c r="AB156" s="68"/>
      <c r="AC156" s="76"/>
      <c r="AD156" s="70"/>
      <c r="AE156" s="228">
        <f>ROUND((ROUND((ROUND((ROUND((_15_同援日１．０*_15・通訳),0)*_15・２人),0)*(1+_15・A深夜)),0)*(1+_15・区３)),0)+ROUND((ROUND((ROUND((ROUND((_15_同援日１．０＿１．０*_15・通訳),0)*_15・２人),0)*(1+_15・B早朝)),0)*(1+_15・区３)),0)+ROUND((ROUND((ROUND((_15_同援日１．０＿１．０＿０．５*_15・通訳),0)*_15・２人),0)*(1+_15・区３)),0)</f>
        <v>804</v>
      </c>
      <c r="AF156" s="69"/>
    </row>
    <row r="157" spans="1:32" ht="16.5" customHeight="1" x14ac:dyDescent="0.3">
      <c r="A157" s="2">
        <v>15</v>
      </c>
      <c r="B157" s="2" t="s">
        <v>4777</v>
      </c>
      <c r="C157" s="60" t="s">
        <v>15123</v>
      </c>
      <c r="D157" s="1"/>
      <c r="E157" s="68"/>
      <c r="F157" s="70"/>
      <c r="G157" s="1"/>
      <c r="H157" s="68"/>
      <c r="I157" s="70"/>
      <c r="J157" s="1"/>
      <c r="K157" s="68"/>
      <c r="L157" s="70"/>
      <c r="M157" s="67"/>
      <c r="N157" s="68"/>
      <c r="O157" s="76"/>
      <c r="P157" s="83"/>
      <c r="Q157" s="64"/>
      <c r="R157" s="65"/>
      <c r="S157" s="99"/>
      <c r="T157" s="70"/>
      <c r="U157" s="99"/>
      <c r="V157" s="70"/>
      <c r="W157" s="74" t="s">
        <v>18087</v>
      </c>
      <c r="X157" s="62"/>
      <c r="Y157" s="63"/>
      <c r="Z157" s="75"/>
      <c r="AA157" s="1"/>
      <c r="AB157" s="68" t="s">
        <v>1</v>
      </c>
      <c r="AC157" s="76">
        <v>0.2</v>
      </c>
      <c r="AD157" s="70" t="s">
        <v>422</v>
      </c>
      <c r="AE157" s="228">
        <f>ROUND((ROUND((ROUND((ROUND((_15_同援日１．０*_15・通訳),0)*(1+_15・A深夜)),0)*(1+_15・盲ろう)),0)*(1+_15・区３)),0)+ROUND((ROUND((ROUND((ROUND((_15_同援日１．０＿１．０*_15・通訳),0)*(1+_15・B早朝)),0)*(1+_15・盲ろう)),0)*(1+_15・区３)),0)+ROUND((ROUND((ROUND((_15_同援日１．０＿１．０＿０．５*_15・通訳),0)*(1+_15・盲ろう)),0)*(1+_15・区３)),0)</f>
        <v>1006</v>
      </c>
      <c r="AF157" s="69"/>
    </row>
    <row r="158" spans="1:32" ht="16.5" customHeight="1" x14ac:dyDescent="0.3">
      <c r="A158" s="2">
        <v>15</v>
      </c>
      <c r="B158" s="2" t="s">
        <v>4778</v>
      </c>
      <c r="C158" s="60" t="s">
        <v>15122</v>
      </c>
      <c r="D158" s="1"/>
      <c r="E158" s="68"/>
      <c r="F158" s="70"/>
      <c r="G158" s="1"/>
      <c r="H158" s="68"/>
      <c r="I158" s="70"/>
      <c r="J158" s="1"/>
      <c r="K158" s="68"/>
      <c r="L158" s="70"/>
      <c r="M158" s="67"/>
      <c r="N158" s="68"/>
      <c r="O158" s="76"/>
      <c r="P158" s="83" t="s">
        <v>5895</v>
      </c>
      <c r="Q158" s="64" t="s">
        <v>1</v>
      </c>
      <c r="R158" s="65">
        <v>1</v>
      </c>
      <c r="S158" s="99"/>
      <c r="T158" s="70"/>
      <c r="U158" s="99"/>
      <c r="V158" s="70"/>
      <c r="W158" s="81" t="s">
        <v>18086</v>
      </c>
      <c r="X158" s="57" t="s">
        <v>1</v>
      </c>
      <c r="Y158" s="58">
        <v>0.25</v>
      </c>
      <c r="Z158" s="77" t="s">
        <v>422</v>
      </c>
      <c r="AA158" s="81"/>
      <c r="AB158" s="57"/>
      <c r="AC158" s="58"/>
      <c r="AD158" s="77"/>
      <c r="AE158" s="228">
        <f>ROUND((ROUND((ROUND((ROUND((ROUND((_15_同援日１．０*_15・通訳),0)*_15・２人),0)*(1+_15・A深夜)),0)*(1+_15・盲ろう)),0)*(1+_15・区３)),0)+ROUND((ROUND((ROUND((ROUND((ROUND((_15_同援日１．０＿１．０*_15・通訳),0)*_15・２人),0)*(1+_15・B早朝)),0)*(1+_15・盲ろう)),0)*(1+_15・区３)),0)+ROUND((ROUND((ROUND((ROUND((_15_同援日１．０＿１．０＿０．５*_15・通訳),0)*_15・２人),0)*(1+_15・盲ろう)),0)*(1+_15・区３)),0)</f>
        <v>1006</v>
      </c>
      <c r="AF158" s="69"/>
    </row>
    <row r="159" spans="1:32" ht="16.5" customHeight="1" x14ac:dyDescent="0.3">
      <c r="A159" s="2">
        <v>15</v>
      </c>
      <c r="B159" s="2" t="s">
        <v>4779</v>
      </c>
      <c r="C159" s="60" t="s">
        <v>15121</v>
      </c>
      <c r="D159" s="1"/>
      <c r="E159" s="68"/>
      <c r="F159" s="70"/>
      <c r="G159" s="1"/>
      <c r="H159" s="68"/>
      <c r="I159" s="70"/>
      <c r="J159" s="1"/>
      <c r="K159" s="68"/>
      <c r="L159" s="70"/>
      <c r="M159" s="67"/>
      <c r="N159" s="68"/>
      <c r="O159" s="76"/>
      <c r="P159" s="83"/>
      <c r="Q159" s="64"/>
      <c r="R159" s="65"/>
      <c r="S159" s="99"/>
      <c r="T159" s="70"/>
      <c r="U159" s="99"/>
      <c r="V159" s="70"/>
      <c r="W159" s="74"/>
      <c r="X159" s="62"/>
      <c r="Y159" s="63"/>
      <c r="Z159" s="75"/>
      <c r="AA159" s="74" t="s">
        <v>18094</v>
      </c>
      <c r="AB159" s="62"/>
      <c r="AC159" s="63"/>
      <c r="AD159" s="75"/>
      <c r="AE159" s="228">
        <f>ROUND((ROUND((ROUND((_15_同援日１．０*_15・通訳),0)*(1+_15・A深夜)),0)*(1+_15・区４)),0)+ROUND((ROUND((ROUND((_15_同援日１．０＿１．０*_15・通訳),0)*(1+_15・B早朝)),0)*(1+_15・区４)),0)+ROUND((ROUND((_15_同援日１．０＿１．０＿０．５*_15・通訳),0)*(1+_15・区４)),0)</f>
        <v>938</v>
      </c>
      <c r="AF159" s="69"/>
    </row>
    <row r="160" spans="1:32" ht="16.5" customHeight="1" x14ac:dyDescent="0.3">
      <c r="A160" s="2">
        <v>15</v>
      </c>
      <c r="B160" s="2" t="s">
        <v>4780</v>
      </c>
      <c r="C160" s="60" t="s">
        <v>15120</v>
      </c>
      <c r="D160" s="1"/>
      <c r="E160" s="68"/>
      <c r="F160" s="70"/>
      <c r="G160" s="1"/>
      <c r="H160" s="68"/>
      <c r="I160" s="70"/>
      <c r="J160" s="1"/>
      <c r="K160" s="68"/>
      <c r="L160" s="70"/>
      <c r="M160" s="67"/>
      <c r="N160" s="68"/>
      <c r="O160" s="76"/>
      <c r="P160" s="83" t="s">
        <v>5895</v>
      </c>
      <c r="Q160" s="64" t="s">
        <v>1</v>
      </c>
      <c r="R160" s="65">
        <v>1</v>
      </c>
      <c r="S160" s="99"/>
      <c r="T160" s="70"/>
      <c r="U160" s="99"/>
      <c r="V160" s="70"/>
      <c r="W160" s="81"/>
      <c r="X160" s="57"/>
      <c r="Y160" s="58"/>
      <c r="Z160" s="77"/>
      <c r="AA160" s="1" t="s">
        <v>18084</v>
      </c>
      <c r="AB160" s="68"/>
      <c r="AC160" s="76"/>
      <c r="AD160" s="70"/>
      <c r="AE160" s="228">
        <f>ROUND((ROUND((ROUND((ROUND((_15_同援日１．０*_15・通訳),0)*_15・２人),0)*(1+_15・A深夜)),0)*(1+_15・区４)),0)+ROUND((ROUND((ROUND((ROUND((_15_同援日１．０＿１．０*_15・通訳),0)*_15・２人),0)*(1+_15・B早朝)),0)*(1+_15・区４)),0)+ROUND((ROUND((ROUND((_15_同援日１．０＿１．０＿０．５*_15・通訳),0)*_15・２人),0)*(1+_15・区４)),0)</f>
        <v>938</v>
      </c>
      <c r="AF160" s="69"/>
    </row>
    <row r="161" spans="1:32" ht="16.5" customHeight="1" x14ac:dyDescent="0.3">
      <c r="A161" s="2">
        <v>15</v>
      </c>
      <c r="B161" s="2" t="s">
        <v>4781</v>
      </c>
      <c r="C161" s="60" t="s">
        <v>15119</v>
      </c>
      <c r="D161" s="1"/>
      <c r="E161" s="68"/>
      <c r="F161" s="70"/>
      <c r="G161" s="1"/>
      <c r="H161" s="68"/>
      <c r="I161" s="70"/>
      <c r="J161" s="1"/>
      <c r="K161" s="68"/>
      <c r="L161" s="70"/>
      <c r="M161" s="67"/>
      <c r="N161" s="68"/>
      <c r="O161" s="76"/>
      <c r="P161" s="83"/>
      <c r="Q161" s="64"/>
      <c r="R161" s="65"/>
      <c r="S161" s="99"/>
      <c r="T161" s="70"/>
      <c r="U161" s="99"/>
      <c r="V161" s="70"/>
      <c r="W161" s="74" t="s">
        <v>18118</v>
      </c>
      <c r="X161" s="62"/>
      <c r="Y161" s="63"/>
      <c r="Z161" s="75"/>
      <c r="AA161" s="1"/>
      <c r="AB161" s="68" t="s">
        <v>1</v>
      </c>
      <c r="AC161" s="76">
        <v>0.4</v>
      </c>
      <c r="AD161" s="70" t="s">
        <v>422</v>
      </c>
      <c r="AE161" s="228">
        <f>ROUND((ROUND((ROUND((ROUND((_15_同援日１．０*_15・通訳),0)*(1+_15・A深夜)),0)*(1+_15・盲ろう)),0)*(1+_15・区４)),0)+ROUND((ROUND((ROUND((ROUND((_15_同援日１．０＿１．０*_15・通訳),0)*(1+_15・B早朝)),0)*(1+_15・盲ろう)),0)*(1+_15・区４)),0)+ROUND((ROUND((ROUND((_15_同援日１．０＿１．０＿０．５*_15・通訳),0)*(1+_15・盲ろう)),0)*(1+_15・区４)),0)</f>
        <v>1173</v>
      </c>
      <c r="AF161" s="69"/>
    </row>
    <row r="162" spans="1:32" ht="16.5" customHeight="1" x14ac:dyDescent="0.3">
      <c r="A162" s="2">
        <v>15</v>
      </c>
      <c r="B162" s="2" t="s">
        <v>4782</v>
      </c>
      <c r="C162" s="60" t="s">
        <v>15118</v>
      </c>
      <c r="D162" s="1"/>
      <c r="E162" s="68"/>
      <c r="F162" s="70"/>
      <c r="G162" s="1"/>
      <c r="H162" s="68"/>
      <c r="I162" s="70"/>
      <c r="J162" s="81"/>
      <c r="K162" s="57"/>
      <c r="L162" s="77"/>
      <c r="M162" s="67"/>
      <c r="N162" s="68"/>
      <c r="O162" s="76"/>
      <c r="P162" s="83" t="s">
        <v>5895</v>
      </c>
      <c r="Q162" s="64" t="s">
        <v>1</v>
      </c>
      <c r="R162" s="65">
        <v>1</v>
      </c>
      <c r="S162" s="99"/>
      <c r="T162" s="70"/>
      <c r="U162" s="99"/>
      <c r="V162" s="70"/>
      <c r="W162" s="81" t="s">
        <v>18086</v>
      </c>
      <c r="X162" s="57" t="s">
        <v>1</v>
      </c>
      <c r="Y162" s="58">
        <v>0.25</v>
      </c>
      <c r="Z162" s="77" t="s">
        <v>422</v>
      </c>
      <c r="AA162" s="81"/>
      <c r="AB162" s="57"/>
      <c r="AC162" s="58"/>
      <c r="AD162" s="77"/>
      <c r="AE162" s="228">
        <f>ROUND((ROUND((ROUND((ROUND((ROUND((_15_同援日１．０*_15・通訳),0)*_15・２人),0)*(1+_15・A深夜)),0)*(1+_15・盲ろう)),0)*(1+_15・区４)),0)+ROUND((ROUND((ROUND((ROUND((ROUND((_15_同援日１．０＿１．０*_15・通訳),0)*_15・２人),0)*(1+_15・B早朝)),0)*(1+_15・盲ろう)),0)*(1+_15・区４)),0)+ROUND((ROUND((ROUND((ROUND((_15_同援日１．０＿１．０＿０．５*_15・通訳),0)*_15・２人),0)*(1+_15・盲ろう)),0)*(1+_15・区４)),0)</f>
        <v>1173</v>
      </c>
      <c r="AF162" s="69"/>
    </row>
    <row r="163" spans="1:32" ht="16.5" customHeight="1" x14ac:dyDescent="0.3">
      <c r="A163" s="2">
        <v>15</v>
      </c>
      <c r="B163" s="2" t="s">
        <v>4783</v>
      </c>
      <c r="C163" s="60" t="s">
        <v>15117</v>
      </c>
      <c r="D163" s="1"/>
      <c r="E163" s="68"/>
      <c r="F163" s="70"/>
      <c r="G163" s="1"/>
      <c r="H163" s="68"/>
      <c r="I163" s="70"/>
      <c r="J163" s="74" t="s">
        <v>17106</v>
      </c>
      <c r="K163" s="62"/>
      <c r="L163" s="75"/>
      <c r="M163" s="67"/>
      <c r="N163" s="68"/>
      <c r="O163" s="76"/>
      <c r="P163" s="83"/>
      <c r="Q163" s="64"/>
      <c r="R163" s="65"/>
      <c r="S163" s="99"/>
      <c r="T163" s="70"/>
      <c r="U163" s="99"/>
      <c r="V163" s="70"/>
      <c r="W163" s="74"/>
      <c r="X163" s="62"/>
      <c r="Y163" s="63"/>
      <c r="Z163" s="75"/>
      <c r="AA163" s="74"/>
      <c r="AB163" s="62"/>
      <c r="AC163" s="63"/>
      <c r="AD163" s="75"/>
      <c r="AE163" s="228">
        <f>ROUND((ROUND((_15_同援日１．０*_15・通訳),0)*(1+_15・A深夜)),0)+ROUND((ROUND((_15_同援日１．０＿１．０*_15・通訳),0)*(1+_15・B早朝)),0)+ROUND((_15_同援日１．０＿１．０＿１．０*_15・通訳),0)</f>
        <v>726</v>
      </c>
      <c r="AF163" s="69"/>
    </row>
    <row r="164" spans="1:32" ht="16.5" customHeight="1" x14ac:dyDescent="0.3">
      <c r="A164" s="2">
        <v>15</v>
      </c>
      <c r="B164" s="2" t="s">
        <v>4784</v>
      </c>
      <c r="C164" s="60" t="s">
        <v>15116</v>
      </c>
      <c r="D164" s="1"/>
      <c r="E164" s="68"/>
      <c r="F164" s="70"/>
      <c r="G164" s="1"/>
      <c r="H164" s="68"/>
      <c r="I164" s="70"/>
      <c r="J164" s="1" t="s">
        <v>18360</v>
      </c>
      <c r="K164" s="68"/>
      <c r="L164" s="70"/>
      <c r="M164" s="67"/>
      <c r="N164" s="68"/>
      <c r="O164" s="76"/>
      <c r="P164" s="83" t="s">
        <v>5895</v>
      </c>
      <c r="Q164" s="64" t="s">
        <v>1</v>
      </c>
      <c r="R164" s="65">
        <v>1</v>
      </c>
      <c r="S164" s="99"/>
      <c r="T164" s="70"/>
      <c r="U164" s="99"/>
      <c r="V164" s="70"/>
      <c r="W164" s="81"/>
      <c r="X164" s="57"/>
      <c r="Y164" s="58"/>
      <c r="Z164" s="77"/>
      <c r="AA164" s="1"/>
      <c r="AB164" s="68"/>
      <c r="AC164" s="76"/>
      <c r="AD164" s="70"/>
      <c r="AE164" s="228">
        <f>ROUND((ROUND((ROUND((_15_同援日１．０*_15・通訳),0)*_15・２人),0)*(1+_15・A深夜)),0)+ROUND((ROUND((ROUND((_15_同援日１．０＿１．０*_15・通訳),0)*_15・２人),0)*(1+_15・B早朝)),0)+ROUND((ROUND((_15_同援日１．０＿１．０＿１．０*_15・通訳),0)*_15・２人),0)</f>
        <v>726</v>
      </c>
      <c r="AF164" s="69"/>
    </row>
    <row r="165" spans="1:32" ht="16.5" customHeight="1" x14ac:dyDescent="0.3">
      <c r="A165" s="2">
        <v>15</v>
      </c>
      <c r="B165" s="2" t="s">
        <v>4785</v>
      </c>
      <c r="C165" s="60" t="s">
        <v>15115</v>
      </c>
      <c r="D165" s="1"/>
      <c r="E165" s="68"/>
      <c r="F165" s="70"/>
      <c r="G165" s="1"/>
      <c r="H165" s="68"/>
      <c r="I165" s="70"/>
      <c r="J165" s="1" t="s">
        <v>8572</v>
      </c>
      <c r="K165" s="68"/>
      <c r="L165" s="70"/>
      <c r="M165" s="67"/>
      <c r="N165" s="68"/>
      <c r="O165" s="76"/>
      <c r="P165" s="83"/>
      <c r="Q165" s="64"/>
      <c r="R165" s="65"/>
      <c r="S165" s="99"/>
      <c r="T165" s="70"/>
      <c r="U165" s="99"/>
      <c r="V165" s="70"/>
      <c r="W165" s="74" t="s">
        <v>18087</v>
      </c>
      <c r="X165" s="62"/>
      <c r="Y165" s="63"/>
      <c r="Z165" s="75"/>
      <c r="AA165" s="1"/>
      <c r="AB165" s="68"/>
      <c r="AC165" s="76"/>
      <c r="AD165" s="70"/>
      <c r="AE165" s="228">
        <f>ROUND((ROUND((ROUND((_15_同援日１．０*_15・通訳),0)*(1+_15・A深夜)),0)*(1+_15・盲ろう)),0)+ROUND((ROUND((ROUND((_15_同援日１．０＿１．０*_15・通訳),0)*(1+_15・B早朝)),0)*(1+_15・盲ろう)),0)+ROUND((ROUND((_15_同援日１．０＿１．０＿１．０*_15・通訳),0)*(1+_15・盲ろう)),0)</f>
        <v>908</v>
      </c>
      <c r="AF165" s="69"/>
    </row>
    <row r="166" spans="1:32" ht="16.5" customHeight="1" x14ac:dyDescent="0.3">
      <c r="A166" s="2">
        <v>15</v>
      </c>
      <c r="B166" s="2" t="s">
        <v>4786</v>
      </c>
      <c r="C166" s="60" t="s">
        <v>15114</v>
      </c>
      <c r="D166" s="1"/>
      <c r="E166" s="68"/>
      <c r="F166" s="70"/>
      <c r="G166" s="1"/>
      <c r="H166" s="68"/>
      <c r="I166" s="70"/>
      <c r="J166" s="1"/>
      <c r="K166" s="227">
        <v>126</v>
      </c>
      <c r="L166" s="70" t="s">
        <v>0</v>
      </c>
      <c r="M166" s="67"/>
      <c r="N166" s="68"/>
      <c r="O166" s="76"/>
      <c r="P166" s="83" t="s">
        <v>5895</v>
      </c>
      <c r="Q166" s="64" t="s">
        <v>1</v>
      </c>
      <c r="R166" s="65">
        <v>1</v>
      </c>
      <c r="S166" s="99"/>
      <c r="T166" s="70"/>
      <c r="U166" s="99"/>
      <c r="V166" s="70"/>
      <c r="W166" s="81" t="s">
        <v>18086</v>
      </c>
      <c r="X166" s="57" t="s">
        <v>1</v>
      </c>
      <c r="Y166" s="58">
        <v>0.25</v>
      </c>
      <c r="Z166" s="77" t="s">
        <v>422</v>
      </c>
      <c r="AA166" s="81"/>
      <c r="AB166" s="57"/>
      <c r="AC166" s="58"/>
      <c r="AD166" s="77"/>
      <c r="AE166" s="228">
        <f>ROUND((ROUND((ROUND((ROUND((_15_同援日１．０*_15・通訳),0)*_15・２人),0)*(1+_15・A深夜)),0)*(1+_15・盲ろう)),0)+ROUND((ROUND((ROUND((ROUND((_15_同援日１．０＿１．０*_15・通訳),0)*_15・２人),0)*(1+_15・B早朝)),0)*(1+_15・盲ろう)),0)+ROUND((ROUND((ROUND((_15_同援日１．０＿１．０＿１．０*_15・通訳),0)*_15・２人),0)*(1+_15・盲ろう)),0)</f>
        <v>908</v>
      </c>
      <c r="AF166" s="69"/>
    </row>
    <row r="167" spans="1:32" ht="16.5" customHeight="1" x14ac:dyDescent="0.3">
      <c r="A167" s="2">
        <v>15</v>
      </c>
      <c r="B167" s="2" t="s">
        <v>4787</v>
      </c>
      <c r="C167" s="60" t="s">
        <v>15113</v>
      </c>
      <c r="D167" s="1"/>
      <c r="E167" s="68"/>
      <c r="F167" s="70"/>
      <c r="G167" s="1"/>
      <c r="H167" s="68"/>
      <c r="I167" s="70"/>
      <c r="J167" s="1"/>
      <c r="K167" s="68"/>
      <c r="L167" s="70"/>
      <c r="M167" s="67"/>
      <c r="N167" s="68"/>
      <c r="O167" s="76"/>
      <c r="P167" s="83"/>
      <c r="Q167" s="64"/>
      <c r="R167" s="65"/>
      <c r="S167" s="99"/>
      <c r="T167" s="70"/>
      <c r="U167" s="99"/>
      <c r="V167" s="70"/>
      <c r="W167" s="74"/>
      <c r="X167" s="62"/>
      <c r="Y167" s="63"/>
      <c r="Z167" s="75"/>
      <c r="AA167" s="74" t="s">
        <v>18089</v>
      </c>
      <c r="AB167" s="62"/>
      <c r="AC167" s="63"/>
      <c r="AD167" s="75"/>
      <c r="AE167" s="228">
        <f>ROUND((ROUND((ROUND((_15_同援日１．０*_15・通訳),0)*(1+_15・A深夜)),0)*(1+_15・区３)),0)+ROUND((ROUND((ROUND((_15_同援日１．０＿１．０*_15・通訳),0)*(1+_15・B早朝)),0)*(1+_15・区３)),0)+ROUND((ROUND((_15_同援日１．０＿１．０＿１．０*_15・通訳),0)*(1+_15・区３)),0)</f>
        <v>872</v>
      </c>
      <c r="AF167" s="69"/>
    </row>
    <row r="168" spans="1:32" ht="16.5" customHeight="1" x14ac:dyDescent="0.3">
      <c r="A168" s="2">
        <v>15</v>
      </c>
      <c r="B168" s="2" t="s">
        <v>4788</v>
      </c>
      <c r="C168" s="60" t="s">
        <v>15112</v>
      </c>
      <c r="D168" s="1"/>
      <c r="E168" s="68"/>
      <c r="F168" s="70"/>
      <c r="G168" s="1"/>
      <c r="H168" s="68"/>
      <c r="I168" s="70"/>
      <c r="J168" s="1"/>
      <c r="K168" s="68"/>
      <c r="L168" s="70"/>
      <c r="M168" s="67"/>
      <c r="N168" s="68"/>
      <c r="O168" s="76"/>
      <c r="P168" s="83" t="s">
        <v>5895</v>
      </c>
      <c r="Q168" s="64" t="s">
        <v>1</v>
      </c>
      <c r="R168" s="65">
        <v>1</v>
      </c>
      <c r="S168" s="99"/>
      <c r="T168" s="70"/>
      <c r="U168" s="99"/>
      <c r="V168" s="70"/>
      <c r="W168" s="81"/>
      <c r="X168" s="57"/>
      <c r="Y168" s="58"/>
      <c r="Z168" s="77"/>
      <c r="AA168" s="1" t="s">
        <v>18084</v>
      </c>
      <c r="AB168" s="68"/>
      <c r="AC168" s="76"/>
      <c r="AD168" s="70"/>
      <c r="AE168" s="228">
        <f>ROUND((ROUND((ROUND((ROUND((_15_同援日１．０*_15・通訳),0)*_15・２人),0)*(1+_15・A深夜)),0)*(1+_15・区３)),0)+ROUND((ROUND((ROUND((ROUND((_15_同援日１．０＿１．０*_15・通訳),0)*_15・２人),0)*(1+_15・B早朝)),0)*(1+_15・区３)),0)+ROUND((ROUND((ROUND((_15_同援日１．０＿１．０＿１．０*_15・通訳),0)*_15・２人),0)*(1+_15・区３)),0)</f>
        <v>872</v>
      </c>
      <c r="AF168" s="69"/>
    </row>
    <row r="169" spans="1:32" ht="16.5" customHeight="1" x14ac:dyDescent="0.3">
      <c r="A169" s="2">
        <v>15</v>
      </c>
      <c r="B169" s="2" t="s">
        <v>4789</v>
      </c>
      <c r="C169" s="60" t="s">
        <v>15111</v>
      </c>
      <c r="D169" s="1"/>
      <c r="E169" s="68"/>
      <c r="F169" s="70"/>
      <c r="G169" s="1"/>
      <c r="H169" s="68"/>
      <c r="I169" s="70"/>
      <c r="J169" s="1"/>
      <c r="K169" s="68"/>
      <c r="L169" s="70"/>
      <c r="M169" s="67"/>
      <c r="N169" s="68"/>
      <c r="O169" s="76"/>
      <c r="P169" s="83"/>
      <c r="Q169" s="64"/>
      <c r="R169" s="65"/>
      <c r="S169" s="99"/>
      <c r="T169" s="70"/>
      <c r="U169" s="99"/>
      <c r="V169" s="70"/>
      <c r="W169" s="74" t="s">
        <v>18087</v>
      </c>
      <c r="X169" s="62"/>
      <c r="Y169" s="63"/>
      <c r="Z169" s="75"/>
      <c r="AA169" s="1"/>
      <c r="AB169" s="68" t="s">
        <v>1</v>
      </c>
      <c r="AC169" s="76">
        <v>0.2</v>
      </c>
      <c r="AD169" s="70" t="s">
        <v>422</v>
      </c>
      <c r="AE169" s="228">
        <f>ROUND((ROUND((ROUND((ROUND((_15_同援日１．０*_15・通訳),0)*(1+_15・A深夜)),0)*(1+_15・盲ろう)),0)*(1+_15・区３)),0)+ROUND((ROUND((ROUND((ROUND((_15_同援日１．０＿１．０*_15・通訳),0)*(1+_15・B早朝)),0)*(1+_15・盲ろう)),0)*(1+_15・区３)),0)+ROUND((ROUND((ROUND((_15_同援日１．０＿１．０＿１．０*_15・通訳),0)*(1+_15・盲ろう)),0)*(1+_15・区３)),0)</f>
        <v>1090</v>
      </c>
      <c r="AF169" s="69"/>
    </row>
    <row r="170" spans="1:32" ht="16.5" customHeight="1" x14ac:dyDescent="0.3">
      <c r="A170" s="2">
        <v>15</v>
      </c>
      <c r="B170" s="2" t="s">
        <v>4790</v>
      </c>
      <c r="C170" s="60" t="s">
        <v>15110</v>
      </c>
      <c r="D170" s="1"/>
      <c r="E170" s="68"/>
      <c r="F170" s="70"/>
      <c r="G170" s="1"/>
      <c r="H170" s="68"/>
      <c r="I170" s="70"/>
      <c r="J170" s="1"/>
      <c r="K170" s="68"/>
      <c r="L170" s="70"/>
      <c r="M170" s="67"/>
      <c r="N170" s="68"/>
      <c r="O170" s="76"/>
      <c r="P170" s="83" t="s">
        <v>5895</v>
      </c>
      <c r="Q170" s="64" t="s">
        <v>1</v>
      </c>
      <c r="R170" s="65">
        <v>1</v>
      </c>
      <c r="S170" s="99"/>
      <c r="T170" s="70"/>
      <c r="U170" s="99"/>
      <c r="V170" s="70"/>
      <c r="W170" s="81" t="s">
        <v>18086</v>
      </c>
      <c r="X170" s="57" t="s">
        <v>1</v>
      </c>
      <c r="Y170" s="58">
        <v>0.25</v>
      </c>
      <c r="Z170" s="77" t="s">
        <v>422</v>
      </c>
      <c r="AA170" s="81"/>
      <c r="AB170" s="57"/>
      <c r="AC170" s="58"/>
      <c r="AD170" s="77"/>
      <c r="AE170" s="228">
        <f>ROUND((ROUND((ROUND((ROUND((ROUND((_15_同援日１．０*_15・通訳),0)*_15・２人),0)*(1+_15・A深夜)),0)*(1+_15・盲ろう)),0)*(1+_15・区３)),0)+ROUND((ROUND((ROUND((ROUND((ROUND((_15_同援日１．０＿１．０*_15・通訳),0)*_15・２人),0)*(1+_15・B早朝)),0)*(1+_15・盲ろう)),0)*(1+_15・区３)),0)+ROUND((ROUND((ROUND((ROUND((_15_同援日１．０＿１．０＿１．０*_15・通訳),0)*_15・２人),0)*(1+_15・盲ろう)),0)*(1+_15・区３)),0)</f>
        <v>1090</v>
      </c>
      <c r="AF170" s="69"/>
    </row>
    <row r="171" spans="1:32" ht="16.5" customHeight="1" x14ac:dyDescent="0.3">
      <c r="A171" s="2">
        <v>15</v>
      </c>
      <c r="B171" s="2" t="s">
        <v>4791</v>
      </c>
      <c r="C171" s="60" t="s">
        <v>15109</v>
      </c>
      <c r="D171" s="1"/>
      <c r="E171" s="68"/>
      <c r="F171" s="70"/>
      <c r="G171" s="1"/>
      <c r="H171" s="68"/>
      <c r="I171" s="70"/>
      <c r="J171" s="1"/>
      <c r="K171" s="68"/>
      <c r="L171" s="70"/>
      <c r="M171" s="67"/>
      <c r="N171" s="68"/>
      <c r="O171" s="76"/>
      <c r="P171" s="83"/>
      <c r="Q171" s="64"/>
      <c r="R171" s="65"/>
      <c r="S171" s="99"/>
      <c r="T171" s="70"/>
      <c r="U171" s="99"/>
      <c r="V171" s="70"/>
      <c r="W171" s="74"/>
      <c r="X171" s="62"/>
      <c r="Y171" s="63"/>
      <c r="Z171" s="75"/>
      <c r="AA171" s="74" t="s">
        <v>18094</v>
      </c>
      <c r="AB171" s="62"/>
      <c r="AC171" s="63"/>
      <c r="AD171" s="75"/>
      <c r="AE171" s="228">
        <f>ROUND((ROUND((ROUND((_15_同援日１．０*_15・通訳),0)*(1+_15・A深夜)),0)*(1+_15・区４)),0)+ROUND((ROUND((ROUND((_15_同援日１．０＿１．０*_15・通訳),0)*(1+_15・B早朝)),0)*(1+_15・区４)),0)+ROUND((ROUND((_15_同援日１．０＿１．０＿１．０*_15・通訳),0)*(1+_15・区４)),0)</f>
        <v>1016</v>
      </c>
      <c r="AF171" s="69"/>
    </row>
    <row r="172" spans="1:32" ht="16.5" customHeight="1" x14ac:dyDescent="0.3">
      <c r="A172" s="2">
        <v>15</v>
      </c>
      <c r="B172" s="2" t="s">
        <v>4792</v>
      </c>
      <c r="C172" s="60" t="s">
        <v>15108</v>
      </c>
      <c r="D172" s="1"/>
      <c r="E172" s="68"/>
      <c r="F172" s="70"/>
      <c r="G172" s="1"/>
      <c r="H172" s="68"/>
      <c r="I172" s="70"/>
      <c r="J172" s="1"/>
      <c r="K172" s="68"/>
      <c r="L172" s="70"/>
      <c r="M172" s="67"/>
      <c r="N172" s="68"/>
      <c r="O172" s="76"/>
      <c r="P172" s="83" t="s">
        <v>5895</v>
      </c>
      <c r="Q172" s="64" t="s">
        <v>1</v>
      </c>
      <c r="R172" s="65">
        <v>1</v>
      </c>
      <c r="S172" s="99"/>
      <c r="T172" s="70"/>
      <c r="U172" s="99"/>
      <c r="V172" s="70"/>
      <c r="W172" s="81"/>
      <c r="X172" s="57"/>
      <c r="Y172" s="58"/>
      <c r="Z172" s="77"/>
      <c r="AA172" s="1" t="s">
        <v>18084</v>
      </c>
      <c r="AB172" s="68"/>
      <c r="AC172" s="76"/>
      <c r="AD172" s="70"/>
      <c r="AE172" s="228">
        <f>ROUND((ROUND((ROUND((ROUND((_15_同援日１．０*_15・通訳),0)*_15・２人),0)*(1+_15・A深夜)),0)*(1+_15・区４)),0)+ROUND((ROUND((ROUND((ROUND((_15_同援日１．０＿１．０*_15・通訳),0)*_15・２人),0)*(1+_15・B早朝)),0)*(1+_15・区４)),0)+ROUND((ROUND((ROUND((_15_同援日１．０＿１．０＿１．０*_15・通訳),0)*_15・２人),0)*(1+_15・区４)),0)</f>
        <v>1016</v>
      </c>
      <c r="AF172" s="69"/>
    </row>
    <row r="173" spans="1:32" ht="16.5" customHeight="1" x14ac:dyDescent="0.3">
      <c r="A173" s="2">
        <v>15</v>
      </c>
      <c r="B173" s="2" t="s">
        <v>4793</v>
      </c>
      <c r="C173" s="60" t="s">
        <v>15107</v>
      </c>
      <c r="D173" s="1"/>
      <c r="E173" s="68"/>
      <c r="F173" s="70"/>
      <c r="G173" s="1"/>
      <c r="H173" s="68"/>
      <c r="I173" s="70"/>
      <c r="J173" s="1"/>
      <c r="K173" s="68"/>
      <c r="L173" s="70"/>
      <c r="M173" s="67"/>
      <c r="N173" s="68"/>
      <c r="O173" s="76"/>
      <c r="P173" s="83"/>
      <c r="Q173" s="64"/>
      <c r="R173" s="65"/>
      <c r="S173" s="99"/>
      <c r="T173" s="70"/>
      <c r="U173" s="99"/>
      <c r="V173" s="70"/>
      <c r="W173" s="74" t="s">
        <v>18087</v>
      </c>
      <c r="X173" s="62"/>
      <c r="Y173" s="63"/>
      <c r="Z173" s="75"/>
      <c r="AA173" s="1"/>
      <c r="AB173" s="68" t="s">
        <v>1</v>
      </c>
      <c r="AC173" s="76">
        <v>0.4</v>
      </c>
      <c r="AD173" s="70" t="s">
        <v>422</v>
      </c>
      <c r="AE173" s="228">
        <f>ROUND((ROUND((ROUND((ROUND((_15_同援日１．０*_15・通訳),0)*(1+_15・A深夜)),0)*(1+_15・盲ろう)),0)*(1+_15・区４)),0)+ROUND((ROUND((ROUND((ROUND((_15_同援日１．０＿１．０*_15・通訳),0)*(1+_15・B早朝)),0)*(1+_15・盲ろう)),0)*(1+_15・区４)),0)+ROUND((ROUND((ROUND((_15_同援日１．０＿１．０＿１．０*_15・通訳),0)*(1+_15・盲ろう)),0)*(1+_15・区４)),0)</f>
        <v>1271</v>
      </c>
      <c r="AF173" s="69"/>
    </row>
    <row r="174" spans="1:32" ht="16.5" customHeight="1" x14ac:dyDescent="0.3">
      <c r="A174" s="2">
        <v>15</v>
      </c>
      <c r="B174" s="2" t="s">
        <v>4794</v>
      </c>
      <c r="C174" s="60" t="s">
        <v>15106</v>
      </c>
      <c r="D174" s="1"/>
      <c r="E174" s="68"/>
      <c r="F174" s="70"/>
      <c r="G174" s="81"/>
      <c r="H174" s="57"/>
      <c r="I174" s="77"/>
      <c r="J174" s="81"/>
      <c r="K174" s="57"/>
      <c r="L174" s="77"/>
      <c r="M174" s="67"/>
      <c r="N174" s="68"/>
      <c r="O174" s="76"/>
      <c r="P174" s="83" t="s">
        <v>5895</v>
      </c>
      <c r="Q174" s="64" t="s">
        <v>1</v>
      </c>
      <c r="R174" s="65">
        <v>1</v>
      </c>
      <c r="S174" s="99"/>
      <c r="T174" s="70"/>
      <c r="U174" s="99"/>
      <c r="V174" s="70"/>
      <c r="W174" s="81" t="s">
        <v>18086</v>
      </c>
      <c r="X174" s="57" t="s">
        <v>1</v>
      </c>
      <c r="Y174" s="58">
        <v>0.25</v>
      </c>
      <c r="Z174" s="77" t="s">
        <v>422</v>
      </c>
      <c r="AA174" s="81"/>
      <c r="AB174" s="57"/>
      <c r="AC174" s="58"/>
      <c r="AD174" s="77"/>
      <c r="AE174" s="228">
        <f>ROUND((ROUND((ROUND((ROUND((ROUND((_15_同援日１．０*_15・通訳),0)*_15・２人),0)*(1+_15・A深夜)),0)*(1+_15・盲ろう)),0)*(1+_15・区４)),0)+ROUND((ROUND((ROUND((ROUND((ROUND((_15_同援日１．０＿１．０*_15・通訳),0)*_15・２人),0)*(1+_15・B早朝)),0)*(1+_15・盲ろう)),0)*(1+_15・区４)),0)+ROUND((ROUND((ROUND((ROUND((_15_同援日１．０＿１．０＿１．０*_15・通訳),0)*_15・２人),0)*(1+_15・盲ろう)),0)*(1+_15・区４)),0)</f>
        <v>1271</v>
      </c>
      <c r="AF174" s="69"/>
    </row>
    <row r="175" spans="1:32" ht="16.5" customHeight="1" x14ac:dyDescent="0.3">
      <c r="A175" s="2">
        <v>15</v>
      </c>
      <c r="B175" s="2" t="s">
        <v>4795</v>
      </c>
      <c r="C175" s="60" t="s">
        <v>15105</v>
      </c>
      <c r="D175" s="1"/>
      <c r="E175" s="68"/>
      <c r="F175" s="70"/>
      <c r="G175" s="233" t="s">
        <v>18359</v>
      </c>
      <c r="H175" s="62"/>
      <c r="I175" s="75"/>
      <c r="J175" s="74" t="s">
        <v>11200</v>
      </c>
      <c r="K175" s="62"/>
      <c r="L175" s="75"/>
      <c r="M175" s="67"/>
      <c r="N175" s="68"/>
      <c r="O175" s="76"/>
      <c r="P175" s="83"/>
      <c r="Q175" s="64"/>
      <c r="R175" s="65"/>
      <c r="S175" s="99"/>
      <c r="T175" s="70"/>
      <c r="U175" s="99"/>
      <c r="V175" s="70"/>
      <c r="W175" s="74"/>
      <c r="X175" s="62"/>
      <c r="Y175" s="63"/>
      <c r="Z175" s="75"/>
      <c r="AA175" s="74"/>
      <c r="AB175" s="62"/>
      <c r="AC175" s="63"/>
      <c r="AD175" s="75"/>
      <c r="AE175" s="228">
        <f>ROUND((ROUND((_15_同援日１．０*_15・通訳),0)*(1+_15・A深夜)),0)+ROUND((ROUND((_15_同援日１．０＿１．５*_15・通訳),0)*(1+_15・B早朝)),0)+ROUND((_15_同援日１．０＿１．５＿０．５*_15・通訳),0)</f>
        <v>740</v>
      </c>
      <c r="AF175" s="69"/>
    </row>
    <row r="176" spans="1:32" ht="16.5" customHeight="1" x14ac:dyDescent="0.3">
      <c r="A176" s="2">
        <v>15</v>
      </c>
      <c r="B176" s="2" t="s">
        <v>4796</v>
      </c>
      <c r="C176" s="60" t="s">
        <v>15104</v>
      </c>
      <c r="D176" s="1"/>
      <c r="E176" s="68"/>
      <c r="F176" s="70"/>
      <c r="G176" s="1" t="s">
        <v>17070</v>
      </c>
      <c r="H176" s="68"/>
      <c r="I176" s="70"/>
      <c r="J176" s="1" t="s">
        <v>7928</v>
      </c>
      <c r="K176" s="68"/>
      <c r="L176" s="70"/>
      <c r="M176" s="67"/>
      <c r="N176" s="68"/>
      <c r="O176" s="76"/>
      <c r="P176" s="83" t="s">
        <v>5895</v>
      </c>
      <c r="Q176" s="64" t="s">
        <v>1</v>
      </c>
      <c r="R176" s="65">
        <v>1</v>
      </c>
      <c r="S176" s="99"/>
      <c r="T176" s="70"/>
      <c r="U176" s="99"/>
      <c r="V176" s="70"/>
      <c r="W176" s="81"/>
      <c r="X176" s="57"/>
      <c r="Y176" s="58"/>
      <c r="Z176" s="77"/>
      <c r="AA176" s="1"/>
      <c r="AB176" s="68"/>
      <c r="AC176" s="76"/>
      <c r="AD176" s="70"/>
      <c r="AE176" s="228">
        <f>ROUND((ROUND((ROUND((_15_同援日１．０*_15・通訳),0)*_15・２人),0)*(1+_15・A深夜)),0)+ROUND((ROUND((ROUND((_15_同援日１．０＿１．５*_15・通訳),0)*_15・２人),0)*(1+_15・B早朝)),0)+ROUND((ROUND((_15_同援日１．０＿１．５＿０．５*_15・通訳),0)*_15・２人),0)</f>
        <v>740</v>
      </c>
      <c r="AF176" s="69"/>
    </row>
    <row r="177" spans="1:32" ht="16.5" customHeight="1" x14ac:dyDescent="0.3">
      <c r="A177" s="2">
        <v>15</v>
      </c>
      <c r="B177" s="2" t="s">
        <v>4797</v>
      </c>
      <c r="C177" s="60" t="s">
        <v>15103</v>
      </c>
      <c r="D177" s="1"/>
      <c r="E177" s="68"/>
      <c r="F177" s="70"/>
      <c r="G177" s="1" t="s">
        <v>8767</v>
      </c>
      <c r="H177" s="68"/>
      <c r="I177" s="70"/>
      <c r="J177" s="1"/>
      <c r="K177" s="68"/>
      <c r="L177" s="70"/>
      <c r="M177" s="67"/>
      <c r="N177" s="68"/>
      <c r="O177" s="76"/>
      <c r="P177" s="83"/>
      <c r="Q177" s="64"/>
      <c r="R177" s="65"/>
      <c r="S177" s="99"/>
      <c r="T177" s="70"/>
      <c r="U177" s="99"/>
      <c r="V177" s="70"/>
      <c r="W177" s="74" t="s">
        <v>18087</v>
      </c>
      <c r="X177" s="62"/>
      <c r="Y177" s="63"/>
      <c r="Z177" s="75"/>
      <c r="AA177" s="1"/>
      <c r="AB177" s="68"/>
      <c r="AC177" s="76"/>
      <c r="AD177" s="70"/>
      <c r="AE177" s="228">
        <f>ROUND((ROUND((ROUND((_15_同援日１．０*_15・通訳),0)*(1+_15・A深夜)),0)*(1+_15・盲ろう)),0)+ROUND((ROUND((ROUND((_15_同援日１．０＿１．５*_15・通訳),0)*(1+_15・B早朝)),0)*(1+_15・盲ろう)),0)+ROUND((ROUND((_15_同援日１．０＿１．５＿０．５*_15・通訳),0)*(1+_15・盲ろう)),0)</f>
        <v>925</v>
      </c>
      <c r="AF177" s="69"/>
    </row>
    <row r="178" spans="1:32" ht="16.5" customHeight="1" x14ac:dyDescent="0.3">
      <c r="A178" s="2">
        <v>15</v>
      </c>
      <c r="B178" s="2" t="s">
        <v>4798</v>
      </c>
      <c r="C178" s="60" t="s">
        <v>15102</v>
      </c>
      <c r="D178" s="1"/>
      <c r="E178" s="68"/>
      <c r="F178" s="70"/>
      <c r="G178" s="1"/>
      <c r="H178" s="227">
        <v>256</v>
      </c>
      <c r="I178" s="70" t="s">
        <v>0</v>
      </c>
      <c r="J178" s="1"/>
      <c r="K178" s="227">
        <v>63</v>
      </c>
      <c r="L178" s="70" t="s">
        <v>0</v>
      </c>
      <c r="M178" s="67"/>
      <c r="N178" s="68"/>
      <c r="O178" s="76"/>
      <c r="P178" s="83" t="s">
        <v>5895</v>
      </c>
      <c r="Q178" s="64" t="s">
        <v>1</v>
      </c>
      <c r="R178" s="65">
        <v>1</v>
      </c>
      <c r="S178" s="99"/>
      <c r="T178" s="70"/>
      <c r="U178" s="99"/>
      <c r="V178" s="70"/>
      <c r="W178" s="81" t="s">
        <v>18086</v>
      </c>
      <c r="X178" s="57" t="s">
        <v>1</v>
      </c>
      <c r="Y178" s="58">
        <v>0.25</v>
      </c>
      <c r="Z178" s="77" t="s">
        <v>422</v>
      </c>
      <c r="AA178" s="81"/>
      <c r="AB178" s="57"/>
      <c r="AC178" s="58"/>
      <c r="AD178" s="77"/>
      <c r="AE178" s="228">
        <f>ROUND((ROUND((ROUND((ROUND((_15_同援日１．０*_15・通訳),0)*_15・２人),0)*(1+_15・A深夜)),0)*(1+_15・盲ろう)),0)+ROUND((ROUND((ROUND((ROUND((_15_同援日１．０＿１．５*_15・通訳),0)*_15・２人),0)*(1+_15・B早朝)),0)*(1+_15・盲ろう)),0)+ROUND((ROUND((ROUND((_15_同援日１．０＿１．５＿０．５*_15・通訳),0)*_15・２人),0)*(1+_15・盲ろう)),0)</f>
        <v>925</v>
      </c>
      <c r="AF178" s="69"/>
    </row>
    <row r="179" spans="1:32" ht="16.5" customHeight="1" x14ac:dyDescent="0.3">
      <c r="A179" s="2">
        <v>15</v>
      </c>
      <c r="B179" s="2" t="s">
        <v>4799</v>
      </c>
      <c r="C179" s="60" t="s">
        <v>15101</v>
      </c>
      <c r="D179" s="1"/>
      <c r="E179" s="68"/>
      <c r="F179" s="70"/>
      <c r="G179" s="1"/>
      <c r="H179" s="68"/>
      <c r="I179" s="70"/>
      <c r="J179" s="1"/>
      <c r="K179" s="68"/>
      <c r="L179" s="70"/>
      <c r="M179" s="67"/>
      <c r="N179" s="68"/>
      <c r="O179" s="76"/>
      <c r="P179" s="83"/>
      <c r="Q179" s="64"/>
      <c r="R179" s="65"/>
      <c r="S179" s="99"/>
      <c r="T179" s="70"/>
      <c r="U179" s="99"/>
      <c r="V179" s="70"/>
      <c r="W179" s="74"/>
      <c r="X179" s="62"/>
      <c r="Y179" s="63"/>
      <c r="Z179" s="75"/>
      <c r="AA179" s="74" t="s">
        <v>18089</v>
      </c>
      <c r="AB179" s="62"/>
      <c r="AC179" s="63"/>
      <c r="AD179" s="75"/>
      <c r="AE179" s="228">
        <f>ROUND((ROUND((ROUND((_15_同援日１．０*_15・通訳),0)*(1+_15・A深夜)),0)*(1+_15・区３)),0)+ROUND((ROUND((ROUND((_15_同援日１．０＿１．５*_15・通訳),0)*(1+_15・B早朝)),0)*(1+_15・区３)),0)+ROUND((ROUND((_15_同援日１．０＿１．５＿０．５*_15・通訳),0)*(1+_15・区３)),0)</f>
        <v>888</v>
      </c>
      <c r="AF179" s="69"/>
    </row>
    <row r="180" spans="1:32" ht="16.5" customHeight="1" x14ac:dyDescent="0.3">
      <c r="A180" s="2">
        <v>15</v>
      </c>
      <c r="B180" s="2" t="s">
        <v>4800</v>
      </c>
      <c r="C180" s="60" t="s">
        <v>15100</v>
      </c>
      <c r="D180" s="1"/>
      <c r="E180" s="68"/>
      <c r="F180" s="70"/>
      <c r="G180" s="1"/>
      <c r="H180" s="68"/>
      <c r="I180" s="70"/>
      <c r="J180" s="1"/>
      <c r="K180" s="68"/>
      <c r="L180" s="70"/>
      <c r="M180" s="67"/>
      <c r="N180" s="68"/>
      <c r="O180" s="76"/>
      <c r="P180" s="83" t="s">
        <v>5895</v>
      </c>
      <c r="Q180" s="64" t="s">
        <v>1</v>
      </c>
      <c r="R180" s="65">
        <v>1</v>
      </c>
      <c r="S180" s="99"/>
      <c r="T180" s="70"/>
      <c r="U180" s="99"/>
      <c r="V180" s="70"/>
      <c r="W180" s="81"/>
      <c r="X180" s="57"/>
      <c r="Y180" s="58"/>
      <c r="Z180" s="77"/>
      <c r="AA180" s="1" t="s">
        <v>18084</v>
      </c>
      <c r="AB180" s="68"/>
      <c r="AC180" s="76"/>
      <c r="AD180" s="70"/>
      <c r="AE180" s="228">
        <f>ROUND((ROUND((ROUND((ROUND((_15_同援日１．０*_15・通訳),0)*_15・２人),0)*(1+_15・A深夜)),0)*(1+_15・区３)),0)+ROUND((ROUND((ROUND((ROUND((_15_同援日１．０＿１．５*_15・通訳),0)*_15・２人),0)*(1+_15・B早朝)),0)*(1+_15・区３)),0)+ROUND((ROUND((ROUND((_15_同援日１．０＿１．５＿０．５*_15・通訳),0)*_15・２人),0)*(1+_15・区３)),0)</f>
        <v>888</v>
      </c>
      <c r="AF180" s="69"/>
    </row>
    <row r="181" spans="1:32" ht="16.5" customHeight="1" x14ac:dyDescent="0.3">
      <c r="A181" s="2">
        <v>15</v>
      </c>
      <c r="B181" s="2" t="s">
        <v>4801</v>
      </c>
      <c r="C181" s="60" t="s">
        <v>15099</v>
      </c>
      <c r="D181" s="1"/>
      <c r="E181" s="68"/>
      <c r="F181" s="70"/>
      <c r="G181" s="1"/>
      <c r="H181" s="68"/>
      <c r="I181" s="70"/>
      <c r="J181" s="1"/>
      <c r="K181" s="68"/>
      <c r="L181" s="70"/>
      <c r="M181" s="67"/>
      <c r="N181" s="68"/>
      <c r="O181" s="76"/>
      <c r="P181" s="83"/>
      <c r="Q181" s="64"/>
      <c r="R181" s="65"/>
      <c r="S181" s="99"/>
      <c r="T181" s="70"/>
      <c r="U181" s="99"/>
      <c r="V181" s="70"/>
      <c r="W181" s="74" t="s">
        <v>18087</v>
      </c>
      <c r="X181" s="62"/>
      <c r="Y181" s="63"/>
      <c r="Z181" s="75"/>
      <c r="AA181" s="1"/>
      <c r="AB181" s="68" t="s">
        <v>1</v>
      </c>
      <c r="AC181" s="76">
        <v>0.2</v>
      </c>
      <c r="AD181" s="70" t="s">
        <v>422</v>
      </c>
      <c r="AE181" s="228">
        <f>ROUND((ROUND((ROUND((ROUND((_15_同援日１．０*_15・通訳),0)*(1+_15・A深夜)),0)*(1+_15・盲ろう)),0)*(1+_15・区３)),0)+ROUND((ROUND((ROUND((ROUND((_15_同援日１．０＿１．５*_15・通訳),0)*(1+_15・B早朝)),0)*(1+_15・盲ろう)),0)*(1+_15・区３)),0)+ROUND((ROUND((ROUND((_15_同援日１．０＿１．５＿０．５*_15・通訳),0)*(1+_15・盲ろう)),0)*(1+_15・区３)),0)</f>
        <v>1110</v>
      </c>
      <c r="AF181" s="69"/>
    </row>
    <row r="182" spans="1:32" ht="16.5" customHeight="1" x14ac:dyDescent="0.3">
      <c r="A182" s="2">
        <v>15</v>
      </c>
      <c r="B182" s="2" t="s">
        <v>4802</v>
      </c>
      <c r="C182" s="60" t="s">
        <v>15098</v>
      </c>
      <c r="D182" s="1"/>
      <c r="E182" s="68"/>
      <c r="F182" s="70"/>
      <c r="G182" s="1"/>
      <c r="H182" s="68"/>
      <c r="I182" s="70"/>
      <c r="J182" s="1"/>
      <c r="K182" s="68"/>
      <c r="L182" s="70"/>
      <c r="M182" s="67"/>
      <c r="N182" s="68"/>
      <c r="O182" s="76"/>
      <c r="P182" s="83" t="s">
        <v>5895</v>
      </c>
      <c r="Q182" s="64" t="s">
        <v>1</v>
      </c>
      <c r="R182" s="65">
        <v>1</v>
      </c>
      <c r="S182" s="99"/>
      <c r="T182" s="70"/>
      <c r="U182" s="99"/>
      <c r="V182" s="70"/>
      <c r="W182" s="81" t="s">
        <v>18086</v>
      </c>
      <c r="X182" s="57" t="s">
        <v>1</v>
      </c>
      <c r="Y182" s="58">
        <v>0.25</v>
      </c>
      <c r="Z182" s="77" t="s">
        <v>422</v>
      </c>
      <c r="AA182" s="81"/>
      <c r="AB182" s="57"/>
      <c r="AC182" s="58"/>
      <c r="AD182" s="77"/>
      <c r="AE182" s="228">
        <f>ROUND((ROUND((ROUND((ROUND((ROUND((_15_同援日１．０*_15・通訳),0)*_15・２人),0)*(1+_15・A深夜)),0)*(1+_15・盲ろう)),0)*(1+_15・区３)),0)+ROUND((ROUND((ROUND((ROUND((ROUND((_15_同援日１．０＿１．５*_15・通訳),0)*_15・２人),0)*(1+_15・B早朝)),0)*(1+_15・盲ろう)),0)*(1+_15・区３)),0)+ROUND((ROUND((ROUND((ROUND((_15_同援日１．０＿１．５＿０．５*_15・通訳),0)*_15・２人),0)*(1+_15・盲ろう)),0)*(1+_15・区３)),0)</f>
        <v>1110</v>
      </c>
      <c r="AF182" s="69"/>
    </row>
    <row r="183" spans="1:32" ht="16.5" customHeight="1" x14ac:dyDescent="0.3">
      <c r="A183" s="2">
        <v>15</v>
      </c>
      <c r="B183" s="2" t="s">
        <v>4803</v>
      </c>
      <c r="C183" s="60" t="s">
        <v>15097</v>
      </c>
      <c r="D183" s="1"/>
      <c r="E183" s="68"/>
      <c r="F183" s="70"/>
      <c r="G183" s="1"/>
      <c r="H183" s="68"/>
      <c r="I183" s="70"/>
      <c r="J183" s="1"/>
      <c r="K183" s="68"/>
      <c r="L183" s="70"/>
      <c r="M183" s="67"/>
      <c r="N183" s="68"/>
      <c r="O183" s="76"/>
      <c r="P183" s="83"/>
      <c r="Q183" s="64"/>
      <c r="R183" s="65"/>
      <c r="S183" s="99"/>
      <c r="T183" s="70"/>
      <c r="U183" s="99"/>
      <c r="V183" s="70"/>
      <c r="W183" s="74"/>
      <c r="X183" s="62"/>
      <c r="Y183" s="63"/>
      <c r="Z183" s="75"/>
      <c r="AA183" s="74" t="s">
        <v>18094</v>
      </c>
      <c r="AB183" s="62"/>
      <c r="AC183" s="63"/>
      <c r="AD183" s="75"/>
      <c r="AE183" s="228">
        <f>ROUND((ROUND((ROUND((_15_同援日１．０*_15・通訳),0)*(1+_15・A深夜)),0)*(1+_15・区４)),0)+ROUND((ROUND((ROUND((_15_同援日１．０＿１．５*_15・通訳),0)*(1+_15・B早朝)),0)*(1+_15・区４)),0)+ROUND((ROUND((_15_同援日１．０＿１．５＿０．５*_15・通訳),0)*(1+_15・区４)),0)</f>
        <v>1036</v>
      </c>
      <c r="AF183" s="69"/>
    </row>
    <row r="184" spans="1:32" ht="16.5" customHeight="1" x14ac:dyDescent="0.3">
      <c r="A184" s="2">
        <v>15</v>
      </c>
      <c r="B184" s="2" t="s">
        <v>4804</v>
      </c>
      <c r="C184" s="60" t="s">
        <v>15096</v>
      </c>
      <c r="D184" s="1"/>
      <c r="E184" s="68"/>
      <c r="F184" s="70"/>
      <c r="G184" s="1"/>
      <c r="H184" s="68"/>
      <c r="I184" s="70"/>
      <c r="J184" s="1"/>
      <c r="K184" s="68"/>
      <c r="L184" s="70"/>
      <c r="M184" s="67"/>
      <c r="N184" s="68"/>
      <c r="O184" s="76"/>
      <c r="P184" s="83" t="s">
        <v>5895</v>
      </c>
      <c r="Q184" s="64" t="s">
        <v>1</v>
      </c>
      <c r="R184" s="65">
        <v>1</v>
      </c>
      <c r="S184" s="99"/>
      <c r="T184" s="70"/>
      <c r="U184" s="99"/>
      <c r="V184" s="70"/>
      <c r="W184" s="81"/>
      <c r="X184" s="57"/>
      <c r="Y184" s="58"/>
      <c r="Z184" s="77"/>
      <c r="AA184" s="1" t="s">
        <v>18084</v>
      </c>
      <c r="AB184" s="68"/>
      <c r="AC184" s="76"/>
      <c r="AD184" s="70"/>
      <c r="AE184" s="228">
        <f>ROUND((ROUND((ROUND((ROUND((_15_同援日１．０*_15・通訳),0)*_15・２人),0)*(1+_15・A深夜)),0)*(1+_15・区４)),0)+ROUND((ROUND((ROUND((ROUND((_15_同援日１．０＿１．５*_15・通訳),0)*_15・２人),0)*(1+_15・B早朝)),0)*(1+_15・区４)),0)+ROUND((ROUND((ROUND((_15_同援日１．０＿１．５＿０．５*_15・通訳),0)*_15・２人),0)*(1+_15・区４)),0)</f>
        <v>1036</v>
      </c>
      <c r="AF184" s="69"/>
    </row>
    <row r="185" spans="1:32" ht="16.5" customHeight="1" x14ac:dyDescent="0.3">
      <c r="A185" s="2">
        <v>15</v>
      </c>
      <c r="B185" s="2" t="s">
        <v>4805</v>
      </c>
      <c r="C185" s="60" t="s">
        <v>15095</v>
      </c>
      <c r="D185" s="1"/>
      <c r="E185" s="68"/>
      <c r="F185" s="70"/>
      <c r="G185" s="1"/>
      <c r="H185" s="68"/>
      <c r="I185" s="70"/>
      <c r="J185" s="1"/>
      <c r="K185" s="68"/>
      <c r="L185" s="70"/>
      <c r="M185" s="67"/>
      <c r="N185" s="68"/>
      <c r="O185" s="76"/>
      <c r="P185" s="83"/>
      <c r="Q185" s="64"/>
      <c r="R185" s="65"/>
      <c r="S185" s="99"/>
      <c r="T185" s="70"/>
      <c r="U185" s="99"/>
      <c r="V185" s="70"/>
      <c r="W185" s="74" t="s">
        <v>18087</v>
      </c>
      <c r="X185" s="62"/>
      <c r="Y185" s="63"/>
      <c r="Z185" s="75"/>
      <c r="AA185" s="1"/>
      <c r="AB185" s="68" t="s">
        <v>1</v>
      </c>
      <c r="AC185" s="76">
        <v>0.4</v>
      </c>
      <c r="AD185" s="70" t="s">
        <v>422</v>
      </c>
      <c r="AE185" s="228">
        <f>ROUND((ROUND((ROUND((ROUND((_15_同援日１．０*_15・通訳),0)*(1+_15・A深夜)),0)*(1+_15・盲ろう)),0)*(1+_15・区４)),0)+ROUND((ROUND((ROUND((ROUND((_15_同援日１．０＿１．５*_15・通訳),0)*(1+_15・B早朝)),0)*(1+_15・盲ろう)),0)*(1+_15・区４)),0)+ROUND((ROUND((ROUND((_15_同援日１．０＿１．５＿０．５*_15・通訳),0)*(1+_15・盲ろう)),0)*(1+_15・区４)),0)</f>
        <v>1295</v>
      </c>
      <c r="AF185" s="69"/>
    </row>
    <row r="186" spans="1:32" ht="16.5" customHeight="1" x14ac:dyDescent="0.3">
      <c r="A186" s="2">
        <v>15</v>
      </c>
      <c r="B186" s="2" t="s">
        <v>4806</v>
      </c>
      <c r="C186" s="60" t="s">
        <v>15094</v>
      </c>
      <c r="D186" s="81"/>
      <c r="E186" s="57"/>
      <c r="F186" s="77"/>
      <c r="G186" s="81"/>
      <c r="H186" s="57"/>
      <c r="I186" s="77"/>
      <c r="J186" s="81"/>
      <c r="K186" s="57"/>
      <c r="L186" s="77"/>
      <c r="M186" s="67"/>
      <c r="N186" s="68"/>
      <c r="O186" s="76"/>
      <c r="P186" s="83" t="s">
        <v>5895</v>
      </c>
      <c r="Q186" s="64" t="s">
        <v>1</v>
      </c>
      <c r="R186" s="65">
        <v>1</v>
      </c>
      <c r="S186" s="99"/>
      <c r="T186" s="70"/>
      <c r="U186" s="99"/>
      <c r="V186" s="70"/>
      <c r="W186" s="81" t="s">
        <v>18086</v>
      </c>
      <c r="X186" s="57" t="s">
        <v>1</v>
      </c>
      <c r="Y186" s="58">
        <v>0.25</v>
      </c>
      <c r="Z186" s="77" t="s">
        <v>422</v>
      </c>
      <c r="AA186" s="81"/>
      <c r="AB186" s="57"/>
      <c r="AC186" s="58"/>
      <c r="AD186" s="77"/>
      <c r="AE186" s="228">
        <f>ROUND((ROUND((ROUND((ROUND((ROUND((_15_同援日１．０*_15・通訳),0)*_15・２人),0)*(1+_15・A深夜)),0)*(1+_15・盲ろう)),0)*(1+_15・区４)),0)+ROUND((ROUND((ROUND((ROUND((ROUND((_15_同援日１．０＿１．５*_15・通訳),0)*_15・２人),0)*(1+_15・B早朝)),0)*(1+_15・盲ろう)),0)*(1+_15・区４)),0)+ROUND((ROUND((ROUND((ROUND((_15_同援日１．０＿１．５＿０．５*_15・通訳),0)*_15・２人),0)*(1+_15・盲ろう)),0)*(1+_15・区４)),0)</f>
        <v>1295</v>
      </c>
      <c r="AF186" s="69"/>
    </row>
    <row r="187" spans="1:32" ht="16.5" customHeight="1" x14ac:dyDescent="0.3">
      <c r="A187" s="2">
        <v>15</v>
      </c>
      <c r="B187" s="2" t="s">
        <v>4807</v>
      </c>
      <c r="C187" s="60" t="s">
        <v>15093</v>
      </c>
      <c r="D187" s="233" t="s">
        <v>18358</v>
      </c>
      <c r="E187" s="235"/>
      <c r="F187" s="75"/>
      <c r="G187" s="233" t="s">
        <v>18316</v>
      </c>
      <c r="H187" s="62"/>
      <c r="I187" s="75"/>
      <c r="J187" s="74" t="s">
        <v>6193</v>
      </c>
      <c r="K187" s="62"/>
      <c r="L187" s="75"/>
      <c r="M187" s="67"/>
      <c r="N187" s="68"/>
      <c r="O187" s="76"/>
      <c r="P187" s="83"/>
      <c r="Q187" s="64"/>
      <c r="R187" s="65"/>
      <c r="S187" s="99"/>
      <c r="T187" s="70"/>
      <c r="U187" s="99"/>
      <c r="V187" s="70"/>
      <c r="W187" s="74"/>
      <c r="X187" s="62"/>
      <c r="Y187" s="63"/>
      <c r="Z187" s="75"/>
      <c r="AA187" s="74"/>
      <c r="AB187" s="62"/>
      <c r="AC187" s="63"/>
      <c r="AD187" s="75"/>
      <c r="AE187" s="228">
        <f>ROUND((ROUND((_15_同援日１．５*_15・通訳),0)*(1+_15・A深夜)),0)+ROUND((ROUND((_15_同援日１．５＿０．５*_15・通訳),0)*(1+_15・B早朝)),0)+ROUND((_15_同援日１．５＿０．５＿０．５*_15・通訳),0)</f>
        <v>699</v>
      </c>
      <c r="AF187" s="69"/>
    </row>
    <row r="188" spans="1:32" ht="16.5" customHeight="1" x14ac:dyDescent="0.3">
      <c r="A188" s="2">
        <v>15</v>
      </c>
      <c r="B188" s="2" t="s">
        <v>4808</v>
      </c>
      <c r="C188" s="60" t="s">
        <v>15092</v>
      </c>
      <c r="D188" s="1" t="s">
        <v>17070</v>
      </c>
      <c r="E188" s="68"/>
      <c r="F188" s="70"/>
      <c r="G188" s="1" t="s">
        <v>7928</v>
      </c>
      <c r="H188" s="68"/>
      <c r="I188" s="70"/>
      <c r="J188" s="1" t="s">
        <v>7928</v>
      </c>
      <c r="K188" s="68"/>
      <c r="L188" s="70"/>
      <c r="M188" s="67"/>
      <c r="N188" s="68"/>
      <c r="O188" s="76"/>
      <c r="P188" s="83" t="s">
        <v>5895</v>
      </c>
      <c r="Q188" s="64" t="s">
        <v>1</v>
      </c>
      <c r="R188" s="65">
        <v>1</v>
      </c>
      <c r="S188" s="99"/>
      <c r="T188" s="70"/>
      <c r="U188" s="99"/>
      <c r="V188" s="70"/>
      <c r="W188" s="81"/>
      <c r="X188" s="57"/>
      <c r="Y188" s="58"/>
      <c r="Z188" s="77"/>
      <c r="AA188" s="1"/>
      <c r="AB188" s="68"/>
      <c r="AC188" s="76"/>
      <c r="AD188" s="70"/>
      <c r="AE188" s="228">
        <f>ROUND((ROUND((ROUND((_15_同援日１．５*_15・通訳),0)*_15・２人),0)*(1+_15・A深夜)),0)+ROUND((ROUND((ROUND((_15_同援日１．５＿０．５*_15・通訳),0)*_15・２人),0)*(1+_15・B早朝)),0)+ROUND((ROUND((_15_同援日１．５＿０．５＿０．５*_15・通訳),0)*_15・２人),0)</f>
        <v>699</v>
      </c>
      <c r="AF188" s="69"/>
    </row>
    <row r="189" spans="1:32" ht="16.5" customHeight="1" x14ac:dyDescent="0.3">
      <c r="A189" s="2">
        <v>15</v>
      </c>
      <c r="B189" s="2" t="s">
        <v>4809</v>
      </c>
      <c r="C189" s="60" t="s">
        <v>15091</v>
      </c>
      <c r="D189" s="1" t="s">
        <v>8767</v>
      </c>
      <c r="E189" s="68"/>
      <c r="F189" s="70"/>
      <c r="G189" s="1"/>
      <c r="H189" s="68"/>
      <c r="I189" s="70"/>
      <c r="J189" s="1"/>
      <c r="K189" s="68"/>
      <c r="L189" s="70"/>
      <c r="M189" s="67"/>
      <c r="N189" s="68"/>
      <c r="O189" s="76"/>
      <c r="P189" s="83"/>
      <c r="Q189" s="64"/>
      <c r="R189" s="65"/>
      <c r="S189" s="99"/>
      <c r="T189" s="70"/>
      <c r="U189" s="99"/>
      <c r="V189" s="70"/>
      <c r="W189" s="74" t="s">
        <v>18087</v>
      </c>
      <c r="X189" s="62"/>
      <c r="Y189" s="63"/>
      <c r="Z189" s="75"/>
      <c r="AA189" s="1"/>
      <c r="AB189" s="68"/>
      <c r="AC189" s="76"/>
      <c r="AD189" s="70"/>
      <c r="AE189" s="228">
        <f>ROUND((ROUND((ROUND((_15_同援日１．５*_15・通訳),0)*(1+_15・A深夜)),0)*(1+_15・盲ろう)),0)+ROUND((ROUND((ROUND((_15_同援日１．５＿０．５*_15・通訳),0)*(1+_15・B早朝)),0)*(1+_15・盲ろう)),0)+ROUND((ROUND((_15_同援日１．５＿０．５＿０．５*_15・通訳),0)*(1+_15・盲ろう)),0)</f>
        <v>873</v>
      </c>
      <c r="AF189" s="69"/>
    </row>
    <row r="190" spans="1:32" ht="16.5" customHeight="1" x14ac:dyDescent="0.3">
      <c r="A190" s="2">
        <v>15</v>
      </c>
      <c r="B190" s="2" t="s">
        <v>4810</v>
      </c>
      <c r="C190" s="60" t="s">
        <v>15090</v>
      </c>
      <c r="D190" s="1"/>
      <c r="E190" s="227">
        <v>421</v>
      </c>
      <c r="F190" s="70" t="s">
        <v>0</v>
      </c>
      <c r="G190" s="1"/>
      <c r="H190" s="227">
        <v>64</v>
      </c>
      <c r="I190" s="70" t="s">
        <v>0</v>
      </c>
      <c r="J190" s="1"/>
      <c r="K190" s="119">
        <v>63</v>
      </c>
      <c r="L190" s="70" t="s">
        <v>0</v>
      </c>
      <c r="M190" s="67"/>
      <c r="N190" s="68"/>
      <c r="O190" s="76"/>
      <c r="P190" s="83" t="s">
        <v>5895</v>
      </c>
      <c r="Q190" s="64" t="s">
        <v>1</v>
      </c>
      <c r="R190" s="65">
        <v>1</v>
      </c>
      <c r="S190" s="99"/>
      <c r="T190" s="70"/>
      <c r="U190" s="99"/>
      <c r="V190" s="70"/>
      <c r="W190" s="81" t="s">
        <v>8083</v>
      </c>
      <c r="X190" s="57" t="s">
        <v>1</v>
      </c>
      <c r="Y190" s="58">
        <v>0.25</v>
      </c>
      <c r="Z190" s="77" t="s">
        <v>422</v>
      </c>
      <c r="AA190" s="81"/>
      <c r="AB190" s="57"/>
      <c r="AC190" s="58"/>
      <c r="AD190" s="77"/>
      <c r="AE190" s="228">
        <f>ROUND((ROUND((ROUND((ROUND((_15_同援日１．５*_15・通訳),0)*_15・２人),0)*(1+_15・A深夜)),0)*(1+_15・盲ろう)),0)+ROUND((ROUND((ROUND((ROUND((_15_同援日１．５＿０．５*_15・通訳),0)*_15・２人),0)*(1+_15・B早朝)),0)*(1+_15・盲ろう)),0)+ROUND((ROUND((ROUND((_15_同援日１．５＿０．５＿０．５*_15・通訳),0)*_15・２人),0)*(1+_15・盲ろう)),0)</f>
        <v>873</v>
      </c>
      <c r="AF190" s="69"/>
    </row>
    <row r="191" spans="1:32" ht="16.5" customHeight="1" x14ac:dyDescent="0.3">
      <c r="A191" s="2">
        <v>15</v>
      </c>
      <c r="B191" s="2" t="s">
        <v>4811</v>
      </c>
      <c r="C191" s="60" t="s">
        <v>15089</v>
      </c>
      <c r="D191" s="1"/>
      <c r="E191" s="68"/>
      <c r="F191" s="70"/>
      <c r="G191" s="1"/>
      <c r="H191" s="68"/>
      <c r="I191" s="70"/>
      <c r="J191" s="1"/>
      <c r="K191" s="68"/>
      <c r="L191" s="70"/>
      <c r="M191" s="67"/>
      <c r="N191" s="68"/>
      <c r="O191" s="76"/>
      <c r="P191" s="83"/>
      <c r="Q191" s="64"/>
      <c r="R191" s="65"/>
      <c r="S191" s="99"/>
      <c r="T191" s="70"/>
      <c r="U191" s="99"/>
      <c r="V191" s="70"/>
      <c r="W191" s="74"/>
      <c r="X191" s="62"/>
      <c r="Y191" s="63"/>
      <c r="Z191" s="75"/>
      <c r="AA191" s="74" t="s">
        <v>18089</v>
      </c>
      <c r="AB191" s="62"/>
      <c r="AC191" s="63"/>
      <c r="AD191" s="75"/>
      <c r="AE191" s="228">
        <f>ROUND((ROUND((ROUND((_15_同援日１．５*_15・通訳),0)*(1+_15・A深夜)),0)*(1+_15・区３)),0)+ROUND((ROUND((ROUND((_15_同援日１．５＿０．５*_15・通訳),0)*(1+_15・B早朝)),0)*(1+_15・区３)),0)+ROUND((ROUND((_15_同援日１．５＿０．５＿０．５*_15・通訳),0)*(1+_15・区３)),0)</f>
        <v>839</v>
      </c>
      <c r="AF191" s="69"/>
    </row>
    <row r="192" spans="1:32" ht="16.5" customHeight="1" x14ac:dyDescent="0.3">
      <c r="A192" s="2">
        <v>15</v>
      </c>
      <c r="B192" s="2" t="s">
        <v>4812</v>
      </c>
      <c r="C192" s="60" t="s">
        <v>15088</v>
      </c>
      <c r="D192" s="1"/>
      <c r="E192" s="68"/>
      <c r="F192" s="70"/>
      <c r="G192" s="1"/>
      <c r="H192" s="68"/>
      <c r="I192" s="70"/>
      <c r="J192" s="1"/>
      <c r="K192" s="68"/>
      <c r="L192" s="70"/>
      <c r="M192" s="67"/>
      <c r="N192" s="68"/>
      <c r="O192" s="76"/>
      <c r="P192" s="83" t="s">
        <v>5895</v>
      </c>
      <c r="Q192" s="64" t="s">
        <v>1</v>
      </c>
      <c r="R192" s="65">
        <v>1</v>
      </c>
      <c r="S192" s="99"/>
      <c r="T192" s="70"/>
      <c r="U192" s="99"/>
      <c r="V192" s="70"/>
      <c r="W192" s="81"/>
      <c r="X192" s="57"/>
      <c r="Y192" s="58"/>
      <c r="Z192" s="77"/>
      <c r="AA192" s="1" t="s">
        <v>18084</v>
      </c>
      <c r="AB192" s="68"/>
      <c r="AC192" s="76"/>
      <c r="AD192" s="70"/>
      <c r="AE192" s="228">
        <f>ROUND((ROUND((ROUND((ROUND((_15_同援日１．５*_15・通訳),0)*_15・２人),0)*(1+_15・A深夜)),0)*(1+_15・区３)),0)+ROUND((ROUND((ROUND((ROUND((_15_同援日１．５＿０．５*_15・通訳),0)*_15・２人),0)*(1+_15・B早朝)),0)*(1+_15・区３)),0)+ROUND((ROUND((ROUND((_15_同援日１．５＿０．５＿０．５*_15・通訳),0)*_15・２人),0)*(1+_15・区３)),0)</f>
        <v>839</v>
      </c>
      <c r="AF192" s="69"/>
    </row>
    <row r="193" spans="1:32" ht="16.5" customHeight="1" x14ac:dyDescent="0.3">
      <c r="A193" s="2">
        <v>15</v>
      </c>
      <c r="B193" s="2" t="s">
        <v>4813</v>
      </c>
      <c r="C193" s="60" t="s">
        <v>15087</v>
      </c>
      <c r="D193" s="1"/>
      <c r="E193" s="68"/>
      <c r="F193" s="70"/>
      <c r="G193" s="1"/>
      <c r="H193" s="68"/>
      <c r="I193" s="70"/>
      <c r="J193" s="1"/>
      <c r="K193" s="68"/>
      <c r="L193" s="70"/>
      <c r="M193" s="67"/>
      <c r="N193" s="68"/>
      <c r="O193" s="76"/>
      <c r="P193" s="83"/>
      <c r="Q193" s="64"/>
      <c r="R193" s="65"/>
      <c r="S193" s="99"/>
      <c r="T193" s="70"/>
      <c r="U193" s="99"/>
      <c r="V193" s="70"/>
      <c r="W193" s="74" t="s">
        <v>18087</v>
      </c>
      <c r="X193" s="62"/>
      <c r="Y193" s="63"/>
      <c r="Z193" s="75"/>
      <c r="AA193" s="1"/>
      <c r="AB193" s="68" t="s">
        <v>1</v>
      </c>
      <c r="AC193" s="76">
        <v>0.2</v>
      </c>
      <c r="AD193" s="70" t="s">
        <v>422</v>
      </c>
      <c r="AE193" s="228">
        <f>ROUND((ROUND((ROUND((ROUND((_15_同援日１．５*_15・通訳),0)*(1+_15・A深夜)),0)*(1+_15・盲ろう)),0)*(1+_15・区３)),0)+ROUND((ROUND((ROUND((ROUND((_15_同援日１．５＿０．５*_15・通訳),0)*(1+_15・B早朝)),0)*(1+_15・盲ろう)),0)*(1+_15・区３)),0)+ROUND((ROUND((ROUND((_15_同援日１．５＿０．５＿０．５*_15・通訳),0)*(1+_15・盲ろう)),0)*(1+_15・区３)),0)</f>
        <v>1047</v>
      </c>
      <c r="AF193" s="69"/>
    </row>
    <row r="194" spans="1:32" ht="16.5" customHeight="1" x14ac:dyDescent="0.3">
      <c r="A194" s="2">
        <v>15</v>
      </c>
      <c r="B194" s="2" t="s">
        <v>4814</v>
      </c>
      <c r="C194" s="60" t="s">
        <v>15086</v>
      </c>
      <c r="D194" s="1"/>
      <c r="E194" s="68"/>
      <c r="F194" s="70"/>
      <c r="G194" s="1"/>
      <c r="H194" s="68"/>
      <c r="I194" s="70"/>
      <c r="J194" s="1"/>
      <c r="K194" s="68"/>
      <c r="L194" s="70"/>
      <c r="M194" s="67"/>
      <c r="N194" s="68"/>
      <c r="O194" s="76"/>
      <c r="P194" s="83" t="s">
        <v>5895</v>
      </c>
      <c r="Q194" s="64" t="s">
        <v>1</v>
      </c>
      <c r="R194" s="65">
        <v>1</v>
      </c>
      <c r="S194" s="99"/>
      <c r="T194" s="70"/>
      <c r="U194" s="99"/>
      <c r="V194" s="70"/>
      <c r="W194" s="81" t="s">
        <v>18086</v>
      </c>
      <c r="X194" s="57" t="s">
        <v>1</v>
      </c>
      <c r="Y194" s="58">
        <v>0.25</v>
      </c>
      <c r="Z194" s="77" t="s">
        <v>422</v>
      </c>
      <c r="AA194" s="81"/>
      <c r="AB194" s="57"/>
      <c r="AC194" s="58"/>
      <c r="AD194" s="77"/>
      <c r="AE194" s="228">
        <f>ROUND((ROUND((ROUND((ROUND((ROUND((_15_同援日１．５*_15・通訳),0)*_15・２人),0)*(1+_15・A深夜)),0)*(1+_15・盲ろう)),0)*(1+_15・区３)),0)+ROUND((ROUND((ROUND((ROUND((ROUND((_15_同援日１．５＿０．５*_15・通訳),0)*_15・２人),0)*(1+_15・B早朝)),0)*(1+_15・盲ろう)),0)*(1+_15・区３)),0)+ROUND((ROUND((ROUND((ROUND((_15_同援日１．５＿０．５＿０．５*_15・通訳),0)*_15・２人),0)*(1+_15・盲ろう)),0)*(1+_15・区３)),0)</f>
        <v>1047</v>
      </c>
      <c r="AF194" s="69"/>
    </row>
    <row r="195" spans="1:32" ht="16.5" customHeight="1" x14ac:dyDescent="0.3">
      <c r="A195" s="2">
        <v>15</v>
      </c>
      <c r="B195" s="2" t="s">
        <v>4815</v>
      </c>
      <c r="C195" s="60" t="s">
        <v>15085</v>
      </c>
      <c r="D195" s="1"/>
      <c r="E195" s="68"/>
      <c r="F195" s="70"/>
      <c r="G195" s="1"/>
      <c r="H195" s="68"/>
      <c r="I195" s="70"/>
      <c r="J195" s="1"/>
      <c r="K195" s="68"/>
      <c r="L195" s="70"/>
      <c r="M195" s="67"/>
      <c r="N195" s="68"/>
      <c r="O195" s="76"/>
      <c r="P195" s="83"/>
      <c r="Q195" s="64"/>
      <c r="R195" s="65"/>
      <c r="S195" s="99"/>
      <c r="T195" s="70"/>
      <c r="U195" s="99"/>
      <c r="V195" s="70"/>
      <c r="W195" s="74"/>
      <c r="X195" s="62"/>
      <c r="Y195" s="63"/>
      <c r="Z195" s="75"/>
      <c r="AA195" s="74" t="s">
        <v>8089</v>
      </c>
      <c r="AB195" s="62"/>
      <c r="AC195" s="63"/>
      <c r="AD195" s="75"/>
      <c r="AE195" s="228">
        <f>ROUND((ROUND((ROUND((_15_同援日１．５*_15・通訳),0)*(1+_15・A深夜)),0)*(1+_15・区４)),0)+ROUND((ROUND((ROUND((_15_同援日１．５＿０．５*_15・通訳),0)*(1+_15・B早朝)),0)*(1+_15・区４)),0)+ROUND((ROUND((_15_同援日１．５＿０．５＿０．５*_15・通訳),0)*(1+_15・区４)),0)</f>
        <v>979</v>
      </c>
      <c r="AF195" s="69"/>
    </row>
    <row r="196" spans="1:32" ht="16.5" customHeight="1" x14ac:dyDescent="0.3">
      <c r="A196" s="2">
        <v>15</v>
      </c>
      <c r="B196" s="2" t="s">
        <v>4816</v>
      </c>
      <c r="C196" s="60" t="s">
        <v>15084</v>
      </c>
      <c r="D196" s="1"/>
      <c r="E196" s="68"/>
      <c r="F196" s="70"/>
      <c r="G196" s="1"/>
      <c r="H196" s="68"/>
      <c r="I196" s="70"/>
      <c r="J196" s="1"/>
      <c r="K196" s="68"/>
      <c r="L196" s="70"/>
      <c r="M196" s="67"/>
      <c r="N196" s="68"/>
      <c r="O196" s="76"/>
      <c r="P196" s="83" t="s">
        <v>5895</v>
      </c>
      <c r="Q196" s="64" t="s">
        <v>1</v>
      </c>
      <c r="R196" s="65">
        <v>1</v>
      </c>
      <c r="S196" s="99"/>
      <c r="T196" s="70"/>
      <c r="U196" s="99"/>
      <c r="V196" s="70"/>
      <c r="W196" s="81"/>
      <c r="X196" s="57"/>
      <c r="Y196" s="58"/>
      <c r="Z196" s="77"/>
      <c r="AA196" s="1" t="s">
        <v>18084</v>
      </c>
      <c r="AB196" s="68"/>
      <c r="AC196" s="76"/>
      <c r="AD196" s="70"/>
      <c r="AE196" s="228">
        <f>ROUND((ROUND((ROUND((ROUND((_15_同援日１．５*_15・通訳),0)*_15・２人),0)*(1+_15・A深夜)),0)*(1+_15・区４)),0)+ROUND((ROUND((ROUND((ROUND((_15_同援日１．５＿０．５*_15・通訳),0)*_15・２人),0)*(1+_15・B早朝)),0)*(1+_15・区４)),0)+ROUND((ROUND((ROUND((_15_同援日１．５＿０．５＿０．５*_15・通訳),0)*_15・２人),0)*(1+_15・区４)),0)</f>
        <v>979</v>
      </c>
      <c r="AF196" s="69"/>
    </row>
    <row r="197" spans="1:32" ht="16.5" customHeight="1" x14ac:dyDescent="0.3">
      <c r="A197" s="2">
        <v>15</v>
      </c>
      <c r="B197" s="2" t="s">
        <v>4817</v>
      </c>
      <c r="C197" s="60" t="s">
        <v>15083</v>
      </c>
      <c r="D197" s="1"/>
      <c r="E197" s="68"/>
      <c r="F197" s="70"/>
      <c r="G197" s="1"/>
      <c r="H197" s="68"/>
      <c r="I197" s="70"/>
      <c r="J197" s="1"/>
      <c r="K197" s="68"/>
      <c r="L197" s="70"/>
      <c r="M197" s="67"/>
      <c r="N197" s="68"/>
      <c r="O197" s="76"/>
      <c r="P197" s="83"/>
      <c r="Q197" s="64"/>
      <c r="R197" s="65"/>
      <c r="S197" s="99"/>
      <c r="T197" s="70"/>
      <c r="U197" s="99"/>
      <c r="V197" s="70"/>
      <c r="W197" s="74" t="s">
        <v>18087</v>
      </c>
      <c r="X197" s="62"/>
      <c r="Y197" s="63"/>
      <c r="Z197" s="75"/>
      <c r="AA197" s="1"/>
      <c r="AB197" s="68" t="s">
        <v>1</v>
      </c>
      <c r="AC197" s="76">
        <v>0.4</v>
      </c>
      <c r="AD197" s="70" t="s">
        <v>422</v>
      </c>
      <c r="AE197" s="228">
        <f>ROUND((ROUND((ROUND((ROUND((_15_同援日１．５*_15・通訳),0)*(1+_15・A深夜)),0)*(1+_15・盲ろう)),0)*(1+_15・区４)),0)+ROUND((ROUND((ROUND((ROUND((_15_同援日１．５＿０．５*_15・通訳),0)*(1+_15・B早朝)),0)*(1+_15・盲ろう)),0)*(1+_15・区４)),0)+ROUND((ROUND((ROUND((_15_同援日１．５＿０．５＿０．５*_15・通訳),0)*(1+_15・盲ろう)),0)*(1+_15・区４)),0)</f>
        <v>1221</v>
      </c>
      <c r="AF197" s="69"/>
    </row>
    <row r="198" spans="1:32" ht="16.5" customHeight="1" x14ac:dyDescent="0.3">
      <c r="A198" s="2">
        <v>15</v>
      </c>
      <c r="B198" s="2" t="s">
        <v>4818</v>
      </c>
      <c r="C198" s="60" t="s">
        <v>15082</v>
      </c>
      <c r="D198" s="1"/>
      <c r="E198" s="68"/>
      <c r="F198" s="70"/>
      <c r="G198" s="1"/>
      <c r="H198" s="68"/>
      <c r="I198" s="70"/>
      <c r="J198" s="81"/>
      <c r="K198" s="57"/>
      <c r="L198" s="77"/>
      <c r="M198" s="67"/>
      <c r="N198" s="68"/>
      <c r="O198" s="76"/>
      <c r="P198" s="83" t="s">
        <v>5895</v>
      </c>
      <c r="Q198" s="64" t="s">
        <v>1</v>
      </c>
      <c r="R198" s="65">
        <v>1</v>
      </c>
      <c r="S198" s="99"/>
      <c r="T198" s="70"/>
      <c r="U198" s="99"/>
      <c r="V198" s="70"/>
      <c r="W198" s="81" t="s">
        <v>18086</v>
      </c>
      <c r="X198" s="57" t="s">
        <v>1</v>
      </c>
      <c r="Y198" s="58">
        <v>0.25</v>
      </c>
      <c r="Z198" s="77" t="s">
        <v>422</v>
      </c>
      <c r="AA198" s="81"/>
      <c r="AB198" s="57"/>
      <c r="AC198" s="58"/>
      <c r="AD198" s="77"/>
      <c r="AE198" s="228">
        <f>ROUND((ROUND((ROUND((ROUND((ROUND((_15_同援日１．５*_15・通訳),0)*_15・２人),0)*(1+_15・A深夜)),0)*(1+_15・盲ろう)),0)*(1+_15・区４)),0)+ROUND((ROUND((ROUND((ROUND((ROUND((_15_同援日１．５＿０．５*_15・通訳),0)*_15・２人),0)*(1+_15・B早朝)),0)*(1+_15・盲ろう)),0)*(1+_15・区４)),0)+ROUND((ROUND((ROUND((ROUND((_15_同援日１．５＿０．５＿０．５*_15・通訳),0)*_15・２人),0)*(1+_15・盲ろう)),0)*(1+_15・区４)),0)</f>
        <v>1221</v>
      </c>
      <c r="AF198" s="69"/>
    </row>
    <row r="199" spans="1:32" ht="16.5" customHeight="1" x14ac:dyDescent="0.3">
      <c r="A199" s="2">
        <v>15</v>
      </c>
      <c r="B199" s="2" t="s">
        <v>4819</v>
      </c>
      <c r="C199" s="60" t="s">
        <v>15081</v>
      </c>
      <c r="D199" s="1"/>
      <c r="E199" s="68"/>
      <c r="F199" s="70"/>
      <c r="G199" s="1"/>
      <c r="H199" s="68"/>
      <c r="I199" s="70"/>
      <c r="J199" s="74" t="s">
        <v>17106</v>
      </c>
      <c r="K199" s="62"/>
      <c r="L199" s="75"/>
      <c r="M199" s="67"/>
      <c r="N199" s="68"/>
      <c r="O199" s="76"/>
      <c r="P199" s="83"/>
      <c r="Q199" s="64"/>
      <c r="R199" s="65"/>
      <c r="S199" s="99"/>
      <c r="T199" s="70"/>
      <c r="U199" s="99"/>
      <c r="V199" s="70"/>
      <c r="W199" s="74"/>
      <c r="X199" s="62"/>
      <c r="Y199" s="63"/>
      <c r="Z199" s="75"/>
      <c r="AA199" s="74"/>
      <c r="AB199" s="62"/>
      <c r="AC199" s="63"/>
      <c r="AD199" s="75"/>
      <c r="AE199" s="228">
        <f>ROUND((ROUND((_15_同援日１．５*_15・通訳),0)*(1+_15・A深夜)),0)+ROUND((ROUND((_15_同援日１．５＿０．５*_15・通訳),0)*(1+_15・B早朝)),0)+ROUND((_15_同援日１．５＿０．５＿１．０*_15・通訳),0)</f>
        <v>755</v>
      </c>
      <c r="AF199" s="69"/>
    </row>
    <row r="200" spans="1:32" ht="16.5" customHeight="1" x14ac:dyDescent="0.3">
      <c r="A200" s="2">
        <v>15</v>
      </c>
      <c r="B200" s="2" t="s">
        <v>4820</v>
      </c>
      <c r="C200" s="60" t="s">
        <v>15080</v>
      </c>
      <c r="D200" s="1"/>
      <c r="E200" s="68"/>
      <c r="F200" s="70"/>
      <c r="G200" s="1"/>
      <c r="H200" s="68"/>
      <c r="I200" s="70"/>
      <c r="J200" s="1" t="s">
        <v>17067</v>
      </c>
      <c r="K200" s="68"/>
      <c r="L200" s="70"/>
      <c r="M200" s="67"/>
      <c r="N200" s="68"/>
      <c r="O200" s="76"/>
      <c r="P200" s="83" t="s">
        <v>5895</v>
      </c>
      <c r="Q200" s="64" t="s">
        <v>1</v>
      </c>
      <c r="R200" s="65">
        <v>1</v>
      </c>
      <c r="S200" s="99"/>
      <c r="T200" s="70"/>
      <c r="U200" s="99"/>
      <c r="V200" s="70"/>
      <c r="W200" s="81"/>
      <c r="X200" s="57"/>
      <c r="Y200" s="58"/>
      <c r="Z200" s="77"/>
      <c r="AA200" s="1"/>
      <c r="AB200" s="68"/>
      <c r="AC200" s="76"/>
      <c r="AD200" s="70"/>
      <c r="AE200" s="228">
        <f>ROUND((ROUND((ROUND((_15_同援日１．５*_15・通訳),0)*_15・２人),0)*(1+_15・A深夜)),0)+ROUND((ROUND((ROUND((_15_同援日１．５＿０．５*_15・通訳),0)*_15・２人),0)*(1+_15・B早朝)),0)+ROUND((ROUND((_15_同援日１．５＿０．５＿１．０*_15・通訳),0)*_15・２人),0)</f>
        <v>755</v>
      </c>
      <c r="AF200" s="69"/>
    </row>
    <row r="201" spans="1:32" ht="16.5" customHeight="1" x14ac:dyDescent="0.3">
      <c r="A201" s="2">
        <v>15</v>
      </c>
      <c r="B201" s="2" t="s">
        <v>4821</v>
      </c>
      <c r="C201" s="60" t="s">
        <v>15079</v>
      </c>
      <c r="D201" s="1"/>
      <c r="E201" s="68"/>
      <c r="F201" s="70"/>
      <c r="G201" s="1"/>
      <c r="H201" s="68"/>
      <c r="I201" s="70"/>
      <c r="J201" s="1" t="s">
        <v>8572</v>
      </c>
      <c r="K201" s="68"/>
      <c r="L201" s="70"/>
      <c r="M201" s="67"/>
      <c r="N201" s="68"/>
      <c r="O201" s="76"/>
      <c r="P201" s="83"/>
      <c r="Q201" s="64"/>
      <c r="R201" s="65"/>
      <c r="S201" s="99"/>
      <c r="T201" s="70"/>
      <c r="U201" s="99"/>
      <c r="V201" s="70"/>
      <c r="W201" s="74" t="s">
        <v>18087</v>
      </c>
      <c r="X201" s="62"/>
      <c r="Y201" s="63"/>
      <c r="Z201" s="75"/>
      <c r="AA201" s="1"/>
      <c r="AB201" s="68"/>
      <c r="AC201" s="76"/>
      <c r="AD201" s="70"/>
      <c r="AE201" s="228">
        <f>ROUND((ROUND((ROUND((_15_同援日１．５*_15・通訳),0)*(1+_15・A深夜)),0)*(1+_15・盲ろう)),0)+ROUND((ROUND((ROUND((_15_同援日１．５＿０．５*_15・通訳),0)*(1+_15・B早朝)),0)*(1+_15・盲ろう)),0)+ROUND((ROUND((_15_同援日１．５＿０．５＿１．０*_15・通訳),0)*(1+_15・盲ろう)),0)</f>
        <v>943</v>
      </c>
      <c r="AF201" s="69"/>
    </row>
    <row r="202" spans="1:32" ht="16.5" customHeight="1" x14ac:dyDescent="0.3">
      <c r="A202" s="2">
        <v>15</v>
      </c>
      <c r="B202" s="2" t="s">
        <v>4822</v>
      </c>
      <c r="C202" s="60" t="s">
        <v>15078</v>
      </c>
      <c r="D202" s="1"/>
      <c r="E202" s="68"/>
      <c r="F202" s="70"/>
      <c r="G202" s="1"/>
      <c r="H202" s="68"/>
      <c r="I202" s="70"/>
      <c r="J202" s="1"/>
      <c r="K202" s="227">
        <v>126</v>
      </c>
      <c r="L202" s="70" t="s">
        <v>0</v>
      </c>
      <c r="M202" s="67"/>
      <c r="N202" s="68"/>
      <c r="O202" s="76"/>
      <c r="P202" s="83" t="s">
        <v>5895</v>
      </c>
      <c r="Q202" s="64" t="s">
        <v>1</v>
      </c>
      <c r="R202" s="65">
        <v>1</v>
      </c>
      <c r="S202" s="99"/>
      <c r="T202" s="70"/>
      <c r="U202" s="99"/>
      <c r="V202" s="70"/>
      <c r="W202" s="81" t="s">
        <v>18086</v>
      </c>
      <c r="X202" s="57" t="s">
        <v>1</v>
      </c>
      <c r="Y202" s="58">
        <v>0.25</v>
      </c>
      <c r="Z202" s="77" t="s">
        <v>422</v>
      </c>
      <c r="AA202" s="81"/>
      <c r="AB202" s="57"/>
      <c r="AC202" s="58"/>
      <c r="AD202" s="77"/>
      <c r="AE202" s="228">
        <f>ROUND((ROUND((ROUND((ROUND((_15_同援日１．５*_15・通訳),0)*_15・２人),0)*(1+_15・A深夜)),0)*(1+_15・盲ろう)),0)+ROUND((ROUND((ROUND((ROUND((_15_同援日１．５＿０．５*_15・通訳),0)*_15・２人),0)*(1+_15・B早朝)),0)*(1+_15・盲ろう)),0)+ROUND((ROUND((ROUND((_15_同援日１．５＿０．５＿１．０*_15・通訳),0)*_15・２人),0)*(1+_15・盲ろう)),0)</f>
        <v>943</v>
      </c>
      <c r="AF202" s="69"/>
    </row>
    <row r="203" spans="1:32" ht="16.5" customHeight="1" x14ac:dyDescent="0.3">
      <c r="A203" s="2">
        <v>15</v>
      </c>
      <c r="B203" s="2" t="s">
        <v>4823</v>
      </c>
      <c r="C203" s="60" t="s">
        <v>15077</v>
      </c>
      <c r="D203" s="1"/>
      <c r="E203" s="68"/>
      <c r="F203" s="70"/>
      <c r="G203" s="1"/>
      <c r="H203" s="68"/>
      <c r="I203" s="70"/>
      <c r="J203" s="1"/>
      <c r="K203" s="68"/>
      <c r="L203" s="70"/>
      <c r="M203" s="67"/>
      <c r="N203" s="68"/>
      <c r="O203" s="76"/>
      <c r="P203" s="83"/>
      <c r="Q203" s="64"/>
      <c r="R203" s="65"/>
      <c r="S203" s="99"/>
      <c r="T203" s="70"/>
      <c r="U203" s="99"/>
      <c r="V203" s="70"/>
      <c r="W203" s="74"/>
      <c r="X203" s="62"/>
      <c r="Y203" s="63"/>
      <c r="Z203" s="75"/>
      <c r="AA203" s="74" t="s">
        <v>18089</v>
      </c>
      <c r="AB203" s="62"/>
      <c r="AC203" s="63"/>
      <c r="AD203" s="75"/>
      <c r="AE203" s="228">
        <f>ROUND((ROUND((ROUND((_15_同援日１．５*_15・通訳),0)*(1+_15・A深夜)),0)*(1+_15・区３)),0)+ROUND((ROUND((ROUND((_15_同援日１．５＿０．５*_15・通訳),0)*(1+_15・B早朝)),0)*(1+_15・区３)),0)+ROUND((ROUND((_15_同援日１．５＿０．５＿１．０*_15・通訳),0)*(1+_15・区３)),0)</f>
        <v>907</v>
      </c>
      <c r="AF203" s="69"/>
    </row>
    <row r="204" spans="1:32" ht="16.5" customHeight="1" x14ac:dyDescent="0.3">
      <c r="A204" s="2">
        <v>15</v>
      </c>
      <c r="B204" s="2" t="s">
        <v>4824</v>
      </c>
      <c r="C204" s="60" t="s">
        <v>15076</v>
      </c>
      <c r="D204" s="1"/>
      <c r="E204" s="68"/>
      <c r="F204" s="70"/>
      <c r="G204" s="1"/>
      <c r="H204" s="68"/>
      <c r="I204" s="70"/>
      <c r="J204" s="1"/>
      <c r="K204" s="68"/>
      <c r="L204" s="70"/>
      <c r="M204" s="67"/>
      <c r="N204" s="68"/>
      <c r="O204" s="76"/>
      <c r="P204" s="83" t="s">
        <v>5895</v>
      </c>
      <c r="Q204" s="64" t="s">
        <v>1</v>
      </c>
      <c r="R204" s="65">
        <v>1</v>
      </c>
      <c r="S204" s="99"/>
      <c r="T204" s="70"/>
      <c r="U204" s="99"/>
      <c r="V204" s="70"/>
      <c r="W204" s="81"/>
      <c r="X204" s="57"/>
      <c r="Y204" s="58"/>
      <c r="Z204" s="77"/>
      <c r="AA204" s="1" t="s">
        <v>18084</v>
      </c>
      <c r="AB204" s="68"/>
      <c r="AC204" s="76"/>
      <c r="AD204" s="70"/>
      <c r="AE204" s="228">
        <f>ROUND((ROUND((ROUND((ROUND((_15_同援日１．５*_15・通訳),0)*_15・２人),0)*(1+_15・A深夜)),0)*(1+_15・区３)),0)+ROUND((ROUND((ROUND((ROUND((_15_同援日１．５＿０．５*_15・通訳),0)*_15・２人),0)*(1+_15・B早朝)),0)*(1+_15・区３)),0)+ROUND((ROUND((ROUND((_15_同援日１．５＿０．５＿１．０*_15・通訳),0)*_15・２人),0)*(1+_15・区３)),0)</f>
        <v>907</v>
      </c>
      <c r="AF204" s="69"/>
    </row>
    <row r="205" spans="1:32" ht="16.5" customHeight="1" x14ac:dyDescent="0.3">
      <c r="A205" s="2">
        <v>15</v>
      </c>
      <c r="B205" s="2" t="s">
        <v>4825</v>
      </c>
      <c r="C205" s="60" t="s">
        <v>15075</v>
      </c>
      <c r="D205" s="1"/>
      <c r="E205" s="68"/>
      <c r="F205" s="70"/>
      <c r="G205" s="1"/>
      <c r="H205" s="68"/>
      <c r="I205" s="70"/>
      <c r="J205" s="1"/>
      <c r="K205" s="68"/>
      <c r="L205" s="70"/>
      <c r="M205" s="67"/>
      <c r="N205" s="68"/>
      <c r="O205" s="76"/>
      <c r="P205" s="83"/>
      <c r="Q205" s="64"/>
      <c r="R205" s="65"/>
      <c r="S205" s="99"/>
      <c r="T205" s="70"/>
      <c r="U205" s="99"/>
      <c r="V205" s="70"/>
      <c r="W205" s="74" t="s">
        <v>18087</v>
      </c>
      <c r="X205" s="62"/>
      <c r="Y205" s="63"/>
      <c r="Z205" s="75"/>
      <c r="AA205" s="1"/>
      <c r="AB205" s="68" t="s">
        <v>1</v>
      </c>
      <c r="AC205" s="76">
        <v>0.2</v>
      </c>
      <c r="AD205" s="70" t="s">
        <v>422</v>
      </c>
      <c r="AE205" s="228">
        <f>ROUND((ROUND((ROUND((ROUND((_15_同援日１．５*_15・通訳),0)*(1+_15・A深夜)),0)*(1+_15・盲ろう)),0)*(1+_15・区３)),0)+ROUND((ROUND((ROUND((ROUND((_15_同援日１．５＿０．５*_15・通訳),0)*(1+_15・B早朝)),0)*(1+_15・盲ろう)),0)*(1+_15・区３)),0)+ROUND((ROUND((ROUND((_15_同援日１．５＿０．５＿１．０*_15・通訳),0)*(1+_15・盲ろう)),0)*(1+_15・区３)),0)</f>
        <v>1131</v>
      </c>
      <c r="AF205" s="69"/>
    </row>
    <row r="206" spans="1:32" ht="16.5" customHeight="1" x14ac:dyDescent="0.3">
      <c r="A206" s="2">
        <v>15</v>
      </c>
      <c r="B206" s="2" t="s">
        <v>4826</v>
      </c>
      <c r="C206" s="60" t="s">
        <v>15074</v>
      </c>
      <c r="D206" s="1"/>
      <c r="E206" s="68"/>
      <c r="F206" s="70"/>
      <c r="G206" s="1"/>
      <c r="H206" s="68"/>
      <c r="I206" s="70"/>
      <c r="J206" s="1"/>
      <c r="K206" s="68"/>
      <c r="L206" s="70"/>
      <c r="M206" s="67"/>
      <c r="N206" s="68"/>
      <c r="O206" s="76"/>
      <c r="P206" s="83" t="s">
        <v>5895</v>
      </c>
      <c r="Q206" s="64" t="s">
        <v>1</v>
      </c>
      <c r="R206" s="65">
        <v>1</v>
      </c>
      <c r="S206" s="99"/>
      <c r="T206" s="70"/>
      <c r="U206" s="99"/>
      <c r="V206" s="70"/>
      <c r="W206" s="81" t="s">
        <v>8083</v>
      </c>
      <c r="X206" s="57" t="s">
        <v>1</v>
      </c>
      <c r="Y206" s="58">
        <v>0.25</v>
      </c>
      <c r="Z206" s="77" t="s">
        <v>422</v>
      </c>
      <c r="AA206" s="81"/>
      <c r="AB206" s="57"/>
      <c r="AC206" s="58"/>
      <c r="AD206" s="77"/>
      <c r="AE206" s="228">
        <f>ROUND((ROUND((ROUND((ROUND((ROUND((_15_同援日１．５*_15・通訳),0)*_15・２人),0)*(1+_15・A深夜)),0)*(1+_15・盲ろう)),0)*(1+_15・区３)),0)+ROUND((ROUND((ROUND((ROUND((ROUND((_15_同援日１．５＿０．５*_15・通訳),0)*_15・２人),0)*(1+_15・B早朝)),0)*(1+_15・盲ろう)),0)*(1+_15・区３)),0)+ROUND((ROUND((ROUND((ROUND((_15_同援日１．５＿０．５＿１．０*_15・通訳),0)*_15・２人),0)*(1+_15・盲ろう)),0)*(1+_15・区３)),0)</f>
        <v>1131</v>
      </c>
      <c r="AF206" s="69"/>
    </row>
    <row r="207" spans="1:32" ht="16.5" customHeight="1" x14ac:dyDescent="0.3">
      <c r="A207" s="2">
        <v>15</v>
      </c>
      <c r="B207" s="2" t="s">
        <v>4827</v>
      </c>
      <c r="C207" s="60" t="s">
        <v>15073</v>
      </c>
      <c r="D207" s="1"/>
      <c r="E207" s="68"/>
      <c r="F207" s="70"/>
      <c r="G207" s="1"/>
      <c r="H207" s="68"/>
      <c r="I207" s="70"/>
      <c r="J207" s="1"/>
      <c r="K207" s="68"/>
      <c r="L207" s="70"/>
      <c r="M207" s="67"/>
      <c r="N207" s="68"/>
      <c r="O207" s="76"/>
      <c r="P207" s="83"/>
      <c r="Q207" s="64"/>
      <c r="R207" s="65"/>
      <c r="S207" s="99"/>
      <c r="T207" s="70"/>
      <c r="U207" s="99"/>
      <c r="V207" s="70"/>
      <c r="W207" s="74"/>
      <c r="X207" s="62"/>
      <c r="Y207" s="63"/>
      <c r="Z207" s="75"/>
      <c r="AA207" s="74" t="s">
        <v>18094</v>
      </c>
      <c r="AB207" s="62"/>
      <c r="AC207" s="63"/>
      <c r="AD207" s="75"/>
      <c r="AE207" s="228">
        <f>ROUND((ROUND((ROUND((_15_同援日１．５*_15・通訳),0)*(1+_15・A深夜)),0)*(1+_15・区４)),0)+ROUND((ROUND((ROUND((_15_同援日１．５＿０．５*_15・通訳),0)*(1+_15・B早朝)),0)*(1+_15・区４)),0)+ROUND((ROUND((_15_同援日１．５＿０．５＿１．０*_15・通訳),0)*(1+_15・区４)),0)</f>
        <v>1057</v>
      </c>
      <c r="AF207" s="69"/>
    </row>
    <row r="208" spans="1:32" ht="16.5" customHeight="1" x14ac:dyDescent="0.3">
      <c r="A208" s="2">
        <v>15</v>
      </c>
      <c r="B208" s="2" t="s">
        <v>4828</v>
      </c>
      <c r="C208" s="60" t="s">
        <v>15072</v>
      </c>
      <c r="D208" s="1"/>
      <c r="E208" s="68"/>
      <c r="F208" s="70"/>
      <c r="G208" s="1"/>
      <c r="H208" s="68"/>
      <c r="I208" s="70"/>
      <c r="J208" s="1"/>
      <c r="K208" s="68"/>
      <c r="L208" s="70"/>
      <c r="M208" s="67"/>
      <c r="N208" s="68"/>
      <c r="O208" s="76"/>
      <c r="P208" s="83" t="s">
        <v>5895</v>
      </c>
      <c r="Q208" s="64" t="s">
        <v>1</v>
      </c>
      <c r="R208" s="65">
        <v>1</v>
      </c>
      <c r="S208" s="99"/>
      <c r="T208" s="70"/>
      <c r="U208" s="99"/>
      <c r="V208" s="70"/>
      <c r="W208" s="81"/>
      <c r="X208" s="57"/>
      <c r="Y208" s="58"/>
      <c r="Z208" s="77"/>
      <c r="AA208" s="1" t="s">
        <v>8087</v>
      </c>
      <c r="AB208" s="68"/>
      <c r="AC208" s="76"/>
      <c r="AD208" s="70"/>
      <c r="AE208" s="228">
        <f>ROUND((ROUND((ROUND((ROUND((_15_同援日１．５*_15・通訳),0)*_15・２人),0)*(1+_15・A深夜)),0)*(1+_15・区４)),0)+ROUND((ROUND((ROUND((ROUND((_15_同援日１．５＿０．５*_15・通訳),0)*_15・２人),0)*(1+_15・B早朝)),0)*(1+_15・区４)),0)+ROUND((ROUND((ROUND((_15_同援日１．５＿０．５＿１．０*_15・通訳),0)*_15・２人),0)*(1+_15・区４)),0)</f>
        <v>1057</v>
      </c>
      <c r="AF208" s="69"/>
    </row>
    <row r="209" spans="1:32" ht="16.5" customHeight="1" x14ac:dyDescent="0.3">
      <c r="A209" s="2">
        <v>15</v>
      </c>
      <c r="B209" s="2" t="s">
        <v>4829</v>
      </c>
      <c r="C209" s="60" t="s">
        <v>15071</v>
      </c>
      <c r="D209" s="1"/>
      <c r="E209" s="68"/>
      <c r="F209" s="70"/>
      <c r="G209" s="1"/>
      <c r="H209" s="68"/>
      <c r="I209" s="70"/>
      <c r="J209" s="1"/>
      <c r="K209" s="68"/>
      <c r="L209" s="70"/>
      <c r="M209" s="67"/>
      <c r="N209" s="68"/>
      <c r="O209" s="76"/>
      <c r="P209" s="83"/>
      <c r="Q209" s="64"/>
      <c r="R209" s="65"/>
      <c r="S209" s="99"/>
      <c r="T209" s="70"/>
      <c r="U209" s="99"/>
      <c r="V209" s="70"/>
      <c r="W209" s="74" t="s">
        <v>18087</v>
      </c>
      <c r="X209" s="62"/>
      <c r="Y209" s="63"/>
      <c r="Z209" s="75"/>
      <c r="AA209" s="1"/>
      <c r="AB209" s="68" t="s">
        <v>1</v>
      </c>
      <c r="AC209" s="76">
        <v>0.4</v>
      </c>
      <c r="AD209" s="70" t="s">
        <v>422</v>
      </c>
      <c r="AE209" s="228">
        <f>ROUND((ROUND((ROUND((ROUND((_15_同援日１．５*_15・通訳),0)*(1+_15・A深夜)),0)*(1+_15・盲ろう)),0)*(1+_15・区４)),0)+ROUND((ROUND((ROUND((ROUND((_15_同援日１．５＿０．５*_15・通訳),0)*(1+_15・B早朝)),0)*(1+_15・盲ろう)),0)*(1+_15・区４)),0)+ROUND((ROUND((ROUND((_15_同援日１．５＿０．５＿１．０*_15・通訳),0)*(1+_15・盲ろう)),0)*(1+_15・区４)),0)</f>
        <v>1319</v>
      </c>
      <c r="AF209" s="69"/>
    </row>
    <row r="210" spans="1:32" ht="16.5" customHeight="1" x14ac:dyDescent="0.3">
      <c r="A210" s="2">
        <v>15</v>
      </c>
      <c r="B210" s="2" t="s">
        <v>4830</v>
      </c>
      <c r="C210" s="60" t="s">
        <v>15070</v>
      </c>
      <c r="D210" s="1"/>
      <c r="E210" s="68"/>
      <c r="F210" s="70"/>
      <c r="G210" s="81"/>
      <c r="H210" s="57"/>
      <c r="I210" s="77"/>
      <c r="J210" s="81"/>
      <c r="K210" s="57"/>
      <c r="L210" s="77"/>
      <c r="M210" s="67"/>
      <c r="N210" s="68"/>
      <c r="O210" s="76"/>
      <c r="P210" s="83" t="s">
        <v>5895</v>
      </c>
      <c r="Q210" s="64" t="s">
        <v>1</v>
      </c>
      <c r="R210" s="65">
        <v>1</v>
      </c>
      <c r="S210" s="99"/>
      <c r="T210" s="70"/>
      <c r="U210" s="99"/>
      <c r="V210" s="70"/>
      <c r="W210" s="81" t="s">
        <v>18086</v>
      </c>
      <c r="X210" s="57" t="s">
        <v>1</v>
      </c>
      <c r="Y210" s="58">
        <v>0.25</v>
      </c>
      <c r="Z210" s="77" t="s">
        <v>422</v>
      </c>
      <c r="AA210" s="81"/>
      <c r="AB210" s="57"/>
      <c r="AC210" s="58"/>
      <c r="AD210" s="77"/>
      <c r="AE210" s="228">
        <f>ROUND((ROUND((ROUND((ROUND((ROUND((_15_同援日１．５*_15・通訳),0)*_15・２人),0)*(1+_15・A深夜)),0)*(1+_15・盲ろう)),0)*(1+_15・区４)),0)+ROUND((ROUND((ROUND((ROUND((ROUND((_15_同援日１．５＿０．５*_15・通訳),0)*_15・２人),0)*(1+_15・B早朝)),0)*(1+_15・盲ろう)),0)*(1+_15・区４)),0)+ROUND((ROUND((ROUND((ROUND((_15_同援日１．５＿０．５＿１．０*_15・通訳),0)*_15・２人),0)*(1+_15・盲ろう)),0)*(1+_15・区４)),0)</f>
        <v>1319</v>
      </c>
      <c r="AF210" s="69"/>
    </row>
    <row r="211" spans="1:32" ht="16.5" customHeight="1" x14ac:dyDescent="0.3">
      <c r="A211" s="2">
        <v>15</v>
      </c>
      <c r="B211" s="2" t="s">
        <v>4831</v>
      </c>
      <c r="C211" s="60" t="s">
        <v>15069</v>
      </c>
      <c r="D211" s="1"/>
      <c r="E211" s="68"/>
      <c r="F211" s="70"/>
      <c r="G211" s="233" t="s">
        <v>18357</v>
      </c>
      <c r="H211" s="62"/>
      <c r="I211" s="75"/>
      <c r="J211" s="74" t="s">
        <v>17105</v>
      </c>
      <c r="K211" s="62"/>
      <c r="L211" s="75"/>
      <c r="M211" s="67"/>
      <c r="N211" s="68"/>
      <c r="O211" s="76"/>
      <c r="P211" s="83"/>
      <c r="Q211" s="64"/>
      <c r="R211" s="65"/>
      <c r="S211" s="99"/>
      <c r="T211" s="70"/>
      <c r="U211" s="99"/>
      <c r="V211" s="70"/>
      <c r="W211" s="74"/>
      <c r="X211" s="62"/>
      <c r="Y211" s="63"/>
      <c r="Z211" s="75"/>
      <c r="AA211" s="74"/>
      <c r="AB211" s="62"/>
      <c r="AC211" s="63"/>
      <c r="AD211" s="75"/>
      <c r="AE211" s="228">
        <f>ROUND((ROUND((_15_同援日１．５*_15・通訳),0)*(1+_15・A深夜)),0)+ROUND((ROUND((_15_同援日１．５＿１．０*_15・通訳),0)*(1+_15・B早朝)),0)+ROUND((_15_同援日１．５＿１．０＿０．５*_15・通訳),0)</f>
        <v>769</v>
      </c>
      <c r="AF211" s="69"/>
    </row>
    <row r="212" spans="1:32" ht="16.5" customHeight="1" x14ac:dyDescent="0.3">
      <c r="A212" s="2">
        <v>15</v>
      </c>
      <c r="B212" s="2" t="s">
        <v>4832</v>
      </c>
      <c r="C212" s="60" t="s">
        <v>15068</v>
      </c>
      <c r="D212" s="1"/>
      <c r="E212" s="68"/>
      <c r="F212" s="70"/>
      <c r="G212" s="1" t="s">
        <v>17067</v>
      </c>
      <c r="H212" s="68"/>
      <c r="I212" s="70"/>
      <c r="J212" s="1" t="s">
        <v>7928</v>
      </c>
      <c r="K212" s="68"/>
      <c r="L212" s="70"/>
      <c r="M212" s="67"/>
      <c r="N212" s="68"/>
      <c r="O212" s="76"/>
      <c r="P212" s="83" t="s">
        <v>5895</v>
      </c>
      <c r="Q212" s="64" t="s">
        <v>1</v>
      </c>
      <c r="R212" s="65">
        <v>1</v>
      </c>
      <c r="S212" s="99"/>
      <c r="T212" s="70"/>
      <c r="U212" s="99"/>
      <c r="V212" s="70"/>
      <c r="W212" s="81"/>
      <c r="X212" s="57"/>
      <c r="Y212" s="58"/>
      <c r="Z212" s="77"/>
      <c r="AA212" s="1"/>
      <c r="AB212" s="68"/>
      <c r="AC212" s="76"/>
      <c r="AD212" s="70"/>
      <c r="AE212" s="228">
        <f>ROUND((ROUND((ROUND((_15_同援日１．５*_15・通訳),0)*_15・２人),0)*(1+_15・A深夜)),0)+ROUND((ROUND((ROUND((_15_同援日１．５＿１．０*_15・通訳),0)*_15・２人),0)*(1+_15・B早朝)),0)+ROUND((ROUND((_15_同援日１．５＿１．０＿０．５*_15・通訳),0)*_15・２人),0)</f>
        <v>769</v>
      </c>
      <c r="AF212" s="69"/>
    </row>
    <row r="213" spans="1:32" ht="16.5" customHeight="1" x14ac:dyDescent="0.3">
      <c r="A213" s="2">
        <v>15</v>
      </c>
      <c r="B213" s="2" t="s">
        <v>4833</v>
      </c>
      <c r="C213" s="60" t="s">
        <v>15067</v>
      </c>
      <c r="D213" s="1"/>
      <c r="E213" s="68"/>
      <c r="F213" s="70"/>
      <c r="G213" s="1" t="s">
        <v>8572</v>
      </c>
      <c r="H213" s="68"/>
      <c r="I213" s="70"/>
      <c r="J213" s="1"/>
      <c r="K213" s="68"/>
      <c r="L213" s="70"/>
      <c r="M213" s="67"/>
      <c r="N213" s="68"/>
      <c r="O213" s="76"/>
      <c r="P213" s="83"/>
      <c r="Q213" s="64"/>
      <c r="R213" s="65"/>
      <c r="S213" s="99"/>
      <c r="T213" s="70"/>
      <c r="U213" s="99"/>
      <c r="V213" s="70"/>
      <c r="W213" s="74" t="s">
        <v>8085</v>
      </c>
      <c r="X213" s="62"/>
      <c r="Y213" s="63"/>
      <c r="Z213" s="75"/>
      <c r="AA213" s="1"/>
      <c r="AB213" s="68"/>
      <c r="AC213" s="76"/>
      <c r="AD213" s="70"/>
      <c r="AE213" s="228">
        <f>ROUND((ROUND((ROUND((_15_同援日１．５*_15・通訳),0)*(1+_15・A深夜)),0)*(1+_15・盲ろう)),0)+ROUND((ROUND((ROUND((_15_同援日１．５＿１．０*_15・通訳),0)*(1+_15・B早朝)),0)*(1+_15・盲ろう)),0)+ROUND((ROUND((_15_同援日１．５＿１．０＿０．５*_15・通訳),0)*(1+_15・盲ろう)),0)</f>
        <v>961</v>
      </c>
      <c r="AF213" s="69"/>
    </row>
    <row r="214" spans="1:32" ht="16.5" customHeight="1" x14ac:dyDescent="0.3">
      <c r="A214" s="2">
        <v>15</v>
      </c>
      <c r="B214" s="2" t="s">
        <v>4834</v>
      </c>
      <c r="C214" s="60" t="s">
        <v>15066</v>
      </c>
      <c r="D214" s="1"/>
      <c r="E214" s="68"/>
      <c r="F214" s="70"/>
      <c r="G214" s="1"/>
      <c r="H214" s="227">
        <v>127</v>
      </c>
      <c r="I214" s="70" t="s">
        <v>0</v>
      </c>
      <c r="J214" s="1"/>
      <c r="K214" s="227">
        <v>63</v>
      </c>
      <c r="L214" s="70" t="s">
        <v>0</v>
      </c>
      <c r="M214" s="67"/>
      <c r="N214" s="68"/>
      <c r="O214" s="76"/>
      <c r="P214" s="83" t="s">
        <v>5895</v>
      </c>
      <c r="Q214" s="64" t="s">
        <v>1</v>
      </c>
      <c r="R214" s="65">
        <v>1</v>
      </c>
      <c r="S214" s="99"/>
      <c r="T214" s="70"/>
      <c r="U214" s="99"/>
      <c r="V214" s="70"/>
      <c r="W214" s="81" t="s">
        <v>18086</v>
      </c>
      <c r="X214" s="57" t="s">
        <v>1</v>
      </c>
      <c r="Y214" s="58">
        <v>0.25</v>
      </c>
      <c r="Z214" s="77" t="s">
        <v>422</v>
      </c>
      <c r="AA214" s="81"/>
      <c r="AB214" s="57"/>
      <c r="AC214" s="58"/>
      <c r="AD214" s="77"/>
      <c r="AE214" s="228">
        <f>ROUND((ROUND((ROUND((ROUND((_15_同援日１．５*_15・通訳),0)*_15・２人),0)*(1+_15・A深夜)),0)*(1+_15・盲ろう)),0)+ROUND((ROUND((ROUND((ROUND((_15_同援日１．５＿１．０*_15・通訳),0)*_15・２人),0)*(1+_15・B早朝)),0)*(1+_15・盲ろう)),0)+ROUND((ROUND((ROUND((_15_同援日１．５＿１．０＿０．５*_15・通訳),0)*_15・２人),0)*(1+_15・盲ろう)),0)</f>
        <v>961</v>
      </c>
      <c r="AF214" s="69"/>
    </row>
    <row r="215" spans="1:32" ht="16.5" customHeight="1" x14ac:dyDescent="0.3">
      <c r="A215" s="2">
        <v>15</v>
      </c>
      <c r="B215" s="2" t="s">
        <v>4835</v>
      </c>
      <c r="C215" s="60" t="s">
        <v>15065</v>
      </c>
      <c r="D215" s="1"/>
      <c r="E215" s="68"/>
      <c r="F215" s="70"/>
      <c r="G215" s="1"/>
      <c r="H215" s="68"/>
      <c r="I215" s="70"/>
      <c r="J215" s="1"/>
      <c r="K215" s="68"/>
      <c r="L215" s="70"/>
      <c r="M215" s="67"/>
      <c r="N215" s="68"/>
      <c r="O215" s="76"/>
      <c r="P215" s="83"/>
      <c r="Q215" s="64"/>
      <c r="R215" s="65"/>
      <c r="S215" s="99"/>
      <c r="T215" s="70"/>
      <c r="U215" s="99"/>
      <c r="V215" s="70"/>
      <c r="W215" s="74"/>
      <c r="X215" s="62"/>
      <c r="Y215" s="63"/>
      <c r="Z215" s="75"/>
      <c r="AA215" s="74" t="s">
        <v>18089</v>
      </c>
      <c r="AB215" s="62"/>
      <c r="AC215" s="63"/>
      <c r="AD215" s="75"/>
      <c r="AE215" s="228">
        <f>ROUND((ROUND((ROUND((_15_同援日１．５*_15・通訳),0)*(1+_15・A深夜)),0)*(1+_15・区３)),0)+ROUND((ROUND((ROUND((_15_同援日１．５＿１．０*_15・通訳),0)*(1+_15・B早朝)),0)*(1+_15・区３)),0)+ROUND((ROUND((_15_同援日１．５＿１．０＿０．５*_15・通訳),0)*(1+_15・区３)),0)</f>
        <v>923</v>
      </c>
      <c r="AF215" s="69"/>
    </row>
    <row r="216" spans="1:32" ht="16.5" customHeight="1" x14ac:dyDescent="0.3">
      <c r="A216" s="2">
        <v>15</v>
      </c>
      <c r="B216" s="2" t="s">
        <v>4836</v>
      </c>
      <c r="C216" s="60" t="s">
        <v>15064</v>
      </c>
      <c r="D216" s="1"/>
      <c r="E216" s="68"/>
      <c r="F216" s="70"/>
      <c r="G216" s="1"/>
      <c r="H216" s="68"/>
      <c r="I216" s="70"/>
      <c r="J216" s="1"/>
      <c r="K216" s="68"/>
      <c r="L216" s="70"/>
      <c r="M216" s="67"/>
      <c r="N216" s="68"/>
      <c r="O216" s="76"/>
      <c r="P216" s="83" t="s">
        <v>5895</v>
      </c>
      <c r="Q216" s="64" t="s">
        <v>1</v>
      </c>
      <c r="R216" s="65">
        <v>1</v>
      </c>
      <c r="S216" s="99"/>
      <c r="T216" s="70"/>
      <c r="U216" s="99"/>
      <c r="V216" s="70"/>
      <c r="W216" s="81"/>
      <c r="X216" s="57"/>
      <c r="Y216" s="58"/>
      <c r="Z216" s="77"/>
      <c r="AA216" s="1" t="s">
        <v>18084</v>
      </c>
      <c r="AB216" s="68"/>
      <c r="AC216" s="76"/>
      <c r="AD216" s="70"/>
      <c r="AE216" s="228">
        <f>ROUND((ROUND((ROUND((ROUND((_15_同援日１．５*_15・通訳),0)*_15・２人),0)*(1+_15・A深夜)),0)*(1+_15・区３)),0)+ROUND((ROUND((ROUND((ROUND((_15_同援日１．５＿１．０*_15・通訳),0)*_15・２人),0)*(1+_15・B早朝)),0)*(1+_15・区３)),0)+ROUND((ROUND((ROUND((_15_同援日１．５＿１．０＿０．５*_15・通訳),0)*_15・２人),0)*(1+_15・区３)),0)</f>
        <v>923</v>
      </c>
      <c r="AF216" s="69"/>
    </row>
    <row r="217" spans="1:32" ht="16.5" customHeight="1" x14ac:dyDescent="0.3">
      <c r="A217" s="2">
        <v>15</v>
      </c>
      <c r="B217" s="2" t="s">
        <v>4837</v>
      </c>
      <c r="C217" s="60" t="s">
        <v>15063</v>
      </c>
      <c r="D217" s="1"/>
      <c r="E217" s="68"/>
      <c r="F217" s="70"/>
      <c r="G217" s="1"/>
      <c r="H217" s="68"/>
      <c r="I217" s="70"/>
      <c r="J217" s="1"/>
      <c r="K217" s="68"/>
      <c r="L217" s="70"/>
      <c r="M217" s="67"/>
      <c r="N217" s="68"/>
      <c r="O217" s="76"/>
      <c r="P217" s="83"/>
      <c r="Q217" s="64"/>
      <c r="R217" s="65"/>
      <c r="S217" s="99"/>
      <c r="T217" s="70"/>
      <c r="U217" s="99"/>
      <c r="V217" s="70"/>
      <c r="W217" s="74" t="s">
        <v>18087</v>
      </c>
      <c r="X217" s="62"/>
      <c r="Y217" s="63"/>
      <c r="Z217" s="75"/>
      <c r="AA217" s="1"/>
      <c r="AB217" s="68" t="s">
        <v>1</v>
      </c>
      <c r="AC217" s="76">
        <v>0.2</v>
      </c>
      <c r="AD217" s="70" t="s">
        <v>422</v>
      </c>
      <c r="AE217" s="228">
        <f>ROUND((ROUND((ROUND((ROUND((_15_同援日１．５*_15・通訳),0)*(1+_15・A深夜)),0)*(1+_15・盲ろう)),0)*(1+_15・区３)),0)+ROUND((ROUND((ROUND((ROUND((_15_同援日１．５＿１．０*_15・通訳),0)*(1+_15・B早朝)),0)*(1+_15・盲ろう)),0)*(1+_15・区３)),0)+ROUND((ROUND((ROUND((_15_同援日１．５＿１．０＿０．５*_15・通訳),0)*(1+_15・盲ろう)),0)*(1+_15・区３)),0)</f>
        <v>1153</v>
      </c>
      <c r="AF217" s="69"/>
    </row>
    <row r="218" spans="1:32" ht="16.5" customHeight="1" x14ac:dyDescent="0.3">
      <c r="A218" s="2">
        <v>15</v>
      </c>
      <c r="B218" s="2" t="s">
        <v>4838</v>
      </c>
      <c r="C218" s="60" t="s">
        <v>15062</v>
      </c>
      <c r="D218" s="1"/>
      <c r="E218" s="68"/>
      <c r="F218" s="70"/>
      <c r="G218" s="1"/>
      <c r="H218" s="68"/>
      <c r="I218" s="70"/>
      <c r="J218" s="1"/>
      <c r="K218" s="68"/>
      <c r="L218" s="70"/>
      <c r="M218" s="67"/>
      <c r="N218" s="68"/>
      <c r="O218" s="76"/>
      <c r="P218" s="83" t="s">
        <v>5895</v>
      </c>
      <c r="Q218" s="64" t="s">
        <v>1</v>
      </c>
      <c r="R218" s="65">
        <v>1</v>
      </c>
      <c r="S218" s="99"/>
      <c r="T218" s="70"/>
      <c r="U218" s="99"/>
      <c r="V218" s="70"/>
      <c r="W218" s="81" t="s">
        <v>18086</v>
      </c>
      <c r="X218" s="57" t="s">
        <v>1</v>
      </c>
      <c r="Y218" s="58">
        <v>0.25</v>
      </c>
      <c r="Z218" s="77" t="s">
        <v>422</v>
      </c>
      <c r="AA218" s="81"/>
      <c r="AB218" s="57"/>
      <c r="AC218" s="58"/>
      <c r="AD218" s="77"/>
      <c r="AE218" s="228">
        <f>ROUND((ROUND((ROUND((ROUND((ROUND((_15_同援日１．５*_15・通訳),0)*_15・２人),0)*(1+_15・A深夜)),0)*(1+_15・盲ろう)),0)*(1+_15・区３)),0)+ROUND((ROUND((ROUND((ROUND((ROUND((_15_同援日１．５＿１．０*_15・通訳),0)*_15・２人),0)*(1+_15・B早朝)),0)*(1+_15・盲ろう)),0)*(1+_15・区３)),0)+ROUND((ROUND((ROUND((ROUND((_15_同援日１．５＿１．０＿０．５*_15・通訳),0)*_15・２人),0)*(1+_15・盲ろう)),0)*(1+_15・区３)),0)</f>
        <v>1153</v>
      </c>
      <c r="AF218" s="69"/>
    </row>
    <row r="219" spans="1:32" ht="16.5" customHeight="1" x14ac:dyDescent="0.3">
      <c r="A219" s="2">
        <v>15</v>
      </c>
      <c r="B219" s="2" t="s">
        <v>4839</v>
      </c>
      <c r="C219" s="60" t="s">
        <v>15061</v>
      </c>
      <c r="D219" s="1"/>
      <c r="E219" s="68"/>
      <c r="F219" s="70"/>
      <c r="G219" s="1"/>
      <c r="H219" s="68"/>
      <c r="I219" s="70"/>
      <c r="J219" s="1"/>
      <c r="K219" s="68"/>
      <c r="L219" s="70"/>
      <c r="M219" s="67"/>
      <c r="N219" s="68"/>
      <c r="O219" s="76"/>
      <c r="P219" s="83"/>
      <c r="Q219" s="64"/>
      <c r="R219" s="65"/>
      <c r="S219" s="99"/>
      <c r="T219" s="70"/>
      <c r="U219" s="99"/>
      <c r="V219" s="70"/>
      <c r="W219" s="74"/>
      <c r="X219" s="62"/>
      <c r="Y219" s="63"/>
      <c r="Z219" s="75"/>
      <c r="AA219" s="74" t="s">
        <v>18094</v>
      </c>
      <c r="AB219" s="62"/>
      <c r="AC219" s="63"/>
      <c r="AD219" s="75"/>
      <c r="AE219" s="228">
        <f>ROUND((ROUND((ROUND((_15_同援日１．５*_15・通訳),0)*(1+_15・A深夜)),0)*(1+_15・区４)),0)+ROUND((ROUND((ROUND((_15_同援日１．５＿１．０*_15・通訳),0)*(1+_15・B早朝)),0)*(1+_15・区４)),0)+ROUND((ROUND((_15_同援日１．５＿１．０＿０．５*_15・通訳),0)*(1+_15・区４)),0)</f>
        <v>1077</v>
      </c>
      <c r="AF219" s="69"/>
    </row>
    <row r="220" spans="1:32" ht="16.5" customHeight="1" x14ac:dyDescent="0.3">
      <c r="A220" s="2">
        <v>15</v>
      </c>
      <c r="B220" s="2" t="s">
        <v>4840</v>
      </c>
      <c r="C220" s="60" t="s">
        <v>15060</v>
      </c>
      <c r="D220" s="1"/>
      <c r="E220" s="68"/>
      <c r="F220" s="70"/>
      <c r="G220" s="1"/>
      <c r="H220" s="68"/>
      <c r="I220" s="70"/>
      <c r="J220" s="1"/>
      <c r="K220" s="68"/>
      <c r="L220" s="70"/>
      <c r="M220" s="67"/>
      <c r="N220" s="68"/>
      <c r="O220" s="76"/>
      <c r="P220" s="83" t="s">
        <v>5895</v>
      </c>
      <c r="Q220" s="64" t="s">
        <v>1</v>
      </c>
      <c r="R220" s="65">
        <v>1</v>
      </c>
      <c r="S220" s="99"/>
      <c r="T220" s="70"/>
      <c r="U220" s="99"/>
      <c r="V220" s="70"/>
      <c r="W220" s="81"/>
      <c r="X220" s="57"/>
      <c r="Y220" s="58"/>
      <c r="Z220" s="77"/>
      <c r="AA220" s="1" t="s">
        <v>18084</v>
      </c>
      <c r="AB220" s="68"/>
      <c r="AC220" s="76"/>
      <c r="AD220" s="70"/>
      <c r="AE220" s="228">
        <f>ROUND((ROUND((ROUND((ROUND((_15_同援日１．５*_15・通訳),0)*_15・２人),0)*(1+_15・A深夜)),0)*(1+_15・区４)),0)+ROUND((ROUND((ROUND((ROUND((_15_同援日１．５＿１．０*_15・通訳),0)*_15・２人),0)*(1+_15・B早朝)),0)*(1+_15・区４)),0)+ROUND((ROUND((ROUND((_15_同援日１．５＿１．０＿０．５*_15・通訳),0)*_15・２人),0)*(1+_15・区４)),0)</f>
        <v>1077</v>
      </c>
      <c r="AF220" s="69"/>
    </row>
    <row r="221" spans="1:32" ht="16.5" customHeight="1" x14ac:dyDescent="0.3">
      <c r="A221" s="2">
        <v>15</v>
      </c>
      <c r="B221" s="2" t="s">
        <v>4841</v>
      </c>
      <c r="C221" s="60" t="s">
        <v>15059</v>
      </c>
      <c r="D221" s="1"/>
      <c r="E221" s="68"/>
      <c r="F221" s="70"/>
      <c r="G221" s="1"/>
      <c r="H221" s="68"/>
      <c r="I221" s="70"/>
      <c r="J221" s="1"/>
      <c r="K221" s="68"/>
      <c r="L221" s="70"/>
      <c r="M221" s="67"/>
      <c r="N221" s="68"/>
      <c r="O221" s="76"/>
      <c r="P221" s="83"/>
      <c r="Q221" s="64"/>
      <c r="R221" s="65"/>
      <c r="S221" s="99"/>
      <c r="T221" s="70"/>
      <c r="U221" s="99"/>
      <c r="V221" s="70"/>
      <c r="W221" s="74" t="s">
        <v>18087</v>
      </c>
      <c r="X221" s="62"/>
      <c r="Y221" s="63"/>
      <c r="Z221" s="75"/>
      <c r="AA221" s="1"/>
      <c r="AB221" s="68" t="s">
        <v>1</v>
      </c>
      <c r="AC221" s="76">
        <v>0.4</v>
      </c>
      <c r="AD221" s="70" t="s">
        <v>422</v>
      </c>
      <c r="AE221" s="228">
        <f>ROUND((ROUND((ROUND((ROUND((_15_同援日１．５*_15・通訳),0)*(1+_15・A深夜)),0)*(1+_15・盲ろう)),0)*(1+_15・区４)),0)+ROUND((ROUND((ROUND((ROUND((_15_同援日１．５＿１．０*_15・通訳),0)*(1+_15・B早朝)),0)*(1+_15・盲ろう)),0)*(1+_15・区４)),0)+ROUND((ROUND((ROUND((_15_同援日１．５＿１．０＿０．５*_15・通訳),0)*(1+_15・盲ろう)),0)*(1+_15・区４)),0)</f>
        <v>1345</v>
      </c>
      <c r="AF221" s="69"/>
    </row>
    <row r="222" spans="1:32" ht="16.5" customHeight="1" x14ac:dyDescent="0.3">
      <c r="A222" s="2">
        <v>15</v>
      </c>
      <c r="B222" s="2" t="s">
        <v>4842</v>
      </c>
      <c r="C222" s="60" t="s">
        <v>15058</v>
      </c>
      <c r="D222" s="81"/>
      <c r="E222" s="57"/>
      <c r="F222" s="77"/>
      <c r="G222" s="81"/>
      <c r="H222" s="57"/>
      <c r="I222" s="77"/>
      <c r="J222" s="1"/>
      <c r="K222" s="68"/>
      <c r="L222" s="70"/>
      <c r="M222" s="67"/>
      <c r="N222" s="68"/>
      <c r="O222" s="76"/>
      <c r="P222" s="83" t="s">
        <v>5895</v>
      </c>
      <c r="Q222" s="64" t="s">
        <v>1</v>
      </c>
      <c r="R222" s="65">
        <v>1</v>
      </c>
      <c r="S222" s="99"/>
      <c r="T222" s="70"/>
      <c r="U222" s="99"/>
      <c r="V222" s="70"/>
      <c r="W222" s="81" t="s">
        <v>18086</v>
      </c>
      <c r="X222" s="57" t="s">
        <v>1</v>
      </c>
      <c r="Y222" s="58">
        <v>0.25</v>
      </c>
      <c r="Z222" s="77" t="s">
        <v>422</v>
      </c>
      <c r="AA222" s="81"/>
      <c r="AB222" s="57"/>
      <c r="AC222" s="58"/>
      <c r="AD222" s="77"/>
      <c r="AE222" s="228">
        <f>ROUND((ROUND((ROUND((ROUND((ROUND((_15_同援日１．５*_15・通訳),0)*_15・２人),0)*(1+_15・A深夜)),0)*(1+_15・盲ろう)),0)*(1+_15・区４)),0)+ROUND((ROUND((ROUND((ROUND((ROUND((_15_同援日１．５＿１．０*_15・通訳),0)*_15・２人),0)*(1+_15・B早朝)),0)*(1+_15・盲ろう)),0)*(1+_15・区４)),0)+ROUND((ROUND((ROUND((ROUND((_15_同援日１．５＿１．０＿０．５*_15・通訳),0)*_15・２人),0)*(1+_15・盲ろう)),0)*(1+_15・区４)),0)</f>
        <v>1345</v>
      </c>
      <c r="AF222" s="69"/>
    </row>
    <row r="223" spans="1:32" ht="16.5" customHeight="1" x14ac:dyDescent="0.3">
      <c r="A223" s="2">
        <v>15</v>
      </c>
      <c r="B223" s="2" t="s">
        <v>4843</v>
      </c>
      <c r="C223" s="60" t="s">
        <v>15057</v>
      </c>
      <c r="D223" s="233" t="s">
        <v>18354</v>
      </c>
      <c r="E223" s="235"/>
      <c r="F223" s="75"/>
      <c r="G223" s="233" t="s">
        <v>18316</v>
      </c>
      <c r="H223" s="62"/>
      <c r="I223" s="75"/>
      <c r="J223" s="74" t="s">
        <v>17105</v>
      </c>
      <c r="K223" s="62"/>
      <c r="L223" s="75"/>
      <c r="M223" s="67"/>
      <c r="N223" s="68"/>
      <c r="O223" s="76"/>
      <c r="P223" s="83"/>
      <c r="Q223" s="64"/>
      <c r="R223" s="65"/>
      <c r="S223" s="99"/>
      <c r="T223" s="70"/>
      <c r="U223" s="99"/>
      <c r="V223" s="70"/>
      <c r="W223" s="74"/>
      <c r="X223" s="62"/>
      <c r="Y223" s="63"/>
      <c r="Z223" s="75"/>
      <c r="AA223" s="74"/>
      <c r="AB223" s="62"/>
      <c r="AC223" s="63"/>
      <c r="AD223" s="75"/>
      <c r="AE223" s="228">
        <f>ROUND((ROUND((_15_同援日２．０*_15・通訳),0)*(1+_15・A深夜)),0)+ROUND((ROUND((_15_同援日２．０＿０．５*_15・通訳),0)*(1+_15・B早朝)),0)+ROUND((_15_同援日２．０＿０．５＿０．５*_15・通訳),0)</f>
        <v>784</v>
      </c>
      <c r="AF223" s="69"/>
    </row>
    <row r="224" spans="1:32" ht="16.5" customHeight="1" x14ac:dyDescent="0.3">
      <c r="A224" s="2">
        <v>15</v>
      </c>
      <c r="B224" s="2" t="s">
        <v>4844</v>
      </c>
      <c r="C224" s="60" t="s">
        <v>15056</v>
      </c>
      <c r="D224" s="1" t="s">
        <v>17063</v>
      </c>
      <c r="E224" s="68"/>
      <c r="F224" s="70"/>
      <c r="G224" s="1" t="s">
        <v>7928</v>
      </c>
      <c r="H224" s="68"/>
      <c r="I224" s="70"/>
      <c r="J224" s="1" t="s">
        <v>7928</v>
      </c>
      <c r="K224" s="68"/>
      <c r="L224" s="70"/>
      <c r="M224" s="67"/>
      <c r="N224" s="68"/>
      <c r="O224" s="76"/>
      <c r="P224" s="83" t="s">
        <v>5895</v>
      </c>
      <c r="Q224" s="64" t="s">
        <v>1</v>
      </c>
      <c r="R224" s="65">
        <v>1</v>
      </c>
      <c r="S224" s="99"/>
      <c r="T224" s="70"/>
      <c r="U224" s="99"/>
      <c r="V224" s="70"/>
      <c r="W224" s="81"/>
      <c r="X224" s="57"/>
      <c r="Y224" s="58"/>
      <c r="Z224" s="77"/>
      <c r="AA224" s="1"/>
      <c r="AB224" s="68"/>
      <c r="AC224" s="76"/>
      <c r="AD224" s="70"/>
      <c r="AE224" s="228">
        <f>ROUND((ROUND((ROUND((_15_同援日２．０*_15・通訳),0)*_15・２人),0)*(1+_15・A深夜)),0)+ROUND((ROUND((ROUND((_15_同援日２．０＿０．５*_15・通訳),0)*_15・２人),0)*(1+_15・B早朝)),0)+ROUND((ROUND((_15_同援日２．０＿０．５＿０．５*_15・通訳),0)*_15・２人),0)</f>
        <v>784</v>
      </c>
      <c r="AF224" s="69"/>
    </row>
    <row r="225" spans="1:32" ht="16.5" customHeight="1" x14ac:dyDescent="0.3">
      <c r="A225" s="2">
        <v>15</v>
      </c>
      <c r="B225" s="2" t="s">
        <v>4845</v>
      </c>
      <c r="C225" s="60" t="s">
        <v>15055</v>
      </c>
      <c r="D225" s="1" t="s">
        <v>6448</v>
      </c>
      <c r="E225" s="68"/>
      <c r="F225" s="70"/>
      <c r="G225" s="1"/>
      <c r="H225" s="68"/>
      <c r="I225" s="70"/>
      <c r="J225" s="1"/>
      <c r="K225" s="68"/>
      <c r="L225" s="70"/>
      <c r="M225" s="67"/>
      <c r="N225" s="68"/>
      <c r="O225" s="76"/>
      <c r="P225" s="83"/>
      <c r="Q225" s="64"/>
      <c r="R225" s="65"/>
      <c r="S225" s="99"/>
      <c r="T225" s="70"/>
      <c r="U225" s="99"/>
      <c r="V225" s="70"/>
      <c r="W225" s="74" t="s">
        <v>18087</v>
      </c>
      <c r="X225" s="62"/>
      <c r="Y225" s="63"/>
      <c r="Z225" s="75"/>
      <c r="AA225" s="1"/>
      <c r="AB225" s="68"/>
      <c r="AC225" s="76"/>
      <c r="AD225" s="70"/>
      <c r="AE225" s="120">
        <f>ROUND((ROUND((ROUND((_15_同援日２．０*_15・通訳),0)*(1+_15・A深夜)),0)*(1+_15・盲ろう)),0)+ROUND((ROUND((ROUND((_15_同援日２．０＿０．５*_15・通訳),0)*(1+_15・B早朝)),0)*(1+_15・盲ろう)),0)+ROUND((ROUND((_15_同援日２．０＿０．５＿０．５*_15・通訳),0)*(1+_15・盲ろう)),0)</f>
        <v>980</v>
      </c>
      <c r="AF225" s="69"/>
    </row>
    <row r="226" spans="1:32" ht="16.5" customHeight="1" x14ac:dyDescent="0.3">
      <c r="A226" s="2">
        <v>15</v>
      </c>
      <c r="B226" s="2" t="s">
        <v>4846</v>
      </c>
      <c r="C226" s="60" t="s">
        <v>15054</v>
      </c>
      <c r="D226" s="1"/>
      <c r="E226" s="227">
        <v>485</v>
      </c>
      <c r="F226" s="70" t="s">
        <v>0</v>
      </c>
      <c r="G226" s="1"/>
      <c r="H226" s="119">
        <v>63</v>
      </c>
      <c r="I226" s="70" t="s">
        <v>0</v>
      </c>
      <c r="J226" s="1"/>
      <c r="K226" s="227">
        <v>63</v>
      </c>
      <c r="L226" s="70" t="s">
        <v>0</v>
      </c>
      <c r="M226" s="67"/>
      <c r="N226" s="68"/>
      <c r="O226" s="76"/>
      <c r="P226" s="83" t="s">
        <v>5895</v>
      </c>
      <c r="Q226" s="64" t="s">
        <v>1</v>
      </c>
      <c r="R226" s="65">
        <v>1</v>
      </c>
      <c r="S226" s="99"/>
      <c r="T226" s="70"/>
      <c r="U226" s="99"/>
      <c r="V226" s="70"/>
      <c r="W226" s="81" t="s">
        <v>18086</v>
      </c>
      <c r="X226" s="57" t="s">
        <v>1</v>
      </c>
      <c r="Y226" s="58">
        <v>0.25</v>
      </c>
      <c r="Z226" s="77" t="s">
        <v>422</v>
      </c>
      <c r="AA226" s="81"/>
      <c r="AB226" s="57"/>
      <c r="AC226" s="58"/>
      <c r="AD226" s="77"/>
      <c r="AE226" s="120">
        <f>ROUND((ROUND((ROUND((ROUND((_15_同援日２．０*_15・通訳),0)*_15・２人),0)*(1+_15・A深夜)),0)*(1+_15・盲ろう)),0)+ROUND((ROUND((ROUND((ROUND((_15_同援日２．０＿０．５*_15・通訳),0)*_15・２人),0)*(1+_15・B早朝)),0)*(1+_15・盲ろう)),0)+ROUND((ROUND((ROUND((_15_同援日２．０＿０．５＿０．５*_15・通訳),0)*_15・２人),0)*(1+_15・盲ろう)),0)</f>
        <v>980</v>
      </c>
      <c r="AF226" s="69"/>
    </row>
    <row r="227" spans="1:32" ht="16.5" customHeight="1" x14ac:dyDescent="0.3">
      <c r="A227" s="2">
        <v>15</v>
      </c>
      <c r="B227" s="2" t="s">
        <v>4847</v>
      </c>
      <c r="C227" s="60" t="s">
        <v>15053</v>
      </c>
      <c r="D227" s="1"/>
      <c r="E227" s="68"/>
      <c r="F227" s="70"/>
      <c r="G227" s="1"/>
      <c r="H227" s="68"/>
      <c r="I227" s="70"/>
      <c r="J227" s="1"/>
      <c r="K227" s="68"/>
      <c r="L227" s="70"/>
      <c r="M227" s="67"/>
      <c r="N227" s="68"/>
      <c r="O227" s="76"/>
      <c r="P227" s="83"/>
      <c r="Q227" s="64"/>
      <c r="R227" s="65"/>
      <c r="S227" s="99"/>
      <c r="T227" s="70"/>
      <c r="U227" s="99"/>
      <c r="V227" s="70"/>
      <c r="W227" s="74"/>
      <c r="X227" s="62"/>
      <c r="Y227" s="63"/>
      <c r="Z227" s="75"/>
      <c r="AA227" s="74" t="s">
        <v>18089</v>
      </c>
      <c r="AB227" s="62"/>
      <c r="AC227" s="63"/>
      <c r="AD227" s="75"/>
      <c r="AE227" s="120">
        <f>ROUND((ROUND((ROUND((_15_同援日２．０*_15・通訳),0)*(1+_15・A深夜)),0)*(1+_15・区３)),0)+ROUND((ROUND((ROUND((_15_同援日２．０＿０．５*_15・通訳),0)*(1+_15・B早朝)),0)*(1+_15・区３)),0)+ROUND((ROUND((_15_同援日２．０＿０．５＿０．５*_15・通訳),0)*(1+_15・区３)),0)</f>
        <v>940</v>
      </c>
      <c r="AF227" s="69"/>
    </row>
    <row r="228" spans="1:32" ht="16.5" customHeight="1" x14ac:dyDescent="0.3">
      <c r="A228" s="2">
        <v>15</v>
      </c>
      <c r="B228" s="2" t="s">
        <v>4848</v>
      </c>
      <c r="C228" s="60" t="s">
        <v>15052</v>
      </c>
      <c r="D228" s="1"/>
      <c r="E228" s="68"/>
      <c r="F228" s="70"/>
      <c r="G228" s="1"/>
      <c r="H228" s="68"/>
      <c r="I228" s="70"/>
      <c r="J228" s="1"/>
      <c r="K228" s="68"/>
      <c r="L228" s="70"/>
      <c r="M228" s="67"/>
      <c r="N228" s="68"/>
      <c r="O228" s="76"/>
      <c r="P228" s="83" t="s">
        <v>5895</v>
      </c>
      <c r="Q228" s="64" t="s">
        <v>1</v>
      </c>
      <c r="R228" s="65">
        <v>1</v>
      </c>
      <c r="S228" s="99"/>
      <c r="T228" s="70"/>
      <c r="U228" s="99"/>
      <c r="V228" s="70"/>
      <c r="W228" s="81"/>
      <c r="X228" s="57"/>
      <c r="Y228" s="58"/>
      <c r="Z228" s="77"/>
      <c r="AA228" s="1" t="s">
        <v>18084</v>
      </c>
      <c r="AB228" s="68"/>
      <c r="AC228" s="76"/>
      <c r="AD228" s="70"/>
      <c r="AE228" s="120">
        <f>ROUND((ROUND((ROUND((ROUND((_15_同援日２．０*_15・通訳),0)*_15・２人),0)*(1+_15・A深夜)),0)*(1+_15・区３)),0)+ROUND((ROUND((ROUND((ROUND((_15_同援日２．０＿０．５*_15・通訳),0)*_15・２人),0)*(1+_15・B早朝)),0)*(1+_15・区３)),0)+ROUND((ROUND((ROUND((_15_同援日２．０＿０．５＿０．５*_15・通訳),0)*_15・２人),0)*(1+_15・区３)),0)</f>
        <v>940</v>
      </c>
      <c r="AF228" s="69"/>
    </row>
    <row r="229" spans="1:32" ht="16.5" customHeight="1" x14ac:dyDescent="0.3">
      <c r="A229" s="2">
        <v>15</v>
      </c>
      <c r="B229" s="2" t="s">
        <v>4849</v>
      </c>
      <c r="C229" s="60" t="s">
        <v>15051</v>
      </c>
      <c r="D229" s="1"/>
      <c r="E229" s="68"/>
      <c r="F229" s="70"/>
      <c r="G229" s="1"/>
      <c r="H229" s="68"/>
      <c r="I229" s="70"/>
      <c r="J229" s="1"/>
      <c r="K229" s="68"/>
      <c r="L229" s="70"/>
      <c r="M229" s="67"/>
      <c r="N229" s="68"/>
      <c r="O229" s="76"/>
      <c r="P229" s="83"/>
      <c r="Q229" s="64"/>
      <c r="R229" s="65"/>
      <c r="S229" s="99"/>
      <c r="T229" s="70"/>
      <c r="U229" s="99"/>
      <c r="V229" s="70"/>
      <c r="W229" s="74" t="s">
        <v>18087</v>
      </c>
      <c r="X229" s="62"/>
      <c r="Y229" s="63"/>
      <c r="Z229" s="75"/>
      <c r="AA229" s="1"/>
      <c r="AB229" s="68" t="s">
        <v>1</v>
      </c>
      <c r="AC229" s="76">
        <v>0.2</v>
      </c>
      <c r="AD229" s="70" t="s">
        <v>422</v>
      </c>
      <c r="AE229" s="228">
        <f>ROUND((ROUND((ROUND((ROUND((_15_同援日２．０*_15・通訳),0)*(1+_15・A深夜)),0)*(1+_15・盲ろう)),0)*(1+_15・区３)),0)+ROUND((ROUND((ROUND((ROUND((_15_同援日２．０＿０．５*_15・通訳),0)*(1+_15・B早朝)),0)*(1+_15・盲ろう)),0)*(1+_15・区３)),0)+ROUND((ROUND((ROUND((_15_同援日２．０＿０．５＿０．５*_15・通訳),0)*(1+_15・盲ろう)),0)*(1+_15・区３)),0)</f>
        <v>1176</v>
      </c>
      <c r="AF229" s="69"/>
    </row>
    <row r="230" spans="1:32" ht="16.5" customHeight="1" x14ac:dyDescent="0.3">
      <c r="A230" s="2">
        <v>15</v>
      </c>
      <c r="B230" s="2" t="s">
        <v>4850</v>
      </c>
      <c r="C230" s="60" t="s">
        <v>15050</v>
      </c>
      <c r="D230" s="1"/>
      <c r="E230" s="68"/>
      <c r="F230" s="70"/>
      <c r="G230" s="1"/>
      <c r="H230" s="68"/>
      <c r="I230" s="70"/>
      <c r="J230" s="1"/>
      <c r="K230" s="68"/>
      <c r="L230" s="70"/>
      <c r="M230" s="67"/>
      <c r="N230" s="68"/>
      <c r="O230" s="76"/>
      <c r="P230" s="83" t="s">
        <v>5895</v>
      </c>
      <c r="Q230" s="64" t="s">
        <v>1</v>
      </c>
      <c r="R230" s="65">
        <v>1</v>
      </c>
      <c r="S230" s="99"/>
      <c r="T230" s="70"/>
      <c r="U230" s="99"/>
      <c r="V230" s="70"/>
      <c r="W230" s="81" t="s">
        <v>18086</v>
      </c>
      <c r="X230" s="57" t="s">
        <v>1</v>
      </c>
      <c r="Y230" s="58">
        <v>0.25</v>
      </c>
      <c r="Z230" s="77" t="s">
        <v>422</v>
      </c>
      <c r="AA230" s="81"/>
      <c r="AB230" s="57"/>
      <c r="AC230" s="58"/>
      <c r="AD230" s="77"/>
      <c r="AE230" s="228">
        <f>ROUND((ROUND((ROUND((ROUND((ROUND((_15_同援日２．０*_15・通訳),0)*_15・２人),0)*(1+_15・A深夜)),0)*(1+_15・盲ろう)),0)*(1+_15・区３)),0)+ROUND((ROUND((ROUND((ROUND((ROUND((_15_同援日２．０＿０．５*_15・通訳),0)*_15・２人),0)*(1+_15・B早朝)),0)*(1+_15・盲ろう)),0)*(1+_15・区３)),0)+ROUND((ROUND((ROUND((ROUND((_15_同援日２．０＿０．５＿０．５*_15・通訳),0)*_15・２人),0)*(1+_15・盲ろう)),0)*(1+_15・区３)),0)</f>
        <v>1176</v>
      </c>
      <c r="AF230" s="69"/>
    </row>
    <row r="231" spans="1:32" ht="16.5" customHeight="1" x14ac:dyDescent="0.3">
      <c r="A231" s="2">
        <v>15</v>
      </c>
      <c r="B231" s="2" t="s">
        <v>4851</v>
      </c>
      <c r="C231" s="60" t="s">
        <v>15049</v>
      </c>
      <c r="D231" s="1"/>
      <c r="E231" s="68"/>
      <c r="F231" s="70"/>
      <c r="G231" s="1"/>
      <c r="H231" s="68"/>
      <c r="I231" s="70"/>
      <c r="J231" s="1"/>
      <c r="K231" s="68"/>
      <c r="L231" s="70"/>
      <c r="M231" s="67"/>
      <c r="N231" s="68"/>
      <c r="O231" s="76"/>
      <c r="P231" s="83"/>
      <c r="Q231" s="64"/>
      <c r="R231" s="65"/>
      <c r="S231" s="99"/>
      <c r="T231" s="70"/>
      <c r="U231" s="99"/>
      <c r="V231" s="70"/>
      <c r="W231" s="74"/>
      <c r="X231" s="62"/>
      <c r="Y231" s="63"/>
      <c r="Z231" s="75"/>
      <c r="AA231" s="74" t="s">
        <v>18094</v>
      </c>
      <c r="AB231" s="62"/>
      <c r="AC231" s="63"/>
      <c r="AD231" s="75"/>
      <c r="AE231" s="228">
        <f>ROUND((ROUND((ROUND((_15_同援日２．０*_15・通訳),0)*(1+_15・A深夜)),0)*(1+_15・区４)),0)+ROUND((ROUND((ROUND((_15_同援日２．０＿０．５*_15・通訳),0)*(1+_15・B早朝)),0)*(1+_15・区４)),0)+ROUND((ROUND((_15_同援日２．０＿０．５＿０．５*_15・通訳),0)*(1+_15・区４)),0)</f>
        <v>1097</v>
      </c>
      <c r="AF231" s="69"/>
    </row>
    <row r="232" spans="1:32" ht="16.5" customHeight="1" x14ac:dyDescent="0.3">
      <c r="A232" s="2">
        <v>15</v>
      </c>
      <c r="B232" s="2" t="s">
        <v>4852</v>
      </c>
      <c r="C232" s="60" t="s">
        <v>15048</v>
      </c>
      <c r="D232" s="1"/>
      <c r="E232" s="68"/>
      <c r="F232" s="70"/>
      <c r="G232" s="1"/>
      <c r="H232" s="68"/>
      <c r="I232" s="70"/>
      <c r="J232" s="1"/>
      <c r="K232" s="68"/>
      <c r="L232" s="70"/>
      <c r="M232" s="67"/>
      <c r="N232" s="68"/>
      <c r="O232" s="76"/>
      <c r="P232" s="83" t="s">
        <v>5895</v>
      </c>
      <c r="Q232" s="64" t="s">
        <v>1</v>
      </c>
      <c r="R232" s="65">
        <v>1</v>
      </c>
      <c r="S232" s="99"/>
      <c r="T232" s="70"/>
      <c r="U232" s="99"/>
      <c r="V232" s="70"/>
      <c r="W232" s="81"/>
      <c r="X232" s="57"/>
      <c r="Y232" s="58"/>
      <c r="Z232" s="77"/>
      <c r="AA232" s="1" t="s">
        <v>18084</v>
      </c>
      <c r="AB232" s="68"/>
      <c r="AC232" s="76"/>
      <c r="AD232" s="70"/>
      <c r="AE232" s="228">
        <f>ROUND((ROUND((ROUND((ROUND((_15_同援日２．０*_15・通訳),0)*_15・２人),0)*(1+_15・A深夜)),0)*(1+_15・区４)),0)+ROUND((ROUND((ROUND((ROUND((_15_同援日２．０＿０．５*_15・通訳),0)*_15・２人),0)*(1+_15・B早朝)),0)*(1+_15・区４)),0)+ROUND((ROUND((ROUND((_15_同援日２．０＿０．５＿０．５*_15・通訳),0)*_15・２人),0)*(1+_15・区４)),0)</f>
        <v>1097</v>
      </c>
      <c r="AF232" s="69"/>
    </row>
    <row r="233" spans="1:32" ht="16.5" customHeight="1" x14ac:dyDescent="0.3">
      <c r="A233" s="2">
        <v>15</v>
      </c>
      <c r="B233" s="2" t="s">
        <v>4853</v>
      </c>
      <c r="C233" s="60" t="s">
        <v>15047</v>
      </c>
      <c r="D233" s="1"/>
      <c r="E233" s="68"/>
      <c r="F233" s="70"/>
      <c r="G233" s="1"/>
      <c r="H233" s="68"/>
      <c r="I233" s="70"/>
      <c r="J233" s="1"/>
      <c r="K233" s="68"/>
      <c r="L233" s="70"/>
      <c r="M233" s="67"/>
      <c r="N233" s="68"/>
      <c r="O233" s="76"/>
      <c r="P233" s="83"/>
      <c r="Q233" s="64"/>
      <c r="R233" s="65"/>
      <c r="S233" s="99"/>
      <c r="T233" s="70"/>
      <c r="U233" s="99"/>
      <c r="V233" s="70"/>
      <c r="W233" s="74" t="s">
        <v>18087</v>
      </c>
      <c r="X233" s="62"/>
      <c r="Y233" s="63"/>
      <c r="Z233" s="75"/>
      <c r="AA233" s="1"/>
      <c r="AB233" s="68" t="s">
        <v>1</v>
      </c>
      <c r="AC233" s="76">
        <v>0.4</v>
      </c>
      <c r="AD233" s="70" t="s">
        <v>422</v>
      </c>
      <c r="AE233" s="120">
        <f>ROUND((ROUND((ROUND((ROUND((_15_同援日２．０*_15・通訳),0)*(1+_15・A深夜)),0)*(1+_15・盲ろう)),0)*(1+_15・区４)),0)+ROUND((ROUND((ROUND((ROUND((_15_同援日２．０＿０．５*_15・通訳),0)*(1+_15・B早朝)),0)*(1+_15・盲ろう)),0)*(1+_15・区４)),0)+ROUND((ROUND((ROUND((_15_同援日２．０＿０．５＿０．５*_15・通訳),0)*(1+_15・盲ろう)),0)*(1+_15・区４)),0)</f>
        <v>1372</v>
      </c>
      <c r="AF233" s="69"/>
    </row>
    <row r="234" spans="1:32" ht="16.5" customHeight="1" x14ac:dyDescent="0.3">
      <c r="A234" s="2">
        <v>15</v>
      </c>
      <c r="B234" s="2" t="s">
        <v>4854</v>
      </c>
      <c r="C234" s="60" t="s">
        <v>15046</v>
      </c>
      <c r="D234" s="81"/>
      <c r="E234" s="57"/>
      <c r="F234" s="77"/>
      <c r="G234" s="81"/>
      <c r="H234" s="57"/>
      <c r="I234" s="77"/>
      <c r="J234" s="81"/>
      <c r="K234" s="57"/>
      <c r="L234" s="77"/>
      <c r="M234" s="66"/>
      <c r="N234" s="57"/>
      <c r="O234" s="58"/>
      <c r="P234" s="83" t="s">
        <v>5895</v>
      </c>
      <c r="Q234" s="64" t="s">
        <v>1</v>
      </c>
      <c r="R234" s="65">
        <v>1</v>
      </c>
      <c r="S234" s="101"/>
      <c r="T234" s="77"/>
      <c r="U234" s="101"/>
      <c r="V234" s="77"/>
      <c r="W234" s="81" t="s">
        <v>18086</v>
      </c>
      <c r="X234" s="57" t="s">
        <v>1</v>
      </c>
      <c r="Y234" s="58">
        <v>0.25</v>
      </c>
      <c r="Z234" s="77" t="s">
        <v>422</v>
      </c>
      <c r="AA234" s="81"/>
      <c r="AB234" s="57"/>
      <c r="AC234" s="58"/>
      <c r="AD234" s="77"/>
      <c r="AE234" s="120">
        <f>ROUND((ROUND((ROUND((ROUND((ROUND((_15_同援日２．０*_15・通訳),0)*_15・２人),0)*(1+_15・A深夜)),0)*(1+_15・盲ろう)),0)*(1+_15・区４)),0)+ROUND((ROUND((ROUND((ROUND((ROUND((_15_同援日２．０＿０．５*_15・通訳),0)*_15・２人),0)*(1+_15・B早朝)),0)*(1+_15・盲ろう)),0)*(1+_15・区４)),0)+ROUND((ROUND((ROUND((ROUND((_15_同援日２．０＿０．５＿０．５*_15・通訳),0)*_15・２人),0)*(1+_15・盲ろう)),0)*(1+_15・区４)),0)</f>
        <v>1372</v>
      </c>
      <c r="AF234" s="71"/>
    </row>
    <row r="235" spans="1:32" ht="16.5" customHeight="1" x14ac:dyDescent="0.3"/>
    <row r="236" spans="1:3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39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0000"/>
    <pageSetUpPr fitToPage="1"/>
  </sheetPr>
  <dimension ref="A1:AA188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4.62890625" style="45" customWidth="1"/>
    <col min="5" max="5" width="4.1015625" style="46" bestFit="1" customWidth="1"/>
    <col min="6" max="6" width="4.734375" style="46" bestFit="1" customWidth="1"/>
    <col min="7" max="7" width="4.62890625" style="45" customWidth="1"/>
    <col min="8" max="8" width="4.1015625" style="46" bestFit="1" customWidth="1"/>
    <col min="9" max="9" width="4.734375" style="46" bestFit="1" customWidth="1"/>
    <col min="10" max="10" width="16.1015625" style="46" customWidth="1"/>
    <col min="11" max="11" width="3.1015625" style="46" bestFit="1" customWidth="1"/>
    <col min="12" max="12" width="4.1015625" style="47" bestFit="1" customWidth="1"/>
    <col min="13" max="13" width="26.47265625" style="46" bestFit="1" customWidth="1"/>
    <col min="14" max="14" width="3.1015625" style="46" bestFit="1" customWidth="1"/>
    <col min="15" max="15" width="5" style="47" bestFit="1" customWidth="1"/>
    <col min="16" max="16" width="4.1015625" style="47" bestFit="1" customWidth="1"/>
    <col min="17" max="17" width="4.734375" style="46" bestFit="1" customWidth="1"/>
    <col min="18" max="18" width="21.62890625" style="46" customWidth="1"/>
    <col min="19" max="19" width="3.1015625" style="46" bestFit="1" customWidth="1"/>
    <col min="20" max="20" width="4.1015625" style="47" bestFit="1" customWidth="1"/>
    <col min="21" max="21" width="4.734375" style="46" bestFit="1" customWidth="1"/>
    <col min="22" max="22" width="8.1015625" style="46" customWidth="1"/>
    <col min="23" max="23" width="3.1015625" style="46" bestFit="1" customWidth="1"/>
    <col min="24" max="24" width="4.1015625" style="47" bestFit="1" customWidth="1"/>
    <col min="25" max="25" width="4.734375" style="46" bestFit="1" customWidth="1"/>
    <col min="26" max="26" width="6.3671875" style="84" bestFit="1" customWidth="1"/>
    <col min="27" max="27" width="7.734375" style="48" bestFit="1" customWidth="1"/>
    <col min="28" max="16384" width="9" style="49"/>
  </cols>
  <sheetData>
    <row r="1" spans="1:27" ht="16.5" customHeight="1" x14ac:dyDescent="0.3"/>
    <row r="2" spans="1:27" ht="16.5" customHeight="1" x14ac:dyDescent="0.3"/>
    <row r="3" spans="1:27" ht="16.5" customHeight="1" x14ac:dyDescent="0.3"/>
    <row r="4" spans="1:27" ht="16.5" customHeight="1" x14ac:dyDescent="0.3">
      <c r="B4" s="229" t="s">
        <v>18384</v>
      </c>
      <c r="C4" s="131"/>
      <c r="D4" s="230"/>
      <c r="E4" s="231"/>
      <c r="F4" s="231"/>
      <c r="G4" s="131"/>
      <c r="H4" s="231"/>
      <c r="I4" s="231"/>
      <c r="J4" s="231"/>
    </row>
    <row r="5" spans="1:27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53"/>
      <c r="K5" s="53"/>
      <c r="L5" s="54"/>
      <c r="M5" s="53"/>
      <c r="N5" s="53"/>
      <c r="O5" s="54"/>
      <c r="P5" s="54"/>
      <c r="Q5" s="53"/>
      <c r="R5" s="53"/>
      <c r="S5" s="53"/>
      <c r="T5" s="54"/>
      <c r="U5" s="53"/>
      <c r="V5" s="53"/>
      <c r="W5" s="53"/>
      <c r="X5" s="54"/>
      <c r="Y5" s="53"/>
      <c r="Z5" s="55" t="s">
        <v>5869</v>
      </c>
      <c r="AA5" s="55" t="s">
        <v>5871</v>
      </c>
    </row>
    <row r="6" spans="1:27" ht="16.5" customHeight="1" x14ac:dyDescent="0.3">
      <c r="A6" s="2" t="s">
        <v>5865</v>
      </c>
      <c r="B6" s="2" t="s">
        <v>5866</v>
      </c>
      <c r="C6" s="56"/>
      <c r="D6" s="80" t="s">
        <v>5872</v>
      </c>
      <c r="E6" s="86"/>
      <c r="F6" s="87"/>
      <c r="G6" s="73"/>
      <c r="H6" s="57"/>
      <c r="I6" s="57"/>
      <c r="J6" s="57"/>
      <c r="K6" s="57"/>
      <c r="L6" s="58"/>
      <c r="M6" s="57"/>
      <c r="N6" s="57"/>
      <c r="O6" s="58"/>
      <c r="P6" s="58"/>
      <c r="Q6" s="57"/>
      <c r="R6" s="57"/>
      <c r="S6" s="57"/>
      <c r="T6" s="58"/>
      <c r="U6" s="57"/>
      <c r="V6" s="57"/>
      <c r="W6" s="57"/>
      <c r="X6" s="58"/>
      <c r="Y6" s="57"/>
      <c r="Z6" s="59" t="s">
        <v>5870</v>
      </c>
      <c r="AA6" s="59" t="s">
        <v>0</v>
      </c>
    </row>
    <row r="7" spans="1:27" ht="16.5" customHeight="1" x14ac:dyDescent="0.3">
      <c r="A7" s="2">
        <v>15</v>
      </c>
      <c r="B7" s="2" t="s">
        <v>4855</v>
      </c>
      <c r="C7" s="60" t="s">
        <v>15453</v>
      </c>
      <c r="D7" s="233" t="s">
        <v>18383</v>
      </c>
      <c r="E7" s="235"/>
      <c r="F7" s="75"/>
      <c r="G7" s="233" t="s">
        <v>18372</v>
      </c>
      <c r="H7" s="62"/>
      <c r="I7" s="75"/>
      <c r="J7" s="61"/>
      <c r="K7" s="62"/>
      <c r="L7" s="63"/>
      <c r="M7" s="85"/>
      <c r="N7" s="64"/>
      <c r="O7" s="65"/>
      <c r="P7" s="98"/>
      <c r="Q7" s="75"/>
      <c r="R7" s="61"/>
      <c r="S7" s="62"/>
      <c r="T7" s="63"/>
      <c r="U7" s="75"/>
      <c r="V7" s="61"/>
      <c r="W7" s="62"/>
      <c r="X7" s="63"/>
      <c r="Y7" s="75"/>
      <c r="Z7" s="228">
        <f>ROUND((ROUND((_15_同援日０．５*_15・通訳),0)*(1+_15・A深夜)),0)+ROUND((_15_同援日０．５＿０．５*_15・通訳),0)</f>
        <v>346</v>
      </c>
      <c r="AA7" s="52" t="s">
        <v>5863</v>
      </c>
    </row>
    <row r="8" spans="1:27" ht="16.5" customHeight="1" x14ac:dyDescent="0.3">
      <c r="A8" s="2">
        <v>15</v>
      </c>
      <c r="B8" s="2" t="s">
        <v>4856</v>
      </c>
      <c r="C8" s="60" t="s">
        <v>15452</v>
      </c>
      <c r="D8" s="1" t="s">
        <v>7928</v>
      </c>
      <c r="E8" s="68"/>
      <c r="F8" s="70"/>
      <c r="G8" s="1" t="s">
        <v>7928</v>
      </c>
      <c r="H8" s="68"/>
      <c r="I8" s="70"/>
      <c r="J8" s="67"/>
      <c r="K8" s="68"/>
      <c r="L8" s="76"/>
      <c r="M8" s="83" t="s">
        <v>5895</v>
      </c>
      <c r="N8" s="64" t="s">
        <v>1</v>
      </c>
      <c r="O8" s="65">
        <v>1</v>
      </c>
      <c r="P8" s="99"/>
      <c r="Q8" s="70"/>
      <c r="R8" s="66"/>
      <c r="S8" s="57"/>
      <c r="T8" s="58"/>
      <c r="U8" s="77"/>
      <c r="V8" s="67"/>
      <c r="W8" s="68"/>
      <c r="X8" s="76"/>
      <c r="Y8" s="70"/>
      <c r="Z8" s="228">
        <f>ROUND((ROUND((ROUND((_15_同援日０．５*_15・通訳),0)*_15・２人),0)*(1+_15・A深夜)),0)+ROUND((ROUND((_15_同援日０．５＿０．５*_15・通訳),0)*_15・２人),0)</f>
        <v>346</v>
      </c>
      <c r="AA8" s="69"/>
    </row>
    <row r="9" spans="1:27" ht="16.5" customHeight="1" x14ac:dyDescent="0.3">
      <c r="A9" s="2">
        <v>15</v>
      </c>
      <c r="B9" s="2" t="s">
        <v>4857</v>
      </c>
      <c r="C9" s="60" t="s">
        <v>15451</v>
      </c>
      <c r="D9" s="1"/>
      <c r="E9" s="68"/>
      <c r="F9" s="70"/>
      <c r="G9" s="1"/>
      <c r="H9" s="68"/>
      <c r="I9" s="70"/>
      <c r="J9" s="67"/>
      <c r="K9" s="68"/>
      <c r="L9" s="76"/>
      <c r="M9" s="85"/>
      <c r="N9" s="64"/>
      <c r="O9" s="65"/>
      <c r="P9" s="99"/>
      <c r="Q9" s="70"/>
      <c r="R9" s="74" t="s">
        <v>18367</v>
      </c>
      <c r="S9" s="62"/>
      <c r="T9" s="63"/>
      <c r="U9" s="75"/>
      <c r="V9" s="67"/>
      <c r="W9" s="68"/>
      <c r="X9" s="76"/>
      <c r="Y9" s="70"/>
      <c r="Z9" s="228">
        <f>ROUND((ROUND((ROUND((_15_同援日０．５*_15・通訳),0)*(1+_15・A深夜)),0)*(1+_15・盲ろう)),0)+ROUND((ROUND((_15_同援日０．５＿０．５*_15・通訳),0)*(1+_15・盲ろう)),0)</f>
        <v>432</v>
      </c>
      <c r="AA9" s="69"/>
    </row>
    <row r="10" spans="1:27" ht="16.5" customHeight="1" x14ac:dyDescent="0.3">
      <c r="A10" s="2">
        <v>15</v>
      </c>
      <c r="B10" s="2" t="s">
        <v>4858</v>
      </c>
      <c r="C10" s="60" t="s">
        <v>15450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67"/>
      <c r="K10" s="68"/>
      <c r="L10" s="76"/>
      <c r="M10" s="83" t="s">
        <v>5895</v>
      </c>
      <c r="N10" s="64" t="s">
        <v>1</v>
      </c>
      <c r="O10" s="65">
        <v>1</v>
      </c>
      <c r="P10" s="99"/>
      <c r="Q10" s="70"/>
      <c r="R10" s="106" t="s">
        <v>18366</v>
      </c>
      <c r="S10" s="57" t="s">
        <v>1</v>
      </c>
      <c r="T10" s="58">
        <v>0.25</v>
      </c>
      <c r="U10" s="77" t="s">
        <v>422</v>
      </c>
      <c r="V10" s="66"/>
      <c r="W10" s="57"/>
      <c r="X10" s="58"/>
      <c r="Y10" s="77"/>
      <c r="Z10" s="228">
        <f>ROUND((ROUND((ROUND((ROUND((_15_同援日０．５*_15・通訳),0)*_15・２人),0)*(1+_15・A深夜)),0)*(1+_15・盲ろう)),0)+ROUND((ROUND((ROUND((_15_同援日０．５＿０．５*_15・通訳),0)*_15・２人),0)*(1+_15・盲ろう)),0)</f>
        <v>432</v>
      </c>
      <c r="AA10" s="69"/>
    </row>
    <row r="11" spans="1:27" ht="16.5" customHeight="1" x14ac:dyDescent="0.3">
      <c r="A11" s="2">
        <v>15</v>
      </c>
      <c r="B11" s="2" t="s">
        <v>4859</v>
      </c>
      <c r="C11" s="60" t="s">
        <v>15449</v>
      </c>
      <c r="D11" s="1"/>
      <c r="E11" s="68"/>
      <c r="F11" s="70"/>
      <c r="G11" s="1"/>
      <c r="H11" s="68"/>
      <c r="I11" s="70"/>
      <c r="J11" s="67"/>
      <c r="K11" s="68"/>
      <c r="L11" s="76"/>
      <c r="M11" s="85"/>
      <c r="N11" s="64"/>
      <c r="O11" s="65"/>
      <c r="P11" s="99"/>
      <c r="Q11" s="70"/>
      <c r="R11" s="61"/>
      <c r="S11" s="62"/>
      <c r="T11" s="63"/>
      <c r="U11" s="75"/>
      <c r="V11" s="74" t="s">
        <v>18370</v>
      </c>
      <c r="W11" s="62"/>
      <c r="X11" s="63"/>
      <c r="Y11" s="75"/>
      <c r="Z11" s="228">
        <f>ROUND((ROUND((ROUND((_15_同援日０．５*_15・通訳),0)*(1+_15・A深夜)),0)*(1+_15・区３)),0)+ROUND((ROUND((_15_同援日０．５＿０．５*_15・通訳),0)*(1+_15・区３)),0)</f>
        <v>415</v>
      </c>
      <c r="AA11" s="69"/>
    </row>
    <row r="12" spans="1:27" ht="16.5" customHeight="1" x14ac:dyDescent="0.3">
      <c r="A12" s="2">
        <v>15</v>
      </c>
      <c r="B12" s="2" t="s">
        <v>4860</v>
      </c>
      <c r="C12" s="60" t="s">
        <v>15448</v>
      </c>
      <c r="D12" s="1"/>
      <c r="E12" s="68"/>
      <c r="F12" s="70"/>
      <c r="G12" s="1"/>
      <c r="H12" s="68"/>
      <c r="I12" s="70"/>
      <c r="J12" s="1" t="s">
        <v>13802</v>
      </c>
      <c r="K12" s="68"/>
      <c r="L12" s="76"/>
      <c r="M12" s="83" t="s">
        <v>5895</v>
      </c>
      <c r="N12" s="64" t="s">
        <v>1</v>
      </c>
      <c r="O12" s="65">
        <v>1</v>
      </c>
      <c r="P12" s="99" t="s">
        <v>7920</v>
      </c>
      <c r="Q12" s="70"/>
      <c r="R12" s="66"/>
      <c r="S12" s="57"/>
      <c r="T12" s="58"/>
      <c r="U12" s="77"/>
      <c r="V12" s="94" t="s">
        <v>8087</v>
      </c>
      <c r="W12" s="68"/>
      <c r="X12" s="76"/>
      <c r="Y12" s="70"/>
      <c r="Z12" s="228">
        <f>ROUND((ROUND((ROUND((ROUND((_15_同援日０．５*_15・通訳),0)*_15・２人),0)*(1+_15・A深夜)),0)*(1+_15・区３)),0)+ROUND((ROUND((ROUND((_15_同援日０．５＿０．５*_15・通訳),0)*_15・２人),0)*(1+_15・区３)),0)</f>
        <v>415</v>
      </c>
      <c r="AA12" s="69"/>
    </row>
    <row r="13" spans="1:27" ht="16.5" customHeight="1" x14ac:dyDescent="0.3">
      <c r="A13" s="2">
        <v>15</v>
      </c>
      <c r="B13" s="2" t="s">
        <v>4861</v>
      </c>
      <c r="C13" s="60" t="s">
        <v>15447</v>
      </c>
      <c r="D13" s="1"/>
      <c r="E13" s="68"/>
      <c r="F13" s="70"/>
      <c r="G13" s="1"/>
      <c r="H13" s="68"/>
      <c r="I13" s="70"/>
      <c r="J13" s="94" t="s">
        <v>13800</v>
      </c>
      <c r="K13" s="68" t="s">
        <v>1</v>
      </c>
      <c r="L13" s="76">
        <v>0.9</v>
      </c>
      <c r="M13" s="85"/>
      <c r="N13" s="64"/>
      <c r="O13" s="65"/>
      <c r="P13" s="99"/>
      <c r="Q13" s="100" t="s">
        <v>7948</v>
      </c>
      <c r="R13" s="74" t="s">
        <v>18367</v>
      </c>
      <c r="S13" s="62"/>
      <c r="T13" s="63"/>
      <c r="U13" s="75"/>
      <c r="V13" s="67"/>
      <c r="W13" s="68" t="s">
        <v>1</v>
      </c>
      <c r="X13" s="76">
        <v>0.2</v>
      </c>
      <c r="Y13" s="70" t="s">
        <v>422</v>
      </c>
      <c r="Z13" s="228">
        <f>ROUND((ROUND((ROUND((ROUND((_15_同援日０．５*_15・通訳),0)*(1+_15・A深夜)),0)*(1+_15・盲ろう)),0)*(1+_15・区３)),0)+ROUND((ROUND((ROUND((_15_同援日０．５＿０．５*_15・通訳),0)*(1+_15・盲ろう)),0)*(1+_15・区３)),0)</f>
        <v>518</v>
      </c>
      <c r="AA13" s="69"/>
    </row>
    <row r="14" spans="1:27" ht="16.5" customHeight="1" x14ac:dyDescent="0.3">
      <c r="A14" s="2">
        <v>15</v>
      </c>
      <c r="B14" s="2" t="s">
        <v>4862</v>
      </c>
      <c r="C14" s="60" t="s">
        <v>15446</v>
      </c>
      <c r="D14" s="1"/>
      <c r="E14" s="68"/>
      <c r="F14" s="70"/>
      <c r="G14" s="1"/>
      <c r="H14" s="68"/>
      <c r="I14" s="70"/>
      <c r="J14" s="67"/>
      <c r="K14" s="68"/>
      <c r="L14" s="76"/>
      <c r="M14" s="83" t="s">
        <v>5895</v>
      </c>
      <c r="N14" s="64" t="s">
        <v>1</v>
      </c>
      <c r="O14" s="65">
        <v>1</v>
      </c>
      <c r="P14" s="99"/>
      <c r="Q14" s="70"/>
      <c r="R14" s="106" t="s">
        <v>8083</v>
      </c>
      <c r="S14" s="57" t="s">
        <v>1</v>
      </c>
      <c r="T14" s="58">
        <v>0.25</v>
      </c>
      <c r="U14" s="77" t="s">
        <v>422</v>
      </c>
      <c r="V14" s="66"/>
      <c r="W14" s="57"/>
      <c r="X14" s="58"/>
      <c r="Y14" s="77"/>
      <c r="Z14" s="228">
        <f>ROUND((ROUND((ROUND((ROUND((ROUND((_15_同援日０．５*_15・通訳),0)*_15・２人),0)*(1+_15・A深夜)),0)*(1+_15・盲ろう)),0)*(1+_15・区３)),0)+ROUND((ROUND((ROUND((ROUND((_15_同援日０．５＿０．５*_15・通訳),0)*_15・２人),0)*(1+_15・盲ろう)),0)*(1+_15・区３)),0)</f>
        <v>518</v>
      </c>
      <c r="AA14" s="69"/>
    </row>
    <row r="15" spans="1:27" ht="16.5" customHeight="1" x14ac:dyDescent="0.3">
      <c r="A15" s="2">
        <v>15</v>
      </c>
      <c r="B15" s="2" t="s">
        <v>4863</v>
      </c>
      <c r="C15" s="60" t="s">
        <v>15445</v>
      </c>
      <c r="D15" s="1"/>
      <c r="E15" s="68"/>
      <c r="F15" s="70"/>
      <c r="G15" s="1"/>
      <c r="H15" s="68"/>
      <c r="I15" s="70"/>
      <c r="J15" s="67"/>
      <c r="K15" s="68"/>
      <c r="L15" s="76"/>
      <c r="M15" s="85"/>
      <c r="N15" s="64"/>
      <c r="O15" s="65"/>
      <c r="P15" s="67" t="s">
        <v>1</v>
      </c>
      <c r="Q15" s="93">
        <v>0.5</v>
      </c>
      <c r="R15" s="61"/>
      <c r="S15" s="62"/>
      <c r="T15" s="63"/>
      <c r="U15" s="75"/>
      <c r="V15" s="74" t="s">
        <v>18369</v>
      </c>
      <c r="W15" s="62"/>
      <c r="X15" s="63"/>
      <c r="Y15" s="75"/>
      <c r="Z15" s="228">
        <f>ROUND((ROUND((ROUND((_15_同援日０．５*_15・通訳),0)*(1+_15・A深夜)),0)*(1+_15・区４)),0)+ROUND((ROUND((_15_同援日０．５＿０．５*_15・通訳),0)*(1+_15・区４)),0)</f>
        <v>485</v>
      </c>
      <c r="AA15" s="69"/>
    </row>
    <row r="16" spans="1:27" ht="16.5" customHeight="1" x14ac:dyDescent="0.3">
      <c r="A16" s="2">
        <v>15</v>
      </c>
      <c r="B16" s="2" t="s">
        <v>4864</v>
      </c>
      <c r="C16" s="60" t="s">
        <v>15444</v>
      </c>
      <c r="D16" s="1"/>
      <c r="E16" s="68"/>
      <c r="F16" s="70"/>
      <c r="G16" s="1"/>
      <c r="H16" s="68"/>
      <c r="I16" s="70"/>
      <c r="J16" s="67"/>
      <c r="K16" s="68"/>
      <c r="L16" s="76"/>
      <c r="M16" s="83" t="s">
        <v>5895</v>
      </c>
      <c r="N16" s="64" t="s">
        <v>1</v>
      </c>
      <c r="O16" s="65">
        <v>1</v>
      </c>
      <c r="P16" s="99"/>
      <c r="Q16" s="100" t="s">
        <v>422</v>
      </c>
      <c r="R16" s="66"/>
      <c r="S16" s="57"/>
      <c r="T16" s="58"/>
      <c r="U16" s="77"/>
      <c r="V16" s="94" t="s">
        <v>18368</v>
      </c>
      <c r="W16" s="68"/>
      <c r="X16" s="76"/>
      <c r="Y16" s="70"/>
      <c r="Z16" s="228">
        <f>ROUND((ROUND((ROUND((ROUND((_15_同援日０．５*_15・通訳),0)*_15・２人),0)*(1+_15・A深夜)),0)*(1+_15・区４)),0)+ROUND((ROUND((ROUND((_15_同援日０．５＿０．５*_15・通訳),0)*_15・２人),0)*(1+_15・区４)),0)</f>
        <v>485</v>
      </c>
      <c r="AA16" s="69"/>
    </row>
    <row r="17" spans="1:27" ht="16.5" customHeight="1" x14ac:dyDescent="0.3">
      <c r="A17" s="2">
        <v>15</v>
      </c>
      <c r="B17" s="2" t="s">
        <v>4865</v>
      </c>
      <c r="C17" s="60" t="s">
        <v>15443</v>
      </c>
      <c r="D17" s="1"/>
      <c r="E17" s="68"/>
      <c r="F17" s="70"/>
      <c r="G17" s="1"/>
      <c r="H17" s="68"/>
      <c r="I17" s="70"/>
      <c r="J17" s="67"/>
      <c r="K17" s="68"/>
      <c r="L17" s="76"/>
      <c r="M17" s="85"/>
      <c r="N17" s="64"/>
      <c r="O17" s="65"/>
      <c r="P17" s="99"/>
      <c r="Q17" s="70"/>
      <c r="R17" s="74" t="s">
        <v>18367</v>
      </c>
      <c r="S17" s="62"/>
      <c r="T17" s="63"/>
      <c r="U17" s="75"/>
      <c r="V17" s="67"/>
      <c r="W17" s="68" t="s">
        <v>1</v>
      </c>
      <c r="X17" s="76">
        <v>0.4</v>
      </c>
      <c r="Y17" s="70" t="s">
        <v>422</v>
      </c>
      <c r="Z17" s="228">
        <f>ROUND((ROUND((ROUND((ROUND((_15_同援日０．５*_15・通訳),0)*(1+_15・A深夜)),0)*(1+_15・盲ろう)),0)*(1+_15・区４)),0)+ROUND((ROUND((ROUND((_15_同援日０．５＿０．５*_15・通訳),0)*(1+_15・盲ろう)),0)*(1+_15・区４)),0)</f>
        <v>604</v>
      </c>
      <c r="AA17" s="69"/>
    </row>
    <row r="18" spans="1:27" ht="16.5" customHeight="1" x14ac:dyDescent="0.3">
      <c r="A18" s="2">
        <v>15</v>
      </c>
      <c r="B18" s="2" t="s">
        <v>4866</v>
      </c>
      <c r="C18" s="60" t="s">
        <v>15442</v>
      </c>
      <c r="D18" s="1"/>
      <c r="E18" s="68"/>
      <c r="F18" s="70"/>
      <c r="G18" s="81"/>
      <c r="H18" s="57"/>
      <c r="I18" s="77"/>
      <c r="J18" s="67"/>
      <c r="K18" s="68"/>
      <c r="L18" s="76"/>
      <c r="M18" s="83" t="s">
        <v>5895</v>
      </c>
      <c r="N18" s="64" t="s">
        <v>1</v>
      </c>
      <c r="O18" s="65">
        <v>1</v>
      </c>
      <c r="P18" s="99"/>
      <c r="Q18" s="70"/>
      <c r="R18" s="106" t="s">
        <v>18366</v>
      </c>
      <c r="S18" s="57" t="s">
        <v>1</v>
      </c>
      <c r="T18" s="58">
        <v>0.25</v>
      </c>
      <c r="U18" s="77" t="s">
        <v>422</v>
      </c>
      <c r="V18" s="66"/>
      <c r="W18" s="57"/>
      <c r="X18" s="58"/>
      <c r="Y18" s="77"/>
      <c r="Z18" s="228">
        <f>ROUND((ROUND((ROUND((ROUND((ROUND((_15_同援日０．５*_15・通訳),0)*_15・２人),0)*(1+_15・A深夜)),0)*(1+_15・盲ろう)),0)*(1+_15・区４)),0)+ROUND((ROUND((ROUND((ROUND((_15_同援日０．５＿０．５*_15・通訳),0)*_15・２人),0)*(1+_15・盲ろう)),0)*(1+_15・区４)),0)</f>
        <v>604</v>
      </c>
      <c r="AA18" s="69"/>
    </row>
    <row r="19" spans="1:27" ht="16.5" customHeight="1" x14ac:dyDescent="0.3">
      <c r="A19" s="2">
        <v>15</v>
      </c>
      <c r="B19" s="2" t="s">
        <v>4867</v>
      </c>
      <c r="C19" s="60" t="s">
        <v>15441</v>
      </c>
      <c r="D19" s="1"/>
      <c r="E19" s="68"/>
      <c r="F19" s="70"/>
      <c r="G19" s="233" t="s">
        <v>18374</v>
      </c>
      <c r="H19" s="62"/>
      <c r="I19" s="75"/>
      <c r="J19" s="67"/>
      <c r="K19" s="68"/>
      <c r="L19" s="76"/>
      <c r="M19" s="85"/>
      <c r="N19" s="64"/>
      <c r="O19" s="65"/>
      <c r="P19" s="99"/>
      <c r="Q19" s="70"/>
      <c r="R19" s="61"/>
      <c r="S19" s="62"/>
      <c r="T19" s="63"/>
      <c r="U19" s="75"/>
      <c r="V19" s="61"/>
      <c r="W19" s="62"/>
      <c r="X19" s="63"/>
      <c r="Y19" s="75"/>
      <c r="Z19" s="228">
        <f>ROUND((ROUND((_15_同援日０．５*_15・通訳),0)*(1+_15・A深夜)),0)+ROUND((_15_同援日０．５＿１．０*_15・通訳),0)</f>
        <v>462</v>
      </c>
      <c r="AA19" s="69"/>
    </row>
    <row r="20" spans="1:27" ht="16.5" customHeight="1" x14ac:dyDescent="0.3">
      <c r="A20" s="2">
        <v>15</v>
      </c>
      <c r="B20" s="2" t="s">
        <v>4868</v>
      </c>
      <c r="C20" s="60" t="s">
        <v>15440</v>
      </c>
      <c r="D20" s="1"/>
      <c r="E20" s="68"/>
      <c r="F20" s="70"/>
      <c r="G20" s="1" t="s">
        <v>5993</v>
      </c>
      <c r="H20" s="68"/>
      <c r="I20" s="70"/>
      <c r="J20" s="67"/>
      <c r="K20" s="68"/>
      <c r="L20" s="76"/>
      <c r="M20" s="83" t="s">
        <v>5895</v>
      </c>
      <c r="N20" s="64" t="s">
        <v>1</v>
      </c>
      <c r="O20" s="65">
        <v>1</v>
      </c>
      <c r="P20" s="99"/>
      <c r="Q20" s="70"/>
      <c r="R20" s="66"/>
      <c r="S20" s="57"/>
      <c r="T20" s="58"/>
      <c r="U20" s="77"/>
      <c r="V20" s="67"/>
      <c r="W20" s="68"/>
      <c r="X20" s="76"/>
      <c r="Y20" s="70"/>
      <c r="Z20" s="228">
        <f>ROUND((ROUND((ROUND((_15_同援日０．５*_15・通訳),0)*_15・２人),0)*(1+_15・A深夜)),0)+ROUND((ROUND((_15_同援日０．５＿１．０*_15・通訳),0)*_15・２人),0)</f>
        <v>462</v>
      </c>
      <c r="AA20" s="69"/>
    </row>
    <row r="21" spans="1:27" ht="16.5" customHeight="1" x14ac:dyDescent="0.3">
      <c r="A21" s="2">
        <v>15</v>
      </c>
      <c r="B21" s="2" t="s">
        <v>4869</v>
      </c>
      <c r="C21" s="60" t="s">
        <v>15439</v>
      </c>
      <c r="D21" s="1"/>
      <c r="E21" s="68"/>
      <c r="F21" s="70"/>
      <c r="G21" s="1" t="s">
        <v>8572</v>
      </c>
      <c r="H21" s="68"/>
      <c r="I21" s="70"/>
      <c r="J21" s="67"/>
      <c r="K21" s="68"/>
      <c r="L21" s="76"/>
      <c r="M21" s="85"/>
      <c r="N21" s="64"/>
      <c r="O21" s="65"/>
      <c r="P21" s="99"/>
      <c r="Q21" s="70"/>
      <c r="R21" s="74" t="s">
        <v>18367</v>
      </c>
      <c r="S21" s="62"/>
      <c r="T21" s="63"/>
      <c r="U21" s="75"/>
      <c r="V21" s="67"/>
      <c r="W21" s="68"/>
      <c r="X21" s="76"/>
      <c r="Y21" s="70"/>
      <c r="Z21" s="228">
        <f>ROUND((ROUND((ROUND((_15_同援日０．５*_15・通訳),0)*(1+_15・A深夜)),0)*(1+_15・盲ろう)),0)+ROUND((ROUND((_15_同援日０．５＿１．０*_15・通訳),0)*(1+_15・盲ろう)),0)</f>
        <v>577</v>
      </c>
      <c r="AA21" s="69"/>
    </row>
    <row r="22" spans="1:27" ht="16.5" customHeight="1" x14ac:dyDescent="0.3">
      <c r="A22" s="2">
        <v>15</v>
      </c>
      <c r="B22" s="2" t="s">
        <v>4870</v>
      </c>
      <c r="C22" s="60" t="s">
        <v>15438</v>
      </c>
      <c r="D22" s="1"/>
      <c r="E22" s="68"/>
      <c r="F22" s="70"/>
      <c r="G22" s="1"/>
      <c r="H22" s="227">
        <v>237</v>
      </c>
      <c r="I22" s="70" t="s">
        <v>0</v>
      </c>
      <c r="J22" s="67"/>
      <c r="K22" s="68"/>
      <c r="L22" s="76"/>
      <c r="M22" s="83" t="s">
        <v>5895</v>
      </c>
      <c r="N22" s="64" t="s">
        <v>1</v>
      </c>
      <c r="O22" s="65">
        <v>1</v>
      </c>
      <c r="P22" s="99"/>
      <c r="Q22" s="70"/>
      <c r="R22" s="106" t="s">
        <v>18366</v>
      </c>
      <c r="S22" s="57" t="s">
        <v>1</v>
      </c>
      <c r="T22" s="58">
        <v>0.25</v>
      </c>
      <c r="U22" s="77" t="s">
        <v>422</v>
      </c>
      <c r="V22" s="66"/>
      <c r="W22" s="57"/>
      <c r="X22" s="58"/>
      <c r="Y22" s="77"/>
      <c r="Z22" s="228">
        <f>ROUND((ROUND((ROUND((ROUND((_15_同援日０．５*_15・通訳),0)*_15・２人),0)*(1+_15・A深夜)),0)*(1+_15・盲ろう)),0)+ROUND((ROUND((ROUND((_15_同援日０．５＿１．０*_15・通訳),0)*_15・２人),0)*(1+_15・盲ろう)),0)</f>
        <v>577</v>
      </c>
      <c r="AA22" s="69"/>
    </row>
    <row r="23" spans="1:27" ht="16.5" customHeight="1" x14ac:dyDescent="0.3">
      <c r="A23" s="2">
        <v>15</v>
      </c>
      <c r="B23" s="2" t="s">
        <v>4871</v>
      </c>
      <c r="C23" s="60" t="s">
        <v>15437</v>
      </c>
      <c r="D23" s="1"/>
      <c r="E23" s="68"/>
      <c r="F23" s="70"/>
      <c r="G23" s="1"/>
      <c r="H23" s="68"/>
      <c r="I23" s="70"/>
      <c r="J23" s="67"/>
      <c r="K23" s="68"/>
      <c r="L23" s="76"/>
      <c r="M23" s="85"/>
      <c r="N23" s="64"/>
      <c r="O23" s="65"/>
      <c r="P23" s="99"/>
      <c r="Q23" s="70"/>
      <c r="R23" s="61"/>
      <c r="S23" s="62"/>
      <c r="T23" s="63"/>
      <c r="U23" s="75"/>
      <c r="V23" s="74" t="s">
        <v>18370</v>
      </c>
      <c r="W23" s="62"/>
      <c r="X23" s="63"/>
      <c r="Y23" s="75"/>
      <c r="Z23" s="228">
        <f>ROUND((ROUND((ROUND((_15_同援日０．５*_15・通訳),0)*(1+_15・A深夜)),0)*(1+_15・区３)),0)+ROUND((ROUND((_15_同援日０．５＿１．０*_15・通訳),0)*(1+_15・区３)),0)</f>
        <v>555</v>
      </c>
      <c r="AA23" s="69"/>
    </row>
    <row r="24" spans="1:27" ht="16.5" customHeight="1" x14ac:dyDescent="0.3">
      <c r="A24" s="2">
        <v>15</v>
      </c>
      <c r="B24" s="2" t="s">
        <v>4872</v>
      </c>
      <c r="C24" s="60" t="s">
        <v>15436</v>
      </c>
      <c r="D24" s="1"/>
      <c r="E24" s="68"/>
      <c r="F24" s="70"/>
      <c r="G24" s="1"/>
      <c r="H24" s="68"/>
      <c r="I24" s="70"/>
      <c r="J24" s="67"/>
      <c r="K24" s="68"/>
      <c r="L24" s="76"/>
      <c r="M24" s="83" t="s">
        <v>5895</v>
      </c>
      <c r="N24" s="64" t="s">
        <v>1</v>
      </c>
      <c r="O24" s="65">
        <v>1</v>
      </c>
      <c r="P24" s="99"/>
      <c r="Q24" s="70"/>
      <c r="R24" s="66"/>
      <c r="S24" s="57"/>
      <c r="T24" s="58"/>
      <c r="U24" s="77"/>
      <c r="V24" s="94" t="s">
        <v>18368</v>
      </c>
      <c r="W24" s="68"/>
      <c r="X24" s="76"/>
      <c r="Y24" s="70"/>
      <c r="Z24" s="228">
        <f>ROUND((ROUND((ROUND((ROUND((_15_同援日０．５*_15・通訳),0)*_15・２人),0)*(1+_15・A深夜)),0)*(1+_15・区３)),0)+ROUND((ROUND((ROUND((_15_同援日０．５＿１．０*_15・通訳),0)*_15・２人),0)*(1+_15・区３)),0)</f>
        <v>555</v>
      </c>
      <c r="AA24" s="69"/>
    </row>
    <row r="25" spans="1:27" ht="16.5" customHeight="1" x14ac:dyDescent="0.3">
      <c r="A25" s="2">
        <v>15</v>
      </c>
      <c r="B25" s="2" t="s">
        <v>4873</v>
      </c>
      <c r="C25" s="60" t="s">
        <v>15435</v>
      </c>
      <c r="D25" s="1"/>
      <c r="E25" s="68"/>
      <c r="F25" s="70"/>
      <c r="G25" s="1"/>
      <c r="H25" s="68"/>
      <c r="I25" s="70"/>
      <c r="J25" s="67"/>
      <c r="K25" s="68"/>
      <c r="L25" s="76"/>
      <c r="M25" s="85"/>
      <c r="N25" s="64"/>
      <c r="O25" s="65"/>
      <c r="P25" s="99"/>
      <c r="Q25" s="70"/>
      <c r="R25" s="74" t="s">
        <v>18367</v>
      </c>
      <c r="S25" s="62"/>
      <c r="T25" s="63"/>
      <c r="U25" s="75"/>
      <c r="V25" s="67"/>
      <c r="W25" s="68" t="s">
        <v>1</v>
      </c>
      <c r="X25" s="76">
        <v>0.2</v>
      </c>
      <c r="Y25" s="70" t="s">
        <v>422</v>
      </c>
      <c r="Z25" s="228">
        <f>ROUND((ROUND((ROUND((ROUND((_15_同援日０．５*_15・通訳),0)*(1+_15・A深夜)),0)*(1+_15・盲ろう)),0)*(1+_15・区３)),0)+ROUND((ROUND((ROUND((_15_同援日０．５＿１．０*_15・通訳),0)*(1+_15・盲ろう)),0)*(1+_15・区３)),0)</f>
        <v>692</v>
      </c>
      <c r="AA25" s="69"/>
    </row>
    <row r="26" spans="1:27" ht="16.5" customHeight="1" x14ac:dyDescent="0.3">
      <c r="A26" s="2">
        <v>15</v>
      </c>
      <c r="B26" s="2" t="s">
        <v>4874</v>
      </c>
      <c r="C26" s="60" t="s">
        <v>15434</v>
      </c>
      <c r="D26" s="1"/>
      <c r="E26" s="68"/>
      <c r="F26" s="70"/>
      <c r="G26" s="1"/>
      <c r="H26" s="68"/>
      <c r="I26" s="70"/>
      <c r="J26" s="67"/>
      <c r="K26" s="68"/>
      <c r="L26" s="76"/>
      <c r="M26" s="83" t="s">
        <v>5895</v>
      </c>
      <c r="N26" s="64" t="s">
        <v>1</v>
      </c>
      <c r="O26" s="65">
        <v>1</v>
      </c>
      <c r="P26" s="99"/>
      <c r="Q26" s="70"/>
      <c r="R26" s="106" t="s">
        <v>18366</v>
      </c>
      <c r="S26" s="57" t="s">
        <v>1</v>
      </c>
      <c r="T26" s="58">
        <v>0.25</v>
      </c>
      <c r="U26" s="77" t="s">
        <v>422</v>
      </c>
      <c r="V26" s="66"/>
      <c r="W26" s="57"/>
      <c r="X26" s="58"/>
      <c r="Y26" s="77"/>
      <c r="Z26" s="228">
        <f>ROUND((ROUND((ROUND((ROUND((ROUND((_15_同援日０．５*_15・通訳),0)*_15・２人),0)*(1+_15・A深夜)),0)*(1+_15・盲ろう)),0)*(1+_15・区３)),0)+ROUND((ROUND((ROUND((ROUND((_15_同援日０．５＿１．０*_15・通訳),0)*_15・２人),0)*(1+_15・盲ろう)),0)*(1+_15・区３)),0)</f>
        <v>692</v>
      </c>
      <c r="AA26" s="69"/>
    </row>
    <row r="27" spans="1:27" ht="16.5" customHeight="1" x14ac:dyDescent="0.3">
      <c r="A27" s="2">
        <v>15</v>
      </c>
      <c r="B27" s="2" t="s">
        <v>4875</v>
      </c>
      <c r="C27" s="60" t="s">
        <v>15433</v>
      </c>
      <c r="D27" s="1"/>
      <c r="E27" s="68"/>
      <c r="F27" s="70"/>
      <c r="G27" s="1"/>
      <c r="H27" s="68"/>
      <c r="I27" s="70"/>
      <c r="J27" s="67"/>
      <c r="K27" s="68"/>
      <c r="L27" s="76"/>
      <c r="M27" s="85"/>
      <c r="N27" s="64"/>
      <c r="O27" s="65"/>
      <c r="P27" s="99"/>
      <c r="Q27" s="70"/>
      <c r="R27" s="61"/>
      <c r="S27" s="62"/>
      <c r="T27" s="63"/>
      <c r="U27" s="75"/>
      <c r="V27" s="74" t="s">
        <v>18369</v>
      </c>
      <c r="W27" s="62"/>
      <c r="X27" s="63"/>
      <c r="Y27" s="75"/>
      <c r="Z27" s="228">
        <f>ROUND((ROUND((ROUND((_15_同援日０．５*_15・通訳),0)*(1+_15・A深夜)),0)*(1+_15・区４)),0)+ROUND((ROUND((_15_同援日０．５＿１．０*_15・通訳),0)*(1+_15・区４)),0)</f>
        <v>647</v>
      </c>
      <c r="AA27" s="69"/>
    </row>
    <row r="28" spans="1:27" ht="16.5" customHeight="1" x14ac:dyDescent="0.3">
      <c r="A28" s="2">
        <v>15</v>
      </c>
      <c r="B28" s="2" t="s">
        <v>4876</v>
      </c>
      <c r="C28" s="60" t="s">
        <v>15432</v>
      </c>
      <c r="D28" s="1"/>
      <c r="E28" s="68"/>
      <c r="F28" s="70"/>
      <c r="G28" s="1"/>
      <c r="H28" s="68"/>
      <c r="I28" s="70"/>
      <c r="J28" s="67"/>
      <c r="K28" s="68"/>
      <c r="L28" s="76"/>
      <c r="M28" s="83" t="s">
        <v>5895</v>
      </c>
      <c r="N28" s="64" t="s">
        <v>1</v>
      </c>
      <c r="O28" s="65">
        <v>1</v>
      </c>
      <c r="P28" s="99"/>
      <c r="Q28" s="70"/>
      <c r="R28" s="66"/>
      <c r="S28" s="57"/>
      <c r="T28" s="58"/>
      <c r="U28" s="77"/>
      <c r="V28" s="94" t="s">
        <v>18368</v>
      </c>
      <c r="W28" s="68"/>
      <c r="X28" s="76"/>
      <c r="Y28" s="70"/>
      <c r="Z28" s="228">
        <f>ROUND((ROUND((ROUND((ROUND((_15_同援日０．５*_15・通訳),0)*_15・２人),0)*(1+_15・A深夜)),0)*(1+_15・区４)),0)+ROUND((ROUND((ROUND((_15_同援日０．５＿１．０*_15・通訳),0)*_15・２人),0)*(1+_15・区４)),0)</f>
        <v>647</v>
      </c>
      <c r="AA28" s="69"/>
    </row>
    <row r="29" spans="1:27" ht="16.5" customHeight="1" x14ac:dyDescent="0.3">
      <c r="A29" s="2">
        <v>15</v>
      </c>
      <c r="B29" s="2" t="s">
        <v>4877</v>
      </c>
      <c r="C29" s="60" t="s">
        <v>15431</v>
      </c>
      <c r="D29" s="1"/>
      <c r="E29" s="68"/>
      <c r="F29" s="70"/>
      <c r="G29" s="1"/>
      <c r="H29" s="68"/>
      <c r="I29" s="70"/>
      <c r="J29" s="67"/>
      <c r="K29" s="68"/>
      <c r="L29" s="76"/>
      <c r="M29" s="85"/>
      <c r="N29" s="64"/>
      <c r="O29" s="65"/>
      <c r="P29" s="99"/>
      <c r="Q29" s="70"/>
      <c r="R29" s="74" t="s">
        <v>18367</v>
      </c>
      <c r="S29" s="62"/>
      <c r="T29" s="63"/>
      <c r="U29" s="75"/>
      <c r="V29" s="67"/>
      <c r="W29" s="68" t="s">
        <v>1</v>
      </c>
      <c r="X29" s="76">
        <v>0.4</v>
      </c>
      <c r="Y29" s="70" t="s">
        <v>422</v>
      </c>
      <c r="Z29" s="228">
        <f>ROUND((ROUND((ROUND((ROUND((_15_同援日０．５*_15・通訳),0)*(1+_15・A深夜)),0)*(1+_15・盲ろう)),0)*(1+_15・区４)),0)+ROUND((ROUND((ROUND((_15_同援日０．５＿１．０*_15・通訳),0)*(1+_15・盲ろう)),0)*(1+_15・区４)),0)</f>
        <v>807</v>
      </c>
      <c r="AA29" s="69"/>
    </row>
    <row r="30" spans="1:27" ht="16.5" customHeight="1" x14ac:dyDescent="0.3">
      <c r="A30" s="2">
        <v>15</v>
      </c>
      <c r="B30" s="2" t="s">
        <v>4878</v>
      </c>
      <c r="C30" s="60" t="s">
        <v>15430</v>
      </c>
      <c r="D30" s="1"/>
      <c r="E30" s="68"/>
      <c r="F30" s="70"/>
      <c r="G30" s="81"/>
      <c r="H30" s="57"/>
      <c r="I30" s="77"/>
      <c r="J30" s="67"/>
      <c r="K30" s="68"/>
      <c r="L30" s="76"/>
      <c r="M30" s="83" t="s">
        <v>5895</v>
      </c>
      <c r="N30" s="64" t="s">
        <v>1</v>
      </c>
      <c r="O30" s="65">
        <v>1</v>
      </c>
      <c r="P30" s="99"/>
      <c r="Q30" s="70"/>
      <c r="R30" s="106" t="s">
        <v>18366</v>
      </c>
      <c r="S30" s="57" t="s">
        <v>1</v>
      </c>
      <c r="T30" s="58">
        <v>0.25</v>
      </c>
      <c r="U30" s="77" t="s">
        <v>422</v>
      </c>
      <c r="V30" s="66"/>
      <c r="W30" s="57"/>
      <c r="X30" s="58"/>
      <c r="Y30" s="77"/>
      <c r="Z30" s="228">
        <f>ROUND((ROUND((ROUND((ROUND((ROUND((_15_同援日０．５*_15・通訳),0)*_15・２人),0)*(1+_15・A深夜)),0)*(1+_15・盲ろう)),0)*(1+_15・区４)),0)+ROUND((ROUND((ROUND((ROUND((_15_同援日０．５＿１．０*_15・通訳),0)*_15・２人),0)*(1+_15・盲ろう)),0)*(1+_15・区４)),0)</f>
        <v>807</v>
      </c>
      <c r="AA30" s="69"/>
    </row>
    <row r="31" spans="1:27" ht="16.5" customHeight="1" x14ac:dyDescent="0.3">
      <c r="A31" s="2">
        <v>15</v>
      </c>
      <c r="B31" s="2" t="s">
        <v>4879</v>
      </c>
      <c r="C31" s="60" t="s">
        <v>15429</v>
      </c>
      <c r="D31" s="1"/>
      <c r="E31" s="68"/>
      <c r="F31" s="70"/>
      <c r="G31" s="233" t="s">
        <v>18378</v>
      </c>
      <c r="H31" s="62"/>
      <c r="I31" s="75"/>
      <c r="J31" s="67"/>
      <c r="K31" s="68"/>
      <c r="L31" s="76"/>
      <c r="M31" s="85"/>
      <c r="N31" s="64"/>
      <c r="O31" s="65"/>
      <c r="P31" s="99"/>
      <c r="Q31" s="70"/>
      <c r="R31" s="61"/>
      <c r="S31" s="62"/>
      <c r="T31" s="63"/>
      <c r="U31" s="75"/>
      <c r="V31" s="61"/>
      <c r="W31" s="62"/>
      <c r="X31" s="63"/>
      <c r="Y31" s="75"/>
      <c r="Z31" s="228">
        <f>ROUND((ROUND((_15_同援日０．５*_15・通訳),0)*(1+_15・A深夜)),0)+ROUND((_15_同援日０．５＿１．５*_15・通訳),0)</f>
        <v>520</v>
      </c>
      <c r="AA31" s="69"/>
    </row>
    <row r="32" spans="1:27" ht="16.5" customHeight="1" x14ac:dyDescent="0.3">
      <c r="A32" s="2">
        <v>15</v>
      </c>
      <c r="B32" s="2" t="s">
        <v>4880</v>
      </c>
      <c r="C32" s="60" t="s">
        <v>15428</v>
      </c>
      <c r="D32" s="1"/>
      <c r="E32" s="68"/>
      <c r="F32" s="70"/>
      <c r="G32" s="1" t="s">
        <v>18377</v>
      </c>
      <c r="H32" s="68"/>
      <c r="I32" s="70"/>
      <c r="J32" s="67"/>
      <c r="K32" s="68"/>
      <c r="L32" s="76"/>
      <c r="M32" s="83" t="s">
        <v>5895</v>
      </c>
      <c r="N32" s="64" t="s">
        <v>1</v>
      </c>
      <c r="O32" s="65">
        <v>1</v>
      </c>
      <c r="P32" s="99"/>
      <c r="Q32" s="70"/>
      <c r="R32" s="66"/>
      <c r="S32" s="57"/>
      <c r="T32" s="58"/>
      <c r="U32" s="77"/>
      <c r="V32" s="67"/>
      <c r="W32" s="68"/>
      <c r="X32" s="76"/>
      <c r="Y32" s="70"/>
      <c r="Z32" s="228">
        <f>ROUND((ROUND((ROUND((_15_同援日０．５*_15・通訳),0)*_15・２人),0)*(1+_15・A深夜)),0)+ROUND((ROUND((_15_同援日０．５＿１．５*_15・通訳),0)*_15・２人),0)</f>
        <v>520</v>
      </c>
      <c r="AA32" s="69"/>
    </row>
    <row r="33" spans="1:27" ht="16.5" customHeight="1" x14ac:dyDescent="0.3">
      <c r="A33" s="2">
        <v>15</v>
      </c>
      <c r="B33" s="2" t="s">
        <v>4881</v>
      </c>
      <c r="C33" s="60" t="s">
        <v>15427</v>
      </c>
      <c r="D33" s="1"/>
      <c r="E33" s="68"/>
      <c r="F33" s="70"/>
      <c r="G33" s="1" t="s">
        <v>8767</v>
      </c>
      <c r="H33" s="68"/>
      <c r="I33" s="70"/>
      <c r="J33" s="67"/>
      <c r="K33" s="68"/>
      <c r="L33" s="76"/>
      <c r="M33" s="85"/>
      <c r="N33" s="64"/>
      <c r="O33" s="65"/>
      <c r="P33" s="99"/>
      <c r="Q33" s="70"/>
      <c r="R33" s="74" t="s">
        <v>18367</v>
      </c>
      <c r="S33" s="62"/>
      <c r="T33" s="63"/>
      <c r="U33" s="75"/>
      <c r="V33" s="67"/>
      <c r="W33" s="68"/>
      <c r="X33" s="76"/>
      <c r="Y33" s="70"/>
      <c r="Z33" s="228">
        <f>ROUND((ROUND((ROUND((_15_同援日０．５*_15・通訳),0)*(1+_15・A深夜)),0)*(1+_15・盲ろう)),0)+ROUND((ROUND((_15_同援日０．５＿１．５*_15・通訳),0)*(1+_15・盲ろう)),0)</f>
        <v>650</v>
      </c>
      <c r="AA33" s="69"/>
    </row>
    <row r="34" spans="1:27" ht="16.5" customHeight="1" x14ac:dyDescent="0.3">
      <c r="A34" s="2">
        <v>15</v>
      </c>
      <c r="B34" s="2" t="s">
        <v>4882</v>
      </c>
      <c r="C34" s="60" t="s">
        <v>15426</v>
      </c>
      <c r="D34" s="1"/>
      <c r="E34" s="68"/>
      <c r="F34" s="70"/>
      <c r="G34" s="1"/>
      <c r="H34" s="227">
        <v>301</v>
      </c>
      <c r="I34" s="70" t="s">
        <v>0</v>
      </c>
      <c r="J34" s="67"/>
      <c r="K34" s="68"/>
      <c r="L34" s="76"/>
      <c r="M34" s="83" t="s">
        <v>5895</v>
      </c>
      <c r="N34" s="64" t="s">
        <v>1</v>
      </c>
      <c r="O34" s="65">
        <v>1</v>
      </c>
      <c r="P34" s="99"/>
      <c r="Q34" s="70"/>
      <c r="R34" s="106" t="s">
        <v>18366</v>
      </c>
      <c r="S34" s="57" t="s">
        <v>1</v>
      </c>
      <c r="T34" s="58">
        <v>0.25</v>
      </c>
      <c r="U34" s="77" t="s">
        <v>422</v>
      </c>
      <c r="V34" s="66"/>
      <c r="W34" s="57"/>
      <c r="X34" s="58"/>
      <c r="Y34" s="77"/>
      <c r="Z34" s="228">
        <f>ROUND((ROUND((ROUND((ROUND((_15_同援日０．５*_15・通訳),0)*_15・２人),0)*(1+_15・A深夜)),0)*(1+_15・盲ろう)),0)+ROUND((ROUND((ROUND((_15_同援日０．５＿１．５*_15・通訳),0)*_15・２人),0)*(1+_15・盲ろう)),0)</f>
        <v>650</v>
      </c>
      <c r="AA34" s="69"/>
    </row>
    <row r="35" spans="1:27" ht="16.5" customHeight="1" x14ac:dyDescent="0.3">
      <c r="A35" s="2">
        <v>15</v>
      </c>
      <c r="B35" s="2" t="s">
        <v>4883</v>
      </c>
      <c r="C35" s="60" t="s">
        <v>15425</v>
      </c>
      <c r="D35" s="1"/>
      <c r="E35" s="68"/>
      <c r="F35" s="70"/>
      <c r="G35" s="1"/>
      <c r="H35" s="68"/>
      <c r="I35" s="70"/>
      <c r="J35" s="67"/>
      <c r="K35" s="68"/>
      <c r="L35" s="76"/>
      <c r="M35" s="85"/>
      <c r="N35" s="64"/>
      <c r="O35" s="65"/>
      <c r="P35" s="99"/>
      <c r="Q35" s="70"/>
      <c r="R35" s="61"/>
      <c r="S35" s="62"/>
      <c r="T35" s="63"/>
      <c r="U35" s="75"/>
      <c r="V35" s="74" t="s">
        <v>18370</v>
      </c>
      <c r="W35" s="62"/>
      <c r="X35" s="63"/>
      <c r="Y35" s="75"/>
      <c r="Z35" s="228">
        <f>ROUND((ROUND((ROUND((_15_同援日０．５*_15・通訳),0)*(1+_15・A深夜)),0)*(1+_15・区３)),0)+ROUND((ROUND((_15_同援日０．５＿１．５*_15・通訳),0)*(1+_15・区３)),0)</f>
        <v>624</v>
      </c>
      <c r="AA35" s="69"/>
    </row>
    <row r="36" spans="1:27" ht="16.5" customHeight="1" x14ac:dyDescent="0.3">
      <c r="A36" s="2">
        <v>15</v>
      </c>
      <c r="B36" s="2" t="s">
        <v>4884</v>
      </c>
      <c r="C36" s="60" t="s">
        <v>15424</v>
      </c>
      <c r="D36" s="1"/>
      <c r="E36" s="68"/>
      <c r="F36" s="70"/>
      <c r="G36" s="1"/>
      <c r="H36" s="68"/>
      <c r="I36" s="70"/>
      <c r="J36" s="67"/>
      <c r="K36" s="68"/>
      <c r="L36" s="76"/>
      <c r="M36" s="83" t="s">
        <v>5895</v>
      </c>
      <c r="N36" s="64" t="s">
        <v>1</v>
      </c>
      <c r="O36" s="65">
        <v>1</v>
      </c>
      <c r="P36" s="99"/>
      <c r="Q36" s="70"/>
      <c r="R36" s="66"/>
      <c r="S36" s="57"/>
      <c r="T36" s="58"/>
      <c r="U36" s="77"/>
      <c r="V36" s="94" t="s">
        <v>18368</v>
      </c>
      <c r="W36" s="68"/>
      <c r="X36" s="76"/>
      <c r="Y36" s="70"/>
      <c r="Z36" s="228">
        <f>ROUND((ROUND((ROUND((ROUND((_15_同援日０．５*_15・通訳),0)*_15・２人),0)*(1+_15・A深夜)),0)*(1+_15・区３)),0)+ROUND((ROUND((ROUND((_15_同援日０．５＿１．５*_15・通訳),0)*_15・２人),0)*(1+_15・区３)),0)</f>
        <v>624</v>
      </c>
      <c r="AA36" s="69"/>
    </row>
    <row r="37" spans="1:27" ht="16.5" customHeight="1" x14ac:dyDescent="0.3">
      <c r="A37" s="2">
        <v>15</v>
      </c>
      <c r="B37" s="2" t="s">
        <v>4885</v>
      </c>
      <c r="C37" s="60" t="s">
        <v>15423</v>
      </c>
      <c r="D37" s="1"/>
      <c r="E37" s="68"/>
      <c r="F37" s="70"/>
      <c r="G37" s="1"/>
      <c r="H37" s="68"/>
      <c r="I37" s="70"/>
      <c r="J37" s="67"/>
      <c r="K37" s="68"/>
      <c r="L37" s="76"/>
      <c r="M37" s="85"/>
      <c r="N37" s="64"/>
      <c r="O37" s="65"/>
      <c r="P37" s="99"/>
      <c r="Q37" s="70"/>
      <c r="R37" s="74" t="s">
        <v>18367</v>
      </c>
      <c r="S37" s="62"/>
      <c r="T37" s="63"/>
      <c r="U37" s="75"/>
      <c r="V37" s="67"/>
      <c r="W37" s="68" t="s">
        <v>1</v>
      </c>
      <c r="X37" s="76">
        <v>0.2</v>
      </c>
      <c r="Y37" s="70" t="s">
        <v>422</v>
      </c>
      <c r="Z37" s="228">
        <f>ROUND((ROUND((ROUND((ROUND((_15_同援日０．５*_15・通訳),0)*(1+_15・A深夜)),0)*(1+_15・盲ろう)),0)*(1+_15・区３)),0)+ROUND((ROUND((ROUND((_15_同援日０．５＿１．５*_15・通訳),0)*(1+_15・盲ろう)),0)*(1+_15・区３)),0)</f>
        <v>780</v>
      </c>
      <c r="AA37" s="69"/>
    </row>
    <row r="38" spans="1:27" ht="16.5" customHeight="1" x14ac:dyDescent="0.3">
      <c r="A38" s="2">
        <v>15</v>
      </c>
      <c r="B38" s="2" t="s">
        <v>4886</v>
      </c>
      <c r="C38" s="60" t="s">
        <v>15422</v>
      </c>
      <c r="D38" s="1"/>
      <c r="E38" s="68"/>
      <c r="F38" s="70"/>
      <c r="G38" s="1"/>
      <c r="H38" s="68"/>
      <c r="I38" s="70"/>
      <c r="J38" s="67"/>
      <c r="K38" s="68"/>
      <c r="L38" s="76"/>
      <c r="M38" s="83" t="s">
        <v>5895</v>
      </c>
      <c r="N38" s="64" t="s">
        <v>1</v>
      </c>
      <c r="O38" s="65">
        <v>1</v>
      </c>
      <c r="P38" s="99"/>
      <c r="Q38" s="70"/>
      <c r="R38" s="106" t="s">
        <v>18366</v>
      </c>
      <c r="S38" s="57" t="s">
        <v>1</v>
      </c>
      <c r="T38" s="58">
        <v>0.25</v>
      </c>
      <c r="U38" s="77" t="s">
        <v>422</v>
      </c>
      <c r="V38" s="66"/>
      <c r="W38" s="57"/>
      <c r="X38" s="58"/>
      <c r="Y38" s="77"/>
      <c r="Z38" s="228">
        <f>ROUND((ROUND((ROUND((ROUND((ROUND((_15_同援日０．５*_15・通訳),0)*_15・２人),0)*(1+_15・A深夜)),0)*(1+_15・盲ろう)),0)*(1+_15・区３)),0)+ROUND((ROUND((ROUND((ROUND((_15_同援日０．５＿１．５*_15・通訳),0)*_15・２人),0)*(1+_15・盲ろう)),0)*(1+_15・区３)),0)</f>
        <v>780</v>
      </c>
      <c r="AA38" s="69"/>
    </row>
    <row r="39" spans="1:27" ht="16.5" customHeight="1" x14ac:dyDescent="0.3">
      <c r="A39" s="2">
        <v>15</v>
      </c>
      <c r="B39" s="2" t="s">
        <v>4887</v>
      </c>
      <c r="C39" s="60" t="s">
        <v>15421</v>
      </c>
      <c r="D39" s="1"/>
      <c r="E39" s="68"/>
      <c r="F39" s="70"/>
      <c r="G39" s="1"/>
      <c r="H39" s="68"/>
      <c r="I39" s="70"/>
      <c r="J39" s="67"/>
      <c r="K39" s="68"/>
      <c r="L39" s="76"/>
      <c r="M39" s="85"/>
      <c r="N39" s="64"/>
      <c r="O39" s="65"/>
      <c r="P39" s="99"/>
      <c r="Q39" s="70"/>
      <c r="R39" s="61"/>
      <c r="S39" s="62"/>
      <c r="T39" s="63"/>
      <c r="U39" s="75"/>
      <c r="V39" s="74" t="s">
        <v>18369</v>
      </c>
      <c r="W39" s="62"/>
      <c r="X39" s="63"/>
      <c r="Y39" s="75"/>
      <c r="Z39" s="228">
        <f>ROUND((ROUND((ROUND((_15_同援日０．５*_15・通訳),0)*(1+_15・A深夜)),0)*(1+_15・区４)),0)+ROUND((ROUND((_15_同援日０．５＿１．５*_15・通訳),0)*(1+_15・区４)),0)</f>
        <v>728</v>
      </c>
      <c r="AA39" s="69"/>
    </row>
    <row r="40" spans="1:27" ht="16.5" customHeight="1" x14ac:dyDescent="0.3">
      <c r="A40" s="2">
        <v>15</v>
      </c>
      <c r="B40" s="2" t="s">
        <v>4888</v>
      </c>
      <c r="C40" s="60" t="s">
        <v>15420</v>
      </c>
      <c r="D40" s="1"/>
      <c r="E40" s="68"/>
      <c r="F40" s="70"/>
      <c r="G40" s="1"/>
      <c r="H40" s="68"/>
      <c r="I40" s="70"/>
      <c r="J40" s="67"/>
      <c r="K40" s="68"/>
      <c r="L40" s="76"/>
      <c r="M40" s="83" t="s">
        <v>5895</v>
      </c>
      <c r="N40" s="64" t="s">
        <v>1</v>
      </c>
      <c r="O40" s="65">
        <v>1</v>
      </c>
      <c r="P40" s="99"/>
      <c r="Q40" s="70"/>
      <c r="R40" s="66"/>
      <c r="S40" s="57"/>
      <c r="T40" s="58"/>
      <c r="U40" s="77"/>
      <c r="V40" s="94" t="s">
        <v>18368</v>
      </c>
      <c r="W40" s="68"/>
      <c r="X40" s="76"/>
      <c r="Y40" s="70"/>
      <c r="Z40" s="228">
        <f>ROUND((ROUND((ROUND((ROUND((_15_同援日０．５*_15・通訳),0)*_15・２人),0)*(1+_15・A深夜)),0)*(1+_15・区４)),0)+ROUND((ROUND((ROUND((_15_同援日０．５＿１．５*_15・通訳),0)*_15・２人),0)*(1+_15・区４)),0)</f>
        <v>728</v>
      </c>
      <c r="AA40" s="69"/>
    </row>
    <row r="41" spans="1:27" ht="16.5" customHeight="1" x14ac:dyDescent="0.3">
      <c r="A41" s="2">
        <v>15</v>
      </c>
      <c r="B41" s="2" t="s">
        <v>4889</v>
      </c>
      <c r="C41" s="60" t="s">
        <v>15419</v>
      </c>
      <c r="D41" s="1"/>
      <c r="E41" s="68"/>
      <c r="F41" s="70"/>
      <c r="G41" s="1"/>
      <c r="H41" s="68"/>
      <c r="I41" s="70"/>
      <c r="J41" s="67"/>
      <c r="K41" s="68"/>
      <c r="L41" s="76"/>
      <c r="M41" s="85"/>
      <c r="N41" s="64"/>
      <c r="O41" s="65"/>
      <c r="P41" s="99"/>
      <c r="Q41" s="70"/>
      <c r="R41" s="74" t="s">
        <v>18367</v>
      </c>
      <c r="S41" s="62"/>
      <c r="T41" s="63"/>
      <c r="U41" s="75"/>
      <c r="V41" s="67"/>
      <c r="W41" s="68" t="s">
        <v>1</v>
      </c>
      <c r="X41" s="76">
        <v>0.4</v>
      </c>
      <c r="Y41" s="70" t="s">
        <v>422</v>
      </c>
      <c r="Z41" s="228">
        <f>ROUND((ROUND((ROUND((ROUND((_15_同援日０．５*_15・通訳),0)*(1+_15・A深夜)),0)*(1+_15・盲ろう)),0)*(1+_15・区４)),0)+ROUND((ROUND((ROUND((_15_同援日０．５＿１．５*_15・通訳),0)*(1+_15・盲ろう)),0)*(1+_15・区４)),0)</f>
        <v>910</v>
      </c>
      <c r="AA41" s="69"/>
    </row>
    <row r="42" spans="1:27" ht="16.5" customHeight="1" x14ac:dyDescent="0.3">
      <c r="A42" s="2">
        <v>15</v>
      </c>
      <c r="B42" s="2" t="s">
        <v>4890</v>
      </c>
      <c r="C42" s="60" t="s">
        <v>15418</v>
      </c>
      <c r="D42" s="1"/>
      <c r="E42" s="68"/>
      <c r="F42" s="70"/>
      <c r="G42" s="81"/>
      <c r="H42" s="57"/>
      <c r="I42" s="77"/>
      <c r="J42" s="67"/>
      <c r="K42" s="68"/>
      <c r="L42" s="76"/>
      <c r="M42" s="83" t="s">
        <v>5895</v>
      </c>
      <c r="N42" s="64" t="s">
        <v>1</v>
      </c>
      <c r="O42" s="65">
        <v>1</v>
      </c>
      <c r="P42" s="99"/>
      <c r="Q42" s="70"/>
      <c r="R42" s="106" t="s">
        <v>18366</v>
      </c>
      <c r="S42" s="57" t="s">
        <v>1</v>
      </c>
      <c r="T42" s="58">
        <v>0.25</v>
      </c>
      <c r="U42" s="77" t="s">
        <v>422</v>
      </c>
      <c r="V42" s="66"/>
      <c r="W42" s="57"/>
      <c r="X42" s="58"/>
      <c r="Y42" s="77"/>
      <c r="Z42" s="228">
        <f>ROUND((ROUND((ROUND((ROUND((ROUND((_15_同援日０．５*_15・通訳),0)*_15・２人),0)*(1+_15・A深夜)),0)*(1+_15・盲ろう)),0)*(1+_15・区４)),0)+ROUND((ROUND((ROUND((ROUND((_15_同援日０．５＿１．５*_15・通訳),0)*_15・２人),0)*(1+_15・盲ろう)),0)*(1+_15・区４)),0)</f>
        <v>910</v>
      </c>
      <c r="AA42" s="69"/>
    </row>
    <row r="43" spans="1:27" ht="16.5" customHeight="1" x14ac:dyDescent="0.3">
      <c r="A43" s="2">
        <v>15</v>
      </c>
      <c r="B43" s="2" t="s">
        <v>4891</v>
      </c>
      <c r="C43" s="60" t="s">
        <v>15417</v>
      </c>
      <c r="D43" s="1"/>
      <c r="E43" s="68"/>
      <c r="F43" s="70"/>
      <c r="G43" s="233" t="s">
        <v>18380</v>
      </c>
      <c r="H43" s="62"/>
      <c r="I43" s="75"/>
      <c r="J43" s="67"/>
      <c r="K43" s="68"/>
      <c r="L43" s="76"/>
      <c r="M43" s="85"/>
      <c r="N43" s="64"/>
      <c r="O43" s="65"/>
      <c r="P43" s="99"/>
      <c r="Q43" s="70"/>
      <c r="R43" s="61"/>
      <c r="S43" s="62"/>
      <c r="T43" s="63"/>
      <c r="U43" s="75"/>
      <c r="V43" s="61"/>
      <c r="W43" s="62"/>
      <c r="X43" s="63"/>
      <c r="Y43" s="75"/>
      <c r="Z43" s="228">
        <f>ROUND((ROUND((_15_同援日０．５*_15・通訳),0)*(1+_15・A深夜)),0)+ROUND((_15_同援日０．５＿２．０*_15・通訳),0)</f>
        <v>577</v>
      </c>
      <c r="AA43" s="69"/>
    </row>
    <row r="44" spans="1:27" ht="16.5" customHeight="1" x14ac:dyDescent="0.3">
      <c r="A44" s="2">
        <v>15</v>
      </c>
      <c r="B44" s="2" t="s">
        <v>4892</v>
      </c>
      <c r="C44" s="60" t="s">
        <v>15416</v>
      </c>
      <c r="D44" s="1"/>
      <c r="E44" s="68"/>
      <c r="F44" s="70"/>
      <c r="G44" s="1" t="s">
        <v>18375</v>
      </c>
      <c r="H44" s="68"/>
      <c r="I44" s="70"/>
      <c r="J44" s="67"/>
      <c r="K44" s="68"/>
      <c r="L44" s="76"/>
      <c r="M44" s="83" t="s">
        <v>5895</v>
      </c>
      <c r="N44" s="64" t="s">
        <v>1</v>
      </c>
      <c r="O44" s="65">
        <v>1</v>
      </c>
      <c r="P44" s="99"/>
      <c r="Q44" s="70"/>
      <c r="R44" s="66"/>
      <c r="S44" s="57"/>
      <c r="T44" s="58"/>
      <c r="U44" s="77"/>
      <c r="V44" s="67"/>
      <c r="W44" s="68"/>
      <c r="X44" s="76"/>
      <c r="Y44" s="70"/>
      <c r="Z44" s="228">
        <f>ROUND((ROUND((ROUND((_15_同援日０．５*_15・通訳),0)*_15・２人),0)*(1+_15・A深夜)),0)+ROUND((ROUND((_15_同援日０．５＿２．０*_15・通訳),0)*_15・２人),0)</f>
        <v>577</v>
      </c>
      <c r="AA44" s="69"/>
    </row>
    <row r="45" spans="1:27" ht="16.5" customHeight="1" x14ac:dyDescent="0.3">
      <c r="A45" s="2">
        <v>15</v>
      </c>
      <c r="B45" s="2" t="s">
        <v>4893</v>
      </c>
      <c r="C45" s="60" t="s">
        <v>15415</v>
      </c>
      <c r="D45" s="1"/>
      <c r="E45" s="68"/>
      <c r="F45" s="70"/>
      <c r="G45" s="1" t="s">
        <v>6448</v>
      </c>
      <c r="H45" s="68"/>
      <c r="I45" s="70"/>
      <c r="J45" s="67"/>
      <c r="K45" s="68"/>
      <c r="L45" s="76"/>
      <c r="M45" s="85"/>
      <c r="N45" s="64"/>
      <c r="O45" s="65"/>
      <c r="P45" s="99"/>
      <c r="Q45" s="70"/>
      <c r="R45" s="74" t="s">
        <v>18367</v>
      </c>
      <c r="S45" s="62"/>
      <c r="T45" s="63"/>
      <c r="U45" s="75"/>
      <c r="V45" s="67"/>
      <c r="W45" s="68"/>
      <c r="X45" s="76"/>
      <c r="Y45" s="70"/>
      <c r="Z45" s="228">
        <f>ROUND((ROUND((ROUND((_15_同援日０．５*_15・通訳),0)*(1+_15・A深夜)),0)*(1+_15・盲ろう)),0)+ROUND((ROUND((_15_同援日０．５＿２．０*_15・通訳),0)*(1+_15・盲ろう)),0)</f>
        <v>721</v>
      </c>
      <c r="AA45" s="69"/>
    </row>
    <row r="46" spans="1:27" ht="16.5" customHeight="1" x14ac:dyDescent="0.3">
      <c r="A46" s="2">
        <v>15</v>
      </c>
      <c r="B46" s="2" t="s">
        <v>4894</v>
      </c>
      <c r="C46" s="60" t="s">
        <v>15414</v>
      </c>
      <c r="D46" s="1"/>
      <c r="E46" s="68"/>
      <c r="F46" s="70"/>
      <c r="G46" s="1"/>
      <c r="H46" s="227">
        <v>364</v>
      </c>
      <c r="I46" s="70" t="s">
        <v>0</v>
      </c>
      <c r="J46" s="67"/>
      <c r="K46" s="68"/>
      <c r="L46" s="76"/>
      <c r="M46" s="83" t="s">
        <v>5895</v>
      </c>
      <c r="N46" s="64" t="s">
        <v>1</v>
      </c>
      <c r="O46" s="65">
        <v>1</v>
      </c>
      <c r="P46" s="99"/>
      <c r="Q46" s="70"/>
      <c r="R46" s="106" t="s">
        <v>18366</v>
      </c>
      <c r="S46" s="57" t="s">
        <v>1</v>
      </c>
      <c r="T46" s="58">
        <v>0.25</v>
      </c>
      <c r="U46" s="77" t="s">
        <v>422</v>
      </c>
      <c r="V46" s="66"/>
      <c r="W46" s="57"/>
      <c r="X46" s="58"/>
      <c r="Y46" s="77"/>
      <c r="Z46" s="228">
        <f>ROUND((ROUND((ROUND((ROUND((_15_同援日０．５*_15・通訳),0)*_15・２人),0)*(1+_15・A深夜)),0)*(1+_15・盲ろう)),0)+ROUND((ROUND((ROUND((_15_同援日０．５＿２．０*_15・通訳),0)*_15・２人),0)*(1+_15・盲ろう)),0)</f>
        <v>721</v>
      </c>
      <c r="AA46" s="69"/>
    </row>
    <row r="47" spans="1:27" ht="16.5" customHeight="1" x14ac:dyDescent="0.3">
      <c r="A47" s="2">
        <v>15</v>
      </c>
      <c r="B47" s="2" t="s">
        <v>4895</v>
      </c>
      <c r="C47" s="60" t="s">
        <v>15413</v>
      </c>
      <c r="D47" s="1"/>
      <c r="E47" s="68"/>
      <c r="F47" s="70"/>
      <c r="G47" s="1"/>
      <c r="H47" s="68"/>
      <c r="I47" s="70"/>
      <c r="J47" s="67"/>
      <c r="K47" s="68"/>
      <c r="L47" s="76"/>
      <c r="M47" s="85"/>
      <c r="N47" s="64"/>
      <c r="O47" s="65"/>
      <c r="P47" s="99"/>
      <c r="Q47" s="70"/>
      <c r="R47" s="61"/>
      <c r="S47" s="62"/>
      <c r="T47" s="63"/>
      <c r="U47" s="75"/>
      <c r="V47" s="74" t="s">
        <v>18370</v>
      </c>
      <c r="W47" s="62"/>
      <c r="X47" s="63"/>
      <c r="Y47" s="75"/>
      <c r="Z47" s="228">
        <f>ROUND((ROUND((ROUND((_15_同援日０．５*_15・通訳),0)*(1+_15・A深夜)),0)*(1+_15・区３)),0)+ROUND((ROUND((_15_同援日０．５＿２．０*_15・通訳),0)*(1+_15・区３)),0)</f>
        <v>693</v>
      </c>
      <c r="AA47" s="69"/>
    </row>
    <row r="48" spans="1:27" ht="16.5" customHeight="1" x14ac:dyDescent="0.3">
      <c r="A48" s="2">
        <v>15</v>
      </c>
      <c r="B48" s="2" t="s">
        <v>4896</v>
      </c>
      <c r="C48" s="60" t="s">
        <v>15412</v>
      </c>
      <c r="D48" s="1"/>
      <c r="E48" s="68"/>
      <c r="F48" s="70"/>
      <c r="G48" s="1"/>
      <c r="H48" s="68"/>
      <c r="I48" s="70"/>
      <c r="J48" s="67"/>
      <c r="K48" s="68"/>
      <c r="L48" s="76"/>
      <c r="M48" s="83" t="s">
        <v>5895</v>
      </c>
      <c r="N48" s="64" t="s">
        <v>1</v>
      </c>
      <c r="O48" s="65">
        <v>1</v>
      </c>
      <c r="P48" s="99"/>
      <c r="Q48" s="70"/>
      <c r="R48" s="66"/>
      <c r="S48" s="57"/>
      <c r="T48" s="58"/>
      <c r="U48" s="77"/>
      <c r="V48" s="94" t="s">
        <v>18368</v>
      </c>
      <c r="W48" s="68"/>
      <c r="X48" s="76"/>
      <c r="Y48" s="70"/>
      <c r="Z48" s="228">
        <f>ROUND((ROUND((ROUND((ROUND((_15_同援日０．５*_15・通訳),0)*_15・２人),0)*(1+_15・A深夜)),0)*(1+_15・区３)),0)+ROUND((ROUND((ROUND((_15_同援日０．５＿２．０*_15・通訳),0)*_15・２人),0)*(1+_15・区３)),0)</f>
        <v>693</v>
      </c>
      <c r="AA48" s="69"/>
    </row>
    <row r="49" spans="1:27" ht="16.5" customHeight="1" x14ac:dyDescent="0.3">
      <c r="A49" s="2">
        <v>15</v>
      </c>
      <c r="B49" s="2" t="s">
        <v>4897</v>
      </c>
      <c r="C49" s="60" t="s">
        <v>15411</v>
      </c>
      <c r="D49" s="1"/>
      <c r="E49" s="68"/>
      <c r="F49" s="70"/>
      <c r="G49" s="1"/>
      <c r="H49" s="68"/>
      <c r="I49" s="70"/>
      <c r="J49" s="67"/>
      <c r="K49" s="68"/>
      <c r="L49" s="76"/>
      <c r="M49" s="85"/>
      <c r="N49" s="64"/>
      <c r="O49" s="65"/>
      <c r="P49" s="99"/>
      <c r="Q49" s="70"/>
      <c r="R49" s="74" t="s">
        <v>18367</v>
      </c>
      <c r="S49" s="62"/>
      <c r="T49" s="63"/>
      <c r="U49" s="75"/>
      <c r="V49" s="67"/>
      <c r="W49" s="68" t="s">
        <v>1</v>
      </c>
      <c r="X49" s="76">
        <v>0.2</v>
      </c>
      <c r="Y49" s="70" t="s">
        <v>422</v>
      </c>
      <c r="Z49" s="228">
        <f>ROUND((ROUND((ROUND((ROUND((_15_同援日０．５*_15・通訳),0)*(1+_15・A深夜)),0)*(1+_15・盲ろう)),0)*(1+_15・区３)),0)+ROUND((ROUND((ROUND((_15_同援日０．５＿２．０*_15・通訳),0)*(1+_15・盲ろう)),0)*(1+_15・区３)),0)</f>
        <v>865</v>
      </c>
      <c r="AA49" s="69"/>
    </row>
    <row r="50" spans="1:27" ht="16.5" customHeight="1" x14ac:dyDescent="0.3">
      <c r="A50" s="2">
        <v>15</v>
      </c>
      <c r="B50" s="2" t="s">
        <v>4898</v>
      </c>
      <c r="C50" s="60" t="s">
        <v>15410</v>
      </c>
      <c r="D50" s="1"/>
      <c r="E50" s="68"/>
      <c r="F50" s="70"/>
      <c r="G50" s="1"/>
      <c r="H50" s="68"/>
      <c r="I50" s="70"/>
      <c r="J50" s="67"/>
      <c r="K50" s="68"/>
      <c r="L50" s="76"/>
      <c r="M50" s="83" t="s">
        <v>5895</v>
      </c>
      <c r="N50" s="64" t="s">
        <v>1</v>
      </c>
      <c r="O50" s="65">
        <v>1</v>
      </c>
      <c r="P50" s="99"/>
      <c r="Q50" s="70"/>
      <c r="R50" s="106" t="s">
        <v>18366</v>
      </c>
      <c r="S50" s="57" t="s">
        <v>1</v>
      </c>
      <c r="T50" s="58">
        <v>0.25</v>
      </c>
      <c r="U50" s="77" t="s">
        <v>422</v>
      </c>
      <c r="V50" s="66"/>
      <c r="W50" s="57"/>
      <c r="X50" s="58"/>
      <c r="Y50" s="77"/>
      <c r="Z50" s="228">
        <f>ROUND((ROUND((ROUND((ROUND((ROUND((_15_同援日０．５*_15・通訳),0)*_15・２人),0)*(1+_15・A深夜)),0)*(1+_15・盲ろう)),0)*(1+_15・区３)),0)+ROUND((ROUND((ROUND((ROUND((_15_同援日０．５＿２．０*_15・通訳),0)*_15・２人),0)*(1+_15・盲ろう)),0)*(1+_15・区３)),0)</f>
        <v>865</v>
      </c>
      <c r="AA50" s="69"/>
    </row>
    <row r="51" spans="1:27" ht="16.5" customHeight="1" x14ac:dyDescent="0.3">
      <c r="A51" s="2">
        <v>15</v>
      </c>
      <c r="B51" s="2" t="s">
        <v>4899</v>
      </c>
      <c r="C51" s="60" t="s">
        <v>15409</v>
      </c>
      <c r="D51" s="1"/>
      <c r="E51" s="68"/>
      <c r="F51" s="70"/>
      <c r="G51" s="1"/>
      <c r="H51" s="68"/>
      <c r="I51" s="70"/>
      <c r="J51" s="67"/>
      <c r="K51" s="68"/>
      <c r="L51" s="76"/>
      <c r="M51" s="85"/>
      <c r="N51" s="64"/>
      <c r="O51" s="65"/>
      <c r="P51" s="99"/>
      <c r="Q51" s="70"/>
      <c r="R51" s="61"/>
      <c r="S51" s="62"/>
      <c r="T51" s="63"/>
      <c r="U51" s="75"/>
      <c r="V51" s="74" t="s">
        <v>18369</v>
      </c>
      <c r="W51" s="62"/>
      <c r="X51" s="63"/>
      <c r="Y51" s="75"/>
      <c r="Z51" s="228">
        <f>ROUND((ROUND((ROUND((_15_同援日０．５*_15・通訳),0)*(1+_15・A深夜)),0)*(1+_15・区４)),0)+ROUND((ROUND((_15_同援日０．５＿２．０*_15・通訳),0)*(1+_15・区４)),0)</f>
        <v>808</v>
      </c>
      <c r="AA51" s="69"/>
    </row>
    <row r="52" spans="1:27" ht="16.5" customHeight="1" x14ac:dyDescent="0.3">
      <c r="A52" s="2">
        <v>15</v>
      </c>
      <c r="B52" s="2" t="s">
        <v>4900</v>
      </c>
      <c r="C52" s="60" t="s">
        <v>15408</v>
      </c>
      <c r="D52" s="1"/>
      <c r="E52" s="68"/>
      <c r="F52" s="70"/>
      <c r="G52" s="1"/>
      <c r="H52" s="68"/>
      <c r="I52" s="70"/>
      <c r="J52" s="67"/>
      <c r="K52" s="68"/>
      <c r="L52" s="76"/>
      <c r="M52" s="83" t="s">
        <v>5895</v>
      </c>
      <c r="N52" s="64" t="s">
        <v>1</v>
      </c>
      <c r="O52" s="65">
        <v>1</v>
      </c>
      <c r="P52" s="99"/>
      <c r="Q52" s="70"/>
      <c r="R52" s="66"/>
      <c r="S52" s="57"/>
      <c r="T52" s="58"/>
      <c r="U52" s="77"/>
      <c r="V52" s="94" t="s">
        <v>18368</v>
      </c>
      <c r="W52" s="68"/>
      <c r="X52" s="76"/>
      <c r="Y52" s="70"/>
      <c r="Z52" s="228">
        <f>ROUND((ROUND((ROUND((ROUND((_15_同援日０．５*_15・通訳),0)*_15・２人),0)*(1+_15・A深夜)),0)*(1+_15・区４)),0)+ROUND((ROUND((ROUND((_15_同援日０．５＿２．０*_15・通訳),0)*_15・２人),0)*(1+_15・区４)),0)</f>
        <v>808</v>
      </c>
      <c r="AA52" s="69"/>
    </row>
    <row r="53" spans="1:27" ht="16.5" customHeight="1" x14ac:dyDescent="0.3">
      <c r="A53" s="2">
        <v>15</v>
      </c>
      <c r="B53" s="2" t="s">
        <v>4901</v>
      </c>
      <c r="C53" s="60" t="s">
        <v>15407</v>
      </c>
      <c r="D53" s="1"/>
      <c r="E53" s="68"/>
      <c r="F53" s="70"/>
      <c r="G53" s="1"/>
      <c r="H53" s="68"/>
      <c r="I53" s="70"/>
      <c r="J53" s="67"/>
      <c r="K53" s="68"/>
      <c r="L53" s="76"/>
      <c r="M53" s="85"/>
      <c r="N53" s="64"/>
      <c r="O53" s="65"/>
      <c r="P53" s="99"/>
      <c r="Q53" s="70"/>
      <c r="R53" s="74" t="s">
        <v>18367</v>
      </c>
      <c r="S53" s="62"/>
      <c r="T53" s="63"/>
      <c r="U53" s="75"/>
      <c r="V53" s="67"/>
      <c r="W53" s="68" t="s">
        <v>1</v>
      </c>
      <c r="X53" s="76">
        <v>0.4</v>
      </c>
      <c r="Y53" s="70" t="s">
        <v>422</v>
      </c>
      <c r="Z53" s="228">
        <f>ROUND((ROUND((ROUND((ROUND((_15_同援日０．５*_15・通訳),0)*(1+_15・A深夜)),0)*(1+_15・盲ろう)),0)*(1+_15・区４)),0)+ROUND((ROUND((ROUND((_15_同援日０．５＿２．０*_15・通訳),0)*(1+_15・盲ろう)),0)*(1+_15・区４)),0)</f>
        <v>1009</v>
      </c>
      <c r="AA53" s="69"/>
    </row>
    <row r="54" spans="1:27" ht="16.5" customHeight="1" x14ac:dyDescent="0.3">
      <c r="A54" s="2">
        <v>15</v>
      </c>
      <c r="B54" s="2" t="s">
        <v>4902</v>
      </c>
      <c r="C54" s="60" t="s">
        <v>15406</v>
      </c>
      <c r="D54" s="1"/>
      <c r="E54" s="68"/>
      <c r="F54" s="70"/>
      <c r="G54" s="81"/>
      <c r="H54" s="57"/>
      <c r="I54" s="77"/>
      <c r="J54" s="67"/>
      <c r="K54" s="68"/>
      <c r="L54" s="76"/>
      <c r="M54" s="83" t="s">
        <v>5895</v>
      </c>
      <c r="N54" s="64" t="s">
        <v>1</v>
      </c>
      <c r="O54" s="65">
        <v>1</v>
      </c>
      <c r="P54" s="99"/>
      <c r="Q54" s="70"/>
      <c r="R54" s="106" t="s">
        <v>18366</v>
      </c>
      <c r="S54" s="57" t="s">
        <v>1</v>
      </c>
      <c r="T54" s="58">
        <v>0.25</v>
      </c>
      <c r="U54" s="77" t="s">
        <v>422</v>
      </c>
      <c r="V54" s="66"/>
      <c r="W54" s="57"/>
      <c r="X54" s="58"/>
      <c r="Y54" s="77"/>
      <c r="Z54" s="228">
        <f>ROUND((ROUND((ROUND((ROUND((ROUND((_15_同援日０．５*_15・通訳),0)*_15・２人),0)*(1+_15・A深夜)),0)*(1+_15・盲ろう)),0)*(1+_15・区４)),0)+ROUND((ROUND((ROUND((ROUND((_15_同援日０．５＿２．０*_15・通訳),0)*_15・２人),0)*(1+_15・盲ろう)),0)*(1+_15・区４)),0)</f>
        <v>1009</v>
      </c>
      <c r="AA54" s="69"/>
    </row>
    <row r="55" spans="1:27" ht="16.5" customHeight="1" x14ac:dyDescent="0.3">
      <c r="A55" s="2">
        <v>15</v>
      </c>
      <c r="B55" s="2" t="s">
        <v>4903</v>
      </c>
      <c r="C55" s="60" t="s">
        <v>15405</v>
      </c>
      <c r="D55" s="1"/>
      <c r="E55" s="68"/>
      <c r="F55" s="70"/>
      <c r="G55" s="233" t="s">
        <v>5979</v>
      </c>
      <c r="H55" s="62"/>
      <c r="I55" s="75"/>
      <c r="J55" s="67"/>
      <c r="K55" s="68"/>
      <c r="L55" s="76"/>
      <c r="M55" s="85"/>
      <c r="N55" s="64"/>
      <c r="O55" s="65"/>
      <c r="P55" s="99"/>
      <c r="Q55" s="70"/>
      <c r="R55" s="61"/>
      <c r="S55" s="62"/>
      <c r="T55" s="63"/>
      <c r="U55" s="75"/>
      <c r="V55" s="61"/>
      <c r="W55" s="62"/>
      <c r="X55" s="63"/>
      <c r="Y55" s="75"/>
      <c r="Z55" s="228">
        <f>ROUND((ROUND((_15_同援日０．５*_15・通訳),0)*(1+_15・A深夜)),0)+ROUND((_15_同援日０．５＿２．５*_15・通訳),0)</f>
        <v>633</v>
      </c>
      <c r="AA55" s="69"/>
    </row>
    <row r="56" spans="1:27" ht="16.5" customHeight="1" x14ac:dyDescent="0.3">
      <c r="A56" s="2">
        <v>15</v>
      </c>
      <c r="B56" s="2" t="s">
        <v>4904</v>
      </c>
      <c r="C56" s="60" t="s">
        <v>15404</v>
      </c>
      <c r="D56" s="1"/>
      <c r="E56" s="68"/>
      <c r="F56" s="70"/>
      <c r="G56" s="1" t="s">
        <v>18371</v>
      </c>
      <c r="H56" s="68"/>
      <c r="I56" s="70"/>
      <c r="J56" s="67"/>
      <c r="K56" s="68"/>
      <c r="L56" s="76"/>
      <c r="M56" s="83" t="s">
        <v>5895</v>
      </c>
      <c r="N56" s="64" t="s">
        <v>1</v>
      </c>
      <c r="O56" s="65">
        <v>1</v>
      </c>
      <c r="P56" s="99"/>
      <c r="Q56" s="70"/>
      <c r="R56" s="66"/>
      <c r="S56" s="57"/>
      <c r="T56" s="58"/>
      <c r="U56" s="77"/>
      <c r="V56" s="67"/>
      <c r="W56" s="68"/>
      <c r="X56" s="76"/>
      <c r="Y56" s="70"/>
      <c r="Z56" s="228">
        <f>ROUND((ROUND((ROUND((_15_同援日０．５*_15・通訳),0)*_15・２人),0)*(1+_15・A深夜)),0)+ROUND((ROUND((_15_同援日０．５＿２．５*_15・通訳),0)*_15・２人),0)</f>
        <v>633</v>
      </c>
      <c r="AA56" s="69"/>
    </row>
    <row r="57" spans="1:27" ht="16.5" customHeight="1" x14ac:dyDescent="0.3">
      <c r="A57" s="2">
        <v>15</v>
      </c>
      <c r="B57" s="2" t="s">
        <v>4905</v>
      </c>
      <c r="C57" s="60" t="s">
        <v>15403</v>
      </c>
      <c r="D57" s="1"/>
      <c r="E57" s="68"/>
      <c r="F57" s="70"/>
      <c r="G57" s="1" t="s">
        <v>8499</v>
      </c>
      <c r="H57" s="68"/>
      <c r="I57" s="70"/>
      <c r="J57" s="67"/>
      <c r="K57" s="68"/>
      <c r="L57" s="76"/>
      <c r="M57" s="85"/>
      <c r="N57" s="64"/>
      <c r="O57" s="65"/>
      <c r="P57" s="99"/>
      <c r="Q57" s="70"/>
      <c r="R57" s="74" t="s">
        <v>18367</v>
      </c>
      <c r="S57" s="62"/>
      <c r="T57" s="63"/>
      <c r="U57" s="75"/>
      <c r="V57" s="67"/>
      <c r="W57" s="68"/>
      <c r="X57" s="76"/>
      <c r="Y57" s="70"/>
      <c r="Z57" s="228">
        <f>ROUND((ROUND((ROUND((_15_同援日０．５*_15・通訳),0)*(1+_15・A深夜)),0)*(1+_15・盲ろう)),0)+ROUND((ROUND((_15_同援日０．５＿２．５*_15・通訳),0)*(1+_15・盲ろう)),0)</f>
        <v>791</v>
      </c>
      <c r="AA57" s="69"/>
    </row>
    <row r="58" spans="1:27" ht="16.5" customHeight="1" x14ac:dyDescent="0.3">
      <c r="A58" s="2">
        <v>15</v>
      </c>
      <c r="B58" s="2" t="s">
        <v>4906</v>
      </c>
      <c r="C58" s="60" t="s">
        <v>15402</v>
      </c>
      <c r="D58" s="1"/>
      <c r="E58" s="68"/>
      <c r="F58" s="70"/>
      <c r="G58" s="1"/>
      <c r="H58" s="227">
        <v>427</v>
      </c>
      <c r="I58" s="70" t="s">
        <v>0</v>
      </c>
      <c r="J58" s="67"/>
      <c r="K58" s="68"/>
      <c r="L58" s="76"/>
      <c r="M58" s="83" t="s">
        <v>5895</v>
      </c>
      <c r="N58" s="64" t="s">
        <v>1</v>
      </c>
      <c r="O58" s="65">
        <v>1</v>
      </c>
      <c r="P58" s="99"/>
      <c r="Q58" s="70"/>
      <c r="R58" s="106" t="s">
        <v>18366</v>
      </c>
      <c r="S58" s="57" t="s">
        <v>1</v>
      </c>
      <c r="T58" s="58">
        <v>0.25</v>
      </c>
      <c r="U58" s="77" t="s">
        <v>422</v>
      </c>
      <c r="V58" s="66"/>
      <c r="W58" s="57"/>
      <c r="X58" s="58"/>
      <c r="Y58" s="77"/>
      <c r="Z58" s="228">
        <f>ROUND((ROUND((ROUND((ROUND((_15_同援日０．５*_15・通訳),0)*_15・２人),0)*(1+_15・A深夜)),0)*(1+_15・盲ろう)),0)+ROUND((ROUND((ROUND((_15_同援日０．５＿２．５*_15・通訳),0)*_15・２人),0)*(1+_15・盲ろう)),0)</f>
        <v>791</v>
      </c>
      <c r="AA58" s="69"/>
    </row>
    <row r="59" spans="1:27" ht="16.5" customHeight="1" x14ac:dyDescent="0.3">
      <c r="A59" s="2">
        <v>15</v>
      </c>
      <c r="B59" s="2" t="s">
        <v>4907</v>
      </c>
      <c r="C59" s="60" t="s">
        <v>15401</v>
      </c>
      <c r="D59" s="1"/>
      <c r="E59" s="68"/>
      <c r="F59" s="70"/>
      <c r="G59" s="1"/>
      <c r="H59" s="68"/>
      <c r="I59" s="70"/>
      <c r="J59" s="67"/>
      <c r="K59" s="68"/>
      <c r="L59" s="76"/>
      <c r="M59" s="85"/>
      <c r="N59" s="64"/>
      <c r="O59" s="65"/>
      <c r="P59" s="99"/>
      <c r="Q59" s="70"/>
      <c r="R59" s="61"/>
      <c r="S59" s="62"/>
      <c r="T59" s="63"/>
      <c r="U59" s="75"/>
      <c r="V59" s="74" t="s">
        <v>18370</v>
      </c>
      <c r="W59" s="62"/>
      <c r="X59" s="63"/>
      <c r="Y59" s="75"/>
      <c r="Z59" s="228">
        <f>ROUND((ROUND((ROUND((_15_同援日０．５*_15・通訳),0)*(1+_15・A深夜)),0)*(1+_15・区３)),0)+ROUND((ROUND((_15_同援日０．５＿２．５*_15・通訳),0)*(1+_15・区３)),0)</f>
        <v>760</v>
      </c>
      <c r="AA59" s="69"/>
    </row>
    <row r="60" spans="1:27" ht="16.5" customHeight="1" x14ac:dyDescent="0.3">
      <c r="A60" s="2">
        <v>15</v>
      </c>
      <c r="B60" s="2" t="s">
        <v>4908</v>
      </c>
      <c r="C60" s="60" t="s">
        <v>15400</v>
      </c>
      <c r="D60" s="1"/>
      <c r="E60" s="68"/>
      <c r="F60" s="70"/>
      <c r="G60" s="1"/>
      <c r="H60" s="68"/>
      <c r="I60" s="70"/>
      <c r="J60" s="67"/>
      <c r="K60" s="68"/>
      <c r="L60" s="76"/>
      <c r="M60" s="83" t="s">
        <v>5895</v>
      </c>
      <c r="N60" s="64" t="s">
        <v>1</v>
      </c>
      <c r="O60" s="65">
        <v>1</v>
      </c>
      <c r="P60" s="99"/>
      <c r="Q60" s="70"/>
      <c r="R60" s="66"/>
      <c r="S60" s="57"/>
      <c r="T60" s="58"/>
      <c r="U60" s="77"/>
      <c r="V60" s="94" t="s">
        <v>18368</v>
      </c>
      <c r="W60" s="68"/>
      <c r="X60" s="76"/>
      <c r="Y60" s="70"/>
      <c r="Z60" s="228">
        <f>ROUND((ROUND((ROUND((ROUND((_15_同援日０．５*_15・通訳),0)*_15・２人),0)*(1+_15・A深夜)),0)*(1+_15・区３)),0)+ROUND((ROUND((ROUND((_15_同援日０．５＿２．５*_15・通訳),0)*_15・２人),0)*(1+_15・区３)),0)</f>
        <v>760</v>
      </c>
      <c r="AA60" s="69"/>
    </row>
    <row r="61" spans="1:27" ht="16.5" customHeight="1" x14ac:dyDescent="0.3">
      <c r="A61" s="2">
        <v>15</v>
      </c>
      <c r="B61" s="2" t="s">
        <v>4909</v>
      </c>
      <c r="C61" s="60" t="s">
        <v>15399</v>
      </c>
      <c r="D61" s="1"/>
      <c r="E61" s="68"/>
      <c r="F61" s="70"/>
      <c r="G61" s="1"/>
      <c r="H61" s="68"/>
      <c r="I61" s="70"/>
      <c r="J61" s="67"/>
      <c r="K61" s="68"/>
      <c r="L61" s="76"/>
      <c r="M61" s="85"/>
      <c r="N61" s="64"/>
      <c r="O61" s="65"/>
      <c r="P61" s="99"/>
      <c r="Q61" s="70"/>
      <c r="R61" s="74" t="s">
        <v>18367</v>
      </c>
      <c r="S61" s="62"/>
      <c r="T61" s="63"/>
      <c r="U61" s="75"/>
      <c r="V61" s="67"/>
      <c r="W61" s="68" t="s">
        <v>1</v>
      </c>
      <c r="X61" s="76">
        <v>0.2</v>
      </c>
      <c r="Y61" s="70" t="s">
        <v>422</v>
      </c>
      <c r="Z61" s="228">
        <f>ROUND((ROUND((ROUND((ROUND((_15_同援日０．５*_15・通訳),0)*(1+_15・A深夜)),0)*(1+_15・盲ろう)),0)*(1+_15・区３)),0)+ROUND((ROUND((ROUND((_15_同援日０．５＿２．５*_15・通訳),0)*(1+_15・盲ろう)),0)*(1+_15・区３)),0)</f>
        <v>949</v>
      </c>
      <c r="AA61" s="69"/>
    </row>
    <row r="62" spans="1:27" ht="16.5" customHeight="1" x14ac:dyDescent="0.3">
      <c r="A62" s="2">
        <v>15</v>
      </c>
      <c r="B62" s="2" t="s">
        <v>4910</v>
      </c>
      <c r="C62" s="60" t="s">
        <v>15398</v>
      </c>
      <c r="D62" s="1"/>
      <c r="E62" s="68"/>
      <c r="F62" s="70"/>
      <c r="G62" s="1"/>
      <c r="H62" s="68"/>
      <c r="I62" s="70"/>
      <c r="J62" s="67"/>
      <c r="K62" s="68"/>
      <c r="L62" s="76"/>
      <c r="M62" s="83" t="s">
        <v>5895</v>
      </c>
      <c r="N62" s="64" t="s">
        <v>1</v>
      </c>
      <c r="O62" s="65">
        <v>1</v>
      </c>
      <c r="P62" s="99"/>
      <c r="Q62" s="70"/>
      <c r="R62" s="106" t="s">
        <v>18366</v>
      </c>
      <c r="S62" s="57" t="s">
        <v>1</v>
      </c>
      <c r="T62" s="58">
        <v>0.25</v>
      </c>
      <c r="U62" s="77" t="s">
        <v>422</v>
      </c>
      <c r="V62" s="66"/>
      <c r="W62" s="57"/>
      <c r="X62" s="58"/>
      <c r="Y62" s="77"/>
      <c r="Z62" s="228">
        <f>ROUND((ROUND((ROUND((ROUND((ROUND((_15_同援日０．５*_15・通訳),0)*_15・２人),0)*(1+_15・A深夜)),0)*(1+_15・盲ろう)),0)*(1+_15・区３)),0)+ROUND((ROUND((ROUND((ROUND((_15_同援日０．５＿２．５*_15・通訳),0)*_15・２人),0)*(1+_15・盲ろう)),0)*(1+_15・区３)),0)</f>
        <v>949</v>
      </c>
      <c r="AA62" s="69"/>
    </row>
    <row r="63" spans="1:27" ht="16.5" customHeight="1" x14ac:dyDescent="0.3">
      <c r="A63" s="2">
        <v>15</v>
      </c>
      <c r="B63" s="2" t="s">
        <v>4911</v>
      </c>
      <c r="C63" s="60" t="s">
        <v>15397</v>
      </c>
      <c r="D63" s="1"/>
      <c r="E63" s="68"/>
      <c r="F63" s="70"/>
      <c r="G63" s="1"/>
      <c r="H63" s="68"/>
      <c r="I63" s="70"/>
      <c r="J63" s="67"/>
      <c r="K63" s="68"/>
      <c r="L63" s="76"/>
      <c r="M63" s="85"/>
      <c r="N63" s="64"/>
      <c r="O63" s="65"/>
      <c r="P63" s="99"/>
      <c r="Q63" s="70"/>
      <c r="R63" s="61"/>
      <c r="S63" s="62"/>
      <c r="T63" s="63"/>
      <c r="U63" s="75"/>
      <c r="V63" s="74" t="s">
        <v>18369</v>
      </c>
      <c r="W63" s="62"/>
      <c r="X63" s="63"/>
      <c r="Y63" s="75"/>
      <c r="Z63" s="228">
        <f>ROUND((ROUND((ROUND((_15_同援日０．５*_15・通訳),0)*(1+_15・A深夜)),0)*(1+_15・区４)),0)+ROUND((ROUND((_15_同援日０．５＿２．５*_15・通訳),0)*(1+_15・区４)),0)</f>
        <v>887</v>
      </c>
      <c r="AA63" s="69"/>
    </row>
    <row r="64" spans="1:27" ht="16.5" customHeight="1" x14ac:dyDescent="0.3">
      <c r="A64" s="2">
        <v>15</v>
      </c>
      <c r="B64" s="2" t="s">
        <v>4912</v>
      </c>
      <c r="C64" s="60" t="s">
        <v>15396</v>
      </c>
      <c r="D64" s="1"/>
      <c r="E64" s="68"/>
      <c r="F64" s="70"/>
      <c r="G64" s="1"/>
      <c r="H64" s="68"/>
      <c r="I64" s="70"/>
      <c r="J64" s="67"/>
      <c r="K64" s="68"/>
      <c r="L64" s="76"/>
      <c r="M64" s="83" t="s">
        <v>5895</v>
      </c>
      <c r="N64" s="64" t="s">
        <v>1</v>
      </c>
      <c r="O64" s="65">
        <v>1</v>
      </c>
      <c r="P64" s="99"/>
      <c r="Q64" s="70"/>
      <c r="R64" s="66"/>
      <c r="S64" s="57"/>
      <c r="T64" s="58"/>
      <c r="U64" s="77"/>
      <c r="V64" s="94" t="s">
        <v>18368</v>
      </c>
      <c r="W64" s="68"/>
      <c r="X64" s="76"/>
      <c r="Y64" s="70"/>
      <c r="Z64" s="228">
        <f>ROUND((ROUND((ROUND((ROUND((_15_同援日０．５*_15・通訳),0)*_15・２人),0)*(1+_15・A深夜)),0)*(1+_15・区４)),0)+ROUND((ROUND((ROUND((_15_同援日０．５＿２．５*_15・通訳),0)*_15・２人),0)*(1+_15・区４)),0)</f>
        <v>887</v>
      </c>
      <c r="AA64" s="69"/>
    </row>
    <row r="65" spans="1:27" ht="16.5" customHeight="1" x14ac:dyDescent="0.3">
      <c r="A65" s="2">
        <v>15</v>
      </c>
      <c r="B65" s="2" t="s">
        <v>4913</v>
      </c>
      <c r="C65" s="60" t="s">
        <v>15395</v>
      </c>
      <c r="D65" s="1"/>
      <c r="E65" s="68"/>
      <c r="F65" s="70"/>
      <c r="G65" s="1"/>
      <c r="H65" s="68"/>
      <c r="I65" s="70"/>
      <c r="J65" s="67"/>
      <c r="K65" s="68"/>
      <c r="L65" s="76"/>
      <c r="M65" s="85"/>
      <c r="N65" s="64"/>
      <c r="O65" s="65"/>
      <c r="P65" s="99"/>
      <c r="Q65" s="70"/>
      <c r="R65" s="74" t="s">
        <v>18367</v>
      </c>
      <c r="S65" s="62"/>
      <c r="T65" s="63"/>
      <c r="U65" s="75"/>
      <c r="V65" s="67"/>
      <c r="W65" s="68" t="s">
        <v>1</v>
      </c>
      <c r="X65" s="76">
        <v>0.4</v>
      </c>
      <c r="Y65" s="70" t="s">
        <v>422</v>
      </c>
      <c r="Z65" s="228">
        <f>ROUND((ROUND((ROUND((ROUND((_15_同援日０．５*_15・通訳),0)*(1+_15・A深夜)),0)*(1+_15・盲ろう)),0)*(1+_15・区４)),0)+ROUND((ROUND((ROUND((_15_同援日０．５＿２．５*_15・通訳),0)*(1+_15・盲ろう)),0)*(1+_15・区４)),0)</f>
        <v>1107</v>
      </c>
      <c r="AA65" s="69"/>
    </row>
    <row r="66" spans="1:27" ht="16.5" customHeight="1" x14ac:dyDescent="0.3">
      <c r="A66" s="2">
        <v>15</v>
      </c>
      <c r="B66" s="2" t="s">
        <v>4914</v>
      </c>
      <c r="C66" s="60" t="s">
        <v>15394</v>
      </c>
      <c r="D66" s="81"/>
      <c r="E66" s="57"/>
      <c r="F66" s="77"/>
      <c r="G66" s="81"/>
      <c r="H66" s="57"/>
      <c r="I66" s="77"/>
      <c r="J66" s="67"/>
      <c r="K66" s="68"/>
      <c r="L66" s="76"/>
      <c r="M66" s="83" t="s">
        <v>5895</v>
      </c>
      <c r="N66" s="64" t="s">
        <v>1</v>
      </c>
      <c r="O66" s="65">
        <v>1</v>
      </c>
      <c r="P66" s="99"/>
      <c r="Q66" s="70"/>
      <c r="R66" s="106" t="s">
        <v>18366</v>
      </c>
      <c r="S66" s="57" t="s">
        <v>1</v>
      </c>
      <c r="T66" s="58">
        <v>0.25</v>
      </c>
      <c r="U66" s="77" t="s">
        <v>422</v>
      </c>
      <c r="V66" s="66"/>
      <c r="W66" s="57"/>
      <c r="X66" s="58"/>
      <c r="Y66" s="77"/>
      <c r="Z66" s="228">
        <f>ROUND((ROUND((ROUND((ROUND((ROUND((_15_同援日０．５*_15・通訳),0)*_15・２人),0)*(1+_15・A深夜)),0)*(1+_15・盲ろう)),0)*(1+_15・区４)),0)+ROUND((ROUND((ROUND((ROUND((_15_同援日０．５＿２．５*_15・通訳),0)*_15・２人),0)*(1+_15・盲ろう)),0)*(1+_15・区４)),0)</f>
        <v>1107</v>
      </c>
      <c r="AA66" s="69"/>
    </row>
    <row r="67" spans="1:27" ht="16.5" customHeight="1" x14ac:dyDescent="0.3">
      <c r="A67" s="2">
        <v>15</v>
      </c>
      <c r="B67" s="2" t="s">
        <v>4915</v>
      </c>
      <c r="C67" s="60" t="s">
        <v>15393</v>
      </c>
      <c r="D67" s="233" t="s">
        <v>18382</v>
      </c>
      <c r="E67" s="235"/>
      <c r="F67" s="75"/>
      <c r="G67" s="233" t="s">
        <v>6001</v>
      </c>
      <c r="H67" s="62"/>
      <c r="I67" s="75"/>
      <c r="J67" s="67"/>
      <c r="K67" s="68"/>
      <c r="L67" s="76"/>
      <c r="M67" s="85"/>
      <c r="N67" s="64"/>
      <c r="O67" s="65"/>
      <c r="P67" s="99"/>
      <c r="Q67" s="70"/>
      <c r="R67" s="61"/>
      <c r="S67" s="62"/>
      <c r="T67" s="63"/>
      <c r="U67" s="75"/>
      <c r="V67" s="61"/>
      <c r="W67" s="62"/>
      <c r="X67" s="63"/>
      <c r="Y67" s="75"/>
      <c r="Z67" s="228">
        <f>ROUND((ROUND((_15_同援日１．０*_15・通訳),0)*(1+_15・A深夜)),0)+ROUND((_15_同援日１．０＿０．５*_15・通訳),0)</f>
        <v>511</v>
      </c>
      <c r="AA67" s="69"/>
    </row>
    <row r="68" spans="1:27" ht="16.5" customHeight="1" x14ac:dyDescent="0.3">
      <c r="A68" s="2">
        <v>15</v>
      </c>
      <c r="B68" s="2" t="s">
        <v>4916</v>
      </c>
      <c r="C68" s="60" t="s">
        <v>15392</v>
      </c>
      <c r="D68" s="1" t="s">
        <v>18381</v>
      </c>
      <c r="E68" s="68"/>
      <c r="F68" s="70"/>
      <c r="G68" s="1" t="s">
        <v>7928</v>
      </c>
      <c r="H68" s="68"/>
      <c r="I68" s="70"/>
      <c r="J68" s="67"/>
      <c r="K68" s="68"/>
      <c r="L68" s="76"/>
      <c r="M68" s="83" t="s">
        <v>5895</v>
      </c>
      <c r="N68" s="64" t="s">
        <v>1</v>
      </c>
      <c r="O68" s="65">
        <v>1</v>
      </c>
      <c r="P68" s="99"/>
      <c r="Q68" s="70"/>
      <c r="R68" s="66"/>
      <c r="S68" s="57"/>
      <c r="T68" s="58"/>
      <c r="U68" s="77"/>
      <c r="V68" s="67"/>
      <c r="W68" s="68"/>
      <c r="X68" s="76"/>
      <c r="Y68" s="70"/>
      <c r="Z68" s="228">
        <f>ROUND((ROUND((ROUND((_15_同援日１．０*_15・通訳),0)*_15・２人),0)*(1+_15・A深夜)),0)+ROUND((ROUND((_15_同援日１．０＿０．５*_15・通訳),0)*_15・２人),0)</f>
        <v>511</v>
      </c>
      <c r="AA68" s="69"/>
    </row>
    <row r="69" spans="1:27" ht="16.5" customHeight="1" x14ac:dyDescent="0.3">
      <c r="A69" s="2">
        <v>15</v>
      </c>
      <c r="B69" s="2" t="s">
        <v>4917</v>
      </c>
      <c r="C69" s="60" t="s">
        <v>15391</v>
      </c>
      <c r="D69" s="1" t="s">
        <v>8572</v>
      </c>
      <c r="E69" s="68"/>
      <c r="F69" s="70"/>
      <c r="G69" s="1"/>
      <c r="H69" s="68"/>
      <c r="I69" s="70"/>
      <c r="J69" s="67"/>
      <c r="K69" s="68"/>
      <c r="L69" s="76"/>
      <c r="M69" s="85"/>
      <c r="N69" s="64"/>
      <c r="O69" s="65"/>
      <c r="P69" s="99"/>
      <c r="Q69" s="70"/>
      <c r="R69" s="74" t="s">
        <v>18367</v>
      </c>
      <c r="S69" s="62"/>
      <c r="T69" s="63"/>
      <c r="U69" s="75"/>
      <c r="V69" s="67"/>
      <c r="W69" s="68"/>
      <c r="X69" s="76"/>
      <c r="Y69" s="70"/>
      <c r="Z69" s="228">
        <f>ROUND((ROUND((ROUND((_15_同援日１．０*_15・通訳),0)*(1+_15・A深夜)),0)*(1+_15・盲ろう)),0)+ROUND((ROUND((_15_同援日１．０＿０．５*_15・通訳),0)*(1+_15・盲ろう)),0)</f>
        <v>639</v>
      </c>
      <c r="AA69" s="69"/>
    </row>
    <row r="70" spans="1:27" ht="16.5" customHeight="1" x14ac:dyDescent="0.3">
      <c r="A70" s="2">
        <v>15</v>
      </c>
      <c r="B70" s="2" t="s">
        <v>4918</v>
      </c>
      <c r="C70" s="60" t="s">
        <v>15390</v>
      </c>
      <c r="D70" s="1"/>
      <c r="E70" s="227">
        <v>292</v>
      </c>
      <c r="F70" s="70" t="s">
        <v>0</v>
      </c>
      <c r="G70" s="1"/>
      <c r="H70" s="119">
        <v>129</v>
      </c>
      <c r="I70" s="70" t="s">
        <v>0</v>
      </c>
      <c r="J70" s="67"/>
      <c r="K70" s="68"/>
      <c r="L70" s="76"/>
      <c r="M70" s="83" t="s">
        <v>5895</v>
      </c>
      <c r="N70" s="64" t="s">
        <v>1</v>
      </c>
      <c r="O70" s="65">
        <v>1</v>
      </c>
      <c r="P70" s="99"/>
      <c r="Q70" s="70"/>
      <c r="R70" s="106" t="s">
        <v>18366</v>
      </c>
      <c r="S70" s="57" t="s">
        <v>1</v>
      </c>
      <c r="T70" s="58">
        <v>0.25</v>
      </c>
      <c r="U70" s="77" t="s">
        <v>422</v>
      </c>
      <c r="V70" s="66"/>
      <c r="W70" s="57"/>
      <c r="X70" s="58"/>
      <c r="Y70" s="77"/>
      <c r="Z70" s="228">
        <f>ROUND((ROUND((ROUND((ROUND((_15_同援日１．０*_15・通訳),0)*_15・２人),0)*(1+_15・A深夜)),0)*(1+_15・盲ろう)),0)+ROUND((ROUND((ROUND((_15_同援日１．０＿０．５*_15・通訳),0)*_15・２人),0)*(1+_15・盲ろう)),0)</f>
        <v>639</v>
      </c>
      <c r="AA70" s="69"/>
    </row>
    <row r="71" spans="1:27" ht="16.5" customHeight="1" x14ac:dyDescent="0.3">
      <c r="A71" s="2">
        <v>15</v>
      </c>
      <c r="B71" s="2" t="s">
        <v>4919</v>
      </c>
      <c r="C71" s="60" t="s">
        <v>15389</v>
      </c>
      <c r="D71" s="1"/>
      <c r="E71" s="68"/>
      <c r="F71" s="70"/>
      <c r="G71" s="1"/>
      <c r="H71" s="68"/>
      <c r="I71" s="70"/>
      <c r="J71" s="67"/>
      <c r="K71" s="68"/>
      <c r="L71" s="76"/>
      <c r="M71" s="85"/>
      <c r="N71" s="64"/>
      <c r="O71" s="65"/>
      <c r="P71" s="99"/>
      <c r="Q71" s="70"/>
      <c r="R71" s="61"/>
      <c r="S71" s="62"/>
      <c r="T71" s="63"/>
      <c r="U71" s="75"/>
      <c r="V71" s="74" t="s">
        <v>18370</v>
      </c>
      <c r="W71" s="62"/>
      <c r="X71" s="63"/>
      <c r="Y71" s="75"/>
      <c r="Z71" s="228">
        <f>ROUND((ROUND((ROUND((_15_同援日１．０*_15・通訳),0)*(1+_15・A深夜)),0)*(1+_15・区３)),0)+ROUND((ROUND((_15_同援日１．０＿０．５*_15・通訳),0)*(1+_15・区３)),0)</f>
        <v>613</v>
      </c>
      <c r="AA71" s="69"/>
    </row>
    <row r="72" spans="1:27" ht="16.5" customHeight="1" x14ac:dyDescent="0.3">
      <c r="A72" s="2">
        <v>15</v>
      </c>
      <c r="B72" s="2" t="s">
        <v>4920</v>
      </c>
      <c r="C72" s="60" t="s">
        <v>15388</v>
      </c>
      <c r="D72" s="1"/>
      <c r="E72" s="68"/>
      <c r="F72" s="70"/>
      <c r="G72" s="1"/>
      <c r="H72" s="68"/>
      <c r="I72" s="70"/>
      <c r="J72" s="67"/>
      <c r="K72" s="68"/>
      <c r="L72" s="76"/>
      <c r="M72" s="83" t="s">
        <v>5895</v>
      </c>
      <c r="N72" s="64" t="s">
        <v>1</v>
      </c>
      <c r="O72" s="65">
        <v>1</v>
      </c>
      <c r="P72" s="99"/>
      <c r="Q72" s="70"/>
      <c r="R72" s="66"/>
      <c r="S72" s="57"/>
      <c r="T72" s="58"/>
      <c r="U72" s="77"/>
      <c r="V72" s="94" t="s">
        <v>18368</v>
      </c>
      <c r="W72" s="68"/>
      <c r="X72" s="76"/>
      <c r="Y72" s="70"/>
      <c r="Z72" s="228">
        <f>ROUND((ROUND((ROUND((ROUND((_15_同援日１．０*_15・通訳),0)*_15・２人),0)*(1+_15・A深夜)),0)*(1+_15・区３)),0)+ROUND((ROUND((ROUND((_15_同援日１．０＿０．５*_15・通訳),0)*_15・２人),0)*(1+_15・区３)),0)</f>
        <v>613</v>
      </c>
      <c r="AA72" s="69"/>
    </row>
    <row r="73" spans="1:27" ht="16.5" customHeight="1" x14ac:dyDescent="0.3">
      <c r="A73" s="2">
        <v>15</v>
      </c>
      <c r="B73" s="2" t="s">
        <v>4921</v>
      </c>
      <c r="C73" s="60" t="s">
        <v>15387</v>
      </c>
      <c r="D73" s="1"/>
      <c r="E73" s="68"/>
      <c r="F73" s="70"/>
      <c r="G73" s="1"/>
      <c r="H73" s="68"/>
      <c r="I73" s="70"/>
      <c r="J73" s="67"/>
      <c r="K73" s="68"/>
      <c r="L73" s="76"/>
      <c r="M73" s="85"/>
      <c r="N73" s="64"/>
      <c r="O73" s="65"/>
      <c r="P73" s="99"/>
      <c r="Q73" s="70"/>
      <c r="R73" s="74" t="s">
        <v>18367</v>
      </c>
      <c r="S73" s="62"/>
      <c r="T73" s="63"/>
      <c r="U73" s="75"/>
      <c r="V73" s="67"/>
      <c r="W73" s="68" t="s">
        <v>1</v>
      </c>
      <c r="X73" s="76">
        <v>0.2</v>
      </c>
      <c r="Y73" s="70" t="s">
        <v>422</v>
      </c>
      <c r="Z73" s="228">
        <f>ROUND((ROUND((ROUND((ROUND((_15_同援日１．０*_15・通訳),0)*(1+_15・A深夜)),0)*(1+_15・盲ろう)),0)*(1+_15・区３)),0)+ROUND((ROUND((ROUND((_15_同援日１．０＿０．５*_15・通訳),0)*(1+_15・盲ろう)),0)*(1+_15・区３)),0)</f>
        <v>767</v>
      </c>
      <c r="AA73" s="69"/>
    </row>
    <row r="74" spans="1:27" ht="16.5" customHeight="1" x14ac:dyDescent="0.3">
      <c r="A74" s="2">
        <v>15</v>
      </c>
      <c r="B74" s="2" t="s">
        <v>4922</v>
      </c>
      <c r="C74" s="60" t="s">
        <v>15386</v>
      </c>
      <c r="D74" s="1"/>
      <c r="E74" s="68"/>
      <c r="F74" s="70"/>
      <c r="G74" s="1"/>
      <c r="H74" s="68"/>
      <c r="I74" s="70"/>
      <c r="J74" s="67"/>
      <c r="K74" s="68"/>
      <c r="L74" s="76"/>
      <c r="M74" s="83" t="s">
        <v>5895</v>
      </c>
      <c r="N74" s="64" t="s">
        <v>1</v>
      </c>
      <c r="O74" s="65">
        <v>1</v>
      </c>
      <c r="P74" s="99"/>
      <c r="Q74" s="70"/>
      <c r="R74" s="106" t="s">
        <v>18366</v>
      </c>
      <c r="S74" s="57" t="s">
        <v>1</v>
      </c>
      <c r="T74" s="58">
        <v>0.25</v>
      </c>
      <c r="U74" s="77" t="s">
        <v>422</v>
      </c>
      <c r="V74" s="66"/>
      <c r="W74" s="57"/>
      <c r="X74" s="58"/>
      <c r="Y74" s="77"/>
      <c r="Z74" s="228">
        <f>ROUND((ROUND((ROUND((ROUND((ROUND((_15_同援日１．０*_15・通訳),0)*_15・２人),0)*(1+_15・A深夜)),0)*(1+_15・盲ろう)),0)*(1+_15・区３)),0)+ROUND((ROUND((ROUND((ROUND((_15_同援日１．０＿０．５*_15・通訳),0)*_15・２人),0)*(1+_15・盲ろう)),0)*(1+_15・区３)),0)</f>
        <v>767</v>
      </c>
      <c r="AA74" s="69"/>
    </row>
    <row r="75" spans="1:27" ht="16.5" customHeight="1" x14ac:dyDescent="0.3">
      <c r="A75" s="2">
        <v>15</v>
      </c>
      <c r="B75" s="2" t="s">
        <v>4923</v>
      </c>
      <c r="C75" s="60" t="s">
        <v>15385</v>
      </c>
      <c r="D75" s="1"/>
      <c r="E75" s="68"/>
      <c r="F75" s="70"/>
      <c r="G75" s="1"/>
      <c r="H75" s="68"/>
      <c r="I75" s="70"/>
      <c r="J75" s="67"/>
      <c r="K75" s="68"/>
      <c r="L75" s="76"/>
      <c r="M75" s="85"/>
      <c r="N75" s="64"/>
      <c r="O75" s="65"/>
      <c r="P75" s="99"/>
      <c r="Q75" s="70"/>
      <c r="R75" s="61"/>
      <c r="S75" s="62"/>
      <c r="T75" s="63"/>
      <c r="U75" s="75"/>
      <c r="V75" s="74" t="s">
        <v>18369</v>
      </c>
      <c r="W75" s="62"/>
      <c r="X75" s="63"/>
      <c r="Y75" s="75"/>
      <c r="Z75" s="228">
        <f>ROUND((ROUND((ROUND((_15_同援日１．０*_15・通訳),0)*(1+_15・A深夜)),0)*(1+_15・区４)),0)+ROUND((ROUND((_15_同援日１．０＿０．５*_15・通訳),0)*(1+_15・区４)),0)</f>
        <v>715</v>
      </c>
      <c r="AA75" s="69"/>
    </row>
    <row r="76" spans="1:27" ht="16.5" customHeight="1" x14ac:dyDescent="0.3">
      <c r="A76" s="2">
        <v>15</v>
      </c>
      <c r="B76" s="2" t="s">
        <v>4924</v>
      </c>
      <c r="C76" s="60" t="s">
        <v>15384</v>
      </c>
      <c r="D76" s="1"/>
      <c r="E76" s="68"/>
      <c r="F76" s="70"/>
      <c r="G76" s="1"/>
      <c r="H76" s="68"/>
      <c r="I76" s="70"/>
      <c r="J76" s="67"/>
      <c r="K76" s="68"/>
      <c r="L76" s="76"/>
      <c r="M76" s="83" t="s">
        <v>5895</v>
      </c>
      <c r="N76" s="64" t="s">
        <v>1</v>
      </c>
      <c r="O76" s="65">
        <v>1</v>
      </c>
      <c r="P76" s="99"/>
      <c r="Q76" s="70"/>
      <c r="R76" s="66"/>
      <c r="S76" s="57"/>
      <c r="T76" s="58"/>
      <c r="U76" s="77"/>
      <c r="V76" s="94" t="s">
        <v>18368</v>
      </c>
      <c r="W76" s="68"/>
      <c r="X76" s="76"/>
      <c r="Y76" s="70"/>
      <c r="Z76" s="228">
        <f>ROUND((ROUND((ROUND((ROUND((_15_同援日１．０*_15・通訳),0)*_15・２人),0)*(1+_15・A深夜)),0)*(1+_15・区４)),0)+ROUND((ROUND((ROUND((_15_同援日１．０＿０．５*_15・通訳),0)*_15・２人),0)*(1+_15・区４)),0)</f>
        <v>715</v>
      </c>
      <c r="AA76" s="69"/>
    </row>
    <row r="77" spans="1:27" ht="16.5" customHeight="1" x14ac:dyDescent="0.3">
      <c r="A77" s="2">
        <v>15</v>
      </c>
      <c r="B77" s="2" t="s">
        <v>4925</v>
      </c>
      <c r="C77" s="60" t="s">
        <v>15383</v>
      </c>
      <c r="D77" s="1"/>
      <c r="E77" s="68"/>
      <c r="F77" s="70"/>
      <c r="G77" s="1"/>
      <c r="H77" s="68"/>
      <c r="I77" s="70"/>
      <c r="J77" s="67"/>
      <c r="K77" s="68"/>
      <c r="L77" s="76"/>
      <c r="M77" s="85"/>
      <c r="N77" s="64"/>
      <c r="O77" s="65"/>
      <c r="P77" s="99"/>
      <c r="Q77" s="70"/>
      <c r="R77" s="74" t="s">
        <v>18367</v>
      </c>
      <c r="S77" s="62"/>
      <c r="T77" s="63"/>
      <c r="U77" s="75"/>
      <c r="V77" s="67"/>
      <c r="W77" s="68" t="s">
        <v>1</v>
      </c>
      <c r="X77" s="76">
        <v>0.4</v>
      </c>
      <c r="Y77" s="70" t="s">
        <v>422</v>
      </c>
      <c r="Z77" s="228">
        <f>ROUND((ROUND((ROUND((ROUND((_15_同援日１．０*_15・通訳),0)*(1+_15・A深夜)),0)*(1+_15・盲ろう)),0)*(1+_15・区４)),0)+ROUND((ROUND((ROUND((_15_同援日１．０＿０．５*_15・通訳),0)*(1+_15・盲ろう)),0)*(1+_15・区４)),0)</f>
        <v>895</v>
      </c>
      <c r="AA77" s="69"/>
    </row>
    <row r="78" spans="1:27" ht="16.5" customHeight="1" x14ac:dyDescent="0.3">
      <c r="A78" s="2">
        <v>15</v>
      </c>
      <c r="B78" s="2" t="s">
        <v>4926</v>
      </c>
      <c r="C78" s="60" t="s">
        <v>15382</v>
      </c>
      <c r="D78" s="1"/>
      <c r="E78" s="68"/>
      <c r="F78" s="70"/>
      <c r="G78" s="81"/>
      <c r="H78" s="57"/>
      <c r="I78" s="77"/>
      <c r="J78" s="67"/>
      <c r="K78" s="68"/>
      <c r="L78" s="76"/>
      <c r="M78" s="83" t="s">
        <v>5895</v>
      </c>
      <c r="N78" s="64" t="s">
        <v>1</v>
      </c>
      <c r="O78" s="65">
        <v>1</v>
      </c>
      <c r="P78" s="99"/>
      <c r="Q78" s="70"/>
      <c r="R78" s="106" t="s">
        <v>18366</v>
      </c>
      <c r="S78" s="57" t="s">
        <v>1</v>
      </c>
      <c r="T78" s="58">
        <v>0.25</v>
      </c>
      <c r="U78" s="77" t="s">
        <v>422</v>
      </c>
      <c r="V78" s="66"/>
      <c r="W78" s="57"/>
      <c r="X78" s="58"/>
      <c r="Y78" s="77"/>
      <c r="Z78" s="228">
        <f>ROUND((ROUND((ROUND((ROUND((ROUND((_15_同援日１．０*_15・通訳),0)*_15・２人),0)*(1+_15・A深夜)),0)*(1+_15・盲ろう)),0)*(1+_15・区４)),0)+ROUND((ROUND((ROUND((ROUND((_15_同援日１．０＿０．５*_15・通訳),0)*_15・２人),0)*(1+_15・盲ろう)),0)*(1+_15・区４)),0)</f>
        <v>895</v>
      </c>
      <c r="AA78" s="69"/>
    </row>
    <row r="79" spans="1:27" ht="16.5" customHeight="1" x14ac:dyDescent="0.3">
      <c r="A79" s="2">
        <v>15</v>
      </c>
      <c r="B79" s="2" t="s">
        <v>4927</v>
      </c>
      <c r="C79" s="60" t="s">
        <v>15381</v>
      </c>
      <c r="D79" s="1"/>
      <c r="E79" s="68"/>
      <c r="F79" s="70"/>
      <c r="G79" s="233" t="s">
        <v>18374</v>
      </c>
      <c r="H79" s="62"/>
      <c r="I79" s="75"/>
      <c r="J79" s="67"/>
      <c r="K79" s="68"/>
      <c r="L79" s="76"/>
      <c r="M79" s="85"/>
      <c r="N79" s="64"/>
      <c r="O79" s="65"/>
      <c r="P79" s="99"/>
      <c r="Q79" s="70"/>
      <c r="R79" s="61"/>
      <c r="S79" s="62"/>
      <c r="T79" s="63"/>
      <c r="U79" s="75"/>
      <c r="V79" s="61"/>
      <c r="W79" s="62"/>
      <c r="X79" s="63"/>
      <c r="Y79" s="75"/>
      <c r="Z79" s="228">
        <f>ROUND((ROUND((_15_同援日１．０*_15・通訳),0)*(1+_15・A深夜)),0)+ROUND((_15_同援日１．０＿１．０*_15・通訳),0)</f>
        <v>569</v>
      </c>
      <c r="AA79" s="69"/>
    </row>
    <row r="80" spans="1:27" ht="16.5" customHeight="1" x14ac:dyDescent="0.3">
      <c r="A80" s="2">
        <v>15</v>
      </c>
      <c r="B80" s="2" t="s">
        <v>4928</v>
      </c>
      <c r="C80" s="60" t="s">
        <v>15380</v>
      </c>
      <c r="D80" s="1"/>
      <c r="E80" s="68"/>
      <c r="F80" s="70"/>
      <c r="G80" s="1" t="s">
        <v>18381</v>
      </c>
      <c r="H80" s="68"/>
      <c r="I80" s="70"/>
      <c r="J80" s="67"/>
      <c r="K80" s="68"/>
      <c r="L80" s="76"/>
      <c r="M80" s="83" t="s">
        <v>5895</v>
      </c>
      <c r="N80" s="64" t="s">
        <v>1</v>
      </c>
      <c r="O80" s="65">
        <v>1</v>
      </c>
      <c r="P80" s="99"/>
      <c r="Q80" s="70"/>
      <c r="R80" s="66"/>
      <c r="S80" s="57"/>
      <c r="T80" s="58"/>
      <c r="U80" s="77"/>
      <c r="V80" s="67"/>
      <c r="W80" s="68"/>
      <c r="X80" s="76"/>
      <c r="Y80" s="70"/>
      <c r="Z80" s="228">
        <f>ROUND((ROUND((ROUND((_15_同援日１．０*_15・通訳),0)*_15・２人),0)*(1+_15・A深夜)),0)+ROUND((ROUND((_15_同援日１．０＿１．０*_15・通訳),0)*_15・２人),0)</f>
        <v>569</v>
      </c>
      <c r="AA80" s="69"/>
    </row>
    <row r="81" spans="1:27" ht="16.5" customHeight="1" x14ac:dyDescent="0.3">
      <c r="A81" s="2">
        <v>15</v>
      </c>
      <c r="B81" s="2" t="s">
        <v>4929</v>
      </c>
      <c r="C81" s="60" t="s">
        <v>15379</v>
      </c>
      <c r="D81" s="1"/>
      <c r="E81" s="68"/>
      <c r="F81" s="70"/>
      <c r="G81" s="1" t="s">
        <v>8572</v>
      </c>
      <c r="H81" s="68"/>
      <c r="I81" s="70"/>
      <c r="J81" s="67"/>
      <c r="K81" s="68"/>
      <c r="L81" s="76"/>
      <c r="M81" s="85"/>
      <c r="N81" s="64"/>
      <c r="O81" s="65"/>
      <c r="P81" s="99"/>
      <c r="Q81" s="70"/>
      <c r="R81" s="74" t="s">
        <v>18367</v>
      </c>
      <c r="S81" s="62"/>
      <c r="T81" s="63"/>
      <c r="U81" s="75"/>
      <c r="V81" s="67"/>
      <c r="W81" s="68"/>
      <c r="X81" s="76"/>
      <c r="Y81" s="70"/>
      <c r="Z81" s="228">
        <f>ROUND((ROUND((ROUND((_15_同援日１．０*_15・通訳),0)*(1+_15・A深夜)),0)*(1+_15・盲ろう)),0)+ROUND((ROUND((_15_同援日１．０＿１．０*_15・通訳),0)*(1+_15・盲ろう)),0)</f>
        <v>712</v>
      </c>
      <c r="AA81" s="69"/>
    </row>
    <row r="82" spans="1:27" ht="16.5" customHeight="1" x14ac:dyDescent="0.3">
      <c r="A82" s="2">
        <v>15</v>
      </c>
      <c r="B82" s="2" t="s">
        <v>4930</v>
      </c>
      <c r="C82" s="60" t="s">
        <v>15378</v>
      </c>
      <c r="D82" s="1"/>
      <c r="E82" s="68"/>
      <c r="F82" s="70"/>
      <c r="G82" s="1"/>
      <c r="H82" s="119">
        <v>193</v>
      </c>
      <c r="I82" s="70" t="s">
        <v>0</v>
      </c>
      <c r="J82" s="67"/>
      <c r="K82" s="68"/>
      <c r="L82" s="76"/>
      <c r="M82" s="83" t="s">
        <v>5895</v>
      </c>
      <c r="N82" s="64" t="s">
        <v>1</v>
      </c>
      <c r="O82" s="65">
        <v>1</v>
      </c>
      <c r="P82" s="99"/>
      <c r="Q82" s="70"/>
      <c r="R82" s="106" t="s">
        <v>18366</v>
      </c>
      <c r="S82" s="57" t="s">
        <v>1</v>
      </c>
      <c r="T82" s="58">
        <v>0.25</v>
      </c>
      <c r="U82" s="77" t="s">
        <v>422</v>
      </c>
      <c r="V82" s="66"/>
      <c r="W82" s="57"/>
      <c r="X82" s="58"/>
      <c r="Y82" s="77"/>
      <c r="Z82" s="228">
        <f>ROUND((ROUND((ROUND((ROUND((_15_同援日１．０*_15・通訳),0)*_15・２人),0)*(1+_15・A深夜)),0)*(1+_15・盲ろう)),0)+ROUND((ROUND((ROUND((_15_同援日１．０＿１．０*_15・通訳),0)*_15・２人),0)*(1+_15・盲ろう)),0)</f>
        <v>712</v>
      </c>
      <c r="AA82" s="69"/>
    </row>
    <row r="83" spans="1:27" ht="16.5" customHeight="1" x14ac:dyDescent="0.3">
      <c r="A83" s="2">
        <v>15</v>
      </c>
      <c r="B83" s="2" t="s">
        <v>4931</v>
      </c>
      <c r="C83" s="60" t="s">
        <v>15377</v>
      </c>
      <c r="D83" s="1"/>
      <c r="E83" s="68"/>
      <c r="F83" s="70"/>
      <c r="G83" s="1"/>
      <c r="H83" s="68"/>
      <c r="I83" s="70"/>
      <c r="J83" s="67"/>
      <c r="K83" s="68"/>
      <c r="L83" s="76"/>
      <c r="M83" s="85"/>
      <c r="N83" s="64"/>
      <c r="O83" s="65"/>
      <c r="P83" s="99"/>
      <c r="Q83" s="70"/>
      <c r="R83" s="61"/>
      <c r="S83" s="62"/>
      <c r="T83" s="63"/>
      <c r="U83" s="75"/>
      <c r="V83" s="74" t="s">
        <v>18370</v>
      </c>
      <c r="W83" s="62"/>
      <c r="X83" s="63"/>
      <c r="Y83" s="75"/>
      <c r="Z83" s="228">
        <f>ROUND((ROUND((ROUND((_15_同援日１．０*_15・通訳),0)*(1+_15・A深夜)),0)*(1+_15・区３)),0)+ROUND((ROUND((_15_同援日１．０＿１．０*_15・通訳),0)*(1+_15・区３)),0)</f>
        <v>683</v>
      </c>
      <c r="AA83" s="69"/>
    </row>
    <row r="84" spans="1:27" ht="16.5" customHeight="1" x14ac:dyDescent="0.3">
      <c r="A84" s="2">
        <v>15</v>
      </c>
      <c r="B84" s="2" t="s">
        <v>4932</v>
      </c>
      <c r="C84" s="60" t="s">
        <v>15376</v>
      </c>
      <c r="D84" s="1"/>
      <c r="E84" s="68"/>
      <c r="F84" s="70"/>
      <c r="G84" s="1"/>
      <c r="H84" s="68"/>
      <c r="I84" s="70"/>
      <c r="J84" s="67"/>
      <c r="K84" s="68"/>
      <c r="L84" s="76"/>
      <c r="M84" s="83" t="s">
        <v>5895</v>
      </c>
      <c r="N84" s="64" t="s">
        <v>1</v>
      </c>
      <c r="O84" s="65">
        <v>1</v>
      </c>
      <c r="P84" s="99"/>
      <c r="Q84" s="70"/>
      <c r="R84" s="66"/>
      <c r="S84" s="57"/>
      <c r="T84" s="58"/>
      <c r="U84" s="77"/>
      <c r="V84" s="94" t="s">
        <v>18368</v>
      </c>
      <c r="W84" s="68"/>
      <c r="X84" s="76"/>
      <c r="Y84" s="70"/>
      <c r="Z84" s="228">
        <f>ROUND((ROUND((ROUND((ROUND((_15_同援日１．０*_15・通訳),0)*_15・２人),0)*(1+_15・A深夜)),0)*(1+_15・区３)),0)+ROUND((ROUND((ROUND((_15_同援日１．０＿１．０*_15・通訳),0)*_15・２人),0)*(1+_15・区３)),0)</f>
        <v>683</v>
      </c>
      <c r="AA84" s="69"/>
    </row>
    <row r="85" spans="1:27" ht="16.5" customHeight="1" x14ac:dyDescent="0.3">
      <c r="A85" s="2">
        <v>15</v>
      </c>
      <c r="B85" s="2" t="s">
        <v>4933</v>
      </c>
      <c r="C85" s="60" t="s">
        <v>15375</v>
      </c>
      <c r="D85" s="1"/>
      <c r="E85" s="68"/>
      <c r="F85" s="70"/>
      <c r="G85" s="1"/>
      <c r="H85" s="68"/>
      <c r="I85" s="70"/>
      <c r="J85" s="67"/>
      <c r="K85" s="68"/>
      <c r="L85" s="76"/>
      <c r="M85" s="85"/>
      <c r="N85" s="64"/>
      <c r="O85" s="65"/>
      <c r="P85" s="99"/>
      <c r="Q85" s="70"/>
      <c r="R85" s="74" t="s">
        <v>18367</v>
      </c>
      <c r="S85" s="62"/>
      <c r="T85" s="63"/>
      <c r="U85" s="75"/>
      <c r="V85" s="67"/>
      <c r="W85" s="68" t="s">
        <v>1</v>
      </c>
      <c r="X85" s="76">
        <v>0.2</v>
      </c>
      <c r="Y85" s="70" t="s">
        <v>422</v>
      </c>
      <c r="Z85" s="228">
        <f>ROUND((ROUND((ROUND((ROUND((_15_同援日１．０*_15・通訳),0)*(1+_15・A深夜)),0)*(1+_15・盲ろう)),0)*(1+_15・区３)),0)+ROUND((ROUND((ROUND((_15_同援日１．０＿１．０*_15・通訳),0)*(1+_15・盲ろう)),0)*(1+_15・区３)),0)</f>
        <v>855</v>
      </c>
      <c r="AA85" s="69"/>
    </row>
    <row r="86" spans="1:27" ht="16.5" customHeight="1" x14ac:dyDescent="0.3">
      <c r="A86" s="2">
        <v>15</v>
      </c>
      <c r="B86" s="2" t="s">
        <v>4934</v>
      </c>
      <c r="C86" s="60" t="s">
        <v>15374</v>
      </c>
      <c r="D86" s="1"/>
      <c r="E86" s="68"/>
      <c r="F86" s="70"/>
      <c r="G86" s="1"/>
      <c r="H86" s="68"/>
      <c r="I86" s="70"/>
      <c r="J86" s="67"/>
      <c r="K86" s="68"/>
      <c r="L86" s="76"/>
      <c r="M86" s="83" t="s">
        <v>5895</v>
      </c>
      <c r="N86" s="64" t="s">
        <v>1</v>
      </c>
      <c r="O86" s="65">
        <v>1</v>
      </c>
      <c r="P86" s="99"/>
      <c r="Q86" s="70"/>
      <c r="R86" s="106" t="s">
        <v>18366</v>
      </c>
      <c r="S86" s="57" t="s">
        <v>1</v>
      </c>
      <c r="T86" s="58">
        <v>0.25</v>
      </c>
      <c r="U86" s="77" t="s">
        <v>422</v>
      </c>
      <c r="V86" s="66"/>
      <c r="W86" s="57"/>
      <c r="X86" s="58"/>
      <c r="Y86" s="77"/>
      <c r="Z86" s="228">
        <f>ROUND((ROUND((ROUND((ROUND((ROUND((_15_同援日１．０*_15・通訳),0)*_15・２人),0)*(1+_15・A深夜)),0)*(1+_15・盲ろう)),0)*(1+_15・区３)),0)+ROUND((ROUND((ROUND((ROUND((_15_同援日１．０＿１．０*_15・通訳),0)*_15・２人),0)*(1+_15・盲ろう)),0)*(1+_15・区３)),0)</f>
        <v>855</v>
      </c>
      <c r="AA86" s="69"/>
    </row>
    <row r="87" spans="1:27" ht="16.5" customHeight="1" x14ac:dyDescent="0.3">
      <c r="A87" s="2">
        <v>15</v>
      </c>
      <c r="B87" s="2" t="s">
        <v>4935</v>
      </c>
      <c r="C87" s="60" t="s">
        <v>15373</v>
      </c>
      <c r="D87" s="1"/>
      <c r="E87" s="68"/>
      <c r="F87" s="70"/>
      <c r="G87" s="1"/>
      <c r="H87" s="68"/>
      <c r="I87" s="70"/>
      <c r="J87" s="67"/>
      <c r="K87" s="68"/>
      <c r="L87" s="76"/>
      <c r="M87" s="85"/>
      <c r="N87" s="64"/>
      <c r="O87" s="65"/>
      <c r="P87" s="99"/>
      <c r="Q87" s="70"/>
      <c r="R87" s="61"/>
      <c r="S87" s="62"/>
      <c r="T87" s="63"/>
      <c r="U87" s="75"/>
      <c r="V87" s="74" t="s">
        <v>18369</v>
      </c>
      <c r="W87" s="62"/>
      <c r="X87" s="63"/>
      <c r="Y87" s="75"/>
      <c r="Z87" s="228">
        <f>ROUND((ROUND((ROUND((_15_同援日１．０*_15・通訳),0)*(1+_15・A深夜)),0)*(1+_15・区４)),0)+ROUND((ROUND((_15_同援日１．０＿１．０*_15・通訳),0)*(1+_15・区４)),0)</f>
        <v>797</v>
      </c>
      <c r="AA87" s="69"/>
    </row>
    <row r="88" spans="1:27" ht="16.5" customHeight="1" x14ac:dyDescent="0.3">
      <c r="A88" s="2">
        <v>15</v>
      </c>
      <c r="B88" s="2" t="s">
        <v>4936</v>
      </c>
      <c r="C88" s="60" t="s">
        <v>15372</v>
      </c>
      <c r="D88" s="1"/>
      <c r="E88" s="68"/>
      <c r="F88" s="70"/>
      <c r="G88" s="1"/>
      <c r="H88" s="68"/>
      <c r="I88" s="70"/>
      <c r="J88" s="67"/>
      <c r="K88" s="68"/>
      <c r="L88" s="76"/>
      <c r="M88" s="83" t="s">
        <v>5895</v>
      </c>
      <c r="N88" s="64" t="s">
        <v>1</v>
      </c>
      <c r="O88" s="65">
        <v>1</v>
      </c>
      <c r="P88" s="99"/>
      <c r="Q88" s="70"/>
      <c r="R88" s="66"/>
      <c r="S88" s="57"/>
      <c r="T88" s="58"/>
      <c r="U88" s="77"/>
      <c r="V88" s="94" t="s">
        <v>18368</v>
      </c>
      <c r="W88" s="68"/>
      <c r="X88" s="76"/>
      <c r="Y88" s="70"/>
      <c r="Z88" s="228">
        <f>ROUND((ROUND((ROUND((ROUND((_15_同援日１．０*_15・通訳),0)*_15・２人),0)*(1+_15・A深夜)),0)*(1+_15・区４)),0)+ROUND((ROUND((ROUND((_15_同援日１．０＿１．０*_15・通訳),0)*_15・２人),0)*(1+_15・区４)),0)</f>
        <v>797</v>
      </c>
      <c r="AA88" s="69"/>
    </row>
    <row r="89" spans="1:27" ht="16.5" customHeight="1" x14ac:dyDescent="0.3">
      <c r="A89" s="2">
        <v>15</v>
      </c>
      <c r="B89" s="2" t="s">
        <v>4937</v>
      </c>
      <c r="C89" s="60" t="s">
        <v>15371</v>
      </c>
      <c r="D89" s="1"/>
      <c r="E89" s="68"/>
      <c r="F89" s="70"/>
      <c r="G89" s="1"/>
      <c r="H89" s="68"/>
      <c r="I89" s="70"/>
      <c r="J89" s="67"/>
      <c r="K89" s="68"/>
      <c r="L89" s="76"/>
      <c r="M89" s="85"/>
      <c r="N89" s="64"/>
      <c r="O89" s="65"/>
      <c r="P89" s="99"/>
      <c r="Q89" s="70"/>
      <c r="R89" s="74" t="s">
        <v>18367</v>
      </c>
      <c r="S89" s="62"/>
      <c r="T89" s="63"/>
      <c r="U89" s="75"/>
      <c r="V89" s="67"/>
      <c r="W89" s="68" t="s">
        <v>1</v>
      </c>
      <c r="X89" s="76">
        <v>0.4</v>
      </c>
      <c r="Y89" s="70" t="s">
        <v>422</v>
      </c>
      <c r="Z89" s="228">
        <f>ROUND((ROUND((ROUND((ROUND((_15_同援日１．０*_15・通訳),0)*(1+_15・A深夜)),0)*(1+_15・盲ろう)),0)*(1+_15・区４)),0)+ROUND((ROUND((ROUND((_15_同援日１．０＿１．０*_15・通訳),0)*(1+_15・盲ろう)),0)*(1+_15・区４)),0)</f>
        <v>997</v>
      </c>
      <c r="AA89" s="69"/>
    </row>
    <row r="90" spans="1:27" ht="16.5" customHeight="1" x14ac:dyDescent="0.3">
      <c r="A90" s="2">
        <v>15</v>
      </c>
      <c r="B90" s="2" t="s">
        <v>4938</v>
      </c>
      <c r="C90" s="60" t="s">
        <v>15370</v>
      </c>
      <c r="D90" s="1"/>
      <c r="E90" s="68"/>
      <c r="F90" s="70"/>
      <c r="G90" s="81"/>
      <c r="H90" s="57"/>
      <c r="I90" s="77"/>
      <c r="J90" s="67"/>
      <c r="K90" s="68"/>
      <c r="L90" s="76"/>
      <c r="M90" s="83" t="s">
        <v>5895</v>
      </c>
      <c r="N90" s="64" t="s">
        <v>1</v>
      </c>
      <c r="O90" s="65">
        <v>1</v>
      </c>
      <c r="P90" s="99"/>
      <c r="Q90" s="70"/>
      <c r="R90" s="106" t="s">
        <v>18366</v>
      </c>
      <c r="S90" s="57" t="s">
        <v>1</v>
      </c>
      <c r="T90" s="58">
        <v>0.25</v>
      </c>
      <c r="U90" s="77" t="s">
        <v>422</v>
      </c>
      <c r="V90" s="66"/>
      <c r="W90" s="57"/>
      <c r="X90" s="58"/>
      <c r="Y90" s="77"/>
      <c r="Z90" s="228">
        <f>ROUND((ROUND((ROUND((ROUND((ROUND((_15_同援日１．０*_15・通訳),0)*_15・２人),0)*(1+_15・A深夜)),0)*(1+_15・盲ろう)),0)*(1+_15・区４)),0)+ROUND((ROUND((ROUND((ROUND((_15_同援日１．０＿１．０*_15・通訳),0)*_15・２人),0)*(1+_15・盲ろう)),0)*(1+_15・区４)),0)</f>
        <v>997</v>
      </c>
      <c r="AA90" s="69"/>
    </row>
    <row r="91" spans="1:27" ht="16.5" customHeight="1" x14ac:dyDescent="0.3">
      <c r="A91" s="2">
        <v>15</v>
      </c>
      <c r="B91" s="2" t="s">
        <v>4939</v>
      </c>
      <c r="C91" s="60" t="s">
        <v>15369</v>
      </c>
      <c r="D91" s="1"/>
      <c r="E91" s="68"/>
      <c r="F91" s="70"/>
      <c r="G91" s="233" t="s">
        <v>18378</v>
      </c>
      <c r="H91" s="62"/>
      <c r="I91" s="75"/>
      <c r="J91" s="67"/>
      <c r="K91" s="68"/>
      <c r="L91" s="76"/>
      <c r="M91" s="85"/>
      <c r="N91" s="64"/>
      <c r="O91" s="65"/>
      <c r="P91" s="99"/>
      <c r="Q91" s="70"/>
      <c r="R91" s="61"/>
      <c r="S91" s="62"/>
      <c r="T91" s="63"/>
      <c r="U91" s="75"/>
      <c r="V91" s="61"/>
      <c r="W91" s="62"/>
      <c r="X91" s="63"/>
      <c r="Y91" s="75"/>
      <c r="Z91" s="228">
        <f>ROUND((ROUND((_15_同援日１．０*_15・通訳),0)*(1+_15・A深夜)),0)+ROUND((_15_同援日１．０＿１．５*_15・通訳),0)</f>
        <v>625</v>
      </c>
      <c r="AA91" s="69"/>
    </row>
    <row r="92" spans="1:27" ht="16.5" customHeight="1" x14ac:dyDescent="0.3">
      <c r="A92" s="2">
        <v>15</v>
      </c>
      <c r="B92" s="2" t="s">
        <v>4940</v>
      </c>
      <c r="C92" s="60" t="s">
        <v>15368</v>
      </c>
      <c r="D92" s="1"/>
      <c r="E92" s="68"/>
      <c r="F92" s="70"/>
      <c r="G92" s="1" t="s">
        <v>18377</v>
      </c>
      <c r="H92" s="68"/>
      <c r="I92" s="70"/>
      <c r="J92" s="67"/>
      <c r="K92" s="68"/>
      <c r="L92" s="76"/>
      <c r="M92" s="83" t="s">
        <v>5895</v>
      </c>
      <c r="N92" s="64" t="s">
        <v>1</v>
      </c>
      <c r="O92" s="65">
        <v>1</v>
      </c>
      <c r="P92" s="99"/>
      <c r="Q92" s="70"/>
      <c r="R92" s="66"/>
      <c r="S92" s="57"/>
      <c r="T92" s="58"/>
      <c r="U92" s="77"/>
      <c r="V92" s="67"/>
      <c r="W92" s="68"/>
      <c r="X92" s="76"/>
      <c r="Y92" s="70"/>
      <c r="Z92" s="228">
        <f>ROUND((ROUND((ROUND((_15_同援日１．０*_15・通訳),0)*_15・２人),0)*(1+_15・A深夜)),0)+ROUND((ROUND((_15_同援日１．０＿１．５*_15・通訳),0)*_15・２人),0)</f>
        <v>625</v>
      </c>
      <c r="AA92" s="69"/>
    </row>
    <row r="93" spans="1:27" ht="16.5" customHeight="1" x14ac:dyDescent="0.3">
      <c r="A93" s="2">
        <v>15</v>
      </c>
      <c r="B93" s="2" t="s">
        <v>4941</v>
      </c>
      <c r="C93" s="60" t="s">
        <v>15367</v>
      </c>
      <c r="D93" s="1"/>
      <c r="E93" s="68"/>
      <c r="F93" s="70"/>
      <c r="G93" s="1" t="s">
        <v>8767</v>
      </c>
      <c r="H93" s="68"/>
      <c r="I93" s="70"/>
      <c r="J93" s="67"/>
      <c r="K93" s="68"/>
      <c r="L93" s="76"/>
      <c r="M93" s="85"/>
      <c r="N93" s="64"/>
      <c r="O93" s="65"/>
      <c r="P93" s="99"/>
      <c r="Q93" s="70"/>
      <c r="R93" s="74" t="s">
        <v>8085</v>
      </c>
      <c r="S93" s="62"/>
      <c r="T93" s="63"/>
      <c r="U93" s="75"/>
      <c r="V93" s="67"/>
      <c r="W93" s="68"/>
      <c r="X93" s="76"/>
      <c r="Y93" s="70"/>
      <c r="Z93" s="228">
        <f>ROUND((ROUND((ROUND((_15_同援日１．０*_15・通訳),0)*(1+_15・A深夜)),0)*(1+_15・盲ろう)),0)+ROUND((ROUND((_15_同援日１．０＿１．５*_15・通訳),0)*(1+_15・盲ろう)),0)</f>
        <v>782</v>
      </c>
      <c r="AA93" s="69"/>
    </row>
    <row r="94" spans="1:27" ht="16.5" customHeight="1" x14ac:dyDescent="0.3">
      <c r="A94" s="2">
        <v>15</v>
      </c>
      <c r="B94" s="2" t="s">
        <v>4942</v>
      </c>
      <c r="C94" s="60" t="s">
        <v>15366</v>
      </c>
      <c r="D94" s="1"/>
      <c r="E94" s="68"/>
      <c r="F94" s="70"/>
      <c r="G94" s="1"/>
      <c r="H94" s="119">
        <v>256</v>
      </c>
      <c r="I94" s="70" t="s">
        <v>0</v>
      </c>
      <c r="J94" s="67"/>
      <c r="K94" s="68"/>
      <c r="L94" s="76"/>
      <c r="M94" s="83" t="s">
        <v>5895</v>
      </c>
      <c r="N94" s="64" t="s">
        <v>1</v>
      </c>
      <c r="O94" s="65">
        <v>1</v>
      </c>
      <c r="P94" s="99"/>
      <c r="Q94" s="70"/>
      <c r="R94" s="106" t="s">
        <v>18366</v>
      </c>
      <c r="S94" s="57" t="s">
        <v>1</v>
      </c>
      <c r="T94" s="58">
        <v>0.25</v>
      </c>
      <c r="U94" s="77" t="s">
        <v>422</v>
      </c>
      <c r="V94" s="66"/>
      <c r="W94" s="57"/>
      <c r="X94" s="58"/>
      <c r="Y94" s="77"/>
      <c r="Z94" s="228">
        <f>ROUND((ROUND((ROUND((ROUND((_15_同援日１．０*_15・通訳),0)*_15・２人),0)*(1+_15・A深夜)),0)*(1+_15・盲ろう)),0)+ROUND((ROUND((ROUND((_15_同援日１．０＿１．５*_15・通訳),0)*_15・２人),0)*(1+_15・盲ろう)),0)</f>
        <v>782</v>
      </c>
      <c r="AA94" s="69"/>
    </row>
    <row r="95" spans="1:27" ht="16.5" customHeight="1" x14ac:dyDescent="0.3">
      <c r="A95" s="2">
        <v>15</v>
      </c>
      <c r="B95" s="2" t="s">
        <v>4943</v>
      </c>
      <c r="C95" s="60" t="s">
        <v>15365</v>
      </c>
      <c r="D95" s="1"/>
      <c r="E95" s="68"/>
      <c r="F95" s="70"/>
      <c r="G95" s="1"/>
      <c r="H95" s="68"/>
      <c r="I95" s="70"/>
      <c r="J95" s="67"/>
      <c r="K95" s="68"/>
      <c r="L95" s="76"/>
      <c r="M95" s="85"/>
      <c r="N95" s="64"/>
      <c r="O95" s="65"/>
      <c r="P95" s="99"/>
      <c r="Q95" s="70"/>
      <c r="R95" s="61"/>
      <c r="S95" s="62"/>
      <c r="T95" s="63"/>
      <c r="U95" s="75"/>
      <c r="V95" s="74" t="s">
        <v>18370</v>
      </c>
      <c r="W95" s="62"/>
      <c r="X95" s="63"/>
      <c r="Y95" s="75"/>
      <c r="Z95" s="228">
        <f>ROUND((ROUND((ROUND((_15_同援日１．０*_15・通訳),0)*(1+_15・A深夜)),0)*(1+_15・区３)),0)+ROUND((ROUND((_15_同援日１．０＿１．５*_15・通訳),0)*(1+_15・区３)),0)</f>
        <v>750</v>
      </c>
      <c r="AA95" s="69"/>
    </row>
    <row r="96" spans="1:27" ht="16.5" customHeight="1" x14ac:dyDescent="0.3">
      <c r="A96" s="2">
        <v>15</v>
      </c>
      <c r="B96" s="2" t="s">
        <v>4944</v>
      </c>
      <c r="C96" s="60" t="s">
        <v>15364</v>
      </c>
      <c r="D96" s="1"/>
      <c r="E96" s="68"/>
      <c r="F96" s="70"/>
      <c r="G96" s="1"/>
      <c r="H96" s="68"/>
      <c r="I96" s="70"/>
      <c r="J96" s="67"/>
      <c r="K96" s="68"/>
      <c r="L96" s="76"/>
      <c r="M96" s="83" t="s">
        <v>5895</v>
      </c>
      <c r="N96" s="64" t="s">
        <v>1</v>
      </c>
      <c r="O96" s="65">
        <v>1</v>
      </c>
      <c r="P96" s="99"/>
      <c r="Q96" s="70"/>
      <c r="R96" s="66"/>
      <c r="S96" s="57"/>
      <c r="T96" s="58"/>
      <c r="U96" s="77"/>
      <c r="V96" s="94" t="s">
        <v>18368</v>
      </c>
      <c r="W96" s="68"/>
      <c r="X96" s="76"/>
      <c r="Y96" s="70"/>
      <c r="Z96" s="228">
        <f>ROUND((ROUND((ROUND((ROUND((_15_同援日１．０*_15・通訳),0)*_15・２人),0)*(1+_15・A深夜)),0)*(1+_15・区３)),0)+ROUND((ROUND((ROUND((_15_同援日１．０＿１．５*_15・通訳),0)*_15・２人),0)*(1+_15・区３)),0)</f>
        <v>750</v>
      </c>
      <c r="AA96" s="69"/>
    </row>
    <row r="97" spans="1:27" ht="16.5" customHeight="1" x14ac:dyDescent="0.3">
      <c r="A97" s="2">
        <v>15</v>
      </c>
      <c r="B97" s="2" t="s">
        <v>4945</v>
      </c>
      <c r="C97" s="60" t="s">
        <v>15363</v>
      </c>
      <c r="D97" s="1"/>
      <c r="E97" s="68"/>
      <c r="F97" s="70"/>
      <c r="G97" s="1"/>
      <c r="H97" s="68"/>
      <c r="I97" s="70"/>
      <c r="J97" s="67"/>
      <c r="K97" s="68"/>
      <c r="L97" s="76"/>
      <c r="M97" s="85"/>
      <c r="N97" s="64"/>
      <c r="O97" s="65"/>
      <c r="P97" s="99"/>
      <c r="Q97" s="70"/>
      <c r="R97" s="74" t="s">
        <v>18367</v>
      </c>
      <c r="S97" s="62"/>
      <c r="T97" s="63"/>
      <c r="U97" s="75"/>
      <c r="V97" s="67"/>
      <c r="W97" s="68" t="s">
        <v>1</v>
      </c>
      <c r="X97" s="76">
        <v>0.2</v>
      </c>
      <c r="Y97" s="70" t="s">
        <v>422</v>
      </c>
      <c r="Z97" s="228">
        <f>ROUND((ROUND((ROUND((ROUND((_15_同援日１．０*_15・通訳),0)*(1+_15・A深夜)),0)*(1+_15・盲ろう)),0)*(1+_15・区３)),0)+ROUND((ROUND((ROUND((_15_同援日１．０＿１．５*_15・通訳),0)*(1+_15・盲ろう)),0)*(1+_15・区３)),0)</f>
        <v>939</v>
      </c>
      <c r="AA97" s="69"/>
    </row>
    <row r="98" spans="1:27" ht="16.5" customHeight="1" x14ac:dyDescent="0.3">
      <c r="A98" s="2">
        <v>15</v>
      </c>
      <c r="B98" s="2" t="s">
        <v>4946</v>
      </c>
      <c r="C98" s="60" t="s">
        <v>15362</v>
      </c>
      <c r="D98" s="1"/>
      <c r="E98" s="68"/>
      <c r="F98" s="70"/>
      <c r="G98" s="1"/>
      <c r="H98" s="68"/>
      <c r="I98" s="70"/>
      <c r="J98" s="67"/>
      <c r="K98" s="68"/>
      <c r="L98" s="76"/>
      <c r="M98" s="83" t="s">
        <v>5895</v>
      </c>
      <c r="N98" s="64" t="s">
        <v>1</v>
      </c>
      <c r="O98" s="65">
        <v>1</v>
      </c>
      <c r="P98" s="99"/>
      <c r="Q98" s="70"/>
      <c r="R98" s="106" t="s">
        <v>18366</v>
      </c>
      <c r="S98" s="57" t="s">
        <v>1</v>
      </c>
      <c r="T98" s="58">
        <v>0.25</v>
      </c>
      <c r="U98" s="77" t="s">
        <v>422</v>
      </c>
      <c r="V98" s="66"/>
      <c r="W98" s="57"/>
      <c r="X98" s="58"/>
      <c r="Y98" s="77"/>
      <c r="Z98" s="228">
        <f>ROUND((ROUND((ROUND((ROUND((ROUND((_15_同援日１．０*_15・通訳),0)*_15・２人),0)*(1+_15・A深夜)),0)*(1+_15・盲ろう)),0)*(1+_15・区３)),0)+ROUND((ROUND((ROUND((ROUND((_15_同援日１．０＿１．５*_15・通訳),0)*_15・２人),0)*(1+_15・盲ろう)),0)*(1+_15・区３)),0)</f>
        <v>939</v>
      </c>
      <c r="AA98" s="69"/>
    </row>
    <row r="99" spans="1:27" ht="16.5" customHeight="1" x14ac:dyDescent="0.3">
      <c r="A99" s="2">
        <v>15</v>
      </c>
      <c r="B99" s="2" t="s">
        <v>4947</v>
      </c>
      <c r="C99" s="60" t="s">
        <v>15361</v>
      </c>
      <c r="D99" s="1"/>
      <c r="E99" s="68"/>
      <c r="F99" s="70"/>
      <c r="G99" s="1"/>
      <c r="H99" s="68"/>
      <c r="I99" s="70"/>
      <c r="J99" s="67"/>
      <c r="K99" s="68"/>
      <c r="L99" s="76"/>
      <c r="M99" s="85"/>
      <c r="N99" s="64"/>
      <c r="O99" s="65"/>
      <c r="P99" s="99"/>
      <c r="Q99" s="70"/>
      <c r="R99" s="61"/>
      <c r="S99" s="62"/>
      <c r="T99" s="63"/>
      <c r="U99" s="75"/>
      <c r="V99" s="74" t="s">
        <v>18369</v>
      </c>
      <c r="W99" s="62"/>
      <c r="X99" s="63"/>
      <c r="Y99" s="75"/>
      <c r="Z99" s="228">
        <f>ROUND((ROUND((ROUND((_15_同援日１．０*_15・通訳),0)*(1+_15・A深夜)),0)*(1+_15・区４)),0)+ROUND((ROUND((_15_同援日１．０＿１．５*_15・通訳),0)*(1+_15・区４)),0)</f>
        <v>875</v>
      </c>
      <c r="AA99" s="69"/>
    </row>
    <row r="100" spans="1:27" ht="16.5" customHeight="1" x14ac:dyDescent="0.3">
      <c r="A100" s="2">
        <v>15</v>
      </c>
      <c r="B100" s="2" t="s">
        <v>4948</v>
      </c>
      <c r="C100" s="60" t="s">
        <v>15360</v>
      </c>
      <c r="D100" s="1"/>
      <c r="E100" s="68"/>
      <c r="F100" s="70"/>
      <c r="G100" s="1"/>
      <c r="H100" s="68"/>
      <c r="I100" s="70"/>
      <c r="J100" s="67"/>
      <c r="K100" s="68"/>
      <c r="L100" s="76"/>
      <c r="M100" s="83" t="s">
        <v>5895</v>
      </c>
      <c r="N100" s="64" t="s">
        <v>1</v>
      </c>
      <c r="O100" s="65">
        <v>1</v>
      </c>
      <c r="P100" s="99"/>
      <c r="Q100" s="70"/>
      <c r="R100" s="66"/>
      <c r="S100" s="57"/>
      <c r="T100" s="58"/>
      <c r="U100" s="77"/>
      <c r="V100" s="94" t="s">
        <v>18368</v>
      </c>
      <c r="W100" s="68"/>
      <c r="X100" s="76"/>
      <c r="Y100" s="70"/>
      <c r="Z100" s="228">
        <f>ROUND((ROUND((ROUND((ROUND((_15_同援日１．０*_15・通訳),0)*_15・２人),0)*(1+_15・A深夜)),0)*(1+_15・区４)),0)+ROUND((ROUND((ROUND((_15_同援日１．０＿１．５*_15・通訳),0)*_15・２人),0)*(1+_15・区４)),0)</f>
        <v>875</v>
      </c>
      <c r="AA100" s="69"/>
    </row>
    <row r="101" spans="1:27" ht="16.5" customHeight="1" x14ac:dyDescent="0.3">
      <c r="A101" s="2">
        <v>15</v>
      </c>
      <c r="B101" s="2" t="s">
        <v>4949</v>
      </c>
      <c r="C101" s="60" t="s">
        <v>15359</v>
      </c>
      <c r="D101" s="1"/>
      <c r="E101" s="68"/>
      <c r="F101" s="70"/>
      <c r="G101" s="1"/>
      <c r="H101" s="68"/>
      <c r="I101" s="70"/>
      <c r="J101" s="67"/>
      <c r="K101" s="68"/>
      <c r="L101" s="76"/>
      <c r="M101" s="85"/>
      <c r="N101" s="64"/>
      <c r="O101" s="65"/>
      <c r="P101" s="99"/>
      <c r="Q101" s="70"/>
      <c r="R101" s="74" t="s">
        <v>18367</v>
      </c>
      <c r="S101" s="62"/>
      <c r="T101" s="63"/>
      <c r="U101" s="75"/>
      <c r="V101" s="67"/>
      <c r="W101" s="68" t="s">
        <v>1</v>
      </c>
      <c r="X101" s="76">
        <v>0.4</v>
      </c>
      <c r="Y101" s="70" t="s">
        <v>422</v>
      </c>
      <c r="Z101" s="228">
        <f>ROUND((ROUND((ROUND((ROUND((_15_同援日１．０*_15・通訳),0)*(1+_15・A深夜)),0)*(1+_15・盲ろう)),0)*(1+_15・区４)),0)+ROUND((ROUND((ROUND((_15_同援日１．０＿１．５*_15・通訳),0)*(1+_15・盲ろう)),0)*(1+_15・区４)),0)</f>
        <v>1095</v>
      </c>
      <c r="AA101" s="69"/>
    </row>
    <row r="102" spans="1:27" ht="16.5" customHeight="1" x14ac:dyDescent="0.3">
      <c r="A102" s="2">
        <v>15</v>
      </c>
      <c r="B102" s="2" t="s">
        <v>4950</v>
      </c>
      <c r="C102" s="60" t="s">
        <v>15358</v>
      </c>
      <c r="D102" s="1"/>
      <c r="E102" s="68"/>
      <c r="F102" s="70"/>
      <c r="G102" s="81"/>
      <c r="H102" s="57"/>
      <c r="I102" s="77"/>
      <c r="J102" s="67"/>
      <c r="K102" s="68"/>
      <c r="L102" s="76"/>
      <c r="M102" s="83" t="s">
        <v>5895</v>
      </c>
      <c r="N102" s="64" t="s">
        <v>1</v>
      </c>
      <c r="O102" s="65">
        <v>1</v>
      </c>
      <c r="P102" s="99"/>
      <c r="Q102" s="70"/>
      <c r="R102" s="106" t="s">
        <v>18366</v>
      </c>
      <c r="S102" s="57" t="s">
        <v>1</v>
      </c>
      <c r="T102" s="58">
        <v>0.25</v>
      </c>
      <c r="U102" s="77" t="s">
        <v>422</v>
      </c>
      <c r="V102" s="66"/>
      <c r="W102" s="57"/>
      <c r="X102" s="58"/>
      <c r="Y102" s="77"/>
      <c r="Z102" s="228">
        <f>ROUND((ROUND((ROUND((ROUND((ROUND((_15_同援日１．０*_15・通訳),0)*_15・２人),0)*(1+_15・A深夜)),0)*(1+_15・盲ろう)),0)*(1+_15・区４)),0)+ROUND((ROUND((ROUND((ROUND((_15_同援日１．０＿１．５*_15・通訳),0)*_15・２人),0)*(1+_15・盲ろう)),0)*(1+_15・区４)),0)</f>
        <v>1095</v>
      </c>
      <c r="AA102" s="69"/>
    </row>
    <row r="103" spans="1:27" ht="16.5" customHeight="1" x14ac:dyDescent="0.3">
      <c r="A103" s="2">
        <v>15</v>
      </c>
      <c r="B103" s="2" t="s">
        <v>4951</v>
      </c>
      <c r="C103" s="60" t="s">
        <v>15357</v>
      </c>
      <c r="D103" s="1"/>
      <c r="E103" s="68"/>
      <c r="F103" s="70"/>
      <c r="G103" s="233" t="s">
        <v>18380</v>
      </c>
      <c r="H103" s="62"/>
      <c r="I103" s="75"/>
      <c r="J103" s="67"/>
      <c r="K103" s="68"/>
      <c r="L103" s="76"/>
      <c r="M103" s="85"/>
      <c r="N103" s="64"/>
      <c r="O103" s="65"/>
      <c r="P103" s="99"/>
      <c r="Q103" s="70"/>
      <c r="R103" s="61"/>
      <c r="S103" s="62"/>
      <c r="T103" s="63"/>
      <c r="U103" s="75"/>
      <c r="V103" s="61"/>
      <c r="W103" s="62"/>
      <c r="X103" s="63"/>
      <c r="Y103" s="75"/>
      <c r="Z103" s="228">
        <f>ROUND((ROUND((_15_同援日１．０*_15・通訳),0)*(1+_15・A深夜)),0)+ROUND((_15_同援日１．０＿２．０*_15・通訳),0)</f>
        <v>682</v>
      </c>
      <c r="AA103" s="69"/>
    </row>
    <row r="104" spans="1:27" ht="16.5" customHeight="1" x14ac:dyDescent="0.3">
      <c r="A104" s="2">
        <v>15</v>
      </c>
      <c r="B104" s="2" t="s">
        <v>4952</v>
      </c>
      <c r="C104" s="60" t="s">
        <v>15356</v>
      </c>
      <c r="D104" s="1"/>
      <c r="E104" s="68"/>
      <c r="F104" s="70"/>
      <c r="G104" s="1" t="s">
        <v>18375</v>
      </c>
      <c r="H104" s="68"/>
      <c r="I104" s="70"/>
      <c r="J104" s="67"/>
      <c r="K104" s="68"/>
      <c r="L104" s="76"/>
      <c r="M104" s="83" t="s">
        <v>5895</v>
      </c>
      <c r="N104" s="64" t="s">
        <v>1</v>
      </c>
      <c r="O104" s="65">
        <v>1</v>
      </c>
      <c r="P104" s="99"/>
      <c r="Q104" s="70"/>
      <c r="R104" s="66"/>
      <c r="S104" s="57"/>
      <c r="T104" s="58"/>
      <c r="U104" s="77"/>
      <c r="V104" s="67"/>
      <c r="W104" s="68"/>
      <c r="X104" s="76"/>
      <c r="Y104" s="70"/>
      <c r="Z104" s="228">
        <f>ROUND((ROUND((ROUND((_15_同援日１．０*_15・通訳),0)*_15・２人),0)*(1+_15・A深夜)),0)+ROUND((ROUND((_15_同援日１．０＿２．０*_15・通訳),0)*_15・２人),0)</f>
        <v>682</v>
      </c>
      <c r="AA104" s="69"/>
    </row>
    <row r="105" spans="1:27" ht="16.5" customHeight="1" x14ac:dyDescent="0.3">
      <c r="A105" s="2">
        <v>15</v>
      </c>
      <c r="B105" s="2" t="s">
        <v>4953</v>
      </c>
      <c r="C105" s="60" t="s">
        <v>15355</v>
      </c>
      <c r="D105" s="1"/>
      <c r="E105" s="68"/>
      <c r="F105" s="70"/>
      <c r="G105" s="1" t="s">
        <v>6448</v>
      </c>
      <c r="H105" s="68"/>
      <c r="I105" s="70"/>
      <c r="J105" s="67"/>
      <c r="K105" s="68"/>
      <c r="L105" s="76"/>
      <c r="M105" s="85"/>
      <c r="N105" s="64"/>
      <c r="O105" s="65"/>
      <c r="P105" s="99"/>
      <c r="Q105" s="70"/>
      <c r="R105" s="74" t="s">
        <v>18367</v>
      </c>
      <c r="S105" s="62"/>
      <c r="T105" s="63"/>
      <c r="U105" s="75"/>
      <c r="V105" s="67"/>
      <c r="W105" s="68"/>
      <c r="X105" s="76"/>
      <c r="Y105" s="70"/>
      <c r="Z105" s="228">
        <f>ROUND((ROUND((ROUND((_15_同援日１．０*_15・通訳),0)*(1+_15・A深夜)),0)*(1+_15・盲ろう)),0)+ROUND((ROUND((_15_同援日１．０＿２．０*_15・通訳),0)*(1+_15・盲ろう)),0)</f>
        <v>853</v>
      </c>
      <c r="AA105" s="69"/>
    </row>
    <row r="106" spans="1:27" ht="16.5" customHeight="1" x14ac:dyDescent="0.3">
      <c r="A106" s="2">
        <v>15</v>
      </c>
      <c r="B106" s="2" t="s">
        <v>4954</v>
      </c>
      <c r="C106" s="60" t="s">
        <v>15354</v>
      </c>
      <c r="D106" s="1"/>
      <c r="E106" s="68"/>
      <c r="F106" s="70"/>
      <c r="G106" s="1"/>
      <c r="H106" s="119">
        <v>319</v>
      </c>
      <c r="I106" s="70" t="s">
        <v>0</v>
      </c>
      <c r="J106" s="67"/>
      <c r="K106" s="68"/>
      <c r="L106" s="76"/>
      <c r="M106" s="83" t="s">
        <v>5895</v>
      </c>
      <c r="N106" s="64" t="s">
        <v>1</v>
      </c>
      <c r="O106" s="65">
        <v>1</v>
      </c>
      <c r="P106" s="99"/>
      <c r="Q106" s="70"/>
      <c r="R106" s="106" t="s">
        <v>18366</v>
      </c>
      <c r="S106" s="57" t="s">
        <v>1</v>
      </c>
      <c r="T106" s="58">
        <v>0.25</v>
      </c>
      <c r="U106" s="77" t="s">
        <v>422</v>
      </c>
      <c r="V106" s="66"/>
      <c r="W106" s="57"/>
      <c r="X106" s="58"/>
      <c r="Y106" s="77"/>
      <c r="Z106" s="228">
        <f>ROUND((ROUND((ROUND((ROUND((_15_同援日１．０*_15・通訳),0)*_15・２人),0)*(1+_15・A深夜)),0)*(1+_15・盲ろう)),0)+ROUND((ROUND((ROUND((_15_同援日１．０＿２．０*_15・通訳),0)*_15・２人),0)*(1+_15・盲ろう)),0)</f>
        <v>853</v>
      </c>
      <c r="AA106" s="69"/>
    </row>
    <row r="107" spans="1:27" ht="16.5" customHeight="1" x14ac:dyDescent="0.3">
      <c r="A107" s="2">
        <v>15</v>
      </c>
      <c r="B107" s="2" t="s">
        <v>4955</v>
      </c>
      <c r="C107" s="60" t="s">
        <v>15353</v>
      </c>
      <c r="D107" s="1"/>
      <c r="E107" s="68"/>
      <c r="F107" s="70"/>
      <c r="G107" s="1"/>
      <c r="H107" s="68"/>
      <c r="I107" s="70"/>
      <c r="J107" s="67"/>
      <c r="K107" s="68"/>
      <c r="L107" s="76"/>
      <c r="M107" s="85"/>
      <c r="N107" s="64"/>
      <c r="O107" s="65"/>
      <c r="P107" s="99"/>
      <c r="Q107" s="70"/>
      <c r="R107" s="61"/>
      <c r="S107" s="62"/>
      <c r="T107" s="63"/>
      <c r="U107" s="75"/>
      <c r="V107" s="74" t="s">
        <v>18370</v>
      </c>
      <c r="W107" s="62"/>
      <c r="X107" s="63"/>
      <c r="Y107" s="75"/>
      <c r="Z107" s="228">
        <f>ROUND((ROUND((ROUND((_15_同援日１．０*_15・通訳),0)*(1+_15・A深夜)),0)*(1+_15・区３)),0)+ROUND((ROUND((_15_同援日１．０＿２．０*_15・通訳),0)*(1+_15・区３)),0)</f>
        <v>818</v>
      </c>
      <c r="AA107" s="69"/>
    </row>
    <row r="108" spans="1:27" ht="16.5" customHeight="1" x14ac:dyDescent="0.3">
      <c r="A108" s="2">
        <v>15</v>
      </c>
      <c r="B108" s="2" t="s">
        <v>4956</v>
      </c>
      <c r="C108" s="60" t="s">
        <v>15352</v>
      </c>
      <c r="D108" s="1"/>
      <c r="E108" s="68"/>
      <c r="F108" s="70"/>
      <c r="G108" s="1"/>
      <c r="H108" s="68"/>
      <c r="I108" s="70"/>
      <c r="J108" s="67"/>
      <c r="K108" s="68"/>
      <c r="L108" s="76"/>
      <c r="M108" s="83" t="s">
        <v>5895</v>
      </c>
      <c r="N108" s="64" t="s">
        <v>1</v>
      </c>
      <c r="O108" s="65">
        <v>1</v>
      </c>
      <c r="P108" s="99"/>
      <c r="Q108" s="70"/>
      <c r="R108" s="66"/>
      <c r="S108" s="57"/>
      <c r="T108" s="58"/>
      <c r="U108" s="77"/>
      <c r="V108" s="94" t="s">
        <v>18368</v>
      </c>
      <c r="W108" s="68"/>
      <c r="X108" s="76"/>
      <c r="Y108" s="70"/>
      <c r="Z108" s="228">
        <f>ROUND((ROUND((ROUND((ROUND((_15_同援日１．０*_15・通訳),0)*_15・２人),0)*(1+_15・A深夜)),0)*(1+_15・区３)),0)+ROUND((ROUND((ROUND((_15_同援日１．０＿２．０*_15・通訳),0)*_15・２人),0)*(1+_15・区３)),0)</f>
        <v>818</v>
      </c>
      <c r="AA108" s="69"/>
    </row>
    <row r="109" spans="1:27" ht="16.5" customHeight="1" x14ac:dyDescent="0.3">
      <c r="A109" s="2">
        <v>15</v>
      </c>
      <c r="B109" s="2" t="s">
        <v>4957</v>
      </c>
      <c r="C109" s="60" t="s">
        <v>15351</v>
      </c>
      <c r="D109" s="1"/>
      <c r="E109" s="68"/>
      <c r="F109" s="70"/>
      <c r="G109" s="1"/>
      <c r="H109" s="68"/>
      <c r="I109" s="70"/>
      <c r="J109" s="67"/>
      <c r="K109" s="68"/>
      <c r="L109" s="76"/>
      <c r="M109" s="85"/>
      <c r="N109" s="64"/>
      <c r="O109" s="65"/>
      <c r="P109" s="99"/>
      <c r="Q109" s="70"/>
      <c r="R109" s="74" t="s">
        <v>18367</v>
      </c>
      <c r="S109" s="62"/>
      <c r="T109" s="63"/>
      <c r="U109" s="75"/>
      <c r="V109" s="67"/>
      <c r="W109" s="68" t="s">
        <v>1</v>
      </c>
      <c r="X109" s="76">
        <v>0.2</v>
      </c>
      <c r="Y109" s="70" t="s">
        <v>422</v>
      </c>
      <c r="Z109" s="228">
        <f>ROUND((ROUND((ROUND((ROUND((_15_同援日１．０*_15・通訳),0)*(1+_15・A深夜)),0)*(1+_15・盲ろう)),0)*(1+_15・区３)),0)+ROUND((ROUND((ROUND((_15_同援日１．０＿２．０*_15・通訳),0)*(1+_15・盲ろう)),0)*(1+_15・区３)),0)</f>
        <v>1024</v>
      </c>
      <c r="AA109" s="69"/>
    </row>
    <row r="110" spans="1:27" ht="16.5" customHeight="1" x14ac:dyDescent="0.3">
      <c r="A110" s="2">
        <v>15</v>
      </c>
      <c r="B110" s="2" t="s">
        <v>4958</v>
      </c>
      <c r="C110" s="60" t="s">
        <v>15350</v>
      </c>
      <c r="D110" s="1"/>
      <c r="E110" s="68"/>
      <c r="F110" s="70"/>
      <c r="G110" s="1"/>
      <c r="H110" s="68"/>
      <c r="I110" s="70"/>
      <c r="J110" s="67"/>
      <c r="K110" s="68"/>
      <c r="L110" s="76"/>
      <c r="M110" s="83" t="s">
        <v>5895</v>
      </c>
      <c r="N110" s="64" t="s">
        <v>1</v>
      </c>
      <c r="O110" s="65">
        <v>1</v>
      </c>
      <c r="P110" s="99"/>
      <c r="Q110" s="70"/>
      <c r="R110" s="106" t="s">
        <v>18366</v>
      </c>
      <c r="S110" s="57" t="s">
        <v>1</v>
      </c>
      <c r="T110" s="58">
        <v>0.25</v>
      </c>
      <c r="U110" s="77" t="s">
        <v>422</v>
      </c>
      <c r="V110" s="66"/>
      <c r="W110" s="57"/>
      <c r="X110" s="58"/>
      <c r="Y110" s="77"/>
      <c r="Z110" s="228">
        <f>ROUND((ROUND((ROUND((ROUND((ROUND((_15_同援日１．０*_15・通訳),0)*_15・２人),0)*(1+_15・A深夜)),0)*(1+_15・盲ろう)),0)*(1+_15・区３)),0)+ROUND((ROUND((ROUND((ROUND((_15_同援日１．０＿２．０*_15・通訳),0)*_15・２人),0)*(1+_15・盲ろう)),0)*(1+_15・区３)),0)</f>
        <v>1024</v>
      </c>
      <c r="AA110" s="69"/>
    </row>
    <row r="111" spans="1:27" ht="16.5" customHeight="1" x14ac:dyDescent="0.3">
      <c r="A111" s="2">
        <v>15</v>
      </c>
      <c r="B111" s="2" t="s">
        <v>4959</v>
      </c>
      <c r="C111" s="60" t="s">
        <v>15349</v>
      </c>
      <c r="D111" s="1"/>
      <c r="E111" s="68"/>
      <c r="F111" s="70"/>
      <c r="G111" s="1"/>
      <c r="H111" s="68"/>
      <c r="I111" s="70"/>
      <c r="J111" s="67"/>
      <c r="K111" s="68"/>
      <c r="L111" s="76"/>
      <c r="M111" s="85"/>
      <c r="N111" s="64"/>
      <c r="O111" s="65"/>
      <c r="P111" s="99"/>
      <c r="Q111" s="70"/>
      <c r="R111" s="61"/>
      <c r="S111" s="62"/>
      <c r="T111" s="63"/>
      <c r="U111" s="75"/>
      <c r="V111" s="74" t="s">
        <v>18369</v>
      </c>
      <c r="W111" s="62"/>
      <c r="X111" s="63"/>
      <c r="Y111" s="75"/>
      <c r="Z111" s="228">
        <f>ROUND((ROUND((ROUND((_15_同援日１．０*_15・通訳),0)*(1+_15・A深夜)),0)*(1+_15・区４)),0)+ROUND((ROUND((_15_同援日１．０＿２．０*_15・通訳),0)*(1+_15・区４)),0)</f>
        <v>955</v>
      </c>
      <c r="AA111" s="69"/>
    </row>
    <row r="112" spans="1:27" ht="16.5" customHeight="1" x14ac:dyDescent="0.3">
      <c r="A112" s="2">
        <v>15</v>
      </c>
      <c r="B112" s="2" t="s">
        <v>4960</v>
      </c>
      <c r="C112" s="60" t="s">
        <v>15348</v>
      </c>
      <c r="D112" s="1"/>
      <c r="E112" s="68"/>
      <c r="F112" s="70"/>
      <c r="G112" s="1"/>
      <c r="H112" s="68"/>
      <c r="I112" s="70"/>
      <c r="J112" s="67"/>
      <c r="K112" s="68"/>
      <c r="L112" s="76"/>
      <c r="M112" s="83" t="s">
        <v>5895</v>
      </c>
      <c r="N112" s="64" t="s">
        <v>1</v>
      </c>
      <c r="O112" s="65">
        <v>1</v>
      </c>
      <c r="P112" s="99"/>
      <c r="Q112" s="70"/>
      <c r="R112" s="66"/>
      <c r="S112" s="57"/>
      <c r="T112" s="58"/>
      <c r="U112" s="77"/>
      <c r="V112" s="94" t="s">
        <v>18368</v>
      </c>
      <c r="W112" s="68"/>
      <c r="X112" s="76"/>
      <c r="Y112" s="70"/>
      <c r="Z112" s="228">
        <f>ROUND((ROUND((ROUND((ROUND((_15_同援日１．０*_15・通訳),0)*_15・２人),0)*(1+_15・A深夜)),0)*(1+_15・区４)),0)+ROUND((ROUND((ROUND((_15_同援日１．０＿２．０*_15・通訳),0)*_15・２人),0)*(1+_15・区４)),0)</f>
        <v>955</v>
      </c>
      <c r="AA112" s="69"/>
    </row>
    <row r="113" spans="1:27" ht="16.5" customHeight="1" x14ac:dyDescent="0.3">
      <c r="A113" s="2">
        <v>15</v>
      </c>
      <c r="B113" s="2" t="s">
        <v>4961</v>
      </c>
      <c r="C113" s="60" t="s">
        <v>15347</v>
      </c>
      <c r="D113" s="1"/>
      <c r="E113" s="68"/>
      <c r="F113" s="70"/>
      <c r="G113" s="1"/>
      <c r="H113" s="68"/>
      <c r="I113" s="70"/>
      <c r="J113" s="67"/>
      <c r="K113" s="68"/>
      <c r="L113" s="76"/>
      <c r="M113" s="85"/>
      <c r="N113" s="64"/>
      <c r="O113" s="65"/>
      <c r="P113" s="99"/>
      <c r="Q113" s="70"/>
      <c r="R113" s="74" t="s">
        <v>18367</v>
      </c>
      <c r="S113" s="62"/>
      <c r="T113" s="63"/>
      <c r="U113" s="75"/>
      <c r="V113" s="67"/>
      <c r="W113" s="68" t="s">
        <v>1</v>
      </c>
      <c r="X113" s="76">
        <v>0.4</v>
      </c>
      <c r="Y113" s="70" t="s">
        <v>422</v>
      </c>
      <c r="Z113" s="228">
        <f>ROUND((ROUND((ROUND((ROUND((_15_同援日１．０*_15・通訳),0)*(1+_15・A深夜)),0)*(1+_15・盲ろう)),0)*(1+_15・区４)),0)+ROUND((ROUND((ROUND((_15_同援日１．０＿２．０*_15・通訳),0)*(1+_15・盲ろう)),0)*(1+_15・区４)),0)</f>
        <v>1195</v>
      </c>
      <c r="AA113" s="69"/>
    </row>
    <row r="114" spans="1:27" ht="16.5" customHeight="1" x14ac:dyDescent="0.3">
      <c r="A114" s="2">
        <v>15</v>
      </c>
      <c r="B114" s="2" t="s">
        <v>4962</v>
      </c>
      <c r="C114" s="60" t="s">
        <v>15346</v>
      </c>
      <c r="D114" s="81"/>
      <c r="E114" s="57"/>
      <c r="F114" s="77"/>
      <c r="G114" s="81"/>
      <c r="H114" s="57"/>
      <c r="I114" s="77"/>
      <c r="J114" s="67"/>
      <c r="K114" s="68"/>
      <c r="L114" s="76"/>
      <c r="M114" s="83" t="s">
        <v>5895</v>
      </c>
      <c r="N114" s="64" t="s">
        <v>1</v>
      </c>
      <c r="O114" s="65">
        <v>1</v>
      </c>
      <c r="P114" s="99"/>
      <c r="Q114" s="70"/>
      <c r="R114" s="106" t="s">
        <v>18366</v>
      </c>
      <c r="S114" s="57" t="s">
        <v>1</v>
      </c>
      <c r="T114" s="58">
        <v>0.25</v>
      </c>
      <c r="U114" s="77" t="s">
        <v>422</v>
      </c>
      <c r="V114" s="66"/>
      <c r="W114" s="57"/>
      <c r="X114" s="58"/>
      <c r="Y114" s="77"/>
      <c r="Z114" s="228">
        <f>ROUND((ROUND((ROUND((ROUND((ROUND((_15_同援日１．０*_15・通訳),0)*_15・２人),0)*(1+_15・A深夜)),0)*(1+_15・盲ろう)),0)*(1+_15・区４)),0)+ROUND((ROUND((ROUND((ROUND((_15_同援日１．０＿２．０*_15・通訳),0)*_15・２人),0)*(1+_15・盲ろう)),0)*(1+_15・区４)),0)</f>
        <v>1195</v>
      </c>
      <c r="AA114" s="69"/>
    </row>
    <row r="115" spans="1:27" ht="16.5" customHeight="1" x14ac:dyDescent="0.3">
      <c r="A115" s="2">
        <v>15</v>
      </c>
      <c r="B115" s="2" t="s">
        <v>4963</v>
      </c>
      <c r="C115" s="60" t="s">
        <v>15345</v>
      </c>
      <c r="D115" s="233" t="s">
        <v>18379</v>
      </c>
      <c r="E115" s="235"/>
      <c r="F115" s="75"/>
      <c r="G115" s="233" t="s">
        <v>18372</v>
      </c>
      <c r="H115" s="62"/>
      <c r="I115" s="75"/>
      <c r="J115" s="67"/>
      <c r="K115" s="68"/>
      <c r="L115" s="76"/>
      <c r="M115" s="85"/>
      <c r="N115" s="64"/>
      <c r="O115" s="65"/>
      <c r="P115" s="99"/>
      <c r="Q115" s="70"/>
      <c r="R115" s="61"/>
      <c r="S115" s="62"/>
      <c r="T115" s="63"/>
      <c r="U115" s="75"/>
      <c r="V115" s="61"/>
      <c r="W115" s="62"/>
      <c r="X115" s="63"/>
      <c r="Y115" s="75"/>
      <c r="Z115" s="228">
        <f>ROUND((ROUND((_15_同援日１．５*_15・通訳),0)*(1+_15・A深夜)),0)+ROUND((_15_同援日１．５＿０．５*_15・通訳),0)</f>
        <v>627</v>
      </c>
      <c r="AA115" s="69"/>
    </row>
    <row r="116" spans="1:27" ht="16.5" customHeight="1" x14ac:dyDescent="0.3">
      <c r="A116" s="2">
        <v>15</v>
      </c>
      <c r="B116" s="2" t="s">
        <v>4964</v>
      </c>
      <c r="C116" s="60" t="s">
        <v>15344</v>
      </c>
      <c r="D116" s="1" t="s">
        <v>18377</v>
      </c>
      <c r="E116" s="68"/>
      <c r="F116" s="70"/>
      <c r="G116" s="1" t="s">
        <v>7928</v>
      </c>
      <c r="H116" s="68"/>
      <c r="I116" s="70"/>
      <c r="J116" s="67"/>
      <c r="K116" s="68"/>
      <c r="L116" s="76"/>
      <c r="M116" s="83" t="s">
        <v>5895</v>
      </c>
      <c r="N116" s="64" t="s">
        <v>1</v>
      </c>
      <c r="O116" s="65">
        <v>1</v>
      </c>
      <c r="P116" s="99"/>
      <c r="Q116" s="70"/>
      <c r="R116" s="66"/>
      <c r="S116" s="57"/>
      <c r="T116" s="58"/>
      <c r="U116" s="77"/>
      <c r="V116" s="67"/>
      <c r="W116" s="68"/>
      <c r="X116" s="76"/>
      <c r="Y116" s="70"/>
      <c r="Z116" s="228">
        <f>ROUND((ROUND((ROUND((_15_同援日１．５*_15・通訳),0)*_15・２人),0)*(1+_15・A深夜)),0)+ROUND((ROUND((_15_同援日１．５＿０．５*_15・通訳),0)*_15・２人),0)</f>
        <v>627</v>
      </c>
      <c r="AA116" s="69"/>
    </row>
    <row r="117" spans="1:27" ht="16.5" customHeight="1" x14ac:dyDescent="0.3">
      <c r="A117" s="2">
        <v>15</v>
      </c>
      <c r="B117" s="2" t="s">
        <v>4965</v>
      </c>
      <c r="C117" s="60" t="s">
        <v>15343</v>
      </c>
      <c r="D117" s="1" t="s">
        <v>8767</v>
      </c>
      <c r="E117" s="68"/>
      <c r="F117" s="70"/>
      <c r="G117" s="1"/>
      <c r="H117" s="68"/>
      <c r="I117" s="70"/>
      <c r="J117" s="67"/>
      <c r="K117" s="68"/>
      <c r="L117" s="76"/>
      <c r="M117" s="85"/>
      <c r="N117" s="64"/>
      <c r="O117" s="65"/>
      <c r="P117" s="99"/>
      <c r="Q117" s="70"/>
      <c r="R117" s="74" t="s">
        <v>18367</v>
      </c>
      <c r="S117" s="62"/>
      <c r="T117" s="63"/>
      <c r="U117" s="75"/>
      <c r="V117" s="67"/>
      <c r="W117" s="68"/>
      <c r="X117" s="76"/>
      <c r="Y117" s="70"/>
      <c r="Z117" s="228">
        <f>ROUND((ROUND((ROUND((_15_同援日１．５*_15・通訳),0)*(1+_15・A深夜)),0)*(1+_15・盲ろう)),0)+ROUND((ROUND((_15_同援日１．５＿０．５*_15・通訳),0)*(1+_15・盲ろう)),0)</f>
        <v>784</v>
      </c>
      <c r="AA117" s="69"/>
    </row>
    <row r="118" spans="1:27" ht="16.5" customHeight="1" x14ac:dyDescent="0.3">
      <c r="A118" s="2">
        <v>15</v>
      </c>
      <c r="B118" s="2" t="s">
        <v>4966</v>
      </c>
      <c r="C118" s="60" t="s">
        <v>15342</v>
      </c>
      <c r="D118" s="1"/>
      <c r="E118" s="227">
        <v>421</v>
      </c>
      <c r="F118" s="70" t="s">
        <v>0</v>
      </c>
      <c r="G118" s="1"/>
      <c r="H118" s="119">
        <v>64</v>
      </c>
      <c r="I118" s="70" t="s">
        <v>0</v>
      </c>
      <c r="J118" s="67"/>
      <c r="K118" s="68"/>
      <c r="L118" s="76"/>
      <c r="M118" s="83" t="s">
        <v>5895</v>
      </c>
      <c r="N118" s="64" t="s">
        <v>1</v>
      </c>
      <c r="O118" s="65">
        <v>1</v>
      </c>
      <c r="P118" s="99"/>
      <c r="Q118" s="70"/>
      <c r="R118" s="106" t="s">
        <v>18366</v>
      </c>
      <c r="S118" s="57" t="s">
        <v>1</v>
      </c>
      <c r="T118" s="58">
        <v>0.25</v>
      </c>
      <c r="U118" s="77" t="s">
        <v>422</v>
      </c>
      <c r="V118" s="66"/>
      <c r="W118" s="57"/>
      <c r="X118" s="58"/>
      <c r="Y118" s="77"/>
      <c r="Z118" s="228">
        <f>ROUND((ROUND((ROUND((ROUND((_15_同援日１．５*_15・通訳),0)*_15・２人),0)*(1+_15・A深夜)),0)*(1+_15・盲ろう)),0)+ROUND((ROUND((ROUND((_15_同援日１．５＿０．５*_15・通訳),0)*_15・２人),0)*(1+_15・盲ろう)),0)</f>
        <v>784</v>
      </c>
      <c r="AA118" s="69"/>
    </row>
    <row r="119" spans="1:27" ht="16.5" customHeight="1" x14ac:dyDescent="0.3">
      <c r="A119" s="2">
        <v>15</v>
      </c>
      <c r="B119" s="2" t="s">
        <v>4967</v>
      </c>
      <c r="C119" s="60" t="s">
        <v>15341</v>
      </c>
      <c r="D119" s="1"/>
      <c r="E119" s="68"/>
      <c r="F119" s="70"/>
      <c r="G119" s="1"/>
      <c r="H119" s="68"/>
      <c r="I119" s="70"/>
      <c r="J119" s="67"/>
      <c r="K119" s="68"/>
      <c r="L119" s="76"/>
      <c r="M119" s="85"/>
      <c r="N119" s="64"/>
      <c r="O119" s="65"/>
      <c r="P119" s="99"/>
      <c r="Q119" s="70"/>
      <c r="R119" s="61"/>
      <c r="S119" s="62"/>
      <c r="T119" s="63"/>
      <c r="U119" s="75"/>
      <c r="V119" s="74" t="s">
        <v>18370</v>
      </c>
      <c r="W119" s="62"/>
      <c r="X119" s="63"/>
      <c r="Y119" s="75"/>
      <c r="Z119" s="228">
        <f>ROUND((ROUND((ROUND((_15_同援日１．５*_15・通訳),0)*(1+_15・A深夜)),0)*(1+_15・区３)),0)+ROUND((ROUND((_15_同援日１．５＿０．５*_15・通訳),0)*(1+_15・区３)),0)</f>
        <v>753</v>
      </c>
      <c r="AA119" s="69"/>
    </row>
    <row r="120" spans="1:27" ht="16.5" customHeight="1" x14ac:dyDescent="0.3">
      <c r="A120" s="2">
        <v>15</v>
      </c>
      <c r="B120" s="2" t="s">
        <v>4968</v>
      </c>
      <c r="C120" s="60" t="s">
        <v>15340</v>
      </c>
      <c r="D120" s="1"/>
      <c r="E120" s="68"/>
      <c r="F120" s="70"/>
      <c r="G120" s="1"/>
      <c r="H120" s="68"/>
      <c r="I120" s="70"/>
      <c r="J120" s="67"/>
      <c r="K120" s="68"/>
      <c r="L120" s="76"/>
      <c r="M120" s="83" t="s">
        <v>5895</v>
      </c>
      <c r="N120" s="64" t="s">
        <v>1</v>
      </c>
      <c r="O120" s="65">
        <v>1</v>
      </c>
      <c r="P120" s="99"/>
      <c r="Q120" s="70"/>
      <c r="R120" s="66"/>
      <c r="S120" s="57"/>
      <c r="T120" s="58"/>
      <c r="U120" s="77"/>
      <c r="V120" s="94" t="s">
        <v>18368</v>
      </c>
      <c r="W120" s="68"/>
      <c r="X120" s="76"/>
      <c r="Y120" s="70"/>
      <c r="Z120" s="228">
        <f>ROUND((ROUND((ROUND((ROUND((_15_同援日１．５*_15・通訳),0)*_15・２人),0)*(1+_15・A深夜)),0)*(1+_15・区３)),0)+ROUND((ROUND((ROUND((_15_同援日１．５＿０．５*_15・通訳),0)*_15・２人),0)*(1+_15・区３)),0)</f>
        <v>753</v>
      </c>
      <c r="AA120" s="69"/>
    </row>
    <row r="121" spans="1:27" ht="16.5" customHeight="1" x14ac:dyDescent="0.3">
      <c r="A121" s="2">
        <v>15</v>
      </c>
      <c r="B121" s="2" t="s">
        <v>4969</v>
      </c>
      <c r="C121" s="60" t="s">
        <v>15339</v>
      </c>
      <c r="D121" s="1"/>
      <c r="E121" s="68"/>
      <c r="F121" s="70"/>
      <c r="G121" s="1"/>
      <c r="H121" s="68"/>
      <c r="I121" s="70"/>
      <c r="J121" s="67"/>
      <c r="K121" s="68"/>
      <c r="L121" s="76"/>
      <c r="M121" s="85"/>
      <c r="N121" s="64"/>
      <c r="O121" s="65"/>
      <c r="P121" s="99"/>
      <c r="Q121" s="70"/>
      <c r="R121" s="74" t="s">
        <v>18367</v>
      </c>
      <c r="S121" s="62"/>
      <c r="T121" s="63"/>
      <c r="U121" s="75"/>
      <c r="V121" s="67"/>
      <c r="W121" s="68" t="s">
        <v>1</v>
      </c>
      <c r="X121" s="76">
        <v>0.2</v>
      </c>
      <c r="Y121" s="70" t="s">
        <v>422</v>
      </c>
      <c r="Z121" s="228">
        <f>ROUND((ROUND((ROUND((ROUND((_15_同援日１．５*_15・通訳),0)*(1+_15・A深夜)),0)*(1+_15・盲ろう)),0)*(1+_15・区３)),0)+ROUND((ROUND((ROUND((_15_同援日１．５＿０．５*_15・通訳),0)*(1+_15・盲ろう)),0)*(1+_15・区３)),0)</f>
        <v>941</v>
      </c>
      <c r="AA121" s="69"/>
    </row>
    <row r="122" spans="1:27" ht="16.5" customHeight="1" x14ac:dyDescent="0.3">
      <c r="A122" s="2">
        <v>15</v>
      </c>
      <c r="B122" s="2" t="s">
        <v>4970</v>
      </c>
      <c r="C122" s="60" t="s">
        <v>15338</v>
      </c>
      <c r="D122" s="1"/>
      <c r="E122" s="68"/>
      <c r="F122" s="70"/>
      <c r="G122" s="1"/>
      <c r="H122" s="68"/>
      <c r="I122" s="70"/>
      <c r="J122" s="67"/>
      <c r="K122" s="68"/>
      <c r="L122" s="76"/>
      <c r="M122" s="83" t="s">
        <v>5895</v>
      </c>
      <c r="N122" s="64" t="s">
        <v>1</v>
      </c>
      <c r="O122" s="65">
        <v>1</v>
      </c>
      <c r="P122" s="99"/>
      <c r="Q122" s="70"/>
      <c r="R122" s="106" t="s">
        <v>18366</v>
      </c>
      <c r="S122" s="57" t="s">
        <v>1</v>
      </c>
      <c r="T122" s="58">
        <v>0.25</v>
      </c>
      <c r="U122" s="77" t="s">
        <v>422</v>
      </c>
      <c r="V122" s="66"/>
      <c r="W122" s="57"/>
      <c r="X122" s="58"/>
      <c r="Y122" s="77"/>
      <c r="Z122" s="228">
        <f>ROUND((ROUND((ROUND((ROUND((ROUND((_15_同援日１．５*_15・通訳),0)*_15・２人),0)*(1+_15・A深夜)),0)*(1+_15・盲ろう)),0)*(1+_15・区３)),0)+ROUND((ROUND((ROUND((ROUND((_15_同援日１．５＿０．５*_15・通訳),0)*_15・２人),0)*(1+_15・盲ろう)),0)*(1+_15・区３)),0)</f>
        <v>941</v>
      </c>
      <c r="AA122" s="69"/>
    </row>
    <row r="123" spans="1:27" ht="16.5" customHeight="1" x14ac:dyDescent="0.3">
      <c r="A123" s="2">
        <v>15</v>
      </c>
      <c r="B123" s="2" t="s">
        <v>4971</v>
      </c>
      <c r="C123" s="60" t="s">
        <v>15337</v>
      </c>
      <c r="D123" s="1"/>
      <c r="E123" s="68"/>
      <c r="F123" s="70"/>
      <c r="G123" s="1"/>
      <c r="H123" s="68"/>
      <c r="I123" s="70"/>
      <c r="J123" s="67"/>
      <c r="K123" s="68"/>
      <c r="L123" s="76"/>
      <c r="M123" s="85"/>
      <c r="N123" s="64"/>
      <c r="O123" s="65"/>
      <c r="P123" s="99"/>
      <c r="Q123" s="70"/>
      <c r="R123" s="61"/>
      <c r="S123" s="62"/>
      <c r="T123" s="63"/>
      <c r="U123" s="75"/>
      <c r="V123" s="74" t="s">
        <v>18369</v>
      </c>
      <c r="W123" s="62"/>
      <c r="X123" s="63"/>
      <c r="Y123" s="75"/>
      <c r="Z123" s="228">
        <f>ROUND((ROUND((ROUND((_15_同援日１．５*_15・通訳),0)*(1+_15・A深夜)),0)*(1+_15・区４)),0)+ROUND((ROUND((_15_同援日１．５＿０．５*_15・通訳),0)*(1+_15・区４)),0)</f>
        <v>878</v>
      </c>
      <c r="AA123" s="69"/>
    </row>
    <row r="124" spans="1:27" ht="16.5" customHeight="1" x14ac:dyDescent="0.3">
      <c r="A124" s="2">
        <v>15</v>
      </c>
      <c r="B124" s="2" t="s">
        <v>4972</v>
      </c>
      <c r="C124" s="60" t="s">
        <v>15336</v>
      </c>
      <c r="D124" s="1"/>
      <c r="E124" s="68"/>
      <c r="F124" s="70"/>
      <c r="G124" s="1"/>
      <c r="H124" s="68"/>
      <c r="I124" s="70"/>
      <c r="J124" s="67"/>
      <c r="K124" s="68"/>
      <c r="L124" s="76"/>
      <c r="M124" s="83" t="s">
        <v>5895</v>
      </c>
      <c r="N124" s="64" t="s">
        <v>1</v>
      </c>
      <c r="O124" s="65">
        <v>1</v>
      </c>
      <c r="P124" s="99"/>
      <c r="Q124" s="70"/>
      <c r="R124" s="66"/>
      <c r="S124" s="57"/>
      <c r="T124" s="58"/>
      <c r="U124" s="77"/>
      <c r="V124" s="94" t="s">
        <v>18368</v>
      </c>
      <c r="W124" s="68"/>
      <c r="X124" s="76"/>
      <c r="Y124" s="70"/>
      <c r="Z124" s="228">
        <f>ROUND((ROUND((ROUND((ROUND((_15_同援日１．５*_15・通訳),0)*_15・２人),0)*(1+_15・A深夜)),0)*(1+_15・区４)),0)+ROUND((ROUND((ROUND((_15_同援日１．５＿０．５*_15・通訳),0)*_15・２人),0)*(1+_15・区４)),0)</f>
        <v>878</v>
      </c>
      <c r="AA124" s="69"/>
    </row>
    <row r="125" spans="1:27" ht="16.5" customHeight="1" x14ac:dyDescent="0.3">
      <c r="A125" s="2">
        <v>15</v>
      </c>
      <c r="B125" s="2" t="s">
        <v>4973</v>
      </c>
      <c r="C125" s="60" t="s">
        <v>15335</v>
      </c>
      <c r="D125" s="1"/>
      <c r="E125" s="68"/>
      <c r="F125" s="70"/>
      <c r="G125" s="1"/>
      <c r="H125" s="68"/>
      <c r="I125" s="70"/>
      <c r="J125" s="67"/>
      <c r="K125" s="68"/>
      <c r="L125" s="76"/>
      <c r="M125" s="85"/>
      <c r="N125" s="64"/>
      <c r="O125" s="65"/>
      <c r="P125" s="99"/>
      <c r="Q125" s="70"/>
      <c r="R125" s="74" t="s">
        <v>18367</v>
      </c>
      <c r="S125" s="62"/>
      <c r="T125" s="63"/>
      <c r="U125" s="75"/>
      <c r="V125" s="67"/>
      <c r="W125" s="68" t="s">
        <v>1</v>
      </c>
      <c r="X125" s="76">
        <v>0.4</v>
      </c>
      <c r="Y125" s="70" t="s">
        <v>422</v>
      </c>
      <c r="Z125" s="228">
        <f>ROUND((ROUND((ROUND((ROUND((_15_同援日１．５*_15・通訳),0)*(1+_15・A深夜)),0)*(1+_15・盲ろう)),0)*(1+_15・区４)),0)+ROUND((ROUND((ROUND((_15_同援日１．５＿０．５*_15・通訳),0)*(1+_15・盲ろう)),0)*(1+_15・区４)),0)</f>
        <v>1097</v>
      </c>
      <c r="AA125" s="69"/>
    </row>
    <row r="126" spans="1:27" ht="16.5" customHeight="1" x14ac:dyDescent="0.3">
      <c r="A126" s="2">
        <v>15</v>
      </c>
      <c r="B126" s="2" t="s">
        <v>4974</v>
      </c>
      <c r="C126" s="60" t="s">
        <v>15334</v>
      </c>
      <c r="D126" s="1"/>
      <c r="E126" s="68"/>
      <c r="F126" s="70"/>
      <c r="G126" s="81"/>
      <c r="H126" s="57"/>
      <c r="I126" s="77"/>
      <c r="J126" s="67"/>
      <c r="K126" s="68"/>
      <c r="L126" s="76"/>
      <c r="M126" s="83" t="s">
        <v>5895</v>
      </c>
      <c r="N126" s="64" t="s">
        <v>1</v>
      </c>
      <c r="O126" s="65">
        <v>1</v>
      </c>
      <c r="P126" s="99"/>
      <c r="Q126" s="70"/>
      <c r="R126" s="106" t="s">
        <v>18366</v>
      </c>
      <c r="S126" s="57" t="s">
        <v>1</v>
      </c>
      <c r="T126" s="58">
        <v>0.25</v>
      </c>
      <c r="U126" s="77" t="s">
        <v>422</v>
      </c>
      <c r="V126" s="66"/>
      <c r="W126" s="57"/>
      <c r="X126" s="58"/>
      <c r="Y126" s="77"/>
      <c r="Z126" s="228">
        <f>ROUND((ROUND((ROUND((ROUND((ROUND((_15_同援日１．５*_15・通訳),0)*_15・２人),0)*(1+_15・A深夜)),0)*(1+_15・盲ろう)),0)*(1+_15・区４)),0)+ROUND((ROUND((ROUND((ROUND((_15_同援日１．５＿０．５*_15・通訳),0)*_15・２人),0)*(1+_15・盲ろう)),0)*(1+_15・区４)),0)</f>
        <v>1097</v>
      </c>
      <c r="AA126" s="69"/>
    </row>
    <row r="127" spans="1:27" ht="16.5" customHeight="1" x14ac:dyDescent="0.3">
      <c r="A127" s="2">
        <v>15</v>
      </c>
      <c r="B127" s="2" t="s">
        <v>4975</v>
      </c>
      <c r="C127" s="60" t="s">
        <v>15333</v>
      </c>
      <c r="D127" s="1"/>
      <c r="E127" s="68"/>
      <c r="F127" s="70"/>
      <c r="G127" s="233" t="s">
        <v>18374</v>
      </c>
      <c r="H127" s="62"/>
      <c r="I127" s="75"/>
      <c r="J127" s="67"/>
      <c r="K127" s="68"/>
      <c r="L127" s="76"/>
      <c r="M127" s="85"/>
      <c r="N127" s="64"/>
      <c r="O127" s="65"/>
      <c r="P127" s="99"/>
      <c r="Q127" s="70"/>
      <c r="R127" s="61"/>
      <c r="S127" s="62"/>
      <c r="T127" s="63"/>
      <c r="U127" s="75"/>
      <c r="V127" s="61"/>
      <c r="W127" s="62"/>
      <c r="X127" s="63"/>
      <c r="Y127" s="75"/>
      <c r="Z127" s="228">
        <f>ROUND((ROUND((_15_同援日１．５*_15・通訳),0)*(1+_15・A深夜)),0)+ROUND((_15_同援日１．５＿１．０*_15・通訳),0)</f>
        <v>683</v>
      </c>
      <c r="AA127" s="69"/>
    </row>
    <row r="128" spans="1:27" ht="16.5" customHeight="1" x14ac:dyDescent="0.3">
      <c r="A128" s="2">
        <v>15</v>
      </c>
      <c r="B128" s="2" t="s">
        <v>4976</v>
      </c>
      <c r="C128" s="60" t="s">
        <v>15332</v>
      </c>
      <c r="D128" s="1"/>
      <c r="E128" s="68"/>
      <c r="F128" s="70"/>
      <c r="G128" s="1" t="s">
        <v>5993</v>
      </c>
      <c r="H128" s="68"/>
      <c r="I128" s="70"/>
      <c r="J128" s="67"/>
      <c r="K128" s="68"/>
      <c r="L128" s="76"/>
      <c r="M128" s="83" t="s">
        <v>5895</v>
      </c>
      <c r="N128" s="64" t="s">
        <v>1</v>
      </c>
      <c r="O128" s="65">
        <v>1</v>
      </c>
      <c r="P128" s="99"/>
      <c r="Q128" s="70"/>
      <c r="R128" s="66"/>
      <c r="S128" s="57"/>
      <c r="T128" s="58"/>
      <c r="U128" s="77"/>
      <c r="V128" s="67"/>
      <c r="W128" s="68"/>
      <c r="X128" s="76"/>
      <c r="Y128" s="70"/>
      <c r="Z128" s="228">
        <f>ROUND((ROUND((ROUND((_15_同援日１．５*_15・通訳),0)*_15・２人),0)*(1+_15・A深夜)),0)+ROUND((ROUND((_15_同援日１．５＿１．０*_15・通訳),0)*_15・２人),0)</f>
        <v>683</v>
      </c>
      <c r="AA128" s="69"/>
    </row>
    <row r="129" spans="1:27" ht="16.5" customHeight="1" x14ac:dyDescent="0.3">
      <c r="A129" s="2">
        <v>15</v>
      </c>
      <c r="B129" s="2" t="s">
        <v>4977</v>
      </c>
      <c r="C129" s="60" t="s">
        <v>15331</v>
      </c>
      <c r="D129" s="1"/>
      <c r="E129" s="68"/>
      <c r="F129" s="70"/>
      <c r="G129" s="1" t="s">
        <v>8572</v>
      </c>
      <c r="H129" s="68"/>
      <c r="I129" s="70"/>
      <c r="J129" s="67"/>
      <c r="K129" s="68"/>
      <c r="L129" s="76"/>
      <c r="M129" s="85"/>
      <c r="N129" s="64"/>
      <c r="O129" s="65"/>
      <c r="P129" s="99"/>
      <c r="Q129" s="70"/>
      <c r="R129" s="74" t="s">
        <v>18367</v>
      </c>
      <c r="S129" s="62"/>
      <c r="T129" s="63"/>
      <c r="U129" s="75"/>
      <c r="V129" s="67"/>
      <c r="W129" s="68"/>
      <c r="X129" s="76"/>
      <c r="Y129" s="70"/>
      <c r="Z129" s="228">
        <f>ROUND((ROUND((ROUND((_15_同援日１．５*_15・通訳),0)*(1+_15・A深夜)),0)*(1+_15・盲ろう)),0)+ROUND((ROUND((_15_同援日１．５＿１．０*_15・通訳),0)*(1+_15・盲ろう)),0)</f>
        <v>854</v>
      </c>
      <c r="AA129" s="69"/>
    </row>
    <row r="130" spans="1:27" ht="16.5" customHeight="1" x14ac:dyDescent="0.3">
      <c r="A130" s="2">
        <v>15</v>
      </c>
      <c r="B130" s="2" t="s">
        <v>4978</v>
      </c>
      <c r="C130" s="60" t="s">
        <v>15330</v>
      </c>
      <c r="D130" s="1"/>
      <c r="E130" s="68"/>
      <c r="F130" s="70"/>
      <c r="G130" s="1"/>
      <c r="H130" s="119">
        <v>127</v>
      </c>
      <c r="I130" s="70" t="s">
        <v>0</v>
      </c>
      <c r="J130" s="67"/>
      <c r="K130" s="68"/>
      <c r="L130" s="76"/>
      <c r="M130" s="83" t="s">
        <v>5895</v>
      </c>
      <c r="N130" s="64" t="s">
        <v>1</v>
      </c>
      <c r="O130" s="65">
        <v>1</v>
      </c>
      <c r="P130" s="99"/>
      <c r="Q130" s="70"/>
      <c r="R130" s="106" t="s">
        <v>8083</v>
      </c>
      <c r="S130" s="57" t="s">
        <v>1</v>
      </c>
      <c r="T130" s="58">
        <v>0.25</v>
      </c>
      <c r="U130" s="77" t="s">
        <v>422</v>
      </c>
      <c r="V130" s="66"/>
      <c r="W130" s="57"/>
      <c r="X130" s="58"/>
      <c r="Y130" s="77"/>
      <c r="Z130" s="228">
        <f>ROUND((ROUND((ROUND((ROUND((_15_同援日１．５*_15・通訳),0)*_15・２人),0)*(1+_15・A深夜)),0)*(1+_15・盲ろう)),0)+ROUND((ROUND((ROUND((_15_同援日１．５＿１．０*_15・通訳),0)*_15・２人),0)*(1+_15・盲ろう)),0)</f>
        <v>854</v>
      </c>
      <c r="AA130" s="69"/>
    </row>
    <row r="131" spans="1:27" ht="16.5" customHeight="1" x14ac:dyDescent="0.3">
      <c r="A131" s="2">
        <v>15</v>
      </c>
      <c r="B131" s="2" t="s">
        <v>4979</v>
      </c>
      <c r="C131" s="60" t="s">
        <v>15329</v>
      </c>
      <c r="D131" s="1"/>
      <c r="E131" s="68"/>
      <c r="F131" s="70"/>
      <c r="G131" s="1"/>
      <c r="H131" s="68"/>
      <c r="I131" s="70"/>
      <c r="J131" s="67"/>
      <c r="K131" s="68"/>
      <c r="L131" s="76"/>
      <c r="M131" s="85"/>
      <c r="N131" s="64"/>
      <c r="O131" s="65"/>
      <c r="P131" s="99"/>
      <c r="Q131" s="70"/>
      <c r="R131" s="61"/>
      <c r="S131" s="62"/>
      <c r="T131" s="63"/>
      <c r="U131" s="75"/>
      <c r="V131" s="74" t="s">
        <v>18370</v>
      </c>
      <c r="W131" s="62"/>
      <c r="X131" s="63"/>
      <c r="Y131" s="75"/>
      <c r="Z131" s="228">
        <f>ROUND((ROUND((ROUND((_15_同援日１．５*_15・通訳),0)*(1+_15・A深夜)),0)*(1+_15・区３)),0)+ROUND((ROUND((_15_同援日１．５＿１．０*_15・通訳),0)*(1+_15・区３)),0)</f>
        <v>820</v>
      </c>
      <c r="AA131" s="69"/>
    </row>
    <row r="132" spans="1:27" ht="16.5" customHeight="1" x14ac:dyDescent="0.3">
      <c r="A132" s="2">
        <v>15</v>
      </c>
      <c r="B132" s="2" t="s">
        <v>4980</v>
      </c>
      <c r="C132" s="60" t="s">
        <v>15328</v>
      </c>
      <c r="D132" s="1"/>
      <c r="E132" s="68"/>
      <c r="F132" s="70"/>
      <c r="G132" s="1"/>
      <c r="H132" s="68"/>
      <c r="I132" s="70"/>
      <c r="J132" s="67"/>
      <c r="K132" s="68"/>
      <c r="L132" s="76"/>
      <c r="M132" s="83" t="s">
        <v>5895</v>
      </c>
      <c r="N132" s="64" t="s">
        <v>1</v>
      </c>
      <c r="O132" s="65">
        <v>1</v>
      </c>
      <c r="P132" s="99"/>
      <c r="Q132" s="70"/>
      <c r="R132" s="66"/>
      <c r="S132" s="57"/>
      <c r="T132" s="58"/>
      <c r="U132" s="77"/>
      <c r="V132" s="94" t="s">
        <v>18368</v>
      </c>
      <c r="W132" s="68"/>
      <c r="X132" s="76"/>
      <c r="Y132" s="70"/>
      <c r="Z132" s="228">
        <f>ROUND((ROUND((ROUND((ROUND((_15_同援日１．５*_15・通訳),0)*_15・２人),0)*(1+_15・A深夜)),0)*(1+_15・区３)),0)+ROUND((ROUND((ROUND((_15_同援日１．５＿１．０*_15・通訳),0)*_15・２人),0)*(1+_15・区３)),0)</f>
        <v>820</v>
      </c>
      <c r="AA132" s="69"/>
    </row>
    <row r="133" spans="1:27" ht="16.5" customHeight="1" x14ac:dyDescent="0.3">
      <c r="A133" s="2">
        <v>15</v>
      </c>
      <c r="B133" s="2" t="s">
        <v>4981</v>
      </c>
      <c r="C133" s="60" t="s">
        <v>15327</v>
      </c>
      <c r="D133" s="1"/>
      <c r="E133" s="68"/>
      <c r="F133" s="70"/>
      <c r="G133" s="1"/>
      <c r="H133" s="68"/>
      <c r="I133" s="70"/>
      <c r="J133" s="67"/>
      <c r="K133" s="68"/>
      <c r="L133" s="76"/>
      <c r="M133" s="85"/>
      <c r="N133" s="64"/>
      <c r="O133" s="65"/>
      <c r="P133" s="99"/>
      <c r="Q133" s="70"/>
      <c r="R133" s="74" t="s">
        <v>18367</v>
      </c>
      <c r="S133" s="62"/>
      <c r="T133" s="63"/>
      <c r="U133" s="75"/>
      <c r="V133" s="67"/>
      <c r="W133" s="68" t="s">
        <v>1</v>
      </c>
      <c r="X133" s="76">
        <v>0.2</v>
      </c>
      <c r="Y133" s="70" t="s">
        <v>422</v>
      </c>
      <c r="Z133" s="228">
        <f>ROUND((ROUND((ROUND((ROUND((_15_同援日１．５*_15・通訳),0)*(1+_15・A深夜)),0)*(1+_15・盲ろう)),0)*(1+_15・区３)),0)+ROUND((ROUND((ROUND((_15_同援日１．５＿１．０*_15・通訳),0)*(1+_15・盲ろう)),0)*(1+_15・区３)),0)</f>
        <v>1025</v>
      </c>
      <c r="AA133" s="69"/>
    </row>
    <row r="134" spans="1:27" ht="16.5" customHeight="1" x14ac:dyDescent="0.3">
      <c r="A134" s="2">
        <v>15</v>
      </c>
      <c r="B134" s="2" t="s">
        <v>4982</v>
      </c>
      <c r="C134" s="60" t="s">
        <v>15326</v>
      </c>
      <c r="D134" s="1"/>
      <c r="E134" s="68"/>
      <c r="F134" s="70"/>
      <c r="G134" s="1"/>
      <c r="H134" s="68"/>
      <c r="I134" s="70"/>
      <c r="J134" s="67"/>
      <c r="K134" s="68"/>
      <c r="L134" s="76"/>
      <c r="M134" s="83" t="s">
        <v>5895</v>
      </c>
      <c r="N134" s="64" t="s">
        <v>1</v>
      </c>
      <c r="O134" s="65">
        <v>1</v>
      </c>
      <c r="P134" s="99"/>
      <c r="Q134" s="70"/>
      <c r="R134" s="106" t="s">
        <v>18366</v>
      </c>
      <c r="S134" s="57" t="s">
        <v>1</v>
      </c>
      <c r="T134" s="58">
        <v>0.25</v>
      </c>
      <c r="U134" s="77" t="s">
        <v>422</v>
      </c>
      <c r="V134" s="66"/>
      <c r="W134" s="57"/>
      <c r="X134" s="58"/>
      <c r="Y134" s="77"/>
      <c r="Z134" s="228">
        <f>ROUND((ROUND((ROUND((ROUND((ROUND((_15_同援日１．５*_15・通訳),0)*_15・２人),0)*(1+_15・A深夜)),0)*(1+_15・盲ろう)),0)*(1+_15・区３)),0)+ROUND((ROUND((ROUND((ROUND((_15_同援日１．５＿１．０*_15・通訳),0)*_15・２人),0)*(1+_15・盲ろう)),0)*(1+_15・区３)),0)</f>
        <v>1025</v>
      </c>
      <c r="AA134" s="69"/>
    </row>
    <row r="135" spans="1:27" ht="16.5" customHeight="1" x14ac:dyDescent="0.3">
      <c r="A135" s="2">
        <v>15</v>
      </c>
      <c r="B135" s="2" t="s">
        <v>4983</v>
      </c>
      <c r="C135" s="60" t="s">
        <v>15325</v>
      </c>
      <c r="D135" s="1"/>
      <c r="E135" s="68"/>
      <c r="F135" s="70"/>
      <c r="G135" s="1"/>
      <c r="H135" s="68"/>
      <c r="I135" s="70"/>
      <c r="J135" s="67"/>
      <c r="K135" s="68"/>
      <c r="L135" s="76"/>
      <c r="M135" s="85"/>
      <c r="N135" s="64"/>
      <c r="O135" s="65"/>
      <c r="P135" s="99"/>
      <c r="Q135" s="70"/>
      <c r="R135" s="61"/>
      <c r="S135" s="62"/>
      <c r="T135" s="63"/>
      <c r="U135" s="75"/>
      <c r="V135" s="74" t="s">
        <v>18369</v>
      </c>
      <c r="W135" s="62"/>
      <c r="X135" s="63"/>
      <c r="Y135" s="75"/>
      <c r="Z135" s="228">
        <f>ROUND((ROUND((ROUND((_15_同援日１．５*_15・通訳),0)*(1+_15・A深夜)),0)*(1+_15・区４)),0)+ROUND((ROUND((_15_同援日１．５＿１．０*_15・通訳),0)*(1+_15・区４)),0)</f>
        <v>957</v>
      </c>
      <c r="AA135" s="69"/>
    </row>
    <row r="136" spans="1:27" ht="16.5" customHeight="1" x14ac:dyDescent="0.3">
      <c r="A136" s="2">
        <v>15</v>
      </c>
      <c r="B136" s="2" t="s">
        <v>4984</v>
      </c>
      <c r="C136" s="60" t="s">
        <v>15324</v>
      </c>
      <c r="D136" s="1"/>
      <c r="E136" s="68"/>
      <c r="F136" s="70"/>
      <c r="G136" s="1"/>
      <c r="H136" s="68"/>
      <c r="I136" s="70"/>
      <c r="J136" s="67"/>
      <c r="K136" s="68"/>
      <c r="L136" s="76"/>
      <c r="M136" s="83" t="s">
        <v>5895</v>
      </c>
      <c r="N136" s="64" t="s">
        <v>1</v>
      </c>
      <c r="O136" s="65">
        <v>1</v>
      </c>
      <c r="P136" s="99"/>
      <c r="Q136" s="70"/>
      <c r="R136" s="66"/>
      <c r="S136" s="57"/>
      <c r="T136" s="58"/>
      <c r="U136" s="77"/>
      <c r="V136" s="94" t="s">
        <v>18368</v>
      </c>
      <c r="W136" s="68"/>
      <c r="X136" s="76"/>
      <c r="Y136" s="70"/>
      <c r="Z136" s="228">
        <f>ROUND((ROUND((ROUND((ROUND((_15_同援日１．５*_15・通訳),0)*_15・２人),0)*(1+_15・A深夜)),0)*(1+_15・区４)),0)+ROUND((ROUND((ROUND((_15_同援日１．５＿１．０*_15・通訳),0)*_15・２人),0)*(1+_15・区４)),0)</f>
        <v>957</v>
      </c>
      <c r="AA136" s="69"/>
    </row>
    <row r="137" spans="1:27" ht="16.5" customHeight="1" x14ac:dyDescent="0.3">
      <c r="A137" s="2">
        <v>15</v>
      </c>
      <c r="B137" s="2" t="s">
        <v>4985</v>
      </c>
      <c r="C137" s="60" t="s">
        <v>15323</v>
      </c>
      <c r="D137" s="1"/>
      <c r="E137" s="68"/>
      <c r="F137" s="70"/>
      <c r="G137" s="1"/>
      <c r="H137" s="68"/>
      <c r="I137" s="70"/>
      <c r="J137" s="67"/>
      <c r="K137" s="68"/>
      <c r="L137" s="76"/>
      <c r="M137" s="85"/>
      <c r="N137" s="64"/>
      <c r="O137" s="65"/>
      <c r="P137" s="99"/>
      <c r="Q137" s="70"/>
      <c r="R137" s="74" t="s">
        <v>18367</v>
      </c>
      <c r="S137" s="62"/>
      <c r="T137" s="63"/>
      <c r="U137" s="75"/>
      <c r="V137" s="67"/>
      <c r="W137" s="68" t="s">
        <v>1</v>
      </c>
      <c r="X137" s="76">
        <v>0.4</v>
      </c>
      <c r="Y137" s="70" t="s">
        <v>422</v>
      </c>
      <c r="Z137" s="228">
        <f>ROUND((ROUND((ROUND((ROUND((_15_同援日１．５*_15・通訳),0)*(1+_15・A深夜)),0)*(1+_15・盲ろう)),0)*(1+_15・区４)),0)+ROUND((ROUND((ROUND((_15_同援日１．５＿１．０*_15・通訳),0)*(1+_15・盲ろう)),0)*(1+_15・区４)),0)</f>
        <v>1195</v>
      </c>
      <c r="AA137" s="69"/>
    </row>
    <row r="138" spans="1:27" ht="16.5" customHeight="1" x14ac:dyDescent="0.3">
      <c r="A138" s="2">
        <v>15</v>
      </c>
      <c r="B138" s="2" t="s">
        <v>4986</v>
      </c>
      <c r="C138" s="60" t="s">
        <v>15322</v>
      </c>
      <c r="D138" s="1"/>
      <c r="E138" s="68"/>
      <c r="F138" s="70"/>
      <c r="G138" s="81"/>
      <c r="H138" s="57"/>
      <c r="I138" s="77"/>
      <c r="J138" s="67"/>
      <c r="K138" s="68"/>
      <c r="L138" s="76"/>
      <c r="M138" s="83" t="s">
        <v>5895</v>
      </c>
      <c r="N138" s="64" t="s">
        <v>1</v>
      </c>
      <c r="O138" s="65">
        <v>1</v>
      </c>
      <c r="P138" s="99"/>
      <c r="Q138" s="70"/>
      <c r="R138" s="106" t="s">
        <v>18366</v>
      </c>
      <c r="S138" s="57" t="s">
        <v>1</v>
      </c>
      <c r="T138" s="58">
        <v>0.25</v>
      </c>
      <c r="U138" s="77" t="s">
        <v>422</v>
      </c>
      <c r="V138" s="66"/>
      <c r="W138" s="57"/>
      <c r="X138" s="58"/>
      <c r="Y138" s="77"/>
      <c r="Z138" s="228">
        <f>ROUND((ROUND((ROUND((ROUND((ROUND((_15_同援日１．５*_15・通訳),0)*_15・２人),0)*(1+_15・A深夜)),0)*(1+_15・盲ろう)),0)*(1+_15・区４)),0)+ROUND((ROUND((ROUND((ROUND((_15_同援日１．５＿１．０*_15・通訳),0)*_15・２人),0)*(1+_15・盲ろう)),0)*(1+_15・区４)),0)</f>
        <v>1195</v>
      </c>
      <c r="AA138" s="69"/>
    </row>
    <row r="139" spans="1:27" ht="16.5" customHeight="1" x14ac:dyDescent="0.3">
      <c r="A139" s="2">
        <v>15</v>
      </c>
      <c r="B139" s="2" t="s">
        <v>4987</v>
      </c>
      <c r="C139" s="60" t="s">
        <v>15321</v>
      </c>
      <c r="D139" s="1"/>
      <c r="E139" s="68"/>
      <c r="F139" s="70"/>
      <c r="G139" s="233" t="s">
        <v>18378</v>
      </c>
      <c r="H139" s="62"/>
      <c r="I139" s="75"/>
      <c r="J139" s="67"/>
      <c r="K139" s="68"/>
      <c r="L139" s="76"/>
      <c r="M139" s="85"/>
      <c r="N139" s="64"/>
      <c r="O139" s="65"/>
      <c r="P139" s="99"/>
      <c r="Q139" s="70"/>
      <c r="R139" s="61"/>
      <c r="S139" s="62"/>
      <c r="T139" s="63"/>
      <c r="U139" s="75"/>
      <c r="V139" s="61"/>
      <c r="W139" s="62"/>
      <c r="X139" s="63"/>
      <c r="Y139" s="75"/>
      <c r="Z139" s="228">
        <f>ROUND((ROUND((_15_同援日１．５*_15・通訳),0)*(1+_15・A深夜)),0)+ROUND((_15_同援日１．５＿１．５*_15・通訳),0)</f>
        <v>740</v>
      </c>
      <c r="AA139" s="69"/>
    </row>
    <row r="140" spans="1:27" ht="16.5" customHeight="1" x14ac:dyDescent="0.3">
      <c r="A140" s="2">
        <v>15</v>
      </c>
      <c r="B140" s="2" t="s">
        <v>4988</v>
      </c>
      <c r="C140" s="60" t="s">
        <v>15320</v>
      </c>
      <c r="D140" s="1"/>
      <c r="E140" s="68"/>
      <c r="F140" s="70"/>
      <c r="G140" s="1" t="s">
        <v>18377</v>
      </c>
      <c r="H140" s="68"/>
      <c r="I140" s="70"/>
      <c r="J140" s="67"/>
      <c r="K140" s="68"/>
      <c r="L140" s="76"/>
      <c r="M140" s="83" t="s">
        <v>5895</v>
      </c>
      <c r="N140" s="64" t="s">
        <v>1</v>
      </c>
      <c r="O140" s="65">
        <v>1</v>
      </c>
      <c r="P140" s="99"/>
      <c r="Q140" s="70"/>
      <c r="R140" s="66"/>
      <c r="S140" s="57"/>
      <c r="T140" s="58"/>
      <c r="U140" s="77"/>
      <c r="V140" s="67"/>
      <c r="W140" s="68"/>
      <c r="X140" s="76"/>
      <c r="Y140" s="70"/>
      <c r="Z140" s="228">
        <f>ROUND((ROUND((ROUND((_15_同援日１．５*_15・通訳),0)*_15・２人),0)*(1+_15・A深夜)),0)+ROUND((ROUND((_15_同援日１．５＿１．５*_15・通訳),0)*_15・２人),0)</f>
        <v>740</v>
      </c>
      <c r="AA140" s="69"/>
    </row>
    <row r="141" spans="1:27" ht="16.5" customHeight="1" x14ac:dyDescent="0.3">
      <c r="A141" s="2">
        <v>15</v>
      </c>
      <c r="B141" s="2" t="s">
        <v>4989</v>
      </c>
      <c r="C141" s="60" t="s">
        <v>15319</v>
      </c>
      <c r="D141" s="1"/>
      <c r="E141" s="68"/>
      <c r="F141" s="70"/>
      <c r="G141" s="1" t="s">
        <v>8767</v>
      </c>
      <c r="H141" s="68"/>
      <c r="I141" s="70"/>
      <c r="J141" s="67"/>
      <c r="K141" s="68"/>
      <c r="L141" s="76"/>
      <c r="M141" s="85"/>
      <c r="N141" s="64"/>
      <c r="O141" s="65"/>
      <c r="P141" s="99"/>
      <c r="Q141" s="70"/>
      <c r="R141" s="74" t="s">
        <v>18367</v>
      </c>
      <c r="S141" s="62"/>
      <c r="T141" s="63"/>
      <c r="U141" s="75"/>
      <c r="V141" s="67"/>
      <c r="W141" s="68"/>
      <c r="X141" s="76"/>
      <c r="Y141" s="70"/>
      <c r="Z141" s="228">
        <f>ROUND((ROUND((ROUND((_15_同援日１．５*_15・通訳),0)*(1+_15・A深夜)),0)*(1+_15・盲ろう)),0)+ROUND((ROUND((_15_同援日１．５＿１．５*_15・通訳),0)*(1+_15・盲ろう)),0)</f>
        <v>925</v>
      </c>
      <c r="AA141" s="69"/>
    </row>
    <row r="142" spans="1:27" ht="16.5" customHeight="1" x14ac:dyDescent="0.3">
      <c r="A142" s="2">
        <v>15</v>
      </c>
      <c r="B142" s="2" t="s">
        <v>4990</v>
      </c>
      <c r="C142" s="60" t="s">
        <v>15318</v>
      </c>
      <c r="D142" s="1"/>
      <c r="E142" s="68"/>
      <c r="F142" s="70"/>
      <c r="G142" s="1"/>
      <c r="H142" s="119">
        <v>190</v>
      </c>
      <c r="I142" s="70" t="s">
        <v>0</v>
      </c>
      <c r="J142" s="67"/>
      <c r="K142" s="68"/>
      <c r="L142" s="76"/>
      <c r="M142" s="83" t="s">
        <v>5895</v>
      </c>
      <c r="N142" s="64" t="s">
        <v>1</v>
      </c>
      <c r="O142" s="65">
        <v>1</v>
      </c>
      <c r="P142" s="99"/>
      <c r="Q142" s="70"/>
      <c r="R142" s="106" t="s">
        <v>18366</v>
      </c>
      <c r="S142" s="57" t="s">
        <v>1</v>
      </c>
      <c r="T142" s="58">
        <v>0.25</v>
      </c>
      <c r="U142" s="77" t="s">
        <v>422</v>
      </c>
      <c r="V142" s="66"/>
      <c r="W142" s="57"/>
      <c r="X142" s="58"/>
      <c r="Y142" s="77"/>
      <c r="Z142" s="228">
        <f>ROUND((ROUND((ROUND((ROUND((_15_同援日１．５*_15・通訳),0)*_15・２人),0)*(1+_15・A深夜)),0)*(1+_15・盲ろう)),0)+ROUND((ROUND((ROUND((_15_同援日１．５＿１．５*_15・通訳),0)*_15・２人),0)*(1+_15・盲ろう)),0)</f>
        <v>925</v>
      </c>
      <c r="AA142" s="69"/>
    </row>
    <row r="143" spans="1:27" ht="16.5" customHeight="1" x14ac:dyDescent="0.3">
      <c r="A143" s="2">
        <v>15</v>
      </c>
      <c r="B143" s="2" t="s">
        <v>4991</v>
      </c>
      <c r="C143" s="60" t="s">
        <v>15317</v>
      </c>
      <c r="D143" s="1"/>
      <c r="E143" s="68"/>
      <c r="F143" s="70"/>
      <c r="G143" s="1"/>
      <c r="H143" s="68"/>
      <c r="I143" s="70"/>
      <c r="J143" s="67"/>
      <c r="K143" s="68"/>
      <c r="L143" s="76"/>
      <c r="M143" s="85"/>
      <c r="N143" s="64"/>
      <c r="O143" s="65"/>
      <c r="P143" s="99"/>
      <c r="Q143" s="70"/>
      <c r="R143" s="61"/>
      <c r="S143" s="62"/>
      <c r="T143" s="63"/>
      <c r="U143" s="75"/>
      <c r="V143" s="74" t="s">
        <v>18370</v>
      </c>
      <c r="W143" s="62"/>
      <c r="X143" s="63"/>
      <c r="Y143" s="75"/>
      <c r="Z143" s="228">
        <f>ROUND((ROUND((ROUND((_15_同援日１．５*_15・通訳),0)*(1+_15・A深夜)),0)*(1+_15・区３)),0)+ROUND((ROUND((_15_同援日１．５＿１．５*_15・通訳),0)*(1+_15・区３)),0)</f>
        <v>888</v>
      </c>
      <c r="AA143" s="69"/>
    </row>
    <row r="144" spans="1:27" ht="16.5" customHeight="1" x14ac:dyDescent="0.3">
      <c r="A144" s="2">
        <v>15</v>
      </c>
      <c r="B144" s="2" t="s">
        <v>4992</v>
      </c>
      <c r="C144" s="60" t="s">
        <v>15316</v>
      </c>
      <c r="D144" s="1"/>
      <c r="E144" s="68"/>
      <c r="F144" s="70"/>
      <c r="G144" s="1"/>
      <c r="H144" s="68"/>
      <c r="I144" s="70"/>
      <c r="J144" s="67"/>
      <c r="K144" s="68"/>
      <c r="L144" s="76"/>
      <c r="M144" s="83" t="s">
        <v>5895</v>
      </c>
      <c r="N144" s="64" t="s">
        <v>1</v>
      </c>
      <c r="O144" s="65">
        <v>1</v>
      </c>
      <c r="P144" s="99"/>
      <c r="Q144" s="70"/>
      <c r="R144" s="66"/>
      <c r="S144" s="57"/>
      <c r="T144" s="58"/>
      <c r="U144" s="77"/>
      <c r="V144" s="94" t="s">
        <v>18368</v>
      </c>
      <c r="W144" s="68"/>
      <c r="X144" s="76"/>
      <c r="Y144" s="70"/>
      <c r="Z144" s="228">
        <f>ROUND((ROUND((ROUND((ROUND((_15_同援日１．５*_15・通訳),0)*_15・２人),0)*(1+_15・A深夜)),0)*(1+_15・区３)),0)+ROUND((ROUND((ROUND((_15_同援日１．５＿１．５*_15・通訳),0)*_15・２人),0)*(1+_15・区３)),0)</f>
        <v>888</v>
      </c>
      <c r="AA144" s="69"/>
    </row>
    <row r="145" spans="1:27" ht="16.5" customHeight="1" x14ac:dyDescent="0.3">
      <c r="A145" s="2">
        <v>15</v>
      </c>
      <c r="B145" s="2" t="s">
        <v>4993</v>
      </c>
      <c r="C145" s="60" t="s">
        <v>15315</v>
      </c>
      <c r="D145" s="1"/>
      <c r="E145" s="68"/>
      <c r="F145" s="70"/>
      <c r="G145" s="1"/>
      <c r="H145" s="68"/>
      <c r="I145" s="70"/>
      <c r="J145" s="67"/>
      <c r="K145" s="68"/>
      <c r="L145" s="76"/>
      <c r="M145" s="85"/>
      <c r="N145" s="64"/>
      <c r="O145" s="65"/>
      <c r="P145" s="99"/>
      <c r="Q145" s="70"/>
      <c r="R145" s="74" t="s">
        <v>18367</v>
      </c>
      <c r="S145" s="62"/>
      <c r="T145" s="63"/>
      <c r="U145" s="75"/>
      <c r="V145" s="67"/>
      <c r="W145" s="68" t="s">
        <v>1</v>
      </c>
      <c r="X145" s="76">
        <v>0.2</v>
      </c>
      <c r="Y145" s="70" t="s">
        <v>422</v>
      </c>
      <c r="Z145" s="228">
        <f>ROUND((ROUND((ROUND((ROUND((_15_同援日１．５*_15・通訳),0)*(1+_15・A深夜)),0)*(1+_15・盲ろう)),0)*(1+_15・区３)),0)+ROUND((ROUND((ROUND((_15_同援日１．５＿１．５*_15・通訳),0)*(1+_15・盲ろう)),0)*(1+_15・区３)),0)</f>
        <v>1110</v>
      </c>
      <c r="AA145" s="69"/>
    </row>
    <row r="146" spans="1:27" ht="16.5" customHeight="1" x14ac:dyDescent="0.3">
      <c r="A146" s="2">
        <v>15</v>
      </c>
      <c r="B146" s="2" t="s">
        <v>4994</v>
      </c>
      <c r="C146" s="60" t="s">
        <v>15314</v>
      </c>
      <c r="D146" s="1"/>
      <c r="E146" s="68"/>
      <c r="F146" s="70"/>
      <c r="G146" s="1"/>
      <c r="H146" s="68"/>
      <c r="I146" s="70"/>
      <c r="J146" s="67"/>
      <c r="K146" s="68"/>
      <c r="L146" s="76"/>
      <c r="M146" s="83" t="s">
        <v>5895</v>
      </c>
      <c r="N146" s="64" t="s">
        <v>1</v>
      </c>
      <c r="O146" s="65">
        <v>1</v>
      </c>
      <c r="P146" s="99"/>
      <c r="Q146" s="70"/>
      <c r="R146" s="106" t="s">
        <v>18366</v>
      </c>
      <c r="S146" s="57" t="s">
        <v>1</v>
      </c>
      <c r="T146" s="58">
        <v>0.25</v>
      </c>
      <c r="U146" s="77" t="s">
        <v>422</v>
      </c>
      <c r="V146" s="66"/>
      <c r="W146" s="57"/>
      <c r="X146" s="58"/>
      <c r="Y146" s="77"/>
      <c r="Z146" s="228">
        <f>ROUND((ROUND((ROUND((ROUND((ROUND((_15_同援日１．５*_15・通訳),0)*_15・２人),0)*(1+_15・A深夜)),0)*(1+_15・盲ろう)),0)*(1+_15・区３)),0)+ROUND((ROUND((ROUND((ROUND((_15_同援日１．５＿１．５*_15・通訳),0)*_15・２人),0)*(1+_15・盲ろう)),0)*(1+_15・区３)),0)</f>
        <v>1110</v>
      </c>
      <c r="AA146" s="69"/>
    </row>
    <row r="147" spans="1:27" ht="16.5" customHeight="1" x14ac:dyDescent="0.3">
      <c r="A147" s="2">
        <v>15</v>
      </c>
      <c r="B147" s="2" t="s">
        <v>4995</v>
      </c>
      <c r="C147" s="60" t="s">
        <v>15313</v>
      </c>
      <c r="D147" s="1"/>
      <c r="E147" s="68"/>
      <c r="F147" s="70"/>
      <c r="G147" s="1"/>
      <c r="H147" s="68"/>
      <c r="I147" s="70"/>
      <c r="J147" s="67"/>
      <c r="K147" s="68"/>
      <c r="L147" s="76"/>
      <c r="M147" s="85"/>
      <c r="N147" s="64"/>
      <c r="O147" s="65"/>
      <c r="P147" s="99"/>
      <c r="Q147" s="70"/>
      <c r="R147" s="61"/>
      <c r="S147" s="62"/>
      <c r="T147" s="63"/>
      <c r="U147" s="75"/>
      <c r="V147" s="74" t="s">
        <v>18369</v>
      </c>
      <c r="W147" s="62"/>
      <c r="X147" s="63"/>
      <c r="Y147" s="75"/>
      <c r="Z147" s="228">
        <f>ROUND((ROUND((ROUND((_15_同援日１．５*_15・通訳),0)*(1+_15・A深夜)),0)*(1+_15・区４)),0)+ROUND((ROUND((_15_同援日１．５＿１．５*_15・通訳),0)*(1+_15・区４)),0)</f>
        <v>1036</v>
      </c>
      <c r="AA147" s="69"/>
    </row>
    <row r="148" spans="1:27" ht="16.5" customHeight="1" x14ac:dyDescent="0.3">
      <c r="A148" s="2">
        <v>15</v>
      </c>
      <c r="B148" s="2" t="s">
        <v>4996</v>
      </c>
      <c r="C148" s="60" t="s">
        <v>15312</v>
      </c>
      <c r="D148" s="1"/>
      <c r="E148" s="68"/>
      <c r="F148" s="70"/>
      <c r="G148" s="1"/>
      <c r="H148" s="68"/>
      <c r="I148" s="70"/>
      <c r="J148" s="67"/>
      <c r="K148" s="68"/>
      <c r="L148" s="76"/>
      <c r="M148" s="83" t="s">
        <v>5895</v>
      </c>
      <c r="N148" s="64" t="s">
        <v>1</v>
      </c>
      <c r="O148" s="65">
        <v>1</v>
      </c>
      <c r="P148" s="99"/>
      <c r="Q148" s="70"/>
      <c r="R148" s="66"/>
      <c r="S148" s="57"/>
      <c r="T148" s="58"/>
      <c r="U148" s="77"/>
      <c r="V148" s="94" t="s">
        <v>18368</v>
      </c>
      <c r="W148" s="68"/>
      <c r="X148" s="76"/>
      <c r="Y148" s="70"/>
      <c r="Z148" s="228">
        <f>ROUND((ROUND((ROUND((ROUND((_15_同援日１．５*_15・通訳),0)*_15・２人),0)*(1+_15・A深夜)),0)*(1+_15・区４)),0)+ROUND((ROUND((ROUND((_15_同援日１．５＿１．５*_15・通訳),0)*_15・２人),0)*(1+_15・区４)),0)</f>
        <v>1036</v>
      </c>
      <c r="AA148" s="69"/>
    </row>
    <row r="149" spans="1:27" ht="16.5" customHeight="1" x14ac:dyDescent="0.3">
      <c r="A149" s="2">
        <v>15</v>
      </c>
      <c r="B149" s="2" t="s">
        <v>4997</v>
      </c>
      <c r="C149" s="60" t="s">
        <v>15311</v>
      </c>
      <c r="D149" s="1"/>
      <c r="E149" s="68"/>
      <c r="F149" s="70"/>
      <c r="G149" s="1"/>
      <c r="H149" s="68"/>
      <c r="I149" s="70"/>
      <c r="J149" s="67"/>
      <c r="K149" s="68"/>
      <c r="L149" s="76"/>
      <c r="M149" s="85"/>
      <c r="N149" s="64"/>
      <c r="O149" s="65"/>
      <c r="P149" s="99"/>
      <c r="Q149" s="70"/>
      <c r="R149" s="74" t="s">
        <v>8085</v>
      </c>
      <c r="S149" s="62"/>
      <c r="T149" s="63"/>
      <c r="U149" s="75"/>
      <c r="V149" s="67"/>
      <c r="W149" s="68" t="s">
        <v>1</v>
      </c>
      <c r="X149" s="76">
        <v>0.4</v>
      </c>
      <c r="Y149" s="70" t="s">
        <v>422</v>
      </c>
      <c r="Z149" s="228">
        <f>ROUND((ROUND((ROUND((ROUND((_15_同援日１．５*_15・通訳),0)*(1+_15・A深夜)),0)*(1+_15・盲ろう)),0)*(1+_15・区４)),0)+ROUND((ROUND((ROUND((_15_同援日１．５＿１．５*_15・通訳),0)*(1+_15・盲ろう)),0)*(1+_15・区４)),0)</f>
        <v>1295</v>
      </c>
      <c r="AA149" s="69"/>
    </row>
    <row r="150" spans="1:27" ht="16.5" customHeight="1" x14ac:dyDescent="0.3">
      <c r="A150" s="2">
        <v>15</v>
      </c>
      <c r="B150" s="2" t="s">
        <v>4998</v>
      </c>
      <c r="C150" s="60" t="s">
        <v>15310</v>
      </c>
      <c r="D150" s="81"/>
      <c r="E150" s="57"/>
      <c r="F150" s="77"/>
      <c r="G150" s="81"/>
      <c r="H150" s="57"/>
      <c r="I150" s="77"/>
      <c r="J150" s="67"/>
      <c r="K150" s="68"/>
      <c r="L150" s="76"/>
      <c r="M150" s="83" t="s">
        <v>5895</v>
      </c>
      <c r="N150" s="64" t="s">
        <v>1</v>
      </c>
      <c r="O150" s="65">
        <v>1</v>
      </c>
      <c r="P150" s="99"/>
      <c r="Q150" s="70"/>
      <c r="R150" s="106" t="s">
        <v>18366</v>
      </c>
      <c r="S150" s="57" t="s">
        <v>1</v>
      </c>
      <c r="T150" s="58">
        <v>0.25</v>
      </c>
      <c r="U150" s="77" t="s">
        <v>422</v>
      </c>
      <c r="V150" s="66"/>
      <c r="W150" s="57"/>
      <c r="X150" s="58"/>
      <c r="Y150" s="77"/>
      <c r="Z150" s="228">
        <f>ROUND((ROUND((ROUND((ROUND((ROUND((_15_同援日１．５*_15・通訳),0)*_15・２人),0)*(1+_15・A深夜)),0)*(1+_15・盲ろう)),0)*(1+_15・区４)),0)+ROUND((ROUND((ROUND((ROUND((_15_同援日１．５＿１．５*_15・通訳),0)*_15・２人),0)*(1+_15・盲ろう)),0)*(1+_15・区４)),0)</f>
        <v>1295</v>
      </c>
      <c r="AA150" s="69"/>
    </row>
    <row r="151" spans="1:27" ht="16.5" customHeight="1" x14ac:dyDescent="0.3">
      <c r="A151" s="2">
        <v>15</v>
      </c>
      <c r="B151" s="2" t="s">
        <v>4999</v>
      </c>
      <c r="C151" s="60" t="s">
        <v>15309</v>
      </c>
      <c r="D151" s="233" t="s">
        <v>18376</v>
      </c>
      <c r="E151" s="235"/>
      <c r="F151" s="75"/>
      <c r="G151" s="233" t="s">
        <v>18372</v>
      </c>
      <c r="H151" s="62"/>
      <c r="I151" s="75"/>
      <c r="J151" s="67"/>
      <c r="K151" s="68"/>
      <c r="L151" s="76"/>
      <c r="M151" s="85"/>
      <c r="N151" s="64"/>
      <c r="O151" s="65"/>
      <c r="P151" s="99"/>
      <c r="Q151" s="70"/>
      <c r="R151" s="61"/>
      <c r="S151" s="62"/>
      <c r="T151" s="63"/>
      <c r="U151" s="75"/>
      <c r="V151" s="61"/>
      <c r="W151" s="62"/>
      <c r="X151" s="63"/>
      <c r="Y151" s="75"/>
      <c r="Z151" s="228">
        <f>ROUND((ROUND((_15_同援日２．０*_15・通訳),0)*(1+_15・A深夜)),0)+ROUND((_15_同援日２．０＿０．５*_15・通訳),0)</f>
        <v>713</v>
      </c>
      <c r="AA151" s="69"/>
    </row>
    <row r="152" spans="1:27" ht="16.5" customHeight="1" x14ac:dyDescent="0.3">
      <c r="A152" s="2">
        <v>15</v>
      </c>
      <c r="B152" s="2" t="s">
        <v>5000</v>
      </c>
      <c r="C152" s="60" t="s">
        <v>15308</v>
      </c>
      <c r="D152" s="1" t="s">
        <v>18375</v>
      </c>
      <c r="E152" s="68"/>
      <c r="F152" s="70"/>
      <c r="G152" s="1" t="s">
        <v>7928</v>
      </c>
      <c r="H152" s="68"/>
      <c r="I152" s="70"/>
      <c r="J152" s="67"/>
      <c r="K152" s="68"/>
      <c r="L152" s="76"/>
      <c r="M152" s="83" t="s">
        <v>5895</v>
      </c>
      <c r="N152" s="64" t="s">
        <v>1</v>
      </c>
      <c r="O152" s="65">
        <v>1</v>
      </c>
      <c r="P152" s="99"/>
      <c r="Q152" s="70"/>
      <c r="R152" s="66"/>
      <c r="S152" s="57"/>
      <c r="T152" s="58"/>
      <c r="U152" s="77"/>
      <c r="V152" s="67"/>
      <c r="W152" s="68"/>
      <c r="X152" s="76"/>
      <c r="Y152" s="70"/>
      <c r="Z152" s="228">
        <f>ROUND((ROUND((ROUND((_15_同援日２．０*_15・通訳),0)*_15・２人),0)*(1+_15・A深夜)),0)+ROUND((ROUND((_15_同援日２．０＿０．５*_15・通訳),0)*_15・２人),0)</f>
        <v>713</v>
      </c>
      <c r="AA152" s="69"/>
    </row>
    <row r="153" spans="1:27" ht="16.5" customHeight="1" x14ac:dyDescent="0.3">
      <c r="A153" s="2">
        <v>15</v>
      </c>
      <c r="B153" s="2" t="s">
        <v>5001</v>
      </c>
      <c r="C153" s="60" t="s">
        <v>15307</v>
      </c>
      <c r="D153" s="1" t="s">
        <v>6448</v>
      </c>
      <c r="E153" s="68"/>
      <c r="F153" s="70"/>
      <c r="G153" s="1"/>
      <c r="H153" s="68"/>
      <c r="I153" s="70"/>
      <c r="J153" s="67"/>
      <c r="K153" s="68"/>
      <c r="L153" s="76"/>
      <c r="M153" s="85"/>
      <c r="N153" s="64"/>
      <c r="O153" s="65"/>
      <c r="P153" s="99"/>
      <c r="Q153" s="70"/>
      <c r="R153" s="74" t="s">
        <v>8085</v>
      </c>
      <c r="S153" s="62"/>
      <c r="T153" s="63"/>
      <c r="U153" s="75"/>
      <c r="V153" s="67"/>
      <c r="W153" s="68"/>
      <c r="X153" s="76"/>
      <c r="Y153" s="70"/>
      <c r="Z153" s="228">
        <f>ROUND((ROUND((ROUND((_15_同援日２．０*_15・通訳),0)*(1+_15・A深夜)),0)*(1+_15・盲ろう)),0)+ROUND((ROUND((_15_同援日２．０＿０．５*_15・通訳),0)*(1+_15・盲ろう)),0)</f>
        <v>891</v>
      </c>
      <c r="AA153" s="69"/>
    </row>
    <row r="154" spans="1:27" ht="16.5" customHeight="1" x14ac:dyDescent="0.3">
      <c r="A154" s="2">
        <v>15</v>
      </c>
      <c r="B154" s="2" t="s">
        <v>5002</v>
      </c>
      <c r="C154" s="60" t="s">
        <v>15306</v>
      </c>
      <c r="D154" s="1"/>
      <c r="E154" s="227">
        <v>485</v>
      </c>
      <c r="F154" s="70" t="s">
        <v>0</v>
      </c>
      <c r="G154" s="1"/>
      <c r="H154" s="119">
        <v>63</v>
      </c>
      <c r="I154" s="70" t="s">
        <v>0</v>
      </c>
      <c r="J154" s="67"/>
      <c r="K154" s="68"/>
      <c r="L154" s="76"/>
      <c r="M154" s="83" t="s">
        <v>5895</v>
      </c>
      <c r="N154" s="64" t="s">
        <v>1</v>
      </c>
      <c r="O154" s="65">
        <v>1</v>
      </c>
      <c r="P154" s="99"/>
      <c r="Q154" s="70"/>
      <c r="R154" s="106" t="s">
        <v>18366</v>
      </c>
      <c r="S154" s="57" t="s">
        <v>1</v>
      </c>
      <c r="T154" s="58">
        <v>0.25</v>
      </c>
      <c r="U154" s="77" t="s">
        <v>422</v>
      </c>
      <c r="V154" s="66"/>
      <c r="W154" s="57"/>
      <c r="X154" s="58"/>
      <c r="Y154" s="77"/>
      <c r="Z154" s="228">
        <f>ROUND((ROUND((ROUND((ROUND((_15_同援日２．０*_15・通訳),0)*_15・２人),0)*(1+_15・A深夜)),0)*(1+_15・盲ろう)),0)+ROUND((ROUND((ROUND((_15_同援日２．０＿０．５*_15・通訳),0)*_15・２人),0)*(1+_15・盲ろう)),0)</f>
        <v>891</v>
      </c>
      <c r="AA154" s="69"/>
    </row>
    <row r="155" spans="1:27" ht="16.5" customHeight="1" x14ac:dyDescent="0.3">
      <c r="A155" s="2">
        <v>15</v>
      </c>
      <c r="B155" s="2" t="s">
        <v>5003</v>
      </c>
      <c r="C155" s="60" t="s">
        <v>15305</v>
      </c>
      <c r="D155" s="1"/>
      <c r="E155" s="68"/>
      <c r="F155" s="70"/>
      <c r="G155" s="1"/>
      <c r="H155" s="68"/>
      <c r="I155" s="70"/>
      <c r="J155" s="67"/>
      <c r="K155" s="68"/>
      <c r="L155" s="76"/>
      <c r="M155" s="85"/>
      <c r="N155" s="64"/>
      <c r="O155" s="65"/>
      <c r="P155" s="99"/>
      <c r="Q155" s="70"/>
      <c r="R155" s="61"/>
      <c r="S155" s="62"/>
      <c r="T155" s="63"/>
      <c r="U155" s="75"/>
      <c r="V155" s="74" t="s">
        <v>18370</v>
      </c>
      <c r="W155" s="62"/>
      <c r="X155" s="63"/>
      <c r="Y155" s="75"/>
      <c r="Z155" s="228">
        <f>ROUND((ROUND((ROUND((_15_同援日２．０*_15・通訳),0)*(1+_15・A深夜)),0)*(1+_15・区３)),0)+ROUND((ROUND((_15_同援日２．０＿０．５*_15・通訳),0)*(1+_15・区３)),0)</f>
        <v>855</v>
      </c>
      <c r="AA155" s="69"/>
    </row>
    <row r="156" spans="1:27" ht="16.5" customHeight="1" x14ac:dyDescent="0.3">
      <c r="A156" s="2">
        <v>15</v>
      </c>
      <c r="B156" s="2" t="s">
        <v>5004</v>
      </c>
      <c r="C156" s="60" t="s">
        <v>15304</v>
      </c>
      <c r="D156" s="1"/>
      <c r="E156" s="68"/>
      <c r="F156" s="70"/>
      <c r="G156" s="1"/>
      <c r="H156" s="68"/>
      <c r="I156" s="70"/>
      <c r="J156" s="67"/>
      <c r="K156" s="68"/>
      <c r="L156" s="76"/>
      <c r="M156" s="83" t="s">
        <v>5895</v>
      </c>
      <c r="N156" s="64" t="s">
        <v>1</v>
      </c>
      <c r="O156" s="65">
        <v>1</v>
      </c>
      <c r="P156" s="99"/>
      <c r="Q156" s="70"/>
      <c r="R156" s="66"/>
      <c r="S156" s="57"/>
      <c r="T156" s="58"/>
      <c r="U156" s="77"/>
      <c r="V156" s="94" t="s">
        <v>18368</v>
      </c>
      <c r="W156" s="68"/>
      <c r="X156" s="76"/>
      <c r="Y156" s="70"/>
      <c r="Z156" s="228">
        <f>ROUND((ROUND((ROUND((ROUND((_15_同援日２．０*_15・通訳),0)*_15・２人),0)*(1+_15・A深夜)),0)*(1+_15・区３)),0)+ROUND((ROUND((ROUND((_15_同援日２．０＿０．５*_15・通訳),0)*_15・２人),0)*(1+_15・区３)),0)</f>
        <v>855</v>
      </c>
      <c r="AA156" s="69"/>
    </row>
    <row r="157" spans="1:27" ht="16.5" customHeight="1" x14ac:dyDescent="0.3">
      <c r="A157" s="2">
        <v>15</v>
      </c>
      <c r="B157" s="2" t="s">
        <v>5005</v>
      </c>
      <c r="C157" s="60" t="s">
        <v>15303</v>
      </c>
      <c r="D157" s="1"/>
      <c r="E157" s="68"/>
      <c r="F157" s="70"/>
      <c r="G157" s="1"/>
      <c r="H157" s="68"/>
      <c r="I157" s="70"/>
      <c r="J157" s="67"/>
      <c r="K157" s="68"/>
      <c r="L157" s="76"/>
      <c r="M157" s="85"/>
      <c r="N157" s="64"/>
      <c r="O157" s="65"/>
      <c r="P157" s="99"/>
      <c r="Q157" s="70"/>
      <c r="R157" s="74" t="s">
        <v>8085</v>
      </c>
      <c r="S157" s="62"/>
      <c r="T157" s="63"/>
      <c r="U157" s="75"/>
      <c r="V157" s="67"/>
      <c r="W157" s="68" t="s">
        <v>1</v>
      </c>
      <c r="X157" s="76">
        <v>0.2</v>
      </c>
      <c r="Y157" s="70" t="s">
        <v>422</v>
      </c>
      <c r="Z157" s="228">
        <f>ROUND((ROUND((ROUND((ROUND((_15_同援日２．０*_15・通訳),0)*(1+_15・A深夜)),0)*(1+_15・盲ろう)),0)*(1+_15・区３)),0)+ROUND((ROUND((ROUND((_15_同援日２．０＿０．５*_15・通訳),0)*(1+_15・盲ろう)),0)*(1+_15・区３)),0)</f>
        <v>1069</v>
      </c>
      <c r="AA157" s="69"/>
    </row>
    <row r="158" spans="1:27" ht="16.5" customHeight="1" x14ac:dyDescent="0.3">
      <c r="A158" s="2">
        <v>15</v>
      </c>
      <c r="B158" s="2" t="s">
        <v>5006</v>
      </c>
      <c r="C158" s="60" t="s">
        <v>15302</v>
      </c>
      <c r="D158" s="1"/>
      <c r="E158" s="68"/>
      <c r="F158" s="70"/>
      <c r="G158" s="1"/>
      <c r="H158" s="68"/>
      <c r="I158" s="70"/>
      <c r="J158" s="67"/>
      <c r="K158" s="68"/>
      <c r="L158" s="76"/>
      <c r="M158" s="83" t="s">
        <v>5895</v>
      </c>
      <c r="N158" s="64" t="s">
        <v>1</v>
      </c>
      <c r="O158" s="65">
        <v>1</v>
      </c>
      <c r="P158" s="99"/>
      <c r="Q158" s="70"/>
      <c r="R158" s="106" t="s">
        <v>18366</v>
      </c>
      <c r="S158" s="57" t="s">
        <v>1</v>
      </c>
      <c r="T158" s="58">
        <v>0.25</v>
      </c>
      <c r="U158" s="77" t="s">
        <v>422</v>
      </c>
      <c r="V158" s="66"/>
      <c r="W158" s="57"/>
      <c r="X158" s="58"/>
      <c r="Y158" s="77"/>
      <c r="Z158" s="228">
        <f>ROUND((ROUND((ROUND((ROUND((ROUND((_15_同援日２．０*_15・通訳),0)*_15・２人),0)*(1+_15・A深夜)),0)*(1+_15・盲ろう)),0)*(1+_15・区３)),0)+ROUND((ROUND((ROUND((ROUND((_15_同援日２．０＿０．５*_15・通訳),0)*_15・２人),0)*(1+_15・盲ろう)),0)*(1+_15・区３)),0)</f>
        <v>1069</v>
      </c>
      <c r="AA158" s="69"/>
    </row>
    <row r="159" spans="1:27" ht="16.5" customHeight="1" x14ac:dyDescent="0.3">
      <c r="A159" s="2">
        <v>15</v>
      </c>
      <c r="B159" s="2" t="s">
        <v>5007</v>
      </c>
      <c r="C159" s="60" t="s">
        <v>15301</v>
      </c>
      <c r="D159" s="1"/>
      <c r="E159" s="68"/>
      <c r="F159" s="70"/>
      <c r="G159" s="1"/>
      <c r="H159" s="68"/>
      <c r="I159" s="70"/>
      <c r="J159" s="67"/>
      <c r="K159" s="68"/>
      <c r="L159" s="76"/>
      <c r="M159" s="85"/>
      <c r="N159" s="64"/>
      <c r="O159" s="65"/>
      <c r="P159" s="99"/>
      <c r="Q159" s="70"/>
      <c r="R159" s="61"/>
      <c r="S159" s="62"/>
      <c r="T159" s="63"/>
      <c r="U159" s="75"/>
      <c r="V159" s="74" t="s">
        <v>18369</v>
      </c>
      <c r="W159" s="62"/>
      <c r="X159" s="63"/>
      <c r="Y159" s="75"/>
      <c r="Z159" s="228">
        <f>ROUND((ROUND((ROUND((_15_同援日２．０*_15・通訳),0)*(1+_15・A深夜)),0)*(1+_15・区４)),0)+ROUND((ROUND((_15_同援日２．０＿０．５*_15・通訳),0)*(1+_15・区４)),0)</f>
        <v>998</v>
      </c>
      <c r="AA159" s="69"/>
    </row>
    <row r="160" spans="1:27" ht="16.5" customHeight="1" x14ac:dyDescent="0.3">
      <c r="A160" s="2">
        <v>15</v>
      </c>
      <c r="B160" s="2" t="s">
        <v>5008</v>
      </c>
      <c r="C160" s="60" t="s">
        <v>15300</v>
      </c>
      <c r="D160" s="1"/>
      <c r="E160" s="68"/>
      <c r="F160" s="70"/>
      <c r="G160" s="1"/>
      <c r="H160" s="68"/>
      <c r="I160" s="70"/>
      <c r="J160" s="67"/>
      <c r="K160" s="68"/>
      <c r="L160" s="76"/>
      <c r="M160" s="83" t="s">
        <v>5895</v>
      </c>
      <c r="N160" s="64" t="s">
        <v>1</v>
      </c>
      <c r="O160" s="65">
        <v>1</v>
      </c>
      <c r="P160" s="99"/>
      <c r="Q160" s="70"/>
      <c r="R160" s="66"/>
      <c r="S160" s="57"/>
      <c r="T160" s="58"/>
      <c r="U160" s="77"/>
      <c r="V160" s="94" t="s">
        <v>8087</v>
      </c>
      <c r="W160" s="68"/>
      <c r="X160" s="76"/>
      <c r="Y160" s="70"/>
      <c r="Z160" s="228">
        <f>ROUND((ROUND((ROUND((ROUND((_15_同援日２．０*_15・通訳),0)*_15・２人),0)*(1+_15・A深夜)),0)*(1+_15・区４)),0)+ROUND((ROUND((ROUND((_15_同援日２．０＿０．５*_15・通訳),0)*_15・２人),0)*(1+_15・区４)),0)</f>
        <v>998</v>
      </c>
      <c r="AA160" s="69"/>
    </row>
    <row r="161" spans="1:27" ht="16.5" customHeight="1" x14ac:dyDescent="0.3">
      <c r="A161" s="2">
        <v>15</v>
      </c>
      <c r="B161" s="2" t="s">
        <v>5009</v>
      </c>
      <c r="C161" s="60" t="s">
        <v>15299</v>
      </c>
      <c r="D161" s="1"/>
      <c r="E161" s="68"/>
      <c r="F161" s="70"/>
      <c r="G161" s="1"/>
      <c r="H161" s="68"/>
      <c r="I161" s="70"/>
      <c r="J161" s="67"/>
      <c r="K161" s="68"/>
      <c r="L161" s="76"/>
      <c r="M161" s="85"/>
      <c r="N161" s="64"/>
      <c r="O161" s="65"/>
      <c r="P161" s="99"/>
      <c r="Q161" s="70"/>
      <c r="R161" s="74" t="s">
        <v>18367</v>
      </c>
      <c r="S161" s="62"/>
      <c r="T161" s="63"/>
      <c r="U161" s="75"/>
      <c r="V161" s="67"/>
      <c r="W161" s="68" t="s">
        <v>1</v>
      </c>
      <c r="X161" s="76">
        <v>0.4</v>
      </c>
      <c r="Y161" s="70" t="s">
        <v>422</v>
      </c>
      <c r="Z161" s="228">
        <f>ROUND((ROUND((ROUND((ROUND((_15_同援日２．０*_15・通訳),0)*(1+_15・A深夜)),0)*(1+_15・盲ろう)),0)*(1+_15・区４)),0)+ROUND((ROUND((ROUND((_15_同援日２．０＿０．５*_15・通訳),0)*(1+_15・盲ろう)),0)*(1+_15・区４)),0)</f>
        <v>1247</v>
      </c>
      <c r="AA161" s="69"/>
    </row>
    <row r="162" spans="1:27" ht="16.5" customHeight="1" x14ac:dyDescent="0.3">
      <c r="A162" s="2">
        <v>15</v>
      </c>
      <c r="B162" s="2" t="s">
        <v>5010</v>
      </c>
      <c r="C162" s="60" t="s">
        <v>15298</v>
      </c>
      <c r="D162" s="1"/>
      <c r="E162" s="68"/>
      <c r="F162" s="70"/>
      <c r="G162" s="81"/>
      <c r="H162" s="57"/>
      <c r="I162" s="77"/>
      <c r="J162" s="67"/>
      <c r="K162" s="68"/>
      <c r="L162" s="76"/>
      <c r="M162" s="83" t="s">
        <v>5895</v>
      </c>
      <c r="N162" s="64" t="s">
        <v>1</v>
      </c>
      <c r="O162" s="65">
        <v>1</v>
      </c>
      <c r="P162" s="99"/>
      <c r="Q162" s="70"/>
      <c r="R162" s="106" t="s">
        <v>18366</v>
      </c>
      <c r="S162" s="57" t="s">
        <v>1</v>
      </c>
      <c r="T162" s="58">
        <v>0.25</v>
      </c>
      <c r="U162" s="77" t="s">
        <v>422</v>
      </c>
      <c r="V162" s="66"/>
      <c r="W162" s="57"/>
      <c r="X162" s="58"/>
      <c r="Y162" s="77"/>
      <c r="Z162" s="228">
        <f>ROUND((ROUND((ROUND((ROUND((ROUND((_15_同援日２．０*_15・通訳),0)*_15・２人),0)*(1+_15・A深夜)),0)*(1+_15・盲ろう)),0)*(1+_15・区４)),0)+ROUND((ROUND((ROUND((ROUND((_15_同援日２．０＿０．５*_15・通訳),0)*_15・２人),0)*(1+_15・盲ろう)),0)*(1+_15・区４)),0)</f>
        <v>1247</v>
      </c>
      <c r="AA162" s="69"/>
    </row>
    <row r="163" spans="1:27" ht="16.5" customHeight="1" x14ac:dyDescent="0.3">
      <c r="A163" s="2">
        <v>15</v>
      </c>
      <c r="B163" s="2" t="s">
        <v>5011</v>
      </c>
      <c r="C163" s="60" t="s">
        <v>15297</v>
      </c>
      <c r="D163" s="1"/>
      <c r="E163" s="68"/>
      <c r="F163" s="70"/>
      <c r="G163" s="233" t="s">
        <v>18374</v>
      </c>
      <c r="H163" s="62"/>
      <c r="I163" s="75"/>
      <c r="J163" s="67"/>
      <c r="K163" s="68"/>
      <c r="L163" s="76"/>
      <c r="M163" s="85"/>
      <c r="N163" s="64"/>
      <c r="O163" s="65"/>
      <c r="P163" s="99"/>
      <c r="Q163" s="70"/>
      <c r="R163" s="61"/>
      <c r="S163" s="62"/>
      <c r="T163" s="63"/>
      <c r="U163" s="75"/>
      <c r="V163" s="61"/>
      <c r="W163" s="62"/>
      <c r="X163" s="63"/>
      <c r="Y163" s="75"/>
      <c r="Z163" s="228">
        <f>ROUND((ROUND((_15_同援日２．０*_15・通訳),0)*(1+_15・A深夜)),0)+ROUND((_15_同援日２．０＿１．０*_15・通訳),0)</f>
        <v>769</v>
      </c>
      <c r="AA163" s="69"/>
    </row>
    <row r="164" spans="1:27" ht="16.5" customHeight="1" x14ac:dyDescent="0.3">
      <c r="A164" s="2">
        <v>15</v>
      </c>
      <c r="B164" s="2" t="s">
        <v>5012</v>
      </c>
      <c r="C164" s="60" t="s">
        <v>15296</v>
      </c>
      <c r="D164" s="1"/>
      <c r="E164" s="68"/>
      <c r="F164" s="70"/>
      <c r="G164" s="1" t="s">
        <v>5993</v>
      </c>
      <c r="H164" s="68"/>
      <c r="I164" s="70"/>
      <c r="J164" s="67"/>
      <c r="K164" s="68"/>
      <c r="L164" s="76"/>
      <c r="M164" s="83" t="s">
        <v>5895</v>
      </c>
      <c r="N164" s="64" t="s">
        <v>1</v>
      </c>
      <c r="O164" s="65">
        <v>1</v>
      </c>
      <c r="P164" s="99"/>
      <c r="Q164" s="70"/>
      <c r="R164" s="66"/>
      <c r="S164" s="57"/>
      <c r="T164" s="58"/>
      <c r="U164" s="77"/>
      <c r="V164" s="67"/>
      <c r="W164" s="68"/>
      <c r="X164" s="76"/>
      <c r="Y164" s="70"/>
      <c r="Z164" s="228">
        <f>ROUND((ROUND((ROUND((_15_同援日２．０*_15・通訳),0)*_15・２人),0)*(1+_15・A深夜)),0)+ROUND((ROUND((_15_同援日２．０＿１．０*_15・通訳),0)*_15・２人),0)</f>
        <v>769</v>
      </c>
      <c r="AA164" s="69"/>
    </row>
    <row r="165" spans="1:27" ht="16.5" customHeight="1" x14ac:dyDescent="0.3">
      <c r="A165" s="2">
        <v>15</v>
      </c>
      <c r="B165" s="2" t="s">
        <v>5013</v>
      </c>
      <c r="C165" s="60" t="s">
        <v>15295</v>
      </c>
      <c r="D165" s="1"/>
      <c r="E165" s="68"/>
      <c r="F165" s="70"/>
      <c r="G165" s="1" t="s">
        <v>8572</v>
      </c>
      <c r="H165" s="68"/>
      <c r="I165" s="70"/>
      <c r="J165" s="67"/>
      <c r="K165" s="68"/>
      <c r="L165" s="76"/>
      <c r="M165" s="85"/>
      <c r="N165" s="64"/>
      <c r="O165" s="65"/>
      <c r="P165" s="99"/>
      <c r="Q165" s="70"/>
      <c r="R165" s="74" t="s">
        <v>18367</v>
      </c>
      <c r="S165" s="62"/>
      <c r="T165" s="63"/>
      <c r="U165" s="75"/>
      <c r="V165" s="67"/>
      <c r="W165" s="68"/>
      <c r="X165" s="76"/>
      <c r="Y165" s="70"/>
      <c r="Z165" s="228">
        <f>ROUND((ROUND((ROUND((_15_同援日２．０*_15・通訳),0)*(1+_15・A深夜)),0)*(1+_15・盲ろう)),0)+ROUND((ROUND((_15_同援日２．０＿１．０*_15・通訳),0)*(1+_15・盲ろう)),0)</f>
        <v>961</v>
      </c>
      <c r="AA165" s="69"/>
    </row>
    <row r="166" spans="1:27" ht="16.5" customHeight="1" x14ac:dyDescent="0.3">
      <c r="A166" s="2">
        <v>15</v>
      </c>
      <c r="B166" s="2" t="s">
        <v>5014</v>
      </c>
      <c r="C166" s="60" t="s">
        <v>15294</v>
      </c>
      <c r="D166" s="1"/>
      <c r="E166" s="68"/>
      <c r="F166" s="70"/>
      <c r="G166" s="1"/>
      <c r="H166" s="119">
        <v>126</v>
      </c>
      <c r="I166" s="70" t="s">
        <v>0</v>
      </c>
      <c r="J166" s="67"/>
      <c r="K166" s="68"/>
      <c r="L166" s="76"/>
      <c r="M166" s="83" t="s">
        <v>5895</v>
      </c>
      <c r="N166" s="64" t="s">
        <v>1</v>
      </c>
      <c r="O166" s="65">
        <v>1</v>
      </c>
      <c r="P166" s="99"/>
      <c r="Q166" s="70"/>
      <c r="R166" s="106" t="s">
        <v>18366</v>
      </c>
      <c r="S166" s="57" t="s">
        <v>1</v>
      </c>
      <c r="T166" s="58">
        <v>0.25</v>
      </c>
      <c r="U166" s="77" t="s">
        <v>422</v>
      </c>
      <c r="V166" s="66"/>
      <c r="W166" s="57"/>
      <c r="X166" s="58"/>
      <c r="Y166" s="77"/>
      <c r="Z166" s="228">
        <f>ROUND((ROUND((ROUND((ROUND((_15_同援日２．０*_15・通訳),0)*_15・２人),0)*(1+_15・A深夜)),0)*(1+_15・盲ろう)),0)+ROUND((ROUND((ROUND((_15_同援日２．０＿１．０*_15・通訳),0)*_15・２人),0)*(1+_15・盲ろう)),0)</f>
        <v>961</v>
      </c>
      <c r="AA166" s="69"/>
    </row>
    <row r="167" spans="1:27" ht="16.5" customHeight="1" x14ac:dyDescent="0.3">
      <c r="A167" s="2">
        <v>15</v>
      </c>
      <c r="B167" s="2" t="s">
        <v>5015</v>
      </c>
      <c r="C167" s="60" t="s">
        <v>15293</v>
      </c>
      <c r="D167" s="1"/>
      <c r="E167" s="68"/>
      <c r="F167" s="70"/>
      <c r="G167" s="1"/>
      <c r="H167" s="68"/>
      <c r="I167" s="70"/>
      <c r="J167" s="67"/>
      <c r="K167" s="68"/>
      <c r="L167" s="76"/>
      <c r="M167" s="85"/>
      <c r="N167" s="64"/>
      <c r="O167" s="65"/>
      <c r="P167" s="99"/>
      <c r="Q167" s="70"/>
      <c r="R167" s="61"/>
      <c r="S167" s="62"/>
      <c r="T167" s="63"/>
      <c r="U167" s="75"/>
      <c r="V167" s="74" t="s">
        <v>18370</v>
      </c>
      <c r="W167" s="62"/>
      <c r="X167" s="63"/>
      <c r="Y167" s="75"/>
      <c r="Z167" s="228">
        <f>ROUND((ROUND((ROUND((_15_同援日２．０*_15・通訳),0)*(1+_15・A深夜)),0)*(1+_15・区３)),0)+ROUND((ROUND((_15_同援日２．０＿１．０*_15・通訳),0)*(1+_15・区３)),0)</f>
        <v>923</v>
      </c>
      <c r="AA167" s="69"/>
    </row>
    <row r="168" spans="1:27" ht="16.5" customHeight="1" x14ac:dyDescent="0.3">
      <c r="A168" s="2">
        <v>15</v>
      </c>
      <c r="B168" s="2" t="s">
        <v>5016</v>
      </c>
      <c r="C168" s="60" t="s">
        <v>15292</v>
      </c>
      <c r="D168" s="1"/>
      <c r="E168" s="68"/>
      <c r="F168" s="70"/>
      <c r="G168" s="1"/>
      <c r="H168" s="68"/>
      <c r="I168" s="70"/>
      <c r="J168" s="67"/>
      <c r="K168" s="68"/>
      <c r="L168" s="76"/>
      <c r="M168" s="83" t="s">
        <v>5895</v>
      </c>
      <c r="N168" s="64" t="s">
        <v>1</v>
      </c>
      <c r="O168" s="65">
        <v>1</v>
      </c>
      <c r="P168" s="99"/>
      <c r="Q168" s="70"/>
      <c r="R168" s="66"/>
      <c r="S168" s="57"/>
      <c r="T168" s="58"/>
      <c r="U168" s="77"/>
      <c r="V168" s="94" t="s">
        <v>18368</v>
      </c>
      <c r="W168" s="68"/>
      <c r="X168" s="76"/>
      <c r="Y168" s="70"/>
      <c r="Z168" s="228">
        <f>ROUND((ROUND((ROUND((ROUND((_15_同援日２．０*_15・通訳),0)*_15・２人),0)*(1+_15・A深夜)),0)*(1+_15・区３)),0)+ROUND((ROUND((ROUND((_15_同援日２．０＿１．０*_15・通訳),0)*_15・２人),0)*(1+_15・区３)),0)</f>
        <v>923</v>
      </c>
      <c r="AA168" s="69"/>
    </row>
    <row r="169" spans="1:27" ht="16.5" customHeight="1" x14ac:dyDescent="0.3">
      <c r="A169" s="2">
        <v>15</v>
      </c>
      <c r="B169" s="2" t="s">
        <v>5017</v>
      </c>
      <c r="C169" s="60" t="s">
        <v>15291</v>
      </c>
      <c r="D169" s="1"/>
      <c r="E169" s="68"/>
      <c r="F169" s="70"/>
      <c r="G169" s="1"/>
      <c r="H169" s="68"/>
      <c r="I169" s="70"/>
      <c r="J169" s="67"/>
      <c r="K169" s="68"/>
      <c r="L169" s="76"/>
      <c r="M169" s="85"/>
      <c r="N169" s="64"/>
      <c r="O169" s="65"/>
      <c r="P169" s="99"/>
      <c r="Q169" s="70"/>
      <c r="R169" s="74" t="s">
        <v>18367</v>
      </c>
      <c r="S169" s="62"/>
      <c r="T169" s="63"/>
      <c r="U169" s="75"/>
      <c r="V169" s="67"/>
      <c r="W169" s="68" t="s">
        <v>1</v>
      </c>
      <c r="X169" s="76">
        <v>0.2</v>
      </c>
      <c r="Y169" s="70" t="s">
        <v>422</v>
      </c>
      <c r="Z169" s="228">
        <f>ROUND((ROUND((ROUND((ROUND((_15_同援日２．０*_15・通訳),0)*(1+_15・A深夜)),0)*(1+_15・盲ろう)),0)*(1+_15・区３)),0)+ROUND((ROUND((ROUND((_15_同援日２．０＿１．０*_15・通訳),0)*(1+_15・盲ろう)),0)*(1+_15・区３)),0)</f>
        <v>1153</v>
      </c>
      <c r="AA169" s="69"/>
    </row>
    <row r="170" spans="1:27" ht="16.5" customHeight="1" x14ac:dyDescent="0.3">
      <c r="A170" s="2">
        <v>15</v>
      </c>
      <c r="B170" s="2" t="s">
        <v>5018</v>
      </c>
      <c r="C170" s="60" t="s">
        <v>15290</v>
      </c>
      <c r="D170" s="1"/>
      <c r="E170" s="68"/>
      <c r="F170" s="70"/>
      <c r="G170" s="1"/>
      <c r="H170" s="68"/>
      <c r="I170" s="70"/>
      <c r="J170" s="67"/>
      <c r="K170" s="68"/>
      <c r="L170" s="76"/>
      <c r="M170" s="83" t="s">
        <v>5895</v>
      </c>
      <c r="N170" s="64" t="s">
        <v>1</v>
      </c>
      <c r="O170" s="65">
        <v>1</v>
      </c>
      <c r="P170" s="99"/>
      <c r="Q170" s="70"/>
      <c r="R170" s="106" t="s">
        <v>18366</v>
      </c>
      <c r="S170" s="57" t="s">
        <v>1</v>
      </c>
      <c r="T170" s="58">
        <v>0.25</v>
      </c>
      <c r="U170" s="77" t="s">
        <v>422</v>
      </c>
      <c r="V170" s="66"/>
      <c r="W170" s="57"/>
      <c r="X170" s="58"/>
      <c r="Y170" s="77"/>
      <c r="Z170" s="228">
        <f>ROUND((ROUND((ROUND((ROUND((ROUND((_15_同援日２．０*_15・通訳),0)*_15・２人),0)*(1+_15・A深夜)),0)*(1+_15・盲ろう)),0)*(1+_15・区３)),0)+ROUND((ROUND((ROUND((ROUND((_15_同援日２．０＿１．０*_15・通訳),0)*_15・２人),0)*(1+_15・盲ろう)),0)*(1+_15・区３)),0)</f>
        <v>1153</v>
      </c>
      <c r="AA170" s="69"/>
    </row>
    <row r="171" spans="1:27" ht="16.5" customHeight="1" x14ac:dyDescent="0.3">
      <c r="A171" s="2">
        <v>15</v>
      </c>
      <c r="B171" s="2" t="s">
        <v>5019</v>
      </c>
      <c r="C171" s="60" t="s">
        <v>15289</v>
      </c>
      <c r="D171" s="1"/>
      <c r="E171" s="68"/>
      <c r="F171" s="70"/>
      <c r="G171" s="1"/>
      <c r="H171" s="68"/>
      <c r="I171" s="70"/>
      <c r="J171" s="67"/>
      <c r="K171" s="68"/>
      <c r="L171" s="76"/>
      <c r="M171" s="85"/>
      <c r="N171" s="64"/>
      <c r="O171" s="65"/>
      <c r="P171" s="99"/>
      <c r="Q171" s="70"/>
      <c r="R171" s="61"/>
      <c r="S171" s="62"/>
      <c r="T171" s="63"/>
      <c r="U171" s="75"/>
      <c r="V171" s="74" t="s">
        <v>8089</v>
      </c>
      <c r="W171" s="62"/>
      <c r="X171" s="63"/>
      <c r="Y171" s="75"/>
      <c r="Z171" s="228">
        <f>ROUND((ROUND((ROUND((_15_同援日２．０*_15・通訳),0)*(1+_15・A深夜)),0)*(1+_15・区４)),0)+ROUND((ROUND((_15_同援日２．０＿１．０*_15・通訳),0)*(1+_15・区４)),0)</f>
        <v>1076</v>
      </c>
      <c r="AA171" s="69"/>
    </row>
    <row r="172" spans="1:27" ht="16.5" customHeight="1" x14ac:dyDescent="0.3">
      <c r="A172" s="2">
        <v>15</v>
      </c>
      <c r="B172" s="2" t="s">
        <v>5020</v>
      </c>
      <c r="C172" s="60" t="s">
        <v>15288</v>
      </c>
      <c r="D172" s="1"/>
      <c r="E172" s="68"/>
      <c r="F172" s="70"/>
      <c r="G172" s="1"/>
      <c r="H172" s="68"/>
      <c r="I172" s="70"/>
      <c r="J172" s="67"/>
      <c r="K172" s="68"/>
      <c r="L172" s="76"/>
      <c r="M172" s="83" t="s">
        <v>5895</v>
      </c>
      <c r="N172" s="64" t="s">
        <v>1</v>
      </c>
      <c r="O172" s="65">
        <v>1</v>
      </c>
      <c r="P172" s="99"/>
      <c r="Q172" s="70"/>
      <c r="R172" s="66"/>
      <c r="S172" s="57"/>
      <c r="T172" s="58"/>
      <c r="U172" s="77"/>
      <c r="V172" s="94" t="s">
        <v>18368</v>
      </c>
      <c r="W172" s="68"/>
      <c r="X172" s="76"/>
      <c r="Y172" s="70"/>
      <c r="Z172" s="228">
        <f>ROUND((ROUND((ROUND((ROUND((_15_同援日２．０*_15・通訳),0)*_15・２人),0)*(1+_15・A深夜)),0)*(1+_15・区４)),0)+ROUND((ROUND((ROUND((_15_同援日２．０＿１．０*_15・通訳),0)*_15・２人),0)*(1+_15・区４)),0)</f>
        <v>1076</v>
      </c>
      <c r="AA172" s="69"/>
    </row>
    <row r="173" spans="1:27" ht="16.5" customHeight="1" x14ac:dyDescent="0.3">
      <c r="A173" s="2">
        <v>15</v>
      </c>
      <c r="B173" s="2" t="s">
        <v>5021</v>
      </c>
      <c r="C173" s="60" t="s">
        <v>15287</v>
      </c>
      <c r="D173" s="1"/>
      <c r="E173" s="68"/>
      <c r="F173" s="70"/>
      <c r="G173" s="1"/>
      <c r="H173" s="68"/>
      <c r="I173" s="70"/>
      <c r="J173" s="67"/>
      <c r="K173" s="68"/>
      <c r="L173" s="76"/>
      <c r="M173" s="85"/>
      <c r="N173" s="64"/>
      <c r="O173" s="65"/>
      <c r="P173" s="99"/>
      <c r="Q173" s="70"/>
      <c r="R173" s="74" t="s">
        <v>18367</v>
      </c>
      <c r="S173" s="62"/>
      <c r="T173" s="63"/>
      <c r="U173" s="75"/>
      <c r="V173" s="67"/>
      <c r="W173" s="68" t="s">
        <v>1</v>
      </c>
      <c r="X173" s="76">
        <v>0.4</v>
      </c>
      <c r="Y173" s="70" t="s">
        <v>422</v>
      </c>
      <c r="Z173" s="228">
        <f>ROUND((ROUND((ROUND((ROUND((_15_同援日２．０*_15・通訳),0)*(1+_15・A深夜)),0)*(1+_15・盲ろう)),0)*(1+_15・区４)),0)+ROUND((ROUND((ROUND((_15_同援日２．０＿１．０*_15・通訳),0)*(1+_15・盲ろう)),0)*(1+_15・区４)),0)</f>
        <v>1345</v>
      </c>
      <c r="AA173" s="69"/>
    </row>
    <row r="174" spans="1:27" ht="16.5" customHeight="1" x14ac:dyDescent="0.3">
      <c r="A174" s="2">
        <v>15</v>
      </c>
      <c r="B174" s="2" t="s">
        <v>5022</v>
      </c>
      <c r="C174" s="60" t="s">
        <v>15286</v>
      </c>
      <c r="D174" s="81"/>
      <c r="E174" s="57"/>
      <c r="F174" s="77"/>
      <c r="G174" s="81"/>
      <c r="H174" s="57"/>
      <c r="I174" s="77"/>
      <c r="J174" s="67"/>
      <c r="K174" s="68"/>
      <c r="L174" s="76"/>
      <c r="M174" s="83" t="s">
        <v>5895</v>
      </c>
      <c r="N174" s="64" t="s">
        <v>1</v>
      </c>
      <c r="O174" s="65">
        <v>1</v>
      </c>
      <c r="P174" s="99"/>
      <c r="Q174" s="70"/>
      <c r="R174" s="106" t="s">
        <v>18366</v>
      </c>
      <c r="S174" s="57" t="s">
        <v>1</v>
      </c>
      <c r="T174" s="58">
        <v>0.25</v>
      </c>
      <c r="U174" s="77" t="s">
        <v>422</v>
      </c>
      <c r="V174" s="66"/>
      <c r="W174" s="57"/>
      <c r="X174" s="58"/>
      <c r="Y174" s="77"/>
      <c r="Z174" s="228">
        <f>ROUND((ROUND((ROUND((ROUND((ROUND((_15_同援日２．０*_15・通訳),0)*_15・２人),0)*(1+_15・A深夜)),0)*(1+_15・盲ろう)),0)*(1+_15・区４)),0)+ROUND((ROUND((ROUND((ROUND((_15_同援日２．０＿１．０*_15・通訳),0)*_15・２人),0)*(1+_15・盲ろう)),0)*(1+_15・区４)),0)</f>
        <v>1345</v>
      </c>
      <c r="AA174" s="69"/>
    </row>
    <row r="175" spans="1:27" ht="16.5" customHeight="1" x14ac:dyDescent="0.3">
      <c r="A175" s="2">
        <v>15</v>
      </c>
      <c r="B175" s="2" t="s">
        <v>5023</v>
      </c>
      <c r="C175" s="60" t="s">
        <v>15285</v>
      </c>
      <c r="D175" s="233" t="s">
        <v>18373</v>
      </c>
      <c r="E175" s="235"/>
      <c r="F175" s="75"/>
      <c r="G175" s="233" t="s">
        <v>18372</v>
      </c>
      <c r="H175" s="62"/>
      <c r="I175" s="75"/>
      <c r="J175" s="67"/>
      <c r="K175" s="68"/>
      <c r="L175" s="76"/>
      <c r="M175" s="85"/>
      <c r="N175" s="64"/>
      <c r="O175" s="65"/>
      <c r="P175" s="99"/>
      <c r="Q175" s="70"/>
      <c r="R175" s="61"/>
      <c r="S175" s="62"/>
      <c r="T175" s="63"/>
      <c r="U175" s="75"/>
      <c r="V175" s="61"/>
      <c r="W175" s="62"/>
      <c r="X175" s="63"/>
      <c r="Y175" s="75"/>
      <c r="Z175" s="228">
        <f>ROUND((ROUND((_15_同援日２．５*_15・通訳),0)*(1+_15・A深夜)),0)+ROUND((_15_同援日２．５＿０．５*_15・通訳),0)</f>
        <v>797</v>
      </c>
      <c r="AA175" s="69"/>
    </row>
    <row r="176" spans="1:27" ht="16.5" customHeight="1" x14ac:dyDescent="0.3">
      <c r="A176" s="2">
        <v>15</v>
      </c>
      <c r="B176" s="2" t="s">
        <v>5024</v>
      </c>
      <c r="C176" s="60" t="s">
        <v>15284</v>
      </c>
      <c r="D176" s="1" t="s">
        <v>18371</v>
      </c>
      <c r="E176" s="68"/>
      <c r="F176" s="70"/>
      <c r="G176" s="1" t="s">
        <v>7928</v>
      </c>
      <c r="H176" s="68"/>
      <c r="I176" s="70"/>
      <c r="J176" s="67"/>
      <c r="K176" s="68"/>
      <c r="L176" s="76"/>
      <c r="M176" s="83" t="s">
        <v>5895</v>
      </c>
      <c r="N176" s="64" t="s">
        <v>1</v>
      </c>
      <c r="O176" s="65">
        <v>1</v>
      </c>
      <c r="P176" s="99"/>
      <c r="Q176" s="70"/>
      <c r="R176" s="66"/>
      <c r="S176" s="57"/>
      <c r="T176" s="58"/>
      <c r="U176" s="77"/>
      <c r="V176" s="67"/>
      <c r="W176" s="68"/>
      <c r="X176" s="76"/>
      <c r="Y176" s="70"/>
      <c r="Z176" s="228">
        <f>ROUND((ROUND((ROUND((_15_同援日２．５*_15・通訳),0)*_15・２人),0)*(1+_15・A深夜)),0)+ROUND((ROUND((_15_同援日２．５＿０．５*_15・通訳),0)*_15・２人),0)</f>
        <v>797</v>
      </c>
      <c r="AA176" s="69"/>
    </row>
    <row r="177" spans="1:27" ht="16.5" customHeight="1" x14ac:dyDescent="0.3">
      <c r="A177" s="2">
        <v>15</v>
      </c>
      <c r="B177" s="2" t="s">
        <v>5025</v>
      </c>
      <c r="C177" s="60" t="s">
        <v>15283</v>
      </c>
      <c r="D177" s="1" t="s">
        <v>8499</v>
      </c>
      <c r="E177" s="68"/>
      <c r="F177" s="70"/>
      <c r="G177" s="1"/>
      <c r="H177" s="68"/>
      <c r="I177" s="70"/>
      <c r="J177" s="67"/>
      <c r="K177" s="68"/>
      <c r="L177" s="76"/>
      <c r="M177" s="85"/>
      <c r="N177" s="64"/>
      <c r="O177" s="65"/>
      <c r="P177" s="99"/>
      <c r="Q177" s="70"/>
      <c r="R177" s="74" t="s">
        <v>18367</v>
      </c>
      <c r="S177" s="62"/>
      <c r="T177" s="63"/>
      <c r="U177" s="75"/>
      <c r="V177" s="67"/>
      <c r="W177" s="68"/>
      <c r="X177" s="76"/>
      <c r="Y177" s="70"/>
      <c r="Z177" s="228">
        <f>ROUND((ROUND((ROUND((_15_同援日２．５*_15・通訳),0)*(1+_15・A深夜)),0)*(1+_15・盲ろう)),0)+ROUND((ROUND((_15_同援日２．５＿０．５*_15・通訳),0)*(1+_15・盲ろう)),0)</f>
        <v>996</v>
      </c>
      <c r="AA177" s="69"/>
    </row>
    <row r="178" spans="1:27" ht="16.5" customHeight="1" x14ac:dyDescent="0.3">
      <c r="A178" s="2">
        <v>15</v>
      </c>
      <c r="B178" s="2" t="s">
        <v>5026</v>
      </c>
      <c r="C178" s="60" t="s">
        <v>15282</v>
      </c>
      <c r="D178" s="1"/>
      <c r="E178" s="227">
        <v>548</v>
      </c>
      <c r="F178" s="70" t="s">
        <v>0</v>
      </c>
      <c r="G178" s="1"/>
      <c r="H178" s="119">
        <v>63</v>
      </c>
      <c r="I178" s="70" t="s">
        <v>0</v>
      </c>
      <c r="J178" s="67"/>
      <c r="K178" s="68"/>
      <c r="L178" s="76"/>
      <c r="M178" s="83" t="s">
        <v>5895</v>
      </c>
      <c r="N178" s="64" t="s">
        <v>1</v>
      </c>
      <c r="O178" s="65">
        <v>1</v>
      </c>
      <c r="P178" s="99"/>
      <c r="Q178" s="70"/>
      <c r="R178" s="106" t="s">
        <v>18366</v>
      </c>
      <c r="S178" s="57" t="s">
        <v>1</v>
      </c>
      <c r="T178" s="58">
        <v>0.25</v>
      </c>
      <c r="U178" s="77" t="s">
        <v>422</v>
      </c>
      <c r="V178" s="66"/>
      <c r="W178" s="57"/>
      <c r="X178" s="58"/>
      <c r="Y178" s="77"/>
      <c r="Z178" s="228">
        <f>ROUND((ROUND((ROUND((ROUND((_15_同援日２．５*_15・通訳),0)*_15・２人),0)*(1+_15・A深夜)),0)*(1+_15・盲ろう)),0)+ROUND((ROUND((ROUND((_15_同援日２．５＿０．５*_15・通訳),0)*_15・２人),0)*(1+_15・盲ろう)),0)</f>
        <v>996</v>
      </c>
      <c r="AA178" s="69"/>
    </row>
    <row r="179" spans="1:27" ht="16.5" customHeight="1" x14ac:dyDescent="0.3">
      <c r="A179" s="2">
        <v>15</v>
      </c>
      <c r="B179" s="2" t="s">
        <v>5027</v>
      </c>
      <c r="C179" s="60" t="s">
        <v>15281</v>
      </c>
      <c r="D179" s="1"/>
      <c r="E179" s="68"/>
      <c r="F179" s="70"/>
      <c r="G179" s="1"/>
      <c r="H179" s="68"/>
      <c r="I179" s="70"/>
      <c r="J179" s="67"/>
      <c r="K179" s="68"/>
      <c r="L179" s="76"/>
      <c r="M179" s="85"/>
      <c r="N179" s="64"/>
      <c r="O179" s="65"/>
      <c r="P179" s="99"/>
      <c r="Q179" s="70"/>
      <c r="R179" s="61"/>
      <c r="S179" s="62"/>
      <c r="T179" s="63"/>
      <c r="U179" s="75"/>
      <c r="V179" s="74" t="s">
        <v>18370</v>
      </c>
      <c r="W179" s="62"/>
      <c r="X179" s="63"/>
      <c r="Y179" s="75"/>
      <c r="Z179" s="228">
        <f>ROUND((ROUND((ROUND((_15_同援日２．５*_15・通訳),0)*(1+_15・A深夜)),0)*(1+_15・区３)),0)+ROUND((ROUND((_15_同援日２．５＿０．５*_15・通訳),0)*(1+_15・区３)),0)</f>
        <v>956</v>
      </c>
      <c r="AA179" s="69"/>
    </row>
    <row r="180" spans="1:27" ht="16.5" customHeight="1" x14ac:dyDescent="0.3">
      <c r="A180" s="2">
        <v>15</v>
      </c>
      <c r="B180" s="2" t="s">
        <v>5028</v>
      </c>
      <c r="C180" s="60" t="s">
        <v>15280</v>
      </c>
      <c r="D180" s="1"/>
      <c r="E180" s="68"/>
      <c r="F180" s="70"/>
      <c r="G180" s="1"/>
      <c r="H180" s="68"/>
      <c r="I180" s="70"/>
      <c r="J180" s="67"/>
      <c r="K180" s="68"/>
      <c r="L180" s="76"/>
      <c r="M180" s="83" t="s">
        <v>5895</v>
      </c>
      <c r="N180" s="64" t="s">
        <v>1</v>
      </c>
      <c r="O180" s="65">
        <v>1</v>
      </c>
      <c r="P180" s="99"/>
      <c r="Q180" s="70"/>
      <c r="R180" s="66"/>
      <c r="S180" s="57"/>
      <c r="T180" s="58"/>
      <c r="U180" s="77"/>
      <c r="V180" s="94" t="s">
        <v>18368</v>
      </c>
      <c r="W180" s="68"/>
      <c r="X180" s="76"/>
      <c r="Y180" s="70"/>
      <c r="Z180" s="228">
        <f>ROUND((ROUND((ROUND((ROUND((_15_同援日２．５*_15・通訳),0)*_15・２人),0)*(1+_15・A深夜)),0)*(1+_15・区３)),0)+ROUND((ROUND((ROUND((_15_同援日２．５＿０．５*_15・通訳),0)*_15・２人),0)*(1+_15・区３)),0)</f>
        <v>956</v>
      </c>
      <c r="AA180" s="69"/>
    </row>
    <row r="181" spans="1:27" ht="16.5" customHeight="1" x14ac:dyDescent="0.3">
      <c r="A181" s="2">
        <v>15</v>
      </c>
      <c r="B181" s="2" t="s">
        <v>5029</v>
      </c>
      <c r="C181" s="60" t="s">
        <v>15279</v>
      </c>
      <c r="D181" s="1"/>
      <c r="E181" s="68"/>
      <c r="F181" s="70"/>
      <c r="G181" s="1"/>
      <c r="H181" s="68"/>
      <c r="I181" s="70"/>
      <c r="J181" s="67"/>
      <c r="K181" s="68"/>
      <c r="L181" s="76"/>
      <c r="M181" s="85"/>
      <c r="N181" s="64"/>
      <c r="O181" s="65"/>
      <c r="P181" s="99"/>
      <c r="Q181" s="70"/>
      <c r="R181" s="74" t="s">
        <v>18367</v>
      </c>
      <c r="S181" s="62"/>
      <c r="T181" s="63"/>
      <c r="U181" s="75"/>
      <c r="V181" s="67"/>
      <c r="W181" s="68" t="s">
        <v>1</v>
      </c>
      <c r="X181" s="76">
        <v>0.2</v>
      </c>
      <c r="Y181" s="70" t="s">
        <v>422</v>
      </c>
      <c r="Z181" s="228">
        <f>ROUND((ROUND((ROUND((ROUND((_15_同援日２．５*_15・通訳),0)*(1+_15・A深夜)),0)*(1+_15・盲ろう)),0)*(1+_15・区３)),0)+ROUND((ROUND((ROUND((_15_同援日２．５＿０．５*_15・通訳),0)*(1+_15・盲ろう)),0)*(1+_15・区３)),0)</f>
        <v>1195</v>
      </c>
      <c r="AA181" s="69"/>
    </row>
    <row r="182" spans="1:27" ht="16.5" customHeight="1" x14ac:dyDescent="0.3">
      <c r="A182" s="2">
        <v>15</v>
      </c>
      <c r="B182" s="2" t="s">
        <v>5030</v>
      </c>
      <c r="C182" s="60" t="s">
        <v>15278</v>
      </c>
      <c r="D182" s="1"/>
      <c r="E182" s="68"/>
      <c r="F182" s="70"/>
      <c r="G182" s="1"/>
      <c r="H182" s="68"/>
      <c r="I182" s="70"/>
      <c r="J182" s="67"/>
      <c r="K182" s="68"/>
      <c r="L182" s="76"/>
      <c r="M182" s="83" t="s">
        <v>5895</v>
      </c>
      <c r="N182" s="64" t="s">
        <v>1</v>
      </c>
      <c r="O182" s="65">
        <v>1</v>
      </c>
      <c r="P182" s="99"/>
      <c r="Q182" s="70"/>
      <c r="R182" s="106" t="s">
        <v>18366</v>
      </c>
      <c r="S182" s="57" t="s">
        <v>1</v>
      </c>
      <c r="T182" s="58">
        <v>0.25</v>
      </c>
      <c r="U182" s="77" t="s">
        <v>422</v>
      </c>
      <c r="V182" s="66"/>
      <c r="W182" s="57"/>
      <c r="X182" s="58"/>
      <c r="Y182" s="77"/>
      <c r="Z182" s="228">
        <f>ROUND((ROUND((ROUND((ROUND((ROUND((_15_同援日２．５*_15・通訳),0)*_15・２人),0)*(1+_15・A深夜)),0)*(1+_15・盲ろう)),0)*(1+_15・区３)),0)+ROUND((ROUND((ROUND((ROUND((_15_同援日２．５＿０．５*_15・通訳),0)*_15・２人),0)*(1+_15・盲ろう)),0)*(1+_15・区３)),0)</f>
        <v>1195</v>
      </c>
      <c r="AA182" s="69"/>
    </row>
    <row r="183" spans="1:27" ht="16.5" customHeight="1" x14ac:dyDescent="0.3">
      <c r="A183" s="2">
        <v>15</v>
      </c>
      <c r="B183" s="2" t="s">
        <v>5031</v>
      </c>
      <c r="C183" s="60" t="s">
        <v>15277</v>
      </c>
      <c r="D183" s="1"/>
      <c r="E183" s="68"/>
      <c r="F183" s="70"/>
      <c r="G183" s="1"/>
      <c r="H183" s="68"/>
      <c r="I183" s="70"/>
      <c r="J183" s="67"/>
      <c r="K183" s="68"/>
      <c r="L183" s="76"/>
      <c r="M183" s="85"/>
      <c r="N183" s="64"/>
      <c r="O183" s="65"/>
      <c r="P183" s="99"/>
      <c r="Q183" s="70"/>
      <c r="R183" s="61"/>
      <c r="S183" s="62"/>
      <c r="T183" s="63"/>
      <c r="U183" s="75"/>
      <c r="V183" s="74" t="s">
        <v>18369</v>
      </c>
      <c r="W183" s="62"/>
      <c r="X183" s="63"/>
      <c r="Y183" s="75"/>
      <c r="Z183" s="228">
        <f>ROUND((ROUND((ROUND((_15_同援日２．５*_15・通訳),0)*(1+_15・A深夜)),0)*(1+_15・区４)),0)+ROUND((ROUND((_15_同援日２．５＿０．５*_15・通訳),0)*(1+_15・区４)),0)</f>
        <v>1116</v>
      </c>
      <c r="AA183" s="69"/>
    </row>
    <row r="184" spans="1:27" ht="16.5" customHeight="1" x14ac:dyDescent="0.3">
      <c r="A184" s="2">
        <v>15</v>
      </c>
      <c r="B184" s="2" t="s">
        <v>5032</v>
      </c>
      <c r="C184" s="60" t="s">
        <v>15276</v>
      </c>
      <c r="D184" s="1"/>
      <c r="E184" s="68"/>
      <c r="F184" s="70"/>
      <c r="G184" s="1"/>
      <c r="H184" s="68"/>
      <c r="I184" s="70"/>
      <c r="J184" s="67"/>
      <c r="K184" s="68"/>
      <c r="L184" s="76"/>
      <c r="M184" s="83" t="s">
        <v>5895</v>
      </c>
      <c r="N184" s="64" t="s">
        <v>1</v>
      </c>
      <c r="O184" s="65">
        <v>1</v>
      </c>
      <c r="P184" s="99"/>
      <c r="Q184" s="70"/>
      <c r="R184" s="66"/>
      <c r="S184" s="57"/>
      <c r="T184" s="58"/>
      <c r="U184" s="77"/>
      <c r="V184" s="94" t="s">
        <v>18368</v>
      </c>
      <c r="W184" s="68"/>
      <c r="X184" s="76"/>
      <c r="Y184" s="70"/>
      <c r="Z184" s="228">
        <f>ROUND((ROUND((ROUND((ROUND((_15_同援日２．５*_15・通訳),0)*_15・２人),0)*(1+_15・A深夜)),0)*(1+_15・区４)),0)+ROUND((ROUND((ROUND((_15_同援日２．５＿０．５*_15・通訳),0)*_15・２人),0)*(1+_15・区４)),0)</f>
        <v>1116</v>
      </c>
      <c r="AA184" s="69"/>
    </row>
    <row r="185" spans="1:27" ht="16.5" customHeight="1" x14ac:dyDescent="0.3">
      <c r="A185" s="2">
        <v>15</v>
      </c>
      <c r="B185" s="2" t="s">
        <v>5033</v>
      </c>
      <c r="C185" s="60" t="s">
        <v>15275</v>
      </c>
      <c r="D185" s="1"/>
      <c r="E185" s="68"/>
      <c r="F185" s="70"/>
      <c r="G185" s="1"/>
      <c r="H185" s="68"/>
      <c r="I185" s="70"/>
      <c r="J185" s="67"/>
      <c r="K185" s="68"/>
      <c r="L185" s="76"/>
      <c r="M185" s="85"/>
      <c r="N185" s="64"/>
      <c r="O185" s="65"/>
      <c r="P185" s="99"/>
      <c r="Q185" s="70"/>
      <c r="R185" s="74" t="s">
        <v>18367</v>
      </c>
      <c r="S185" s="62"/>
      <c r="T185" s="63"/>
      <c r="U185" s="75"/>
      <c r="V185" s="67"/>
      <c r="W185" s="68" t="s">
        <v>1</v>
      </c>
      <c r="X185" s="76">
        <v>0.4</v>
      </c>
      <c r="Y185" s="70" t="s">
        <v>422</v>
      </c>
      <c r="Z185" s="228">
        <f>ROUND((ROUND((ROUND((ROUND((_15_同援日２．５*_15・通訳),0)*(1+_15・A深夜)),0)*(1+_15・盲ろう)),0)*(1+_15・区４)),0)+ROUND((ROUND((ROUND((_15_同援日２．５＿０．５*_15・通訳),0)*(1+_15・盲ろう)),0)*(1+_15・区４)),0)</f>
        <v>1394</v>
      </c>
      <c r="AA185" s="69"/>
    </row>
    <row r="186" spans="1:27" ht="16.5" customHeight="1" x14ac:dyDescent="0.3">
      <c r="A186" s="2">
        <v>15</v>
      </c>
      <c r="B186" s="2" t="s">
        <v>5034</v>
      </c>
      <c r="C186" s="60" t="s">
        <v>15274</v>
      </c>
      <c r="D186" s="81"/>
      <c r="E186" s="57"/>
      <c r="F186" s="77"/>
      <c r="G186" s="81"/>
      <c r="H186" s="57"/>
      <c r="I186" s="77"/>
      <c r="J186" s="66"/>
      <c r="K186" s="57"/>
      <c r="L186" s="58"/>
      <c r="M186" s="83" t="s">
        <v>5895</v>
      </c>
      <c r="N186" s="64" t="s">
        <v>1</v>
      </c>
      <c r="O186" s="65">
        <v>1</v>
      </c>
      <c r="P186" s="101"/>
      <c r="Q186" s="77"/>
      <c r="R186" s="106" t="s">
        <v>18366</v>
      </c>
      <c r="S186" s="57" t="s">
        <v>1</v>
      </c>
      <c r="T186" s="58">
        <v>0.25</v>
      </c>
      <c r="U186" s="77" t="s">
        <v>422</v>
      </c>
      <c r="V186" s="66"/>
      <c r="W186" s="57"/>
      <c r="X186" s="58"/>
      <c r="Y186" s="77"/>
      <c r="Z186" s="228">
        <f>ROUND((ROUND((ROUND((ROUND((ROUND((_15_同援日２．５*_15・通訳),0)*_15・２人),0)*(1+_15・A深夜)),0)*(1+_15・盲ろう)),0)*(1+_15・区４)),0)+ROUND((ROUND((ROUND((ROUND((_15_同援日２．５＿０．５*_15・通訳),0)*_15・２人),0)*(1+_15・盲ろう)),0)*(1+_15・区４)),0)</f>
        <v>1394</v>
      </c>
      <c r="AA186" s="71"/>
    </row>
    <row r="187" spans="1:27" ht="16.5" customHeight="1" x14ac:dyDescent="0.3"/>
    <row r="188" spans="1:27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4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14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0000"/>
    <pageSetUpPr fitToPage="1"/>
  </sheetPr>
  <dimension ref="A1:AF265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7.1015625" style="45" customWidth="1"/>
    <col min="4" max="4" width="3.62890625" style="45" customWidth="1"/>
    <col min="5" max="5" width="4.1015625" style="46" bestFit="1" customWidth="1"/>
    <col min="6" max="6" width="4.734375" style="46" bestFit="1" customWidth="1"/>
    <col min="7" max="7" width="3.62890625" style="45" customWidth="1"/>
    <col min="8" max="8" width="4.1015625" style="46" bestFit="1" customWidth="1"/>
    <col min="9" max="9" width="4.734375" style="46" bestFit="1" customWidth="1"/>
    <col min="10" max="10" width="3.62890625" style="45" customWidth="1"/>
    <col min="11" max="11" width="4.1015625" style="46" bestFit="1" customWidth="1"/>
    <col min="12" max="12" width="4.734375" style="46" bestFit="1" customWidth="1"/>
    <col min="13" max="13" width="15.62890625" style="46" customWidth="1"/>
    <col min="14" max="14" width="3.1015625" style="46" bestFit="1" customWidth="1"/>
    <col min="15" max="15" width="4.1015625" style="47" bestFit="1" customWidth="1"/>
    <col min="16" max="16" width="25.47265625" style="46" customWidth="1"/>
    <col min="17" max="17" width="3.1015625" style="46" bestFit="1" customWidth="1"/>
    <col min="18" max="18" width="5" style="47" bestFit="1" customWidth="1"/>
    <col min="19" max="19" width="4.1015625" style="47" bestFit="1" customWidth="1"/>
    <col min="20" max="20" width="4.734375" style="46" bestFit="1" customWidth="1"/>
    <col min="21" max="21" width="4.1015625" style="47" bestFit="1" customWidth="1"/>
    <col min="22" max="22" width="4.734375" style="46" bestFit="1" customWidth="1"/>
    <col min="23" max="23" width="20.62890625" style="46" customWidth="1"/>
    <col min="24" max="24" width="3.1015625" style="46" bestFit="1" customWidth="1"/>
    <col min="25" max="25" width="4.1015625" style="47" bestFit="1" customWidth="1"/>
    <col min="26" max="26" width="4.734375" style="46" bestFit="1" customWidth="1"/>
    <col min="27" max="27" width="8.62890625" style="46" customWidth="1"/>
    <col min="28" max="28" width="3.1015625" style="46" bestFit="1" customWidth="1"/>
    <col min="29" max="29" width="4.1015625" style="47" bestFit="1" customWidth="1"/>
    <col min="30" max="30" width="4.734375" style="46" bestFit="1" customWidth="1"/>
    <col min="31" max="31" width="6.3671875" style="84" bestFit="1" customWidth="1"/>
    <col min="32" max="32" width="7.734375" style="48" bestFit="1" customWidth="1"/>
    <col min="33" max="16384" width="9" style="49"/>
  </cols>
  <sheetData>
    <row r="1" spans="1:32" ht="16.5" customHeight="1" x14ac:dyDescent="0.3"/>
    <row r="2" spans="1:32" ht="16.5" customHeight="1" x14ac:dyDescent="0.3"/>
    <row r="3" spans="1:32" ht="16.5" customHeight="1" x14ac:dyDescent="0.3"/>
    <row r="4" spans="1:32" ht="16.5" customHeight="1" x14ac:dyDescent="0.3">
      <c r="B4" s="229" t="s">
        <v>16296</v>
      </c>
      <c r="C4" s="131"/>
      <c r="D4" s="230"/>
      <c r="E4" s="231"/>
      <c r="F4" s="231"/>
      <c r="G4" s="131"/>
      <c r="H4" s="231"/>
      <c r="I4" s="231"/>
      <c r="J4" s="131"/>
      <c r="K4" s="231"/>
      <c r="L4" s="231"/>
      <c r="M4" s="231"/>
    </row>
    <row r="5" spans="1:3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79"/>
      <c r="H5" s="53"/>
      <c r="I5" s="53"/>
      <c r="J5" s="79"/>
      <c r="K5" s="53"/>
      <c r="L5" s="53"/>
      <c r="M5" s="53"/>
      <c r="N5" s="53"/>
      <c r="O5" s="54"/>
      <c r="P5" s="53"/>
      <c r="Q5" s="53"/>
      <c r="R5" s="54"/>
      <c r="S5" s="54"/>
      <c r="T5" s="53"/>
      <c r="U5" s="54"/>
      <c r="V5" s="53"/>
      <c r="W5" s="53"/>
      <c r="X5" s="53"/>
      <c r="Y5" s="54"/>
      <c r="Z5" s="53"/>
      <c r="AA5" s="53"/>
      <c r="AB5" s="53"/>
      <c r="AC5" s="54"/>
      <c r="AD5" s="53"/>
      <c r="AE5" s="55" t="s">
        <v>5869</v>
      </c>
      <c r="AF5" s="55" t="s">
        <v>5871</v>
      </c>
    </row>
    <row r="6" spans="1:3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80" t="s">
        <v>5872</v>
      </c>
      <c r="H6" s="86"/>
      <c r="I6" s="87"/>
      <c r="J6" s="80" t="s">
        <v>5873</v>
      </c>
      <c r="K6" s="86"/>
      <c r="L6" s="87"/>
      <c r="M6" s="57"/>
      <c r="N6" s="57"/>
      <c r="O6" s="58"/>
      <c r="P6" s="57"/>
      <c r="Q6" s="57"/>
      <c r="R6" s="58"/>
      <c r="S6" s="58"/>
      <c r="T6" s="57"/>
      <c r="U6" s="58"/>
      <c r="V6" s="57"/>
      <c r="W6" s="57"/>
      <c r="X6" s="57"/>
      <c r="Y6" s="58"/>
      <c r="Z6" s="57"/>
      <c r="AA6" s="57"/>
      <c r="AB6" s="57"/>
      <c r="AC6" s="58"/>
      <c r="AD6" s="57"/>
      <c r="AE6" s="59" t="s">
        <v>5870</v>
      </c>
      <c r="AF6" s="59" t="s">
        <v>0</v>
      </c>
    </row>
    <row r="7" spans="1:32" ht="16.5" customHeight="1" x14ac:dyDescent="0.3">
      <c r="A7" s="2">
        <v>15</v>
      </c>
      <c r="B7" s="2" t="s">
        <v>5035</v>
      </c>
      <c r="C7" s="60" t="s">
        <v>15704</v>
      </c>
      <c r="D7" s="233" t="s">
        <v>18393</v>
      </c>
      <c r="E7" s="235"/>
      <c r="F7" s="75"/>
      <c r="G7" s="233" t="s">
        <v>18387</v>
      </c>
      <c r="H7" s="235"/>
      <c r="I7" s="75"/>
      <c r="J7" s="74" t="s">
        <v>6333</v>
      </c>
      <c r="K7" s="62"/>
      <c r="L7" s="75"/>
      <c r="M7" s="61"/>
      <c r="N7" s="62"/>
      <c r="O7" s="63"/>
      <c r="P7" s="83"/>
      <c r="Q7" s="64"/>
      <c r="R7" s="65"/>
      <c r="S7" s="98"/>
      <c r="T7" s="75"/>
      <c r="U7" s="98"/>
      <c r="V7" s="75"/>
      <c r="W7" s="74"/>
      <c r="X7" s="62"/>
      <c r="Y7" s="63"/>
      <c r="Z7" s="75"/>
      <c r="AA7" s="74"/>
      <c r="AB7" s="62"/>
      <c r="AC7" s="63"/>
      <c r="AD7" s="75"/>
      <c r="AE7" s="228">
        <f>ROUND((_15_同援日０．５*_15・通訳),0)+ROUND((ROUND((_15_同援日０．５＿０．５*_15・通訳),0)*(1+_15・B夜間)),0)+ROUND((ROUND((_15_同援日０．５＿０．５＿０．５*_15・通訳),0)*(1+_15・C深夜)),0)</f>
        <v>461</v>
      </c>
      <c r="AF7" s="52" t="s">
        <v>5863</v>
      </c>
    </row>
    <row r="8" spans="1:32" ht="16.5" customHeight="1" x14ac:dyDescent="0.3">
      <c r="A8" s="2">
        <v>15</v>
      </c>
      <c r="B8" s="2" t="s">
        <v>5036</v>
      </c>
      <c r="C8" s="60" t="s">
        <v>15703</v>
      </c>
      <c r="D8" s="1" t="s">
        <v>7928</v>
      </c>
      <c r="E8" s="68"/>
      <c r="F8" s="70"/>
      <c r="G8" s="1" t="s">
        <v>7928</v>
      </c>
      <c r="H8" s="68"/>
      <c r="I8" s="70"/>
      <c r="J8" s="1" t="s">
        <v>7928</v>
      </c>
      <c r="K8" s="68"/>
      <c r="L8" s="70"/>
      <c r="M8" s="67"/>
      <c r="N8" s="68"/>
      <c r="O8" s="76"/>
      <c r="P8" s="83" t="s">
        <v>5895</v>
      </c>
      <c r="Q8" s="64" t="s">
        <v>1</v>
      </c>
      <c r="R8" s="65">
        <v>1</v>
      </c>
      <c r="S8" s="99"/>
      <c r="T8" s="70"/>
      <c r="U8" s="99"/>
      <c r="V8" s="70"/>
      <c r="W8" s="81"/>
      <c r="X8" s="57"/>
      <c r="Y8" s="58"/>
      <c r="Z8" s="77"/>
      <c r="AA8" s="1"/>
      <c r="AB8" s="68"/>
      <c r="AC8" s="76"/>
      <c r="AD8" s="70"/>
      <c r="AE8" s="228">
        <f>ROUND((ROUND((_15_同援日０．５*_15・通訳),0)*_15・２人),0)+ROUND((ROUND((ROUND((_15_同援日０．５＿０．５*_15・通訳),0)*_15・２人),0)*(1+_15・B夜間)),0)+ROUND((ROUND((ROUND((_15_同援日０．５＿０．５＿０．５*_15・通訳),0)*_15・２人),0)*(1+_15・C深夜)),0)</f>
        <v>461</v>
      </c>
      <c r="AF8" s="69"/>
    </row>
    <row r="9" spans="1:32" ht="16.5" customHeight="1" x14ac:dyDescent="0.3">
      <c r="A9" s="2">
        <v>15</v>
      </c>
      <c r="B9" s="2" t="s">
        <v>5037</v>
      </c>
      <c r="C9" s="60" t="s">
        <v>15702</v>
      </c>
      <c r="D9" s="1"/>
      <c r="E9" s="68"/>
      <c r="F9" s="70"/>
      <c r="G9" s="1"/>
      <c r="H9" s="68"/>
      <c r="I9" s="70"/>
      <c r="J9" s="1"/>
      <c r="K9" s="68"/>
      <c r="L9" s="70"/>
      <c r="M9" s="67"/>
      <c r="N9" s="68"/>
      <c r="O9" s="76"/>
      <c r="P9" s="83"/>
      <c r="Q9" s="64"/>
      <c r="R9" s="65"/>
      <c r="S9" s="99"/>
      <c r="T9" s="70"/>
      <c r="U9" s="99"/>
      <c r="V9" s="70"/>
      <c r="W9" s="74" t="s">
        <v>8085</v>
      </c>
      <c r="X9" s="62"/>
      <c r="Y9" s="63"/>
      <c r="Z9" s="75"/>
      <c r="AA9" s="1"/>
      <c r="AB9" s="68"/>
      <c r="AC9" s="76"/>
      <c r="AD9" s="70"/>
      <c r="AE9" s="228">
        <f>ROUND((ROUND((_15_同援日０．５*_15・通訳),0)*(1+_15・盲ろう)),0)+ROUND((ROUND((ROUND((_15_同援日０．５＿０．５*_15・通訳),0)*(1+_15・B夜間)),0)*(1+_15・盲ろう)),0)+ROUND((ROUND((ROUND((_15_同援日０．５＿０．５＿０．５*_15・通訳),0)*(1+_15・C深夜)),0)*(1+_15・盲ろう)),0)</f>
        <v>577</v>
      </c>
      <c r="AF9" s="69"/>
    </row>
    <row r="10" spans="1:32" ht="16.5" customHeight="1" x14ac:dyDescent="0.3">
      <c r="A10" s="2">
        <v>15</v>
      </c>
      <c r="B10" s="2" t="s">
        <v>5038</v>
      </c>
      <c r="C10" s="60" t="s">
        <v>15701</v>
      </c>
      <c r="D10" s="1"/>
      <c r="E10" s="119">
        <v>184</v>
      </c>
      <c r="F10" s="70" t="s">
        <v>0</v>
      </c>
      <c r="G10" s="1"/>
      <c r="H10" s="227">
        <v>108</v>
      </c>
      <c r="I10" s="70" t="s">
        <v>0</v>
      </c>
      <c r="J10" s="1"/>
      <c r="K10" s="119">
        <v>129</v>
      </c>
      <c r="L10" s="70" t="s">
        <v>0</v>
      </c>
      <c r="M10" s="67"/>
      <c r="N10" s="68"/>
      <c r="O10" s="76"/>
      <c r="P10" s="83" t="s">
        <v>5895</v>
      </c>
      <c r="Q10" s="64" t="s">
        <v>1</v>
      </c>
      <c r="R10" s="65">
        <v>1</v>
      </c>
      <c r="S10" s="99"/>
      <c r="T10" s="70"/>
      <c r="U10" s="99"/>
      <c r="V10" s="70"/>
      <c r="W10" s="81" t="s">
        <v>8083</v>
      </c>
      <c r="X10" s="57" t="s">
        <v>1</v>
      </c>
      <c r="Y10" s="58">
        <v>0.25</v>
      </c>
      <c r="Z10" s="77" t="s">
        <v>422</v>
      </c>
      <c r="AA10" s="81"/>
      <c r="AB10" s="57"/>
      <c r="AC10" s="58"/>
      <c r="AD10" s="77"/>
      <c r="AE10" s="228">
        <f>ROUND((ROUND((ROUND((_15_同援日０．５*_15・通訳),0)*_15・２人),0)*(1+_15・盲ろう)),0)+ROUND((ROUND((ROUND((ROUND((_15_同援日０．５＿０．５*_15・通訳),0)*_15・２人),0)*(1+_15・B夜間)),0)*(1+_15・盲ろう)),0)+ROUND((ROUND((ROUND((ROUND((_15_同援日０．５＿０．５＿０．５*_15・通訳),0)*_15・２人),0)*(1+_15・C深夜)),0)*(1+_15・盲ろう)),0)</f>
        <v>577</v>
      </c>
      <c r="AF10" s="69"/>
    </row>
    <row r="11" spans="1:32" ht="16.5" customHeight="1" x14ac:dyDescent="0.3">
      <c r="A11" s="2">
        <v>15</v>
      </c>
      <c r="B11" s="2" t="s">
        <v>5039</v>
      </c>
      <c r="C11" s="60" t="s">
        <v>15700</v>
      </c>
      <c r="D11" s="1"/>
      <c r="E11" s="68"/>
      <c r="F11" s="70"/>
      <c r="G11" s="1"/>
      <c r="H11" s="68"/>
      <c r="I11" s="70"/>
      <c r="J11" s="1"/>
      <c r="K11" s="68"/>
      <c r="L11" s="70"/>
      <c r="M11" s="67"/>
      <c r="N11" s="68"/>
      <c r="O11" s="76"/>
      <c r="P11" s="83"/>
      <c r="Q11" s="64"/>
      <c r="R11" s="65"/>
      <c r="S11" s="99"/>
      <c r="T11" s="70"/>
      <c r="U11" s="99"/>
      <c r="V11" s="70"/>
      <c r="W11" s="74"/>
      <c r="X11" s="62"/>
      <c r="Y11" s="63"/>
      <c r="Z11" s="75"/>
      <c r="AA11" s="74" t="s">
        <v>18028</v>
      </c>
      <c r="AB11" s="62"/>
      <c r="AC11" s="63"/>
      <c r="AD11" s="75"/>
      <c r="AE11" s="228">
        <f>ROUND((ROUND((_15_同援日０．５*_15・通訳),0)*(1+_15・区３)),0)+ROUND((ROUND((ROUND((_15_同援日０．５＿０．５*_15・通訳),0)*(1+_15・B夜間)),0)*(1+_15・区３)),0)+ROUND((ROUND((ROUND((_15_同援日０．５＿０．５＿０．５*_15・通訳),0)*(1+_15・C深夜)),0)*(1+_15・区３)),0)</f>
        <v>553</v>
      </c>
      <c r="AF11" s="69"/>
    </row>
    <row r="12" spans="1:32" ht="16.5" customHeight="1" x14ac:dyDescent="0.3">
      <c r="A12" s="2">
        <v>15</v>
      </c>
      <c r="B12" s="2" t="s">
        <v>5040</v>
      </c>
      <c r="C12" s="60" t="s">
        <v>15699</v>
      </c>
      <c r="D12" s="1"/>
      <c r="E12" s="68"/>
      <c r="F12" s="70"/>
      <c r="G12" s="1"/>
      <c r="H12" s="68"/>
      <c r="I12" s="70"/>
      <c r="J12" s="1"/>
      <c r="K12" s="68"/>
      <c r="L12" s="70"/>
      <c r="M12" s="1" t="s">
        <v>13802</v>
      </c>
      <c r="N12" s="68"/>
      <c r="O12" s="76"/>
      <c r="P12" s="83" t="s">
        <v>5895</v>
      </c>
      <c r="Q12" s="64" t="s">
        <v>1</v>
      </c>
      <c r="R12" s="65">
        <v>1</v>
      </c>
      <c r="S12" s="108" t="s">
        <v>7743</v>
      </c>
      <c r="T12" s="70"/>
      <c r="U12" s="113" t="s">
        <v>7920</v>
      </c>
      <c r="V12" s="70"/>
      <c r="W12" s="81"/>
      <c r="X12" s="57"/>
      <c r="Y12" s="58"/>
      <c r="Z12" s="77"/>
      <c r="AA12" s="1" t="s">
        <v>18026</v>
      </c>
      <c r="AB12" s="68"/>
      <c r="AC12" s="76"/>
      <c r="AD12" s="70"/>
      <c r="AE12" s="228">
        <f>ROUND((ROUND((ROUND((_15_同援日０．５*_15・通訳),0)*_15・２人),0)*(1+_15・区３)),0)+ROUND((ROUND((ROUND((ROUND((_15_同援日０．５＿０．５*_15・通訳),0)*_15・２人),0)*(1+_15・B夜間)),0)*(1+_15・区３)),0)+ROUND((ROUND((ROUND((ROUND((_15_同援日０．５＿０．５＿０．５*_15・通訳),0)*_15・２人),0)*(1+_15・C深夜)),0)*(1+_15・区３)),0)</f>
        <v>553</v>
      </c>
      <c r="AF12" s="69"/>
    </row>
    <row r="13" spans="1:32" ht="16.5" customHeight="1" x14ac:dyDescent="0.3">
      <c r="A13" s="2">
        <v>15</v>
      </c>
      <c r="B13" s="2" t="s">
        <v>5041</v>
      </c>
      <c r="C13" s="60" t="s">
        <v>15698</v>
      </c>
      <c r="D13" s="1"/>
      <c r="E13" s="68"/>
      <c r="F13" s="70"/>
      <c r="G13" s="1"/>
      <c r="H13" s="68"/>
      <c r="I13" s="70"/>
      <c r="J13" s="1"/>
      <c r="K13" s="68"/>
      <c r="L13" s="70"/>
      <c r="M13" s="94" t="s">
        <v>13800</v>
      </c>
      <c r="N13" s="68" t="s">
        <v>1</v>
      </c>
      <c r="O13" s="76">
        <v>0.9</v>
      </c>
      <c r="P13" s="83"/>
      <c r="Q13" s="64"/>
      <c r="R13" s="65"/>
      <c r="S13" s="99"/>
      <c r="T13" s="110" t="s">
        <v>7948</v>
      </c>
      <c r="U13" s="99"/>
      <c r="V13" s="110" t="s">
        <v>7947</v>
      </c>
      <c r="W13" s="74" t="s">
        <v>8085</v>
      </c>
      <c r="X13" s="62"/>
      <c r="Y13" s="63"/>
      <c r="Z13" s="75"/>
      <c r="AA13" s="1"/>
      <c r="AB13" s="68" t="s">
        <v>1</v>
      </c>
      <c r="AC13" s="76">
        <v>0.2</v>
      </c>
      <c r="AD13" s="70" t="s">
        <v>422</v>
      </c>
      <c r="AE13" s="228">
        <f>ROUND((ROUND((ROUND((_15_同援日０．５*_15・通訳),0)*(1+_15・盲ろう)),0)*(1+_15・区３)),0)+ROUND((ROUND((ROUND((ROUND((_15_同援日０．５＿０．５*_15・通訳),0)*(1+_15・B夜間)),0)*(1+_15・盲ろう)),0)*(1+_15・区３)),0)+ROUND((ROUND((ROUND((ROUND((_15_同援日０．５＿０．５＿０．５*_15・通訳),0)*(1+_15・C深夜)),0)*(1+_15・盲ろう)),0)*(1+_15・区３)),0)</f>
        <v>693</v>
      </c>
      <c r="AF13" s="69"/>
    </row>
    <row r="14" spans="1:32" ht="16.5" customHeight="1" x14ac:dyDescent="0.3">
      <c r="A14" s="2">
        <v>15</v>
      </c>
      <c r="B14" s="2" t="s">
        <v>5042</v>
      </c>
      <c r="C14" s="60" t="s">
        <v>15697</v>
      </c>
      <c r="D14" s="1"/>
      <c r="E14" s="68"/>
      <c r="F14" s="70"/>
      <c r="G14" s="1"/>
      <c r="H14" s="68"/>
      <c r="I14" s="70"/>
      <c r="J14" s="1"/>
      <c r="K14" s="68"/>
      <c r="L14" s="70"/>
      <c r="M14" s="67"/>
      <c r="N14" s="68"/>
      <c r="O14" s="76"/>
      <c r="P14" s="83" t="s">
        <v>5895</v>
      </c>
      <c r="Q14" s="64" t="s">
        <v>1</v>
      </c>
      <c r="R14" s="65">
        <v>1</v>
      </c>
      <c r="S14" s="99"/>
      <c r="T14" s="70"/>
      <c r="U14" s="99"/>
      <c r="V14" s="70"/>
      <c r="W14" s="81" t="s">
        <v>8083</v>
      </c>
      <c r="X14" s="57" t="s">
        <v>1</v>
      </c>
      <c r="Y14" s="58">
        <v>0.25</v>
      </c>
      <c r="Z14" s="77" t="s">
        <v>422</v>
      </c>
      <c r="AA14" s="81"/>
      <c r="AB14" s="57"/>
      <c r="AC14" s="58"/>
      <c r="AD14" s="77"/>
      <c r="AE14" s="228">
        <f>ROUND((ROUND((ROUND((ROUND((_15_同援日０．５*_15・通訳),0)*_15・２人),0)*(1+_15・盲ろう)),0)*(1+_15・区３)),0)+ROUND((ROUND((ROUND((ROUND((ROUND((_15_同援日０．５＿０．５*_15・通訳),0)*_15・２人),0)*(1+_15・B夜間)),0)*(1+_15・盲ろう)),0)*(1+_15・区３)),0)+ROUND((ROUND((ROUND((ROUND((ROUND((_15_同援日０．５＿０．５＿０．５*_15・通訳),0)*_15・２人),0)*(1+_15・C深夜)),0)*(1+_15・盲ろう)),0)*(1+_15・区３)),0)</f>
        <v>693</v>
      </c>
      <c r="AF14" s="69"/>
    </row>
    <row r="15" spans="1:32" ht="16.5" customHeight="1" x14ac:dyDescent="0.3">
      <c r="A15" s="2">
        <v>15</v>
      </c>
      <c r="B15" s="2" t="s">
        <v>5043</v>
      </c>
      <c r="C15" s="60" t="s">
        <v>15696</v>
      </c>
      <c r="D15" s="1"/>
      <c r="E15" s="68"/>
      <c r="F15" s="70"/>
      <c r="G15" s="1"/>
      <c r="H15" s="68"/>
      <c r="I15" s="70"/>
      <c r="J15" s="1"/>
      <c r="K15" s="68"/>
      <c r="L15" s="70"/>
      <c r="M15" s="67"/>
      <c r="N15" s="68"/>
      <c r="O15" s="76"/>
      <c r="P15" s="83"/>
      <c r="Q15" s="64"/>
      <c r="R15" s="65"/>
      <c r="S15" s="67" t="s">
        <v>1</v>
      </c>
      <c r="T15" s="93">
        <v>0.25</v>
      </c>
      <c r="U15" s="67" t="s">
        <v>1</v>
      </c>
      <c r="V15" s="93">
        <v>0.5</v>
      </c>
      <c r="W15" s="74"/>
      <c r="X15" s="62"/>
      <c r="Y15" s="63"/>
      <c r="Z15" s="75"/>
      <c r="AA15" s="74" t="s">
        <v>8089</v>
      </c>
      <c r="AB15" s="62"/>
      <c r="AC15" s="63"/>
      <c r="AD15" s="75"/>
      <c r="AE15" s="228">
        <f>ROUND((ROUND((_15_同援日０．５*_15・通訳),0)*(1+_15・区４)),0)+ROUND((ROUND((ROUND((_15_同援日０．５＿０．５*_15・通訳),0)*(1+_15・B夜間)),0)*(1+_15・区４)),0)+ROUND((ROUND((ROUND((_15_同援日０．５＿０．５＿０．５*_15・通訳),0)*(1+_15・C深夜)),0)*(1+_15・区４)),0)</f>
        <v>645</v>
      </c>
      <c r="AF15" s="69"/>
    </row>
    <row r="16" spans="1:32" ht="16.5" customHeight="1" x14ac:dyDescent="0.3">
      <c r="A16" s="2">
        <v>15</v>
      </c>
      <c r="B16" s="2" t="s">
        <v>5044</v>
      </c>
      <c r="C16" s="60" t="s">
        <v>15695</v>
      </c>
      <c r="D16" s="1"/>
      <c r="E16" s="68"/>
      <c r="F16" s="70"/>
      <c r="G16" s="1"/>
      <c r="H16" s="68"/>
      <c r="I16" s="70"/>
      <c r="J16" s="1"/>
      <c r="K16" s="68"/>
      <c r="L16" s="70"/>
      <c r="M16" s="67"/>
      <c r="N16" s="68"/>
      <c r="O16" s="76"/>
      <c r="P16" s="83" t="s">
        <v>5895</v>
      </c>
      <c r="Q16" s="64" t="s">
        <v>1</v>
      </c>
      <c r="R16" s="65">
        <v>1</v>
      </c>
      <c r="S16" s="99"/>
      <c r="T16" s="100" t="s">
        <v>422</v>
      </c>
      <c r="U16" s="99"/>
      <c r="V16" s="100" t="s">
        <v>422</v>
      </c>
      <c r="W16" s="81"/>
      <c r="X16" s="57"/>
      <c r="Y16" s="58"/>
      <c r="Z16" s="77"/>
      <c r="AA16" s="1" t="s">
        <v>18026</v>
      </c>
      <c r="AB16" s="68"/>
      <c r="AC16" s="76"/>
      <c r="AD16" s="70"/>
      <c r="AE16" s="228">
        <f>ROUND((ROUND((ROUND((_15_同援日０．５*_15・通訳),0)*_15・２人),0)*(1+_15・区４)),0)+ROUND((ROUND((ROUND((ROUND((_15_同援日０．５＿０．５*_15・通訳),0)*_15・２人),0)*(1+_15・B夜間)),0)*(1+_15・区４)),0)+ROUND((ROUND((ROUND((ROUND((_15_同援日０．５＿０．５＿０．５*_15・通訳),0)*_15・２人),0)*(1+_15・C深夜)),0)*(1+_15・区４)),0)</f>
        <v>645</v>
      </c>
      <c r="AF16" s="69"/>
    </row>
    <row r="17" spans="1:32" ht="16.5" customHeight="1" x14ac:dyDescent="0.3">
      <c r="A17" s="2">
        <v>15</v>
      </c>
      <c r="B17" s="2" t="s">
        <v>5045</v>
      </c>
      <c r="C17" s="60" t="s">
        <v>15694</v>
      </c>
      <c r="D17" s="1"/>
      <c r="E17" s="68"/>
      <c r="F17" s="70"/>
      <c r="G17" s="1"/>
      <c r="H17" s="68"/>
      <c r="I17" s="70"/>
      <c r="J17" s="1"/>
      <c r="K17" s="68"/>
      <c r="L17" s="70"/>
      <c r="M17" s="67"/>
      <c r="N17" s="68"/>
      <c r="O17" s="76"/>
      <c r="P17" s="83"/>
      <c r="Q17" s="64"/>
      <c r="R17" s="65"/>
      <c r="S17" s="99"/>
      <c r="T17" s="70"/>
      <c r="U17" s="99"/>
      <c r="V17" s="70"/>
      <c r="W17" s="74" t="s">
        <v>18025</v>
      </c>
      <c r="X17" s="62"/>
      <c r="Y17" s="63"/>
      <c r="Z17" s="75"/>
      <c r="AA17" s="1"/>
      <c r="AB17" s="68" t="s">
        <v>1</v>
      </c>
      <c r="AC17" s="76">
        <v>0.4</v>
      </c>
      <c r="AD17" s="70" t="s">
        <v>422</v>
      </c>
      <c r="AE17" s="228">
        <f>ROUND((ROUND((ROUND((_15_同援日０．５*_15・通訳),0)*(1+_15・盲ろう)),0)*(1+_15・区４)),0)+ROUND((ROUND((ROUND((ROUND((_15_同援日０．５＿０．５*_15・通訳),0)*(1+_15・B夜間)),0)*(1+_15・盲ろう)),0)*(1+_15・区４)),0)+ROUND((ROUND((ROUND((ROUND((_15_同援日０．５＿０．５＿０．５*_15・通訳),0)*(1+_15・C深夜)),0)*(1+_15・盲ろう)),0)*(1+_15・区４)),0)</f>
        <v>807</v>
      </c>
      <c r="AF17" s="69"/>
    </row>
    <row r="18" spans="1:32" ht="16.5" customHeight="1" x14ac:dyDescent="0.3">
      <c r="A18" s="2">
        <v>15</v>
      </c>
      <c r="B18" s="2" t="s">
        <v>5046</v>
      </c>
      <c r="C18" s="60" t="s">
        <v>15693</v>
      </c>
      <c r="D18" s="1"/>
      <c r="E18" s="68"/>
      <c r="F18" s="70"/>
      <c r="G18" s="1"/>
      <c r="H18" s="68"/>
      <c r="I18" s="70"/>
      <c r="J18" s="81"/>
      <c r="K18" s="57"/>
      <c r="L18" s="77"/>
      <c r="M18" s="67"/>
      <c r="N18" s="68"/>
      <c r="O18" s="76"/>
      <c r="P18" s="83" t="s">
        <v>5895</v>
      </c>
      <c r="Q18" s="64" t="s">
        <v>1</v>
      </c>
      <c r="R18" s="65">
        <v>1</v>
      </c>
      <c r="S18" s="99"/>
      <c r="T18" s="70"/>
      <c r="U18" s="99"/>
      <c r="V18" s="70"/>
      <c r="W18" s="81" t="s">
        <v>18024</v>
      </c>
      <c r="X18" s="57" t="s">
        <v>1</v>
      </c>
      <c r="Y18" s="58">
        <v>0.25</v>
      </c>
      <c r="Z18" s="77" t="s">
        <v>422</v>
      </c>
      <c r="AA18" s="81"/>
      <c r="AB18" s="57"/>
      <c r="AC18" s="58"/>
      <c r="AD18" s="77"/>
      <c r="AE18" s="228">
        <f>ROUND((ROUND((ROUND((ROUND((_15_同援日０．５*_15・通訳),0)*_15・２人),0)*(1+_15・盲ろう)),0)*(1+_15・区４)),0)+ROUND((ROUND((ROUND((ROUND((ROUND((_15_同援日０．５＿０．５*_15・通訳),0)*_15・２人),0)*(1+_15・B夜間)),0)*(1+_15・盲ろう)),0)*(1+_15・区４)),0)+ROUND((ROUND((ROUND((ROUND((ROUND((_15_同援日０．５＿０．５＿０．５*_15・通訳),0)*_15・２人),0)*(1+_15・C深夜)),0)*(1+_15・盲ろう)),0)*(1+_15・区４)),0)</f>
        <v>807</v>
      </c>
      <c r="AF18" s="69"/>
    </row>
    <row r="19" spans="1:32" ht="16.5" customHeight="1" x14ac:dyDescent="0.3">
      <c r="A19" s="2">
        <v>15</v>
      </c>
      <c r="B19" s="2" t="s">
        <v>5047</v>
      </c>
      <c r="C19" s="60" t="s">
        <v>15692</v>
      </c>
      <c r="D19" s="1"/>
      <c r="E19" s="68"/>
      <c r="F19" s="70"/>
      <c r="G19" s="1"/>
      <c r="H19" s="68"/>
      <c r="I19" s="70"/>
      <c r="J19" s="74" t="s">
        <v>17493</v>
      </c>
      <c r="K19" s="62"/>
      <c r="L19" s="75"/>
      <c r="M19" s="67"/>
      <c r="N19" s="68"/>
      <c r="O19" s="76"/>
      <c r="P19" s="83"/>
      <c r="Q19" s="64"/>
      <c r="R19" s="65"/>
      <c r="S19" s="99"/>
      <c r="T19" s="70"/>
      <c r="U19" s="99"/>
      <c r="V19" s="70"/>
      <c r="W19" s="74"/>
      <c r="X19" s="62"/>
      <c r="Y19" s="63"/>
      <c r="Z19" s="75"/>
      <c r="AA19" s="74"/>
      <c r="AB19" s="62"/>
      <c r="AC19" s="63"/>
      <c r="AD19" s="75"/>
      <c r="AE19" s="228">
        <f>ROUND((_15_同援日０．５*_15・通訳),0)+ROUND((ROUND((_15_同援日０．５＿０．５*_15・通訳),0)*(1+_15・B夜間)),0)+ROUND((ROUND((_15_同援日０．５＿０．５＿１．０*_15・通訳),0)*(1+_15・C深夜)),0)</f>
        <v>548</v>
      </c>
      <c r="AF19" s="69"/>
    </row>
    <row r="20" spans="1:32" ht="16.5" customHeight="1" x14ac:dyDescent="0.3">
      <c r="A20" s="2">
        <v>15</v>
      </c>
      <c r="B20" s="2" t="s">
        <v>5048</v>
      </c>
      <c r="C20" s="60" t="s">
        <v>15691</v>
      </c>
      <c r="D20" s="1"/>
      <c r="E20" s="68"/>
      <c r="F20" s="70"/>
      <c r="G20" s="1"/>
      <c r="H20" s="68"/>
      <c r="I20" s="70"/>
      <c r="J20" s="1" t="s">
        <v>16978</v>
      </c>
      <c r="K20" s="68"/>
      <c r="L20" s="70"/>
      <c r="M20" s="67"/>
      <c r="N20" s="68"/>
      <c r="O20" s="76"/>
      <c r="P20" s="83" t="s">
        <v>5895</v>
      </c>
      <c r="Q20" s="64" t="s">
        <v>1</v>
      </c>
      <c r="R20" s="65">
        <v>1</v>
      </c>
      <c r="S20" s="99"/>
      <c r="T20" s="70"/>
      <c r="U20" s="99"/>
      <c r="V20" s="70"/>
      <c r="W20" s="81"/>
      <c r="X20" s="57"/>
      <c r="Y20" s="58"/>
      <c r="Z20" s="77"/>
      <c r="AA20" s="1"/>
      <c r="AB20" s="68"/>
      <c r="AC20" s="76"/>
      <c r="AD20" s="70"/>
      <c r="AE20" s="228">
        <f>ROUND((ROUND((_15_同援日０．５*_15・通訳),0)*_15・２人),0)+ROUND((ROUND((ROUND((_15_同援日０．５＿０．５*_15・通訳),0)*_15・２人),0)*(1+_15・B夜間)),0)+ROUND((ROUND((ROUND((_15_同援日０．５＿０．５＿１．０*_15・通訳),0)*_15・２人),0)*(1+_15・C深夜)),0)</f>
        <v>548</v>
      </c>
      <c r="AF20" s="69"/>
    </row>
    <row r="21" spans="1:32" ht="16.5" customHeight="1" x14ac:dyDescent="0.3">
      <c r="A21" s="2">
        <v>15</v>
      </c>
      <c r="B21" s="2" t="s">
        <v>5049</v>
      </c>
      <c r="C21" s="60" t="s">
        <v>15690</v>
      </c>
      <c r="D21" s="1"/>
      <c r="E21" s="68"/>
      <c r="F21" s="70"/>
      <c r="G21" s="1"/>
      <c r="H21" s="68"/>
      <c r="I21" s="70"/>
      <c r="J21" s="1" t="s">
        <v>8572</v>
      </c>
      <c r="K21" s="68"/>
      <c r="L21" s="70"/>
      <c r="M21" s="67"/>
      <c r="N21" s="68"/>
      <c r="O21" s="76"/>
      <c r="P21" s="83"/>
      <c r="Q21" s="64"/>
      <c r="R21" s="65"/>
      <c r="S21" s="99"/>
      <c r="T21" s="70"/>
      <c r="U21" s="99"/>
      <c r="V21" s="70"/>
      <c r="W21" s="74" t="s">
        <v>18025</v>
      </c>
      <c r="X21" s="62"/>
      <c r="Y21" s="63"/>
      <c r="Z21" s="75"/>
      <c r="AA21" s="1"/>
      <c r="AB21" s="68"/>
      <c r="AC21" s="76"/>
      <c r="AD21" s="70"/>
      <c r="AE21" s="228">
        <f>ROUND((ROUND((_15_同援日０．５*_15・通訳),0)*(1+_15・盲ろう)),0)+ROUND((ROUND((ROUND((_15_同援日０．５＿０．５*_15・通訳),0)*(1+_15・B夜間)),0)*(1+_15・盲ろう)),0)+ROUND((ROUND((ROUND((_15_同援日０．５＿０．５＿１．０*_15・通訳),0)*(1+_15・C深夜)),0)*(1+_15・盲ろう)),0)</f>
        <v>685</v>
      </c>
      <c r="AF21" s="69"/>
    </row>
    <row r="22" spans="1:32" ht="16.5" customHeight="1" x14ac:dyDescent="0.3">
      <c r="A22" s="2">
        <v>15</v>
      </c>
      <c r="B22" s="2" t="s">
        <v>5050</v>
      </c>
      <c r="C22" s="60" t="s">
        <v>15689</v>
      </c>
      <c r="D22" s="1"/>
      <c r="E22" s="68"/>
      <c r="F22" s="70"/>
      <c r="G22" s="1"/>
      <c r="H22" s="68"/>
      <c r="I22" s="70"/>
      <c r="J22" s="1"/>
      <c r="K22" s="119">
        <v>193</v>
      </c>
      <c r="L22" s="70" t="s">
        <v>0</v>
      </c>
      <c r="M22" s="67"/>
      <c r="N22" s="68"/>
      <c r="O22" s="76"/>
      <c r="P22" s="83" t="s">
        <v>5895</v>
      </c>
      <c r="Q22" s="64" t="s">
        <v>1</v>
      </c>
      <c r="R22" s="65">
        <v>1</v>
      </c>
      <c r="S22" s="99"/>
      <c r="T22" s="70"/>
      <c r="U22" s="99"/>
      <c r="V22" s="70"/>
      <c r="W22" s="81" t="s">
        <v>8083</v>
      </c>
      <c r="X22" s="57" t="s">
        <v>1</v>
      </c>
      <c r="Y22" s="58">
        <v>0.25</v>
      </c>
      <c r="Z22" s="77" t="s">
        <v>422</v>
      </c>
      <c r="AA22" s="81"/>
      <c r="AB22" s="57"/>
      <c r="AC22" s="58"/>
      <c r="AD22" s="77"/>
      <c r="AE22" s="228">
        <f>ROUND((ROUND((ROUND((_15_同援日０．５*_15・通訳),0)*_15・２人),0)*(1+_15・盲ろう)),0)+ROUND((ROUND((ROUND((ROUND((_15_同援日０．５＿０．５*_15・通訳),0)*_15・２人),0)*(1+_15・B夜間)),0)*(1+_15・盲ろう)),0)+ROUND((ROUND((ROUND((ROUND((_15_同援日０．５＿０．５＿１．０*_15・通訳),0)*_15・２人),0)*(1+_15・C深夜)),0)*(1+_15・盲ろう)),0)</f>
        <v>685</v>
      </c>
      <c r="AF22" s="69"/>
    </row>
    <row r="23" spans="1:32" ht="16.5" customHeight="1" x14ac:dyDescent="0.3">
      <c r="A23" s="2">
        <v>15</v>
      </c>
      <c r="B23" s="2" t="s">
        <v>5051</v>
      </c>
      <c r="C23" s="60" t="s">
        <v>15688</v>
      </c>
      <c r="D23" s="1"/>
      <c r="E23" s="68"/>
      <c r="F23" s="70"/>
      <c r="G23" s="1"/>
      <c r="H23" s="68"/>
      <c r="I23" s="70"/>
      <c r="J23" s="1"/>
      <c r="K23" s="68"/>
      <c r="L23" s="70"/>
      <c r="M23" s="67"/>
      <c r="N23" s="68"/>
      <c r="O23" s="76"/>
      <c r="P23" s="83"/>
      <c r="Q23" s="64"/>
      <c r="R23" s="65"/>
      <c r="S23" s="99"/>
      <c r="T23" s="70"/>
      <c r="U23" s="99"/>
      <c r="V23" s="70"/>
      <c r="W23" s="74"/>
      <c r="X23" s="62"/>
      <c r="Y23" s="63"/>
      <c r="Z23" s="75"/>
      <c r="AA23" s="74" t="s">
        <v>18028</v>
      </c>
      <c r="AB23" s="62"/>
      <c r="AC23" s="63"/>
      <c r="AD23" s="75"/>
      <c r="AE23" s="228">
        <f>ROUND((ROUND((_15_同援日０．５*_15・通訳),0)*(1+_15・区３)),0)+ROUND((ROUND((ROUND((_15_同援日０．５＿０．５*_15・通訳),0)*(1+_15・B夜間)),0)*(1+_15・区３)),0)+ROUND((ROUND((ROUND((_15_同援日０．５＿０．５＿１．０*_15・通訳),0)*(1+_15・C深夜)),0)*(1+_15・区３)),0)</f>
        <v>657</v>
      </c>
      <c r="AF23" s="69"/>
    </row>
    <row r="24" spans="1:32" ht="16.5" customHeight="1" x14ac:dyDescent="0.3">
      <c r="A24" s="2">
        <v>15</v>
      </c>
      <c r="B24" s="2" t="s">
        <v>5052</v>
      </c>
      <c r="C24" s="60" t="s">
        <v>15687</v>
      </c>
      <c r="D24" s="1"/>
      <c r="E24" s="68"/>
      <c r="F24" s="70"/>
      <c r="G24" s="1"/>
      <c r="H24" s="68"/>
      <c r="I24" s="70"/>
      <c r="J24" s="1"/>
      <c r="K24" s="68"/>
      <c r="L24" s="70"/>
      <c r="M24" s="67"/>
      <c r="N24" s="68"/>
      <c r="O24" s="76"/>
      <c r="P24" s="83" t="s">
        <v>5895</v>
      </c>
      <c r="Q24" s="64" t="s">
        <v>1</v>
      </c>
      <c r="R24" s="65">
        <v>1</v>
      </c>
      <c r="S24" s="99"/>
      <c r="T24" s="70"/>
      <c r="U24" s="99"/>
      <c r="V24" s="70"/>
      <c r="W24" s="81"/>
      <c r="X24" s="57"/>
      <c r="Y24" s="58"/>
      <c r="Z24" s="77"/>
      <c r="AA24" s="1" t="s">
        <v>8087</v>
      </c>
      <c r="AB24" s="68"/>
      <c r="AC24" s="76"/>
      <c r="AD24" s="70"/>
      <c r="AE24" s="228">
        <f>ROUND((ROUND((ROUND((_15_同援日０．５*_15・通訳),0)*_15・２人),0)*(1+_15・区３)),0)+ROUND((ROUND((ROUND((ROUND((_15_同援日０．５＿０．５*_15・通訳),0)*_15・２人),0)*(1+_15・B夜間)),0)*(1+_15・区３)),0)+ROUND((ROUND((ROUND((ROUND((_15_同援日０．５＿０．５＿１．０*_15・通訳),0)*_15・２人),0)*(1+_15・C深夜)),0)*(1+_15・区３)),0)</f>
        <v>657</v>
      </c>
      <c r="AF24" s="69"/>
    </row>
    <row r="25" spans="1:32" ht="16.5" customHeight="1" x14ac:dyDescent="0.3">
      <c r="A25" s="2">
        <v>15</v>
      </c>
      <c r="B25" s="2" t="s">
        <v>5053</v>
      </c>
      <c r="C25" s="60" t="s">
        <v>15686</v>
      </c>
      <c r="D25" s="1"/>
      <c r="E25" s="68"/>
      <c r="F25" s="70"/>
      <c r="G25" s="1"/>
      <c r="H25" s="68"/>
      <c r="I25" s="70"/>
      <c r="J25" s="1"/>
      <c r="K25" s="68"/>
      <c r="L25" s="70"/>
      <c r="M25" s="67"/>
      <c r="N25" s="68"/>
      <c r="O25" s="76"/>
      <c r="P25" s="83"/>
      <c r="Q25" s="64"/>
      <c r="R25" s="65"/>
      <c r="S25" s="99"/>
      <c r="T25" s="70"/>
      <c r="U25" s="99"/>
      <c r="V25" s="70"/>
      <c r="W25" s="74" t="s">
        <v>8085</v>
      </c>
      <c r="X25" s="62"/>
      <c r="Y25" s="63"/>
      <c r="Z25" s="75"/>
      <c r="AA25" s="1"/>
      <c r="AB25" s="68" t="s">
        <v>1</v>
      </c>
      <c r="AC25" s="76">
        <v>0.2</v>
      </c>
      <c r="AD25" s="70" t="s">
        <v>422</v>
      </c>
      <c r="AE25" s="228">
        <f>ROUND((ROUND((ROUND((_15_同援日０．５*_15・通訳),0)*(1+_15・盲ろう)),0)*(1+_15・区３)),0)+ROUND((ROUND((ROUND((ROUND((_15_同援日０．５＿０．５*_15・通訳),0)*(1+_15・B夜間)),0)*(1+_15・盲ろう)),0)*(1+_15・区３)),0)+ROUND((ROUND((ROUND((ROUND((_15_同援日０．５＿０．５＿１．０*_15・通訳),0)*(1+_15・C深夜)),0)*(1+_15・盲ろう)),0)*(1+_15・区３)),0)</f>
        <v>822</v>
      </c>
      <c r="AF25" s="69"/>
    </row>
    <row r="26" spans="1:32" ht="16.5" customHeight="1" x14ac:dyDescent="0.3">
      <c r="A26" s="2">
        <v>15</v>
      </c>
      <c r="B26" s="2" t="s">
        <v>5054</v>
      </c>
      <c r="C26" s="60" t="s">
        <v>15685</v>
      </c>
      <c r="D26" s="1"/>
      <c r="E26" s="68"/>
      <c r="F26" s="70"/>
      <c r="G26" s="1"/>
      <c r="H26" s="68"/>
      <c r="I26" s="70"/>
      <c r="J26" s="1"/>
      <c r="K26" s="68"/>
      <c r="L26" s="70"/>
      <c r="M26" s="67"/>
      <c r="N26" s="68"/>
      <c r="O26" s="76"/>
      <c r="P26" s="83" t="s">
        <v>5895</v>
      </c>
      <c r="Q26" s="64" t="s">
        <v>1</v>
      </c>
      <c r="R26" s="65">
        <v>1</v>
      </c>
      <c r="S26" s="99"/>
      <c r="T26" s="70"/>
      <c r="U26" s="99"/>
      <c r="V26" s="70"/>
      <c r="W26" s="81" t="s">
        <v>18024</v>
      </c>
      <c r="X26" s="57" t="s">
        <v>1</v>
      </c>
      <c r="Y26" s="58">
        <v>0.25</v>
      </c>
      <c r="Z26" s="77" t="s">
        <v>422</v>
      </c>
      <c r="AA26" s="81"/>
      <c r="AB26" s="57"/>
      <c r="AC26" s="58"/>
      <c r="AD26" s="77"/>
      <c r="AE26" s="228">
        <f>ROUND((ROUND((ROUND((ROUND((_15_同援日０．５*_15・通訳),0)*_15・２人),0)*(1+_15・盲ろう)),0)*(1+_15・区３)),0)+ROUND((ROUND((ROUND((ROUND((ROUND((_15_同援日０．５＿０．５*_15・通訳),0)*_15・２人),0)*(1+_15・B夜間)),0)*(1+_15・盲ろう)),0)*(1+_15・区３)),0)+ROUND((ROUND((ROUND((ROUND((ROUND((_15_同援日０．５＿０．５＿１．０*_15・通訳),0)*_15・２人),0)*(1+_15・C深夜)),0)*(1+_15・盲ろう)),0)*(1+_15・区３)),0)</f>
        <v>822</v>
      </c>
      <c r="AF26" s="69"/>
    </row>
    <row r="27" spans="1:32" ht="16.5" customHeight="1" x14ac:dyDescent="0.3">
      <c r="A27" s="2">
        <v>15</v>
      </c>
      <c r="B27" s="2" t="s">
        <v>5055</v>
      </c>
      <c r="C27" s="60" t="s">
        <v>15684</v>
      </c>
      <c r="D27" s="1"/>
      <c r="E27" s="68"/>
      <c r="F27" s="70"/>
      <c r="G27" s="1"/>
      <c r="H27" s="68"/>
      <c r="I27" s="70"/>
      <c r="J27" s="1"/>
      <c r="K27" s="68"/>
      <c r="L27" s="70"/>
      <c r="M27" s="67"/>
      <c r="N27" s="68"/>
      <c r="O27" s="76"/>
      <c r="P27" s="83"/>
      <c r="Q27" s="64"/>
      <c r="R27" s="65"/>
      <c r="S27" s="99"/>
      <c r="T27" s="70"/>
      <c r="U27" s="99"/>
      <c r="V27" s="70"/>
      <c r="W27" s="74"/>
      <c r="X27" s="62"/>
      <c r="Y27" s="63"/>
      <c r="Z27" s="75"/>
      <c r="AA27" s="74" t="s">
        <v>18027</v>
      </c>
      <c r="AB27" s="62"/>
      <c r="AC27" s="63"/>
      <c r="AD27" s="75"/>
      <c r="AE27" s="228">
        <f>ROUND((ROUND((_15_同援日０．５*_15・通訳),0)*(1+_15・区４)),0)+ROUND((ROUND((ROUND((_15_同援日０．５＿０．５*_15・通訳),0)*(1+_15・B夜間)),0)*(1+_15・区４)),0)+ROUND((ROUND((ROUND((_15_同援日０．５＿０．５＿１．０*_15・通訳),0)*(1+_15・C深夜)),0)*(1+_15・区４)),0)</f>
        <v>766</v>
      </c>
      <c r="AF27" s="69"/>
    </row>
    <row r="28" spans="1:32" ht="16.5" customHeight="1" x14ac:dyDescent="0.3">
      <c r="A28" s="2">
        <v>15</v>
      </c>
      <c r="B28" s="2" t="s">
        <v>5056</v>
      </c>
      <c r="C28" s="60" t="s">
        <v>15683</v>
      </c>
      <c r="D28" s="1"/>
      <c r="E28" s="68"/>
      <c r="F28" s="70"/>
      <c r="G28" s="1"/>
      <c r="H28" s="68"/>
      <c r="I28" s="70"/>
      <c r="J28" s="1"/>
      <c r="K28" s="68"/>
      <c r="L28" s="70"/>
      <c r="M28" s="67"/>
      <c r="N28" s="68"/>
      <c r="O28" s="76"/>
      <c r="P28" s="83" t="s">
        <v>5895</v>
      </c>
      <c r="Q28" s="64" t="s">
        <v>1</v>
      </c>
      <c r="R28" s="65">
        <v>1</v>
      </c>
      <c r="S28" s="99"/>
      <c r="T28" s="70"/>
      <c r="U28" s="99"/>
      <c r="V28" s="70"/>
      <c r="W28" s="81"/>
      <c r="X28" s="57"/>
      <c r="Y28" s="58"/>
      <c r="Z28" s="77"/>
      <c r="AA28" s="1" t="s">
        <v>18026</v>
      </c>
      <c r="AB28" s="68"/>
      <c r="AC28" s="76"/>
      <c r="AD28" s="70"/>
      <c r="AE28" s="228">
        <f>ROUND((ROUND((ROUND((_15_同援日０．５*_15・通訳),0)*_15・２人),0)*(1+_15・区４)),0)+ROUND((ROUND((ROUND((ROUND((_15_同援日０．５＿０．５*_15・通訳),0)*_15・２人),0)*(1+_15・B夜間)),0)*(1+_15・区４)),0)+ROUND((ROUND((ROUND((ROUND((_15_同援日０．５＿０．５＿１．０*_15・通訳),0)*_15・２人),0)*(1+_15・C深夜)),0)*(1+_15・区４)),0)</f>
        <v>766</v>
      </c>
      <c r="AF28" s="69"/>
    </row>
    <row r="29" spans="1:32" ht="16.5" customHeight="1" x14ac:dyDescent="0.3">
      <c r="A29" s="2">
        <v>15</v>
      </c>
      <c r="B29" s="2" t="s">
        <v>5057</v>
      </c>
      <c r="C29" s="60" t="s">
        <v>15682</v>
      </c>
      <c r="D29" s="1"/>
      <c r="E29" s="68"/>
      <c r="F29" s="70"/>
      <c r="G29" s="1"/>
      <c r="H29" s="68"/>
      <c r="I29" s="70"/>
      <c r="J29" s="1"/>
      <c r="K29" s="68"/>
      <c r="L29" s="70"/>
      <c r="M29" s="67"/>
      <c r="N29" s="68"/>
      <c r="O29" s="76"/>
      <c r="P29" s="83"/>
      <c r="Q29" s="64"/>
      <c r="R29" s="65"/>
      <c r="S29" s="99"/>
      <c r="T29" s="70"/>
      <c r="U29" s="99"/>
      <c r="V29" s="70"/>
      <c r="W29" s="74" t="s">
        <v>18025</v>
      </c>
      <c r="X29" s="62"/>
      <c r="Y29" s="63"/>
      <c r="Z29" s="75"/>
      <c r="AA29" s="1"/>
      <c r="AB29" s="68" t="s">
        <v>1</v>
      </c>
      <c r="AC29" s="76">
        <v>0.4</v>
      </c>
      <c r="AD29" s="70" t="s">
        <v>422</v>
      </c>
      <c r="AE29" s="228">
        <f>ROUND((ROUND((ROUND((_15_同援日０．５*_15・通訳),0)*(1+_15・盲ろう)),0)*(1+_15・区４)),0)+ROUND((ROUND((ROUND((ROUND((_15_同援日０．５＿０．５*_15・通訳),0)*(1+_15・B夜間)),0)*(1+_15・盲ろう)),0)*(1+_15・区４)),0)+ROUND((ROUND((ROUND((ROUND((_15_同援日０．５＿０．５＿１．０*_15・通訳),0)*(1+_15・C深夜)),0)*(1+_15・盲ろう)),0)*(1+_15・区４)),0)</f>
        <v>958</v>
      </c>
      <c r="AF29" s="69"/>
    </row>
    <row r="30" spans="1:32" ht="16.5" customHeight="1" x14ac:dyDescent="0.3">
      <c r="A30" s="2">
        <v>15</v>
      </c>
      <c r="B30" s="2" t="s">
        <v>5058</v>
      </c>
      <c r="C30" s="60" t="s">
        <v>15681</v>
      </c>
      <c r="D30" s="1"/>
      <c r="E30" s="68"/>
      <c r="F30" s="70"/>
      <c r="G30" s="1"/>
      <c r="H30" s="68"/>
      <c r="I30" s="70"/>
      <c r="J30" s="81"/>
      <c r="K30" s="57"/>
      <c r="L30" s="77"/>
      <c r="M30" s="67"/>
      <c r="N30" s="68"/>
      <c r="O30" s="76"/>
      <c r="P30" s="83" t="s">
        <v>5895</v>
      </c>
      <c r="Q30" s="64" t="s">
        <v>1</v>
      </c>
      <c r="R30" s="65">
        <v>1</v>
      </c>
      <c r="S30" s="99"/>
      <c r="T30" s="70"/>
      <c r="U30" s="99"/>
      <c r="V30" s="70"/>
      <c r="W30" s="81" t="s">
        <v>18024</v>
      </c>
      <c r="X30" s="57" t="s">
        <v>1</v>
      </c>
      <c r="Y30" s="58">
        <v>0.25</v>
      </c>
      <c r="Z30" s="77" t="s">
        <v>422</v>
      </c>
      <c r="AA30" s="81"/>
      <c r="AB30" s="57"/>
      <c r="AC30" s="58"/>
      <c r="AD30" s="77"/>
      <c r="AE30" s="228">
        <f>ROUND((ROUND((ROUND((ROUND((_15_同援日０．５*_15・通訳),0)*_15・２人),0)*(1+_15・盲ろう)),0)*(1+_15・区４)),0)+ROUND((ROUND((ROUND((ROUND((ROUND((_15_同援日０．５＿０．５*_15・通訳),0)*_15・２人),0)*(1+_15・B夜間)),0)*(1+_15・盲ろう)),0)*(1+_15・区４)),0)+ROUND((ROUND((ROUND((ROUND((ROUND((_15_同援日０．５＿０．５＿１．０*_15・通訳),0)*_15・２人),0)*(1+_15・C深夜)),0)*(1+_15・盲ろう)),0)*(1+_15・区４)),0)</f>
        <v>958</v>
      </c>
      <c r="AF30" s="69"/>
    </row>
    <row r="31" spans="1:32" ht="16.5" customHeight="1" x14ac:dyDescent="0.3">
      <c r="A31" s="2">
        <v>15</v>
      </c>
      <c r="B31" s="2" t="s">
        <v>5059</v>
      </c>
      <c r="C31" s="60" t="s">
        <v>15680</v>
      </c>
      <c r="D31" s="1"/>
      <c r="E31" s="68"/>
      <c r="F31" s="70"/>
      <c r="G31" s="1"/>
      <c r="H31" s="68"/>
      <c r="I31" s="70"/>
      <c r="J31" s="74" t="s">
        <v>6338</v>
      </c>
      <c r="K31" s="62"/>
      <c r="L31" s="75"/>
      <c r="M31" s="67"/>
      <c r="N31" s="68"/>
      <c r="O31" s="76"/>
      <c r="P31" s="83"/>
      <c r="Q31" s="64"/>
      <c r="R31" s="65"/>
      <c r="S31" s="99"/>
      <c r="T31" s="70"/>
      <c r="U31" s="99"/>
      <c r="V31" s="70"/>
      <c r="W31" s="74"/>
      <c r="X31" s="62"/>
      <c r="Y31" s="63"/>
      <c r="Z31" s="75"/>
      <c r="AA31" s="74"/>
      <c r="AB31" s="62"/>
      <c r="AC31" s="63"/>
      <c r="AD31" s="75"/>
      <c r="AE31" s="228">
        <f>ROUND((_15_同援日０．５*_15・通訳),0)+ROUND((ROUND((_15_同援日０．５＿０．５*_15・通訳),0)*(1+_15・B夜間)),0)+ROUND((ROUND((_15_同援日０．５＿０．５＿１．５*_15・通訳),0)*(1+_15・C深夜)),0)</f>
        <v>632</v>
      </c>
      <c r="AF31" s="69"/>
    </row>
    <row r="32" spans="1:32" ht="16.5" customHeight="1" x14ac:dyDescent="0.3">
      <c r="A32" s="2">
        <v>15</v>
      </c>
      <c r="B32" s="2" t="s">
        <v>5060</v>
      </c>
      <c r="C32" s="60" t="s">
        <v>15679</v>
      </c>
      <c r="D32" s="1"/>
      <c r="E32" s="68"/>
      <c r="F32" s="70"/>
      <c r="G32" s="1"/>
      <c r="H32" s="68"/>
      <c r="I32" s="70"/>
      <c r="J32" s="1" t="s">
        <v>5987</v>
      </c>
      <c r="K32" s="68"/>
      <c r="L32" s="70"/>
      <c r="M32" s="67"/>
      <c r="N32" s="68"/>
      <c r="O32" s="76"/>
      <c r="P32" s="83" t="s">
        <v>5895</v>
      </c>
      <c r="Q32" s="64" t="s">
        <v>1</v>
      </c>
      <c r="R32" s="65">
        <v>1</v>
      </c>
      <c r="S32" s="99"/>
      <c r="T32" s="70"/>
      <c r="U32" s="99"/>
      <c r="V32" s="70"/>
      <c r="W32" s="81"/>
      <c r="X32" s="57"/>
      <c r="Y32" s="58"/>
      <c r="Z32" s="77"/>
      <c r="AA32" s="1"/>
      <c r="AB32" s="68"/>
      <c r="AC32" s="76"/>
      <c r="AD32" s="70"/>
      <c r="AE32" s="228">
        <f>ROUND((ROUND((_15_同援日０．５*_15・通訳),0)*_15・２人),0)+ROUND((ROUND((ROUND((_15_同援日０．５＿０．５*_15・通訳),0)*_15・２人),0)*(1+_15・B夜間)),0)+ROUND((ROUND((ROUND((_15_同援日０．５＿０．５＿１．５*_15・通訳),0)*_15・２人),0)*(1+_15・C深夜)),0)</f>
        <v>632</v>
      </c>
      <c r="AF32" s="69"/>
    </row>
    <row r="33" spans="1:32" ht="16.5" customHeight="1" x14ac:dyDescent="0.3">
      <c r="A33" s="2">
        <v>15</v>
      </c>
      <c r="B33" s="2" t="s">
        <v>5061</v>
      </c>
      <c r="C33" s="60" t="s">
        <v>15678</v>
      </c>
      <c r="D33" s="1"/>
      <c r="E33" s="68"/>
      <c r="F33" s="70"/>
      <c r="G33" s="1"/>
      <c r="H33" s="68"/>
      <c r="I33" s="70"/>
      <c r="J33" s="1" t="s">
        <v>8767</v>
      </c>
      <c r="K33" s="68"/>
      <c r="L33" s="70"/>
      <c r="M33" s="67"/>
      <c r="N33" s="68"/>
      <c r="O33" s="76"/>
      <c r="P33" s="83"/>
      <c r="Q33" s="64"/>
      <c r="R33" s="65"/>
      <c r="S33" s="99"/>
      <c r="T33" s="70"/>
      <c r="U33" s="99"/>
      <c r="V33" s="70"/>
      <c r="W33" s="74" t="s">
        <v>18025</v>
      </c>
      <c r="X33" s="62"/>
      <c r="Y33" s="63"/>
      <c r="Z33" s="75"/>
      <c r="AA33" s="1"/>
      <c r="AB33" s="68"/>
      <c r="AC33" s="76"/>
      <c r="AD33" s="70"/>
      <c r="AE33" s="228">
        <f>ROUND((ROUND((_15_同援日０．５*_15・通訳),0)*(1+_15・盲ろう)),0)+ROUND((ROUND((ROUND((_15_同援日０．５＿０．５*_15・通訳),0)*(1+_15・B夜間)),0)*(1+_15・盲ろう)),0)+ROUND((ROUND((ROUND((_15_同援日０．５＿０．５＿１．５*_15・通訳),0)*(1+_15・C深夜)),0)*(1+_15・盲ろう)),0)</f>
        <v>790</v>
      </c>
      <c r="AF33" s="69"/>
    </row>
    <row r="34" spans="1:32" ht="16.5" customHeight="1" x14ac:dyDescent="0.3">
      <c r="A34" s="2">
        <v>15</v>
      </c>
      <c r="B34" s="2" t="s">
        <v>5062</v>
      </c>
      <c r="C34" s="60" t="s">
        <v>15677</v>
      </c>
      <c r="D34" s="1"/>
      <c r="E34" s="68"/>
      <c r="F34" s="70"/>
      <c r="G34" s="1"/>
      <c r="H34" s="68"/>
      <c r="I34" s="70"/>
      <c r="J34" s="1"/>
      <c r="K34" s="119">
        <v>256</v>
      </c>
      <c r="L34" s="70" t="s">
        <v>0</v>
      </c>
      <c r="M34" s="67"/>
      <c r="N34" s="68"/>
      <c r="O34" s="76"/>
      <c r="P34" s="83" t="s">
        <v>5895</v>
      </c>
      <c r="Q34" s="64" t="s">
        <v>1</v>
      </c>
      <c r="R34" s="65">
        <v>1</v>
      </c>
      <c r="S34" s="99"/>
      <c r="T34" s="70"/>
      <c r="U34" s="99"/>
      <c r="V34" s="70"/>
      <c r="W34" s="81" t="s">
        <v>8083</v>
      </c>
      <c r="X34" s="57" t="s">
        <v>1</v>
      </c>
      <c r="Y34" s="58">
        <v>0.25</v>
      </c>
      <c r="Z34" s="77" t="s">
        <v>422</v>
      </c>
      <c r="AA34" s="81"/>
      <c r="AB34" s="57"/>
      <c r="AC34" s="58"/>
      <c r="AD34" s="77"/>
      <c r="AE34" s="228">
        <f>ROUND((ROUND((ROUND((_15_同援日０．５*_15・通訳),0)*_15・２人),0)*(1+_15・盲ろう)),0)+ROUND((ROUND((ROUND((ROUND((_15_同援日０．５＿０．５*_15・通訳),0)*_15・２人),0)*(1+_15・B夜間)),0)*(1+_15・盲ろう)),0)+ROUND((ROUND((ROUND((ROUND((_15_同援日０．５＿０．５＿１．５*_15・通訳),0)*_15・２人),0)*(1+_15・C深夜)),0)*(1+_15・盲ろう)),0)</f>
        <v>790</v>
      </c>
      <c r="AF34" s="69"/>
    </row>
    <row r="35" spans="1:32" ht="16.5" customHeight="1" x14ac:dyDescent="0.3">
      <c r="A35" s="2">
        <v>15</v>
      </c>
      <c r="B35" s="2" t="s">
        <v>5063</v>
      </c>
      <c r="C35" s="60" t="s">
        <v>15676</v>
      </c>
      <c r="D35" s="1"/>
      <c r="E35" s="68"/>
      <c r="F35" s="70"/>
      <c r="G35" s="1"/>
      <c r="H35" s="68"/>
      <c r="I35" s="70"/>
      <c r="J35" s="1"/>
      <c r="K35" s="68"/>
      <c r="L35" s="70"/>
      <c r="M35" s="67"/>
      <c r="N35" s="68"/>
      <c r="O35" s="76"/>
      <c r="P35" s="83"/>
      <c r="Q35" s="64"/>
      <c r="R35" s="65"/>
      <c r="S35" s="99"/>
      <c r="T35" s="70"/>
      <c r="U35" s="99"/>
      <c r="V35" s="70"/>
      <c r="W35" s="74"/>
      <c r="X35" s="62"/>
      <c r="Y35" s="63"/>
      <c r="Z35" s="75"/>
      <c r="AA35" s="74" t="s">
        <v>8098</v>
      </c>
      <c r="AB35" s="62"/>
      <c r="AC35" s="63"/>
      <c r="AD35" s="75"/>
      <c r="AE35" s="228">
        <f>ROUND((ROUND((_15_同援日０．５*_15・通訳),0)*(1+_15・区３)),0)+ROUND((ROUND((ROUND((_15_同援日０．５＿０．５*_15・通訳),0)*(1+_15・B夜間)),0)*(1+_15・区３)),0)+ROUND((ROUND((ROUND((_15_同援日０．５＿０．５＿１．５*_15・通訳),0)*(1+_15・C深夜)),0)*(1+_15・区３)),0)</f>
        <v>758</v>
      </c>
      <c r="AF35" s="69"/>
    </row>
    <row r="36" spans="1:32" ht="16.5" customHeight="1" x14ac:dyDescent="0.3">
      <c r="A36" s="2">
        <v>15</v>
      </c>
      <c r="B36" s="2" t="s">
        <v>5064</v>
      </c>
      <c r="C36" s="60" t="s">
        <v>15675</v>
      </c>
      <c r="D36" s="1"/>
      <c r="E36" s="68"/>
      <c r="F36" s="70"/>
      <c r="G36" s="1"/>
      <c r="H36" s="68"/>
      <c r="I36" s="70"/>
      <c r="J36" s="1"/>
      <c r="K36" s="68"/>
      <c r="L36" s="70"/>
      <c r="M36" s="67"/>
      <c r="N36" s="68"/>
      <c r="O36" s="76"/>
      <c r="P36" s="83" t="s">
        <v>5895</v>
      </c>
      <c r="Q36" s="64" t="s">
        <v>1</v>
      </c>
      <c r="R36" s="65">
        <v>1</v>
      </c>
      <c r="S36" s="99"/>
      <c r="T36" s="70"/>
      <c r="U36" s="99"/>
      <c r="V36" s="70"/>
      <c r="W36" s="81"/>
      <c r="X36" s="57"/>
      <c r="Y36" s="58"/>
      <c r="Z36" s="77"/>
      <c r="AA36" s="1" t="s">
        <v>8087</v>
      </c>
      <c r="AB36" s="68"/>
      <c r="AC36" s="76"/>
      <c r="AD36" s="70"/>
      <c r="AE36" s="228">
        <f>ROUND((ROUND((ROUND((_15_同援日０．５*_15・通訳),0)*_15・２人),0)*(1+_15・区３)),0)+ROUND((ROUND((ROUND((ROUND((_15_同援日０．５＿０．５*_15・通訳),0)*_15・２人),0)*(1+_15・B夜間)),0)*(1+_15・区３)),0)+ROUND((ROUND((ROUND((ROUND((_15_同援日０．５＿０．５＿１．５*_15・通訳),0)*_15・２人),0)*(1+_15・C深夜)),0)*(1+_15・区３)),0)</f>
        <v>758</v>
      </c>
      <c r="AF36" s="69"/>
    </row>
    <row r="37" spans="1:32" ht="16.5" customHeight="1" x14ac:dyDescent="0.3">
      <c r="A37" s="2">
        <v>15</v>
      </c>
      <c r="B37" s="2" t="s">
        <v>5065</v>
      </c>
      <c r="C37" s="60" t="s">
        <v>15674</v>
      </c>
      <c r="D37" s="1"/>
      <c r="E37" s="68"/>
      <c r="F37" s="70"/>
      <c r="G37" s="1"/>
      <c r="H37" s="68"/>
      <c r="I37" s="70"/>
      <c r="J37" s="1"/>
      <c r="K37" s="68"/>
      <c r="L37" s="70"/>
      <c r="M37" s="67"/>
      <c r="N37" s="68"/>
      <c r="O37" s="76"/>
      <c r="P37" s="83"/>
      <c r="Q37" s="64"/>
      <c r="R37" s="65"/>
      <c r="S37" s="99"/>
      <c r="T37" s="70"/>
      <c r="U37" s="99"/>
      <c r="V37" s="70"/>
      <c r="W37" s="74" t="s">
        <v>18025</v>
      </c>
      <c r="X37" s="62"/>
      <c r="Y37" s="63"/>
      <c r="Z37" s="75"/>
      <c r="AA37" s="1"/>
      <c r="AB37" s="68" t="s">
        <v>1</v>
      </c>
      <c r="AC37" s="76">
        <v>0.2</v>
      </c>
      <c r="AD37" s="70" t="s">
        <v>422</v>
      </c>
      <c r="AE37" s="228">
        <f>ROUND((ROUND((ROUND((_15_同援日０．５*_15・通訳),0)*(1+_15・盲ろう)),0)*(1+_15・区３)),0)+ROUND((ROUND((ROUND((ROUND((_15_同援日０．５＿０．５*_15・通訳),0)*(1+_15・B夜間)),0)*(1+_15・盲ろう)),0)*(1+_15・区３)),0)+ROUND((ROUND((ROUND((ROUND((_15_同援日０．５＿０．５＿１．５*_15・通訳),0)*(1+_15・C深夜)),0)*(1+_15・盲ろう)),0)*(1+_15・区３)),0)</f>
        <v>948</v>
      </c>
      <c r="AF37" s="69"/>
    </row>
    <row r="38" spans="1:32" ht="16.5" customHeight="1" x14ac:dyDescent="0.3">
      <c r="A38" s="2">
        <v>15</v>
      </c>
      <c r="B38" s="2" t="s">
        <v>5066</v>
      </c>
      <c r="C38" s="60" t="s">
        <v>15673</v>
      </c>
      <c r="D38" s="1"/>
      <c r="E38" s="68"/>
      <c r="F38" s="70"/>
      <c r="G38" s="1"/>
      <c r="H38" s="68"/>
      <c r="I38" s="70"/>
      <c r="J38" s="1"/>
      <c r="K38" s="68"/>
      <c r="L38" s="70"/>
      <c r="M38" s="67"/>
      <c r="N38" s="68"/>
      <c r="O38" s="76"/>
      <c r="P38" s="83" t="s">
        <v>5895</v>
      </c>
      <c r="Q38" s="64" t="s">
        <v>1</v>
      </c>
      <c r="R38" s="65">
        <v>1</v>
      </c>
      <c r="S38" s="99"/>
      <c r="T38" s="70"/>
      <c r="U38" s="99"/>
      <c r="V38" s="70"/>
      <c r="W38" s="81" t="s">
        <v>8083</v>
      </c>
      <c r="X38" s="57" t="s">
        <v>1</v>
      </c>
      <c r="Y38" s="58">
        <v>0.25</v>
      </c>
      <c r="Z38" s="77" t="s">
        <v>422</v>
      </c>
      <c r="AA38" s="81"/>
      <c r="AB38" s="57"/>
      <c r="AC38" s="58"/>
      <c r="AD38" s="77"/>
      <c r="AE38" s="228">
        <f>ROUND((ROUND((ROUND((ROUND((_15_同援日０．５*_15・通訳),0)*_15・２人),0)*(1+_15・盲ろう)),0)*(1+_15・区３)),0)+ROUND((ROUND((ROUND((ROUND((ROUND((_15_同援日０．５＿０．５*_15・通訳),0)*_15・２人),0)*(1+_15・B夜間)),0)*(1+_15・盲ろう)),0)*(1+_15・区３)),0)+ROUND((ROUND((ROUND((ROUND((ROUND((_15_同援日０．５＿０．５＿１．５*_15・通訳),0)*_15・２人),0)*(1+_15・C深夜)),0)*(1+_15・盲ろう)),0)*(1+_15・区３)),0)</f>
        <v>948</v>
      </c>
      <c r="AF38" s="69"/>
    </row>
    <row r="39" spans="1:32" ht="16.5" customHeight="1" x14ac:dyDescent="0.3">
      <c r="A39" s="2">
        <v>15</v>
      </c>
      <c r="B39" s="2" t="s">
        <v>5067</v>
      </c>
      <c r="C39" s="60" t="s">
        <v>15672</v>
      </c>
      <c r="D39" s="1"/>
      <c r="E39" s="68"/>
      <c r="F39" s="70"/>
      <c r="G39" s="1"/>
      <c r="H39" s="68"/>
      <c r="I39" s="70"/>
      <c r="J39" s="1"/>
      <c r="K39" s="68"/>
      <c r="L39" s="70"/>
      <c r="M39" s="67"/>
      <c r="N39" s="68"/>
      <c r="O39" s="76"/>
      <c r="P39" s="83"/>
      <c r="Q39" s="64"/>
      <c r="R39" s="65"/>
      <c r="S39" s="99"/>
      <c r="T39" s="70"/>
      <c r="U39" s="99"/>
      <c r="V39" s="70"/>
      <c r="W39" s="74"/>
      <c r="X39" s="62"/>
      <c r="Y39" s="63"/>
      <c r="Z39" s="75"/>
      <c r="AA39" s="74" t="s">
        <v>18027</v>
      </c>
      <c r="AB39" s="62"/>
      <c r="AC39" s="63"/>
      <c r="AD39" s="75"/>
      <c r="AE39" s="228">
        <f>ROUND((ROUND((_15_同援日０．５*_15・通訳),0)*(1+_15・区４)),0)+ROUND((ROUND((ROUND((_15_同援日０．５＿０．５*_15・通訳),0)*(1+_15・B夜間)),0)*(1+_15・区４)),0)+ROUND((ROUND((ROUND((_15_同援日０．５＿０．５＿１．５*_15・通訳),0)*(1+_15・C深夜)),0)*(1+_15・区４)),0)</f>
        <v>884</v>
      </c>
      <c r="AF39" s="69"/>
    </row>
    <row r="40" spans="1:32" ht="16.5" customHeight="1" x14ac:dyDescent="0.3">
      <c r="A40" s="2">
        <v>15</v>
      </c>
      <c r="B40" s="2" t="s">
        <v>5068</v>
      </c>
      <c r="C40" s="60" t="s">
        <v>15671</v>
      </c>
      <c r="D40" s="1"/>
      <c r="E40" s="68"/>
      <c r="F40" s="70"/>
      <c r="G40" s="1"/>
      <c r="H40" s="68"/>
      <c r="I40" s="70"/>
      <c r="J40" s="1"/>
      <c r="K40" s="68"/>
      <c r="L40" s="70"/>
      <c r="M40" s="67"/>
      <c r="N40" s="68"/>
      <c r="O40" s="76"/>
      <c r="P40" s="83" t="s">
        <v>5895</v>
      </c>
      <c r="Q40" s="64" t="s">
        <v>1</v>
      </c>
      <c r="R40" s="65">
        <v>1</v>
      </c>
      <c r="S40" s="99"/>
      <c r="T40" s="70"/>
      <c r="U40" s="99"/>
      <c r="V40" s="70"/>
      <c r="W40" s="81"/>
      <c r="X40" s="57"/>
      <c r="Y40" s="58"/>
      <c r="Z40" s="77"/>
      <c r="AA40" s="1" t="s">
        <v>8087</v>
      </c>
      <c r="AB40" s="68"/>
      <c r="AC40" s="76"/>
      <c r="AD40" s="70"/>
      <c r="AE40" s="228">
        <f>ROUND((ROUND((ROUND((_15_同援日０．５*_15・通訳),0)*_15・２人),0)*(1+_15・区４)),0)+ROUND((ROUND((ROUND((ROUND((_15_同援日０．５＿０．５*_15・通訳),0)*_15・２人),0)*(1+_15・B夜間)),0)*(1+_15・区４)),0)+ROUND((ROUND((ROUND((ROUND((_15_同援日０．５＿０．５＿１．５*_15・通訳),0)*_15・２人),0)*(1+_15・C深夜)),0)*(1+_15・区４)),0)</f>
        <v>884</v>
      </c>
      <c r="AF40" s="69"/>
    </row>
    <row r="41" spans="1:32" ht="16.5" customHeight="1" x14ac:dyDescent="0.3">
      <c r="A41" s="2">
        <v>15</v>
      </c>
      <c r="B41" s="2" t="s">
        <v>5069</v>
      </c>
      <c r="C41" s="60" t="s">
        <v>15670</v>
      </c>
      <c r="D41" s="1"/>
      <c r="E41" s="68"/>
      <c r="F41" s="70"/>
      <c r="G41" s="1"/>
      <c r="H41" s="68"/>
      <c r="I41" s="70"/>
      <c r="J41" s="1"/>
      <c r="K41" s="68"/>
      <c r="L41" s="70"/>
      <c r="M41" s="67"/>
      <c r="N41" s="68"/>
      <c r="O41" s="76"/>
      <c r="P41" s="83"/>
      <c r="Q41" s="64"/>
      <c r="R41" s="65"/>
      <c r="S41" s="99"/>
      <c r="T41" s="70"/>
      <c r="U41" s="99"/>
      <c r="V41" s="70"/>
      <c r="W41" s="74" t="s">
        <v>18025</v>
      </c>
      <c r="X41" s="62"/>
      <c r="Y41" s="63"/>
      <c r="Z41" s="75"/>
      <c r="AA41" s="1"/>
      <c r="AB41" s="68" t="s">
        <v>1</v>
      </c>
      <c r="AC41" s="76">
        <v>0.4</v>
      </c>
      <c r="AD41" s="70" t="s">
        <v>422</v>
      </c>
      <c r="AE41" s="228">
        <f>ROUND((ROUND((ROUND((_15_同援日０．５*_15・通訳),0)*(1+_15・盲ろう)),0)*(1+_15・区４)),0)+ROUND((ROUND((ROUND((ROUND((_15_同援日０．５＿０．５*_15・通訳),0)*(1+_15・B夜間)),0)*(1+_15・盲ろう)),0)*(1+_15・区４)),0)+ROUND((ROUND((ROUND((ROUND((_15_同援日０．５＿０．５＿１．５*_15・通訳),0)*(1+_15・C深夜)),0)*(1+_15・盲ろう)),0)*(1+_15・区４)),0)</f>
        <v>1105</v>
      </c>
      <c r="AF41" s="69"/>
    </row>
    <row r="42" spans="1:32" ht="16.5" customHeight="1" x14ac:dyDescent="0.3">
      <c r="A42" s="2">
        <v>15</v>
      </c>
      <c r="B42" s="2" t="s">
        <v>5070</v>
      </c>
      <c r="C42" s="60" t="s">
        <v>15669</v>
      </c>
      <c r="D42" s="1"/>
      <c r="E42" s="68"/>
      <c r="F42" s="70"/>
      <c r="G42" s="1"/>
      <c r="H42" s="68"/>
      <c r="I42" s="70"/>
      <c r="J42" s="81"/>
      <c r="K42" s="57"/>
      <c r="L42" s="77"/>
      <c r="M42" s="67"/>
      <c r="N42" s="68"/>
      <c r="O42" s="76"/>
      <c r="P42" s="83" t="s">
        <v>5895</v>
      </c>
      <c r="Q42" s="64" t="s">
        <v>1</v>
      </c>
      <c r="R42" s="65">
        <v>1</v>
      </c>
      <c r="S42" s="99"/>
      <c r="T42" s="70"/>
      <c r="U42" s="99"/>
      <c r="V42" s="70"/>
      <c r="W42" s="81" t="s">
        <v>8083</v>
      </c>
      <c r="X42" s="57" t="s">
        <v>1</v>
      </c>
      <c r="Y42" s="58">
        <v>0.25</v>
      </c>
      <c r="Z42" s="77" t="s">
        <v>422</v>
      </c>
      <c r="AA42" s="81"/>
      <c r="AB42" s="57"/>
      <c r="AC42" s="58"/>
      <c r="AD42" s="77"/>
      <c r="AE42" s="228">
        <f>ROUND((ROUND((ROUND((ROUND((_15_同援日０．５*_15・通訳),0)*_15・２人),0)*(1+_15・盲ろう)),0)*(1+_15・区４)),0)+ROUND((ROUND((ROUND((ROUND((ROUND((_15_同援日０．５＿０．５*_15・通訳),0)*_15・２人),0)*(1+_15・B夜間)),0)*(1+_15・盲ろう)),0)*(1+_15・区４)),0)+ROUND((ROUND((ROUND((ROUND((ROUND((_15_同援日０．５＿０．５＿１．５*_15・通訳),0)*_15・２人),0)*(1+_15・C深夜)),0)*(1+_15・盲ろう)),0)*(1+_15・区４)),0)</f>
        <v>1105</v>
      </c>
      <c r="AF42" s="69"/>
    </row>
    <row r="43" spans="1:32" ht="16.5" customHeight="1" x14ac:dyDescent="0.3">
      <c r="A43" s="2">
        <v>15</v>
      </c>
      <c r="B43" s="2" t="s">
        <v>5071</v>
      </c>
      <c r="C43" s="60" t="s">
        <v>15668</v>
      </c>
      <c r="D43" s="1"/>
      <c r="E43" s="68"/>
      <c r="F43" s="70"/>
      <c r="G43" s="1"/>
      <c r="H43" s="68"/>
      <c r="I43" s="70"/>
      <c r="J43" s="74" t="s">
        <v>6351</v>
      </c>
      <c r="K43" s="62"/>
      <c r="L43" s="75"/>
      <c r="M43" s="67"/>
      <c r="N43" s="68"/>
      <c r="O43" s="76"/>
      <c r="P43" s="83"/>
      <c r="Q43" s="64"/>
      <c r="R43" s="65"/>
      <c r="S43" s="99"/>
      <c r="T43" s="70"/>
      <c r="U43" s="99"/>
      <c r="V43" s="70"/>
      <c r="W43" s="74"/>
      <c r="X43" s="62"/>
      <c r="Y43" s="63"/>
      <c r="Z43" s="75"/>
      <c r="AA43" s="74"/>
      <c r="AB43" s="62"/>
      <c r="AC43" s="63"/>
      <c r="AD43" s="75"/>
      <c r="AE43" s="228">
        <f>ROUND((_15_同援日０．５*_15・通訳),0)+ROUND((ROUND((_15_同援日０．５＿０．５*_15・通訳),0)*(1+_15・B夜間)),0)+ROUND((ROUND((_15_同援日０．５＿０．５＿２．０*_15・通訳),0)*(1+_15・C深夜)),0)</f>
        <v>718</v>
      </c>
      <c r="AF43" s="69"/>
    </row>
    <row r="44" spans="1:32" ht="16.5" customHeight="1" x14ac:dyDescent="0.3">
      <c r="A44" s="2">
        <v>15</v>
      </c>
      <c r="B44" s="2" t="s">
        <v>5072</v>
      </c>
      <c r="C44" s="60" t="s">
        <v>15667</v>
      </c>
      <c r="D44" s="1"/>
      <c r="E44" s="68"/>
      <c r="F44" s="70"/>
      <c r="G44" s="1"/>
      <c r="H44" s="68"/>
      <c r="I44" s="70"/>
      <c r="J44" s="1" t="s">
        <v>5983</v>
      </c>
      <c r="K44" s="68"/>
      <c r="L44" s="70"/>
      <c r="M44" s="67"/>
      <c r="N44" s="68"/>
      <c r="O44" s="76"/>
      <c r="P44" s="83" t="s">
        <v>5895</v>
      </c>
      <c r="Q44" s="64" t="s">
        <v>1</v>
      </c>
      <c r="R44" s="65">
        <v>1</v>
      </c>
      <c r="S44" s="99"/>
      <c r="T44" s="70"/>
      <c r="U44" s="99"/>
      <c r="V44" s="70"/>
      <c r="W44" s="81"/>
      <c r="X44" s="57"/>
      <c r="Y44" s="58"/>
      <c r="Z44" s="77"/>
      <c r="AA44" s="1"/>
      <c r="AB44" s="68"/>
      <c r="AC44" s="76"/>
      <c r="AD44" s="70"/>
      <c r="AE44" s="228">
        <f>ROUND((ROUND((_15_同援日０．５*_15・通訳),0)*_15・２人),0)+ROUND((ROUND((ROUND((_15_同援日０．５＿０．５*_15・通訳),0)*_15・２人),0)*(1+_15・B夜間)),0)+ROUND((ROUND((ROUND((_15_同援日０．５＿０．５＿２．０*_15・通訳),0)*_15・２人),0)*(1+_15・C深夜)),0)</f>
        <v>718</v>
      </c>
      <c r="AF44" s="69"/>
    </row>
    <row r="45" spans="1:32" ht="16.5" customHeight="1" x14ac:dyDescent="0.3">
      <c r="A45" s="2">
        <v>15</v>
      </c>
      <c r="B45" s="2" t="s">
        <v>5073</v>
      </c>
      <c r="C45" s="60" t="s">
        <v>15666</v>
      </c>
      <c r="D45" s="1"/>
      <c r="E45" s="68"/>
      <c r="F45" s="70"/>
      <c r="G45" s="1"/>
      <c r="H45" s="68"/>
      <c r="I45" s="70"/>
      <c r="J45" s="1" t="s">
        <v>6448</v>
      </c>
      <c r="K45" s="68"/>
      <c r="L45" s="70"/>
      <c r="M45" s="67"/>
      <c r="N45" s="68"/>
      <c r="O45" s="76"/>
      <c r="P45" s="83"/>
      <c r="Q45" s="64"/>
      <c r="R45" s="65"/>
      <c r="S45" s="99"/>
      <c r="T45" s="70"/>
      <c r="U45" s="99"/>
      <c r="V45" s="70"/>
      <c r="W45" s="74" t="s">
        <v>8085</v>
      </c>
      <c r="X45" s="62"/>
      <c r="Y45" s="63"/>
      <c r="Z45" s="75"/>
      <c r="AA45" s="1"/>
      <c r="AB45" s="68"/>
      <c r="AC45" s="76"/>
      <c r="AD45" s="70"/>
      <c r="AE45" s="228">
        <f>ROUND((ROUND((_15_同援日０．５*_15・通訳),0)*(1+_15・盲ろう)),0)+ROUND((ROUND((ROUND((_15_同援日０．５＿０．５*_15・通訳),0)*(1+_15・B夜間)),0)*(1+_15・盲ろう)),0)+ROUND((ROUND((ROUND((_15_同援日０．５＿０．５＿２．０*_15・通訳),0)*(1+_15・C深夜)),0)*(1+_15・盲ろう)),0)</f>
        <v>898</v>
      </c>
      <c r="AF45" s="69"/>
    </row>
    <row r="46" spans="1:32" ht="16.5" customHeight="1" x14ac:dyDescent="0.3">
      <c r="A46" s="2">
        <v>15</v>
      </c>
      <c r="B46" s="2" t="s">
        <v>5074</v>
      </c>
      <c r="C46" s="60" t="s">
        <v>15665</v>
      </c>
      <c r="D46" s="1"/>
      <c r="E46" s="68"/>
      <c r="F46" s="70"/>
      <c r="G46" s="1"/>
      <c r="H46" s="68"/>
      <c r="I46" s="70"/>
      <c r="J46" s="1"/>
      <c r="K46" s="119">
        <v>319</v>
      </c>
      <c r="L46" s="70" t="s">
        <v>0</v>
      </c>
      <c r="M46" s="67"/>
      <c r="N46" s="68"/>
      <c r="O46" s="76"/>
      <c r="P46" s="83" t="s">
        <v>5895</v>
      </c>
      <c r="Q46" s="64" t="s">
        <v>1</v>
      </c>
      <c r="R46" s="65">
        <v>1</v>
      </c>
      <c r="S46" s="99"/>
      <c r="T46" s="70"/>
      <c r="U46" s="99"/>
      <c r="V46" s="70"/>
      <c r="W46" s="81" t="s">
        <v>18024</v>
      </c>
      <c r="X46" s="57" t="s">
        <v>1</v>
      </c>
      <c r="Y46" s="58">
        <v>0.25</v>
      </c>
      <c r="Z46" s="77" t="s">
        <v>422</v>
      </c>
      <c r="AA46" s="81"/>
      <c r="AB46" s="57"/>
      <c r="AC46" s="58"/>
      <c r="AD46" s="77"/>
      <c r="AE46" s="228">
        <f>ROUND((ROUND((ROUND((_15_同援日０．５*_15・通訳),0)*_15・２人),0)*(1+_15・盲ろう)),0)+ROUND((ROUND((ROUND((ROUND((_15_同援日０．５＿０．５*_15・通訳),0)*_15・２人),0)*(1+_15・B夜間)),0)*(1+_15・盲ろう)),0)+ROUND((ROUND((ROUND((ROUND((_15_同援日０．５＿０．５＿２．０*_15・通訳),0)*_15・２人),0)*(1+_15・C深夜)),0)*(1+_15・盲ろう)),0)</f>
        <v>898</v>
      </c>
      <c r="AF46" s="69"/>
    </row>
    <row r="47" spans="1:32" ht="16.5" customHeight="1" x14ac:dyDescent="0.3">
      <c r="A47" s="2">
        <v>15</v>
      </c>
      <c r="B47" s="2" t="s">
        <v>5075</v>
      </c>
      <c r="C47" s="60" t="s">
        <v>15664</v>
      </c>
      <c r="D47" s="1"/>
      <c r="E47" s="68"/>
      <c r="F47" s="70"/>
      <c r="G47" s="1"/>
      <c r="H47" s="68"/>
      <c r="I47" s="70"/>
      <c r="J47" s="1"/>
      <c r="K47" s="68"/>
      <c r="L47" s="70"/>
      <c r="M47" s="67"/>
      <c r="N47" s="68"/>
      <c r="O47" s="76"/>
      <c r="P47" s="83"/>
      <c r="Q47" s="64"/>
      <c r="R47" s="65"/>
      <c r="S47" s="99"/>
      <c r="T47" s="70"/>
      <c r="U47" s="99"/>
      <c r="V47" s="70"/>
      <c r="W47" s="74"/>
      <c r="X47" s="62"/>
      <c r="Y47" s="63"/>
      <c r="Z47" s="75"/>
      <c r="AA47" s="74" t="s">
        <v>18028</v>
      </c>
      <c r="AB47" s="62"/>
      <c r="AC47" s="63"/>
      <c r="AD47" s="75"/>
      <c r="AE47" s="228">
        <f>ROUND((ROUND((_15_同援日０．５*_15・通訳),0)*(1+_15・区３)),0)+ROUND((ROUND((ROUND((_15_同援日０．５＿０．５*_15・通訳),0)*(1+_15・B夜間)),0)*(1+_15・区３)),0)+ROUND((ROUND((ROUND((_15_同援日０．５＿０．５＿２．０*_15・通訳),0)*(1+_15・C深夜)),0)*(1+_15・区３)),0)</f>
        <v>861</v>
      </c>
      <c r="AF47" s="69"/>
    </row>
    <row r="48" spans="1:32" ht="16.5" customHeight="1" x14ac:dyDescent="0.3">
      <c r="A48" s="2">
        <v>15</v>
      </c>
      <c r="B48" s="2" t="s">
        <v>5076</v>
      </c>
      <c r="C48" s="60" t="s">
        <v>15663</v>
      </c>
      <c r="D48" s="1"/>
      <c r="E48" s="68"/>
      <c r="F48" s="70"/>
      <c r="G48" s="1"/>
      <c r="H48" s="68"/>
      <c r="I48" s="70"/>
      <c r="J48" s="1"/>
      <c r="K48" s="68"/>
      <c r="L48" s="70"/>
      <c r="M48" s="67"/>
      <c r="N48" s="68"/>
      <c r="O48" s="76"/>
      <c r="P48" s="83" t="s">
        <v>5895</v>
      </c>
      <c r="Q48" s="64" t="s">
        <v>1</v>
      </c>
      <c r="R48" s="65">
        <v>1</v>
      </c>
      <c r="S48" s="99"/>
      <c r="T48" s="70"/>
      <c r="U48" s="99"/>
      <c r="V48" s="70"/>
      <c r="W48" s="81"/>
      <c r="X48" s="57"/>
      <c r="Y48" s="58"/>
      <c r="Z48" s="77"/>
      <c r="AA48" s="1" t="s">
        <v>18026</v>
      </c>
      <c r="AB48" s="68"/>
      <c r="AC48" s="76"/>
      <c r="AD48" s="70"/>
      <c r="AE48" s="228">
        <f>ROUND((ROUND((ROUND((_15_同援日０．５*_15・通訳),0)*_15・２人),0)*(1+_15・区３)),0)+ROUND((ROUND((ROUND((ROUND((_15_同援日０．５＿０．５*_15・通訳),0)*_15・２人),0)*(1+_15・B夜間)),0)*(1+_15・区３)),0)+ROUND((ROUND((ROUND((ROUND((_15_同援日０．５＿０．５＿２．０*_15・通訳),0)*_15・２人),0)*(1+_15・C深夜)),0)*(1+_15・区３)),0)</f>
        <v>861</v>
      </c>
      <c r="AF48" s="69"/>
    </row>
    <row r="49" spans="1:32" ht="16.5" customHeight="1" x14ac:dyDescent="0.3">
      <c r="A49" s="2">
        <v>15</v>
      </c>
      <c r="B49" s="2" t="s">
        <v>5077</v>
      </c>
      <c r="C49" s="60" t="s">
        <v>15662</v>
      </c>
      <c r="D49" s="1"/>
      <c r="E49" s="68"/>
      <c r="F49" s="70"/>
      <c r="G49" s="1"/>
      <c r="H49" s="68"/>
      <c r="I49" s="70"/>
      <c r="J49" s="1"/>
      <c r="K49" s="68"/>
      <c r="L49" s="70"/>
      <c r="M49" s="67"/>
      <c r="N49" s="68"/>
      <c r="O49" s="76"/>
      <c r="P49" s="83"/>
      <c r="Q49" s="64"/>
      <c r="R49" s="65"/>
      <c r="S49" s="99"/>
      <c r="T49" s="70"/>
      <c r="U49" s="99"/>
      <c r="V49" s="70"/>
      <c r="W49" s="74" t="s">
        <v>18025</v>
      </c>
      <c r="X49" s="62"/>
      <c r="Y49" s="63"/>
      <c r="Z49" s="75"/>
      <c r="AA49" s="1"/>
      <c r="AB49" s="68" t="s">
        <v>1</v>
      </c>
      <c r="AC49" s="76">
        <v>0.2</v>
      </c>
      <c r="AD49" s="70" t="s">
        <v>422</v>
      </c>
      <c r="AE49" s="228">
        <f>ROUND((ROUND((ROUND((_15_同援日０．５*_15・通訳),0)*(1+_15・盲ろう)),0)*(1+_15・区３)),0)+ROUND((ROUND((ROUND((ROUND((_15_同援日０．５＿０．５*_15・通訳),0)*(1+_15・B夜間)),0)*(1+_15・盲ろう)),0)*(1+_15・区３)),0)+ROUND((ROUND((ROUND((ROUND((_15_同援日０．５＿０．５＿２．０*_15・通訳),0)*(1+_15・C深夜)),0)*(1+_15・盲ろう)),0)*(1+_15・区３)),0)</f>
        <v>1078</v>
      </c>
      <c r="AF49" s="69"/>
    </row>
    <row r="50" spans="1:32" ht="16.5" customHeight="1" x14ac:dyDescent="0.3">
      <c r="A50" s="2">
        <v>15</v>
      </c>
      <c r="B50" s="2" t="s">
        <v>5078</v>
      </c>
      <c r="C50" s="60" t="s">
        <v>15661</v>
      </c>
      <c r="D50" s="1"/>
      <c r="E50" s="68"/>
      <c r="F50" s="70"/>
      <c r="G50" s="1"/>
      <c r="H50" s="68"/>
      <c r="I50" s="70"/>
      <c r="J50" s="1"/>
      <c r="K50" s="68"/>
      <c r="L50" s="70"/>
      <c r="M50" s="67"/>
      <c r="N50" s="68"/>
      <c r="O50" s="76"/>
      <c r="P50" s="83" t="s">
        <v>5895</v>
      </c>
      <c r="Q50" s="64" t="s">
        <v>1</v>
      </c>
      <c r="R50" s="65">
        <v>1</v>
      </c>
      <c r="S50" s="99"/>
      <c r="T50" s="70"/>
      <c r="U50" s="99"/>
      <c r="V50" s="70"/>
      <c r="W50" s="81" t="s">
        <v>18024</v>
      </c>
      <c r="X50" s="57" t="s">
        <v>1</v>
      </c>
      <c r="Y50" s="58">
        <v>0.25</v>
      </c>
      <c r="Z50" s="77" t="s">
        <v>422</v>
      </c>
      <c r="AA50" s="81"/>
      <c r="AB50" s="57"/>
      <c r="AC50" s="58"/>
      <c r="AD50" s="77"/>
      <c r="AE50" s="228">
        <f>ROUND((ROUND((ROUND((ROUND((_15_同援日０．５*_15・通訳),0)*_15・２人),0)*(1+_15・盲ろう)),0)*(1+_15・区３)),0)+ROUND((ROUND((ROUND((ROUND((ROUND((_15_同援日０．５＿０．５*_15・通訳),0)*_15・２人),0)*(1+_15・B夜間)),0)*(1+_15・盲ろう)),0)*(1+_15・区３)),0)+ROUND((ROUND((ROUND((ROUND((ROUND((_15_同援日０．５＿０．５＿２．０*_15・通訳),0)*_15・２人),0)*(1+_15・C深夜)),0)*(1+_15・盲ろう)),0)*(1+_15・区３)),0)</f>
        <v>1078</v>
      </c>
      <c r="AF50" s="69"/>
    </row>
    <row r="51" spans="1:32" ht="16.5" customHeight="1" x14ac:dyDescent="0.3">
      <c r="A51" s="2">
        <v>15</v>
      </c>
      <c r="B51" s="2" t="s">
        <v>5079</v>
      </c>
      <c r="C51" s="60" t="s">
        <v>15660</v>
      </c>
      <c r="D51" s="1"/>
      <c r="E51" s="68"/>
      <c r="F51" s="70"/>
      <c r="G51" s="1"/>
      <c r="H51" s="68"/>
      <c r="I51" s="70"/>
      <c r="J51" s="1"/>
      <c r="K51" s="68"/>
      <c r="L51" s="70"/>
      <c r="M51" s="67"/>
      <c r="N51" s="68"/>
      <c r="O51" s="76"/>
      <c r="P51" s="83"/>
      <c r="Q51" s="64"/>
      <c r="R51" s="65"/>
      <c r="S51" s="99"/>
      <c r="T51" s="70"/>
      <c r="U51" s="99"/>
      <c r="V51" s="70"/>
      <c r="W51" s="74"/>
      <c r="X51" s="62"/>
      <c r="Y51" s="63"/>
      <c r="Z51" s="75"/>
      <c r="AA51" s="74" t="s">
        <v>8089</v>
      </c>
      <c r="AB51" s="62"/>
      <c r="AC51" s="63"/>
      <c r="AD51" s="75"/>
      <c r="AE51" s="228">
        <f>ROUND((ROUND((_15_同援日０．５*_15・通訳),0)*(1+_15・区４)),0)+ROUND((ROUND((ROUND((_15_同援日０．５＿０．５*_15・通訳),0)*(1+_15・B夜間)),0)*(1+_15・区４)),0)+ROUND((ROUND((ROUND((_15_同援日０．５＿０．５＿２．０*_15・通訳),0)*(1+_15・C深夜)),0)*(1+_15・区４)),0)</f>
        <v>1004</v>
      </c>
      <c r="AF51" s="69"/>
    </row>
    <row r="52" spans="1:32" ht="16.5" customHeight="1" x14ac:dyDescent="0.3">
      <c r="A52" s="2">
        <v>15</v>
      </c>
      <c r="B52" s="2" t="s">
        <v>5080</v>
      </c>
      <c r="C52" s="60" t="s">
        <v>15659</v>
      </c>
      <c r="D52" s="1"/>
      <c r="E52" s="68"/>
      <c r="F52" s="70"/>
      <c r="G52" s="1"/>
      <c r="H52" s="68"/>
      <c r="I52" s="70"/>
      <c r="J52" s="1"/>
      <c r="K52" s="68"/>
      <c r="L52" s="70"/>
      <c r="M52" s="67"/>
      <c r="N52" s="68"/>
      <c r="O52" s="76"/>
      <c r="P52" s="83" t="s">
        <v>5895</v>
      </c>
      <c r="Q52" s="64" t="s">
        <v>1</v>
      </c>
      <c r="R52" s="65">
        <v>1</v>
      </c>
      <c r="S52" s="99"/>
      <c r="T52" s="70"/>
      <c r="U52" s="99"/>
      <c r="V52" s="70"/>
      <c r="W52" s="81"/>
      <c r="X52" s="57"/>
      <c r="Y52" s="58"/>
      <c r="Z52" s="77"/>
      <c r="AA52" s="1" t="s">
        <v>18026</v>
      </c>
      <c r="AB52" s="68"/>
      <c r="AC52" s="76"/>
      <c r="AD52" s="70"/>
      <c r="AE52" s="228">
        <f>ROUND((ROUND((ROUND((_15_同援日０．５*_15・通訳),0)*_15・２人),0)*(1+_15・区４)),0)+ROUND((ROUND((ROUND((ROUND((_15_同援日０．５＿０．５*_15・通訳),0)*_15・２人),0)*(1+_15・B夜間)),0)*(1+_15・区４)),0)+ROUND((ROUND((ROUND((ROUND((_15_同援日０．５＿０．５＿２．０*_15・通訳),0)*_15・２人),0)*(1+_15・C深夜)),0)*(1+_15・区４)),0)</f>
        <v>1004</v>
      </c>
      <c r="AF52" s="69"/>
    </row>
    <row r="53" spans="1:32" ht="16.5" customHeight="1" x14ac:dyDescent="0.3">
      <c r="A53" s="2">
        <v>15</v>
      </c>
      <c r="B53" s="2" t="s">
        <v>5081</v>
      </c>
      <c r="C53" s="60" t="s">
        <v>15658</v>
      </c>
      <c r="D53" s="1"/>
      <c r="E53" s="68"/>
      <c r="F53" s="70"/>
      <c r="G53" s="1"/>
      <c r="H53" s="68"/>
      <c r="I53" s="70"/>
      <c r="J53" s="1"/>
      <c r="K53" s="68"/>
      <c r="L53" s="70"/>
      <c r="M53" s="67"/>
      <c r="N53" s="68"/>
      <c r="O53" s="76"/>
      <c r="P53" s="83"/>
      <c r="Q53" s="64"/>
      <c r="R53" s="65"/>
      <c r="S53" s="99"/>
      <c r="T53" s="70"/>
      <c r="U53" s="99"/>
      <c r="V53" s="70"/>
      <c r="W53" s="74" t="s">
        <v>18025</v>
      </c>
      <c r="X53" s="62"/>
      <c r="Y53" s="63"/>
      <c r="Z53" s="75"/>
      <c r="AA53" s="1"/>
      <c r="AB53" s="68" t="s">
        <v>1</v>
      </c>
      <c r="AC53" s="76">
        <v>0.4</v>
      </c>
      <c r="AD53" s="70" t="s">
        <v>422</v>
      </c>
      <c r="AE53" s="228">
        <f>ROUND((ROUND((ROUND((_15_同援日０．５*_15・通訳),0)*(1+_15・盲ろう)),0)*(1+_15・区４)),0)+ROUND((ROUND((ROUND((ROUND((_15_同援日０．５＿０．５*_15・通訳),0)*(1+_15・B夜間)),0)*(1+_15・盲ろう)),0)*(1+_15・区４)),0)+ROUND((ROUND((ROUND((ROUND((_15_同援日０．５＿０．５＿２．０*_15・通訳),0)*(1+_15・C深夜)),0)*(1+_15・盲ろう)),0)*(1+_15・区４)),0)</f>
        <v>1257</v>
      </c>
      <c r="AF53" s="69"/>
    </row>
    <row r="54" spans="1:32" ht="16.5" customHeight="1" x14ac:dyDescent="0.3">
      <c r="A54" s="2">
        <v>15</v>
      </c>
      <c r="B54" s="2" t="s">
        <v>5082</v>
      </c>
      <c r="C54" s="60" t="s">
        <v>15657</v>
      </c>
      <c r="D54" s="1"/>
      <c r="E54" s="68"/>
      <c r="F54" s="70"/>
      <c r="G54" s="81"/>
      <c r="H54" s="57"/>
      <c r="I54" s="77"/>
      <c r="J54" s="81"/>
      <c r="K54" s="57"/>
      <c r="L54" s="77"/>
      <c r="M54" s="67"/>
      <c r="N54" s="68"/>
      <c r="O54" s="76"/>
      <c r="P54" s="83" t="s">
        <v>5895</v>
      </c>
      <c r="Q54" s="64" t="s">
        <v>1</v>
      </c>
      <c r="R54" s="65">
        <v>1</v>
      </c>
      <c r="S54" s="99"/>
      <c r="T54" s="70"/>
      <c r="U54" s="99"/>
      <c r="V54" s="70"/>
      <c r="W54" s="81" t="s">
        <v>18024</v>
      </c>
      <c r="X54" s="57" t="s">
        <v>1</v>
      </c>
      <c r="Y54" s="58">
        <v>0.25</v>
      </c>
      <c r="Z54" s="77" t="s">
        <v>422</v>
      </c>
      <c r="AA54" s="81"/>
      <c r="AB54" s="57"/>
      <c r="AC54" s="58"/>
      <c r="AD54" s="77"/>
      <c r="AE54" s="228">
        <f>ROUND((ROUND((ROUND((ROUND((_15_同援日０．５*_15・通訳),0)*_15・２人),0)*(1+_15・盲ろう)),0)*(1+_15・区４)),0)+ROUND((ROUND((ROUND((ROUND((ROUND((_15_同援日０．５＿０．５*_15・通訳),0)*_15・２人),0)*(1+_15・B夜間)),0)*(1+_15・盲ろう)),0)*(1+_15・区４)),0)+ROUND((ROUND((ROUND((ROUND((ROUND((_15_同援日０．５＿０．５＿２．０*_15・通訳),0)*_15・２人),0)*(1+_15・C深夜)),0)*(1+_15・盲ろう)),0)*(1+_15・区４)),0)</f>
        <v>1257</v>
      </c>
      <c r="AF54" s="69"/>
    </row>
    <row r="55" spans="1:32" ht="16.5" customHeight="1" x14ac:dyDescent="0.3">
      <c r="A55" s="2">
        <v>15</v>
      </c>
      <c r="B55" s="2" t="s">
        <v>5083</v>
      </c>
      <c r="C55" s="60" t="s">
        <v>15656</v>
      </c>
      <c r="D55" s="1"/>
      <c r="E55" s="68"/>
      <c r="F55" s="70"/>
      <c r="G55" s="233" t="s">
        <v>18389</v>
      </c>
      <c r="H55" s="235"/>
      <c r="I55" s="75"/>
      <c r="J55" s="74" t="s">
        <v>17494</v>
      </c>
      <c r="K55" s="62"/>
      <c r="L55" s="75"/>
      <c r="M55" s="67"/>
      <c r="N55" s="68"/>
      <c r="O55" s="76"/>
      <c r="P55" s="83"/>
      <c r="Q55" s="64"/>
      <c r="R55" s="65"/>
      <c r="S55" s="99"/>
      <c r="T55" s="70"/>
      <c r="U55" s="99"/>
      <c r="V55" s="70"/>
      <c r="W55" s="74"/>
      <c r="X55" s="62"/>
      <c r="Y55" s="63"/>
      <c r="Z55" s="75"/>
      <c r="AA55" s="74"/>
      <c r="AB55" s="62"/>
      <c r="AC55" s="63"/>
      <c r="AD55" s="75"/>
      <c r="AE55" s="228">
        <f>ROUND((_15_同援日０．５*_15・通訳),0)+ROUND((ROUND((_15_同援日０．５＿１．０*_15・通訳),0)*(1+_15・B夜間)),0)+ROUND((ROUND((_15_同援日０．５＿１．０＿０．５*_15・通訳),0)*(1+_15・C深夜)),0)</f>
        <v>519</v>
      </c>
      <c r="AF55" s="69"/>
    </row>
    <row r="56" spans="1:32" ht="16.5" customHeight="1" x14ac:dyDescent="0.3">
      <c r="A56" s="2">
        <v>15</v>
      </c>
      <c r="B56" s="2" t="s">
        <v>5084</v>
      </c>
      <c r="C56" s="60" t="s">
        <v>15655</v>
      </c>
      <c r="D56" s="1"/>
      <c r="E56" s="68"/>
      <c r="F56" s="70"/>
      <c r="G56" s="1" t="s">
        <v>17067</v>
      </c>
      <c r="H56" s="68"/>
      <c r="I56" s="70"/>
      <c r="J56" s="1" t="s">
        <v>7928</v>
      </c>
      <c r="K56" s="68"/>
      <c r="L56" s="70"/>
      <c r="M56" s="67"/>
      <c r="N56" s="68"/>
      <c r="O56" s="76"/>
      <c r="P56" s="83" t="s">
        <v>5895</v>
      </c>
      <c r="Q56" s="64" t="s">
        <v>1</v>
      </c>
      <c r="R56" s="65">
        <v>1</v>
      </c>
      <c r="S56" s="99"/>
      <c r="T56" s="70"/>
      <c r="U56" s="99"/>
      <c r="V56" s="70"/>
      <c r="W56" s="81"/>
      <c r="X56" s="57"/>
      <c r="Y56" s="58"/>
      <c r="Z56" s="77"/>
      <c r="AA56" s="1"/>
      <c r="AB56" s="68"/>
      <c r="AC56" s="76"/>
      <c r="AD56" s="70"/>
      <c r="AE56" s="228">
        <f>ROUND((ROUND((_15_同援日０．５*_15・通訳),0)*_15・２人),0)+ROUND((ROUND((ROUND((_15_同援日０．５＿１．０*_15・通訳),0)*_15・２人),0)*(1+_15・B夜間)),0)+ROUND((ROUND((ROUND((_15_同援日０．５＿１．０＿０．５*_15・通訳),0)*_15・２人),0)*(1+_15・C深夜)),0)</f>
        <v>519</v>
      </c>
      <c r="AF56" s="69"/>
    </row>
    <row r="57" spans="1:32" ht="16.5" customHeight="1" x14ac:dyDescent="0.3">
      <c r="A57" s="2">
        <v>15</v>
      </c>
      <c r="B57" s="2" t="s">
        <v>5085</v>
      </c>
      <c r="C57" s="60" t="s">
        <v>15654</v>
      </c>
      <c r="D57" s="1"/>
      <c r="E57" s="68"/>
      <c r="F57" s="70"/>
      <c r="G57" s="1" t="s">
        <v>8572</v>
      </c>
      <c r="H57" s="68"/>
      <c r="I57" s="70"/>
      <c r="J57" s="1"/>
      <c r="K57" s="68"/>
      <c r="L57" s="70"/>
      <c r="M57" s="67"/>
      <c r="N57" s="68"/>
      <c r="O57" s="76"/>
      <c r="P57" s="83"/>
      <c r="Q57" s="64"/>
      <c r="R57" s="65"/>
      <c r="S57" s="99"/>
      <c r="T57" s="70"/>
      <c r="U57" s="99"/>
      <c r="V57" s="70"/>
      <c r="W57" s="74" t="s">
        <v>18025</v>
      </c>
      <c r="X57" s="62"/>
      <c r="Y57" s="63"/>
      <c r="Z57" s="75"/>
      <c r="AA57" s="1"/>
      <c r="AB57" s="68"/>
      <c r="AC57" s="76"/>
      <c r="AD57" s="70"/>
      <c r="AE57" s="228">
        <f>ROUND((ROUND((_15_同援日０．５*_15・通訳),0)*(1+_15・盲ろう)),0)+ROUND((ROUND((ROUND((_15_同援日０．５＿１．０*_15・通訳),0)*(1+_15・B夜間)),0)*(1+_15・盲ろう)),0)+ROUND((ROUND((ROUND((_15_同援日０．５＿１．０＿０．５*_15・通訳),0)*(1+_15・C深夜)),0)*(1+_15・盲ろう)),0)</f>
        <v>650</v>
      </c>
      <c r="AF57" s="69"/>
    </row>
    <row r="58" spans="1:32" ht="16.5" customHeight="1" x14ac:dyDescent="0.3">
      <c r="A58" s="2">
        <v>15</v>
      </c>
      <c r="B58" s="2" t="s">
        <v>5086</v>
      </c>
      <c r="C58" s="60" t="s">
        <v>15653</v>
      </c>
      <c r="D58" s="1"/>
      <c r="E58" s="68"/>
      <c r="F58" s="70"/>
      <c r="G58" s="1"/>
      <c r="H58" s="227">
        <v>237</v>
      </c>
      <c r="I58" s="70" t="s">
        <v>0</v>
      </c>
      <c r="J58" s="1"/>
      <c r="K58" s="119">
        <v>64</v>
      </c>
      <c r="L58" s="70" t="s">
        <v>0</v>
      </c>
      <c r="M58" s="67"/>
      <c r="N58" s="68"/>
      <c r="O58" s="76"/>
      <c r="P58" s="83" t="s">
        <v>5895</v>
      </c>
      <c r="Q58" s="64" t="s">
        <v>1</v>
      </c>
      <c r="R58" s="65">
        <v>1</v>
      </c>
      <c r="S58" s="99"/>
      <c r="T58" s="70"/>
      <c r="U58" s="99"/>
      <c r="V58" s="70"/>
      <c r="W58" s="81" t="s">
        <v>18024</v>
      </c>
      <c r="X58" s="57" t="s">
        <v>1</v>
      </c>
      <c r="Y58" s="58">
        <v>0.25</v>
      </c>
      <c r="Z58" s="77" t="s">
        <v>422</v>
      </c>
      <c r="AA58" s="81"/>
      <c r="AB58" s="57"/>
      <c r="AC58" s="58"/>
      <c r="AD58" s="77"/>
      <c r="AE58" s="228">
        <f>ROUND((ROUND((ROUND((_15_同援日０．５*_15・通訳),0)*_15・２人),0)*(1+_15・盲ろう)),0)+ROUND((ROUND((ROUND((ROUND((_15_同援日０．５＿１．０*_15・通訳),0)*_15・２人),0)*(1+_15・B夜間)),0)*(1+_15・盲ろう)),0)+ROUND((ROUND((ROUND((ROUND((_15_同援日０．５＿１．０＿０．５*_15・通訳),0)*_15・２人),0)*(1+_15・C深夜)),0)*(1+_15・盲ろう)),0)</f>
        <v>650</v>
      </c>
      <c r="AF58" s="69"/>
    </row>
    <row r="59" spans="1:32" ht="16.5" customHeight="1" x14ac:dyDescent="0.3">
      <c r="A59" s="2">
        <v>15</v>
      </c>
      <c r="B59" s="2" t="s">
        <v>5087</v>
      </c>
      <c r="C59" s="60" t="s">
        <v>15652</v>
      </c>
      <c r="D59" s="1"/>
      <c r="E59" s="68"/>
      <c r="F59" s="70"/>
      <c r="G59" s="1"/>
      <c r="H59" s="68"/>
      <c r="I59" s="70"/>
      <c r="J59" s="1"/>
      <c r="K59" s="68"/>
      <c r="L59" s="70"/>
      <c r="M59" s="67"/>
      <c r="N59" s="68"/>
      <c r="O59" s="76"/>
      <c r="P59" s="83"/>
      <c r="Q59" s="64"/>
      <c r="R59" s="65"/>
      <c r="S59" s="99"/>
      <c r="T59" s="70"/>
      <c r="U59" s="99"/>
      <c r="V59" s="70"/>
      <c r="W59" s="74"/>
      <c r="X59" s="62"/>
      <c r="Y59" s="63"/>
      <c r="Z59" s="75"/>
      <c r="AA59" s="74" t="s">
        <v>18028</v>
      </c>
      <c r="AB59" s="62"/>
      <c r="AC59" s="63"/>
      <c r="AD59" s="75"/>
      <c r="AE59" s="228">
        <f>ROUND((ROUND((_15_同援日０．５*_15・通訳),0)*(1+_15・区３)),0)+ROUND((ROUND((ROUND((_15_同援日０．５＿１．０*_15・通訳),0)*(1+_15・B夜間)),0)*(1+_15・区３)),0)+ROUND((ROUND((ROUND((_15_同援日０．５＿１．０＿０．５*_15・通訳),0)*(1+_15・C深夜)),0)*(1+_15・区３)),0)</f>
        <v>622</v>
      </c>
      <c r="AF59" s="69"/>
    </row>
    <row r="60" spans="1:32" ht="16.5" customHeight="1" x14ac:dyDescent="0.3">
      <c r="A60" s="2">
        <v>15</v>
      </c>
      <c r="B60" s="2" t="s">
        <v>5088</v>
      </c>
      <c r="C60" s="60" t="s">
        <v>15651</v>
      </c>
      <c r="D60" s="1"/>
      <c r="E60" s="68"/>
      <c r="F60" s="70"/>
      <c r="G60" s="1"/>
      <c r="H60" s="68"/>
      <c r="I60" s="70"/>
      <c r="J60" s="1"/>
      <c r="K60" s="68"/>
      <c r="L60" s="70"/>
      <c r="M60" s="67"/>
      <c r="N60" s="68"/>
      <c r="O60" s="76"/>
      <c r="P60" s="83" t="s">
        <v>5895</v>
      </c>
      <c r="Q60" s="64" t="s">
        <v>1</v>
      </c>
      <c r="R60" s="65">
        <v>1</v>
      </c>
      <c r="S60" s="99"/>
      <c r="T60" s="70"/>
      <c r="U60" s="99"/>
      <c r="V60" s="70"/>
      <c r="W60" s="81"/>
      <c r="X60" s="57"/>
      <c r="Y60" s="58"/>
      <c r="Z60" s="77"/>
      <c r="AA60" s="1" t="s">
        <v>18026</v>
      </c>
      <c r="AB60" s="68"/>
      <c r="AC60" s="76"/>
      <c r="AD60" s="70"/>
      <c r="AE60" s="228">
        <f>ROUND((ROUND((ROUND((_15_同援日０．５*_15・通訳),0)*_15・２人),0)*(1+_15・区３)),0)+ROUND((ROUND((ROUND((ROUND((_15_同援日０．５＿１．０*_15・通訳),0)*_15・２人),0)*(1+_15・B夜間)),0)*(1+_15・区３)),0)+ROUND((ROUND((ROUND((ROUND((_15_同援日０．５＿１．０＿０．５*_15・通訳),0)*_15・２人),0)*(1+_15・C深夜)),0)*(1+_15・区３)),0)</f>
        <v>622</v>
      </c>
      <c r="AF60" s="69"/>
    </row>
    <row r="61" spans="1:32" ht="16.5" customHeight="1" x14ac:dyDescent="0.3">
      <c r="A61" s="2">
        <v>15</v>
      </c>
      <c r="B61" s="2" t="s">
        <v>5089</v>
      </c>
      <c r="C61" s="60" t="s">
        <v>15650</v>
      </c>
      <c r="D61" s="1"/>
      <c r="E61" s="68"/>
      <c r="F61" s="70"/>
      <c r="G61" s="1"/>
      <c r="H61" s="68"/>
      <c r="I61" s="70"/>
      <c r="J61" s="1"/>
      <c r="K61" s="68"/>
      <c r="L61" s="70"/>
      <c r="M61" s="67"/>
      <c r="N61" s="68"/>
      <c r="O61" s="76"/>
      <c r="P61" s="83"/>
      <c r="Q61" s="64"/>
      <c r="R61" s="65"/>
      <c r="S61" s="99"/>
      <c r="T61" s="70"/>
      <c r="U61" s="99"/>
      <c r="V61" s="70"/>
      <c r="W61" s="74" t="s">
        <v>8085</v>
      </c>
      <c r="X61" s="62"/>
      <c r="Y61" s="63"/>
      <c r="Z61" s="75"/>
      <c r="AA61" s="1"/>
      <c r="AB61" s="68" t="s">
        <v>1</v>
      </c>
      <c r="AC61" s="76">
        <v>0.2</v>
      </c>
      <c r="AD61" s="70" t="s">
        <v>422</v>
      </c>
      <c r="AE61" s="228">
        <f>ROUND((ROUND((ROUND((_15_同援日０．５*_15・通訳),0)*(1+_15・盲ろう)),0)*(1+_15・区３)),0)+ROUND((ROUND((ROUND((ROUND((_15_同援日０．５＿１．０*_15・通訳),0)*(1+_15・B夜間)),0)*(1+_15・盲ろう)),0)*(1+_15・区３)),0)+ROUND((ROUND((ROUND((ROUND((_15_同援日０．５＿１．０＿０．５*_15・通訳),0)*(1+_15・C深夜)),0)*(1+_15・盲ろう)),0)*(1+_15・区３)),0)</f>
        <v>781</v>
      </c>
      <c r="AF61" s="69"/>
    </row>
    <row r="62" spans="1:32" ht="16.5" customHeight="1" x14ac:dyDescent="0.3">
      <c r="A62" s="2">
        <v>15</v>
      </c>
      <c r="B62" s="2" t="s">
        <v>5090</v>
      </c>
      <c r="C62" s="60" t="s">
        <v>15649</v>
      </c>
      <c r="D62" s="1"/>
      <c r="E62" s="68"/>
      <c r="F62" s="70"/>
      <c r="G62" s="1"/>
      <c r="H62" s="68"/>
      <c r="I62" s="70"/>
      <c r="J62" s="1"/>
      <c r="K62" s="68"/>
      <c r="L62" s="70"/>
      <c r="M62" s="67"/>
      <c r="N62" s="68"/>
      <c r="O62" s="76"/>
      <c r="P62" s="83" t="s">
        <v>5895</v>
      </c>
      <c r="Q62" s="64" t="s">
        <v>1</v>
      </c>
      <c r="R62" s="65">
        <v>1</v>
      </c>
      <c r="S62" s="99"/>
      <c r="T62" s="70"/>
      <c r="U62" s="99"/>
      <c r="V62" s="70"/>
      <c r="W62" s="81" t="s">
        <v>18024</v>
      </c>
      <c r="X62" s="57" t="s">
        <v>1</v>
      </c>
      <c r="Y62" s="58">
        <v>0.25</v>
      </c>
      <c r="Z62" s="77" t="s">
        <v>422</v>
      </c>
      <c r="AA62" s="81"/>
      <c r="AB62" s="57"/>
      <c r="AC62" s="58"/>
      <c r="AD62" s="77"/>
      <c r="AE62" s="228">
        <f>ROUND((ROUND((ROUND((ROUND((_15_同援日０．５*_15・通訳),0)*_15・２人),0)*(1+_15・盲ろう)),0)*(1+_15・区３)),0)+ROUND((ROUND((ROUND((ROUND((ROUND((_15_同援日０．５＿１．０*_15・通訳),0)*_15・２人),0)*(1+_15・B夜間)),0)*(1+_15・盲ろう)),0)*(1+_15・区３)),0)+ROUND((ROUND((ROUND((ROUND((ROUND((_15_同援日０．５＿１．０＿０．５*_15・通訳),0)*_15・２人),0)*(1+_15・C深夜)),0)*(1+_15・盲ろう)),0)*(1+_15・区３)),0)</f>
        <v>781</v>
      </c>
      <c r="AF62" s="69"/>
    </row>
    <row r="63" spans="1:32" ht="16.5" customHeight="1" x14ac:dyDescent="0.3">
      <c r="A63" s="2">
        <v>15</v>
      </c>
      <c r="B63" s="2" t="s">
        <v>5091</v>
      </c>
      <c r="C63" s="60" t="s">
        <v>15648</v>
      </c>
      <c r="D63" s="1"/>
      <c r="E63" s="68"/>
      <c r="F63" s="70"/>
      <c r="G63" s="1"/>
      <c r="H63" s="68"/>
      <c r="I63" s="70"/>
      <c r="J63" s="1"/>
      <c r="K63" s="68"/>
      <c r="L63" s="70"/>
      <c r="M63" s="67"/>
      <c r="N63" s="68"/>
      <c r="O63" s="76"/>
      <c r="P63" s="83"/>
      <c r="Q63" s="64"/>
      <c r="R63" s="65"/>
      <c r="S63" s="99"/>
      <c r="T63" s="70"/>
      <c r="U63" s="99"/>
      <c r="V63" s="70"/>
      <c r="W63" s="74"/>
      <c r="X63" s="62"/>
      <c r="Y63" s="63"/>
      <c r="Z63" s="75"/>
      <c r="AA63" s="74" t="s">
        <v>18027</v>
      </c>
      <c r="AB63" s="62"/>
      <c r="AC63" s="63"/>
      <c r="AD63" s="75"/>
      <c r="AE63" s="228">
        <f>ROUND((ROUND((_15_同援日０．５*_15・通訳),0)*(1+_15・区４)),0)+ROUND((ROUND((ROUND((_15_同援日０．５＿１．０*_15・通訳),0)*(1+_15・B夜間)),0)*(1+_15・区４)),0)+ROUND((ROUND((ROUND((_15_同援日０．５＿１．０＿０．５*_15・通訳),0)*(1+_15・C深夜)),0)*(1+_15・区４)),0)</f>
        <v>726</v>
      </c>
      <c r="AF63" s="69"/>
    </row>
    <row r="64" spans="1:32" ht="16.5" customHeight="1" x14ac:dyDescent="0.3">
      <c r="A64" s="2">
        <v>15</v>
      </c>
      <c r="B64" s="2" t="s">
        <v>5092</v>
      </c>
      <c r="C64" s="60" t="s">
        <v>15647</v>
      </c>
      <c r="D64" s="1"/>
      <c r="E64" s="68"/>
      <c r="F64" s="70"/>
      <c r="G64" s="1"/>
      <c r="H64" s="68"/>
      <c r="I64" s="70"/>
      <c r="J64" s="1"/>
      <c r="K64" s="68"/>
      <c r="L64" s="70"/>
      <c r="M64" s="67"/>
      <c r="N64" s="68"/>
      <c r="O64" s="76"/>
      <c r="P64" s="83" t="s">
        <v>5895</v>
      </c>
      <c r="Q64" s="64" t="s">
        <v>1</v>
      </c>
      <c r="R64" s="65">
        <v>1</v>
      </c>
      <c r="S64" s="99"/>
      <c r="T64" s="70"/>
      <c r="U64" s="99"/>
      <c r="V64" s="70"/>
      <c r="W64" s="81"/>
      <c r="X64" s="57"/>
      <c r="Y64" s="58"/>
      <c r="Z64" s="77"/>
      <c r="AA64" s="1" t="s">
        <v>18084</v>
      </c>
      <c r="AB64" s="68"/>
      <c r="AC64" s="76"/>
      <c r="AD64" s="70"/>
      <c r="AE64" s="228">
        <f>ROUND((ROUND((ROUND((_15_同援日０．５*_15・通訳),0)*_15・２人),0)*(1+_15・区４)),0)+ROUND((ROUND((ROUND((ROUND((_15_同援日０．５＿１．０*_15・通訳),0)*_15・２人),0)*(1+_15・B夜間)),0)*(1+_15・区４)),0)+ROUND((ROUND((ROUND((ROUND((_15_同援日０．５＿１．０＿０．５*_15・通訳),0)*_15・２人),0)*(1+_15・C深夜)),0)*(1+_15・区４)),0)</f>
        <v>726</v>
      </c>
      <c r="AF64" s="69"/>
    </row>
    <row r="65" spans="1:32" ht="16.5" customHeight="1" x14ac:dyDescent="0.3">
      <c r="A65" s="2">
        <v>15</v>
      </c>
      <c r="B65" s="2" t="s">
        <v>5093</v>
      </c>
      <c r="C65" s="60" t="s">
        <v>15646</v>
      </c>
      <c r="D65" s="1"/>
      <c r="E65" s="68"/>
      <c r="F65" s="70"/>
      <c r="G65" s="1"/>
      <c r="H65" s="68"/>
      <c r="I65" s="70"/>
      <c r="J65" s="1"/>
      <c r="K65" s="68"/>
      <c r="L65" s="70"/>
      <c r="M65" s="67"/>
      <c r="N65" s="68"/>
      <c r="O65" s="76"/>
      <c r="P65" s="83"/>
      <c r="Q65" s="64"/>
      <c r="R65" s="65"/>
      <c r="S65" s="99"/>
      <c r="T65" s="70"/>
      <c r="U65" s="99"/>
      <c r="V65" s="70"/>
      <c r="W65" s="74" t="s">
        <v>18025</v>
      </c>
      <c r="X65" s="62"/>
      <c r="Y65" s="63"/>
      <c r="Z65" s="75"/>
      <c r="AA65" s="1"/>
      <c r="AB65" s="68" t="s">
        <v>1</v>
      </c>
      <c r="AC65" s="76">
        <v>0.4</v>
      </c>
      <c r="AD65" s="70" t="s">
        <v>422</v>
      </c>
      <c r="AE65" s="228">
        <f>ROUND((ROUND((ROUND((_15_同援日０．５*_15・通訳),0)*(1+_15・盲ろう)),0)*(1+_15・区４)),0)+ROUND((ROUND((ROUND((ROUND((_15_同援日０．５＿１．０*_15・通訳),0)*(1+_15・B夜間)),0)*(1+_15・盲ろう)),0)*(1+_15・区４)),0)+ROUND((ROUND((ROUND((ROUND((_15_同援日０．５＿１．０＿０．５*_15・通訳),0)*(1+_15・C深夜)),0)*(1+_15・盲ろう)),0)*(1+_15・区４)),0)</f>
        <v>910</v>
      </c>
      <c r="AF65" s="69"/>
    </row>
    <row r="66" spans="1:32" ht="16.5" customHeight="1" x14ac:dyDescent="0.3">
      <c r="A66" s="2">
        <v>15</v>
      </c>
      <c r="B66" s="2" t="s">
        <v>5094</v>
      </c>
      <c r="C66" s="60" t="s">
        <v>15645</v>
      </c>
      <c r="D66" s="1"/>
      <c r="E66" s="68"/>
      <c r="F66" s="70"/>
      <c r="G66" s="1"/>
      <c r="H66" s="68"/>
      <c r="I66" s="70"/>
      <c r="J66" s="1"/>
      <c r="K66" s="68"/>
      <c r="L66" s="70"/>
      <c r="M66" s="67"/>
      <c r="N66" s="68"/>
      <c r="O66" s="76"/>
      <c r="P66" s="83" t="s">
        <v>5895</v>
      </c>
      <c r="Q66" s="64" t="s">
        <v>1</v>
      </c>
      <c r="R66" s="65">
        <v>1</v>
      </c>
      <c r="S66" s="99"/>
      <c r="T66" s="70"/>
      <c r="U66" s="99"/>
      <c r="V66" s="70"/>
      <c r="W66" s="81" t="s">
        <v>18086</v>
      </c>
      <c r="X66" s="57" t="s">
        <v>1</v>
      </c>
      <c r="Y66" s="58">
        <v>0.25</v>
      </c>
      <c r="Z66" s="77" t="s">
        <v>422</v>
      </c>
      <c r="AA66" s="81"/>
      <c r="AB66" s="57"/>
      <c r="AC66" s="58"/>
      <c r="AD66" s="77"/>
      <c r="AE66" s="228">
        <f>ROUND((ROUND((ROUND((ROUND((_15_同援日０．５*_15・通訳),0)*_15・２人),0)*(1+_15・盲ろう)),0)*(1+_15・区４)),0)+ROUND((ROUND((ROUND((ROUND((ROUND((_15_同援日０．５＿１．０*_15・通訳),0)*_15・２人),0)*(1+_15・B夜間)),0)*(1+_15・盲ろう)),0)*(1+_15・区４)),0)+ROUND((ROUND((ROUND((ROUND((ROUND((_15_同援日０．５＿１．０＿０．５*_15・通訳),0)*_15・２人),0)*(1+_15・C深夜)),0)*(1+_15・盲ろう)),0)*(1+_15・区４)),0)</f>
        <v>910</v>
      </c>
      <c r="AF66" s="69"/>
    </row>
    <row r="67" spans="1:32" ht="16.5" customHeight="1" x14ac:dyDescent="0.3">
      <c r="A67" s="2">
        <v>15</v>
      </c>
      <c r="B67" s="2" t="s">
        <v>5095</v>
      </c>
      <c r="C67" s="60" t="s">
        <v>15644</v>
      </c>
      <c r="D67" s="1"/>
      <c r="E67" s="68"/>
      <c r="F67" s="70"/>
      <c r="G67" s="1"/>
      <c r="H67" s="68"/>
      <c r="I67" s="70"/>
      <c r="J67" s="74" t="s">
        <v>17493</v>
      </c>
      <c r="K67" s="62"/>
      <c r="L67" s="75"/>
      <c r="M67" s="67"/>
      <c r="N67" s="68"/>
      <c r="O67" s="76"/>
      <c r="P67" s="83"/>
      <c r="Q67" s="64"/>
      <c r="R67" s="65"/>
      <c r="S67" s="99"/>
      <c r="T67" s="70"/>
      <c r="U67" s="99"/>
      <c r="V67" s="70"/>
      <c r="W67" s="74"/>
      <c r="X67" s="62"/>
      <c r="Y67" s="63"/>
      <c r="Z67" s="75"/>
      <c r="AA67" s="74"/>
      <c r="AB67" s="62"/>
      <c r="AC67" s="63"/>
      <c r="AD67" s="75"/>
      <c r="AE67" s="228">
        <f>ROUND((_15_同援日０．５*_15・通訳),0)+ROUND((ROUND((_15_同援日０．５＿１．０*_15・通訳),0)*(1+_15・B夜間)),0)+ROUND((ROUND((_15_同援日０．５＿１．０＿１．０*_15・通訳),0)*(1+_15・C深夜)),0)</f>
        <v>603</v>
      </c>
      <c r="AF67" s="69"/>
    </row>
    <row r="68" spans="1:32" ht="16.5" customHeight="1" x14ac:dyDescent="0.3">
      <c r="A68" s="2">
        <v>15</v>
      </c>
      <c r="B68" s="2" t="s">
        <v>5096</v>
      </c>
      <c r="C68" s="60" t="s">
        <v>15643</v>
      </c>
      <c r="D68" s="1"/>
      <c r="E68" s="68"/>
      <c r="F68" s="70"/>
      <c r="G68" s="1"/>
      <c r="H68" s="68"/>
      <c r="I68" s="70"/>
      <c r="J68" s="1" t="s">
        <v>17067</v>
      </c>
      <c r="K68" s="68"/>
      <c r="L68" s="70"/>
      <c r="M68" s="67"/>
      <c r="N68" s="68"/>
      <c r="O68" s="76"/>
      <c r="P68" s="83" t="s">
        <v>5895</v>
      </c>
      <c r="Q68" s="64" t="s">
        <v>1</v>
      </c>
      <c r="R68" s="65">
        <v>1</v>
      </c>
      <c r="S68" s="99"/>
      <c r="T68" s="70"/>
      <c r="U68" s="99"/>
      <c r="V68" s="70"/>
      <c r="W68" s="81"/>
      <c r="X68" s="57"/>
      <c r="Y68" s="58"/>
      <c r="Z68" s="77"/>
      <c r="AA68" s="1"/>
      <c r="AB68" s="68"/>
      <c r="AC68" s="76"/>
      <c r="AD68" s="70"/>
      <c r="AE68" s="228">
        <f>ROUND((ROUND((_15_同援日０．５*_15・通訳),0)*_15・２人),0)+ROUND((ROUND((ROUND((_15_同援日０．５＿１．０*_15・通訳),0)*_15・２人),0)*(1+_15・B夜間)),0)+ROUND((ROUND((ROUND((_15_同援日０．５＿１．０＿１．０*_15・通訳),0)*_15・２人),0)*(1+_15・C深夜)),0)</f>
        <v>603</v>
      </c>
      <c r="AF68" s="69"/>
    </row>
    <row r="69" spans="1:32" ht="16.5" customHeight="1" x14ac:dyDescent="0.3">
      <c r="A69" s="2">
        <v>15</v>
      </c>
      <c r="B69" s="2" t="s">
        <v>5097</v>
      </c>
      <c r="C69" s="60" t="s">
        <v>15642</v>
      </c>
      <c r="D69" s="1"/>
      <c r="E69" s="68"/>
      <c r="F69" s="70"/>
      <c r="G69" s="1"/>
      <c r="H69" s="68"/>
      <c r="I69" s="70"/>
      <c r="J69" s="1" t="s">
        <v>8572</v>
      </c>
      <c r="K69" s="68"/>
      <c r="L69" s="70"/>
      <c r="M69" s="67"/>
      <c r="N69" s="68"/>
      <c r="O69" s="76"/>
      <c r="P69" s="83"/>
      <c r="Q69" s="64"/>
      <c r="R69" s="65"/>
      <c r="S69" s="99"/>
      <c r="T69" s="70"/>
      <c r="U69" s="99"/>
      <c r="V69" s="70"/>
      <c r="W69" s="74" t="s">
        <v>18025</v>
      </c>
      <c r="X69" s="62"/>
      <c r="Y69" s="63"/>
      <c r="Z69" s="75"/>
      <c r="AA69" s="1"/>
      <c r="AB69" s="68"/>
      <c r="AC69" s="76"/>
      <c r="AD69" s="70"/>
      <c r="AE69" s="228">
        <f>ROUND((ROUND((_15_同援日０．５*_15・通訳),0)*(1+_15・盲ろう)),0)+ROUND((ROUND((ROUND((_15_同援日０．５＿１．０*_15・通訳),0)*(1+_15・B夜間)),0)*(1+_15・盲ろう)),0)+ROUND((ROUND((ROUND((_15_同援日０．５＿１．０＿１．０*_15・通訳),0)*(1+_15・C深夜)),0)*(1+_15・盲ろう)),0)</f>
        <v>755</v>
      </c>
      <c r="AF69" s="69"/>
    </row>
    <row r="70" spans="1:32" ht="16.5" customHeight="1" x14ac:dyDescent="0.3">
      <c r="A70" s="2">
        <v>15</v>
      </c>
      <c r="B70" s="2" t="s">
        <v>5098</v>
      </c>
      <c r="C70" s="60" t="s">
        <v>15641</v>
      </c>
      <c r="D70" s="1"/>
      <c r="E70" s="68"/>
      <c r="F70" s="70"/>
      <c r="G70" s="1"/>
      <c r="H70" s="68"/>
      <c r="I70" s="70"/>
      <c r="J70" s="1"/>
      <c r="K70" s="119">
        <v>127</v>
      </c>
      <c r="L70" s="70" t="s">
        <v>0</v>
      </c>
      <c r="M70" s="67"/>
      <c r="N70" s="68"/>
      <c r="O70" s="76"/>
      <c r="P70" s="83" t="s">
        <v>5895</v>
      </c>
      <c r="Q70" s="64" t="s">
        <v>1</v>
      </c>
      <c r="R70" s="65">
        <v>1</v>
      </c>
      <c r="S70" s="99"/>
      <c r="T70" s="70"/>
      <c r="U70" s="99"/>
      <c r="V70" s="70"/>
      <c r="W70" s="81" t="s">
        <v>8083</v>
      </c>
      <c r="X70" s="57" t="s">
        <v>1</v>
      </c>
      <c r="Y70" s="58">
        <v>0.25</v>
      </c>
      <c r="Z70" s="77" t="s">
        <v>422</v>
      </c>
      <c r="AA70" s="81"/>
      <c r="AB70" s="57"/>
      <c r="AC70" s="58"/>
      <c r="AD70" s="77"/>
      <c r="AE70" s="228">
        <f>ROUND((ROUND((ROUND((_15_同援日０．５*_15・通訳),0)*_15・２人),0)*(1+_15・盲ろう)),0)+ROUND((ROUND((ROUND((ROUND((_15_同援日０．５＿１．０*_15・通訳),0)*_15・２人),0)*(1+_15・B夜間)),0)*(1+_15・盲ろう)),0)+ROUND((ROUND((ROUND((ROUND((_15_同援日０．５＿１．０＿１．０*_15・通訳),0)*_15・２人),0)*(1+_15・C深夜)),0)*(1+_15・盲ろう)),0)</f>
        <v>755</v>
      </c>
      <c r="AF70" s="69"/>
    </row>
    <row r="71" spans="1:32" ht="16.5" customHeight="1" x14ac:dyDescent="0.3">
      <c r="A71" s="2">
        <v>15</v>
      </c>
      <c r="B71" s="2" t="s">
        <v>5099</v>
      </c>
      <c r="C71" s="60" t="s">
        <v>15640</v>
      </c>
      <c r="D71" s="1"/>
      <c r="E71" s="68"/>
      <c r="F71" s="70"/>
      <c r="G71" s="1"/>
      <c r="H71" s="68"/>
      <c r="I71" s="70"/>
      <c r="J71" s="1"/>
      <c r="K71" s="68"/>
      <c r="L71" s="70"/>
      <c r="M71" s="67"/>
      <c r="N71" s="68"/>
      <c r="O71" s="76"/>
      <c r="P71" s="83"/>
      <c r="Q71" s="64"/>
      <c r="R71" s="65"/>
      <c r="S71" s="99"/>
      <c r="T71" s="70"/>
      <c r="U71" s="99"/>
      <c r="V71" s="70"/>
      <c r="W71" s="74"/>
      <c r="X71" s="62"/>
      <c r="Y71" s="63"/>
      <c r="Z71" s="75"/>
      <c r="AA71" s="74" t="s">
        <v>18028</v>
      </c>
      <c r="AB71" s="62"/>
      <c r="AC71" s="63"/>
      <c r="AD71" s="75"/>
      <c r="AE71" s="228">
        <f>ROUND((ROUND((_15_同援日０．５*_15・通訳),0)*(1+_15・区３)),0)+ROUND((ROUND((ROUND((_15_同援日０．５＿１．０*_15・通訳),0)*(1+_15・B夜間)),0)*(1+_15・区３)),0)+ROUND((ROUND((ROUND((_15_同援日０．５＿１．０＿１．０*_15・通訳),0)*(1+_15・C深夜)),0)*(1+_15・区３)),0)</f>
        <v>723</v>
      </c>
      <c r="AF71" s="69"/>
    </row>
    <row r="72" spans="1:32" ht="16.5" customHeight="1" x14ac:dyDescent="0.3">
      <c r="A72" s="2">
        <v>15</v>
      </c>
      <c r="B72" s="2" t="s">
        <v>5100</v>
      </c>
      <c r="C72" s="60" t="s">
        <v>15639</v>
      </c>
      <c r="D72" s="1"/>
      <c r="E72" s="68"/>
      <c r="F72" s="70"/>
      <c r="G72" s="1"/>
      <c r="H72" s="68"/>
      <c r="I72" s="70"/>
      <c r="J72" s="1"/>
      <c r="K72" s="68"/>
      <c r="L72" s="70"/>
      <c r="M72" s="67"/>
      <c r="N72" s="68"/>
      <c r="O72" s="76"/>
      <c r="P72" s="83" t="s">
        <v>5895</v>
      </c>
      <c r="Q72" s="64" t="s">
        <v>1</v>
      </c>
      <c r="R72" s="65">
        <v>1</v>
      </c>
      <c r="S72" s="99"/>
      <c r="T72" s="70"/>
      <c r="U72" s="99"/>
      <c r="V72" s="70"/>
      <c r="W72" s="81"/>
      <c r="X72" s="57"/>
      <c r="Y72" s="58"/>
      <c r="Z72" s="77"/>
      <c r="AA72" s="1" t="s">
        <v>18026</v>
      </c>
      <c r="AB72" s="68"/>
      <c r="AC72" s="76"/>
      <c r="AD72" s="70"/>
      <c r="AE72" s="228">
        <f>ROUND((ROUND((ROUND((_15_同援日０．５*_15・通訳),0)*_15・２人),0)*(1+_15・区３)),0)+ROUND((ROUND((ROUND((ROUND((_15_同援日０．５＿１．０*_15・通訳),0)*_15・２人),0)*(1+_15・B夜間)),0)*(1+_15・区３)),0)+ROUND((ROUND((ROUND((ROUND((_15_同援日０．５＿１．０＿１．０*_15・通訳),0)*_15・２人),0)*(1+_15・C深夜)),0)*(1+_15・区３)),0)</f>
        <v>723</v>
      </c>
      <c r="AF72" s="69"/>
    </row>
    <row r="73" spans="1:32" ht="16.5" customHeight="1" x14ac:dyDescent="0.3">
      <c r="A73" s="2">
        <v>15</v>
      </c>
      <c r="B73" s="2" t="s">
        <v>5101</v>
      </c>
      <c r="C73" s="60" t="s">
        <v>15638</v>
      </c>
      <c r="D73" s="1"/>
      <c r="E73" s="68"/>
      <c r="F73" s="70"/>
      <c r="G73" s="1"/>
      <c r="H73" s="68"/>
      <c r="I73" s="70"/>
      <c r="J73" s="1"/>
      <c r="K73" s="68"/>
      <c r="L73" s="70"/>
      <c r="M73" s="67"/>
      <c r="N73" s="68"/>
      <c r="O73" s="76"/>
      <c r="P73" s="83"/>
      <c r="Q73" s="64"/>
      <c r="R73" s="65"/>
      <c r="S73" s="99"/>
      <c r="T73" s="70"/>
      <c r="U73" s="99"/>
      <c r="V73" s="70"/>
      <c r="W73" s="74" t="s">
        <v>18025</v>
      </c>
      <c r="X73" s="62"/>
      <c r="Y73" s="63"/>
      <c r="Z73" s="75"/>
      <c r="AA73" s="1"/>
      <c r="AB73" s="68" t="s">
        <v>1</v>
      </c>
      <c r="AC73" s="76">
        <v>0.2</v>
      </c>
      <c r="AD73" s="70" t="s">
        <v>422</v>
      </c>
      <c r="AE73" s="228">
        <f>ROUND((ROUND((ROUND((_15_同援日０．５*_15・通訳),0)*(1+_15・盲ろう)),0)*(1+_15・区３)),0)+ROUND((ROUND((ROUND((ROUND((_15_同援日０．５＿１．０*_15・通訳),0)*(1+_15・B夜間)),0)*(1+_15・盲ろう)),0)*(1+_15・区３)),0)+ROUND((ROUND((ROUND((ROUND((_15_同援日０．５＿１．０＿１．０*_15・通訳),0)*(1+_15・C深夜)),0)*(1+_15・盲ろう)),0)*(1+_15・区３)),0)</f>
        <v>907</v>
      </c>
      <c r="AF73" s="69"/>
    </row>
    <row r="74" spans="1:32" ht="16.5" customHeight="1" x14ac:dyDescent="0.3">
      <c r="A74" s="2">
        <v>15</v>
      </c>
      <c r="B74" s="2" t="s">
        <v>5102</v>
      </c>
      <c r="C74" s="60" t="s">
        <v>15637</v>
      </c>
      <c r="D74" s="1"/>
      <c r="E74" s="68"/>
      <c r="F74" s="70"/>
      <c r="G74" s="1"/>
      <c r="H74" s="68"/>
      <c r="I74" s="70"/>
      <c r="J74" s="1"/>
      <c r="K74" s="68"/>
      <c r="L74" s="70"/>
      <c r="M74" s="67"/>
      <c r="N74" s="68"/>
      <c r="O74" s="76"/>
      <c r="P74" s="83" t="s">
        <v>5895</v>
      </c>
      <c r="Q74" s="64" t="s">
        <v>1</v>
      </c>
      <c r="R74" s="65">
        <v>1</v>
      </c>
      <c r="S74" s="99"/>
      <c r="T74" s="70"/>
      <c r="U74" s="99"/>
      <c r="V74" s="70"/>
      <c r="W74" s="81" t="s">
        <v>18024</v>
      </c>
      <c r="X74" s="57" t="s">
        <v>1</v>
      </c>
      <c r="Y74" s="58">
        <v>0.25</v>
      </c>
      <c r="Z74" s="77" t="s">
        <v>422</v>
      </c>
      <c r="AA74" s="81"/>
      <c r="AB74" s="57"/>
      <c r="AC74" s="58"/>
      <c r="AD74" s="77"/>
      <c r="AE74" s="228">
        <f>ROUND((ROUND((ROUND((ROUND((_15_同援日０．５*_15・通訳),0)*_15・２人),0)*(1+_15・盲ろう)),0)*(1+_15・区３)),0)+ROUND((ROUND((ROUND((ROUND((ROUND((_15_同援日０．５＿１．０*_15・通訳),0)*_15・２人),0)*(1+_15・B夜間)),0)*(1+_15・盲ろう)),0)*(1+_15・区３)),0)+ROUND((ROUND((ROUND((ROUND((ROUND((_15_同援日０．５＿１．０＿１．０*_15・通訳),0)*_15・２人),0)*(1+_15・C深夜)),0)*(1+_15・盲ろう)),0)*(1+_15・区３)),0)</f>
        <v>907</v>
      </c>
      <c r="AF74" s="69"/>
    </row>
    <row r="75" spans="1:32" ht="16.5" customHeight="1" x14ac:dyDescent="0.3">
      <c r="A75" s="2">
        <v>15</v>
      </c>
      <c r="B75" s="2" t="s">
        <v>5103</v>
      </c>
      <c r="C75" s="60" t="s">
        <v>15636</v>
      </c>
      <c r="D75" s="1"/>
      <c r="E75" s="68"/>
      <c r="F75" s="70"/>
      <c r="G75" s="1"/>
      <c r="H75" s="68"/>
      <c r="I75" s="70"/>
      <c r="J75" s="1"/>
      <c r="K75" s="68"/>
      <c r="L75" s="70"/>
      <c r="M75" s="67"/>
      <c r="N75" s="68"/>
      <c r="O75" s="76"/>
      <c r="P75" s="83"/>
      <c r="Q75" s="64"/>
      <c r="R75" s="65"/>
      <c r="S75" s="99"/>
      <c r="T75" s="70"/>
      <c r="U75" s="99"/>
      <c r="V75" s="70"/>
      <c r="W75" s="74"/>
      <c r="X75" s="62"/>
      <c r="Y75" s="63"/>
      <c r="Z75" s="75"/>
      <c r="AA75" s="74" t="s">
        <v>8089</v>
      </c>
      <c r="AB75" s="62"/>
      <c r="AC75" s="63"/>
      <c r="AD75" s="75"/>
      <c r="AE75" s="228">
        <f>ROUND((ROUND((_15_同援日０．５*_15・通訳),0)*(1+_15・区４)),0)+ROUND((ROUND((ROUND((_15_同援日０．５＿１．０*_15・通訳),0)*(1+_15・B夜間)),0)*(1+_15・区４)),0)+ROUND((ROUND((ROUND((_15_同援日０．５＿１．０＿１．０*_15・通訳),0)*(1+_15・C深夜)),0)*(1+_15・区４)),0)</f>
        <v>843</v>
      </c>
      <c r="AF75" s="69"/>
    </row>
    <row r="76" spans="1:32" ht="16.5" customHeight="1" x14ac:dyDescent="0.3">
      <c r="A76" s="2">
        <v>15</v>
      </c>
      <c r="B76" s="2" t="s">
        <v>5104</v>
      </c>
      <c r="C76" s="60" t="s">
        <v>15635</v>
      </c>
      <c r="D76" s="1"/>
      <c r="E76" s="68"/>
      <c r="F76" s="70"/>
      <c r="G76" s="1"/>
      <c r="H76" s="68"/>
      <c r="I76" s="70"/>
      <c r="J76" s="1"/>
      <c r="K76" s="68"/>
      <c r="L76" s="70"/>
      <c r="M76" s="67"/>
      <c r="N76" s="68"/>
      <c r="O76" s="76"/>
      <c r="P76" s="83" t="s">
        <v>5895</v>
      </c>
      <c r="Q76" s="64" t="s">
        <v>1</v>
      </c>
      <c r="R76" s="65">
        <v>1</v>
      </c>
      <c r="S76" s="99"/>
      <c r="T76" s="70"/>
      <c r="U76" s="99"/>
      <c r="V76" s="70"/>
      <c r="W76" s="81"/>
      <c r="X76" s="57"/>
      <c r="Y76" s="58"/>
      <c r="Z76" s="77"/>
      <c r="AA76" s="1" t="s">
        <v>18026</v>
      </c>
      <c r="AB76" s="68"/>
      <c r="AC76" s="76"/>
      <c r="AD76" s="70"/>
      <c r="AE76" s="228">
        <f>ROUND((ROUND((ROUND((_15_同援日０．５*_15・通訳),0)*_15・２人),0)*(1+_15・区４)),0)+ROUND((ROUND((ROUND((ROUND((_15_同援日０．５＿１．０*_15・通訳),0)*_15・２人),0)*(1+_15・B夜間)),0)*(1+_15・区４)),0)+ROUND((ROUND((ROUND((ROUND((_15_同援日０．５＿１．０＿１．０*_15・通訳),0)*_15・２人),0)*(1+_15・C深夜)),0)*(1+_15・区４)),0)</f>
        <v>843</v>
      </c>
      <c r="AF76" s="69"/>
    </row>
    <row r="77" spans="1:32" ht="16.5" customHeight="1" x14ac:dyDescent="0.3">
      <c r="A77" s="2">
        <v>15</v>
      </c>
      <c r="B77" s="2" t="s">
        <v>5105</v>
      </c>
      <c r="C77" s="60" t="s">
        <v>15634</v>
      </c>
      <c r="D77" s="1"/>
      <c r="E77" s="68"/>
      <c r="F77" s="70"/>
      <c r="G77" s="1"/>
      <c r="H77" s="68"/>
      <c r="I77" s="70"/>
      <c r="J77" s="1"/>
      <c r="K77" s="68"/>
      <c r="L77" s="70"/>
      <c r="M77" s="67"/>
      <c r="N77" s="68"/>
      <c r="O77" s="76"/>
      <c r="P77" s="83"/>
      <c r="Q77" s="64"/>
      <c r="R77" s="65"/>
      <c r="S77" s="99"/>
      <c r="T77" s="70"/>
      <c r="U77" s="99"/>
      <c r="V77" s="70"/>
      <c r="W77" s="74" t="s">
        <v>8085</v>
      </c>
      <c r="X77" s="62"/>
      <c r="Y77" s="63"/>
      <c r="Z77" s="75"/>
      <c r="AA77" s="1"/>
      <c r="AB77" s="68" t="s">
        <v>1</v>
      </c>
      <c r="AC77" s="76">
        <v>0.4</v>
      </c>
      <c r="AD77" s="70" t="s">
        <v>422</v>
      </c>
      <c r="AE77" s="228">
        <f>ROUND((ROUND((ROUND((_15_同援日０．５*_15・通訳),0)*(1+_15・盲ろう)),0)*(1+_15・区４)),0)+ROUND((ROUND((ROUND((ROUND((_15_同援日０．５＿１．０*_15・通訳),0)*(1+_15・B夜間)),0)*(1+_15・盲ろう)),0)*(1+_15・区４)),0)+ROUND((ROUND((ROUND((ROUND((_15_同援日０．５＿１．０＿１．０*_15・通訳),0)*(1+_15・C深夜)),0)*(1+_15・盲ろう)),0)*(1+_15・区４)),0)</f>
        <v>1057</v>
      </c>
      <c r="AF77" s="69"/>
    </row>
    <row r="78" spans="1:32" ht="16.5" customHeight="1" x14ac:dyDescent="0.3">
      <c r="A78" s="2">
        <v>15</v>
      </c>
      <c r="B78" s="2" t="s">
        <v>5106</v>
      </c>
      <c r="C78" s="60" t="s">
        <v>15633</v>
      </c>
      <c r="D78" s="1"/>
      <c r="E78" s="68"/>
      <c r="F78" s="70"/>
      <c r="G78" s="1"/>
      <c r="H78" s="68"/>
      <c r="I78" s="70"/>
      <c r="J78" s="1"/>
      <c r="K78" s="68"/>
      <c r="L78" s="70"/>
      <c r="M78" s="67"/>
      <c r="N78" s="68"/>
      <c r="O78" s="76"/>
      <c r="P78" s="83" t="s">
        <v>5895</v>
      </c>
      <c r="Q78" s="64" t="s">
        <v>1</v>
      </c>
      <c r="R78" s="65">
        <v>1</v>
      </c>
      <c r="S78" s="99"/>
      <c r="T78" s="70"/>
      <c r="U78" s="99"/>
      <c r="V78" s="70"/>
      <c r="W78" s="81" t="s">
        <v>18024</v>
      </c>
      <c r="X78" s="57" t="s">
        <v>1</v>
      </c>
      <c r="Y78" s="58">
        <v>0.25</v>
      </c>
      <c r="Z78" s="77" t="s">
        <v>422</v>
      </c>
      <c r="AA78" s="81"/>
      <c r="AB78" s="57"/>
      <c r="AC78" s="58"/>
      <c r="AD78" s="77"/>
      <c r="AE78" s="228">
        <f>ROUND((ROUND((ROUND((ROUND((_15_同援日０．５*_15・通訳),0)*_15・２人),0)*(1+_15・盲ろう)),0)*(1+_15・区４)),0)+ROUND((ROUND((ROUND((ROUND((ROUND((_15_同援日０．５＿１．０*_15・通訳),0)*_15・２人),0)*(1+_15・B夜間)),0)*(1+_15・盲ろう)),0)*(1+_15・区４)),0)+ROUND((ROUND((ROUND((ROUND((ROUND((_15_同援日０．５＿１．０＿１．０*_15・通訳),0)*_15・２人),0)*(1+_15・C深夜)),0)*(1+_15・盲ろう)),0)*(1+_15・区４)),0)</f>
        <v>1057</v>
      </c>
      <c r="AF78" s="69"/>
    </row>
    <row r="79" spans="1:32" ht="16.5" customHeight="1" x14ac:dyDescent="0.3">
      <c r="A79" s="2">
        <v>15</v>
      </c>
      <c r="B79" s="2" t="s">
        <v>5107</v>
      </c>
      <c r="C79" s="60" t="s">
        <v>15632</v>
      </c>
      <c r="D79" s="1"/>
      <c r="E79" s="68"/>
      <c r="F79" s="70"/>
      <c r="G79" s="1"/>
      <c r="H79" s="68"/>
      <c r="I79" s="70"/>
      <c r="J79" s="74" t="s">
        <v>17499</v>
      </c>
      <c r="K79" s="62"/>
      <c r="L79" s="75"/>
      <c r="M79" s="67"/>
      <c r="N79" s="68"/>
      <c r="O79" s="76"/>
      <c r="P79" s="83"/>
      <c r="Q79" s="64"/>
      <c r="R79" s="65"/>
      <c r="S79" s="99"/>
      <c r="T79" s="70"/>
      <c r="U79" s="99"/>
      <c r="V79" s="70"/>
      <c r="W79" s="74"/>
      <c r="X79" s="62"/>
      <c r="Y79" s="63"/>
      <c r="Z79" s="75"/>
      <c r="AA79" s="74"/>
      <c r="AB79" s="62"/>
      <c r="AC79" s="63"/>
      <c r="AD79" s="75"/>
      <c r="AE79" s="228">
        <f>ROUND((_15_同援日０．５*_15・通訳),0)+ROUND((ROUND((_15_同援日０．５＿１．０*_15・通訳),0)*(1+_15・B夜間)),0)+ROUND((ROUND((_15_同援日０．５＿１．０＿１．５*_15・通訳),0)*(1+_15・C深夜)),0)</f>
        <v>689</v>
      </c>
      <c r="AF79" s="69"/>
    </row>
    <row r="80" spans="1:32" ht="16.5" customHeight="1" x14ac:dyDescent="0.3">
      <c r="A80" s="2">
        <v>15</v>
      </c>
      <c r="B80" s="2" t="s">
        <v>5108</v>
      </c>
      <c r="C80" s="60" t="s">
        <v>15631</v>
      </c>
      <c r="D80" s="1"/>
      <c r="E80" s="68"/>
      <c r="F80" s="70"/>
      <c r="G80" s="1"/>
      <c r="H80" s="68"/>
      <c r="I80" s="70"/>
      <c r="J80" s="1" t="s">
        <v>16984</v>
      </c>
      <c r="K80" s="68"/>
      <c r="L80" s="70"/>
      <c r="M80" s="67"/>
      <c r="N80" s="68"/>
      <c r="O80" s="76"/>
      <c r="P80" s="83" t="s">
        <v>5895</v>
      </c>
      <c r="Q80" s="64" t="s">
        <v>1</v>
      </c>
      <c r="R80" s="65">
        <v>1</v>
      </c>
      <c r="S80" s="99"/>
      <c r="T80" s="70"/>
      <c r="U80" s="99"/>
      <c r="V80" s="70"/>
      <c r="W80" s="81"/>
      <c r="X80" s="57"/>
      <c r="Y80" s="58"/>
      <c r="Z80" s="77"/>
      <c r="AA80" s="1"/>
      <c r="AB80" s="68"/>
      <c r="AC80" s="76"/>
      <c r="AD80" s="70"/>
      <c r="AE80" s="228">
        <f>ROUND((ROUND((_15_同援日０．５*_15・通訳),0)*_15・２人),0)+ROUND((ROUND((ROUND((_15_同援日０．５＿１．０*_15・通訳),0)*_15・２人),0)*(1+_15・B夜間)),0)+ROUND((ROUND((ROUND((_15_同援日０．５＿１．０＿１．５*_15・通訳),0)*_15・２人),0)*(1+_15・C深夜)),0)</f>
        <v>689</v>
      </c>
      <c r="AF80" s="69"/>
    </row>
    <row r="81" spans="1:32" ht="16.5" customHeight="1" x14ac:dyDescent="0.3">
      <c r="A81" s="2">
        <v>15</v>
      </c>
      <c r="B81" s="2" t="s">
        <v>5109</v>
      </c>
      <c r="C81" s="60" t="s">
        <v>15630</v>
      </c>
      <c r="D81" s="1"/>
      <c r="E81" s="68"/>
      <c r="F81" s="70"/>
      <c r="G81" s="1"/>
      <c r="H81" s="68"/>
      <c r="I81" s="70"/>
      <c r="J81" s="1" t="s">
        <v>8767</v>
      </c>
      <c r="K81" s="68"/>
      <c r="L81" s="70"/>
      <c r="M81" s="67"/>
      <c r="N81" s="68"/>
      <c r="O81" s="76"/>
      <c r="P81" s="83"/>
      <c r="Q81" s="64"/>
      <c r="R81" s="65"/>
      <c r="S81" s="99"/>
      <c r="T81" s="70"/>
      <c r="U81" s="99"/>
      <c r="V81" s="70"/>
      <c r="W81" s="74" t="s">
        <v>18025</v>
      </c>
      <c r="X81" s="62"/>
      <c r="Y81" s="63"/>
      <c r="Z81" s="75"/>
      <c r="AA81" s="1"/>
      <c r="AB81" s="68"/>
      <c r="AC81" s="76"/>
      <c r="AD81" s="70"/>
      <c r="AE81" s="228">
        <f>ROUND((ROUND((_15_同援日０．５*_15・通訳),0)*(1+_15・盲ろう)),0)+ROUND((ROUND((ROUND((_15_同援日０．５＿１．０*_15・通訳),0)*(1+_15・B夜間)),0)*(1+_15・盲ろう)),0)+ROUND((ROUND((ROUND((_15_同援日０．５＿１．０＿１．５*_15・通訳),0)*(1+_15・C深夜)),0)*(1+_15・盲ろう)),0)</f>
        <v>862</v>
      </c>
      <c r="AF81" s="69"/>
    </row>
    <row r="82" spans="1:32" ht="16.5" customHeight="1" x14ac:dyDescent="0.3">
      <c r="A82" s="2">
        <v>15</v>
      </c>
      <c r="B82" s="2" t="s">
        <v>5110</v>
      </c>
      <c r="C82" s="60" t="s">
        <v>15629</v>
      </c>
      <c r="D82" s="1"/>
      <c r="E82" s="68"/>
      <c r="F82" s="70"/>
      <c r="G82" s="1"/>
      <c r="H82" s="68"/>
      <c r="I82" s="70"/>
      <c r="J82" s="1"/>
      <c r="K82" s="119">
        <v>190</v>
      </c>
      <c r="L82" s="70" t="s">
        <v>0</v>
      </c>
      <c r="M82" s="67"/>
      <c r="N82" s="68"/>
      <c r="O82" s="76"/>
      <c r="P82" s="83" t="s">
        <v>5895</v>
      </c>
      <c r="Q82" s="64" t="s">
        <v>1</v>
      </c>
      <c r="R82" s="65">
        <v>1</v>
      </c>
      <c r="S82" s="99"/>
      <c r="T82" s="70"/>
      <c r="U82" s="99"/>
      <c r="V82" s="70"/>
      <c r="W82" s="81" t="s">
        <v>18024</v>
      </c>
      <c r="X82" s="57" t="s">
        <v>1</v>
      </c>
      <c r="Y82" s="58">
        <v>0.25</v>
      </c>
      <c r="Z82" s="77" t="s">
        <v>422</v>
      </c>
      <c r="AA82" s="81"/>
      <c r="AB82" s="57"/>
      <c r="AC82" s="58"/>
      <c r="AD82" s="77"/>
      <c r="AE82" s="228">
        <f>ROUND((ROUND((ROUND((_15_同援日０．５*_15・通訳),0)*_15・２人),0)*(1+_15・盲ろう)),0)+ROUND((ROUND((ROUND((ROUND((_15_同援日０．５＿１．０*_15・通訳),0)*_15・２人),0)*(1+_15・B夜間)),0)*(1+_15・盲ろう)),0)+ROUND((ROUND((ROUND((ROUND((_15_同援日０．５＿１．０＿１．５*_15・通訳),0)*_15・２人),0)*(1+_15・C深夜)),0)*(1+_15・盲ろう)),0)</f>
        <v>862</v>
      </c>
      <c r="AF82" s="69"/>
    </row>
    <row r="83" spans="1:32" ht="16.5" customHeight="1" x14ac:dyDescent="0.3">
      <c r="A83" s="2">
        <v>15</v>
      </c>
      <c r="B83" s="2" t="s">
        <v>5111</v>
      </c>
      <c r="C83" s="60" t="s">
        <v>15628</v>
      </c>
      <c r="D83" s="1"/>
      <c r="E83" s="68"/>
      <c r="F83" s="70"/>
      <c r="G83" s="1"/>
      <c r="H83" s="68"/>
      <c r="I83" s="70"/>
      <c r="J83" s="1"/>
      <c r="K83" s="68"/>
      <c r="L83" s="70"/>
      <c r="M83" s="67"/>
      <c r="N83" s="68"/>
      <c r="O83" s="76"/>
      <c r="P83" s="83"/>
      <c r="Q83" s="64"/>
      <c r="R83" s="65"/>
      <c r="S83" s="99"/>
      <c r="T83" s="70"/>
      <c r="U83" s="99"/>
      <c r="V83" s="70"/>
      <c r="W83" s="74"/>
      <c r="X83" s="62"/>
      <c r="Y83" s="63"/>
      <c r="Z83" s="75"/>
      <c r="AA83" s="74" t="s">
        <v>18089</v>
      </c>
      <c r="AB83" s="62"/>
      <c r="AC83" s="63"/>
      <c r="AD83" s="75"/>
      <c r="AE83" s="228">
        <f>ROUND((ROUND((_15_同援日０．５*_15・通訳),0)*(1+_15・区３)),0)+ROUND((ROUND((ROUND((_15_同援日０．５＿１．０*_15・通訳),0)*(1+_15・B夜間)),0)*(1+_15・区３)),0)+ROUND((ROUND((ROUND((_15_同援日０．５＿１．０＿１．５*_15・通訳),0)*(1+_15・C深夜)),0)*(1+_15・区３)),0)</f>
        <v>826</v>
      </c>
      <c r="AF83" s="69"/>
    </row>
    <row r="84" spans="1:32" ht="16.5" customHeight="1" x14ac:dyDescent="0.3">
      <c r="A84" s="2">
        <v>15</v>
      </c>
      <c r="B84" s="2" t="s">
        <v>5112</v>
      </c>
      <c r="C84" s="60" t="s">
        <v>15627</v>
      </c>
      <c r="D84" s="1"/>
      <c r="E84" s="68"/>
      <c r="F84" s="70"/>
      <c r="G84" s="1"/>
      <c r="H84" s="68"/>
      <c r="I84" s="70"/>
      <c r="J84" s="1"/>
      <c r="K84" s="68"/>
      <c r="L84" s="70"/>
      <c r="M84" s="67"/>
      <c r="N84" s="68"/>
      <c r="O84" s="76"/>
      <c r="P84" s="83" t="s">
        <v>5895</v>
      </c>
      <c r="Q84" s="64" t="s">
        <v>1</v>
      </c>
      <c r="R84" s="65">
        <v>1</v>
      </c>
      <c r="S84" s="99"/>
      <c r="T84" s="70"/>
      <c r="U84" s="99"/>
      <c r="V84" s="70"/>
      <c r="W84" s="81"/>
      <c r="X84" s="57"/>
      <c r="Y84" s="58"/>
      <c r="Z84" s="77"/>
      <c r="AA84" s="1" t="s">
        <v>18026</v>
      </c>
      <c r="AB84" s="68"/>
      <c r="AC84" s="76"/>
      <c r="AD84" s="70"/>
      <c r="AE84" s="228">
        <f>ROUND((ROUND((ROUND((_15_同援日０．５*_15・通訳),0)*_15・２人),0)*(1+_15・区３)),0)+ROUND((ROUND((ROUND((ROUND((_15_同援日０．５＿１．０*_15・通訳),0)*_15・２人),0)*(1+_15・B夜間)),0)*(1+_15・区３)),0)+ROUND((ROUND((ROUND((ROUND((_15_同援日０．５＿１．０＿１．５*_15・通訳),0)*_15・２人),0)*(1+_15・C深夜)),0)*(1+_15・区３)),0)</f>
        <v>826</v>
      </c>
      <c r="AF84" s="69"/>
    </row>
    <row r="85" spans="1:32" ht="16.5" customHeight="1" x14ac:dyDescent="0.3">
      <c r="A85" s="2">
        <v>15</v>
      </c>
      <c r="B85" s="2" t="s">
        <v>5113</v>
      </c>
      <c r="C85" s="60" t="s">
        <v>15626</v>
      </c>
      <c r="D85" s="1"/>
      <c r="E85" s="68"/>
      <c r="F85" s="70"/>
      <c r="G85" s="1"/>
      <c r="H85" s="68"/>
      <c r="I85" s="70"/>
      <c r="J85" s="1"/>
      <c r="K85" s="68"/>
      <c r="L85" s="70"/>
      <c r="M85" s="67"/>
      <c r="N85" s="68"/>
      <c r="O85" s="76"/>
      <c r="P85" s="83"/>
      <c r="Q85" s="64"/>
      <c r="R85" s="65"/>
      <c r="S85" s="99"/>
      <c r="T85" s="70"/>
      <c r="U85" s="99"/>
      <c r="V85" s="70"/>
      <c r="W85" s="74" t="s">
        <v>18025</v>
      </c>
      <c r="X85" s="62"/>
      <c r="Y85" s="63"/>
      <c r="Z85" s="75"/>
      <c r="AA85" s="1"/>
      <c r="AB85" s="68" t="s">
        <v>1</v>
      </c>
      <c r="AC85" s="76">
        <v>0.2</v>
      </c>
      <c r="AD85" s="70" t="s">
        <v>422</v>
      </c>
      <c r="AE85" s="228">
        <f>ROUND((ROUND((ROUND((_15_同援日０．５*_15・通訳),0)*(1+_15・盲ろう)),0)*(1+_15・区３)),0)+ROUND((ROUND((ROUND((ROUND((_15_同援日０．５＿１．０*_15・通訳),0)*(1+_15・B夜間)),0)*(1+_15・盲ろう)),0)*(1+_15・区３)),0)+ROUND((ROUND((ROUND((ROUND((_15_同援日０．５＿１．０＿１．５*_15・通訳),0)*(1+_15・C深夜)),0)*(1+_15・盲ろう)),0)*(1+_15・区３)),0)</f>
        <v>1035</v>
      </c>
      <c r="AF85" s="69"/>
    </row>
    <row r="86" spans="1:32" ht="16.5" customHeight="1" x14ac:dyDescent="0.3">
      <c r="A86" s="2">
        <v>15</v>
      </c>
      <c r="B86" s="2" t="s">
        <v>5114</v>
      </c>
      <c r="C86" s="60" t="s">
        <v>15625</v>
      </c>
      <c r="D86" s="1"/>
      <c r="E86" s="68"/>
      <c r="F86" s="70"/>
      <c r="G86" s="1"/>
      <c r="H86" s="68"/>
      <c r="I86" s="70"/>
      <c r="J86" s="1"/>
      <c r="K86" s="68"/>
      <c r="L86" s="70"/>
      <c r="M86" s="67"/>
      <c r="N86" s="68"/>
      <c r="O86" s="76"/>
      <c r="P86" s="83" t="s">
        <v>5895</v>
      </c>
      <c r="Q86" s="64" t="s">
        <v>1</v>
      </c>
      <c r="R86" s="65">
        <v>1</v>
      </c>
      <c r="S86" s="99"/>
      <c r="T86" s="70"/>
      <c r="U86" s="99"/>
      <c r="V86" s="70"/>
      <c r="W86" s="81" t="s">
        <v>18024</v>
      </c>
      <c r="X86" s="57" t="s">
        <v>1</v>
      </c>
      <c r="Y86" s="58">
        <v>0.25</v>
      </c>
      <c r="Z86" s="77" t="s">
        <v>422</v>
      </c>
      <c r="AA86" s="81"/>
      <c r="AB86" s="57"/>
      <c r="AC86" s="58"/>
      <c r="AD86" s="77"/>
      <c r="AE86" s="228">
        <f>ROUND((ROUND((ROUND((ROUND((_15_同援日０．５*_15・通訳),0)*_15・２人),0)*(1+_15・盲ろう)),0)*(1+_15・区３)),0)+ROUND((ROUND((ROUND((ROUND((ROUND((_15_同援日０．５＿１．０*_15・通訳),0)*_15・２人),0)*(1+_15・B夜間)),0)*(1+_15・盲ろう)),0)*(1+_15・区３)),0)+ROUND((ROUND((ROUND((ROUND((ROUND((_15_同援日０．５＿１．０＿１．５*_15・通訳),0)*_15・２人),0)*(1+_15・C深夜)),0)*(1+_15・盲ろう)),0)*(1+_15・区３)),0)</f>
        <v>1035</v>
      </c>
      <c r="AF86" s="69"/>
    </row>
    <row r="87" spans="1:32" ht="16.5" customHeight="1" x14ac:dyDescent="0.3">
      <c r="A87" s="2">
        <v>15</v>
      </c>
      <c r="B87" s="2" t="s">
        <v>5115</v>
      </c>
      <c r="C87" s="60" t="s">
        <v>15624</v>
      </c>
      <c r="D87" s="1"/>
      <c r="E87" s="68"/>
      <c r="F87" s="70"/>
      <c r="G87" s="1"/>
      <c r="H87" s="68"/>
      <c r="I87" s="70"/>
      <c r="J87" s="1"/>
      <c r="K87" s="68"/>
      <c r="L87" s="70"/>
      <c r="M87" s="67"/>
      <c r="N87" s="68"/>
      <c r="O87" s="76"/>
      <c r="P87" s="83"/>
      <c r="Q87" s="64"/>
      <c r="R87" s="65"/>
      <c r="S87" s="99"/>
      <c r="T87" s="70"/>
      <c r="U87" s="99"/>
      <c r="V87" s="70"/>
      <c r="W87" s="74"/>
      <c r="X87" s="62"/>
      <c r="Y87" s="63"/>
      <c r="Z87" s="75"/>
      <c r="AA87" s="74" t="s">
        <v>18027</v>
      </c>
      <c r="AB87" s="62"/>
      <c r="AC87" s="63"/>
      <c r="AD87" s="75"/>
      <c r="AE87" s="228">
        <f>ROUND((ROUND((_15_同援日０．５*_15・通訳),0)*(1+_15・区４)),0)+ROUND((ROUND((ROUND((_15_同援日０．５＿１．０*_15・通訳),0)*(1+_15・B夜間)),0)*(1+_15・区４)),0)+ROUND((ROUND((ROUND((_15_同援日０．５＿１．０＿１．５*_15・通訳),0)*(1+_15・C深夜)),0)*(1+_15・区４)),0)</f>
        <v>964</v>
      </c>
      <c r="AF87" s="69"/>
    </row>
    <row r="88" spans="1:32" ht="16.5" customHeight="1" x14ac:dyDescent="0.3">
      <c r="A88" s="2">
        <v>15</v>
      </c>
      <c r="B88" s="2" t="s">
        <v>5116</v>
      </c>
      <c r="C88" s="60" t="s">
        <v>15623</v>
      </c>
      <c r="D88" s="1"/>
      <c r="E88" s="68"/>
      <c r="F88" s="70"/>
      <c r="G88" s="1"/>
      <c r="H88" s="68"/>
      <c r="I88" s="70"/>
      <c r="J88" s="1"/>
      <c r="K88" s="68"/>
      <c r="L88" s="70"/>
      <c r="M88" s="67"/>
      <c r="N88" s="68"/>
      <c r="O88" s="76"/>
      <c r="P88" s="83" t="s">
        <v>5895</v>
      </c>
      <c r="Q88" s="64" t="s">
        <v>1</v>
      </c>
      <c r="R88" s="65">
        <v>1</v>
      </c>
      <c r="S88" s="99"/>
      <c r="T88" s="70"/>
      <c r="U88" s="99"/>
      <c r="V88" s="70"/>
      <c r="W88" s="81"/>
      <c r="X88" s="57"/>
      <c r="Y88" s="58"/>
      <c r="Z88" s="77"/>
      <c r="AA88" s="1" t="s">
        <v>18026</v>
      </c>
      <c r="AB88" s="68"/>
      <c r="AC88" s="76"/>
      <c r="AD88" s="70"/>
      <c r="AE88" s="228">
        <f>ROUND((ROUND((ROUND((_15_同援日０．５*_15・通訳),0)*_15・２人),0)*(1+_15・区４)),0)+ROUND((ROUND((ROUND((ROUND((_15_同援日０．５＿１．０*_15・通訳),0)*_15・２人),0)*(1+_15・B夜間)),0)*(1+_15・区４)),0)+ROUND((ROUND((ROUND((ROUND((_15_同援日０．５＿１．０＿１．５*_15・通訳),0)*_15・２人),0)*(1+_15・C深夜)),0)*(1+_15・区４)),0)</f>
        <v>964</v>
      </c>
      <c r="AF88" s="69"/>
    </row>
    <row r="89" spans="1:32" ht="16.5" customHeight="1" x14ac:dyDescent="0.3">
      <c r="A89" s="2">
        <v>15</v>
      </c>
      <c r="B89" s="2" t="s">
        <v>5117</v>
      </c>
      <c r="C89" s="60" t="s">
        <v>15622</v>
      </c>
      <c r="D89" s="1"/>
      <c r="E89" s="68"/>
      <c r="F89" s="70"/>
      <c r="G89" s="1"/>
      <c r="H89" s="68"/>
      <c r="I89" s="70"/>
      <c r="J89" s="1"/>
      <c r="K89" s="68"/>
      <c r="L89" s="70"/>
      <c r="M89" s="67"/>
      <c r="N89" s="68"/>
      <c r="O89" s="76"/>
      <c r="P89" s="83"/>
      <c r="Q89" s="64"/>
      <c r="R89" s="65"/>
      <c r="S89" s="99"/>
      <c r="T89" s="70"/>
      <c r="U89" s="99"/>
      <c r="V89" s="70"/>
      <c r="W89" s="74" t="s">
        <v>18025</v>
      </c>
      <c r="X89" s="62"/>
      <c r="Y89" s="63"/>
      <c r="Z89" s="75"/>
      <c r="AA89" s="1"/>
      <c r="AB89" s="68" t="s">
        <v>1</v>
      </c>
      <c r="AC89" s="76">
        <v>0.4</v>
      </c>
      <c r="AD89" s="70" t="s">
        <v>422</v>
      </c>
      <c r="AE89" s="228">
        <f>ROUND((ROUND((ROUND((_15_同援日０．５*_15・通訳),0)*(1+_15・盲ろう)),0)*(1+_15・区４)),0)+ROUND((ROUND((ROUND((ROUND((_15_同援日０．５＿１．０*_15・通訳),0)*(1+_15・B夜間)),0)*(1+_15・盲ろう)),0)*(1+_15・区４)),0)+ROUND((ROUND((ROUND((ROUND((_15_同援日０．５＿１．０＿１．５*_15・通訳),0)*(1+_15・C深夜)),0)*(1+_15・盲ろう)),0)*(1+_15・区４)),0)</f>
        <v>1206</v>
      </c>
      <c r="AF89" s="69"/>
    </row>
    <row r="90" spans="1:32" ht="16.5" customHeight="1" x14ac:dyDescent="0.3">
      <c r="A90" s="2">
        <v>15</v>
      </c>
      <c r="B90" s="2" t="s">
        <v>5118</v>
      </c>
      <c r="C90" s="60" t="s">
        <v>15621</v>
      </c>
      <c r="D90" s="1"/>
      <c r="E90" s="68"/>
      <c r="F90" s="70"/>
      <c r="G90" s="81"/>
      <c r="H90" s="57"/>
      <c r="I90" s="77"/>
      <c r="J90" s="81"/>
      <c r="K90" s="57"/>
      <c r="L90" s="77"/>
      <c r="M90" s="67"/>
      <c r="N90" s="68"/>
      <c r="O90" s="76"/>
      <c r="P90" s="83" t="s">
        <v>5895</v>
      </c>
      <c r="Q90" s="64" t="s">
        <v>1</v>
      </c>
      <c r="R90" s="65">
        <v>1</v>
      </c>
      <c r="S90" s="99"/>
      <c r="T90" s="70"/>
      <c r="U90" s="99"/>
      <c r="V90" s="70"/>
      <c r="W90" s="81" t="s">
        <v>18024</v>
      </c>
      <c r="X90" s="57" t="s">
        <v>1</v>
      </c>
      <c r="Y90" s="58">
        <v>0.25</v>
      </c>
      <c r="Z90" s="77" t="s">
        <v>422</v>
      </c>
      <c r="AA90" s="81"/>
      <c r="AB90" s="57"/>
      <c r="AC90" s="58"/>
      <c r="AD90" s="77"/>
      <c r="AE90" s="228">
        <f>ROUND((ROUND((ROUND((ROUND((_15_同援日０．５*_15・通訳),0)*_15・２人),0)*(1+_15・盲ろう)),0)*(1+_15・区４)),0)+ROUND((ROUND((ROUND((ROUND((ROUND((_15_同援日０．５＿１．０*_15・通訳),0)*_15・２人),0)*(1+_15・B夜間)),0)*(1+_15・盲ろう)),0)*(1+_15・区４)),0)+ROUND((ROUND((ROUND((ROUND((ROUND((_15_同援日０．５＿１．０＿１．５*_15・通訳),0)*_15・２人),0)*(1+_15・C深夜)),0)*(1+_15・盲ろう)),0)*(1+_15・区４)),0)</f>
        <v>1206</v>
      </c>
      <c r="AF90" s="69"/>
    </row>
    <row r="91" spans="1:32" ht="16.5" customHeight="1" x14ac:dyDescent="0.3">
      <c r="A91" s="2">
        <v>15</v>
      </c>
      <c r="B91" s="2" t="s">
        <v>5119</v>
      </c>
      <c r="C91" s="60" t="s">
        <v>15620</v>
      </c>
      <c r="D91" s="1"/>
      <c r="E91" s="68"/>
      <c r="F91" s="70"/>
      <c r="G91" s="233" t="s">
        <v>18391</v>
      </c>
      <c r="H91" s="235"/>
      <c r="I91" s="75"/>
      <c r="J91" s="74" t="s">
        <v>17494</v>
      </c>
      <c r="K91" s="62"/>
      <c r="L91" s="75"/>
      <c r="M91" s="67"/>
      <c r="N91" s="68"/>
      <c r="O91" s="76"/>
      <c r="P91" s="83"/>
      <c r="Q91" s="64"/>
      <c r="R91" s="65"/>
      <c r="S91" s="99"/>
      <c r="T91" s="70"/>
      <c r="U91" s="99"/>
      <c r="V91" s="70"/>
      <c r="W91" s="74"/>
      <c r="X91" s="62"/>
      <c r="Y91" s="63"/>
      <c r="Z91" s="75"/>
      <c r="AA91" s="74"/>
      <c r="AB91" s="62"/>
      <c r="AC91" s="63"/>
      <c r="AD91" s="75"/>
      <c r="AE91" s="228">
        <f>ROUND((_15_同援日０．５*_15・通訳),0)+ROUND((ROUND((_15_同援日０．５＿１．５*_15・通訳),0)*(1+_15・B夜間)),0)+ROUND((ROUND((_15_同援日０．５＿１．５＿０．５*_15・通訳),0)*(1+_15・C深夜)),0)</f>
        <v>591</v>
      </c>
      <c r="AF91" s="69"/>
    </row>
    <row r="92" spans="1:32" ht="16.5" customHeight="1" x14ac:dyDescent="0.3">
      <c r="A92" s="2">
        <v>15</v>
      </c>
      <c r="B92" s="2" t="s">
        <v>5120</v>
      </c>
      <c r="C92" s="60" t="s">
        <v>15619</v>
      </c>
      <c r="D92" s="1"/>
      <c r="E92" s="68"/>
      <c r="F92" s="70"/>
      <c r="G92" s="1" t="s">
        <v>5987</v>
      </c>
      <c r="H92" s="68"/>
      <c r="I92" s="70"/>
      <c r="J92" s="1" t="s">
        <v>7928</v>
      </c>
      <c r="K92" s="68"/>
      <c r="L92" s="70"/>
      <c r="M92" s="67"/>
      <c r="N92" s="68"/>
      <c r="O92" s="76"/>
      <c r="P92" s="83" t="s">
        <v>5895</v>
      </c>
      <c r="Q92" s="64" t="s">
        <v>1</v>
      </c>
      <c r="R92" s="65">
        <v>1</v>
      </c>
      <c r="S92" s="99"/>
      <c r="T92" s="70"/>
      <c r="U92" s="99"/>
      <c r="V92" s="70"/>
      <c r="W92" s="81"/>
      <c r="X92" s="57"/>
      <c r="Y92" s="58"/>
      <c r="Z92" s="77"/>
      <c r="AA92" s="1"/>
      <c r="AB92" s="68"/>
      <c r="AC92" s="76"/>
      <c r="AD92" s="70"/>
      <c r="AE92" s="228">
        <f>ROUND((ROUND((_15_同援日０．５*_15・通訳),0)*_15・２人),0)+ROUND((ROUND((ROUND((_15_同援日０．５＿１．５*_15・通訳),0)*_15・２人),0)*(1+_15・B夜間)),0)+ROUND((ROUND((ROUND((_15_同援日０．５＿１．５＿０．５*_15・通訳),0)*_15・２人),0)*(1+_15・C深夜)),0)</f>
        <v>591</v>
      </c>
      <c r="AF92" s="69"/>
    </row>
    <row r="93" spans="1:32" ht="16.5" customHeight="1" x14ac:dyDescent="0.3">
      <c r="A93" s="2">
        <v>15</v>
      </c>
      <c r="B93" s="2" t="s">
        <v>5121</v>
      </c>
      <c r="C93" s="60" t="s">
        <v>15618</v>
      </c>
      <c r="D93" s="1"/>
      <c r="E93" s="68"/>
      <c r="F93" s="70"/>
      <c r="G93" s="1" t="s">
        <v>8767</v>
      </c>
      <c r="H93" s="68"/>
      <c r="I93" s="70"/>
      <c r="J93" s="1"/>
      <c r="K93" s="68"/>
      <c r="L93" s="70"/>
      <c r="M93" s="67"/>
      <c r="N93" s="68"/>
      <c r="O93" s="76"/>
      <c r="P93" s="83"/>
      <c r="Q93" s="64"/>
      <c r="R93" s="65"/>
      <c r="S93" s="99"/>
      <c r="T93" s="70"/>
      <c r="U93" s="99"/>
      <c r="V93" s="70"/>
      <c r="W93" s="74" t="s">
        <v>18025</v>
      </c>
      <c r="X93" s="62"/>
      <c r="Y93" s="63"/>
      <c r="Z93" s="75"/>
      <c r="AA93" s="1"/>
      <c r="AB93" s="68"/>
      <c r="AC93" s="76"/>
      <c r="AD93" s="70"/>
      <c r="AE93" s="228">
        <f>ROUND((ROUND((_15_同援日０．５*_15・通訳),0)*(1+_15・盲ろう)),0)+ROUND((ROUND((ROUND((_15_同援日０．５＿１．５*_15・通訳),0)*(1+_15・B夜間)),0)*(1+_15・盲ろう)),0)+ROUND((ROUND((ROUND((_15_同援日０．５＿１．５＿０．５*_15・通訳),0)*(1+_15・C深夜)),0)*(1+_15・盲ろう)),0)</f>
        <v>740</v>
      </c>
      <c r="AF93" s="69"/>
    </row>
    <row r="94" spans="1:32" ht="16.5" customHeight="1" x14ac:dyDescent="0.3">
      <c r="A94" s="2">
        <v>15</v>
      </c>
      <c r="B94" s="2" t="s">
        <v>5122</v>
      </c>
      <c r="C94" s="60" t="s">
        <v>15617</v>
      </c>
      <c r="D94" s="1"/>
      <c r="E94" s="68"/>
      <c r="F94" s="70"/>
      <c r="G94" s="1"/>
      <c r="H94" s="227">
        <v>301</v>
      </c>
      <c r="I94" s="70" t="s">
        <v>0</v>
      </c>
      <c r="J94" s="1"/>
      <c r="K94" s="119">
        <v>63</v>
      </c>
      <c r="L94" s="70" t="s">
        <v>0</v>
      </c>
      <c r="M94" s="67"/>
      <c r="N94" s="68"/>
      <c r="O94" s="76"/>
      <c r="P94" s="83" t="s">
        <v>5895</v>
      </c>
      <c r="Q94" s="64" t="s">
        <v>1</v>
      </c>
      <c r="R94" s="65">
        <v>1</v>
      </c>
      <c r="S94" s="99"/>
      <c r="T94" s="70"/>
      <c r="U94" s="99"/>
      <c r="V94" s="70"/>
      <c r="W94" s="81" t="s">
        <v>18024</v>
      </c>
      <c r="X94" s="57" t="s">
        <v>1</v>
      </c>
      <c r="Y94" s="58">
        <v>0.25</v>
      </c>
      <c r="Z94" s="77" t="s">
        <v>422</v>
      </c>
      <c r="AA94" s="81"/>
      <c r="AB94" s="57"/>
      <c r="AC94" s="58"/>
      <c r="AD94" s="77"/>
      <c r="AE94" s="228">
        <f>ROUND((ROUND((ROUND((_15_同援日０．５*_15・通訳),0)*_15・２人),0)*(1+_15・盲ろう)),0)+ROUND((ROUND((ROUND((ROUND((_15_同援日０．５＿１．５*_15・通訳),0)*_15・２人),0)*(1+_15・B夜間)),0)*(1+_15・盲ろう)),0)+ROUND((ROUND((ROUND((ROUND((_15_同援日０．５＿１．５＿０．５*_15・通訳),0)*_15・２人),0)*(1+_15・C深夜)),0)*(1+_15・盲ろう)),0)</f>
        <v>740</v>
      </c>
      <c r="AF94" s="69"/>
    </row>
    <row r="95" spans="1:32" ht="16.5" customHeight="1" x14ac:dyDescent="0.3">
      <c r="A95" s="2">
        <v>15</v>
      </c>
      <c r="B95" s="2" t="s">
        <v>5123</v>
      </c>
      <c r="C95" s="60" t="s">
        <v>15616</v>
      </c>
      <c r="D95" s="1"/>
      <c r="E95" s="68"/>
      <c r="F95" s="70"/>
      <c r="G95" s="1"/>
      <c r="H95" s="68"/>
      <c r="I95" s="70"/>
      <c r="J95" s="1"/>
      <c r="K95" s="68"/>
      <c r="L95" s="70"/>
      <c r="M95" s="67"/>
      <c r="N95" s="68"/>
      <c r="O95" s="76"/>
      <c r="P95" s="83"/>
      <c r="Q95" s="64"/>
      <c r="R95" s="65"/>
      <c r="S95" s="99"/>
      <c r="T95" s="70"/>
      <c r="U95" s="99"/>
      <c r="V95" s="70"/>
      <c r="W95" s="74"/>
      <c r="X95" s="62"/>
      <c r="Y95" s="63"/>
      <c r="Z95" s="75"/>
      <c r="AA95" s="74" t="s">
        <v>18028</v>
      </c>
      <c r="AB95" s="62"/>
      <c r="AC95" s="63"/>
      <c r="AD95" s="75"/>
      <c r="AE95" s="228">
        <f>ROUND((ROUND((_15_同援日０．５*_15・通訳),0)*(1+_15・区３)),0)+ROUND((ROUND((ROUND((_15_同援日０．５＿１．５*_15・通訳),0)*(1+_15・B夜間)),0)*(1+_15・区３)),0)+ROUND((ROUND((ROUND((_15_同援日０．５＿１．５＿０．５*_15・通訳),0)*(1+_15・C深夜)),0)*(1+_15・区３)),0)</f>
        <v>709</v>
      </c>
      <c r="AF95" s="69"/>
    </row>
    <row r="96" spans="1:32" ht="16.5" customHeight="1" x14ac:dyDescent="0.3">
      <c r="A96" s="2">
        <v>15</v>
      </c>
      <c r="B96" s="2" t="s">
        <v>5124</v>
      </c>
      <c r="C96" s="60" t="s">
        <v>15615</v>
      </c>
      <c r="D96" s="1"/>
      <c r="E96" s="68"/>
      <c r="F96" s="70"/>
      <c r="G96" s="1"/>
      <c r="H96" s="68"/>
      <c r="I96" s="70"/>
      <c r="J96" s="1"/>
      <c r="K96" s="68"/>
      <c r="L96" s="70"/>
      <c r="M96" s="67"/>
      <c r="N96" s="68"/>
      <c r="O96" s="76"/>
      <c r="P96" s="83" t="s">
        <v>5895</v>
      </c>
      <c r="Q96" s="64" t="s">
        <v>1</v>
      </c>
      <c r="R96" s="65">
        <v>1</v>
      </c>
      <c r="S96" s="99"/>
      <c r="T96" s="70"/>
      <c r="U96" s="99"/>
      <c r="V96" s="70"/>
      <c r="W96" s="81"/>
      <c r="X96" s="57"/>
      <c r="Y96" s="58"/>
      <c r="Z96" s="77"/>
      <c r="AA96" s="1" t="s">
        <v>18026</v>
      </c>
      <c r="AB96" s="68"/>
      <c r="AC96" s="76"/>
      <c r="AD96" s="70"/>
      <c r="AE96" s="228">
        <f>ROUND((ROUND((ROUND((_15_同援日０．５*_15・通訳),0)*_15・２人),0)*(1+_15・区３)),0)+ROUND((ROUND((ROUND((ROUND((_15_同援日０．５＿１．５*_15・通訳),0)*_15・２人),0)*(1+_15・B夜間)),0)*(1+_15・区３)),0)+ROUND((ROUND((ROUND((ROUND((_15_同援日０．５＿１．５＿０．５*_15・通訳),0)*_15・２人),0)*(1+_15・C深夜)),0)*(1+_15・区３)),0)</f>
        <v>709</v>
      </c>
      <c r="AF96" s="69"/>
    </row>
    <row r="97" spans="1:32" ht="16.5" customHeight="1" x14ac:dyDescent="0.3">
      <c r="A97" s="2">
        <v>15</v>
      </c>
      <c r="B97" s="2" t="s">
        <v>5125</v>
      </c>
      <c r="C97" s="60" t="s">
        <v>15614</v>
      </c>
      <c r="D97" s="1"/>
      <c r="E97" s="68"/>
      <c r="F97" s="70"/>
      <c r="G97" s="1"/>
      <c r="H97" s="68"/>
      <c r="I97" s="70"/>
      <c r="J97" s="1"/>
      <c r="K97" s="68"/>
      <c r="L97" s="70"/>
      <c r="M97" s="67"/>
      <c r="N97" s="68"/>
      <c r="O97" s="76"/>
      <c r="P97" s="83"/>
      <c r="Q97" s="64"/>
      <c r="R97" s="65"/>
      <c r="S97" s="99"/>
      <c r="T97" s="70"/>
      <c r="U97" s="99"/>
      <c r="V97" s="70"/>
      <c r="W97" s="74" t="s">
        <v>18087</v>
      </c>
      <c r="X97" s="62"/>
      <c r="Y97" s="63"/>
      <c r="Z97" s="75"/>
      <c r="AA97" s="1"/>
      <c r="AB97" s="68" t="s">
        <v>1</v>
      </c>
      <c r="AC97" s="76">
        <v>0.2</v>
      </c>
      <c r="AD97" s="70" t="s">
        <v>422</v>
      </c>
      <c r="AE97" s="228">
        <f>ROUND((ROUND((ROUND((_15_同援日０．５*_15・通訳),0)*(1+_15・盲ろう)),0)*(1+_15・区３)),0)+ROUND((ROUND((ROUND((ROUND((_15_同援日０．５＿１．５*_15・通訳),0)*(1+_15・B夜間)),0)*(1+_15・盲ろう)),0)*(1+_15・区３)),0)+ROUND((ROUND((ROUND((ROUND((_15_同援日０．５＿１．５＿０．５*_15・通訳),0)*(1+_15・C深夜)),0)*(1+_15・盲ろう)),0)*(1+_15・区３)),0)</f>
        <v>889</v>
      </c>
      <c r="AF97" s="69"/>
    </row>
    <row r="98" spans="1:32" ht="16.5" customHeight="1" x14ac:dyDescent="0.3">
      <c r="A98" s="2">
        <v>15</v>
      </c>
      <c r="B98" s="2" t="s">
        <v>5126</v>
      </c>
      <c r="C98" s="60" t="s">
        <v>15613</v>
      </c>
      <c r="D98" s="1"/>
      <c r="E98" s="68"/>
      <c r="F98" s="70"/>
      <c r="G98" s="1"/>
      <c r="H98" s="68"/>
      <c r="I98" s="70"/>
      <c r="J98" s="1"/>
      <c r="K98" s="68"/>
      <c r="L98" s="70"/>
      <c r="M98" s="67"/>
      <c r="N98" s="68"/>
      <c r="O98" s="76"/>
      <c r="P98" s="83" t="s">
        <v>5895</v>
      </c>
      <c r="Q98" s="64" t="s">
        <v>1</v>
      </c>
      <c r="R98" s="65">
        <v>1</v>
      </c>
      <c r="S98" s="99"/>
      <c r="T98" s="70"/>
      <c r="U98" s="99"/>
      <c r="V98" s="70"/>
      <c r="W98" s="81" t="s">
        <v>18024</v>
      </c>
      <c r="X98" s="57" t="s">
        <v>1</v>
      </c>
      <c r="Y98" s="58">
        <v>0.25</v>
      </c>
      <c r="Z98" s="77" t="s">
        <v>422</v>
      </c>
      <c r="AA98" s="81"/>
      <c r="AB98" s="57"/>
      <c r="AC98" s="58"/>
      <c r="AD98" s="77"/>
      <c r="AE98" s="228">
        <f>ROUND((ROUND((ROUND((ROUND((_15_同援日０．５*_15・通訳),0)*_15・２人),0)*(1+_15・盲ろう)),0)*(1+_15・区３)),0)+ROUND((ROUND((ROUND((ROUND((ROUND((_15_同援日０．５＿１．５*_15・通訳),0)*_15・２人),0)*(1+_15・B夜間)),0)*(1+_15・盲ろう)),0)*(1+_15・区３)),0)+ROUND((ROUND((ROUND((ROUND((ROUND((_15_同援日０．５＿１．５＿０．５*_15・通訳),0)*_15・２人),0)*(1+_15・C深夜)),0)*(1+_15・盲ろう)),0)*(1+_15・区３)),0)</f>
        <v>889</v>
      </c>
      <c r="AF98" s="69"/>
    </row>
    <row r="99" spans="1:32" ht="16.5" customHeight="1" x14ac:dyDescent="0.3">
      <c r="A99" s="2">
        <v>15</v>
      </c>
      <c r="B99" s="2" t="s">
        <v>5127</v>
      </c>
      <c r="C99" s="60" t="s">
        <v>15612</v>
      </c>
      <c r="D99" s="1"/>
      <c r="E99" s="68"/>
      <c r="F99" s="70"/>
      <c r="G99" s="1"/>
      <c r="H99" s="68"/>
      <c r="I99" s="70"/>
      <c r="J99" s="1"/>
      <c r="K99" s="68"/>
      <c r="L99" s="70"/>
      <c r="M99" s="67"/>
      <c r="N99" s="68"/>
      <c r="O99" s="76"/>
      <c r="P99" s="83"/>
      <c r="Q99" s="64"/>
      <c r="R99" s="65"/>
      <c r="S99" s="99"/>
      <c r="T99" s="70"/>
      <c r="U99" s="99"/>
      <c r="V99" s="70"/>
      <c r="W99" s="74"/>
      <c r="X99" s="62"/>
      <c r="Y99" s="63"/>
      <c r="Z99" s="75"/>
      <c r="AA99" s="74" t="s">
        <v>18027</v>
      </c>
      <c r="AB99" s="62"/>
      <c r="AC99" s="63"/>
      <c r="AD99" s="75"/>
      <c r="AE99" s="228">
        <f>ROUND((ROUND((_15_同援日０．５*_15・通訳),0)*(1+_15・区４)),0)+ROUND((ROUND((ROUND((_15_同援日０．５＿１．５*_15・通訳),0)*(1+_15・B夜間)),0)*(1+_15・区４)),0)+ROUND((ROUND((ROUND((_15_同援日０．５＿１．５＿０．５*_15・通訳),0)*(1+_15・C深夜)),0)*(1+_15・区４)),0)</f>
        <v>827</v>
      </c>
      <c r="AF99" s="69"/>
    </row>
    <row r="100" spans="1:32" ht="16.5" customHeight="1" x14ac:dyDescent="0.3">
      <c r="A100" s="2">
        <v>15</v>
      </c>
      <c r="B100" s="2" t="s">
        <v>5128</v>
      </c>
      <c r="C100" s="60" t="s">
        <v>15611</v>
      </c>
      <c r="D100" s="1"/>
      <c r="E100" s="68"/>
      <c r="F100" s="70"/>
      <c r="G100" s="1"/>
      <c r="H100" s="68"/>
      <c r="I100" s="70"/>
      <c r="J100" s="1"/>
      <c r="K100" s="68"/>
      <c r="L100" s="70"/>
      <c r="M100" s="67"/>
      <c r="N100" s="68"/>
      <c r="O100" s="76"/>
      <c r="P100" s="83" t="s">
        <v>5895</v>
      </c>
      <c r="Q100" s="64" t="s">
        <v>1</v>
      </c>
      <c r="R100" s="65">
        <v>1</v>
      </c>
      <c r="S100" s="99"/>
      <c r="T100" s="70"/>
      <c r="U100" s="99"/>
      <c r="V100" s="70"/>
      <c r="W100" s="81"/>
      <c r="X100" s="57"/>
      <c r="Y100" s="58"/>
      <c r="Z100" s="77"/>
      <c r="AA100" s="1" t="s">
        <v>18026</v>
      </c>
      <c r="AB100" s="68"/>
      <c r="AC100" s="76"/>
      <c r="AD100" s="70"/>
      <c r="AE100" s="228">
        <f>ROUND((ROUND((ROUND((_15_同援日０．５*_15・通訳),0)*_15・２人),0)*(1+_15・区４)),0)+ROUND((ROUND((ROUND((ROUND((_15_同援日０．５＿１．５*_15・通訳),0)*_15・２人),0)*(1+_15・B夜間)),0)*(1+_15・区４)),0)+ROUND((ROUND((ROUND((ROUND((_15_同援日０．５＿１．５＿０．５*_15・通訳),0)*_15・２人),0)*(1+_15・C深夜)),0)*(1+_15・区４)),0)</f>
        <v>827</v>
      </c>
      <c r="AF100" s="69"/>
    </row>
    <row r="101" spans="1:32" ht="16.5" customHeight="1" x14ac:dyDescent="0.3">
      <c r="A101" s="2">
        <v>15</v>
      </c>
      <c r="B101" s="2" t="s">
        <v>5129</v>
      </c>
      <c r="C101" s="60" t="s">
        <v>15610</v>
      </c>
      <c r="D101" s="1"/>
      <c r="E101" s="68"/>
      <c r="F101" s="70"/>
      <c r="G101" s="1"/>
      <c r="H101" s="68"/>
      <c r="I101" s="70"/>
      <c r="J101" s="1"/>
      <c r="K101" s="68"/>
      <c r="L101" s="70"/>
      <c r="M101" s="67"/>
      <c r="N101" s="68"/>
      <c r="O101" s="76"/>
      <c r="P101" s="83"/>
      <c r="Q101" s="64"/>
      <c r="R101" s="65"/>
      <c r="S101" s="99"/>
      <c r="T101" s="70"/>
      <c r="U101" s="99"/>
      <c r="V101" s="70"/>
      <c r="W101" s="74" t="s">
        <v>18025</v>
      </c>
      <c r="X101" s="62"/>
      <c r="Y101" s="63"/>
      <c r="Z101" s="75"/>
      <c r="AA101" s="1"/>
      <c r="AB101" s="68" t="s">
        <v>1</v>
      </c>
      <c r="AC101" s="76">
        <v>0.4</v>
      </c>
      <c r="AD101" s="70" t="s">
        <v>422</v>
      </c>
      <c r="AE101" s="228">
        <f>ROUND((ROUND((ROUND((_15_同援日０．５*_15・通訳),0)*(1+_15・盲ろう)),0)*(1+_15・区４)),0)+ROUND((ROUND((ROUND((ROUND((_15_同援日０．５＿１．５*_15・通訳),0)*(1+_15・B夜間)),0)*(1+_15・盲ろう)),0)*(1+_15・区４)),0)+ROUND((ROUND((ROUND((ROUND((_15_同援日０．５＿１．５＿０．５*_15・通訳),0)*(1+_15・C深夜)),0)*(1+_15・盲ろう)),0)*(1+_15・区４)),0)</f>
        <v>1036</v>
      </c>
      <c r="AF101" s="69"/>
    </row>
    <row r="102" spans="1:32" ht="16.5" customHeight="1" x14ac:dyDescent="0.3">
      <c r="A102" s="2">
        <v>15</v>
      </c>
      <c r="B102" s="2" t="s">
        <v>5130</v>
      </c>
      <c r="C102" s="60" t="s">
        <v>15609</v>
      </c>
      <c r="D102" s="1"/>
      <c r="E102" s="68"/>
      <c r="F102" s="70"/>
      <c r="G102" s="1"/>
      <c r="H102" s="68"/>
      <c r="I102" s="70"/>
      <c r="J102" s="81"/>
      <c r="K102" s="57"/>
      <c r="L102" s="77"/>
      <c r="M102" s="67"/>
      <c r="N102" s="68"/>
      <c r="O102" s="76"/>
      <c r="P102" s="83" t="s">
        <v>5895</v>
      </c>
      <c r="Q102" s="64" t="s">
        <v>1</v>
      </c>
      <c r="R102" s="65">
        <v>1</v>
      </c>
      <c r="S102" s="99"/>
      <c r="T102" s="70"/>
      <c r="U102" s="99"/>
      <c r="V102" s="70"/>
      <c r="W102" s="81" t="s">
        <v>18024</v>
      </c>
      <c r="X102" s="57" t="s">
        <v>1</v>
      </c>
      <c r="Y102" s="58">
        <v>0.25</v>
      </c>
      <c r="Z102" s="77" t="s">
        <v>422</v>
      </c>
      <c r="AA102" s="81"/>
      <c r="AB102" s="57"/>
      <c r="AC102" s="58"/>
      <c r="AD102" s="77"/>
      <c r="AE102" s="228">
        <f>ROUND((ROUND((ROUND((ROUND((_15_同援日０．５*_15・通訳),0)*_15・２人),0)*(1+_15・盲ろう)),0)*(1+_15・区４)),0)+ROUND((ROUND((ROUND((ROUND((ROUND((_15_同援日０．５＿１．５*_15・通訳),0)*_15・２人),0)*(1+_15・B夜間)),0)*(1+_15・盲ろう)),0)*(1+_15・区４)),0)+ROUND((ROUND((ROUND((ROUND((ROUND((_15_同援日０．５＿１．５＿０．５*_15・通訳),0)*_15・２人),0)*(1+_15・C深夜)),0)*(1+_15・盲ろう)),0)*(1+_15・区４)),0)</f>
        <v>1036</v>
      </c>
      <c r="AF102" s="69"/>
    </row>
    <row r="103" spans="1:32" ht="16.5" customHeight="1" x14ac:dyDescent="0.3">
      <c r="A103" s="2">
        <v>15</v>
      </c>
      <c r="B103" s="2" t="s">
        <v>5131</v>
      </c>
      <c r="C103" s="60" t="s">
        <v>15608</v>
      </c>
      <c r="D103" s="1"/>
      <c r="E103" s="68"/>
      <c r="F103" s="70"/>
      <c r="G103" s="1"/>
      <c r="H103" s="68"/>
      <c r="I103" s="70"/>
      <c r="J103" s="74" t="s">
        <v>17493</v>
      </c>
      <c r="K103" s="62"/>
      <c r="L103" s="75"/>
      <c r="M103" s="67"/>
      <c r="N103" s="68"/>
      <c r="O103" s="76"/>
      <c r="P103" s="83"/>
      <c r="Q103" s="64"/>
      <c r="R103" s="65"/>
      <c r="S103" s="99"/>
      <c r="T103" s="70"/>
      <c r="U103" s="99"/>
      <c r="V103" s="70"/>
      <c r="W103" s="74"/>
      <c r="X103" s="62"/>
      <c r="Y103" s="63"/>
      <c r="Z103" s="75"/>
      <c r="AA103" s="74"/>
      <c r="AB103" s="62"/>
      <c r="AC103" s="63"/>
      <c r="AD103" s="75"/>
      <c r="AE103" s="120">
        <f>ROUND((_15_同援日０．５*_15・通訳),0)+ROUND((ROUND((_15_同援日０．５＿１．５*_15・通訳),0)*(1+_15・B夜間)),0)+ROUND((ROUND((_15_同援日０．５＿１．５＿１．０*_15・通訳),0)*(1+_15・C深夜)),0)</f>
        <v>675</v>
      </c>
      <c r="AF103" s="69"/>
    </row>
    <row r="104" spans="1:32" ht="16.5" customHeight="1" x14ac:dyDescent="0.3">
      <c r="A104" s="2">
        <v>15</v>
      </c>
      <c r="B104" s="2" t="s">
        <v>5132</v>
      </c>
      <c r="C104" s="60" t="s">
        <v>15607</v>
      </c>
      <c r="D104" s="1"/>
      <c r="E104" s="68"/>
      <c r="F104" s="70"/>
      <c r="G104" s="1"/>
      <c r="H104" s="68"/>
      <c r="I104" s="70"/>
      <c r="J104" s="1" t="s">
        <v>16978</v>
      </c>
      <c r="K104" s="68"/>
      <c r="L104" s="70"/>
      <c r="M104" s="67"/>
      <c r="N104" s="68"/>
      <c r="O104" s="76"/>
      <c r="P104" s="83" t="s">
        <v>5895</v>
      </c>
      <c r="Q104" s="64" t="s">
        <v>1</v>
      </c>
      <c r="R104" s="65">
        <v>1</v>
      </c>
      <c r="S104" s="99"/>
      <c r="T104" s="70"/>
      <c r="U104" s="99"/>
      <c r="V104" s="70"/>
      <c r="W104" s="81"/>
      <c r="X104" s="57"/>
      <c r="Y104" s="58"/>
      <c r="Z104" s="77"/>
      <c r="AA104" s="1"/>
      <c r="AB104" s="68"/>
      <c r="AC104" s="76"/>
      <c r="AD104" s="70"/>
      <c r="AE104" s="120">
        <f>ROUND((ROUND((_15_同援日０．５*_15・通訳),0)*_15・２人),0)+ROUND((ROUND((ROUND((_15_同援日０．５＿１．５*_15・通訳),0)*_15・２人),0)*(1+_15・B夜間)),0)+ROUND((ROUND((ROUND((_15_同援日０．５＿１．５＿１．０*_15・通訳),0)*_15・２人),0)*(1+_15・C深夜)),0)</f>
        <v>675</v>
      </c>
      <c r="AF104" s="69"/>
    </row>
    <row r="105" spans="1:32" ht="16.5" customHeight="1" x14ac:dyDescent="0.3">
      <c r="A105" s="2">
        <v>15</v>
      </c>
      <c r="B105" s="2" t="s">
        <v>5133</v>
      </c>
      <c r="C105" s="60" t="s">
        <v>15606</v>
      </c>
      <c r="D105" s="1"/>
      <c r="E105" s="68"/>
      <c r="F105" s="70"/>
      <c r="G105" s="1"/>
      <c r="H105" s="68"/>
      <c r="I105" s="70"/>
      <c r="J105" s="1" t="s">
        <v>8572</v>
      </c>
      <c r="K105" s="68"/>
      <c r="L105" s="70"/>
      <c r="M105" s="67"/>
      <c r="N105" s="68"/>
      <c r="O105" s="76"/>
      <c r="P105" s="83"/>
      <c r="Q105" s="64"/>
      <c r="R105" s="65"/>
      <c r="S105" s="99"/>
      <c r="T105" s="70"/>
      <c r="U105" s="99"/>
      <c r="V105" s="70"/>
      <c r="W105" s="74" t="s">
        <v>18025</v>
      </c>
      <c r="X105" s="62"/>
      <c r="Y105" s="63"/>
      <c r="Z105" s="75"/>
      <c r="AA105" s="1"/>
      <c r="AB105" s="68"/>
      <c r="AC105" s="76"/>
      <c r="AD105" s="70"/>
      <c r="AE105" s="120">
        <f>ROUND((ROUND((_15_同援日０．５*_15・通訳),0)*(1+_15・盲ろう)),0)+ROUND((ROUND((ROUND((_15_同援日０．５＿１．５*_15・通訳),0)*(1+_15・B夜間)),0)*(1+_15・盲ろう)),0)+ROUND((ROUND((ROUND((_15_同援日０．５＿１．５＿１．０*_15・通訳),0)*(1+_15・C深夜)),0)*(1+_15・盲ろう)),0)</f>
        <v>845</v>
      </c>
      <c r="AF105" s="69"/>
    </row>
    <row r="106" spans="1:32" ht="16.5" customHeight="1" x14ac:dyDescent="0.3">
      <c r="A106" s="2">
        <v>15</v>
      </c>
      <c r="B106" s="2" t="s">
        <v>5134</v>
      </c>
      <c r="C106" s="60" t="s">
        <v>15605</v>
      </c>
      <c r="D106" s="1"/>
      <c r="E106" s="68"/>
      <c r="F106" s="70"/>
      <c r="G106" s="1"/>
      <c r="H106" s="68"/>
      <c r="I106" s="70"/>
      <c r="J106" s="1"/>
      <c r="K106" s="227">
        <v>126</v>
      </c>
      <c r="L106" s="70" t="s">
        <v>0</v>
      </c>
      <c r="M106" s="67"/>
      <c r="N106" s="68"/>
      <c r="O106" s="76"/>
      <c r="P106" s="83" t="s">
        <v>5895</v>
      </c>
      <c r="Q106" s="64" t="s">
        <v>1</v>
      </c>
      <c r="R106" s="65">
        <v>1</v>
      </c>
      <c r="S106" s="99"/>
      <c r="T106" s="70"/>
      <c r="U106" s="99"/>
      <c r="V106" s="70"/>
      <c r="W106" s="81" t="s">
        <v>18024</v>
      </c>
      <c r="X106" s="57" t="s">
        <v>1</v>
      </c>
      <c r="Y106" s="58">
        <v>0.25</v>
      </c>
      <c r="Z106" s="77" t="s">
        <v>422</v>
      </c>
      <c r="AA106" s="81"/>
      <c r="AB106" s="57"/>
      <c r="AC106" s="58"/>
      <c r="AD106" s="77"/>
      <c r="AE106" s="120">
        <f>ROUND((ROUND((ROUND((_15_同援日０．５*_15・通訳),0)*_15・２人),0)*(1+_15・盲ろう)),0)+ROUND((ROUND((ROUND((ROUND((_15_同援日０．５＿１．５*_15・通訳),0)*_15・２人),0)*(1+_15・B夜間)),0)*(1+_15・盲ろう)),0)+ROUND((ROUND((ROUND((ROUND((_15_同援日０．５＿１．５＿１．０*_15・通訳),0)*_15・２人),0)*(1+_15・C深夜)),0)*(1+_15・盲ろう)),0)</f>
        <v>845</v>
      </c>
      <c r="AF106" s="69"/>
    </row>
    <row r="107" spans="1:32" ht="16.5" customHeight="1" x14ac:dyDescent="0.3">
      <c r="A107" s="2">
        <v>15</v>
      </c>
      <c r="B107" s="2" t="s">
        <v>5135</v>
      </c>
      <c r="C107" s="60" t="s">
        <v>15604</v>
      </c>
      <c r="D107" s="1"/>
      <c r="E107" s="68"/>
      <c r="F107" s="70"/>
      <c r="G107" s="1"/>
      <c r="H107" s="68"/>
      <c r="I107" s="70"/>
      <c r="J107" s="1"/>
      <c r="K107" s="68"/>
      <c r="L107" s="70"/>
      <c r="M107" s="67"/>
      <c r="N107" s="68"/>
      <c r="O107" s="76"/>
      <c r="P107" s="83"/>
      <c r="Q107" s="64"/>
      <c r="R107" s="65"/>
      <c r="S107" s="99"/>
      <c r="T107" s="70"/>
      <c r="U107" s="99"/>
      <c r="V107" s="70"/>
      <c r="W107" s="74"/>
      <c r="X107" s="62"/>
      <c r="Y107" s="63"/>
      <c r="Z107" s="75"/>
      <c r="AA107" s="74" t="s">
        <v>18028</v>
      </c>
      <c r="AB107" s="62"/>
      <c r="AC107" s="63"/>
      <c r="AD107" s="75"/>
      <c r="AE107" s="120">
        <f>ROUND((ROUND((_15_同援日０．５*_15・通訳),0)*(1+_15・区３)),0)+ROUND((ROUND((ROUND((_15_同援日０．５＿１．５*_15・通訳),0)*(1+_15・B夜間)),0)*(1+_15・区３)),0)+ROUND((ROUND((ROUND((_15_同援日０．５＿１．５＿１．０*_15・通訳),0)*(1+_15・C深夜)),0)*(1+_15・区３)),0)</f>
        <v>810</v>
      </c>
      <c r="AF107" s="69"/>
    </row>
    <row r="108" spans="1:32" ht="16.5" customHeight="1" x14ac:dyDescent="0.3">
      <c r="A108" s="2">
        <v>15</v>
      </c>
      <c r="B108" s="2" t="s">
        <v>5136</v>
      </c>
      <c r="C108" s="60" t="s">
        <v>15603</v>
      </c>
      <c r="D108" s="1"/>
      <c r="E108" s="68"/>
      <c r="F108" s="70"/>
      <c r="G108" s="1"/>
      <c r="H108" s="68"/>
      <c r="I108" s="70"/>
      <c r="J108" s="1"/>
      <c r="K108" s="68"/>
      <c r="L108" s="70"/>
      <c r="M108" s="67"/>
      <c r="N108" s="68"/>
      <c r="O108" s="76"/>
      <c r="P108" s="83" t="s">
        <v>5895</v>
      </c>
      <c r="Q108" s="64" t="s">
        <v>1</v>
      </c>
      <c r="R108" s="65">
        <v>1</v>
      </c>
      <c r="S108" s="99"/>
      <c r="T108" s="70"/>
      <c r="U108" s="99"/>
      <c r="V108" s="70"/>
      <c r="W108" s="81"/>
      <c r="X108" s="57"/>
      <c r="Y108" s="58"/>
      <c r="Z108" s="77"/>
      <c r="AA108" s="1" t="s">
        <v>18026</v>
      </c>
      <c r="AB108" s="68"/>
      <c r="AC108" s="76"/>
      <c r="AD108" s="70"/>
      <c r="AE108" s="120">
        <f>ROUND((ROUND((ROUND((_15_同援日０．５*_15・通訳),0)*_15・２人),0)*(1+_15・区３)),0)+ROUND((ROUND((ROUND((ROUND((_15_同援日０．５＿１．５*_15・通訳),0)*_15・２人),0)*(1+_15・B夜間)),0)*(1+_15・区３)),0)+ROUND((ROUND((ROUND((ROUND((_15_同援日０．５＿１．５＿１．０*_15・通訳),0)*_15・２人),0)*(1+_15・C深夜)),0)*(1+_15・区３)),0)</f>
        <v>810</v>
      </c>
      <c r="AF108" s="69"/>
    </row>
    <row r="109" spans="1:32" ht="16.5" customHeight="1" x14ac:dyDescent="0.3">
      <c r="A109" s="2">
        <v>15</v>
      </c>
      <c r="B109" s="2" t="s">
        <v>5137</v>
      </c>
      <c r="C109" s="60" t="s">
        <v>15602</v>
      </c>
      <c r="D109" s="1"/>
      <c r="E109" s="68"/>
      <c r="F109" s="70"/>
      <c r="G109" s="1"/>
      <c r="H109" s="68"/>
      <c r="I109" s="70"/>
      <c r="J109" s="1"/>
      <c r="K109" s="68"/>
      <c r="L109" s="70"/>
      <c r="M109" s="67"/>
      <c r="N109" s="68"/>
      <c r="O109" s="76"/>
      <c r="P109" s="83"/>
      <c r="Q109" s="64"/>
      <c r="R109" s="65"/>
      <c r="S109" s="99"/>
      <c r="T109" s="70"/>
      <c r="U109" s="99"/>
      <c r="V109" s="70"/>
      <c r="W109" s="74" t="s">
        <v>8085</v>
      </c>
      <c r="X109" s="62"/>
      <c r="Y109" s="63"/>
      <c r="Z109" s="75"/>
      <c r="AA109" s="1"/>
      <c r="AB109" s="68" t="s">
        <v>1</v>
      </c>
      <c r="AC109" s="76">
        <v>0.2</v>
      </c>
      <c r="AD109" s="70" t="s">
        <v>422</v>
      </c>
      <c r="AE109" s="120">
        <f>ROUND((ROUND((ROUND((_15_同援日０．５*_15・通訳),0)*(1+_15・盲ろう)),0)*(1+_15・区３)),0)+ROUND((ROUND((ROUND((ROUND((_15_同援日０．５＿１．５*_15・通訳),0)*(1+_15・B夜間)),0)*(1+_15・盲ろう)),0)*(1+_15・区３)),0)+ROUND((ROUND((ROUND((ROUND((_15_同援日０．５＿１．５＿１．０*_15・通訳),0)*(1+_15・C深夜)),0)*(1+_15・盲ろう)),0)*(1+_15・区３)),0)</f>
        <v>1015</v>
      </c>
      <c r="AF109" s="69"/>
    </row>
    <row r="110" spans="1:32" ht="16.5" customHeight="1" x14ac:dyDescent="0.3">
      <c r="A110" s="2">
        <v>15</v>
      </c>
      <c r="B110" s="2" t="s">
        <v>5138</v>
      </c>
      <c r="C110" s="60" t="s">
        <v>15601</v>
      </c>
      <c r="D110" s="1"/>
      <c r="E110" s="68"/>
      <c r="F110" s="70"/>
      <c r="G110" s="1"/>
      <c r="H110" s="68"/>
      <c r="I110" s="70"/>
      <c r="J110" s="1"/>
      <c r="K110" s="68"/>
      <c r="L110" s="70"/>
      <c r="M110" s="67"/>
      <c r="N110" s="68"/>
      <c r="O110" s="76"/>
      <c r="P110" s="83" t="s">
        <v>5895</v>
      </c>
      <c r="Q110" s="64" t="s">
        <v>1</v>
      </c>
      <c r="R110" s="65">
        <v>1</v>
      </c>
      <c r="S110" s="99"/>
      <c r="T110" s="70"/>
      <c r="U110" s="99"/>
      <c r="V110" s="70"/>
      <c r="W110" s="81" t="s">
        <v>18024</v>
      </c>
      <c r="X110" s="57" t="s">
        <v>1</v>
      </c>
      <c r="Y110" s="58">
        <v>0.25</v>
      </c>
      <c r="Z110" s="77" t="s">
        <v>422</v>
      </c>
      <c r="AA110" s="81"/>
      <c r="AB110" s="57"/>
      <c r="AC110" s="58"/>
      <c r="AD110" s="77"/>
      <c r="AE110" s="120">
        <f>ROUND((ROUND((ROUND((ROUND((_15_同援日０．５*_15・通訳),0)*_15・２人),0)*(1+_15・盲ろう)),0)*(1+_15・区３)),0)+ROUND((ROUND((ROUND((ROUND((ROUND((_15_同援日０．５＿１．５*_15・通訳),0)*_15・２人),0)*(1+_15・B夜間)),0)*(1+_15・盲ろう)),0)*(1+_15・区３)),0)+ROUND((ROUND((ROUND((ROUND((ROUND((_15_同援日０．５＿１．５＿１．０*_15・通訳),0)*_15・２人),0)*(1+_15・C深夜)),0)*(1+_15・盲ろう)),0)*(1+_15・区３)),0)</f>
        <v>1015</v>
      </c>
      <c r="AF110" s="69"/>
    </row>
    <row r="111" spans="1:32" ht="16.5" customHeight="1" x14ac:dyDescent="0.3">
      <c r="A111" s="2">
        <v>15</v>
      </c>
      <c r="B111" s="2" t="s">
        <v>5139</v>
      </c>
      <c r="C111" s="60" t="s">
        <v>15600</v>
      </c>
      <c r="D111" s="1"/>
      <c r="E111" s="68"/>
      <c r="F111" s="70"/>
      <c r="G111" s="1"/>
      <c r="H111" s="68"/>
      <c r="I111" s="70"/>
      <c r="J111" s="1"/>
      <c r="K111" s="68"/>
      <c r="L111" s="70"/>
      <c r="M111" s="67"/>
      <c r="N111" s="68"/>
      <c r="O111" s="76"/>
      <c r="P111" s="83"/>
      <c r="Q111" s="64"/>
      <c r="R111" s="65"/>
      <c r="S111" s="99"/>
      <c r="T111" s="70"/>
      <c r="U111" s="99"/>
      <c r="V111" s="70"/>
      <c r="W111" s="74"/>
      <c r="X111" s="62"/>
      <c r="Y111" s="63"/>
      <c r="Z111" s="75"/>
      <c r="AA111" s="74" t="s">
        <v>18027</v>
      </c>
      <c r="AB111" s="62"/>
      <c r="AC111" s="63"/>
      <c r="AD111" s="75"/>
      <c r="AE111" s="228">
        <f>ROUND((ROUND((_15_同援日０．５*_15・通訳),0)*(1+_15・区４)),0)+ROUND((ROUND((ROUND((_15_同援日０．５＿１．５*_15・通訳),0)*(1+_15・B夜間)),0)*(1+_15・区４)),0)+ROUND((ROUND((ROUND((_15_同援日０．５＿１．５＿１．０*_15・通訳),0)*(1+_15・C深夜)),0)*(1+_15・区４)),0)</f>
        <v>945</v>
      </c>
      <c r="AF111" s="69"/>
    </row>
    <row r="112" spans="1:32" ht="16.5" customHeight="1" x14ac:dyDescent="0.3">
      <c r="A112" s="2">
        <v>15</v>
      </c>
      <c r="B112" s="2" t="s">
        <v>5140</v>
      </c>
      <c r="C112" s="60" t="s">
        <v>15599</v>
      </c>
      <c r="D112" s="1"/>
      <c r="E112" s="68"/>
      <c r="F112" s="70"/>
      <c r="G112" s="1"/>
      <c r="H112" s="68"/>
      <c r="I112" s="70"/>
      <c r="J112" s="1"/>
      <c r="K112" s="68"/>
      <c r="L112" s="70"/>
      <c r="M112" s="67"/>
      <c r="N112" s="68"/>
      <c r="O112" s="76"/>
      <c r="P112" s="83" t="s">
        <v>5895</v>
      </c>
      <c r="Q112" s="64" t="s">
        <v>1</v>
      </c>
      <c r="R112" s="65">
        <v>1</v>
      </c>
      <c r="S112" s="99"/>
      <c r="T112" s="70"/>
      <c r="U112" s="99"/>
      <c r="V112" s="70"/>
      <c r="W112" s="81"/>
      <c r="X112" s="57"/>
      <c r="Y112" s="58"/>
      <c r="Z112" s="77"/>
      <c r="AA112" s="1" t="s">
        <v>18026</v>
      </c>
      <c r="AB112" s="68"/>
      <c r="AC112" s="76"/>
      <c r="AD112" s="70"/>
      <c r="AE112" s="228">
        <f>ROUND((ROUND((ROUND((_15_同援日０．５*_15・通訳),0)*_15・２人),0)*(1+_15・区４)),0)+ROUND((ROUND((ROUND((ROUND((_15_同援日０．５＿１．５*_15・通訳),0)*_15・２人),0)*(1+_15・B夜間)),0)*(1+_15・区４)),0)+ROUND((ROUND((ROUND((ROUND((_15_同援日０．５＿１．５＿１．０*_15・通訳),0)*_15・２人),0)*(1+_15・C深夜)),0)*(1+_15・区４)),0)</f>
        <v>945</v>
      </c>
      <c r="AF112" s="69"/>
    </row>
    <row r="113" spans="1:32" ht="16.5" customHeight="1" x14ac:dyDescent="0.3">
      <c r="A113" s="2">
        <v>15</v>
      </c>
      <c r="B113" s="2" t="s">
        <v>5141</v>
      </c>
      <c r="C113" s="60" t="s">
        <v>15598</v>
      </c>
      <c r="D113" s="1"/>
      <c r="E113" s="68"/>
      <c r="F113" s="70"/>
      <c r="G113" s="1"/>
      <c r="H113" s="68"/>
      <c r="I113" s="70"/>
      <c r="J113" s="1"/>
      <c r="K113" s="68"/>
      <c r="L113" s="70"/>
      <c r="M113" s="67"/>
      <c r="N113" s="68"/>
      <c r="O113" s="76"/>
      <c r="P113" s="83"/>
      <c r="Q113" s="64"/>
      <c r="R113" s="65"/>
      <c r="S113" s="99"/>
      <c r="T113" s="70"/>
      <c r="U113" s="99"/>
      <c r="V113" s="70"/>
      <c r="W113" s="74" t="s">
        <v>18025</v>
      </c>
      <c r="X113" s="62"/>
      <c r="Y113" s="63"/>
      <c r="Z113" s="75"/>
      <c r="AA113" s="1"/>
      <c r="AB113" s="68" t="s">
        <v>1</v>
      </c>
      <c r="AC113" s="76">
        <v>0.4</v>
      </c>
      <c r="AD113" s="70" t="s">
        <v>422</v>
      </c>
      <c r="AE113" s="120">
        <f>ROUND((ROUND((ROUND((_15_同援日０．５*_15・通訳),0)*(1+_15・盲ろう)),0)*(1+_15・区４)),0)+ROUND((ROUND((ROUND((ROUND((_15_同援日０．５＿１．５*_15・通訳),0)*(1+_15・B夜間)),0)*(1+_15・盲ろう)),0)*(1+_15・区４)),0)+ROUND((ROUND((ROUND((ROUND((_15_同援日０．５＿１．５＿１．０*_15・通訳),0)*(1+_15・C深夜)),0)*(1+_15・盲ろう)),0)*(1+_15・区４)),0)</f>
        <v>1183</v>
      </c>
      <c r="AF113" s="69"/>
    </row>
    <row r="114" spans="1:32" ht="16.5" customHeight="1" x14ac:dyDescent="0.3">
      <c r="A114" s="2">
        <v>15</v>
      </c>
      <c r="B114" s="2" t="s">
        <v>5142</v>
      </c>
      <c r="C114" s="60" t="s">
        <v>15597</v>
      </c>
      <c r="D114" s="1"/>
      <c r="E114" s="68"/>
      <c r="F114" s="70"/>
      <c r="G114" s="81"/>
      <c r="H114" s="57"/>
      <c r="I114" s="77"/>
      <c r="J114" s="81"/>
      <c r="K114" s="57"/>
      <c r="L114" s="77"/>
      <c r="M114" s="67"/>
      <c r="N114" s="68"/>
      <c r="O114" s="76"/>
      <c r="P114" s="83" t="s">
        <v>5895</v>
      </c>
      <c r="Q114" s="64" t="s">
        <v>1</v>
      </c>
      <c r="R114" s="65">
        <v>1</v>
      </c>
      <c r="S114" s="99"/>
      <c r="T114" s="70"/>
      <c r="U114" s="99"/>
      <c r="V114" s="70"/>
      <c r="W114" s="81" t="s">
        <v>18024</v>
      </c>
      <c r="X114" s="57" t="s">
        <v>1</v>
      </c>
      <c r="Y114" s="58">
        <v>0.25</v>
      </c>
      <c r="Z114" s="77" t="s">
        <v>422</v>
      </c>
      <c r="AA114" s="81"/>
      <c r="AB114" s="57"/>
      <c r="AC114" s="58"/>
      <c r="AD114" s="77"/>
      <c r="AE114" s="120">
        <f>ROUND((ROUND((ROUND((ROUND((_15_同援日０．５*_15・通訳),0)*_15・２人),0)*(1+_15・盲ろう)),0)*(1+_15・区４)),0)+ROUND((ROUND((ROUND((ROUND((ROUND((_15_同援日０．５＿１．５*_15・通訳),0)*_15・２人),0)*(1+_15・B夜間)),0)*(1+_15・盲ろう)),0)*(1+_15・区４)),0)+ROUND((ROUND((ROUND((ROUND((ROUND((_15_同援日０．５＿１．５＿１．０*_15・通訳),0)*_15・２人),0)*(1+_15・C深夜)),0)*(1+_15・盲ろう)),0)*(1+_15・区４)),0)</f>
        <v>1183</v>
      </c>
      <c r="AF114" s="69"/>
    </row>
    <row r="115" spans="1:32" ht="16.5" customHeight="1" x14ac:dyDescent="0.3">
      <c r="A115" s="2">
        <v>15</v>
      </c>
      <c r="B115" s="2" t="s">
        <v>5143</v>
      </c>
      <c r="C115" s="60" t="s">
        <v>15596</v>
      </c>
      <c r="D115" s="1"/>
      <c r="E115" s="68"/>
      <c r="F115" s="70"/>
      <c r="G115" s="233" t="s">
        <v>6027</v>
      </c>
      <c r="H115" s="235"/>
      <c r="I115" s="75"/>
      <c r="J115" s="74" t="s">
        <v>17494</v>
      </c>
      <c r="K115" s="62"/>
      <c r="L115" s="75"/>
      <c r="M115" s="67"/>
      <c r="N115" s="68"/>
      <c r="O115" s="76"/>
      <c r="P115" s="83"/>
      <c r="Q115" s="64"/>
      <c r="R115" s="65"/>
      <c r="S115" s="99"/>
      <c r="T115" s="70"/>
      <c r="U115" s="99"/>
      <c r="V115" s="70"/>
      <c r="W115" s="74"/>
      <c r="X115" s="62"/>
      <c r="Y115" s="63"/>
      <c r="Z115" s="75"/>
      <c r="AA115" s="74"/>
      <c r="AB115" s="62"/>
      <c r="AC115" s="63"/>
      <c r="AD115" s="75"/>
      <c r="AE115" s="120">
        <f>ROUND((_15_同援日０．５*_15・通訳),0)+ROUND((ROUND((_15_同援日０．５＿２．０*_15・通訳),0)*(1+_15・B夜間)),0)+ROUND((ROUND((_15_同援日０．５＿２．０＿０．５*_15・通訳),0)*(1+_15・C深夜)),0)</f>
        <v>662</v>
      </c>
      <c r="AF115" s="69"/>
    </row>
    <row r="116" spans="1:32" ht="16.5" customHeight="1" x14ac:dyDescent="0.3">
      <c r="A116" s="2">
        <v>15</v>
      </c>
      <c r="B116" s="2" t="s">
        <v>5144</v>
      </c>
      <c r="C116" s="60" t="s">
        <v>15595</v>
      </c>
      <c r="D116" s="1"/>
      <c r="E116" s="68"/>
      <c r="F116" s="70"/>
      <c r="G116" s="234" t="s">
        <v>16981</v>
      </c>
      <c r="H116" s="237"/>
      <c r="I116" s="238"/>
      <c r="J116" s="1" t="s">
        <v>7928</v>
      </c>
      <c r="K116" s="68"/>
      <c r="L116" s="70"/>
      <c r="M116" s="67"/>
      <c r="N116" s="68"/>
      <c r="O116" s="76"/>
      <c r="P116" s="83" t="s">
        <v>5895</v>
      </c>
      <c r="Q116" s="64" t="s">
        <v>1</v>
      </c>
      <c r="R116" s="65">
        <v>1</v>
      </c>
      <c r="S116" s="99"/>
      <c r="T116" s="70"/>
      <c r="U116" s="99"/>
      <c r="V116" s="70"/>
      <c r="W116" s="81"/>
      <c r="X116" s="57"/>
      <c r="Y116" s="58"/>
      <c r="Z116" s="77"/>
      <c r="AA116" s="1"/>
      <c r="AB116" s="68"/>
      <c r="AC116" s="76"/>
      <c r="AD116" s="70"/>
      <c r="AE116" s="120">
        <f>ROUND((ROUND((_15_同援日０．５*_15・通訳),0)*_15・２人),0)+ROUND((ROUND((ROUND((_15_同援日０．５＿２．０*_15・通訳),0)*_15・２人),0)*(1+_15・B夜間)),0)+ROUND((ROUND((ROUND((_15_同援日０．５＿２．０＿０．５*_15・通訳),0)*_15・２人),0)*(1+_15・C深夜)),0)</f>
        <v>662</v>
      </c>
      <c r="AF116" s="69"/>
    </row>
    <row r="117" spans="1:32" ht="16.5" customHeight="1" x14ac:dyDescent="0.3">
      <c r="A117" s="2">
        <v>15</v>
      </c>
      <c r="B117" s="2" t="s">
        <v>5145</v>
      </c>
      <c r="C117" s="60" t="s">
        <v>15594</v>
      </c>
      <c r="D117" s="1"/>
      <c r="E117" s="68"/>
      <c r="F117" s="70"/>
      <c r="G117" s="1" t="s">
        <v>6448</v>
      </c>
      <c r="H117" s="68"/>
      <c r="I117" s="70"/>
      <c r="J117" s="1"/>
      <c r="K117" s="68"/>
      <c r="L117" s="70"/>
      <c r="M117" s="67"/>
      <c r="N117" s="68"/>
      <c r="O117" s="76"/>
      <c r="P117" s="83"/>
      <c r="Q117" s="64"/>
      <c r="R117" s="65"/>
      <c r="S117" s="99"/>
      <c r="T117" s="70"/>
      <c r="U117" s="99"/>
      <c r="V117" s="70"/>
      <c r="W117" s="74" t="s">
        <v>18025</v>
      </c>
      <c r="X117" s="62"/>
      <c r="Y117" s="63"/>
      <c r="Z117" s="75"/>
      <c r="AA117" s="1"/>
      <c r="AB117" s="68"/>
      <c r="AC117" s="76"/>
      <c r="AD117" s="70"/>
      <c r="AE117" s="228">
        <f>ROUND((ROUND((_15_同援日０．５*_15・通訳),0)*(1+_15・盲ろう)),0)+ROUND((ROUND((ROUND((_15_同援日０．５＿２．０*_15・通訳),0)*(1+_15・B夜間)),0)*(1+_15・盲ろう)),0)+ROUND((ROUND((ROUND((_15_同援日０．５＿２．０＿０．５*_15・通訳),0)*(1+_15・C深夜)),0)*(1+_15・盲ろう)),0)</f>
        <v>829</v>
      </c>
      <c r="AF117" s="69"/>
    </row>
    <row r="118" spans="1:32" ht="16.5" customHeight="1" x14ac:dyDescent="0.3">
      <c r="A118" s="2">
        <v>15</v>
      </c>
      <c r="B118" s="2" t="s">
        <v>5146</v>
      </c>
      <c r="C118" s="60" t="s">
        <v>15593</v>
      </c>
      <c r="D118" s="1"/>
      <c r="E118" s="68"/>
      <c r="F118" s="70"/>
      <c r="G118" s="1"/>
      <c r="H118" s="227">
        <v>364</v>
      </c>
      <c r="I118" s="70" t="s">
        <v>0</v>
      </c>
      <c r="J118" s="1"/>
      <c r="K118" s="227">
        <v>63</v>
      </c>
      <c r="L118" s="70" t="s">
        <v>0</v>
      </c>
      <c r="M118" s="67"/>
      <c r="N118" s="68"/>
      <c r="O118" s="76"/>
      <c r="P118" s="83" t="s">
        <v>5895</v>
      </c>
      <c r="Q118" s="64" t="s">
        <v>1</v>
      </c>
      <c r="R118" s="65">
        <v>1</v>
      </c>
      <c r="S118" s="99"/>
      <c r="T118" s="70"/>
      <c r="U118" s="99"/>
      <c r="V118" s="70"/>
      <c r="W118" s="81" t="s">
        <v>18024</v>
      </c>
      <c r="X118" s="57" t="s">
        <v>1</v>
      </c>
      <c r="Y118" s="58">
        <v>0.25</v>
      </c>
      <c r="Z118" s="77" t="s">
        <v>422</v>
      </c>
      <c r="AA118" s="81"/>
      <c r="AB118" s="57"/>
      <c r="AC118" s="58"/>
      <c r="AD118" s="77"/>
      <c r="AE118" s="228">
        <f>ROUND((ROUND((ROUND((_15_同援日０．５*_15・通訳),0)*_15・２人),0)*(1+_15・盲ろう)),0)+ROUND((ROUND((ROUND((ROUND((_15_同援日０．５＿２．０*_15・通訳),0)*_15・２人),0)*(1+_15・B夜間)),0)*(1+_15・盲ろう)),0)+ROUND((ROUND((ROUND((ROUND((_15_同援日０．５＿２．０＿０．５*_15・通訳),0)*_15・２人),0)*(1+_15・C深夜)),0)*(1+_15・盲ろう)),0)</f>
        <v>829</v>
      </c>
      <c r="AF118" s="69"/>
    </row>
    <row r="119" spans="1:32" ht="16.5" customHeight="1" x14ac:dyDescent="0.3">
      <c r="A119" s="2">
        <v>15</v>
      </c>
      <c r="B119" s="2" t="s">
        <v>5147</v>
      </c>
      <c r="C119" s="60" t="s">
        <v>15592</v>
      </c>
      <c r="D119" s="1"/>
      <c r="E119" s="68"/>
      <c r="F119" s="70"/>
      <c r="G119" s="1"/>
      <c r="H119" s="68"/>
      <c r="I119" s="70"/>
      <c r="J119" s="1"/>
      <c r="K119" s="68"/>
      <c r="L119" s="70"/>
      <c r="M119" s="67"/>
      <c r="N119" s="68"/>
      <c r="O119" s="76"/>
      <c r="P119" s="83"/>
      <c r="Q119" s="64"/>
      <c r="R119" s="65"/>
      <c r="S119" s="99"/>
      <c r="T119" s="70"/>
      <c r="U119" s="99"/>
      <c r="V119" s="70"/>
      <c r="W119" s="74"/>
      <c r="X119" s="62"/>
      <c r="Y119" s="63"/>
      <c r="Z119" s="75"/>
      <c r="AA119" s="74" t="s">
        <v>18028</v>
      </c>
      <c r="AB119" s="62"/>
      <c r="AC119" s="63"/>
      <c r="AD119" s="75"/>
      <c r="AE119" s="120">
        <f>ROUND((ROUND((_15_同援日０．５*_15・通訳),0)*(1+_15・区３)),0)+ROUND((ROUND((ROUND((_15_同援日０．５＿２．０*_15・通訳),0)*(1+_15・B夜間)),0)*(1+_15・区３)),0)+ROUND((ROUND((ROUND((_15_同援日０．５＿２．０＿０．５*_15・通訳),0)*(1+_15・C深夜)),0)*(1+_15・区３)),0)</f>
        <v>794</v>
      </c>
      <c r="AF119" s="69"/>
    </row>
    <row r="120" spans="1:32" ht="16.5" customHeight="1" x14ac:dyDescent="0.3">
      <c r="A120" s="2">
        <v>15</v>
      </c>
      <c r="B120" s="2" t="s">
        <v>5148</v>
      </c>
      <c r="C120" s="60" t="s">
        <v>15591</v>
      </c>
      <c r="D120" s="1"/>
      <c r="E120" s="68"/>
      <c r="F120" s="70"/>
      <c r="G120" s="1"/>
      <c r="H120" s="68"/>
      <c r="I120" s="70"/>
      <c r="J120" s="1"/>
      <c r="K120" s="68"/>
      <c r="L120" s="70"/>
      <c r="M120" s="67"/>
      <c r="N120" s="68"/>
      <c r="O120" s="76"/>
      <c r="P120" s="83" t="s">
        <v>5895</v>
      </c>
      <c r="Q120" s="64" t="s">
        <v>1</v>
      </c>
      <c r="R120" s="65">
        <v>1</v>
      </c>
      <c r="S120" s="99"/>
      <c r="T120" s="70"/>
      <c r="U120" s="99"/>
      <c r="V120" s="70"/>
      <c r="W120" s="81"/>
      <c r="X120" s="57"/>
      <c r="Y120" s="58"/>
      <c r="Z120" s="77"/>
      <c r="AA120" s="1" t="s">
        <v>18026</v>
      </c>
      <c r="AB120" s="68"/>
      <c r="AC120" s="76"/>
      <c r="AD120" s="70"/>
      <c r="AE120" s="120">
        <f>ROUND((ROUND((ROUND((_15_同援日０．５*_15・通訳),0)*_15・２人),0)*(1+_15・区３)),0)+ROUND((ROUND((ROUND((ROUND((_15_同援日０．５＿２．０*_15・通訳),0)*_15・２人),0)*(1+_15・B夜間)),0)*(1+_15・区３)),0)+ROUND((ROUND((ROUND((ROUND((_15_同援日０．５＿２．０＿０．５*_15・通訳),0)*_15・２人),0)*(1+_15・C深夜)),0)*(1+_15・区３)),0)</f>
        <v>794</v>
      </c>
      <c r="AF120" s="69"/>
    </row>
    <row r="121" spans="1:32" ht="16.5" customHeight="1" x14ac:dyDescent="0.3">
      <c r="A121" s="2">
        <v>15</v>
      </c>
      <c r="B121" s="2" t="s">
        <v>5149</v>
      </c>
      <c r="C121" s="60" t="s">
        <v>15590</v>
      </c>
      <c r="D121" s="1"/>
      <c r="E121" s="68"/>
      <c r="F121" s="70"/>
      <c r="G121" s="1"/>
      <c r="H121" s="68"/>
      <c r="I121" s="70"/>
      <c r="J121" s="1"/>
      <c r="K121" s="68"/>
      <c r="L121" s="70"/>
      <c r="M121" s="67"/>
      <c r="N121" s="68"/>
      <c r="O121" s="76"/>
      <c r="P121" s="83"/>
      <c r="Q121" s="64"/>
      <c r="R121" s="65"/>
      <c r="S121" s="99"/>
      <c r="T121" s="70"/>
      <c r="U121" s="99"/>
      <c r="V121" s="70"/>
      <c r="W121" s="74" t="s">
        <v>18025</v>
      </c>
      <c r="X121" s="62"/>
      <c r="Y121" s="63"/>
      <c r="Z121" s="75"/>
      <c r="AA121" s="1"/>
      <c r="AB121" s="68" t="s">
        <v>1</v>
      </c>
      <c r="AC121" s="76">
        <v>0.2</v>
      </c>
      <c r="AD121" s="70" t="s">
        <v>422</v>
      </c>
      <c r="AE121" s="228">
        <f>ROUND((ROUND((ROUND((_15_同援日０．５*_15・通訳),0)*(1+_15・盲ろう)),0)*(1+_15・区３)),0)+ROUND((ROUND((ROUND((ROUND((_15_同援日０．５＿２．０*_15・通訳),0)*(1+_15・B夜間)),0)*(1+_15・盲ろう)),0)*(1+_15・区３)),0)+ROUND((ROUND((ROUND((ROUND((_15_同援日０．５＿２．０＿０．５*_15・通訳),0)*(1+_15・C深夜)),0)*(1+_15・盲ろう)),0)*(1+_15・区３)),0)</f>
        <v>996</v>
      </c>
      <c r="AF121" s="69"/>
    </row>
    <row r="122" spans="1:32" ht="16.5" customHeight="1" x14ac:dyDescent="0.3">
      <c r="A122" s="2">
        <v>15</v>
      </c>
      <c r="B122" s="2" t="s">
        <v>5150</v>
      </c>
      <c r="C122" s="60" t="s">
        <v>15589</v>
      </c>
      <c r="D122" s="1"/>
      <c r="E122" s="68"/>
      <c r="F122" s="70"/>
      <c r="G122" s="1"/>
      <c r="H122" s="68"/>
      <c r="I122" s="70"/>
      <c r="J122" s="1"/>
      <c r="K122" s="68"/>
      <c r="L122" s="70"/>
      <c r="M122" s="67"/>
      <c r="N122" s="68"/>
      <c r="O122" s="76"/>
      <c r="P122" s="83" t="s">
        <v>5895</v>
      </c>
      <c r="Q122" s="64" t="s">
        <v>1</v>
      </c>
      <c r="R122" s="65">
        <v>1</v>
      </c>
      <c r="S122" s="99"/>
      <c r="T122" s="70"/>
      <c r="U122" s="99"/>
      <c r="V122" s="70"/>
      <c r="W122" s="81" t="s">
        <v>18024</v>
      </c>
      <c r="X122" s="57" t="s">
        <v>1</v>
      </c>
      <c r="Y122" s="58">
        <v>0.25</v>
      </c>
      <c r="Z122" s="77" t="s">
        <v>422</v>
      </c>
      <c r="AA122" s="81"/>
      <c r="AB122" s="57"/>
      <c r="AC122" s="58"/>
      <c r="AD122" s="77"/>
      <c r="AE122" s="228">
        <f>ROUND((ROUND((ROUND((ROUND((_15_同援日０．５*_15・通訳),0)*_15・２人),0)*(1+_15・盲ろう)),0)*(1+_15・区３)),0)+ROUND((ROUND((ROUND((ROUND((ROUND((_15_同援日０．５＿２．０*_15・通訳),0)*_15・２人),0)*(1+_15・B夜間)),0)*(1+_15・盲ろう)),0)*(1+_15・区３)),0)+ROUND((ROUND((ROUND((ROUND((ROUND((_15_同援日０．５＿２．０＿０．５*_15・通訳),0)*_15・２人),0)*(1+_15・C深夜)),0)*(1+_15・盲ろう)),0)*(1+_15・区３)),0)</f>
        <v>996</v>
      </c>
      <c r="AF122" s="69"/>
    </row>
    <row r="123" spans="1:32" ht="16.5" customHeight="1" x14ac:dyDescent="0.3">
      <c r="A123" s="2">
        <v>15</v>
      </c>
      <c r="B123" s="2" t="s">
        <v>5151</v>
      </c>
      <c r="C123" s="60" t="s">
        <v>15588</v>
      </c>
      <c r="D123" s="1"/>
      <c r="E123" s="68"/>
      <c r="F123" s="70"/>
      <c r="G123" s="1"/>
      <c r="H123" s="68"/>
      <c r="I123" s="70"/>
      <c r="J123" s="1"/>
      <c r="K123" s="68"/>
      <c r="L123" s="70"/>
      <c r="M123" s="67"/>
      <c r="N123" s="68"/>
      <c r="O123" s="76"/>
      <c r="P123" s="83"/>
      <c r="Q123" s="64"/>
      <c r="R123" s="65"/>
      <c r="S123" s="99"/>
      <c r="T123" s="70"/>
      <c r="U123" s="99"/>
      <c r="V123" s="70"/>
      <c r="W123" s="74"/>
      <c r="X123" s="62"/>
      <c r="Y123" s="63"/>
      <c r="Z123" s="75"/>
      <c r="AA123" s="74" t="s">
        <v>18027</v>
      </c>
      <c r="AB123" s="62"/>
      <c r="AC123" s="63"/>
      <c r="AD123" s="75"/>
      <c r="AE123" s="228">
        <f>ROUND((ROUND((_15_同援日０．５*_15・通訳),0)*(1+_15・区４)),0)+ROUND((ROUND((ROUND((_15_同援日０．５＿２．０*_15・通訳),0)*(1+_15・B夜間)),0)*(1+_15・区４)),0)+ROUND((ROUND((ROUND((_15_同援日０．５＿２．０＿０．５*_15・通訳),0)*(1+_15・C深夜)),0)*(1+_15・区４)),0)</f>
        <v>926</v>
      </c>
      <c r="AF123" s="69"/>
    </row>
    <row r="124" spans="1:32" ht="16.5" customHeight="1" x14ac:dyDescent="0.3">
      <c r="A124" s="2">
        <v>15</v>
      </c>
      <c r="B124" s="2" t="s">
        <v>5152</v>
      </c>
      <c r="C124" s="60" t="s">
        <v>15587</v>
      </c>
      <c r="D124" s="1"/>
      <c r="E124" s="68"/>
      <c r="F124" s="70"/>
      <c r="G124" s="1"/>
      <c r="H124" s="68"/>
      <c r="I124" s="70"/>
      <c r="J124" s="1"/>
      <c r="K124" s="68"/>
      <c r="L124" s="70"/>
      <c r="M124" s="67"/>
      <c r="N124" s="68"/>
      <c r="O124" s="76"/>
      <c r="P124" s="83" t="s">
        <v>5895</v>
      </c>
      <c r="Q124" s="64" t="s">
        <v>1</v>
      </c>
      <c r="R124" s="65">
        <v>1</v>
      </c>
      <c r="S124" s="99"/>
      <c r="T124" s="70"/>
      <c r="U124" s="99"/>
      <c r="V124" s="70"/>
      <c r="W124" s="81"/>
      <c r="X124" s="57"/>
      <c r="Y124" s="58"/>
      <c r="Z124" s="77"/>
      <c r="AA124" s="1" t="s">
        <v>18026</v>
      </c>
      <c r="AB124" s="68"/>
      <c r="AC124" s="76"/>
      <c r="AD124" s="70"/>
      <c r="AE124" s="228">
        <f>ROUND((ROUND((ROUND((_15_同援日０．５*_15・通訳),0)*_15・２人),0)*(1+_15・区４)),0)+ROUND((ROUND((ROUND((ROUND((_15_同援日０．５＿２．０*_15・通訳),0)*_15・２人),0)*(1+_15・B夜間)),0)*(1+_15・区４)),0)+ROUND((ROUND((ROUND((ROUND((_15_同援日０．５＿２．０＿０．５*_15・通訳),0)*_15・２人),0)*(1+_15・C深夜)),0)*(1+_15・区４)),0)</f>
        <v>926</v>
      </c>
      <c r="AF124" s="69"/>
    </row>
    <row r="125" spans="1:32" ht="16.5" customHeight="1" x14ac:dyDescent="0.3">
      <c r="A125" s="2">
        <v>15</v>
      </c>
      <c r="B125" s="2" t="s">
        <v>5153</v>
      </c>
      <c r="C125" s="60" t="s">
        <v>15586</v>
      </c>
      <c r="D125" s="1"/>
      <c r="E125" s="68"/>
      <c r="F125" s="70"/>
      <c r="G125" s="1"/>
      <c r="H125" s="68"/>
      <c r="I125" s="70"/>
      <c r="J125" s="1"/>
      <c r="K125" s="68"/>
      <c r="L125" s="70"/>
      <c r="M125" s="67"/>
      <c r="N125" s="68"/>
      <c r="O125" s="76"/>
      <c r="P125" s="83"/>
      <c r="Q125" s="64"/>
      <c r="R125" s="65"/>
      <c r="S125" s="99"/>
      <c r="T125" s="70"/>
      <c r="U125" s="99"/>
      <c r="V125" s="70"/>
      <c r="W125" s="74" t="s">
        <v>18025</v>
      </c>
      <c r="X125" s="62"/>
      <c r="Y125" s="63"/>
      <c r="Z125" s="75"/>
      <c r="AA125" s="1"/>
      <c r="AB125" s="68" t="s">
        <v>1</v>
      </c>
      <c r="AC125" s="76">
        <v>0.4</v>
      </c>
      <c r="AD125" s="70" t="s">
        <v>422</v>
      </c>
      <c r="AE125" s="228">
        <f>ROUND((ROUND((ROUND((_15_同援日０．５*_15・通訳),0)*(1+_15・盲ろう)),0)*(1+_15・区４)),0)+ROUND((ROUND((ROUND((ROUND((_15_同援日０．５＿２．０*_15・通訳),0)*(1+_15・B夜間)),0)*(1+_15・盲ろう)),0)*(1+_15・区４)),0)+ROUND((ROUND((ROUND((ROUND((_15_同援日０．５＿２．０＿０．５*_15・通訳),0)*(1+_15・C深夜)),0)*(1+_15・盲ろう)),0)*(1+_15・区４)),0)</f>
        <v>1160</v>
      </c>
      <c r="AF125" s="69"/>
    </row>
    <row r="126" spans="1:32" ht="16.5" customHeight="1" x14ac:dyDescent="0.3">
      <c r="A126" s="2">
        <v>15</v>
      </c>
      <c r="B126" s="2" t="s">
        <v>5154</v>
      </c>
      <c r="C126" s="60" t="s">
        <v>16293</v>
      </c>
      <c r="D126" s="81"/>
      <c r="E126" s="57"/>
      <c r="F126" s="77"/>
      <c r="G126" s="81"/>
      <c r="H126" s="57"/>
      <c r="I126" s="77"/>
      <c r="J126" s="1"/>
      <c r="K126" s="68"/>
      <c r="L126" s="70"/>
      <c r="M126" s="67"/>
      <c r="N126" s="68"/>
      <c r="O126" s="76"/>
      <c r="P126" s="83" t="s">
        <v>5895</v>
      </c>
      <c r="Q126" s="64" t="s">
        <v>1</v>
      </c>
      <c r="R126" s="65">
        <v>1</v>
      </c>
      <c r="S126" s="99"/>
      <c r="T126" s="70"/>
      <c r="U126" s="99"/>
      <c r="V126" s="70"/>
      <c r="W126" s="81" t="s">
        <v>18024</v>
      </c>
      <c r="X126" s="57" t="s">
        <v>1</v>
      </c>
      <c r="Y126" s="58">
        <v>0.25</v>
      </c>
      <c r="Z126" s="77" t="s">
        <v>422</v>
      </c>
      <c r="AA126" s="81"/>
      <c r="AB126" s="57"/>
      <c r="AC126" s="58"/>
      <c r="AD126" s="77"/>
      <c r="AE126" s="228">
        <f>ROUND((ROUND((ROUND((ROUND((_15_同援日０．５*_15・通訳),0)*_15・２人),0)*(1+_15・盲ろう)),0)*(1+_15・区４)),0)+ROUND((ROUND((ROUND((ROUND((ROUND((_15_同援日０．５＿２．０*_15・通訳),0)*_15・２人),0)*(1+_15・B夜間)),0)*(1+_15・盲ろう)),0)*(1+_15・区４)),0)+ROUND((ROUND((ROUND((ROUND((ROUND((_15_同援日０．５＿２．０＿０．５*_15・通訳),0)*_15・２人),0)*(1+_15・C深夜)),0)*(1+_15・盲ろう)),0)*(1+_15・区４)),0)</f>
        <v>1160</v>
      </c>
      <c r="AF126" s="69"/>
    </row>
    <row r="127" spans="1:32" ht="16.5" customHeight="1" x14ac:dyDescent="0.3">
      <c r="A127" s="2">
        <v>15</v>
      </c>
      <c r="B127" s="2" t="s">
        <v>5155</v>
      </c>
      <c r="C127" s="60" t="s">
        <v>15585</v>
      </c>
      <c r="D127" s="233" t="s">
        <v>18392</v>
      </c>
      <c r="E127" s="235"/>
      <c r="F127" s="75"/>
      <c r="G127" s="233" t="s">
        <v>18387</v>
      </c>
      <c r="H127" s="235"/>
      <c r="I127" s="75"/>
      <c r="J127" s="74" t="s">
        <v>17494</v>
      </c>
      <c r="K127" s="62"/>
      <c r="L127" s="75"/>
      <c r="M127" s="67"/>
      <c r="N127" s="68"/>
      <c r="O127" s="76"/>
      <c r="P127" s="83"/>
      <c r="Q127" s="64"/>
      <c r="R127" s="65"/>
      <c r="S127" s="99"/>
      <c r="T127" s="70"/>
      <c r="U127" s="99"/>
      <c r="V127" s="70"/>
      <c r="W127" s="74"/>
      <c r="X127" s="62"/>
      <c r="Y127" s="63"/>
      <c r="Z127" s="75"/>
      <c r="AA127" s="74"/>
      <c r="AB127" s="62"/>
      <c r="AC127" s="63"/>
      <c r="AD127" s="75"/>
      <c r="AE127" s="228">
        <f>ROUND((_15_同援日１．０*_15・通訳),0)+ROUND((ROUND((_15_同援日１．０＿０．５*_15・通訳),0)*(1+_15・B夜間)),0)+ROUND((ROUND((_15_同援日１．０＿０．５＿０．５*_15・通訳),0)*(1+_15・C深夜)),0)</f>
        <v>495</v>
      </c>
      <c r="AF127" s="69"/>
    </row>
    <row r="128" spans="1:32" ht="16.5" customHeight="1" x14ac:dyDescent="0.3">
      <c r="A128" s="2">
        <v>15</v>
      </c>
      <c r="B128" s="2" t="s">
        <v>5156</v>
      </c>
      <c r="C128" s="60" t="s">
        <v>15584</v>
      </c>
      <c r="D128" s="1" t="s">
        <v>16978</v>
      </c>
      <c r="E128" s="68"/>
      <c r="F128" s="70"/>
      <c r="G128" s="1" t="s">
        <v>7928</v>
      </c>
      <c r="H128" s="68"/>
      <c r="I128" s="70"/>
      <c r="J128" s="1" t="s">
        <v>7928</v>
      </c>
      <c r="K128" s="68"/>
      <c r="L128" s="70"/>
      <c r="M128" s="67"/>
      <c r="N128" s="68"/>
      <c r="O128" s="76"/>
      <c r="P128" s="83" t="s">
        <v>5895</v>
      </c>
      <c r="Q128" s="64" t="s">
        <v>1</v>
      </c>
      <c r="R128" s="65">
        <v>1</v>
      </c>
      <c r="S128" s="99"/>
      <c r="T128" s="70"/>
      <c r="U128" s="99"/>
      <c r="V128" s="70"/>
      <c r="W128" s="81"/>
      <c r="X128" s="57"/>
      <c r="Y128" s="58"/>
      <c r="Z128" s="77"/>
      <c r="AA128" s="1"/>
      <c r="AB128" s="68"/>
      <c r="AC128" s="76"/>
      <c r="AD128" s="70"/>
      <c r="AE128" s="228">
        <f>ROUND((ROUND((_15_同援日１．０*_15・通訳),0)*_15・２人),0)+ROUND((ROUND((ROUND((_15_同援日１．０＿０．５*_15・通訳),0)*_15・２人),0)*(1+_15・B夜間)),0)+ROUND((ROUND((ROUND((_15_同援日１．０＿０．５＿０．５*_15・通訳),0)*_15・２人),0)*(1+_15・C深夜)),0)</f>
        <v>495</v>
      </c>
      <c r="AF128" s="69"/>
    </row>
    <row r="129" spans="1:32" ht="16.5" customHeight="1" x14ac:dyDescent="0.3">
      <c r="A129" s="2">
        <v>15</v>
      </c>
      <c r="B129" s="2" t="s">
        <v>5157</v>
      </c>
      <c r="C129" s="60" t="s">
        <v>15583</v>
      </c>
      <c r="D129" s="1" t="s">
        <v>8572</v>
      </c>
      <c r="E129" s="68"/>
      <c r="F129" s="70"/>
      <c r="G129" s="1"/>
      <c r="H129" s="68"/>
      <c r="I129" s="70"/>
      <c r="J129" s="1"/>
      <c r="K129" s="68"/>
      <c r="L129" s="70"/>
      <c r="M129" s="67"/>
      <c r="N129" s="68"/>
      <c r="O129" s="76"/>
      <c r="P129" s="83"/>
      <c r="Q129" s="64"/>
      <c r="R129" s="65"/>
      <c r="S129" s="99"/>
      <c r="T129" s="70"/>
      <c r="U129" s="99"/>
      <c r="V129" s="70"/>
      <c r="W129" s="74" t="s">
        <v>18025</v>
      </c>
      <c r="X129" s="62"/>
      <c r="Y129" s="63"/>
      <c r="Z129" s="75"/>
      <c r="AA129" s="1"/>
      <c r="AB129" s="68"/>
      <c r="AC129" s="76"/>
      <c r="AD129" s="70"/>
      <c r="AE129" s="228">
        <f>ROUND((ROUND((_15_同援日１．０*_15・通訳),0)*(1+_15・盲ろう)),0)+ROUND((ROUND((ROUND((_15_同援日１．０＿０．５*_15・通訳),0)*(1+_15・B夜間)),0)*(1+_15・盲ろう)),0)+ROUND((ROUND((ROUND((_15_同援日１．０＿０．５＿０．５*_15・通訳),0)*(1+_15・C深夜)),0)*(1+_15・盲ろう)),0)</f>
        <v>619</v>
      </c>
      <c r="AF129" s="69"/>
    </row>
    <row r="130" spans="1:32" ht="16.5" customHeight="1" x14ac:dyDescent="0.3">
      <c r="A130" s="2">
        <v>15</v>
      </c>
      <c r="B130" s="2" t="s">
        <v>5158</v>
      </c>
      <c r="C130" s="60" t="s">
        <v>15582</v>
      </c>
      <c r="D130" s="1"/>
      <c r="E130" s="227">
        <v>292</v>
      </c>
      <c r="F130" s="70" t="s">
        <v>0</v>
      </c>
      <c r="G130" s="1"/>
      <c r="H130" s="119">
        <v>129</v>
      </c>
      <c r="I130" s="70" t="s">
        <v>0</v>
      </c>
      <c r="J130" s="1"/>
      <c r="K130" s="119">
        <v>64</v>
      </c>
      <c r="L130" s="70" t="s">
        <v>0</v>
      </c>
      <c r="M130" s="67"/>
      <c r="N130" s="68"/>
      <c r="O130" s="76"/>
      <c r="P130" s="83" t="s">
        <v>5895</v>
      </c>
      <c r="Q130" s="64" t="s">
        <v>1</v>
      </c>
      <c r="R130" s="65">
        <v>1</v>
      </c>
      <c r="S130" s="99"/>
      <c r="T130" s="70"/>
      <c r="U130" s="99"/>
      <c r="V130" s="70"/>
      <c r="W130" s="81" t="s">
        <v>18024</v>
      </c>
      <c r="X130" s="57" t="s">
        <v>1</v>
      </c>
      <c r="Y130" s="58">
        <v>0.25</v>
      </c>
      <c r="Z130" s="77" t="s">
        <v>422</v>
      </c>
      <c r="AA130" s="81"/>
      <c r="AB130" s="57"/>
      <c r="AC130" s="58"/>
      <c r="AD130" s="77"/>
      <c r="AE130" s="228">
        <f>ROUND((ROUND((ROUND((_15_同援日１．０*_15・通訳),0)*_15・２人),0)*(1+_15・盲ろう)),0)+ROUND((ROUND((ROUND((ROUND((_15_同援日１．０＿０．５*_15・通訳),0)*_15・２人),0)*(1+_15・B夜間)),0)*(1+_15・盲ろう)),0)+ROUND((ROUND((ROUND((ROUND((_15_同援日１．０＿０．５＿０．５*_15・通訳),0)*_15・２人),0)*(1+_15・C深夜)),0)*(1+_15・盲ろう)),0)</f>
        <v>619</v>
      </c>
      <c r="AF130" s="69"/>
    </row>
    <row r="131" spans="1:32" ht="16.5" customHeight="1" x14ac:dyDescent="0.3">
      <c r="A131" s="2">
        <v>15</v>
      </c>
      <c r="B131" s="2" t="s">
        <v>5159</v>
      </c>
      <c r="C131" s="60" t="s">
        <v>15581</v>
      </c>
      <c r="D131" s="1"/>
      <c r="E131" s="68"/>
      <c r="F131" s="70"/>
      <c r="G131" s="1"/>
      <c r="H131" s="68"/>
      <c r="I131" s="70"/>
      <c r="J131" s="1"/>
      <c r="K131" s="68"/>
      <c r="L131" s="70"/>
      <c r="M131" s="67"/>
      <c r="N131" s="68"/>
      <c r="O131" s="76"/>
      <c r="P131" s="83"/>
      <c r="Q131" s="64"/>
      <c r="R131" s="65"/>
      <c r="S131" s="99"/>
      <c r="T131" s="70"/>
      <c r="U131" s="99"/>
      <c r="V131" s="70"/>
      <c r="W131" s="74"/>
      <c r="X131" s="62"/>
      <c r="Y131" s="63"/>
      <c r="Z131" s="75"/>
      <c r="AA131" s="74" t="s">
        <v>8098</v>
      </c>
      <c r="AB131" s="62"/>
      <c r="AC131" s="63"/>
      <c r="AD131" s="75"/>
      <c r="AE131" s="228">
        <f>ROUND((ROUND((_15_同援日１．０*_15・通訳),0)*(1+_15・区３)),0)+ROUND((ROUND((ROUND((_15_同援日１．０＿０．５*_15・通訳),0)*(1+_15・B夜間)),0)*(1+_15・区３)),0)+ROUND((ROUND((ROUND((_15_同援日１．０＿０．５＿０．５*_15・通訳),0)*(1+_15・C深夜)),0)*(1+_15・区３)),0)</f>
        <v>594</v>
      </c>
      <c r="AF131" s="69"/>
    </row>
    <row r="132" spans="1:32" ht="16.5" customHeight="1" x14ac:dyDescent="0.3">
      <c r="A132" s="2">
        <v>15</v>
      </c>
      <c r="B132" s="2" t="s">
        <v>5160</v>
      </c>
      <c r="C132" s="60" t="s">
        <v>15580</v>
      </c>
      <c r="D132" s="1"/>
      <c r="E132" s="68"/>
      <c r="F132" s="70"/>
      <c r="G132" s="1"/>
      <c r="H132" s="68"/>
      <c r="I132" s="70"/>
      <c r="J132" s="1"/>
      <c r="K132" s="68"/>
      <c r="L132" s="70"/>
      <c r="M132" s="67"/>
      <c r="N132" s="68"/>
      <c r="O132" s="76"/>
      <c r="P132" s="83" t="s">
        <v>5895</v>
      </c>
      <c r="Q132" s="64" t="s">
        <v>1</v>
      </c>
      <c r="R132" s="65">
        <v>1</v>
      </c>
      <c r="S132" s="99"/>
      <c r="T132" s="70"/>
      <c r="U132" s="99"/>
      <c r="V132" s="70"/>
      <c r="W132" s="81"/>
      <c r="X132" s="57"/>
      <c r="Y132" s="58"/>
      <c r="Z132" s="77"/>
      <c r="AA132" s="1" t="s">
        <v>18026</v>
      </c>
      <c r="AB132" s="68"/>
      <c r="AC132" s="76"/>
      <c r="AD132" s="70"/>
      <c r="AE132" s="228">
        <f>ROUND((ROUND((ROUND((_15_同援日１．０*_15・通訳),0)*_15・２人),0)*(1+_15・区３)),0)+ROUND((ROUND((ROUND((ROUND((_15_同援日１．０＿０．５*_15・通訳),0)*_15・２人),0)*(1+_15・B夜間)),0)*(1+_15・区３)),0)+ROUND((ROUND((ROUND((ROUND((_15_同援日１．０＿０．５＿０．５*_15・通訳),0)*_15・２人),0)*(1+_15・C深夜)),0)*(1+_15・区３)),0)</f>
        <v>594</v>
      </c>
      <c r="AF132" s="69"/>
    </row>
    <row r="133" spans="1:32" ht="16.5" customHeight="1" x14ac:dyDescent="0.3">
      <c r="A133" s="2">
        <v>15</v>
      </c>
      <c r="B133" s="2" t="s">
        <v>5161</v>
      </c>
      <c r="C133" s="60" t="s">
        <v>15579</v>
      </c>
      <c r="D133" s="1"/>
      <c r="E133" s="68"/>
      <c r="F133" s="70"/>
      <c r="G133" s="1"/>
      <c r="H133" s="68"/>
      <c r="I133" s="70"/>
      <c r="J133" s="1"/>
      <c r="K133" s="68"/>
      <c r="L133" s="70"/>
      <c r="M133" s="67"/>
      <c r="N133" s="68"/>
      <c r="O133" s="76"/>
      <c r="P133" s="83"/>
      <c r="Q133" s="64"/>
      <c r="R133" s="65"/>
      <c r="S133" s="99"/>
      <c r="T133" s="70"/>
      <c r="U133" s="99"/>
      <c r="V133" s="70"/>
      <c r="W133" s="74" t="s">
        <v>18025</v>
      </c>
      <c r="X133" s="62"/>
      <c r="Y133" s="63"/>
      <c r="Z133" s="75"/>
      <c r="AA133" s="1"/>
      <c r="AB133" s="68" t="s">
        <v>1</v>
      </c>
      <c r="AC133" s="76">
        <v>0.2</v>
      </c>
      <c r="AD133" s="70" t="s">
        <v>422</v>
      </c>
      <c r="AE133" s="228">
        <f>ROUND((ROUND((ROUND((_15_同援日１．０*_15・通訳),0)*(1+_15・盲ろう)),0)*(1+_15・区３)),0)+ROUND((ROUND((ROUND((ROUND((_15_同援日１．０＿０．５*_15・通訳),0)*(1+_15・B夜間)),0)*(1+_15・盲ろう)),0)*(1+_15・区３)),0)+ROUND((ROUND((ROUND((ROUND((_15_同援日１．０＿０．５＿０．５*_15・通訳),0)*(1+_15・C深夜)),0)*(1+_15・盲ろう)),0)*(1+_15・区３)),0)</f>
        <v>743</v>
      </c>
      <c r="AF133" s="69"/>
    </row>
    <row r="134" spans="1:32" ht="16.5" customHeight="1" x14ac:dyDescent="0.3">
      <c r="A134" s="2">
        <v>15</v>
      </c>
      <c r="B134" s="2" t="s">
        <v>5162</v>
      </c>
      <c r="C134" s="60" t="s">
        <v>15578</v>
      </c>
      <c r="D134" s="1"/>
      <c r="E134" s="68"/>
      <c r="F134" s="70"/>
      <c r="G134" s="1"/>
      <c r="H134" s="68"/>
      <c r="I134" s="70"/>
      <c r="J134" s="1"/>
      <c r="K134" s="68"/>
      <c r="L134" s="70"/>
      <c r="M134" s="67"/>
      <c r="N134" s="68"/>
      <c r="O134" s="76"/>
      <c r="P134" s="83" t="s">
        <v>5895</v>
      </c>
      <c r="Q134" s="64" t="s">
        <v>1</v>
      </c>
      <c r="R134" s="65">
        <v>1</v>
      </c>
      <c r="S134" s="99"/>
      <c r="T134" s="70"/>
      <c r="U134" s="99"/>
      <c r="V134" s="70"/>
      <c r="W134" s="81" t="s">
        <v>18024</v>
      </c>
      <c r="X134" s="57" t="s">
        <v>1</v>
      </c>
      <c r="Y134" s="58">
        <v>0.25</v>
      </c>
      <c r="Z134" s="77" t="s">
        <v>422</v>
      </c>
      <c r="AA134" s="81"/>
      <c r="AB134" s="57"/>
      <c r="AC134" s="58"/>
      <c r="AD134" s="77"/>
      <c r="AE134" s="228">
        <f>ROUND((ROUND((ROUND((ROUND((_15_同援日１．０*_15・通訳),0)*_15・２人),0)*(1+_15・盲ろう)),0)*(1+_15・区３)),0)+ROUND((ROUND((ROUND((ROUND((ROUND((_15_同援日１．０＿０．５*_15・通訳),0)*_15・２人),0)*(1+_15・B夜間)),0)*(1+_15・盲ろう)),0)*(1+_15・区３)),0)+ROUND((ROUND((ROUND((ROUND((ROUND((_15_同援日１．０＿０．５＿０．５*_15・通訳),0)*_15・２人),0)*(1+_15・C深夜)),0)*(1+_15・盲ろう)),0)*(1+_15・区３)),0)</f>
        <v>743</v>
      </c>
      <c r="AF134" s="69"/>
    </row>
    <row r="135" spans="1:32" ht="16.5" customHeight="1" x14ac:dyDescent="0.3">
      <c r="A135" s="2">
        <v>15</v>
      </c>
      <c r="B135" s="2" t="s">
        <v>5163</v>
      </c>
      <c r="C135" s="60" t="s">
        <v>15577</v>
      </c>
      <c r="D135" s="1"/>
      <c r="E135" s="68"/>
      <c r="F135" s="70"/>
      <c r="G135" s="1"/>
      <c r="H135" s="68"/>
      <c r="I135" s="70"/>
      <c r="J135" s="1"/>
      <c r="K135" s="68"/>
      <c r="L135" s="70"/>
      <c r="M135" s="67"/>
      <c r="N135" s="68"/>
      <c r="O135" s="76"/>
      <c r="P135" s="83"/>
      <c r="Q135" s="64"/>
      <c r="R135" s="65"/>
      <c r="S135" s="99"/>
      <c r="T135" s="70"/>
      <c r="U135" s="99"/>
      <c r="V135" s="70"/>
      <c r="W135" s="74"/>
      <c r="X135" s="62"/>
      <c r="Y135" s="63"/>
      <c r="Z135" s="75"/>
      <c r="AA135" s="74" t="s">
        <v>18027</v>
      </c>
      <c r="AB135" s="62"/>
      <c r="AC135" s="63"/>
      <c r="AD135" s="75"/>
      <c r="AE135" s="228">
        <f>ROUND((ROUND((_15_同援日１．０*_15・通訳),0)*(1+_15・区４)),0)+ROUND((ROUND((ROUND((_15_同援日１．０＿０．５*_15・通訳),0)*(1+_15・B夜間)),0)*(1+_15・区４)),0)+ROUND((ROUND((ROUND((_15_同援日１．０＿０．５＿０．５*_15・通訳),0)*(1+_15・C深夜)),0)*(1+_15・区４)),0)</f>
        <v>693</v>
      </c>
      <c r="AF135" s="69"/>
    </row>
    <row r="136" spans="1:32" ht="16.5" customHeight="1" x14ac:dyDescent="0.3">
      <c r="A136" s="2">
        <v>15</v>
      </c>
      <c r="B136" s="2" t="s">
        <v>5164</v>
      </c>
      <c r="C136" s="60" t="s">
        <v>15576</v>
      </c>
      <c r="D136" s="1"/>
      <c r="E136" s="68"/>
      <c r="F136" s="70"/>
      <c r="G136" s="1"/>
      <c r="H136" s="68"/>
      <c r="I136" s="70"/>
      <c r="J136" s="1"/>
      <c r="K136" s="68"/>
      <c r="L136" s="70"/>
      <c r="M136" s="67"/>
      <c r="N136" s="68"/>
      <c r="O136" s="76"/>
      <c r="P136" s="83" t="s">
        <v>5895</v>
      </c>
      <c r="Q136" s="64" t="s">
        <v>1</v>
      </c>
      <c r="R136" s="65">
        <v>1</v>
      </c>
      <c r="S136" s="99"/>
      <c r="T136" s="70"/>
      <c r="U136" s="99"/>
      <c r="V136" s="70"/>
      <c r="W136" s="81"/>
      <c r="X136" s="57"/>
      <c r="Y136" s="58"/>
      <c r="Z136" s="77"/>
      <c r="AA136" s="1" t="s">
        <v>18026</v>
      </c>
      <c r="AB136" s="68"/>
      <c r="AC136" s="76"/>
      <c r="AD136" s="70"/>
      <c r="AE136" s="228">
        <f>ROUND((ROUND((ROUND((_15_同援日１．０*_15・通訳),0)*_15・２人),0)*(1+_15・区４)),0)+ROUND((ROUND((ROUND((ROUND((_15_同援日１．０＿０．５*_15・通訳),0)*_15・２人),0)*(1+_15・B夜間)),0)*(1+_15・区４)),0)+ROUND((ROUND((ROUND((ROUND((_15_同援日１．０＿０．５＿０．５*_15・通訳),0)*_15・２人),0)*(1+_15・C深夜)),0)*(1+_15・区４)),0)</f>
        <v>693</v>
      </c>
      <c r="AF136" s="69"/>
    </row>
    <row r="137" spans="1:32" ht="16.5" customHeight="1" x14ac:dyDescent="0.3">
      <c r="A137" s="2">
        <v>15</v>
      </c>
      <c r="B137" s="2" t="s">
        <v>5165</v>
      </c>
      <c r="C137" s="60" t="s">
        <v>15575</v>
      </c>
      <c r="D137" s="1"/>
      <c r="E137" s="68"/>
      <c r="F137" s="70"/>
      <c r="G137" s="1"/>
      <c r="H137" s="68"/>
      <c r="I137" s="70"/>
      <c r="J137" s="1"/>
      <c r="K137" s="68"/>
      <c r="L137" s="70"/>
      <c r="M137" s="67"/>
      <c r="N137" s="68"/>
      <c r="O137" s="76"/>
      <c r="P137" s="83"/>
      <c r="Q137" s="64"/>
      <c r="R137" s="65"/>
      <c r="S137" s="99"/>
      <c r="T137" s="70"/>
      <c r="U137" s="99"/>
      <c r="V137" s="70"/>
      <c r="W137" s="74" t="s">
        <v>18025</v>
      </c>
      <c r="X137" s="62"/>
      <c r="Y137" s="63"/>
      <c r="Z137" s="75"/>
      <c r="AA137" s="1"/>
      <c r="AB137" s="68" t="s">
        <v>1</v>
      </c>
      <c r="AC137" s="76">
        <v>0.4</v>
      </c>
      <c r="AD137" s="70" t="s">
        <v>422</v>
      </c>
      <c r="AE137" s="228">
        <f>ROUND((ROUND((ROUND((_15_同援日１．０*_15・通訳),0)*(1+_15・盲ろう)),0)*(1+_15・区４)),0)+ROUND((ROUND((ROUND((ROUND((_15_同援日１．０＿０．５*_15・通訳),0)*(1+_15・B夜間)),0)*(1+_15・盲ろう)),0)*(1+_15・区４)),0)+ROUND((ROUND((ROUND((ROUND((_15_同援日１．０＿０．５＿０．５*_15・通訳),0)*(1+_15・C深夜)),0)*(1+_15・盲ろう)),0)*(1+_15・区４)),0)</f>
        <v>867</v>
      </c>
      <c r="AF137" s="69"/>
    </row>
    <row r="138" spans="1:32" ht="16.5" customHeight="1" x14ac:dyDescent="0.3">
      <c r="A138" s="2">
        <v>15</v>
      </c>
      <c r="B138" s="2" t="s">
        <v>5166</v>
      </c>
      <c r="C138" s="60" t="s">
        <v>15574</v>
      </c>
      <c r="D138" s="1"/>
      <c r="E138" s="68"/>
      <c r="F138" s="70"/>
      <c r="G138" s="1"/>
      <c r="H138" s="68"/>
      <c r="I138" s="70"/>
      <c r="J138" s="81"/>
      <c r="K138" s="57"/>
      <c r="L138" s="77"/>
      <c r="M138" s="67"/>
      <c r="N138" s="68"/>
      <c r="O138" s="76"/>
      <c r="P138" s="83" t="s">
        <v>5895</v>
      </c>
      <c r="Q138" s="64" t="s">
        <v>1</v>
      </c>
      <c r="R138" s="65">
        <v>1</v>
      </c>
      <c r="S138" s="99"/>
      <c r="T138" s="70"/>
      <c r="U138" s="99"/>
      <c r="V138" s="70"/>
      <c r="W138" s="81" t="s">
        <v>18024</v>
      </c>
      <c r="X138" s="57" t="s">
        <v>1</v>
      </c>
      <c r="Y138" s="58">
        <v>0.25</v>
      </c>
      <c r="Z138" s="77" t="s">
        <v>422</v>
      </c>
      <c r="AA138" s="81"/>
      <c r="AB138" s="57"/>
      <c r="AC138" s="58"/>
      <c r="AD138" s="77"/>
      <c r="AE138" s="228">
        <f>ROUND((ROUND((ROUND((ROUND((_15_同援日１．０*_15・通訳),0)*_15・２人),0)*(1+_15・盲ろう)),0)*(1+_15・区４)),0)+ROUND((ROUND((ROUND((ROUND((ROUND((_15_同援日１．０＿０．５*_15・通訳),0)*_15・２人),0)*(1+_15・B夜間)),0)*(1+_15・盲ろう)),0)*(1+_15・区４)),0)+ROUND((ROUND((ROUND((ROUND((ROUND((_15_同援日１．０＿０．５＿０．５*_15・通訳),0)*_15・２人),0)*(1+_15・C深夜)),0)*(1+_15・盲ろう)),0)*(1+_15・区４)),0)</f>
        <v>867</v>
      </c>
      <c r="AF138" s="69"/>
    </row>
    <row r="139" spans="1:32" ht="16.5" customHeight="1" x14ac:dyDescent="0.3">
      <c r="A139" s="2">
        <v>15</v>
      </c>
      <c r="B139" s="2" t="s">
        <v>5167</v>
      </c>
      <c r="C139" s="60" t="s">
        <v>15573</v>
      </c>
      <c r="D139" s="1"/>
      <c r="E139" s="68"/>
      <c r="F139" s="70"/>
      <c r="G139" s="1"/>
      <c r="H139" s="68"/>
      <c r="I139" s="70"/>
      <c r="J139" s="74" t="s">
        <v>17493</v>
      </c>
      <c r="K139" s="62"/>
      <c r="L139" s="75"/>
      <c r="M139" s="67"/>
      <c r="N139" s="68"/>
      <c r="O139" s="76"/>
      <c r="P139" s="83"/>
      <c r="Q139" s="64"/>
      <c r="R139" s="65"/>
      <c r="S139" s="99"/>
      <c r="T139" s="70"/>
      <c r="U139" s="99"/>
      <c r="V139" s="70"/>
      <c r="W139" s="74"/>
      <c r="X139" s="62"/>
      <c r="Y139" s="63"/>
      <c r="Z139" s="75"/>
      <c r="AA139" s="74"/>
      <c r="AB139" s="62"/>
      <c r="AC139" s="63"/>
      <c r="AD139" s="75"/>
      <c r="AE139" s="228">
        <f>ROUND((_15_同援日１．０*_15・通訳),0)+ROUND((ROUND((_15_同援日１．０＿０．５*_15・通訳),0)*(1+_15・B夜間)),0)+ROUND((ROUND((_15_同援日１．０＿０．５＿１．０*_15・通訳),0)*(1+_15・C深夜)),0)</f>
        <v>579</v>
      </c>
      <c r="AF139" s="69"/>
    </row>
    <row r="140" spans="1:32" ht="16.5" customHeight="1" x14ac:dyDescent="0.3">
      <c r="A140" s="2">
        <v>15</v>
      </c>
      <c r="B140" s="2" t="s">
        <v>5168</v>
      </c>
      <c r="C140" s="60" t="s">
        <v>15572</v>
      </c>
      <c r="D140" s="1"/>
      <c r="E140" s="68"/>
      <c r="F140" s="70"/>
      <c r="G140" s="1"/>
      <c r="H140" s="68"/>
      <c r="I140" s="70"/>
      <c r="J140" s="1" t="s">
        <v>16978</v>
      </c>
      <c r="K140" s="68"/>
      <c r="L140" s="70"/>
      <c r="M140" s="67"/>
      <c r="N140" s="68"/>
      <c r="O140" s="76"/>
      <c r="P140" s="83" t="s">
        <v>5895</v>
      </c>
      <c r="Q140" s="64" t="s">
        <v>1</v>
      </c>
      <c r="R140" s="65">
        <v>1</v>
      </c>
      <c r="S140" s="99"/>
      <c r="T140" s="70"/>
      <c r="U140" s="99"/>
      <c r="V140" s="70"/>
      <c r="W140" s="81"/>
      <c r="X140" s="57"/>
      <c r="Y140" s="58"/>
      <c r="Z140" s="77"/>
      <c r="AA140" s="1"/>
      <c r="AB140" s="68"/>
      <c r="AC140" s="76"/>
      <c r="AD140" s="70"/>
      <c r="AE140" s="228">
        <f>ROUND((ROUND((_15_同援日１．０*_15・通訳),0)*_15・２人),0)+ROUND((ROUND((ROUND((_15_同援日１．０＿０．５*_15・通訳),0)*_15・２人),0)*(1+_15・B夜間)),0)+ROUND((ROUND((ROUND((_15_同援日１．０＿０．５＿１．０*_15・通訳),0)*_15・２人),0)*(1+_15・C深夜)),0)</f>
        <v>579</v>
      </c>
      <c r="AF140" s="69"/>
    </row>
    <row r="141" spans="1:32" ht="16.5" customHeight="1" x14ac:dyDescent="0.3">
      <c r="A141" s="2">
        <v>15</v>
      </c>
      <c r="B141" s="2" t="s">
        <v>5169</v>
      </c>
      <c r="C141" s="60" t="s">
        <v>15571</v>
      </c>
      <c r="D141" s="1"/>
      <c r="E141" s="68"/>
      <c r="F141" s="70"/>
      <c r="G141" s="1"/>
      <c r="H141" s="68"/>
      <c r="I141" s="70"/>
      <c r="J141" s="1" t="s">
        <v>8572</v>
      </c>
      <c r="K141" s="68"/>
      <c r="L141" s="70"/>
      <c r="M141" s="67"/>
      <c r="N141" s="68"/>
      <c r="O141" s="76"/>
      <c r="P141" s="83"/>
      <c r="Q141" s="64"/>
      <c r="R141" s="65"/>
      <c r="S141" s="99"/>
      <c r="T141" s="70"/>
      <c r="U141" s="99"/>
      <c r="V141" s="70"/>
      <c r="W141" s="74" t="s">
        <v>18025</v>
      </c>
      <c r="X141" s="62"/>
      <c r="Y141" s="63"/>
      <c r="Z141" s="75"/>
      <c r="AA141" s="1"/>
      <c r="AB141" s="68"/>
      <c r="AC141" s="76"/>
      <c r="AD141" s="70"/>
      <c r="AE141" s="228">
        <f>ROUND((ROUND((_15_同援日１．０*_15・通訳),0)*(1+_15・盲ろう)),0)+ROUND((ROUND((ROUND((_15_同援日１．０＿０．５*_15・通訳),0)*(1+_15・B夜間)),0)*(1+_15・盲ろう)),0)+ROUND((ROUND((ROUND((_15_同援日１．０＿０．５＿１．０*_15・通訳),0)*(1+_15・C深夜)),0)*(1+_15・盲ろう)),0)</f>
        <v>724</v>
      </c>
      <c r="AF141" s="69"/>
    </row>
    <row r="142" spans="1:32" ht="16.5" customHeight="1" x14ac:dyDescent="0.3">
      <c r="A142" s="2">
        <v>15</v>
      </c>
      <c r="B142" s="2" t="s">
        <v>5170</v>
      </c>
      <c r="C142" s="60" t="s">
        <v>15570</v>
      </c>
      <c r="D142" s="1"/>
      <c r="E142" s="68"/>
      <c r="F142" s="70"/>
      <c r="G142" s="1"/>
      <c r="H142" s="68"/>
      <c r="I142" s="70"/>
      <c r="J142" s="1"/>
      <c r="K142" s="119">
        <v>127</v>
      </c>
      <c r="L142" s="70" t="s">
        <v>0</v>
      </c>
      <c r="M142" s="67"/>
      <c r="N142" s="68"/>
      <c r="O142" s="76"/>
      <c r="P142" s="83" t="s">
        <v>5895</v>
      </c>
      <c r="Q142" s="64" t="s">
        <v>1</v>
      </c>
      <c r="R142" s="65">
        <v>1</v>
      </c>
      <c r="S142" s="99"/>
      <c r="T142" s="70"/>
      <c r="U142" s="99"/>
      <c r="V142" s="70"/>
      <c r="W142" s="81" t="s">
        <v>18024</v>
      </c>
      <c r="X142" s="57" t="s">
        <v>1</v>
      </c>
      <c r="Y142" s="58">
        <v>0.25</v>
      </c>
      <c r="Z142" s="77" t="s">
        <v>422</v>
      </c>
      <c r="AA142" s="81"/>
      <c r="AB142" s="57"/>
      <c r="AC142" s="58"/>
      <c r="AD142" s="77"/>
      <c r="AE142" s="228">
        <f>ROUND((ROUND((ROUND((_15_同援日１．０*_15・通訳),0)*_15・２人),0)*(1+_15・盲ろう)),0)+ROUND((ROUND((ROUND((ROUND((_15_同援日１．０＿０．５*_15・通訳),0)*_15・２人),0)*(1+_15・B夜間)),0)*(1+_15・盲ろう)),0)+ROUND((ROUND((ROUND((ROUND((_15_同援日１．０＿０．５＿１．０*_15・通訳),0)*_15・２人),0)*(1+_15・C深夜)),0)*(1+_15・盲ろう)),0)</f>
        <v>724</v>
      </c>
      <c r="AF142" s="69"/>
    </row>
    <row r="143" spans="1:32" ht="16.5" customHeight="1" x14ac:dyDescent="0.3">
      <c r="A143" s="2">
        <v>15</v>
      </c>
      <c r="B143" s="2" t="s">
        <v>5171</v>
      </c>
      <c r="C143" s="60" t="s">
        <v>15569</v>
      </c>
      <c r="D143" s="1"/>
      <c r="E143" s="68"/>
      <c r="F143" s="70"/>
      <c r="G143" s="1"/>
      <c r="H143" s="68"/>
      <c r="I143" s="70"/>
      <c r="J143" s="1"/>
      <c r="K143" s="68"/>
      <c r="L143" s="70"/>
      <c r="M143" s="67"/>
      <c r="N143" s="68"/>
      <c r="O143" s="76"/>
      <c r="P143" s="83"/>
      <c r="Q143" s="64"/>
      <c r="R143" s="65"/>
      <c r="S143" s="99"/>
      <c r="T143" s="70"/>
      <c r="U143" s="99"/>
      <c r="V143" s="70"/>
      <c r="W143" s="74"/>
      <c r="X143" s="62"/>
      <c r="Y143" s="63"/>
      <c r="Z143" s="75"/>
      <c r="AA143" s="74" t="s">
        <v>18028</v>
      </c>
      <c r="AB143" s="62"/>
      <c r="AC143" s="63"/>
      <c r="AD143" s="75"/>
      <c r="AE143" s="228">
        <f>ROUND((ROUND((_15_同援日１．０*_15・通訳),0)*(1+_15・区３)),0)+ROUND((ROUND((ROUND((_15_同援日１．０＿０．５*_15・通訳),0)*(1+_15・B夜間)),0)*(1+_15・区３)),0)+ROUND((ROUND((ROUND((_15_同援日１．０＿０．５＿１．０*_15・通訳),0)*(1+_15・C深夜)),0)*(1+_15・区３)),0)</f>
        <v>695</v>
      </c>
      <c r="AF143" s="69"/>
    </row>
    <row r="144" spans="1:32" ht="16.5" customHeight="1" x14ac:dyDescent="0.3">
      <c r="A144" s="2">
        <v>15</v>
      </c>
      <c r="B144" s="2" t="s">
        <v>5172</v>
      </c>
      <c r="C144" s="60" t="s">
        <v>15568</v>
      </c>
      <c r="D144" s="1"/>
      <c r="E144" s="68"/>
      <c r="F144" s="70"/>
      <c r="G144" s="1"/>
      <c r="H144" s="68"/>
      <c r="I144" s="70"/>
      <c r="J144" s="1"/>
      <c r="K144" s="68"/>
      <c r="L144" s="70"/>
      <c r="M144" s="67"/>
      <c r="N144" s="68"/>
      <c r="O144" s="76"/>
      <c r="P144" s="83" t="s">
        <v>5895</v>
      </c>
      <c r="Q144" s="64" t="s">
        <v>1</v>
      </c>
      <c r="R144" s="65">
        <v>1</v>
      </c>
      <c r="S144" s="99"/>
      <c r="T144" s="70"/>
      <c r="U144" s="99"/>
      <c r="V144" s="70"/>
      <c r="W144" s="81"/>
      <c r="X144" s="57"/>
      <c r="Y144" s="58"/>
      <c r="Z144" s="77"/>
      <c r="AA144" s="1" t="s">
        <v>18026</v>
      </c>
      <c r="AB144" s="68"/>
      <c r="AC144" s="76"/>
      <c r="AD144" s="70"/>
      <c r="AE144" s="228">
        <f>ROUND((ROUND((ROUND((_15_同援日１．０*_15・通訳),0)*_15・２人),0)*(1+_15・区３)),0)+ROUND((ROUND((ROUND((ROUND((_15_同援日１．０＿０．５*_15・通訳),0)*_15・２人),0)*(1+_15・B夜間)),0)*(1+_15・区３)),0)+ROUND((ROUND((ROUND((ROUND((_15_同援日１．０＿０．５＿１．０*_15・通訳),0)*_15・２人),0)*(1+_15・C深夜)),0)*(1+_15・区３)),0)</f>
        <v>695</v>
      </c>
      <c r="AF144" s="69"/>
    </row>
    <row r="145" spans="1:32" ht="16.5" customHeight="1" x14ac:dyDescent="0.3">
      <c r="A145" s="2">
        <v>15</v>
      </c>
      <c r="B145" s="2" t="s">
        <v>5173</v>
      </c>
      <c r="C145" s="60" t="s">
        <v>15567</v>
      </c>
      <c r="D145" s="1"/>
      <c r="E145" s="68"/>
      <c r="F145" s="70"/>
      <c r="G145" s="1"/>
      <c r="H145" s="68"/>
      <c r="I145" s="70"/>
      <c r="J145" s="1"/>
      <c r="K145" s="68"/>
      <c r="L145" s="70"/>
      <c r="M145" s="67"/>
      <c r="N145" s="68"/>
      <c r="O145" s="76"/>
      <c r="P145" s="83"/>
      <c r="Q145" s="64"/>
      <c r="R145" s="65"/>
      <c r="S145" s="99"/>
      <c r="T145" s="70"/>
      <c r="U145" s="99"/>
      <c r="V145" s="70"/>
      <c r="W145" s="74" t="s">
        <v>18025</v>
      </c>
      <c r="X145" s="62"/>
      <c r="Y145" s="63"/>
      <c r="Z145" s="75"/>
      <c r="AA145" s="1"/>
      <c r="AB145" s="68" t="s">
        <v>1</v>
      </c>
      <c r="AC145" s="76">
        <v>0.2</v>
      </c>
      <c r="AD145" s="70" t="s">
        <v>422</v>
      </c>
      <c r="AE145" s="228">
        <f>ROUND((ROUND((ROUND((_15_同援日１．０*_15・通訳),0)*(1+_15・盲ろう)),0)*(1+_15・区３)),0)+ROUND((ROUND((ROUND((ROUND((_15_同援日１．０＿０．５*_15・通訳),0)*(1+_15・B夜間)),0)*(1+_15・盲ろう)),0)*(1+_15・区３)),0)+ROUND((ROUND((ROUND((ROUND((_15_同援日１．０＿０．５＿１．０*_15・通訳),0)*(1+_15・C深夜)),0)*(1+_15・盲ろう)),0)*(1+_15・区３)),0)</f>
        <v>869</v>
      </c>
      <c r="AF145" s="69"/>
    </row>
    <row r="146" spans="1:32" ht="16.5" customHeight="1" x14ac:dyDescent="0.3">
      <c r="A146" s="2">
        <v>15</v>
      </c>
      <c r="B146" s="2" t="s">
        <v>5174</v>
      </c>
      <c r="C146" s="60" t="s">
        <v>15566</v>
      </c>
      <c r="D146" s="1"/>
      <c r="E146" s="68"/>
      <c r="F146" s="70"/>
      <c r="G146" s="1"/>
      <c r="H146" s="68"/>
      <c r="I146" s="70"/>
      <c r="J146" s="1"/>
      <c r="K146" s="68"/>
      <c r="L146" s="70"/>
      <c r="M146" s="67"/>
      <c r="N146" s="68"/>
      <c r="O146" s="76"/>
      <c r="P146" s="83" t="s">
        <v>5895</v>
      </c>
      <c r="Q146" s="64" t="s">
        <v>1</v>
      </c>
      <c r="R146" s="65">
        <v>1</v>
      </c>
      <c r="S146" s="99"/>
      <c r="T146" s="70"/>
      <c r="U146" s="99"/>
      <c r="V146" s="70"/>
      <c r="W146" s="81" t="s">
        <v>8083</v>
      </c>
      <c r="X146" s="57" t="s">
        <v>1</v>
      </c>
      <c r="Y146" s="58">
        <v>0.25</v>
      </c>
      <c r="Z146" s="77" t="s">
        <v>422</v>
      </c>
      <c r="AA146" s="81"/>
      <c r="AB146" s="57"/>
      <c r="AC146" s="58"/>
      <c r="AD146" s="77"/>
      <c r="AE146" s="228">
        <f>ROUND((ROUND((ROUND((ROUND((_15_同援日１．０*_15・通訳),0)*_15・２人),0)*(1+_15・盲ろう)),0)*(1+_15・区３)),0)+ROUND((ROUND((ROUND((ROUND((ROUND((_15_同援日１．０＿０．５*_15・通訳),0)*_15・２人),0)*(1+_15・B夜間)),0)*(1+_15・盲ろう)),0)*(1+_15・区３)),0)+ROUND((ROUND((ROUND((ROUND((ROUND((_15_同援日１．０＿０．５＿１．０*_15・通訳),0)*_15・２人),0)*(1+_15・C深夜)),0)*(1+_15・盲ろう)),0)*(1+_15・区３)),0)</f>
        <v>869</v>
      </c>
      <c r="AF146" s="69"/>
    </row>
    <row r="147" spans="1:32" ht="16.5" customHeight="1" x14ac:dyDescent="0.3">
      <c r="A147" s="2">
        <v>15</v>
      </c>
      <c r="B147" s="2" t="s">
        <v>5175</v>
      </c>
      <c r="C147" s="60" t="s">
        <v>15565</v>
      </c>
      <c r="D147" s="1"/>
      <c r="E147" s="68"/>
      <c r="F147" s="70"/>
      <c r="G147" s="1"/>
      <c r="H147" s="68"/>
      <c r="I147" s="70"/>
      <c r="J147" s="1"/>
      <c r="K147" s="68"/>
      <c r="L147" s="70"/>
      <c r="M147" s="67"/>
      <c r="N147" s="68"/>
      <c r="O147" s="76"/>
      <c r="P147" s="83"/>
      <c r="Q147" s="64"/>
      <c r="R147" s="65"/>
      <c r="S147" s="99"/>
      <c r="T147" s="70"/>
      <c r="U147" s="99"/>
      <c r="V147" s="70"/>
      <c r="W147" s="74"/>
      <c r="X147" s="62"/>
      <c r="Y147" s="63"/>
      <c r="Z147" s="75"/>
      <c r="AA147" s="74" t="s">
        <v>18027</v>
      </c>
      <c r="AB147" s="62"/>
      <c r="AC147" s="63"/>
      <c r="AD147" s="75"/>
      <c r="AE147" s="228">
        <f>ROUND((ROUND((_15_同援日１．０*_15・通訳),0)*(1+_15・区４)),0)+ROUND((ROUND((ROUND((_15_同援日１．０＿０．５*_15・通訳),0)*(1+_15・B夜間)),0)*(1+_15・区４)),0)+ROUND((ROUND((ROUND((_15_同援日１．０＿０．５＿１．０*_15・通訳),0)*(1+_15・C深夜)),0)*(1+_15・区４)),0)</f>
        <v>810</v>
      </c>
      <c r="AF147" s="69"/>
    </row>
    <row r="148" spans="1:32" ht="16.5" customHeight="1" x14ac:dyDescent="0.3">
      <c r="A148" s="2">
        <v>15</v>
      </c>
      <c r="B148" s="2" t="s">
        <v>5176</v>
      </c>
      <c r="C148" s="60" t="s">
        <v>15564</v>
      </c>
      <c r="D148" s="1"/>
      <c r="E148" s="68"/>
      <c r="F148" s="70"/>
      <c r="G148" s="1"/>
      <c r="H148" s="68"/>
      <c r="I148" s="70"/>
      <c r="J148" s="1"/>
      <c r="K148" s="68"/>
      <c r="L148" s="70"/>
      <c r="M148" s="67"/>
      <c r="N148" s="68"/>
      <c r="O148" s="76"/>
      <c r="P148" s="83" t="s">
        <v>5895</v>
      </c>
      <c r="Q148" s="64" t="s">
        <v>1</v>
      </c>
      <c r="R148" s="65">
        <v>1</v>
      </c>
      <c r="S148" s="99"/>
      <c r="T148" s="70"/>
      <c r="U148" s="99"/>
      <c r="V148" s="70"/>
      <c r="W148" s="81"/>
      <c r="X148" s="57"/>
      <c r="Y148" s="58"/>
      <c r="Z148" s="77"/>
      <c r="AA148" s="1" t="s">
        <v>18026</v>
      </c>
      <c r="AB148" s="68"/>
      <c r="AC148" s="76"/>
      <c r="AD148" s="70"/>
      <c r="AE148" s="228">
        <f>ROUND((ROUND((ROUND((_15_同援日１．０*_15・通訳),0)*_15・２人),0)*(1+_15・区４)),0)+ROUND((ROUND((ROUND((ROUND((_15_同援日１．０＿０．５*_15・通訳),0)*_15・２人),0)*(1+_15・B夜間)),0)*(1+_15・区４)),0)+ROUND((ROUND((ROUND((ROUND((_15_同援日１．０＿０．５＿１．０*_15・通訳),0)*_15・２人),0)*(1+_15・C深夜)),0)*(1+_15・区４)),0)</f>
        <v>810</v>
      </c>
      <c r="AF148" s="69"/>
    </row>
    <row r="149" spans="1:32" ht="16.5" customHeight="1" x14ac:dyDescent="0.3">
      <c r="A149" s="2">
        <v>15</v>
      </c>
      <c r="B149" s="2" t="s">
        <v>5177</v>
      </c>
      <c r="C149" s="60" t="s">
        <v>15563</v>
      </c>
      <c r="D149" s="1"/>
      <c r="E149" s="68"/>
      <c r="F149" s="70"/>
      <c r="G149" s="1"/>
      <c r="H149" s="68"/>
      <c r="I149" s="70"/>
      <c r="J149" s="1"/>
      <c r="K149" s="68"/>
      <c r="L149" s="70"/>
      <c r="M149" s="67"/>
      <c r="N149" s="68"/>
      <c r="O149" s="76"/>
      <c r="P149" s="83"/>
      <c r="Q149" s="64"/>
      <c r="R149" s="65"/>
      <c r="S149" s="99"/>
      <c r="T149" s="70"/>
      <c r="U149" s="99"/>
      <c r="V149" s="70"/>
      <c r="W149" s="74" t="s">
        <v>18025</v>
      </c>
      <c r="X149" s="62"/>
      <c r="Y149" s="63"/>
      <c r="Z149" s="75"/>
      <c r="AA149" s="1"/>
      <c r="AB149" s="68" t="s">
        <v>1</v>
      </c>
      <c r="AC149" s="76">
        <v>0.4</v>
      </c>
      <c r="AD149" s="70" t="s">
        <v>422</v>
      </c>
      <c r="AE149" s="228">
        <f>ROUND((ROUND((ROUND((_15_同援日１．０*_15・通訳),0)*(1+_15・盲ろう)),0)*(1+_15・区４)),0)+ROUND((ROUND((ROUND((ROUND((_15_同援日１．０＿０．５*_15・通訳),0)*(1+_15・B夜間)),0)*(1+_15・盲ろう)),0)*(1+_15・区４)),0)+ROUND((ROUND((ROUND((ROUND((_15_同援日１．０＿０．５＿１．０*_15・通訳),0)*(1+_15・C深夜)),0)*(1+_15・盲ろう)),0)*(1+_15・区４)),0)</f>
        <v>1014</v>
      </c>
      <c r="AF149" s="69"/>
    </row>
    <row r="150" spans="1:32" ht="16.5" customHeight="1" x14ac:dyDescent="0.3">
      <c r="A150" s="2">
        <v>15</v>
      </c>
      <c r="B150" s="2" t="s">
        <v>5178</v>
      </c>
      <c r="C150" s="60" t="s">
        <v>15562</v>
      </c>
      <c r="D150" s="1"/>
      <c r="E150" s="68"/>
      <c r="F150" s="70"/>
      <c r="G150" s="1"/>
      <c r="H150" s="68"/>
      <c r="I150" s="70"/>
      <c r="J150" s="81"/>
      <c r="K150" s="57"/>
      <c r="L150" s="77"/>
      <c r="M150" s="67"/>
      <c r="N150" s="68"/>
      <c r="O150" s="76"/>
      <c r="P150" s="83" t="s">
        <v>5895</v>
      </c>
      <c r="Q150" s="64" t="s">
        <v>1</v>
      </c>
      <c r="R150" s="65">
        <v>1</v>
      </c>
      <c r="S150" s="99"/>
      <c r="T150" s="70"/>
      <c r="U150" s="99"/>
      <c r="V150" s="70"/>
      <c r="W150" s="81" t="s">
        <v>18024</v>
      </c>
      <c r="X150" s="57" t="s">
        <v>1</v>
      </c>
      <c r="Y150" s="58">
        <v>0.25</v>
      </c>
      <c r="Z150" s="77" t="s">
        <v>422</v>
      </c>
      <c r="AA150" s="81"/>
      <c r="AB150" s="57"/>
      <c r="AC150" s="58"/>
      <c r="AD150" s="77"/>
      <c r="AE150" s="228">
        <f>ROUND((ROUND((ROUND((ROUND((_15_同援日１．０*_15・通訳),0)*_15・２人),0)*(1+_15・盲ろう)),0)*(1+_15・区４)),0)+ROUND((ROUND((ROUND((ROUND((ROUND((_15_同援日１．０＿０．５*_15・通訳),0)*_15・２人),0)*(1+_15・B夜間)),0)*(1+_15・盲ろう)),0)*(1+_15・区４)),0)+ROUND((ROUND((ROUND((ROUND((ROUND((_15_同援日１．０＿０．５＿１．０*_15・通訳),0)*_15・２人),0)*(1+_15・C深夜)),0)*(1+_15・盲ろう)),0)*(1+_15・区４)),0)</f>
        <v>1014</v>
      </c>
      <c r="AF150" s="69"/>
    </row>
    <row r="151" spans="1:32" ht="16.5" customHeight="1" x14ac:dyDescent="0.3">
      <c r="A151" s="2">
        <v>15</v>
      </c>
      <c r="B151" s="2" t="s">
        <v>5179</v>
      </c>
      <c r="C151" s="60" t="s">
        <v>15561</v>
      </c>
      <c r="D151" s="1"/>
      <c r="E151" s="68"/>
      <c r="F151" s="70"/>
      <c r="G151" s="1"/>
      <c r="H151" s="68"/>
      <c r="I151" s="70"/>
      <c r="J151" s="74" t="s">
        <v>17499</v>
      </c>
      <c r="K151" s="62"/>
      <c r="L151" s="75"/>
      <c r="M151" s="67"/>
      <c r="N151" s="68"/>
      <c r="O151" s="76"/>
      <c r="P151" s="83"/>
      <c r="Q151" s="64"/>
      <c r="R151" s="65"/>
      <c r="S151" s="99"/>
      <c r="T151" s="70"/>
      <c r="U151" s="99"/>
      <c r="V151" s="70"/>
      <c r="W151" s="74"/>
      <c r="X151" s="62"/>
      <c r="Y151" s="63"/>
      <c r="Z151" s="75"/>
      <c r="AA151" s="74"/>
      <c r="AB151" s="62"/>
      <c r="AC151" s="63"/>
      <c r="AD151" s="75"/>
      <c r="AE151" s="228">
        <f>ROUND((_15_同援日１．０*_15・通訳),0)+ROUND((ROUND((_15_同援日１．０＿０．５*_15・通訳),0)*(1+_15・B夜間)),0)+ROUND((ROUND((_15_同援日１．０＿０．５＿１．５*_15・通訳),0)*(1+_15・C深夜)),0)</f>
        <v>665</v>
      </c>
      <c r="AF151" s="69"/>
    </row>
    <row r="152" spans="1:32" ht="16.5" customHeight="1" x14ac:dyDescent="0.3">
      <c r="A152" s="2">
        <v>15</v>
      </c>
      <c r="B152" s="2" t="s">
        <v>5180</v>
      </c>
      <c r="C152" s="60" t="s">
        <v>15560</v>
      </c>
      <c r="D152" s="1"/>
      <c r="E152" s="68"/>
      <c r="F152" s="70"/>
      <c r="G152" s="1"/>
      <c r="H152" s="68"/>
      <c r="I152" s="70"/>
      <c r="J152" s="1" t="s">
        <v>16984</v>
      </c>
      <c r="K152" s="68"/>
      <c r="L152" s="70"/>
      <c r="M152" s="67"/>
      <c r="N152" s="68"/>
      <c r="O152" s="76"/>
      <c r="P152" s="83" t="s">
        <v>5895</v>
      </c>
      <c r="Q152" s="64" t="s">
        <v>1</v>
      </c>
      <c r="R152" s="65">
        <v>1</v>
      </c>
      <c r="S152" s="99"/>
      <c r="T152" s="70"/>
      <c r="U152" s="99"/>
      <c r="V152" s="70"/>
      <c r="W152" s="81"/>
      <c r="X152" s="57"/>
      <c r="Y152" s="58"/>
      <c r="Z152" s="77"/>
      <c r="AA152" s="1"/>
      <c r="AB152" s="68"/>
      <c r="AC152" s="76"/>
      <c r="AD152" s="70"/>
      <c r="AE152" s="228">
        <f>ROUND((ROUND((_15_同援日１．０*_15・通訳),0)*_15・２人),0)+ROUND((ROUND((ROUND((_15_同援日１．０＿０．５*_15・通訳),0)*_15・２人),0)*(1+_15・B夜間)),0)+ROUND((ROUND((ROUND((_15_同援日１．０＿０．５＿１．５*_15・通訳),0)*_15・２人),0)*(1+_15・C深夜)),0)</f>
        <v>665</v>
      </c>
      <c r="AF152" s="69"/>
    </row>
    <row r="153" spans="1:32" ht="16.5" customHeight="1" x14ac:dyDescent="0.3">
      <c r="A153" s="2">
        <v>15</v>
      </c>
      <c r="B153" s="2" t="s">
        <v>5181</v>
      </c>
      <c r="C153" s="60" t="s">
        <v>15559</v>
      </c>
      <c r="D153" s="1"/>
      <c r="E153" s="68"/>
      <c r="F153" s="70"/>
      <c r="G153" s="1"/>
      <c r="H153" s="68"/>
      <c r="I153" s="70"/>
      <c r="J153" s="1" t="s">
        <v>8767</v>
      </c>
      <c r="K153" s="68"/>
      <c r="L153" s="70"/>
      <c r="M153" s="67"/>
      <c r="N153" s="68"/>
      <c r="O153" s="76"/>
      <c r="P153" s="83"/>
      <c r="Q153" s="64"/>
      <c r="R153" s="65"/>
      <c r="S153" s="99"/>
      <c r="T153" s="70"/>
      <c r="U153" s="99"/>
      <c r="V153" s="70"/>
      <c r="W153" s="74" t="s">
        <v>18025</v>
      </c>
      <c r="X153" s="62"/>
      <c r="Y153" s="63"/>
      <c r="Z153" s="75"/>
      <c r="AA153" s="1"/>
      <c r="AB153" s="68"/>
      <c r="AC153" s="76"/>
      <c r="AD153" s="70"/>
      <c r="AE153" s="228">
        <f>ROUND((ROUND((_15_同援日１．０*_15・通訳),0)*(1+_15・盲ろう)),0)+ROUND((ROUND((ROUND((_15_同援日１．０＿０．５*_15・通訳),0)*(1+_15・B夜間)),0)*(1+_15・盲ろう)),0)+ROUND((ROUND((ROUND((_15_同援日１．０＿０．５＿１．５*_15・通訳),0)*(1+_15・C深夜)),0)*(1+_15・盲ろう)),0)</f>
        <v>831</v>
      </c>
      <c r="AF153" s="69"/>
    </row>
    <row r="154" spans="1:32" ht="16.5" customHeight="1" x14ac:dyDescent="0.3">
      <c r="A154" s="2">
        <v>15</v>
      </c>
      <c r="B154" s="2" t="s">
        <v>5182</v>
      </c>
      <c r="C154" s="60" t="s">
        <v>15558</v>
      </c>
      <c r="D154" s="1"/>
      <c r="E154" s="68"/>
      <c r="F154" s="70"/>
      <c r="G154" s="1"/>
      <c r="H154" s="68"/>
      <c r="I154" s="70"/>
      <c r="J154" s="1"/>
      <c r="K154" s="119">
        <v>190</v>
      </c>
      <c r="L154" s="70" t="s">
        <v>0</v>
      </c>
      <c r="M154" s="67"/>
      <c r="N154" s="68"/>
      <c r="O154" s="76"/>
      <c r="P154" s="83" t="s">
        <v>5895</v>
      </c>
      <c r="Q154" s="64" t="s">
        <v>1</v>
      </c>
      <c r="R154" s="65">
        <v>1</v>
      </c>
      <c r="S154" s="99"/>
      <c r="T154" s="70"/>
      <c r="U154" s="99"/>
      <c r="V154" s="70"/>
      <c r="W154" s="81" t="s">
        <v>18024</v>
      </c>
      <c r="X154" s="57" t="s">
        <v>1</v>
      </c>
      <c r="Y154" s="58">
        <v>0.25</v>
      </c>
      <c r="Z154" s="77" t="s">
        <v>422</v>
      </c>
      <c r="AA154" s="81"/>
      <c r="AB154" s="57"/>
      <c r="AC154" s="58"/>
      <c r="AD154" s="77"/>
      <c r="AE154" s="228">
        <f>ROUND((ROUND((ROUND((_15_同援日１．０*_15・通訳),0)*_15・２人),0)*(1+_15・盲ろう)),0)+ROUND((ROUND((ROUND((ROUND((_15_同援日１．０＿０．５*_15・通訳),0)*_15・２人),0)*(1+_15・B夜間)),0)*(1+_15・盲ろう)),0)+ROUND((ROUND((ROUND((ROUND((_15_同援日１．０＿０．５＿１．５*_15・通訳),0)*_15・２人),0)*(1+_15・C深夜)),0)*(1+_15・盲ろう)),0)</f>
        <v>831</v>
      </c>
      <c r="AF154" s="69"/>
    </row>
    <row r="155" spans="1:32" ht="16.5" customHeight="1" x14ac:dyDescent="0.3">
      <c r="A155" s="2">
        <v>15</v>
      </c>
      <c r="B155" s="2" t="s">
        <v>5183</v>
      </c>
      <c r="C155" s="60" t="s">
        <v>15557</v>
      </c>
      <c r="D155" s="1"/>
      <c r="E155" s="68"/>
      <c r="F155" s="70"/>
      <c r="G155" s="1"/>
      <c r="H155" s="68"/>
      <c r="I155" s="70"/>
      <c r="J155" s="1"/>
      <c r="K155" s="68"/>
      <c r="L155" s="70"/>
      <c r="M155" s="67"/>
      <c r="N155" s="68"/>
      <c r="O155" s="76"/>
      <c r="P155" s="83"/>
      <c r="Q155" s="64"/>
      <c r="R155" s="65"/>
      <c r="S155" s="99"/>
      <c r="T155" s="70"/>
      <c r="U155" s="99"/>
      <c r="V155" s="70"/>
      <c r="W155" s="74"/>
      <c r="X155" s="62"/>
      <c r="Y155" s="63"/>
      <c r="Z155" s="75"/>
      <c r="AA155" s="74" t="s">
        <v>18028</v>
      </c>
      <c r="AB155" s="62"/>
      <c r="AC155" s="63"/>
      <c r="AD155" s="75"/>
      <c r="AE155" s="228">
        <f>ROUND((ROUND((_15_同援日１．０*_15・通訳),0)*(1+_15・区３)),0)+ROUND((ROUND((ROUND((_15_同援日１．０＿０．５*_15・通訳),0)*(1+_15・B夜間)),0)*(1+_15・区３)),0)+ROUND((ROUND((ROUND((_15_同援日１．０＿０．５＿１．５*_15・通訳),0)*(1+_15・C深夜)),0)*(1+_15・区３)),0)</f>
        <v>798</v>
      </c>
      <c r="AF155" s="69"/>
    </row>
    <row r="156" spans="1:32" ht="16.5" customHeight="1" x14ac:dyDescent="0.3">
      <c r="A156" s="2">
        <v>15</v>
      </c>
      <c r="B156" s="2" t="s">
        <v>5184</v>
      </c>
      <c r="C156" s="60" t="s">
        <v>15556</v>
      </c>
      <c r="D156" s="1"/>
      <c r="E156" s="68"/>
      <c r="F156" s="70"/>
      <c r="G156" s="1"/>
      <c r="H156" s="68"/>
      <c r="I156" s="70"/>
      <c r="J156" s="1"/>
      <c r="K156" s="68"/>
      <c r="L156" s="70"/>
      <c r="M156" s="67"/>
      <c r="N156" s="68"/>
      <c r="O156" s="76"/>
      <c r="P156" s="83" t="s">
        <v>5895</v>
      </c>
      <c r="Q156" s="64" t="s">
        <v>1</v>
      </c>
      <c r="R156" s="65">
        <v>1</v>
      </c>
      <c r="S156" s="99"/>
      <c r="T156" s="70"/>
      <c r="U156" s="99"/>
      <c r="V156" s="70"/>
      <c r="W156" s="81"/>
      <c r="X156" s="57"/>
      <c r="Y156" s="58"/>
      <c r="Z156" s="77"/>
      <c r="AA156" s="1" t="s">
        <v>18026</v>
      </c>
      <c r="AB156" s="68"/>
      <c r="AC156" s="76"/>
      <c r="AD156" s="70"/>
      <c r="AE156" s="228">
        <f>ROUND((ROUND((ROUND((_15_同援日１．０*_15・通訳),0)*_15・２人),0)*(1+_15・区３)),0)+ROUND((ROUND((ROUND((ROUND((_15_同援日１．０＿０．５*_15・通訳),0)*_15・２人),0)*(1+_15・B夜間)),0)*(1+_15・区３)),0)+ROUND((ROUND((ROUND((ROUND((_15_同援日１．０＿０．５＿１．５*_15・通訳),0)*_15・２人),0)*(1+_15・C深夜)),0)*(1+_15・区３)),0)</f>
        <v>798</v>
      </c>
      <c r="AF156" s="69"/>
    </row>
    <row r="157" spans="1:32" ht="16.5" customHeight="1" x14ac:dyDescent="0.3">
      <c r="A157" s="2">
        <v>15</v>
      </c>
      <c r="B157" s="2" t="s">
        <v>5185</v>
      </c>
      <c r="C157" s="60" t="s">
        <v>15555</v>
      </c>
      <c r="D157" s="1"/>
      <c r="E157" s="68"/>
      <c r="F157" s="70"/>
      <c r="G157" s="1"/>
      <c r="H157" s="68"/>
      <c r="I157" s="70"/>
      <c r="J157" s="1"/>
      <c r="K157" s="68"/>
      <c r="L157" s="70"/>
      <c r="M157" s="67"/>
      <c r="N157" s="68"/>
      <c r="O157" s="76"/>
      <c r="P157" s="83"/>
      <c r="Q157" s="64"/>
      <c r="R157" s="65"/>
      <c r="S157" s="99"/>
      <c r="T157" s="70"/>
      <c r="U157" s="99"/>
      <c r="V157" s="70"/>
      <c r="W157" s="74" t="s">
        <v>18025</v>
      </c>
      <c r="X157" s="62"/>
      <c r="Y157" s="63"/>
      <c r="Z157" s="75"/>
      <c r="AA157" s="1"/>
      <c r="AB157" s="68" t="s">
        <v>1</v>
      </c>
      <c r="AC157" s="76">
        <v>0.2</v>
      </c>
      <c r="AD157" s="70" t="s">
        <v>422</v>
      </c>
      <c r="AE157" s="228">
        <f>ROUND((ROUND((ROUND((_15_同援日１．０*_15・通訳),0)*(1+_15・盲ろう)),0)*(1+_15・区３)),0)+ROUND((ROUND((ROUND((ROUND((_15_同援日１．０＿０．５*_15・通訳),0)*(1+_15・B夜間)),0)*(1+_15・盲ろう)),0)*(1+_15・区３)),0)+ROUND((ROUND((ROUND((ROUND((_15_同援日１．０＿０．５＿１．５*_15・通訳),0)*(1+_15・C深夜)),0)*(1+_15・盲ろう)),0)*(1+_15・区３)),0)</f>
        <v>997</v>
      </c>
      <c r="AF157" s="69"/>
    </row>
    <row r="158" spans="1:32" ht="16.5" customHeight="1" x14ac:dyDescent="0.3">
      <c r="A158" s="2">
        <v>15</v>
      </c>
      <c r="B158" s="2" t="s">
        <v>5186</v>
      </c>
      <c r="C158" s="60" t="s">
        <v>15554</v>
      </c>
      <c r="D158" s="1"/>
      <c r="E158" s="68"/>
      <c r="F158" s="70"/>
      <c r="G158" s="1"/>
      <c r="H158" s="68"/>
      <c r="I158" s="70"/>
      <c r="J158" s="1"/>
      <c r="K158" s="68"/>
      <c r="L158" s="70"/>
      <c r="M158" s="67"/>
      <c r="N158" s="68"/>
      <c r="O158" s="76"/>
      <c r="P158" s="83" t="s">
        <v>5895</v>
      </c>
      <c r="Q158" s="64" t="s">
        <v>1</v>
      </c>
      <c r="R158" s="65">
        <v>1</v>
      </c>
      <c r="S158" s="99"/>
      <c r="T158" s="70"/>
      <c r="U158" s="99"/>
      <c r="V158" s="70"/>
      <c r="W158" s="81" t="s">
        <v>18024</v>
      </c>
      <c r="X158" s="57" t="s">
        <v>1</v>
      </c>
      <c r="Y158" s="58">
        <v>0.25</v>
      </c>
      <c r="Z158" s="77" t="s">
        <v>422</v>
      </c>
      <c r="AA158" s="81"/>
      <c r="AB158" s="57"/>
      <c r="AC158" s="58"/>
      <c r="AD158" s="77"/>
      <c r="AE158" s="228">
        <f>ROUND((ROUND((ROUND((ROUND((_15_同援日１．０*_15・通訳),0)*_15・２人),0)*(1+_15・盲ろう)),0)*(1+_15・区３)),0)+ROUND((ROUND((ROUND((ROUND((ROUND((_15_同援日１．０＿０．５*_15・通訳),0)*_15・２人),0)*(1+_15・B夜間)),0)*(1+_15・盲ろう)),0)*(1+_15・区３)),0)+ROUND((ROUND((ROUND((ROUND((ROUND((_15_同援日１．０＿０．５＿１．５*_15・通訳),0)*_15・２人),0)*(1+_15・C深夜)),0)*(1+_15・盲ろう)),0)*(1+_15・区３)),0)</f>
        <v>997</v>
      </c>
      <c r="AF158" s="69"/>
    </row>
    <row r="159" spans="1:32" ht="16.5" customHeight="1" x14ac:dyDescent="0.3">
      <c r="A159" s="2">
        <v>15</v>
      </c>
      <c r="B159" s="2" t="s">
        <v>5187</v>
      </c>
      <c r="C159" s="60" t="s">
        <v>15553</v>
      </c>
      <c r="D159" s="1"/>
      <c r="E159" s="68"/>
      <c r="F159" s="70"/>
      <c r="G159" s="1"/>
      <c r="H159" s="68"/>
      <c r="I159" s="70"/>
      <c r="J159" s="1"/>
      <c r="K159" s="68"/>
      <c r="L159" s="70"/>
      <c r="M159" s="67"/>
      <c r="N159" s="68"/>
      <c r="O159" s="76"/>
      <c r="P159" s="83"/>
      <c r="Q159" s="64"/>
      <c r="R159" s="65"/>
      <c r="S159" s="99"/>
      <c r="T159" s="70"/>
      <c r="U159" s="99"/>
      <c r="V159" s="70"/>
      <c r="W159" s="74"/>
      <c r="X159" s="62"/>
      <c r="Y159" s="63"/>
      <c r="Z159" s="75"/>
      <c r="AA159" s="74" t="s">
        <v>18027</v>
      </c>
      <c r="AB159" s="62"/>
      <c r="AC159" s="63"/>
      <c r="AD159" s="75"/>
      <c r="AE159" s="228">
        <f>ROUND((ROUND((_15_同援日１．０*_15・通訳),0)*(1+_15・区４)),0)+ROUND((ROUND((ROUND((_15_同援日１．０＿０．５*_15・通訳),0)*(1+_15・B夜間)),0)*(1+_15・区４)),0)+ROUND((ROUND((ROUND((_15_同援日１．０＿０．５＿１．５*_15・通訳),0)*(1+_15・C深夜)),0)*(1+_15・区４)),0)</f>
        <v>931</v>
      </c>
      <c r="AF159" s="69"/>
    </row>
    <row r="160" spans="1:32" ht="16.5" customHeight="1" x14ac:dyDescent="0.3">
      <c r="A160" s="2">
        <v>15</v>
      </c>
      <c r="B160" s="2" t="s">
        <v>5188</v>
      </c>
      <c r="C160" s="60" t="s">
        <v>15552</v>
      </c>
      <c r="D160" s="1"/>
      <c r="E160" s="68"/>
      <c r="F160" s="70"/>
      <c r="G160" s="1"/>
      <c r="H160" s="68"/>
      <c r="I160" s="70"/>
      <c r="J160" s="1"/>
      <c r="K160" s="68"/>
      <c r="L160" s="70"/>
      <c r="M160" s="67"/>
      <c r="N160" s="68"/>
      <c r="O160" s="76"/>
      <c r="P160" s="83" t="s">
        <v>5895</v>
      </c>
      <c r="Q160" s="64" t="s">
        <v>1</v>
      </c>
      <c r="R160" s="65">
        <v>1</v>
      </c>
      <c r="S160" s="99"/>
      <c r="T160" s="70"/>
      <c r="U160" s="99"/>
      <c r="V160" s="70"/>
      <c r="W160" s="81"/>
      <c r="X160" s="57"/>
      <c r="Y160" s="58"/>
      <c r="Z160" s="77"/>
      <c r="AA160" s="1" t="s">
        <v>18026</v>
      </c>
      <c r="AB160" s="68"/>
      <c r="AC160" s="76"/>
      <c r="AD160" s="70"/>
      <c r="AE160" s="228">
        <f>ROUND((ROUND((ROUND((_15_同援日１．０*_15・通訳),0)*_15・２人),0)*(1+_15・区４)),0)+ROUND((ROUND((ROUND((ROUND((_15_同援日１．０＿０．５*_15・通訳),0)*_15・２人),0)*(1+_15・B夜間)),0)*(1+_15・区４)),0)+ROUND((ROUND((ROUND((ROUND((_15_同援日１．０＿０．５＿１．５*_15・通訳),0)*_15・２人),0)*(1+_15・C深夜)),0)*(1+_15・区４)),0)</f>
        <v>931</v>
      </c>
      <c r="AF160" s="69"/>
    </row>
    <row r="161" spans="1:32" ht="16.5" customHeight="1" x14ac:dyDescent="0.3">
      <c r="A161" s="2">
        <v>15</v>
      </c>
      <c r="B161" s="2" t="s">
        <v>5189</v>
      </c>
      <c r="C161" s="60" t="s">
        <v>15551</v>
      </c>
      <c r="D161" s="1"/>
      <c r="E161" s="68"/>
      <c r="F161" s="70"/>
      <c r="G161" s="1"/>
      <c r="H161" s="68"/>
      <c r="I161" s="70"/>
      <c r="J161" s="1"/>
      <c r="K161" s="68"/>
      <c r="L161" s="70"/>
      <c r="M161" s="67"/>
      <c r="N161" s="68"/>
      <c r="O161" s="76"/>
      <c r="P161" s="83"/>
      <c r="Q161" s="64"/>
      <c r="R161" s="65"/>
      <c r="S161" s="99"/>
      <c r="T161" s="70"/>
      <c r="U161" s="99"/>
      <c r="V161" s="70"/>
      <c r="W161" s="74" t="s">
        <v>18025</v>
      </c>
      <c r="X161" s="62"/>
      <c r="Y161" s="63"/>
      <c r="Z161" s="75"/>
      <c r="AA161" s="1"/>
      <c r="AB161" s="68" t="s">
        <v>1</v>
      </c>
      <c r="AC161" s="76">
        <v>0.4</v>
      </c>
      <c r="AD161" s="70" t="s">
        <v>422</v>
      </c>
      <c r="AE161" s="228">
        <f>ROUND((ROUND((ROUND((_15_同援日１．０*_15・通訳),0)*(1+_15・盲ろう)),0)*(1+_15・区４)),0)+ROUND((ROUND((ROUND((ROUND((_15_同援日１．０＿０．５*_15・通訳),0)*(1+_15・B夜間)),0)*(1+_15・盲ろう)),0)*(1+_15・区４)),0)+ROUND((ROUND((ROUND((ROUND((_15_同援日１．０＿０．５＿１．５*_15・通訳),0)*(1+_15・C深夜)),0)*(1+_15・盲ろう)),0)*(1+_15・区４)),0)</f>
        <v>1163</v>
      </c>
      <c r="AF161" s="69"/>
    </row>
    <row r="162" spans="1:32" ht="16.5" customHeight="1" x14ac:dyDescent="0.3">
      <c r="A162" s="2">
        <v>15</v>
      </c>
      <c r="B162" s="2" t="s">
        <v>5190</v>
      </c>
      <c r="C162" s="60" t="s">
        <v>15550</v>
      </c>
      <c r="D162" s="1"/>
      <c r="E162" s="68"/>
      <c r="F162" s="70"/>
      <c r="G162" s="81"/>
      <c r="H162" s="57"/>
      <c r="I162" s="77"/>
      <c r="J162" s="81"/>
      <c r="K162" s="57"/>
      <c r="L162" s="77"/>
      <c r="M162" s="67"/>
      <c r="N162" s="68"/>
      <c r="O162" s="76"/>
      <c r="P162" s="83" t="s">
        <v>5895</v>
      </c>
      <c r="Q162" s="64" t="s">
        <v>1</v>
      </c>
      <c r="R162" s="65">
        <v>1</v>
      </c>
      <c r="S162" s="99"/>
      <c r="T162" s="70"/>
      <c r="U162" s="99"/>
      <c r="V162" s="70"/>
      <c r="W162" s="81" t="s">
        <v>18024</v>
      </c>
      <c r="X162" s="57" t="s">
        <v>1</v>
      </c>
      <c r="Y162" s="58">
        <v>0.25</v>
      </c>
      <c r="Z162" s="77" t="s">
        <v>422</v>
      </c>
      <c r="AA162" s="81"/>
      <c r="AB162" s="57"/>
      <c r="AC162" s="58"/>
      <c r="AD162" s="77"/>
      <c r="AE162" s="228">
        <f>ROUND((ROUND((ROUND((ROUND((_15_同援日１．０*_15・通訳),0)*_15・２人),0)*(1+_15・盲ろう)),0)*(1+_15・区４)),0)+ROUND((ROUND((ROUND((ROUND((ROUND((_15_同援日１．０＿０．５*_15・通訳),0)*_15・２人),0)*(1+_15・B夜間)),0)*(1+_15・盲ろう)),0)*(1+_15・区４)),0)+ROUND((ROUND((ROUND((ROUND((ROUND((_15_同援日１．０＿０．５＿１．５*_15・通訳),0)*_15・２人),0)*(1+_15・C深夜)),0)*(1+_15・盲ろう)),0)*(1+_15・区４)),0)</f>
        <v>1163</v>
      </c>
      <c r="AF162" s="69"/>
    </row>
    <row r="163" spans="1:32" ht="16.5" customHeight="1" x14ac:dyDescent="0.3">
      <c r="A163" s="2">
        <v>15</v>
      </c>
      <c r="B163" s="2" t="s">
        <v>5191</v>
      </c>
      <c r="C163" s="60" t="s">
        <v>15549</v>
      </c>
      <c r="D163" s="1"/>
      <c r="E163" s="68"/>
      <c r="F163" s="70"/>
      <c r="G163" s="233" t="s">
        <v>18389</v>
      </c>
      <c r="H163" s="235"/>
      <c r="I163" s="75"/>
      <c r="J163" s="74" t="s">
        <v>17494</v>
      </c>
      <c r="K163" s="62"/>
      <c r="L163" s="75"/>
      <c r="M163" s="67"/>
      <c r="N163" s="68"/>
      <c r="O163" s="76"/>
      <c r="P163" s="83"/>
      <c r="Q163" s="64"/>
      <c r="R163" s="65"/>
      <c r="S163" s="99"/>
      <c r="T163" s="70"/>
      <c r="U163" s="99"/>
      <c r="V163" s="70"/>
      <c r="W163" s="74"/>
      <c r="X163" s="62"/>
      <c r="Y163" s="63"/>
      <c r="Z163" s="75"/>
      <c r="AA163" s="74"/>
      <c r="AB163" s="62"/>
      <c r="AC163" s="63"/>
      <c r="AD163" s="75"/>
      <c r="AE163" s="228">
        <f>ROUND((_15_同援日１．０*_15・通訳),0)+ROUND((ROUND((_15_同援日１．０＿１．０*_15・通訳),0)*(1+_15・B夜間)),0)+ROUND((ROUND((_15_同援日１．０＿１．０＿０．５*_15・通訳),0)*(1+_15・C深夜)),0)</f>
        <v>567</v>
      </c>
      <c r="AF163" s="69"/>
    </row>
    <row r="164" spans="1:32" ht="16.5" customHeight="1" x14ac:dyDescent="0.3">
      <c r="A164" s="2">
        <v>15</v>
      </c>
      <c r="B164" s="2" t="s">
        <v>5192</v>
      </c>
      <c r="C164" s="60" t="s">
        <v>15548</v>
      </c>
      <c r="D164" s="1"/>
      <c r="E164" s="68"/>
      <c r="F164" s="70"/>
      <c r="G164" s="1" t="s">
        <v>16978</v>
      </c>
      <c r="H164" s="68"/>
      <c r="I164" s="70"/>
      <c r="J164" s="1" t="s">
        <v>7928</v>
      </c>
      <c r="K164" s="68"/>
      <c r="L164" s="70"/>
      <c r="M164" s="67"/>
      <c r="N164" s="68"/>
      <c r="O164" s="76"/>
      <c r="P164" s="83" t="s">
        <v>5895</v>
      </c>
      <c r="Q164" s="64" t="s">
        <v>1</v>
      </c>
      <c r="R164" s="65">
        <v>1</v>
      </c>
      <c r="S164" s="99"/>
      <c r="T164" s="70"/>
      <c r="U164" s="99"/>
      <c r="V164" s="70"/>
      <c r="W164" s="81"/>
      <c r="X164" s="57"/>
      <c r="Y164" s="58"/>
      <c r="Z164" s="77"/>
      <c r="AA164" s="1"/>
      <c r="AB164" s="68"/>
      <c r="AC164" s="76"/>
      <c r="AD164" s="70"/>
      <c r="AE164" s="228">
        <f>ROUND((ROUND((_15_同援日１．０*_15・通訳),0)*_15・２人),0)+ROUND((ROUND((ROUND((_15_同援日１．０＿１．０*_15・通訳),0)*_15・２人),0)*(1+_15・B夜間)),0)+ROUND((ROUND((ROUND((_15_同援日１．０＿１．０＿０．５*_15・通訳),0)*_15・２人),0)*(1+_15・C深夜)),0)</f>
        <v>567</v>
      </c>
      <c r="AF164" s="69"/>
    </row>
    <row r="165" spans="1:32" ht="16.5" customHeight="1" x14ac:dyDescent="0.3">
      <c r="A165" s="2">
        <v>15</v>
      </c>
      <c r="B165" s="2" t="s">
        <v>5193</v>
      </c>
      <c r="C165" s="60" t="s">
        <v>15547</v>
      </c>
      <c r="D165" s="1"/>
      <c r="E165" s="68"/>
      <c r="F165" s="70"/>
      <c r="G165" s="1" t="s">
        <v>8572</v>
      </c>
      <c r="H165" s="68"/>
      <c r="I165" s="70"/>
      <c r="J165" s="1"/>
      <c r="K165" s="68"/>
      <c r="L165" s="70"/>
      <c r="M165" s="67"/>
      <c r="N165" s="68"/>
      <c r="O165" s="76"/>
      <c r="P165" s="83"/>
      <c r="Q165" s="64"/>
      <c r="R165" s="65"/>
      <c r="S165" s="99"/>
      <c r="T165" s="70"/>
      <c r="U165" s="99"/>
      <c r="V165" s="70"/>
      <c r="W165" s="74" t="s">
        <v>18025</v>
      </c>
      <c r="X165" s="62"/>
      <c r="Y165" s="63"/>
      <c r="Z165" s="75"/>
      <c r="AA165" s="1"/>
      <c r="AB165" s="68"/>
      <c r="AC165" s="76"/>
      <c r="AD165" s="70"/>
      <c r="AE165" s="228">
        <f>ROUND((ROUND((_15_同援日１．０*_15・通訳),0)*(1+_15・盲ろう)),0)+ROUND((ROUND((ROUND((_15_同援日１．０＿１．０*_15・通訳),0)*(1+_15・B夜間)),0)*(1+_15・盲ろう)),0)+ROUND((ROUND((ROUND((_15_同援日１．０＿１．０＿０．５*_15・通訳),0)*(1+_15・C深夜)),0)*(1+_15・盲ろう)),0)</f>
        <v>710</v>
      </c>
      <c r="AF165" s="69"/>
    </row>
    <row r="166" spans="1:32" ht="16.5" customHeight="1" x14ac:dyDescent="0.3">
      <c r="A166" s="2">
        <v>15</v>
      </c>
      <c r="B166" s="2" t="s">
        <v>5194</v>
      </c>
      <c r="C166" s="60" t="s">
        <v>15546</v>
      </c>
      <c r="D166" s="1"/>
      <c r="E166" s="68"/>
      <c r="F166" s="70"/>
      <c r="G166" s="1"/>
      <c r="H166" s="119">
        <v>193</v>
      </c>
      <c r="I166" s="70" t="s">
        <v>0</v>
      </c>
      <c r="J166" s="1"/>
      <c r="K166" s="119">
        <v>63</v>
      </c>
      <c r="L166" s="70" t="s">
        <v>0</v>
      </c>
      <c r="M166" s="67"/>
      <c r="N166" s="68"/>
      <c r="O166" s="76"/>
      <c r="P166" s="83" t="s">
        <v>5895</v>
      </c>
      <c r="Q166" s="64" t="s">
        <v>1</v>
      </c>
      <c r="R166" s="65">
        <v>1</v>
      </c>
      <c r="S166" s="99"/>
      <c r="T166" s="70"/>
      <c r="U166" s="99"/>
      <c r="V166" s="70"/>
      <c r="W166" s="81" t="s">
        <v>18024</v>
      </c>
      <c r="X166" s="57" t="s">
        <v>1</v>
      </c>
      <c r="Y166" s="58">
        <v>0.25</v>
      </c>
      <c r="Z166" s="77" t="s">
        <v>422</v>
      </c>
      <c r="AA166" s="81"/>
      <c r="AB166" s="57"/>
      <c r="AC166" s="58"/>
      <c r="AD166" s="77"/>
      <c r="AE166" s="228">
        <f>ROUND((ROUND((ROUND((_15_同援日１．０*_15・通訳),0)*_15・２人),0)*(1+_15・盲ろう)),0)+ROUND((ROUND((ROUND((ROUND((_15_同援日１．０＿１．０*_15・通訳),0)*_15・２人),0)*(1+_15・B夜間)),0)*(1+_15・盲ろう)),0)+ROUND((ROUND((ROUND((ROUND((_15_同援日１．０＿１．０＿０．５*_15・通訳),0)*_15・２人),0)*(1+_15・C深夜)),0)*(1+_15・盲ろう)),0)</f>
        <v>710</v>
      </c>
      <c r="AF166" s="69"/>
    </row>
    <row r="167" spans="1:32" ht="16.5" customHeight="1" x14ac:dyDescent="0.3">
      <c r="A167" s="2">
        <v>15</v>
      </c>
      <c r="B167" s="2" t="s">
        <v>5195</v>
      </c>
      <c r="C167" s="60" t="s">
        <v>15545</v>
      </c>
      <c r="D167" s="1"/>
      <c r="E167" s="68"/>
      <c r="F167" s="70"/>
      <c r="G167" s="1"/>
      <c r="H167" s="68"/>
      <c r="I167" s="70"/>
      <c r="J167" s="1"/>
      <c r="K167" s="68"/>
      <c r="L167" s="70"/>
      <c r="M167" s="67"/>
      <c r="N167" s="68"/>
      <c r="O167" s="76"/>
      <c r="P167" s="83"/>
      <c r="Q167" s="64"/>
      <c r="R167" s="65"/>
      <c r="S167" s="99"/>
      <c r="T167" s="70"/>
      <c r="U167" s="99"/>
      <c r="V167" s="70"/>
      <c r="W167" s="74"/>
      <c r="X167" s="62"/>
      <c r="Y167" s="63"/>
      <c r="Z167" s="75"/>
      <c r="AA167" s="74" t="s">
        <v>18028</v>
      </c>
      <c r="AB167" s="62"/>
      <c r="AC167" s="63"/>
      <c r="AD167" s="75"/>
      <c r="AE167" s="228">
        <f>ROUND((ROUND((_15_同援日１．０*_15・通訳),0)*(1+_15・区３)),0)+ROUND((ROUND((ROUND((_15_同援日１．０＿１．０*_15・通訳),0)*(1+_15・B夜間)),0)*(1+_15・区３)),0)+ROUND((ROUND((ROUND((_15_同援日１．０＿１．０＿０．５*_15・通訳),0)*(1+_15・C深夜)),0)*(1+_15・区３)),0)</f>
        <v>681</v>
      </c>
      <c r="AF167" s="69"/>
    </row>
    <row r="168" spans="1:32" ht="16.5" customHeight="1" x14ac:dyDescent="0.3">
      <c r="A168" s="2">
        <v>15</v>
      </c>
      <c r="B168" s="2" t="s">
        <v>5196</v>
      </c>
      <c r="C168" s="60" t="s">
        <v>15544</v>
      </c>
      <c r="D168" s="1"/>
      <c r="E168" s="68"/>
      <c r="F168" s="70"/>
      <c r="G168" s="1"/>
      <c r="H168" s="68"/>
      <c r="I168" s="70"/>
      <c r="J168" s="1"/>
      <c r="K168" s="68"/>
      <c r="L168" s="70"/>
      <c r="M168" s="67"/>
      <c r="N168" s="68"/>
      <c r="O168" s="76"/>
      <c r="P168" s="83" t="s">
        <v>5895</v>
      </c>
      <c r="Q168" s="64" t="s">
        <v>1</v>
      </c>
      <c r="R168" s="65">
        <v>1</v>
      </c>
      <c r="S168" s="99"/>
      <c r="T168" s="70"/>
      <c r="U168" s="99"/>
      <c r="V168" s="70"/>
      <c r="W168" s="81"/>
      <c r="X168" s="57"/>
      <c r="Y168" s="58"/>
      <c r="Z168" s="77"/>
      <c r="AA168" s="1" t="s">
        <v>18026</v>
      </c>
      <c r="AB168" s="68"/>
      <c r="AC168" s="76"/>
      <c r="AD168" s="70"/>
      <c r="AE168" s="228">
        <f>ROUND((ROUND((ROUND((_15_同援日１．０*_15・通訳),0)*_15・２人),0)*(1+_15・区３)),0)+ROUND((ROUND((ROUND((ROUND((_15_同援日１．０＿１．０*_15・通訳),0)*_15・２人),0)*(1+_15・B夜間)),0)*(1+_15・区３)),0)+ROUND((ROUND((ROUND((ROUND((_15_同援日１．０＿１．０＿０．５*_15・通訳),0)*_15・２人),0)*(1+_15・C深夜)),0)*(1+_15・区３)),0)</f>
        <v>681</v>
      </c>
      <c r="AF168" s="69"/>
    </row>
    <row r="169" spans="1:32" ht="16.5" customHeight="1" x14ac:dyDescent="0.3">
      <c r="A169" s="2">
        <v>15</v>
      </c>
      <c r="B169" s="2" t="s">
        <v>5197</v>
      </c>
      <c r="C169" s="60" t="s">
        <v>15543</v>
      </c>
      <c r="D169" s="1"/>
      <c r="E169" s="68"/>
      <c r="F169" s="70"/>
      <c r="G169" s="1"/>
      <c r="H169" s="68"/>
      <c r="I169" s="70"/>
      <c r="J169" s="1"/>
      <c r="K169" s="68"/>
      <c r="L169" s="70"/>
      <c r="M169" s="67"/>
      <c r="N169" s="68"/>
      <c r="O169" s="76"/>
      <c r="P169" s="83"/>
      <c r="Q169" s="64"/>
      <c r="R169" s="65"/>
      <c r="S169" s="99"/>
      <c r="T169" s="70"/>
      <c r="U169" s="99"/>
      <c r="V169" s="70"/>
      <c r="W169" s="74" t="s">
        <v>18025</v>
      </c>
      <c r="X169" s="62"/>
      <c r="Y169" s="63"/>
      <c r="Z169" s="75"/>
      <c r="AA169" s="1"/>
      <c r="AB169" s="68" t="s">
        <v>1</v>
      </c>
      <c r="AC169" s="76">
        <v>0.2</v>
      </c>
      <c r="AD169" s="70" t="s">
        <v>422</v>
      </c>
      <c r="AE169" s="228">
        <f>ROUND((ROUND((ROUND((_15_同援日１．０*_15・通訳),0)*(1+_15・盲ろう)),0)*(1+_15・区３)),0)+ROUND((ROUND((ROUND((ROUND((_15_同援日１．０＿１．０*_15・通訳),0)*(1+_15・B夜間)),0)*(1+_15・盲ろう)),0)*(1+_15・区３)),0)+ROUND((ROUND((ROUND((ROUND((_15_同援日１．０＿１．０＿０．５*_15・通訳),0)*(1+_15・C深夜)),0)*(1+_15・盲ろう)),0)*(1+_15・区３)),0)</f>
        <v>853</v>
      </c>
      <c r="AF169" s="69"/>
    </row>
    <row r="170" spans="1:32" ht="16.5" customHeight="1" x14ac:dyDescent="0.3">
      <c r="A170" s="2">
        <v>15</v>
      </c>
      <c r="B170" s="2" t="s">
        <v>5198</v>
      </c>
      <c r="C170" s="60" t="s">
        <v>15542</v>
      </c>
      <c r="D170" s="1"/>
      <c r="E170" s="68"/>
      <c r="F170" s="70"/>
      <c r="G170" s="1"/>
      <c r="H170" s="68"/>
      <c r="I170" s="70"/>
      <c r="J170" s="1"/>
      <c r="K170" s="68"/>
      <c r="L170" s="70"/>
      <c r="M170" s="67"/>
      <c r="N170" s="68"/>
      <c r="O170" s="76"/>
      <c r="P170" s="83" t="s">
        <v>5895</v>
      </c>
      <c r="Q170" s="64" t="s">
        <v>1</v>
      </c>
      <c r="R170" s="65">
        <v>1</v>
      </c>
      <c r="S170" s="99"/>
      <c r="T170" s="70"/>
      <c r="U170" s="99"/>
      <c r="V170" s="70"/>
      <c r="W170" s="81" t="s">
        <v>18024</v>
      </c>
      <c r="X170" s="57" t="s">
        <v>1</v>
      </c>
      <c r="Y170" s="58">
        <v>0.25</v>
      </c>
      <c r="Z170" s="77" t="s">
        <v>422</v>
      </c>
      <c r="AA170" s="81"/>
      <c r="AB170" s="57"/>
      <c r="AC170" s="58"/>
      <c r="AD170" s="77"/>
      <c r="AE170" s="228">
        <f>ROUND((ROUND((ROUND((ROUND((_15_同援日１．０*_15・通訳),0)*_15・２人),0)*(1+_15・盲ろう)),0)*(1+_15・区３)),0)+ROUND((ROUND((ROUND((ROUND((ROUND((_15_同援日１．０＿１．０*_15・通訳),0)*_15・２人),0)*(1+_15・B夜間)),0)*(1+_15・盲ろう)),0)*(1+_15・区３)),0)+ROUND((ROUND((ROUND((ROUND((ROUND((_15_同援日１．０＿１．０＿０．５*_15・通訳),0)*_15・２人),0)*(1+_15・C深夜)),0)*(1+_15・盲ろう)),0)*(1+_15・区３)),0)</f>
        <v>853</v>
      </c>
      <c r="AF170" s="69"/>
    </row>
    <row r="171" spans="1:32" ht="16.5" customHeight="1" x14ac:dyDescent="0.3">
      <c r="A171" s="2">
        <v>15</v>
      </c>
      <c r="B171" s="2" t="s">
        <v>5199</v>
      </c>
      <c r="C171" s="60" t="s">
        <v>15541</v>
      </c>
      <c r="D171" s="1"/>
      <c r="E171" s="68"/>
      <c r="F171" s="70"/>
      <c r="G171" s="1"/>
      <c r="H171" s="68"/>
      <c r="I171" s="70"/>
      <c r="J171" s="1"/>
      <c r="K171" s="68"/>
      <c r="L171" s="70"/>
      <c r="M171" s="67"/>
      <c r="N171" s="68"/>
      <c r="O171" s="76"/>
      <c r="P171" s="83"/>
      <c r="Q171" s="64"/>
      <c r="R171" s="65"/>
      <c r="S171" s="99"/>
      <c r="T171" s="70"/>
      <c r="U171" s="99"/>
      <c r="V171" s="70"/>
      <c r="W171" s="74"/>
      <c r="X171" s="62"/>
      <c r="Y171" s="63"/>
      <c r="Z171" s="75"/>
      <c r="AA171" s="74" t="s">
        <v>18027</v>
      </c>
      <c r="AB171" s="62"/>
      <c r="AC171" s="63"/>
      <c r="AD171" s="75"/>
      <c r="AE171" s="228">
        <f>ROUND((ROUND((_15_同援日１．０*_15・通訳),0)*(1+_15・区４)),0)+ROUND((ROUND((ROUND((_15_同援日１．０＿１．０*_15・通訳),0)*(1+_15・B夜間)),0)*(1+_15・区４)),0)+ROUND((ROUND((ROUND((_15_同援日１．０＿１．０＿０．５*_15・通訳),0)*(1+_15・C深夜)),0)*(1+_15・区４)),0)</f>
        <v>793</v>
      </c>
      <c r="AF171" s="69"/>
    </row>
    <row r="172" spans="1:32" ht="16.5" customHeight="1" x14ac:dyDescent="0.3">
      <c r="A172" s="2">
        <v>15</v>
      </c>
      <c r="B172" s="2" t="s">
        <v>5200</v>
      </c>
      <c r="C172" s="60" t="s">
        <v>15540</v>
      </c>
      <c r="D172" s="1"/>
      <c r="E172" s="68"/>
      <c r="F172" s="70"/>
      <c r="G172" s="1"/>
      <c r="H172" s="68"/>
      <c r="I172" s="70"/>
      <c r="J172" s="1"/>
      <c r="K172" s="68"/>
      <c r="L172" s="70"/>
      <c r="M172" s="67"/>
      <c r="N172" s="68"/>
      <c r="O172" s="76"/>
      <c r="P172" s="83" t="s">
        <v>5895</v>
      </c>
      <c r="Q172" s="64" t="s">
        <v>1</v>
      </c>
      <c r="R172" s="65">
        <v>1</v>
      </c>
      <c r="S172" s="99"/>
      <c r="T172" s="70"/>
      <c r="U172" s="99"/>
      <c r="V172" s="70"/>
      <c r="W172" s="81"/>
      <c r="X172" s="57"/>
      <c r="Y172" s="58"/>
      <c r="Z172" s="77"/>
      <c r="AA172" s="1" t="s">
        <v>18026</v>
      </c>
      <c r="AB172" s="68"/>
      <c r="AC172" s="76"/>
      <c r="AD172" s="70"/>
      <c r="AE172" s="228">
        <f>ROUND((ROUND((ROUND((_15_同援日１．０*_15・通訳),0)*_15・２人),0)*(1+_15・区４)),0)+ROUND((ROUND((ROUND((ROUND((_15_同援日１．０＿１．０*_15・通訳),0)*_15・２人),0)*(1+_15・B夜間)),0)*(1+_15・区４)),0)+ROUND((ROUND((ROUND((ROUND((_15_同援日１．０＿１．０＿０．５*_15・通訳),0)*_15・２人),0)*(1+_15・C深夜)),0)*(1+_15・区４)),0)</f>
        <v>793</v>
      </c>
      <c r="AF172" s="69"/>
    </row>
    <row r="173" spans="1:32" ht="16.5" customHeight="1" x14ac:dyDescent="0.3">
      <c r="A173" s="2">
        <v>15</v>
      </c>
      <c r="B173" s="2" t="s">
        <v>5201</v>
      </c>
      <c r="C173" s="60" t="s">
        <v>15539</v>
      </c>
      <c r="D173" s="1"/>
      <c r="E173" s="68"/>
      <c r="F173" s="70"/>
      <c r="G173" s="1"/>
      <c r="H173" s="68"/>
      <c r="I173" s="70"/>
      <c r="J173" s="1"/>
      <c r="K173" s="68"/>
      <c r="L173" s="70"/>
      <c r="M173" s="67"/>
      <c r="N173" s="68"/>
      <c r="O173" s="76"/>
      <c r="P173" s="83"/>
      <c r="Q173" s="64"/>
      <c r="R173" s="65"/>
      <c r="S173" s="99"/>
      <c r="T173" s="70"/>
      <c r="U173" s="99"/>
      <c r="V173" s="70"/>
      <c r="W173" s="74" t="s">
        <v>18025</v>
      </c>
      <c r="X173" s="62"/>
      <c r="Y173" s="63"/>
      <c r="Z173" s="75"/>
      <c r="AA173" s="1"/>
      <c r="AB173" s="68" t="s">
        <v>1</v>
      </c>
      <c r="AC173" s="76">
        <v>0.4</v>
      </c>
      <c r="AD173" s="70" t="s">
        <v>422</v>
      </c>
      <c r="AE173" s="228">
        <f>ROUND((ROUND((ROUND((_15_同援日１．０*_15・通訳),0)*(1+_15・盲ろう)),0)*(1+_15・区４)),0)+ROUND((ROUND((ROUND((ROUND((_15_同援日１．０＿１．０*_15・通訳),0)*(1+_15・B夜間)),0)*(1+_15・盲ろう)),0)*(1+_15・区４)),0)+ROUND((ROUND((ROUND((ROUND((_15_同援日１．０＿１．０＿０．５*_15・通訳),0)*(1+_15・C深夜)),0)*(1+_15・盲ろう)),0)*(1+_15・区４)),0)</f>
        <v>994</v>
      </c>
      <c r="AF173" s="69"/>
    </row>
    <row r="174" spans="1:32" ht="16.5" customHeight="1" x14ac:dyDescent="0.3">
      <c r="A174" s="2">
        <v>15</v>
      </c>
      <c r="B174" s="2" t="s">
        <v>5202</v>
      </c>
      <c r="C174" s="60" t="s">
        <v>15538</v>
      </c>
      <c r="D174" s="1"/>
      <c r="E174" s="68"/>
      <c r="F174" s="70"/>
      <c r="G174" s="1"/>
      <c r="H174" s="68"/>
      <c r="I174" s="70"/>
      <c r="J174" s="81"/>
      <c r="K174" s="57"/>
      <c r="L174" s="77"/>
      <c r="M174" s="67"/>
      <c r="N174" s="68"/>
      <c r="O174" s="76"/>
      <c r="P174" s="83" t="s">
        <v>5895</v>
      </c>
      <c r="Q174" s="64" t="s">
        <v>1</v>
      </c>
      <c r="R174" s="65">
        <v>1</v>
      </c>
      <c r="S174" s="99"/>
      <c r="T174" s="70"/>
      <c r="U174" s="99"/>
      <c r="V174" s="70"/>
      <c r="W174" s="81" t="s">
        <v>18024</v>
      </c>
      <c r="X174" s="57" t="s">
        <v>1</v>
      </c>
      <c r="Y174" s="58">
        <v>0.25</v>
      </c>
      <c r="Z174" s="77" t="s">
        <v>422</v>
      </c>
      <c r="AA174" s="81"/>
      <c r="AB174" s="57"/>
      <c r="AC174" s="58"/>
      <c r="AD174" s="77"/>
      <c r="AE174" s="228">
        <f>ROUND((ROUND((ROUND((ROUND((_15_同援日１．０*_15・通訳),0)*_15・２人),0)*(1+_15・盲ろう)),0)*(1+_15・区４)),0)+ROUND((ROUND((ROUND((ROUND((ROUND((_15_同援日１．０＿１．０*_15・通訳),0)*_15・２人),0)*(1+_15・B夜間)),0)*(1+_15・盲ろう)),0)*(1+_15・区４)),0)+ROUND((ROUND((ROUND((ROUND((ROUND((_15_同援日１．０＿１．０＿０．５*_15・通訳),0)*_15・２人),0)*(1+_15・C深夜)),0)*(1+_15・盲ろう)),0)*(1+_15・区４)),0)</f>
        <v>994</v>
      </c>
      <c r="AF174" s="69"/>
    </row>
    <row r="175" spans="1:32" ht="16.5" customHeight="1" x14ac:dyDescent="0.3">
      <c r="A175" s="2">
        <v>15</v>
      </c>
      <c r="B175" s="2" t="s">
        <v>5203</v>
      </c>
      <c r="C175" s="60" t="s">
        <v>15537</v>
      </c>
      <c r="D175" s="1"/>
      <c r="E175" s="68"/>
      <c r="F175" s="70"/>
      <c r="G175" s="1"/>
      <c r="H175" s="68"/>
      <c r="I175" s="70"/>
      <c r="J175" s="74" t="s">
        <v>17493</v>
      </c>
      <c r="K175" s="62"/>
      <c r="L175" s="75"/>
      <c r="M175" s="67"/>
      <c r="N175" s="68"/>
      <c r="O175" s="76"/>
      <c r="P175" s="83"/>
      <c r="Q175" s="64"/>
      <c r="R175" s="65"/>
      <c r="S175" s="99"/>
      <c r="T175" s="70"/>
      <c r="U175" s="99"/>
      <c r="V175" s="70"/>
      <c r="W175" s="74"/>
      <c r="X175" s="62"/>
      <c r="Y175" s="63"/>
      <c r="Z175" s="75"/>
      <c r="AA175" s="74"/>
      <c r="AB175" s="62"/>
      <c r="AC175" s="63"/>
      <c r="AD175" s="75"/>
      <c r="AE175" s="228">
        <f>ROUND((_15_同援日１．０*_15・通訳),0)+ROUND((ROUND((_15_同援日１．０＿１．０*_15・通訳),0)*(1+_15・B夜間)),0)+ROUND((ROUND((_15_同援日１．０＿１．０＿１．０*_15・通訳),0)*(1+_15・C深夜)),0)</f>
        <v>651</v>
      </c>
      <c r="AF175" s="69"/>
    </row>
    <row r="176" spans="1:32" ht="16.5" customHeight="1" x14ac:dyDescent="0.3">
      <c r="A176" s="2">
        <v>15</v>
      </c>
      <c r="B176" s="2" t="s">
        <v>5204</v>
      </c>
      <c r="C176" s="60" t="s">
        <v>15536</v>
      </c>
      <c r="D176" s="1"/>
      <c r="E176" s="68"/>
      <c r="F176" s="70"/>
      <c r="G176" s="1"/>
      <c r="H176" s="68"/>
      <c r="I176" s="70"/>
      <c r="J176" s="1" t="s">
        <v>16978</v>
      </c>
      <c r="K176" s="68"/>
      <c r="L176" s="70"/>
      <c r="M176" s="67"/>
      <c r="N176" s="68"/>
      <c r="O176" s="76"/>
      <c r="P176" s="83" t="s">
        <v>5895</v>
      </c>
      <c r="Q176" s="64" t="s">
        <v>1</v>
      </c>
      <c r="R176" s="65">
        <v>1</v>
      </c>
      <c r="S176" s="99"/>
      <c r="T176" s="70"/>
      <c r="U176" s="99"/>
      <c r="V176" s="70"/>
      <c r="W176" s="81"/>
      <c r="X176" s="57"/>
      <c r="Y176" s="58"/>
      <c r="Z176" s="77"/>
      <c r="AA176" s="1"/>
      <c r="AB176" s="68"/>
      <c r="AC176" s="76"/>
      <c r="AD176" s="70"/>
      <c r="AE176" s="228">
        <f>ROUND((ROUND((_15_同援日１．０*_15・通訳),0)*_15・２人),0)+ROUND((ROUND((ROUND((_15_同援日１．０＿１．０*_15・通訳),0)*_15・２人),0)*(1+_15・B夜間)),0)+ROUND((ROUND((ROUND((_15_同援日１．０＿１．０＿１．０*_15・通訳),0)*_15・２人),0)*(1+_15・C深夜)),0)</f>
        <v>651</v>
      </c>
      <c r="AF176" s="69"/>
    </row>
    <row r="177" spans="1:32" ht="16.5" customHeight="1" x14ac:dyDescent="0.3">
      <c r="A177" s="2">
        <v>15</v>
      </c>
      <c r="B177" s="2" t="s">
        <v>5205</v>
      </c>
      <c r="C177" s="60" t="s">
        <v>15535</v>
      </c>
      <c r="D177" s="1"/>
      <c r="E177" s="68"/>
      <c r="F177" s="70"/>
      <c r="G177" s="1"/>
      <c r="H177" s="68"/>
      <c r="I177" s="70"/>
      <c r="J177" s="1" t="s">
        <v>8572</v>
      </c>
      <c r="K177" s="68"/>
      <c r="L177" s="70"/>
      <c r="M177" s="67"/>
      <c r="N177" s="68"/>
      <c r="O177" s="76"/>
      <c r="P177" s="83"/>
      <c r="Q177" s="64"/>
      <c r="R177" s="65"/>
      <c r="S177" s="99"/>
      <c r="T177" s="70"/>
      <c r="U177" s="99"/>
      <c r="V177" s="70"/>
      <c r="W177" s="74" t="s">
        <v>18025</v>
      </c>
      <c r="X177" s="62"/>
      <c r="Y177" s="63"/>
      <c r="Z177" s="75"/>
      <c r="AA177" s="1"/>
      <c r="AB177" s="68"/>
      <c r="AC177" s="76"/>
      <c r="AD177" s="70"/>
      <c r="AE177" s="228">
        <f>ROUND((ROUND((_15_同援日１．０*_15・通訳),0)*(1+_15・盲ろう)),0)+ROUND((ROUND((ROUND((_15_同援日１．０＿１．０*_15・通訳),0)*(1+_15・B夜間)),0)*(1+_15・盲ろう)),0)+ROUND((ROUND((ROUND((_15_同援日１．０＿１．０＿１．０*_15・通訳),0)*(1+_15・C深夜)),0)*(1+_15・盲ろう)),0)</f>
        <v>815</v>
      </c>
      <c r="AF177" s="69"/>
    </row>
    <row r="178" spans="1:32" ht="16.5" customHeight="1" x14ac:dyDescent="0.3">
      <c r="A178" s="2">
        <v>15</v>
      </c>
      <c r="B178" s="2" t="s">
        <v>5206</v>
      </c>
      <c r="C178" s="60" t="s">
        <v>15534</v>
      </c>
      <c r="D178" s="1"/>
      <c r="E178" s="68"/>
      <c r="F178" s="70"/>
      <c r="G178" s="1"/>
      <c r="H178" s="68"/>
      <c r="I178" s="70"/>
      <c r="J178" s="1"/>
      <c r="K178" s="119">
        <v>126</v>
      </c>
      <c r="L178" s="70" t="s">
        <v>0</v>
      </c>
      <c r="M178" s="67"/>
      <c r="N178" s="68"/>
      <c r="O178" s="76"/>
      <c r="P178" s="83" t="s">
        <v>5895</v>
      </c>
      <c r="Q178" s="64" t="s">
        <v>1</v>
      </c>
      <c r="R178" s="65">
        <v>1</v>
      </c>
      <c r="S178" s="99"/>
      <c r="T178" s="70"/>
      <c r="U178" s="99"/>
      <c r="V178" s="70"/>
      <c r="W178" s="81" t="s">
        <v>18024</v>
      </c>
      <c r="X178" s="57" t="s">
        <v>1</v>
      </c>
      <c r="Y178" s="58">
        <v>0.25</v>
      </c>
      <c r="Z178" s="77" t="s">
        <v>422</v>
      </c>
      <c r="AA178" s="81"/>
      <c r="AB178" s="57"/>
      <c r="AC178" s="58"/>
      <c r="AD178" s="77"/>
      <c r="AE178" s="228">
        <f>ROUND((ROUND((ROUND((_15_同援日１．０*_15・通訳),0)*_15・２人),0)*(1+_15・盲ろう)),0)+ROUND((ROUND((ROUND((ROUND((_15_同援日１．０＿１．０*_15・通訳),0)*_15・２人),0)*(1+_15・B夜間)),0)*(1+_15・盲ろう)),0)+ROUND((ROUND((ROUND((ROUND((_15_同援日１．０＿１．０＿１．０*_15・通訳),0)*_15・２人),0)*(1+_15・C深夜)),0)*(1+_15・盲ろう)),0)</f>
        <v>815</v>
      </c>
      <c r="AF178" s="69"/>
    </row>
    <row r="179" spans="1:32" ht="16.5" customHeight="1" x14ac:dyDescent="0.3">
      <c r="A179" s="2">
        <v>15</v>
      </c>
      <c r="B179" s="2" t="s">
        <v>5207</v>
      </c>
      <c r="C179" s="60" t="s">
        <v>15533</v>
      </c>
      <c r="D179" s="1"/>
      <c r="E179" s="68"/>
      <c r="F179" s="70"/>
      <c r="G179" s="1"/>
      <c r="H179" s="68"/>
      <c r="I179" s="70"/>
      <c r="J179" s="1"/>
      <c r="K179" s="68"/>
      <c r="L179" s="70"/>
      <c r="M179" s="67"/>
      <c r="N179" s="68"/>
      <c r="O179" s="76"/>
      <c r="P179" s="83"/>
      <c r="Q179" s="64"/>
      <c r="R179" s="65"/>
      <c r="S179" s="99"/>
      <c r="T179" s="70"/>
      <c r="U179" s="99"/>
      <c r="V179" s="70"/>
      <c r="W179" s="74"/>
      <c r="X179" s="62"/>
      <c r="Y179" s="63"/>
      <c r="Z179" s="75"/>
      <c r="AA179" s="74" t="s">
        <v>18028</v>
      </c>
      <c r="AB179" s="62"/>
      <c r="AC179" s="63"/>
      <c r="AD179" s="75"/>
      <c r="AE179" s="228">
        <f>ROUND((ROUND((_15_同援日１．０*_15・通訳),0)*(1+_15・区３)),0)+ROUND((ROUND((ROUND((_15_同援日１．０＿１．０*_15・通訳),0)*(1+_15・B夜間)),0)*(1+_15・区３)),0)+ROUND((ROUND((ROUND((_15_同援日１．０＿１．０＿１．０*_15・通訳),0)*(1+_15・C深夜)),0)*(1+_15・区３)),0)</f>
        <v>782</v>
      </c>
      <c r="AF179" s="69"/>
    </row>
    <row r="180" spans="1:32" ht="16.5" customHeight="1" x14ac:dyDescent="0.3">
      <c r="A180" s="2">
        <v>15</v>
      </c>
      <c r="B180" s="2" t="s">
        <v>5208</v>
      </c>
      <c r="C180" s="60" t="s">
        <v>15532</v>
      </c>
      <c r="D180" s="1"/>
      <c r="E180" s="68"/>
      <c r="F180" s="70"/>
      <c r="G180" s="1"/>
      <c r="H180" s="68"/>
      <c r="I180" s="70"/>
      <c r="J180" s="1"/>
      <c r="K180" s="68"/>
      <c r="L180" s="70"/>
      <c r="M180" s="67"/>
      <c r="N180" s="68"/>
      <c r="O180" s="76"/>
      <c r="P180" s="83" t="s">
        <v>5895</v>
      </c>
      <c r="Q180" s="64" t="s">
        <v>1</v>
      </c>
      <c r="R180" s="65">
        <v>1</v>
      </c>
      <c r="S180" s="99"/>
      <c r="T180" s="70"/>
      <c r="U180" s="99"/>
      <c r="V180" s="70"/>
      <c r="W180" s="81"/>
      <c r="X180" s="57"/>
      <c r="Y180" s="58"/>
      <c r="Z180" s="77"/>
      <c r="AA180" s="1" t="s">
        <v>18026</v>
      </c>
      <c r="AB180" s="68"/>
      <c r="AC180" s="76"/>
      <c r="AD180" s="70"/>
      <c r="AE180" s="228">
        <f>ROUND((ROUND((ROUND((_15_同援日１．０*_15・通訳),0)*_15・２人),0)*(1+_15・区３)),0)+ROUND((ROUND((ROUND((ROUND((_15_同援日１．０＿１．０*_15・通訳),0)*_15・２人),0)*(1+_15・B夜間)),0)*(1+_15・区３)),0)+ROUND((ROUND((ROUND((ROUND((_15_同援日１．０＿１．０＿１．０*_15・通訳),0)*_15・２人),0)*(1+_15・C深夜)),0)*(1+_15・区３)),0)</f>
        <v>782</v>
      </c>
      <c r="AF180" s="69"/>
    </row>
    <row r="181" spans="1:32" ht="16.5" customHeight="1" x14ac:dyDescent="0.3">
      <c r="A181" s="2">
        <v>15</v>
      </c>
      <c r="B181" s="2" t="s">
        <v>5209</v>
      </c>
      <c r="C181" s="60" t="s">
        <v>15531</v>
      </c>
      <c r="D181" s="1"/>
      <c r="E181" s="68"/>
      <c r="F181" s="70"/>
      <c r="G181" s="1"/>
      <c r="H181" s="68"/>
      <c r="I181" s="70"/>
      <c r="J181" s="1"/>
      <c r="K181" s="68"/>
      <c r="L181" s="70"/>
      <c r="M181" s="67"/>
      <c r="N181" s="68"/>
      <c r="O181" s="76"/>
      <c r="P181" s="83"/>
      <c r="Q181" s="64"/>
      <c r="R181" s="65"/>
      <c r="S181" s="99"/>
      <c r="T181" s="70"/>
      <c r="U181" s="99"/>
      <c r="V181" s="70"/>
      <c r="W181" s="74" t="s">
        <v>18025</v>
      </c>
      <c r="X181" s="62"/>
      <c r="Y181" s="63"/>
      <c r="Z181" s="75"/>
      <c r="AA181" s="1"/>
      <c r="AB181" s="68" t="s">
        <v>1</v>
      </c>
      <c r="AC181" s="76">
        <v>0.2</v>
      </c>
      <c r="AD181" s="70" t="s">
        <v>422</v>
      </c>
      <c r="AE181" s="228">
        <f>ROUND((ROUND((ROUND((_15_同援日１．０*_15・通訳),0)*(1+_15・盲ろう)),0)*(1+_15・区３)),0)+ROUND((ROUND((ROUND((ROUND((_15_同援日１．０＿１．０*_15・通訳),0)*(1+_15・B夜間)),0)*(1+_15・盲ろう)),0)*(1+_15・区３)),0)+ROUND((ROUND((ROUND((ROUND((_15_同援日１．０＿１．０＿１．０*_15・通訳),0)*(1+_15・C深夜)),0)*(1+_15・盲ろう)),0)*(1+_15・区３)),0)</f>
        <v>979</v>
      </c>
      <c r="AF181" s="69"/>
    </row>
    <row r="182" spans="1:32" ht="16.5" customHeight="1" x14ac:dyDescent="0.3">
      <c r="A182" s="2">
        <v>15</v>
      </c>
      <c r="B182" s="2" t="s">
        <v>5210</v>
      </c>
      <c r="C182" s="60" t="s">
        <v>15530</v>
      </c>
      <c r="D182" s="1"/>
      <c r="E182" s="68"/>
      <c r="F182" s="70"/>
      <c r="G182" s="1"/>
      <c r="H182" s="68"/>
      <c r="I182" s="70"/>
      <c r="J182" s="1"/>
      <c r="K182" s="68"/>
      <c r="L182" s="70"/>
      <c r="M182" s="67"/>
      <c r="N182" s="68"/>
      <c r="O182" s="76"/>
      <c r="P182" s="83" t="s">
        <v>5895</v>
      </c>
      <c r="Q182" s="64" t="s">
        <v>1</v>
      </c>
      <c r="R182" s="65">
        <v>1</v>
      </c>
      <c r="S182" s="99"/>
      <c r="T182" s="70"/>
      <c r="U182" s="99"/>
      <c r="V182" s="70"/>
      <c r="W182" s="81" t="s">
        <v>18024</v>
      </c>
      <c r="X182" s="57" t="s">
        <v>1</v>
      </c>
      <c r="Y182" s="58">
        <v>0.25</v>
      </c>
      <c r="Z182" s="77" t="s">
        <v>422</v>
      </c>
      <c r="AA182" s="81"/>
      <c r="AB182" s="57"/>
      <c r="AC182" s="58"/>
      <c r="AD182" s="77"/>
      <c r="AE182" s="228">
        <f>ROUND((ROUND((ROUND((ROUND((_15_同援日１．０*_15・通訳),0)*_15・２人),0)*(1+_15・盲ろう)),0)*(1+_15・区３)),0)+ROUND((ROUND((ROUND((ROUND((ROUND((_15_同援日１．０＿１．０*_15・通訳),0)*_15・２人),0)*(1+_15・B夜間)),0)*(1+_15・盲ろう)),0)*(1+_15・区３)),0)+ROUND((ROUND((ROUND((ROUND((ROUND((_15_同援日１．０＿１．０＿１．０*_15・通訳),0)*_15・２人),0)*(1+_15・C深夜)),0)*(1+_15・盲ろう)),0)*(1+_15・区３)),0)</f>
        <v>979</v>
      </c>
      <c r="AF182" s="69"/>
    </row>
    <row r="183" spans="1:32" ht="16.5" customHeight="1" x14ac:dyDescent="0.3">
      <c r="A183" s="2">
        <v>15</v>
      </c>
      <c r="B183" s="2" t="s">
        <v>5211</v>
      </c>
      <c r="C183" s="60" t="s">
        <v>15529</v>
      </c>
      <c r="D183" s="1"/>
      <c r="E183" s="68"/>
      <c r="F183" s="70"/>
      <c r="G183" s="1"/>
      <c r="H183" s="68"/>
      <c r="I183" s="70"/>
      <c r="J183" s="1"/>
      <c r="K183" s="68"/>
      <c r="L183" s="70"/>
      <c r="M183" s="67"/>
      <c r="N183" s="68"/>
      <c r="O183" s="76"/>
      <c r="P183" s="83"/>
      <c r="Q183" s="64"/>
      <c r="R183" s="65"/>
      <c r="S183" s="99"/>
      <c r="T183" s="70"/>
      <c r="U183" s="99"/>
      <c r="V183" s="70"/>
      <c r="W183" s="74"/>
      <c r="X183" s="62"/>
      <c r="Y183" s="63"/>
      <c r="Z183" s="75"/>
      <c r="AA183" s="74" t="s">
        <v>18027</v>
      </c>
      <c r="AB183" s="62"/>
      <c r="AC183" s="63"/>
      <c r="AD183" s="75"/>
      <c r="AE183" s="228">
        <f>ROUND((ROUND((_15_同援日１．０*_15・通訳),0)*(1+_15・区４)),0)+ROUND((ROUND((ROUND((_15_同援日１．０＿１．０*_15・通訳),0)*(1+_15・B夜間)),0)*(1+_15・区４)),0)+ROUND((ROUND((ROUND((_15_同援日１．０＿１．０＿１．０*_15・通訳),0)*(1+_15・C深夜)),0)*(1+_15・区４)),0)</f>
        <v>911</v>
      </c>
      <c r="AF183" s="69"/>
    </row>
    <row r="184" spans="1:32" ht="16.5" customHeight="1" x14ac:dyDescent="0.3">
      <c r="A184" s="2">
        <v>15</v>
      </c>
      <c r="B184" s="2" t="s">
        <v>5212</v>
      </c>
      <c r="C184" s="60" t="s">
        <v>15528</v>
      </c>
      <c r="D184" s="1"/>
      <c r="E184" s="68"/>
      <c r="F184" s="70"/>
      <c r="G184" s="1"/>
      <c r="H184" s="68"/>
      <c r="I184" s="70"/>
      <c r="J184" s="1"/>
      <c r="K184" s="68"/>
      <c r="L184" s="70"/>
      <c r="M184" s="67"/>
      <c r="N184" s="68"/>
      <c r="O184" s="76"/>
      <c r="P184" s="83" t="s">
        <v>5895</v>
      </c>
      <c r="Q184" s="64" t="s">
        <v>1</v>
      </c>
      <c r="R184" s="65">
        <v>1</v>
      </c>
      <c r="S184" s="99"/>
      <c r="T184" s="70"/>
      <c r="U184" s="99"/>
      <c r="V184" s="70"/>
      <c r="W184" s="81"/>
      <c r="X184" s="57"/>
      <c r="Y184" s="58"/>
      <c r="Z184" s="77"/>
      <c r="AA184" s="1" t="s">
        <v>18026</v>
      </c>
      <c r="AB184" s="68"/>
      <c r="AC184" s="76"/>
      <c r="AD184" s="70"/>
      <c r="AE184" s="228">
        <f>ROUND((ROUND((ROUND((_15_同援日１．０*_15・通訳),0)*_15・２人),0)*(1+_15・区４)),0)+ROUND((ROUND((ROUND((ROUND((_15_同援日１．０＿１．０*_15・通訳),0)*_15・２人),0)*(1+_15・B夜間)),0)*(1+_15・区４)),0)+ROUND((ROUND((ROUND((ROUND((_15_同援日１．０＿１．０＿１．０*_15・通訳),0)*_15・２人),0)*(1+_15・C深夜)),0)*(1+_15・区４)),0)</f>
        <v>911</v>
      </c>
      <c r="AF184" s="69"/>
    </row>
    <row r="185" spans="1:32" ht="16.5" customHeight="1" x14ac:dyDescent="0.3">
      <c r="A185" s="2">
        <v>15</v>
      </c>
      <c r="B185" s="2" t="s">
        <v>5213</v>
      </c>
      <c r="C185" s="60" t="s">
        <v>15527</v>
      </c>
      <c r="D185" s="1"/>
      <c r="E185" s="68"/>
      <c r="F185" s="70"/>
      <c r="G185" s="1"/>
      <c r="H185" s="68"/>
      <c r="I185" s="70"/>
      <c r="J185" s="1"/>
      <c r="K185" s="68"/>
      <c r="L185" s="70"/>
      <c r="M185" s="67"/>
      <c r="N185" s="68"/>
      <c r="O185" s="76"/>
      <c r="P185" s="83"/>
      <c r="Q185" s="64"/>
      <c r="R185" s="65"/>
      <c r="S185" s="99"/>
      <c r="T185" s="70"/>
      <c r="U185" s="99"/>
      <c r="V185" s="70"/>
      <c r="W185" s="74" t="s">
        <v>8085</v>
      </c>
      <c r="X185" s="62"/>
      <c r="Y185" s="63"/>
      <c r="Z185" s="75"/>
      <c r="AA185" s="1"/>
      <c r="AB185" s="68" t="s">
        <v>1</v>
      </c>
      <c r="AC185" s="76">
        <v>0.4</v>
      </c>
      <c r="AD185" s="70" t="s">
        <v>422</v>
      </c>
      <c r="AE185" s="228">
        <f>ROUND((ROUND((ROUND((_15_同援日１．０*_15・通訳),0)*(1+_15・盲ろう)),0)*(1+_15・区４)),0)+ROUND((ROUND((ROUND((ROUND((_15_同援日１．０＿１．０*_15・通訳),0)*(1+_15・B夜間)),0)*(1+_15・盲ろう)),0)*(1+_15・区４)),0)+ROUND((ROUND((ROUND((ROUND((_15_同援日１．０＿１．０＿１．０*_15・通訳),0)*(1+_15・C深夜)),0)*(1+_15・盲ろう)),0)*(1+_15・区４)),0)</f>
        <v>1141</v>
      </c>
      <c r="AF185" s="69"/>
    </row>
    <row r="186" spans="1:32" ht="16.5" customHeight="1" x14ac:dyDescent="0.3">
      <c r="A186" s="2">
        <v>15</v>
      </c>
      <c r="B186" s="2" t="s">
        <v>5214</v>
      </c>
      <c r="C186" s="60" t="s">
        <v>15526</v>
      </c>
      <c r="D186" s="1"/>
      <c r="E186" s="68"/>
      <c r="F186" s="70"/>
      <c r="G186" s="81"/>
      <c r="H186" s="57"/>
      <c r="I186" s="77"/>
      <c r="J186" s="81"/>
      <c r="K186" s="57"/>
      <c r="L186" s="77"/>
      <c r="M186" s="67"/>
      <c r="N186" s="68"/>
      <c r="O186" s="76"/>
      <c r="P186" s="83" t="s">
        <v>5895</v>
      </c>
      <c r="Q186" s="64" t="s">
        <v>1</v>
      </c>
      <c r="R186" s="65">
        <v>1</v>
      </c>
      <c r="S186" s="99"/>
      <c r="T186" s="70"/>
      <c r="U186" s="99"/>
      <c r="V186" s="70"/>
      <c r="W186" s="81" t="s">
        <v>18024</v>
      </c>
      <c r="X186" s="57" t="s">
        <v>1</v>
      </c>
      <c r="Y186" s="58">
        <v>0.25</v>
      </c>
      <c r="Z186" s="77" t="s">
        <v>422</v>
      </c>
      <c r="AA186" s="81"/>
      <c r="AB186" s="57"/>
      <c r="AC186" s="58"/>
      <c r="AD186" s="77"/>
      <c r="AE186" s="228">
        <f>ROUND((ROUND((ROUND((ROUND((_15_同援日１．０*_15・通訳),0)*_15・２人),0)*(1+_15・盲ろう)),0)*(1+_15・区４)),0)+ROUND((ROUND((ROUND((ROUND((ROUND((_15_同援日１．０＿１．０*_15・通訳),0)*_15・２人),0)*(1+_15・B夜間)),0)*(1+_15・盲ろう)),0)*(1+_15・区４)),0)+ROUND((ROUND((ROUND((ROUND((ROUND((_15_同援日１．０＿１．０＿１．０*_15・通訳),0)*_15・２人),0)*(1+_15・C深夜)),0)*(1+_15・盲ろう)),0)*(1+_15・区４)),0)</f>
        <v>1141</v>
      </c>
      <c r="AF186" s="69"/>
    </row>
    <row r="187" spans="1:32" ht="16.5" customHeight="1" x14ac:dyDescent="0.3">
      <c r="A187" s="2">
        <v>15</v>
      </c>
      <c r="B187" s="2" t="s">
        <v>5215</v>
      </c>
      <c r="C187" s="60" t="s">
        <v>15525</v>
      </c>
      <c r="D187" s="1"/>
      <c r="E187" s="68"/>
      <c r="F187" s="70"/>
      <c r="G187" s="233" t="s">
        <v>18391</v>
      </c>
      <c r="H187" s="235"/>
      <c r="I187" s="75"/>
      <c r="J187" s="74" t="s">
        <v>17494</v>
      </c>
      <c r="K187" s="62"/>
      <c r="L187" s="75"/>
      <c r="M187" s="67"/>
      <c r="N187" s="68"/>
      <c r="O187" s="76"/>
      <c r="P187" s="83"/>
      <c r="Q187" s="64"/>
      <c r="R187" s="65"/>
      <c r="S187" s="99"/>
      <c r="T187" s="70"/>
      <c r="U187" s="99"/>
      <c r="V187" s="70"/>
      <c r="W187" s="74"/>
      <c r="X187" s="62"/>
      <c r="Y187" s="63"/>
      <c r="Z187" s="75"/>
      <c r="AA187" s="74"/>
      <c r="AB187" s="62"/>
      <c r="AC187" s="63"/>
      <c r="AD187" s="75"/>
      <c r="AE187" s="120">
        <f>ROUND((_15_同援日１．０*_15・通訳),0)+ROUND((ROUND((_15_同援日１．０＿１．５*_15・通訳),0)*(1+_15・B夜間)),0)+ROUND((ROUND((_15_同援日１．０＿１．５＿０．５*_15・通訳),0)*(1+_15・C深夜)),0)</f>
        <v>637</v>
      </c>
      <c r="AF187" s="69"/>
    </row>
    <row r="188" spans="1:32" ht="16.5" customHeight="1" x14ac:dyDescent="0.3">
      <c r="A188" s="2">
        <v>15</v>
      </c>
      <c r="B188" s="2" t="s">
        <v>5216</v>
      </c>
      <c r="C188" s="60" t="s">
        <v>15524</v>
      </c>
      <c r="D188" s="1"/>
      <c r="E188" s="68"/>
      <c r="F188" s="70"/>
      <c r="G188" s="1" t="s">
        <v>16984</v>
      </c>
      <c r="H188" s="68"/>
      <c r="I188" s="70"/>
      <c r="J188" s="1" t="s">
        <v>7928</v>
      </c>
      <c r="K188" s="68"/>
      <c r="L188" s="70"/>
      <c r="M188" s="67"/>
      <c r="N188" s="68"/>
      <c r="O188" s="76"/>
      <c r="P188" s="83" t="s">
        <v>5895</v>
      </c>
      <c r="Q188" s="64" t="s">
        <v>1</v>
      </c>
      <c r="R188" s="65">
        <v>1</v>
      </c>
      <c r="S188" s="99"/>
      <c r="T188" s="70"/>
      <c r="U188" s="99"/>
      <c r="V188" s="70"/>
      <c r="W188" s="81"/>
      <c r="X188" s="57"/>
      <c r="Y188" s="58"/>
      <c r="Z188" s="77"/>
      <c r="AA188" s="1"/>
      <c r="AB188" s="68"/>
      <c r="AC188" s="76"/>
      <c r="AD188" s="70"/>
      <c r="AE188" s="120">
        <f>ROUND((ROUND((_15_同援日１．０*_15・通訳),0)*_15・２人),0)+ROUND((ROUND((ROUND((_15_同援日１．０＿１．５*_15・通訳),0)*_15・２人),0)*(1+_15・B夜間)),0)+ROUND((ROUND((ROUND((_15_同援日１．０＿１．５＿０．５*_15・通訳),0)*_15・２人),0)*(1+_15・C深夜)),0)</f>
        <v>637</v>
      </c>
      <c r="AF188" s="69"/>
    </row>
    <row r="189" spans="1:32" ht="16.5" customHeight="1" x14ac:dyDescent="0.3">
      <c r="A189" s="2">
        <v>15</v>
      </c>
      <c r="B189" s="2" t="s">
        <v>5217</v>
      </c>
      <c r="C189" s="60" t="s">
        <v>15523</v>
      </c>
      <c r="D189" s="1"/>
      <c r="E189" s="68"/>
      <c r="F189" s="70"/>
      <c r="G189" s="1" t="s">
        <v>8767</v>
      </c>
      <c r="H189" s="68"/>
      <c r="I189" s="70"/>
      <c r="J189" s="1"/>
      <c r="K189" s="68"/>
      <c r="L189" s="70"/>
      <c r="M189" s="67"/>
      <c r="N189" s="68"/>
      <c r="O189" s="76"/>
      <c r="P189" s="83"/>
      <c r="Q189" s="64"/>
      <c r="R189" s="65"/>
      <c r="S189" s="99"/>
      <c r="T189" s="70"/>
      <c r="U189" s="99"/>
      <c r="V189" s="70"/>
      <c r="W189" s="74" t="s">
        <v>18025</v>
      </c>
      <c r="X189" s="62"/>
      <c r="Y189" s="63"/>
      <c r="Z189" s="75"/>
      <c r="AA189" s="1"/>
      <c r="AB189" s="68"/>
      <c r="AC189" s="76"/>
      <c r="AD189" s="70"/>
      <c r="AE189" s="120">
        <f>ROUND((ROUND((_15_同援日１．０*_15・通訳),0)*(1+_15・盲ろう)),0)+ROUND((ROUND((ROUND((_15_同援日１．０＿１．５*_15・通訳),0)*(1+_15・B夜間)),0)*(1+_15・盲ろう)),0)+ROUND((ROUND((ROUND((_15_同援日１．０＿１．５＿０．５*_15・通訳),0)*(1+_15・C深夜)),0)*(1+_15・盲ろう)),0)</f>
        <v>797</v>
      </c>
      <c r="AF189" s="69"/>
    </row>
    <row r="190" spans="1:32" ht="16.5" customHeight="1" x14ac:dyDescent="0.3">
      <c r="A190" s="2">
        <v>15</v>
      </c>
      <c r="B190" s="2" t="s">
        <v>5218</v>
      </c>
      <c r="C190" s="60" t="s">
        <v>15522</v>
      </c>
      <c r="D190" s="1"/>
      <c r="E190" s="68"/>
      <c r="F190" s="70"/>
      <c r="G190" s="1"/>
      <c r="H190" s="119">
        <v>256</v>
      </c>
      <c r="I190" s="70" t="s">
        <v>0</v>
      </c>
      <c r="J190" s="1"/>
      <c r="K190" s="227">
        <v>63</v>
      </c>
      <c r="L190" s="70" t="s">
        <v>0</v>
      </c>
      <c r="M190" s="67"/>
      <c r="N190" s="68"/>
      <c r="O190" s="76"/>
      <c r="P190" s="83" t="s">
        <v>5895</v>
      </c>
      <c r="Q190" s="64" t="s">
        <v>1</v>
      </c>
      <c r="R190" s="65">
        <v>1</v>
      </c>
      <c r="S190" s="99"/>
      <c r="T190" s="70"/>
      <c r="U190" s="99"/>
      <c r="V190" s="70"/>
      <c r="W190" s="81" t="s">
        <v>18024</v>
      </c>
      <c r="X190" s="57" t="s">
        <v>1</v>
      </c>
      <c r="Y190" s="58">
        <v>0.25</v>
      </c>
      <c r="Z190" s="77" t="s">
        <v>422</v>
      </c>
      <c r="AA190" s="81"/>
      <c r="AB190" s="57"/>
      <c r="AC190" s="58"/>
      <c r="AD190" s="77"/>
      <c r="AE190" s="120">
        <f>ROUND((ROUND((ROUND((_15_同援日１．０*_15・通訳),0)*_15・２人),0)*(1+_15・盲ろう)),0)+ROUND((ROUND((ROUND((ROUND((_15_同援日１．０＿１．５*_15・通訳),0)*_15・２人),0)*(1+_15・B夜間)),0)*(1+_15・盲ろう)),0)+ROUND((ROUND((ROUND((ROUND((_15_同援日１．０＿１．５＿０．５*_15・通訳),0)*_15・２人),0)*(1+_15・C深夜)),0)*(1+_15・盲ろう)),0)</f>
        <v>797</v>
      </c>
      <c r="AF190" s="69"/>
    </row>
    <row r="191" spans="1:32" ht="16.5" customHeight="1" x14ac:dyDescent="0.3">
      <c r="A191" s="2">
        <v>15</v>
      </c>
      <c r="B191" s="2" t="s">
        <v>5219</v>
      </c>
      <c r="C191" s="60" t="s">
        <v>15521</v>
      </c>
      <c r="D191" s="1"/>
      <c r="E191" s="68"/>
      <c r="F191" s="70"/>
      <c r="G191" s="1"/>
      <c r="H191" s="68"/>
      <c r="I191" s="70"/>
      <c r="J191" s="1"/>
      <c r="K191" s="68"/>
      <c r="L191" s="70"/>
      <c r="M191" s="67"/>
      <c r="N191" s="68"/>
      <c r="O191" s="76"/>
      <c r="P191" s="83"/>
      <c r="Q191" s="64"/>
      <c r="R191" s="65"/>
      <c r="S191" s="99"/>
      <c r="T191" s="70"/>
      <c r="U191" s="99"/>
      <c r="V191" s="70"/>
      <c r="W191" s="74"/>
      <c r="X191" s="62"/>
      <c r="Y191" s="63"/>
      <c r="Z191" s="75"/>
      <c r="AA191" s="74" t="s">
        <v>8098</v>
      </c>
      <c r="AB191" s="62"/>
      <c r="AC191" s="63"/>
      <c r="AD191" s="75"/>
      <c r="AE191" s="228">
        <f>ROUND((ROUND((_15_同援日１．０*_15・通訳),0)*(1+_15・区３)),0)+ROUND((ROUND((ROUND((_15_同援日１．０＿１．５*_15・通訳),0)*(1+_15・B夜間)),0)*(1+_15・区３)),0)+ROUND((ROUND((ROUND((_15_同援日１．０＿１．５＿０．５*_15・通訳),0)*(1+_15・C深夜)),0)*(1+_15・区３)),0)</f>
        <v>765</v>
      </c>
      <c r="AF191" s="69"/>
    </row>
    <row r="192" spans="1:32" ht="16.5" customHeight="1" x14ac:dyDescent="0.3">
      <c r="A192" s="2">
        <v>15</v>
      </c>
      <c r="B192" s="2" t="s">
        <v>5220</v>
      </c>
      <c r="C192" s="60" t="s">
        <v>15520</v>
      </c>
      <c r="D192" s="1"/>
      <c r="E192" s="68"/>
      <c r="F192" s="70"/>
      <c r="G192" s="1"/>
      <c r="H192" s="68"/>
      <c r="I192" s="70"/>
      <c r="J192" s="1"/>
      <c r="K192" s="68"/>
      <c r="L192" s="70"/>
      <c r="M192" s="67"/>
      <c r="N192" s="68"/>
      <c r="O192" s="76"/>
      <c r="P192" s="83" t="s">
        <v>5895</v>
      </c>
      <c r="Q192" s="64" t="s">
        <v>1</v>
      </c>
      <c r="R192" s="65">
        <v>1</v>
      </c>
      <c r="S192" s="99"/>
      <c r="T192" s="70"/>
      <c r="U192" s="99"/>
      <c r="V192" s="70"/>
      <c r="W192" s="81"/>
      <c r="X192" s="57"/>
      <c r="Y192" s="58"/>
      <c r="Z192" s="77"/>
      <c r="AA192" s="1" t="s">
        <v>18026</v>
      </c>
      <c r="AB192" s="68"/>
      <c r="AC192" s="76"/>
      <c r="AD192" s="70"/>
      <c r="AE192" s="228">
        <f>ROUND((ROUND((ROUND((_15_同援日１．０*_15・通訳),0)*_15・２人),0)*(1+_15・区３)),0)+ROUND((ROUND((ROUND((ROUND((_15_同援日１．０＿１．５*_15・通訳),0)*_15・２人),0)*(1+_15・B夜間)),0)*(1+_15・区３)),0)+ROUND((ROUND((ROUND((ROUND((_15_同援日１．０＿１．５＿０．５*_15・通訳),0)*_15・２人),0)*(1+_15・C深夜)),0)*(1+_15・区３)),0)</f>
        <v>765</v>
      </c>
      <c r="AF192" s="69"/>
    </row>
    <row r="193" spans="1:32" ht="16.5" customHeight="1" x14ac:dyDescent="0.3">
      <c r="A193" s="2">
        <v>15</v>
      </c>
      <c r="B193" s="2" t="s">
        <v>5221</v>
      </c>
      <c r="C193" s="60" t="s">
        <v>15519</v>
      </c>
      <c r="D193" s="1"/>
      <c r="E193" s="68"/>
      <c r="F193" s="70"/>
      <c r="G193" s="1"/>
      <c r="H193" s="68"/>
      <c r="I193" s="70"/>
      <c r="J193" s="1"/>
      <c r="K193" s="68"/>
      <c r="L193" s="70"/>
      <c r="M193" s="67"/>
      <c r="N193" s="68"/>
      <c r="O193" s="76"/>
      <c r="P193" s="83"/>
      <c r="Q193" s="64"/>
      <c r="R193" s="65"/>
      <c r="S193" s="99"/>
      <c r="T193" s="70"/>
      <c r="U193" s="99"/>
      <c r="V193" s="70"/>
      <c r="W193" s="74" t="s">
        <v>18025</v>
      </c>
      <c r="X193" s="62"/>
      <c r="Y193" s="63"/>
      <c r="Z193" s="75"/>
      <c r="AA193" s="1"/>
      <c r="AB193" s="68" t="s">
        <v>1</v>
      </c>
      <c r="AC193" s="76">
        <v>0.2</v>
      </c>
      <c r="AD193" s="70" t="s">
        <v>422</v>
      </c>
      <c r="AE193" s="120">
        <f>ROUND((ROUND((ROUND((_15_同援日１．０*_15・通訳),0)*(1+_15・盲ろう)),0)*(1+_15・区３)),0)+ROUND((ROUND((ROUND((ROUND((_15_同援日１．０＿１．５*_15・通訳),0)*(1+_15・B夜間)),0)*(1+_15・盲ろう)),0)*(1+_15・区３)),0)+ROUND((ROUND((ROUND((ROUND((_15_同援日１．０＿１．５＿０．５*_15・通訳),0)*(1+_15・C深夜)),0)*(1+_15・盲ろう)),0)*(1+_15・区３)),0)</f>
        <v>957</v>
      </c>
      <c r="AF193" s="69"/>
    </row>
    <row r="194" spans="1:32" ht="16.5" customHeight="1" x14ac:dyDescent="0.3">
      <c r="A194" s="2">
        <v>15</v>
      </c>
      <c r="B194" s="2" t="s">
        <v>5222</v>
      </c>
      <c r="C194" s="60" t="s">
        <v>15518</v>
      </c>
      <c r="D194" s="1"/>
      <c r="E194" s="68"/>
      <c r="F194" s="70"/>
      <c r="G194" s="1"/>
      <c r="H194" s="68"/>
      <c r="I194" s="70"/>
      <c r="J194" s="1"/>
      <c r="K194" s="68"/>
      <c r="L194" s="70"/>
      <c r="M194" s="67"/>
      <c r="N194" s="68"/>
      <c r="O194" s="76"/>
      <c r="P194" s="83" t="s">
        <v>5895</v>
      </c>
      <c r="Q194" s="64" t="s">
        <v>1</v>
      </c>
      <c r="R194" s="65">
        <v>1</v>
      </c>
      <c r="S194" s="99"/>
      <c r="T194" s="70"/>
      <c r="U194" s="99"/>
      <c r="V194" s="70"/>
      <c r="W194" s="81" t="s">
        <v>18024</v>
      </c>
      <c r="X194" s="57" t="s">
        <v>1</v>
      </c>
      <c r="Y194" s="58">
        <v>0.25</v>
      </c>
      <c r="Z194" s="77" t="s">
        <v>422</v>
      </c>
      <c r="AA194" s="81"/>
      <c r="AB194" s="57"/>
      <c r="AC194" s="58"/>
      <c r="AD194" s="77"/>
      <c r="AE194" s="120">
        <f>ROUND((ROUND((ROUND((ROUND((_15_同援日１．０*_15・通訳),0)*_15・２人),0)*(1+_15・盲ろう)),0)*(1+_15・区３)),0)+ROUND((ROUND((ROUND((ROUND((ROUND((_15_同援日１．０＿１．５*_15・通訳),0)*_15・２人),0)*(1+_15・B夜間)),0)*(1+_15・盲ろう)),0)*(1+_15・区３)),0)+ROUND((ROUND((ROUND((ROUND((ROUND((_15_同援日１．０＿１．５＿０．５*_15・通訳),0)*_15・２人),0)*(1+_15・C深夜)),0)*(1+_15・盲ろう)),0)*(1+_15・区３)),0)</f>
        <v>957</v>
      </c>
      <c r="AF194" s="69"/>
    </row>
    <row r="195" spans="1:32" ht="16.5" customHeight="1" x14ac:dyDescent="0.3">
      <c r="A195" s="2">
        <v>15</v>
      </c>
      <c r="B195" s="2" t="s">
        <v>5223</v>
      </c>
      <c r="C195" s="60" t="s">
        <v>15517</v>
      </c>
      <c r="D195" s="1"/>
      <c r="E195" s="68"/>
      <c r="F195" s="70"/>
      <c r="G195" s="1"/>
      <c r="H195" s="68"/>
      <c r="I195" s="70"/>
      <c r="J195" s="1"/>
      <c r="K195" s="68"/>
      <c r="L195" s="70"/>
      <c r="M195" s="67"/>
      <c r="N195" s="68"/>
      <c r="O195" s="76"/>
      <c r="P195" s="83"/>
      <c r="Q195" s="64"/>
      <c r="R195" s="65"/>
      <c r="S195" s="99"/>
      <c r="T195" s="70"/>
      <c r="U195" s="99"/>
      <c r="V195" s="70"/>
      <c r="W195" s="74"/>
      <c r="X195" s="62"/>
      <c r="Y195" s="63"/>
      <c r="Z195" s="75"/>
      <c r="AA195" s="74" t="s">
        <v>18027</v>
      </c>
      <c r="AB195" s="62"/>
      <c r="AC195" s="63"/>
      <c r="AD195" s="75"/>
      <c r="AE195" s="228">
        <f>ROUND((ROUND((_15_同援日１．０*_15・通訳),0)*(1+_15・区４)),0)+ROUND((ROUND((ROUND((_15_同援日１．０＿１．５*_15・通訳),0)*(1+_15・B夜間)),0)*(1+_15・区４)),0)+ROUND((ROUND((ROUND((_15_同援日１．０＿１．５＿０．５*_15・通訳),0)*(1+_15・C深夜)),0)*(1+_15・区４)),0)</f>
        <v>891</v>
      </c>
      <c r="AF195" s="69"/>
    </row>
    <row r="196" spans="1:32" ht="16.5" customHeight="1" x14ac:dyDescent="0.3">
      <c r="A196" s="2">
        <v>15</v>
      </c>
      <c r="B196" s="2" t="s">
        <v>5224</v>
      </c>
      <c r="C196" s="60" t="s">
        <v>15516</v>
      </c>
      <c r="D196" s="1"/>
      <c r="E196" s="68"/>
      <c r="F196" s="70"/>
      <c r="G196" s="1"/>
      <c r="H196" s="68"/>
      <c r="I196" s="70"/>
      <c r="J196" s="1"/>
      <c r="K196" s="68"/>
      <c r="L196" s="70"/>
      <c r="M196" s="67"/>
      <c r="N196" s="68"/>
      <c r="O196" s="76"/>
      <c r="P196" s="83" t="s">
        <v>5895</v>
      </c>
      <c r="Q196" s="64" t="s">
        <v>1</v>
      </c>
      <c r="R196" s="65">
        <v>1</v>
      </c>
      <c r="S196" s="99"/>
      <c r="T196" s="70"/>
      <c r="U196" s="99"/>
      <c r="V196" s="70"/>
      <c r="W196" s="81"/>
      <c r="X196" s="57"/>
      <c r="Y196" s="58"/>
      <c r="Z196" s="77"/>
      <c r="AA196" s="1" t="s">
        <v>18026</v>
      </c>
      <c r="AB196" s="68"/>
      <c r="AC196" s="76"/>
      <c r="AD196" s="70"/>
      <c r="AE196" s="228">
        <f>ROUND((ROUND((ROUND((_15_同援日１．０*_15・通訳),0)*_15・２人),0)*(1+_15・区４)),0)+ROUND((ROUND((ROUND((ROUND((_15_同援日１．０＿１．５*_15・通訳),0)*_15・２人),0)*(1+_15・B夜間)),0)*(1+_15・区４)),0)+ROUND((ROUND((ROUND((ROUND((_15_同援日１．０＿１．５＿０．５*_15・通訳),0)*_15・２人),0)*(1+_15・C深夜)),0)*(1+_15・区４)),0)</f>
        <v>891</v>
      </c>
      <c r="AF196" s="69"/>
    </row>
    <row r="197" spans="1:32" ht="16.5" customHeight="1" x14ac:dyDescent="0.3">
      <c r="A197" s="2">
        <v>15</v>
      </c>
      <c r="B197" s="2" t="s">
        <v>5225</v>
      </c>
      <c r="C197" s="60" t="s">
        <v>15515</v>
      </c>
      <c r="D197" s="1"/>
      <c r="E197" s="68"/>
      <c r="F197" s="70"/>
      <c r="G197" s="1"/>
      <c r="H197" s="68"/>
      <c r="I197" s="70"/>
      <c r="J197" s="1"/>
      <c r="K197" s="68"/>
      <c r="L197" s="70"/>
      <c r="M197" s="67"/>
      <c r="N197" s="68"/>
      <c r="O197" s="76"/>
      <c r="P197" s="83"/>
      <c r="Q197" s="64"/>
      <c r="R197" s="65"/>
      <c r="S197" s="99"/>
      <c r="T197" s="70"/>
      <c r="U197" s="99"/>
      <c r="V197" s="70"/>
      <c r="W197" s="74" t="s">
        <v>18025</v>
      </c>
      <c r="X197" s="62"/>
      <c r="Y197" s="63"/>
      <c r="Z197" s="75"/>
      <c r="AA197" s="1"/>
      <c r="AB197" s="68" t="s">
        <v>1</v>
      </c>
      <c r="AC197" s="76">
        <v>0.4</v>
      </c>
      <c r="AD197" s="70" t="s">
        <v>422</v>
      </c>
      <c r="AE197" s="120">
        <f>ROUND((ROUND((ROUND((_15_同援日１．０*_15・通訳),0)*(1+_15・盲ろう)),0)*(1+_15・区４)),0)+ROUND((ROUND((ROUND((ROUND((_15_同援日１．０＿１．５*_15・通訳),0)*(1+_15・B夜間)),0)*(1+_15・盲ろう)),0)*(1+_15・区４)),0)+ROUND((ROUND((ROUND((ROUND((_15_同援日１．０＿１．５＿０．５*_15・通訳),0)*(1+_15・C深夜)),0)*(1+_15・盲ろう)),0)*(1+_15・区４)),0)</f>
        <v>1116</v>
      </c>
      <c r="AF197" s="69"/>
    </row>
    <row r="198" spans="1:32" ht="16.5" customHeight="1" x14ac:dyDescent="0.3">
      <c r="A198" s="2">
        <v>15</v>
      </c>
      <c r="B198" s="2" t="s">
        <v>5226</v>
      </c>
      <c r="C198" s="60" t="s">
        <v>15514</v>
      </c>
      <c r="D198" s="81"/>
      <c r="E198" s="57"/>
      <c r="F198" s="77"/>
      <c r="G198" s="81"/>
      <c r="H198" s="57"/>
      <c r="I198" s="77"/>
      <c r="J198" s="81"/>
      <c r="K198" s="57"/>
      <c r="L198" s="77"/>
      <c r="M198" s="67"/>
      <c r="N198" s="68"/>
      <c r="O198" s="76"/>
      <c r="P198" s="83" t="s">
        <v>5895</v>
      </c>
      <c r="Q198" s="64" t="s">
        <v>1</v>
      </c>
      <c r="R198" s="65">
        <v>1</v>
      </c>
      <c r="S198" s="99"/>
      <c r="T198" s="70"/>
      <c r="U198" s="99"/>
      <c r="V198" s="70"/>
      <c r="W198" s="81" t="s">
        <v>8083</v>
      </c>
      <c r="X198" s="57" t="s">
        <v>1</v>
      </c>
      <c r="Y198" s="58">
        <v>0.25</v>
      </c>
      <c r="Z198" s="77" t="s">
        <v>422</v>
      </c>
      <c r="AA198" s="81"/>
      <c r="AB198" s="57"/>
      <c r="AC198" s="58"/>
      <c r="AD198" s="77"/>
      <c r="AE198" s="120">
        <f>ROUND((ROUND((ROUND((ROUND((_15_同援日１．０*_15・通訳),0)*_15・２人),0)*(1+_15・盲ろう)),0)*(1+_15・区４)),0)+ROUND((ROUND((ROUND((ROUND((ROUND((_15_同援日１．０＿１．５*_15・通訳),0)*_15・２人),0)*(1+_15・B夜間)),0)*(1+_15・盲ろう)),0)*(1+_15・区４)),0)+ROUND((ROUND((ROUND((ROUND((ROUND((_15_同援日１．０＿１．５＿０．５*_15・通訳),0)*_15・２人),0)*(1+_15・C深夜)),0)*(1+_15・盲ろう)),0)*(1+_15・区４)),0)</f>
        <v>1116</v>
      </c>
      <c r="AF198" s="69"/>
    </row>
    <row r="199" spans="1:32" ht="16.5" customHeight="1" x14ac:dyDescent="0.3">
      <c r="A199" s="2">
        <v>15</v>
      </c>
      <c r="B199" s="2" t="s">
        <v>5227</v>
      </c>
      <c r="C199" s="60" t="s">
        <v>15513</v>
      </c>
      <c r="D199" s="233" t="s">
        <v>18390</v>
      </c>
      <c r="E199" s="235"/>
      <c r="F199" s="75"/>
      <c r="G199" s="233" t="s">
        <v>18387</v>
      </c>
      <c r="H199" s="235"/>
      <c r="I199" s="75"/>
      <c r="J199" s="74" t="s">
        <v>17494</v>
      </c>
      <c r="K199" s="62"/>
      <c r="L199" s="75"/>
      <c r="M199" s="67"/>
      <c r="N199" s="68"/>
      <c r="O199" s="76"/>
      <c r="P199" s="83"/>
      <c r="Q199" s="64"/>
      <c r="R199" s="65"/>
      <c r="S199" s="99"/>
      <c r="T199" s="70"/>
      <c r="U199" s="99"/>
      <c r="V199" s="70"/>
      <c r="W199" s="74"/>
      <c r="X199" s="62"/>
      <c r="Y199" s="63"/>
      <c r="Z199" s="75"/>
      <c r="AA199" s="74"/>
      <c r="AB199" s="62"/>
      <c r="AC199" s="63"/>
      <c r="AD199" s="75"/>
      <c r="AE199" s="228">
        <f>ROUND((_15_同援日１．５*_15・通訳),0)+ROUND((ROUND((_15_同援日１．５＿０．５*_15・通訳),0)*(1+_15・B夜間)),0)+ROUND((ROUND((_15_同援日１．５＿０．５＿０．５*_15・通訳),0)*(1+_15・C深夜)),0)</f>
        <v>538</v>
      </c>
      <c r="AF199" s="69"/>
    </row>
    <row r="200" spans="1:32" ht="16.5" customHeight="1" x14ac:dyDescent="0.3">
      <c r="A200" s="2">
        <v>15</v>
      </c>
      <c r="B200" s="2" t="s">
        <v>5228</v>
      </c>
      <c r="C200" s="60" t="s">
        <v>15512</v>
      </c>
      <c r="D200" s="1" t="s">
        <v>16984</v>
      </c>
      <c r="E200" s="68"/>
      <c r="F200" s="70"/>
      <c r="G200" s="1" t="s">
        <v>7928</v>
      </c>
      <c r="H200" s="68"/>
      <c r="I200" s="70"/>
      <c r="J200" s="1" t="s">
        <v>7928</v>
      </c>
      <c r="K200" s="68"/>
      <c r="L200" s="70"/>
      <c r="M200" s="67"/>
      <c r="N200" s="68"/>
      <c r="O200" s="76"/>
      <c r="P200" s="83" t="s">
        <v>5895</v>
      </c>
      <c r="Q200" s="64" t="s">
        <v>1</v>
      </c>
      <c r="R200" s="65">
        <v>1</v>
      </c>
      <c r="S200" s="99"/>
      <c r="T200" s="70"/>
      <c r="U200" s="99"/>
      <c r="V200" s="70"/>
      <c r="W200" s="81"/>
      <c r="X200" s="57"/>
      <c r="Y200" s="58"/>
      <c r="Z200" s="77"/>
      <c r="AA200" s="1"/>
      <c r="AB200" s="68"/>
      <c r="AC200" s="76"/>
      <c r="AD200" s="70"/>
      <c r="AE200" s="228">
        <f>ROUND((ROUND((_15_同援日１．５*_15・通訳),0)*_15・２人),0)+ROUND((ROUND((ROUND((_15_同援日１．５＿０．５*_15・通訳),0)*_15・２人),0)*(1+_15・B夜間)),0)+ROUND((ROUND((ROUND((_15_同援日１．５＿０．５＿０．５*_15・通訳),0)*_15・２人),0)*(1+_15・C深夜)),0)</f>
        <v>538</v>
      </c>
      <c r="AF200" s="69"/>
    </row>
    <row r="201" spans="1:32" ht="16.5" customHeight="1" x14ac:dyDescent="0.3">
      <c r="A201" s="2">
        <v>15</v>
      </c>
      <c r="B201" s="2" t="s">
        <v>5229</v>
      </c>
      <c r="C201" s="60" t="s">
        <v>15511</v>
      </c>
      <c r="D201" s="1" t="s">
        <v>8767</v>
      </c>
      <c r="E201" s="68"/>
      <c r="F201" s="70"/>
      <c r="G201" s="1"/>
      <c r="H201" s="68"/>
      <c r="I201" s="70"/>
      <c r="J201" s="1"/>
      <c r="K201" s="68"/>
      <c r="L201" s="70"/>
      <c r="M201" s="67"/>
      <c r="N201" s="68"/>
      <c r="O201" s="76"/>
      <c r="P201" s="83"/>
      <c r="Q201" s="64"/>
      <c r="R201" s="65"/>
      <c r="S201" s="99"/>
      <c r="T201" s="70"/>
      <c r="U201" s="99"/>
      <c r="V201" s="70"/>
      <c r="W201" s="74" t="s">
        <v>18025</v>
      </c>
      <c r="X201" s="62"/>
      <c r="Y201" s="63"/>
      <c r="Z201" s="75"/>
      <c r="AA201" s="1"/>
      <c r="AB201" s="68"/>
      <c r="AC201" s="76"/>
      <c r="AD201" s="70"/>
      <c r="AE201" s="228">
        <f>ROUND((ROUND((_15_同援日１．５*_15・通訳),0)*(1+_15・盲ろう)),0)+ROUND((ROUND((ROUND((_15_同援日１．５＿０．５*_15・通訳),0)*(1+_15・B夜間)),0)*(1+_15・盲ろう)),0)+ROUND((ROUND((ROUND((_15_同援日１．５＿０．５＿０．５*_15・通訳),0)*(1+_15・C深夜)),0)*(1+_15・盲ろう)),0)</f>
        <v>673</v>
      </c>
      <c r="AF201" s="69"/>
    </row>
    <row r="202" spans="1:32" ht="16.5" customHeight="1" x14ac:dyDescent="0.3">
      <c r="A202" s="2">
        <v>15</v>
      </c>
      <c r="B202" s="2" t="s">
        <v>5230</v>
      </c>
      <c r="C202" s="60" t="s">
        <v>15510</v>
      </c>
      <c r="D202" s="1"/>
      <c r="E202" s="227">
        <v>421</v>
      </c>
      <c r="F202" s="70" t="s">
        <v>0</v>
      </c>
      <c r="G202" s="1"/>
      <c r="H202" s="119">
        <v>64</v>
      </c>
      <c r="I202" s="70" t="s">
        <v>0</v>
      </c>
      <c r="J202" s="1"/>
      <c r="K202" s="119">
        <v>63</v>
      </c>
      <c r="L202" s="70" t="s">
        <v>0</v>
      </c>
      <c r="M202" s="67"/>
      <c r="N202" s="68"/>
      <c r="O202" s="76"/>
      <c r="P202" s="83" t="s">
        <v>5895</v>
      </c>
      <c r="Q202" s="64" t="s">
        <v>1</v>
      </c>
      <c r="R202" s="65">
        <v>1</v>
      </c>
      <c r="S202" s="99"/>
      <c r="T202" s="70"/>
      <c r="U202" s="99"/>
      <c r="V202" s="70"/>
      <c r="W202" s="81" t="s">
        <v>18024</v>
      </c>
      <c r="X202" s="57" t="s">
        <v>1</v>
      </c>
      <c r="Y202" s="58">
        <v>0.25</v>
      </c>
      <c r="Z202" s="77" t="s">
        <v>422</v>
      </c>
      <c r="AA202" s="81"/>
      <c r="AB202" s="57"/>
      <c r="AC202" s="58"/>
      <c r="AD202" s="77"/>
      <c r="AE202" s="228">
        <f>ROUND((ROUND((ROUND((_15_同援日１．５*_15・通訳),0)*_15・２人),0)*(1+_15・盲ろう)),0)+ROUND((ROUND((ROUND((ROUND((_15_同援日１．５＿０．５*_15・通訳),0)*_15・２人),0)*(1+_15・B夜間)),0)*(1+_15・盲ろう)),0)+ROUND((ROUND((ROUND((ROUND((_15_同援日１．５＿０．５＿０．５*_15・通訳),0)*_15・２人),0)*(1+_15・C深夜)),0)*(1+_15・盲ろう)),0)</f>
        <v>673</v>
      </c>
      <c r="AF202" s="69"/>
    </row>
    <row r="203" spans="1:32" ht="16.5" customHeight="1" x14ac:dyDescent="0.3">
      <c r="A203" s="2">
        <v>15</v>
      </c>
      <c r="B203" s="2" t="s">
        <v>5231</v>
      </c>
      <c r="C203" s="60" t="s">
        <v>15509</v>
      </c>
      <c r="D203" s="1"/>
      <c r="E203" s="68"/>
      <c r="F203" s="70"/>
      <c r="G203" s="1"/>
      <c r="H203" s="68"/>
      <c r="I203" s="70"/>
      <c r="J203" s="1"/>
      <c r="K203" s="68"/>
      <c r="L203" s="70"/>
      <c r="M203" s="67"/>
      <c r="N203" s="68"/>
      <c r="O203" s="76"/>
      <c r="P203" s="83"/>
      <c r="Q203" s="64"/>
      <c r="R203" s="65"/>
      <c r="S203" s="99"/>
      <c r="T203" s="70"/>
      <c r="U203" s="99"/>
      <c r="V203" s="70"/>
      <c r="W203" s="74"/>
      <c r="X203" s="62"/>
      <c r="Y203" s="63"/>
      <c r="Z203" s="75"/>
      <c r="AA203" s="74" t="s">
        <v>18028</v>
      </c>
      <c r="AB203" s="62"/>
      <c r="AC203" s="63"/>
      <c r="AD203" s="75"/>
      <c r="AE203" s="228">
        <f>ROUND((ROUND((_15_同援日１．５*_15・通訳),0)*(1+_15・区３)),0)+ROUND((ROUND((ROUND((_15_同援日１．５＿０．５*_15・通訳),0)*(1+_15・B夜間)),0)*(1+_15・区３)),0)+ROUND((ROUND((ROUND((_15_同援日１．５＿０．５＿０．５*_15・通訳),0)*(1+_15・C深夜)),0)*(1+_15・区３)),0)</f>
        <v>646</v>
      </c>
      <c r="AF203" s="69"/>
    </row>
    <row r="204" spans="1:32" ht="16.5" customHeight="1" x14ac:dyDescent="0.3">
      <c r="A204" s="2">
        <v>15</v>
      </c>
      <c r="B204" s="2" t="s">
        <v>5232</v>
      </c>
      <c r="C204" s="60" t="s">
        <v>15508</v>
      </c>
      <c r="D204" s="1"/>
      <c r="E204" s="68"/>
      <c r="F204" s="70"/>
      <c r="G204" s="1"/>
      <c r="H204" s="68"/>
      <c r="I204" s="70"/>
      <c r="J204" s="1"/>
      <c r="K204" s="68"/>
      <c r="L204" s="70"/>
      <c r="M204" s="67"/>
      <c r="N204" s="68"/>
      <c r="O204" s="76"/>
      <c r="P204" s="83" t="s">
        <v>5895</v>
      </c>
      <c r="Q204" s="64" t="s">
        <v>1</v>
      </c>
      <c r="R204" s="65">
        <v>1</v>
      </c>
      <c r="S204" s="99"/>
      <c r="T204" s="70"/>
      <c r="U204" s="99"/>
      <c r="V204" s="70"/>
      <c r="W204" s="81"/>
      <c r="X204" s="57"/>
      <c r="Y204" s="58"/>
      <c r="Z204" s="77"/>
      <c r="AA204" s="1" t="s">
        <v>18026</v>
      </c>
      <c r="AB204" s="68"/>
      <c r="AC204" s="76"/>
      <c r="AD204" s="70"/>
      <c r="AE204" s="228">
        <f>ROUND((ROUND((ROUND((_15_同援日１．５*_15・通訳),0)*_15・２人),0)*(1+_15・区３)),0)+ROUND((ROUND((ROUND((ROUND((_15_同援日１．５＿０．５*_15・通訳),0)*_15・２人),0)*(1+_15・B夜間)),0)*(1+_15・区３)),0)+ROUND((ROUND((ROUND((ROUND((_15_同援日１．５＿０．５＿０．５*_15・通訳),0)*_15・２人),0)*(1+_15・C深夜)),0)*(1+_15・区３)),0)</f>
        <v>646</v>
      </c>
      <c r="AF204" s="69"/>
    </row>
    <row r="205" spans="1:32" ht="16.5" customHeight="1" x14ac:dyDescent="0.3">
      <c r="A205" s="2">
        <v>15</v>
      </c>
      <c r="B205" s="2" t="s">
        <v>5233</v>
      </c>
      <c r="C205" s="60" t="s">
        <v>15507</v>
      </c>
      <c r="D205" s="1"/>
      <c r="E205" s="68"/>
      <c r="F205" s="70"/>
      <c r="G205" s="1"/>
      <c r="H205" s="68"/>
      <c r="I205" s="70"/>
      <c r="J205" s="1"/>
      <c r="K205" s="68"/>
      <c r="L205" s="70"/>
      <c r="M205" s="67"/>
      <c r="N205" s="68"/>
      <c r="O205" s="76"/>
      <c r="P205" s="83"/>
      <c r="Q205" s="64"/>
      <c r="R205" s="65"/>
      <c r="S205" s="99"/>
      <c r="T205" s="70"/>
      <c r="U205" s="99"/>
      <c r="V205" s="70"/>
      <c r="W205" s="74" t="s">
        <v>18025</v>
      </c>
      <c r="X205" s="62"/>
      <c r="Y205" s="63"/>
      <c r="Z205" s="75"/>
      <c r="AA205" s="1"/>
      <c r="AB205" s="68" t="s">
        <v>1</v>
      </c>
      <c r="AC205" s="76">
        <v>0.2</v>
      </c>
      <c r="AD205" s="70" t="s">
        <v>422</v>
      </c>
      <c r="AE205" s="228">
        <f>ROUND((ROUND((ROUND((_15_同援日１．５*_15・通訳),0)*(1+_15・盲ろう)),0)*(1+_15・区３)),0)+ROUND((ROUND((ROUND((ROUND((_15_同援日１．５＿０．５*_15・通訳),0)*(1+_15・B夜間)),0)*(1+_15・盲ろう)),0)*(1+_15・区３)),0)+ROUND((ROUND((ROUND((ROUND((_15_同援日１．５＿０．５＿０．５*_15・通訳),0)*(1+_15・C深夜)),0)*(1+_15・盲ろう)),0)*(1+_15・区３)),0)</f>
        <v>808</v>
      </c>
      <c r="AF205" s="69"/>
    </row>
    <row r="206" spans="1:32" ht="16.5" customHeight="1" x14ac:dyDescent="0.3">
      <c r="A206" s="2">
        <v>15</v>
      </c>
      <c r="B206" s="2" t="s">
        <v>5234</v>
      </c>
      <c r="C206" s="60" t="s">
        <v>15506</v>
      </c>
      <c r="D206" s="1"/>
      <c r="E206" s="68"/>
      <c r="F206" s="70"/>
      <c r="G206" s="1"/>
      <c r="H206" s="68"/>
      <c r="I206" s="70"/>
      <c r="J206" s="1"/>
      <c r="K206" s="68"/>
      <c r="L206" s="70"/>
      <c r="M206" s="67"/>
      <c r="N206" s="68"/>
      <c r="O206" s="76"/>
      <c r="P206" s="83" t="s">
        <v>5895</v>
      </c>
      <c r="Q206" s="64" t="s">
        <v>1</v>
      </c>
      <c r="R206" s="65">
        <v>1</v>
      </c>
      <c r="S206" s="99"/>
      <c r="T206" s="70"/>
      <c r="U206" s="99"/>
      <c r="V206" s="70"/>
      <c r="W206" s="81" t="s">
        <v>18024</v>
      </c>
      <c r="X206" s="57" t="s">
        <v>1</v>
      </c>
      <c r="Y206" s="58">
        <v>0.25</v>
      </c>
      <c r="Z206" s="77" t="s">
        <v>422</v>
      </c>
      <c r="AA206" s="81"/>
      <c r="AB206" s="57"/>
      <c r="AC206" s="58"/>
      <c r="AD206" s="77"/>
      <c r="AE206" s="228">
        <f>ROUND((ROUND((ROUND((ROUND((_15_同援日１．５*_15・通訳),0)*_15・２人),0)*(1+_15・盲ろう)),0)*(1+_15・区３)),0)+ROUND((ROUND((ROUND((ROUND((ROUND((_15_同援日１．５＿０．５*_15・通訳),0)*_15・２人),0)*(1+_15・B夜間)),0)*(1+_15・盲ろう)),0)*(1+_15・区３)),0)+ROUND((ROUND((ROUND((ROUND((ROUND((_15_同援日１．５＿０．５＿０．５*_15・通訳),0)*_15・２人),0)*(1+_15・C深夜)),0)*(1+_15・盲ろう)),0)*(1+_15・区３)),0)</f>
        <v>808</v>
      </c>
      <c r="AF206" s="69"/>
    </row>
    <row r="207" spans="1:32" ht="16.5" customHeight="1" x14ac:dyDescent="0.3">
      <c r="A207" s="2">
        <v>15</v>
      </c>
      <c r="B207" s="2" t="s">
        <v>5235</v>
      </c>
      <c r="C207" s="60" t="s">
        <v>15505</v>
      </c>
      <c r="D207" s="1"/>
      <c r="E207" s="68"/>
      <c r="F207" s="70"/>
      <c r="G207" s="1"/>
      <c r="H207" s="68"/>
      <c r="I207" s="70"/>
      <c r="J207" s="1"/>
      <c r="K207" s="68"/>
      <c r="L207" s="70"/>
      <c r="M207" s="67"/>
      <c r="N207" s="68"/>
      <c r="O207" s="76"/>
      <c r="P207" s="83"/>
      <c r="Q207" s="64"/>
      <c r="R207" s="65"/>
      <c r="S207" s="99"/>
      <c r="T207" s="70"/>
      <c r="U207" s="99"/>
      <c r="V207" s="70"/>
      <c r="W207" s="74"/>
      <c r="X207" s="62"/>
      <c r="Y207" s="63"/>
      <c r="Z207" s="75"/>
      <c r="AA207" s="74" t="s">
        <v>18027</v>
      </c>
      <c r="AB207" s="62"/>
      <c r="AC207" s="63"/>
      <c r="AD207" s="75"/>
      <c r="AE207" s="228">
        <f>ROUND((ROUND((_15_同援日１．５*_15・通訳),0)*(1+_15・区４)),0)+ROUND((ROUND((ROUND((_15_同援日１．５＿０．５*_15・通訳),0)*(1+_15・B夜間)),0)*(1+_15・区４)),0)+ROUND((ROUND((ROUND((_15_同援日１．５＿０．５＿０．５*_15・通訳),0)*(1+_15・C深夜)),0)*(1+_15・区４)),0)</f>
        <v>753</v>
      </c>
      <c r="AF207" s="69"/>
    </row>
    <row r="208" spans="1:32" ht="16.5" customHeight="1" x14ac:dyDescent="0.3">
      <c r="A208" s="2">
        <v>15</v>
      </c>
      <c r="B208" s="2" t="s">
        <v>5236</v>
      </c>
      <c r="C208" s="60" t="s">
        <v>15504</v>
      </c>
      <c r="D208" s="1"/>
      <c r="E208" s="68"/>
      <c r="F208" s="70"/>
      <c r="G208" s="1"/>
      <c r="H208" s="68"/>
      <c r="I208" s="70"/>
      <c r="J208" s="1"/>
      <c r="K208" s="68"/>
      <c r="L208" s="70"/>
      <c r="M208" s="67"/>
      <c r="N208" s="68"/>
      <c r="O208" s="76"/>
      <c r="P208" s="83" t="s">
        <v>5895</v>
      </c>
      <c r="Q208" s="64" t="s">
        <v>1</v>
      </c>
      <c r="R208" s="65">
        <v>1</v>
      </c>
      <c r="S208" s="99"/>
      <c r="T208" s="70"/>
      <c r="U208" s="99"/>
      <c r="V208" s="70"/>
      <c r="W208" s="81"/>
      <c r="X208" s="57"/>
      <c r="Y208" s="58"/>
      <c r="Z208" s="77"/>
      <c r="AA208" s="1" t="s">
        <v>18026</v>
      </c>
      <c r="AB208" s="68"/>
      <c r="AC208" s="76"/>
      <c r="AD208" s="70"/>
      <c r="AE208" s="228">
        <f>ROUND((ROUND((ROUND((_15_同援日１．５*_15・通訳),0)*_15・２人),0)*(1+_15・区４)),0)+ROUND((ROUND((ROUND((ROUND((_15_同援日１．５＿０．５*_15・通訳),0)*_15・２人),0)*(1+_15・B夜間)),0)*(1+_15・区４)),0)+ROUND((ROUND((ROUND((ROUND((_15_同援日１．５＿０．５＿０．５*_15・通訳),0)*_15・２人),0)*(1+_15・C深夜)),0)*(1+_15・区４)),0)</f>
        <v>753</v>
      </c>
      <c r="AF208" s="69"/>
    </row>
    <row r="209" spans="1:32" ht="16.5" customHeight="1" x14ac:dyDescent="0.3">
      <c r="A209" s="2">
        <v>15</v>
      </c>
      <c r="B209" s="2" t="s">
        <v>5237</v>
      </c>
      <c r="C209" s="60" t="s">
        <v>15503</v>
      </c>
      <c r="D209" s="1"/>
      <c r="E209" s="68"/>
      <c r="F209" s="70"/>
      <c r="G209" s="1"/>
      <c r="H209" s="68"/>
      <c r="I209" s="70"/>
      <c r="J209" s="1"/>
      <c r="K209" s="68"/>
      <c r="L209" s="70"/>
      <c r="M209" s="67"/>
      <c r="N209" s="68"/>
      <c r="O209" s="76"/>
      <c r="P209" s="83"/>
      <c r="Q209" s="64"/>
      <c r="R209" s="65"/>
      <c r="S209" s="99"/>
      <c r="T209" s="70"/>
      <c r="U209" s="99"/>
      <c r="V209" s="70"/>
      <c r="W209" s="74" t="s">
        <v>18025</v>
      </c>
      <c r="X209" s="62"/>
      <c r="Y209" s="63"/>
      <c r="Z209" s="75"/>
      <c r="AA209" s="1"/>
      <c r="AB209" s="68" t="s">
        <v>1</v>
      </c>
      <c r="AC209" s="76">
        <v>0.4</v>
      </c>
      <c r="AD209" s="70" t="s">
        <v>422</v>
      </c>
      <c r="AE209" s="228">
        <f>ROUND((ROUND((ROUND((_15_同援日１．５*_15・通訳),0)*(1+_15・盲ろう)),0)*(1+_15・区４)),0)+ROUND((ROUND((ROUND((ROUND((_15_同援日１．５＿０．５*_15・通訳),0)*(1+_15・B夜間)),0)*(1+_15・盲ろう)),0)*(1+_15・区４)),0)+ROUND((ROUND((ROUND((ROUND((_15_同援日１．５＿０．５＿０．５*_15・通訳),0)*(1+_15・C深夜)),0)*(1+_15・盲ろう)),0)*(1+_15・区４)),0)</f>
        <v>942</v>
      </c>
      <c r="AF209" s="69"/>
    </row>
    <row r="210" spans="1:32" ht="16.5" customHeight="1" x14ac:dyDescent="0.3">
      <c r="A210" s="2">
        <v>15</v>
      </c>
      <c r="B210" s="2" t="s">
        <v>5238</v>
      </c>
      <c r="C210" s="60" t="s">
        <v>15502</v>
      </c>
      <c r="D210" s="1"/>
      <c r="E210" s="68"/>
      <c r="F210" s="70"/>
      <c r="G210" s="1"/>
      <c r="H210" s="68"/>
      <c r="I210" s="70"/>
      <c r="J210" s="81"/>
      <c r="K210" s="57"/>
      <c r="L210" s="77"/>
      <c r="M210" s="67"/>
      <c r="N210" s="68"/>
      <c r="O210" s="76"/>
      <c r="P210" s="83" t="s">
        <v>5895</v>
      </c>
      <c r="Q210" s="64" t="s">
        <v>1</v>
      </c>
      <c r="R210" s="65">
        <v>1</v>
      </c>
      <c r="S210" s="99"/>
      <c r="T210" s="70"/>
      <c r="U210" s="99"/>
      <c r="V210" s="70"/>
      <c r="W210" s="81" t="s">
        <v>18024</v>
      </c>
      <c r="X210" s="57" t="s">
        <v>1</v>
      </c>
      <c r="Y210" s="58">
        <v>0.25</v>
      </c>
      <c r="Z210" s="77" t="s">
        <v>422</v>
      </c>
      <c r="AA210" s="81"/>
      <c r="AB210" s="57"/>
      <c r="AC210" s="58"/>
      <c r="AD210" s="77"/>
      <c r="AE210" s="228">
        <f>ROUND((ROUND((ROUND((ROUND((_15_同援日１．５*_15・通訳),0)*_15・２人),0)*(1+_15・盲ろう)),0)*(1+_15・区４)),0)+ROUND((ROUND((ROUND((ROUND((ROUND((_15_同援日１．５＿０．５*_15・通訳),0)*_15・２人),0)*(1+_15・B夜間)),0)*(1+_15・盲ろう)),0)*(1+_15・区４)),0)+ROUND((ROUND((ROUND((ROUND((ROUND((_15_同援日１．５＿０．５＿０．５*_15・通訳),0)*_15・２人),0)*(1+_15・C深夜)),0)*(1+_15・盲ろう)),0)*(1+_15・区４)),0)</f>
        <v>942</v>
      </c>
      <c r="AF210" s="69"/>
    </row>
    <row r="211" spans="1:32" ht="16.5" customHeight="1" x14ac:dyDescent="0.3">
      <c r="A211" s="2">
        <v>15</v>
      </c>
      <c r="B211" s="2" t="s">
        <v>5239</v>
      </c>
      <c r="C211" s="60" t="s">
        <v>15501</v>
      </c>
      <c r="D211" s="1"/>
      <c r="E211" s="68"/>
      <c r="F211" s="70"/>
      <c r="G211" s="1"/>
      <c r="H211" s="68"/>
      <c r="I211" s="70"/>
      <c r="J211" s="74" t="s">
        <v>17493</v>
      </c>
      <c r="K211" s="62"/>
      <c r="L211" s="75"/>
      <c r="M211" s="67"/>
      <c r="N211" s="68"/>
      <c r="O211" s="76"/>
      <c r="P211" s="83"/>
      <c r="Q211" s="64"/>
      <c r="R211" s="65"/>
      <c r="S211" s="99"/>
      <c r="T211" s="70"/>
      <c r="U211" s="99"/>
      <c r="V211" s="70"/>
      <c r="W211" s="74"/>
      <c r="X211" s="62"/>
      <c r="Y211" s="63"/>
      <c r="Z211" s="75"/>
      <c r="AA211" s="74"/>
      <c r="AB211" s="62"/>
      <c r="AC211" s="63"/>
      <c r="AD211" s="75"/>
      <c r="AE211" s="120">
        <f>ROUND((_15_同援日１．５*_15・通訳),0)+ROUND((ROUND((_15_同援日１．５＿０．５*_15・通訳),0)*(1+_15・B夜間)),0)+ROUND((ROUND((_15_同援日１．５＿０．５＿１．０*_15・通訳),0)*(1+_15・C深夜)),0)</f>
        <v>622</v>
      </c>
      <c r="AF211" s="69"/>
    </row>
    <row r="212" spans="1:32" ht="16.5" customHeight="1" x14ac:dyDescent="0.3">
      <c r="A212" s="2">
        <v>15</v>
      </c>
      <c r="B212" s="2" t="s">
        <v>5240</v>
      </c>
      <c r="C212" s="60" t="s">
        <v>15500</v>
      </c>
      <c r="D212" s="1"/>
      <c r="E212" s="68"/>
      <c r="F212" s="70"/>
      <c r="G212" s="1"/>
      <c r="H212" s="68"/>
      <c r="I212" s="70"/>
      <c r="J212" s="1" t="s">
        <v>16978</v>
      </c>
      <c r="K212" s="68"/>
      <c r="L212" s="70"/>
      <c r="M212" s="67"/>
      <c r="N212" s="68"/>
      <c r="O212" s="76"/>
      <c r="P212" s="83" t="s">
        <v>5895</v>
      </c>
      <c r="Q212" s="64" t="s">
        <v>1</v>
      </c>
      <c r="R212" s="65">
        <v>1</v>
      </c>
      <c r="S212" s="99"/>
      <c r="T212" s="70"/>
      <c r="U212" s="99"/>
      <c r="V212" s="70"/>
      <c r="W212" s="81"/>
      <c r="X212" s="57"/>
      <c r="Y212" s="58"/>
      <c r="Z212" s="77"/>
      <c r="AA212" s="1"/>
      <c r="AB212" s="68"/>
      <c r="AC212" s="76"/>
      <c r="AD212" s="70"/>
      <c r="AE212" s="120">
        <f>ROUND((ROUND((_15_同援日１．５*_15・通訳),0)*_15・２人),0)+ROUND((ROUND((ROUND((_15_同援日１．５＿０．５*_15・通訳),0)*_15・２人),0)*(1+_15・B夜間)),0)+ROUND((ROUND((ROUND((_15_同援日１．５＿０．５＿１．０*_15・通訳),0)*_15・２人),0)*(1+_15・C深夜)),0)</f>
        <v>622</v>
      </c>
      <c r="AF212" s="69"/>
    </row>
    <row r="213" spans="1:32" ht="16.5" customHeight="1" x14ac:dyDescent="0.3">
      <c r="A213" s="2">
        <v>15</v>
      </c>
      <c r="B213" s="2" t="s">
        <v>5241</v>
      </c>
      <c r="C213" s="60" t="s">
        <v>15499</v>
      </c>
      <c r="D213" s="1"/>
      <c r="E213" s="68"/>
      <c r="F213" s="70"/>
      <c r="G213" s="1"/>
      <c r="H213" s="68"/>
      <c r="I213" s="70"/>
      <c r="J213" s="1" t="s">
        <v>8572</v>
      </c>
      <c r="K213" s="68"/>
      <c r="L213" s="70"/>
      <c r="M213" s="67"/>
      <c r="N213" s="68"/>
      <c r="O213" s="76"/>
      <c r="P213" s="83"/>
      <c r="Q213" s="64"/>
      <c r="R213" s="65"/>
      <c r="S213" s="99"/>
      <c r="T213" s="70"/>
      <c r="U213" s="99"/>
      <c r="V213" s="70"/>
      <c r="W213" s="74" t="s">
        <v>18025</v>
      </c>
      <c r="X213" s="62"/>
      <c r="Y213" s="63"/>
      <c r="Z213" s="75"/>
      <c r="AA213" s="1"/>
      <c r="AB213" s="68"/>
      <c r="AC213" s="76"/>
      <c r="AD213" s="70"/>
      <c r="AE213" s="120">
        <f>ROUND((ROUND((_15_同援日１．５*_15・通訳),0)*(1+_15・盲ろう)),0)+ROUND((ROUND((ROUND((_15_同援日１．５＿０．５*_15・通訳),0)*(1+_15・B夜間)),0)*(1+_15・盲ろう)),0)+ROUND((ROUND((ROUND((_15_同援日１．５＿０．５＿１．０*_15・通訳),0)*(1+_15・C深夜)),0)*(1+_15・盲ろう)),0)</f>
        <v>778</v>
      </c>
      <c r="AF213" s="69"/>
    </row>
    <row r="214" spans="1:32" ht="16.5" customHeight="1" x14ac:dyDescent="0.3">
      <c r="A214" s="2">
        <v>15</v>
      </c>
      <c r="B214" s="2" t="s">
        <v>5242</v>
      </c>
      <c r="C214" s="60" t="s">
        <v>15498</v>
      </c>
      <c r="D214" s="1"/>
      <c r="E214" s="68"/>
      <c r="F214" s="70"/>
      <c r="G214" s="1"/>
      <c r="H214" s="68"/>
      <c r="I214" s="70"/>
      <c r="J214" s="1"/>
      <c r="K214" s="227">
        <v>126</v>
      </c>
      <c r="L214" s="70" t="s">
        <v>0</v>
      </c>
      <c r="M214" s="67"/>
      <c r="N214" s="68"/>
      <c r="O214" s="76"/>
      <c r="P214" s="83" t="s">
        <v>5895</v>
      </c>
      <c r="Q214" s="64" t="s">
        <v>1</v>
      </c>
      <c r="R214" s="65">
        <v>1</v>
      </c>
      <c r="S214" s="99"/>
      <c r="T214" s="70"/>
      <c r="U214" s="99"/>
      <c r="V214" s="70"/>
      <c r="W214" s="81" t="s">
        <v>8083</v>
      </c>
      <c r="X214" s="57" t="s">
        <v>1</v>
      </c>
      <c r="Y214" s="58">
        <v>0.25</v>
      </c>
      <c r="Z214" s="77" t="s">
        <v>422</v>
      </c>
      <c r="AA214" s="81"/>
      <c r="AB214" s="57"/>
      <c r="AC214" s="58"/>
      <c r="AD214" s="77"/>
      <c r="AE214" s="120">
        <f>ROUND((ROUND((ROUND((_15_同援日１．５*_15・通訳),0)*_15・２人),0)*(1+_15・盲ろう)),0)+ROUND((ROUND((ROUND((ROUND((_15_同援日１．５＿０．５*_15・通訳),0)*_15・２人),0)*(1+_15・B夜間)),0)*(1+_15・盲ろう)),0)+ROUND((ROUND((ROUND((ROUND((_15_同援日１．５＿０．５＿１．０*_15・通訳),0)*_15・２人),0)*(1+_15・C深夜)),0)*(1+_15・盲ろう)),0)</f>
        <v>778</v>
      </c>
      <c r="AF214" s="69"/>
    </row>
    <row r="215" spans="1:32" ht="16.5" customHeight="1" x14ac:dyDescent="0.3">
      <c r="A215" s="2">
        <v>15</v>
      </c>
      <c r="B215" s="2" t="s">
        <v>5243</v>
      </c>
      <c r="C215" s="60" t="s">
        <v>15497</v>
      </c>
      <c r="D215" s="1"/>
      <c r="E215" s="68"/>
      <c r="F215" s="70"/>
      <c r="G215" s="1"/>
      <c r="H215" s="68"/>
      <c r="I215" s="70"/>
      <c r="J215" s="1"/>
      <c r="K215" s="68"/>
      <c r="L215" s="70"/>
      <c r="M215" s="67"/>
      <c r="N215" s="68"/>
      <c r="O215" s="76"/>
      <c r="P215" s="83"/>
      <c r="Q215" s="64"/>
      <c r="R215" s="65"/>
      <c r="S215" s="99"/>
      <c r="T215" s="70"/>
      <c r="U215" s="99"/>
      <c r="V215" s="70"/>
      <c r="W215" s="74"/>
      <c r="X215" s="62"/>
      <c r="Y215" s="63"/>
      <c r="Z215" s="75"/>
      <c r="AA215" s="74" t="s">
        <v>18028</v>
      </c>
      <c r="AB215" s="62"/>
      <c r="AC215" s="63"/>
      <c r="AD215" s="75"/>
      <c r="AE215" s="120">
        <f>ROUND((ROUND((_15_同援日１．５*_15・通訳),0)*(1+_15・区３)),0)+ROUND((ROUND((ROUND((_15_同援日１．５＿０．５*_15・通訳),0)*(1+_15・B夜間)),0)*(1+_15・区３)),0)+ROUND((ROUND((ROUND((_15_同援日１．５＿０．５＿１．０*_15・通訳),0)*(1+_15・C深夜)),0)*(1+_15・区３)),0)</f>
        <v>747</v>
      </c>
      <c r="AF215" s="69"/>
    </row>
    <row r="216" spans="1:32" ht="16.5" customHeight="1" x14ac:dyDescent="0.3">
      <c r="A216" s="2">
        <v>15</v>
      </c>
      <c r="B216" s="2" t="s">
        <v>5244</v>
      </c>
      <c r="C216" s="60" t="s">
        <v>15496</v>
      </c>
      <c r="D216" s="1"/>
      <c r="E216" s="68"/>
      <c r="F216" s="70"/>
      <c r="G216" s="1"/>
      <c r="H216" s="68"/>
      <c r="I216" s="70"/>
      <c r="J216" s="1"/>
      <c r="K216" s="68"/>
      <c r="L216" s="70"/>
      <c r="M216" s="67"/>
      <c r="N216" s="68"/>
      <c r="O216" s="76"/>
      <c r="P216" s="83" t="s">
        <v>5895</v>
      </c>
      <c r="Q216" s="64" t="s">
        <v>1</v>
      </c>
      <c r="R216" s="65">
        <v>1</v>
      </c>
      <c r="S216" s="99"/>
      <c r="T216" s="70"/>
      <c r="U216" s="99"/>
      <c r="V216" s="70"/>
      <c r="W216" s="81"/>
      <c r="X216" s="57"/>
      <c r="Y216" s="58"/>
      <c r="Z216" s="77"/>
      <c r="AA216" s="1" t="s">
        <v>8087</v>
      </c>
      <c r="AB216" s="68"/>
      <c r="AC216" s="76"/>
      <c r="AD216" s="70"/>
      <c r="AE216" s="120">
        <f>ROUND((ROUND((ROUND((_15_同援日１．５*_15・通訳),0)*_15・２人),0)*(1+_15・区３)),0)+ROUND((ROUND((ROUND((ROUND((_15_同援日１．５＿０．５*_15・通訳),0)*_15・２人),0)*(1+_15・B夜間)),0)*(1+_15・区３)),0)+ROUND((ROUND((ROUND((ROUND((_15_同援日１．５＿０．５＿１．０*_15・通訳),0)*_15・２人),0)*(1+_15・C深夜)),0)*(1+_15・区３)),0)</f>
        <v>747</v>
      </c>
      <c r="AF216" s="69"/>
    </row>
    <row r="217" spans="1:32" ht="16.5" customHeight="1" x14ac:dyDescent="0.3">
      <c r="A217" s="2">
        <v>15</v>
      </c>
      <c r="B217" s="2" t="s">
        <v>5245</v>
      </c>
      <c r="C217" s="60" t="s">
        <v>15495</v>
      </c>
      <c r="D217" s="1"/>
      <c r="E217" s="68"/>
      <c r="F217" s="70"/>
      <c r="G217" s="1"/>
      <c r="H217" s="68"/>
      <c r="I217" s="70"/>
      <c r="J217" s="1"/>
      <c r="K217" s="68"/>
      <c r="L217" s="70"/>
      <c r="M217" s="67"/>
      <c r="N217" s="68"/>
      <c r="O217" s="76"/>
      <c r="P217" s="83"/>
      <c r="Q217" s="64"/>
      <c r="R217" s="65"/>
      <c r="S217" s="99"/>
      <c r="T217" s="70"/>
      <c r="U217" s="99"/>
      <c r="V217" s="70"/>
      <c r="W217" s="74" t="s">
        <v>18025</v>
      </c>
      <c r="X217" s="62"/>
      <c r="Y217" s="63"/>
      <c r="Z217" s="75"/>
      <c r="AA217" s="1"/>
      <c r="AB217" s="68" t="s">
        <v>1</v>
      </c>
      <c r="AC217" s="76">
        <v>0.2</v>
      </c>
      <c r="AD217" s="70" t="s">
        <v>422</v>
      </c>
      <c r="AE217" s="120">
        <f>ROUND((ROUND((ROUND((_15_同援日１．５*_15・通訳),0)*(1+_15・盲ろう)),0)*(1+_15・区３)),0)+ROUND((ROUND((ROUND((ROUND((_15_同援日１．５＿０．５*_15・通訳),0)*(1+_15・B夜間)),0)*(1+_15・盲ろう)),0)*(1+_15・区３)),0)+ROUND((ROUND((ROUND((ROUND((_15_同援日１．５＿０．５＿１．０*_15・通訳),0)*(1+_15・C深夜)),0)*(1+_15・盲ろう)),0)*(1+_15・区３)),0)</f>
        <v>934</v>
      </c>
      <c r="AF217" s="69"/>
    </row>
    <row r="218" spans="1:32" ht="16.5" customHeight="1" x14ac:dyDescent="0.3">
      <c r="A218" s="2">
        <v>15</v>
      </c>
      <c r="B218" s="2" t="s">
        <v>5246</v>
      </c>
      <c r="C218" s="60" t="s">
        <v>15494</v>
      </c>
      <c r="D218" s="1"/>
      <c r="E218" s="68"/>
      <c r="F218" s="70"/>
      <c r="G218" s="1"/>
      <c r="H218" s="68"/>
      <c r="I218" s="70"/>
      <c r="J218" s="1"/>
      <c r="K218" s="68"/>
      <c r="L218" s="70"/>
      <c r="M218" s="67"/>
      <c r="N218" s="68"/>
      <c r="O218" s="76"/>
      <c r="P218" s="83" t="s">
        <v>5895</v>
      </c>
      <c r="Q218" s="64" t="s">
        <v>1</v>
      </c>
      <c r="R218" s="65">
        <v>1</v>
      </c>
      <c r="S218" s="99"/>
      <c r="T218" s="70"/>
      <c r="U218" s="99"/>
      <c r="V218" s="70"/>
      <c r="W218" s="81" t="s">
        <v>18024</v>
      </c>
      <c r="X218" s="57" t="s">
        <v>1</v>
      </c>
      <c r="Y218" s="58">
        <v>0.25</v>
      </c>
      <c r="Z218" s="77" t="s">
        <v>422</v>
      </c>
      <c r="AA218" s="81"/>
      <c r="AB218" s="57"/>
      <c r="AC218" s="58"/>
      <c r="AD218" s="77"/>
      <c r="AE218" s="120">
        <f>ROUND((ROUND((ROUND((ROUND((_15_同援日１．５*_15・通訳),0)*_15・２人),0)*(1+_15・盲ろう)),0)*(1+_15・区３)),0)+ROUND((ROUND((ROUND((ROUND((ROUND((_15_同援日１．５＿０．５*_15・通訳),0)*_15・２人),0)*(1+_15・B夜間)),0)*(1+_15・盲ろう)),0)*(1+_15・区３)),0)+ROUND((ROUND((ROUND((ROUND((ROUND((_15_同援日１．５＿０．５＿１．０*_15・通訳),0)*_15・２人),0)*(1+_15・C深夜)),0)*(1+_15・盲ろう)),0)*(1+_15・区３)),0)</f>
        <v>934</v>
      </c>
      <c r="AF218" s="69"/>
    </row>
    <row r="219" spans="1:32" ht="16.5" customHeight="1" x14ac:dyDescent="0.3">
      <c r="A219" s="2">
        <v>15</v>
      </c>
      <c r="B219" s="2" t="s">
        <v>5247</v>
      </c>
      <c r="C219" s="60" t="s">
        <v>15493</v>
      </c>
      <c r="D219" s="1"/>
      <c r="E219" s="68"/>
      <c r="F219" s="70"/>
      <c r="G219" s="1"/>
      <c r="H219" s="68"/>
      <c r="I219" s="70"/>
      <c r="J219" s="1"/>
      <c r="K219" s="68"/>
      <c r="L219" s="70"/>
      <c r="M219" s="67"/>
      <c r="N219" s="68"/>
      <c r="O219" s="76"/>
      <c r="P219" s="83"/>
      <c r="Q219" s="64"/>
      <c r="R219" s="65"/>
      <c r="S219" s="99"/>
      <c r="T219" s="70"/>
      <c r="U219" s="99"/>
      <c r="V219" s="70"/>
      <c r="W219" s="74"/>
      <c r="X219" s="62"/>
      <c r="Y219" s="63"/>
      <c r="Z219" s="75"/>
      <c r="AA219" s="74" t="s">
        <v>18027</v>
      </c>
      <c r="AB219" s="62"/>
      <c r="AC219" s="63"/>
      <c r="AD219" s="75"/>
      <c r="AE219" s="228">
        <f>ROUND((ROUND((_15_同援日１．５*_15・通訳),0)*(1+_15・区４)),0)+ROUND((ROUND((ROUND((_15_同援日１．５＿０．５*_15・通訳),0)*(1+_15・B夜間)),0)*(1+_15・区４)),0)+ROUND((ROUND((ROUND((_15_同援日１．５＿０．５＿１．０*_15・通訳),0)*(1+_15・C深夜)),0)*(1+_15・区４)),0)</f>
        <v>871</v>
      </c>
      <c r="AF219" s="69"/>
    </row>
    <row r="220" spans="1:32" ht="16.5" customHeight="1" x14ac:dyDescent="0.3">
      <c r="A220" s="2">
        <v>15</v>
      </c>
      <c r="B220" s="2" t="s">
        <v>5248</v>
      </c>
      <c r="C220" s="60" t="s">
        <v>15492</v>
      </c>
      <c r="D220" s="1"/>
      <c r="E220" s="68"/>
      <c r="F220" s="70"/>
      <c r="G220" s="1"/>
      <c r="H220" s="68"/>
      <c r="I220" s="70"/>
      <c r="J220" s="1"/>
      <c r="K220" s="68"/>
      <c r="L220" s="70"/>
      <c r="M220" s="67"/>
      <c r="N220" s="68"/>
      <c r="O220" s="76"/>
      <c r="P220" s="83" t="s">
        <v>5895</v>
      </c>
      <c r="Q220" s="64" t="s">
        <v>1</v>
      </c>
      <c r="R220" s="65">
        <v>1</v>
      </c>
      <c r="S220" s="99"/>
      <c r="T220" s="70"/>
      <c r="U220" s="99"/>
      <c r="V220" s="70"/>
      <c r="W220" s="81"/>
      <c r="X220" s="57"/>
      <c r="Y220" s="58"/>
      <c r="Z220" s="77"/>
      <c r="AA220" s="1" t="s">
        <v>18026</v>
      </c>
      <c r="AB220" s="68"/>
      <c r="AC220" s="76"/>
      <c r="AD220" s="70"/>
      <c r="AE220" s="228">
        <f>ROUND((ROUND((ROUND((_15_同援日１．５*_15・通訳),0)*_15・２人),0)*(1+_15・区４)),0)+ROUND((ROUND((ROUND((ROUND((_15_同援日１．５＿０．５*_15・通訳),0)*_15・２人),0)*(1+_15・B夜間)),0)*(1+_15・区４)),0)+ROUND((ROUND((ROUND((ROUND((_15_同援日１．５＿０．５＿１．０*_15・通訳),0)*_15・２人),0)*(1+_15・C深夜)),0)*(1+_15・区４)),0)</f>
        <v>871</v>
      </c>
      <c r="AF220" s="69"/>
    </row>
    <row r="221" spans="1:32" ht="16.5" customHeight="1" x14ac:dyDescent="0.3">
      <c r="A221" s="2">
        <v>15</v>
      </c>
      <c r="B221" s="2" t="s">
        <v>5249</v>
      </c>
      <c r="C221" s="60" t="s">
        <v>15491</v>
      </c>
      <c r="D221" s="1"/>
      <c r="E221" s="68"/>
      <c r="F221" s="70"/>
      <c r="G221" s="1"/>
      <c r="H221" s="68"/>
      <c r="I221" s="70"/>
      <c r="J221" s="1"/>
      <c r="K221" s="68"/>
      <c r="L221" s="70"/>
      <c r="M221" s="67"/>
      <c r="N221" s="68"/>
      <c r="O221" s="76"/>
      <c r="P221" s="83"/>
      <c r="Q221" s="64"/>
      <c r="R221" s="65"/>
      <c r="S221" s="99"/>
      <c r="T221" s="70"/>
      <c r="U221" s="99"/>
      <c r="V221" s="70"/>
      <c r="W221" s="74" t="s">
        <v>18025</v>
      </c>
      <c r="X221" s="62"/>
      <c r="Y221" s="63"/>
      <c r="Z221" s="75"/>
      <c r="AA221" s="1"/>
      <c r="AB221" s="68" t="s">
        <v>1</v>
      </c>
      <c r="AC221" s="76">
        <v>0.4</v>
      </c>
      <c r="AD221" s="70" t="s">
        <v>422</v>
      </c>
      <c r="AE221" s="120">
        <f>ROUND((ROUND((ROUND((_15_同援日１．５*_15・通訳),0)*(1+_15・盲ろう)),0)*(1+_15・区４)),0)+ROUND((ROUND((ROUND((ROUND((_15_同援日１．５＿０．５*_15・通訳),0)*(1+_15・B夜間)),0)*(1+_15・盲ろう)),0)*(1+_15・区４)),0)+ROUND((ROUND((ROUND((ROUND((_15_同援日１．５＿０．５＿１．０*_15・通訳),0)*(1+_15・C深夜)),0)*(1+_15・盲ろう)),0)*(1+_15・区４)),0)</f>
        <v>1089</v>
      </c>
      <c r="AF221" s="69"/>
    </row>
    <row r="222" spans="1:32" ht="16.5" customHeight="1" x14ac:dyDescent="0.3">
      <c r="A222" s="2">
        <v>15</v>
      </c>
      <c r="B222" s="2" t="s">
        <v>5250</v>
      </c>
      <c r="C222" s="60" t="s">
        <v>15490</v>
      </c>
      <c r="D222" s="1"/>
      <c r="E222" s="68"/>
      <c r="F222" s="70"/>
      <c r="G222" s="81"/>
      <c r="H222" s="57"/>
      <c r="I222" s="77"/>
      <c r="J222" s="81"/>
      <c r="K222" s="57"/>
      <c r="L222" s="77"/>
      <c r="M222" s="67"/>
      <c r="N222" s="68"/>
      <c r="O222" s="76"/>
      <c r="P222" s="83" t="s">
        <v>5895</v>
      </c>
      <c r="Q222" s="64" t="s">
        <v>1</v>
      </c>
      <c r="R222" s="65">
        <v>1</v>
      </c>
      <c r="S222" s="99"/>
      <c r="T222" s="70"/>
      <c r="U222" s="99"/>
      <c r="V222" s="70"/>
      <c r="W222" s="81" t="s">
        <v>8083</v>
      </c>
      <c r="X222" s="57" t="s">
        <v>1</v>
      </c>
      <c r="Y222" s="58">
        <v>0.25</v>
      </c>
      <c r="Z222" s="77" t="s">
        <v>422</v>
      </c>
      <c r="AA222" s="81"/>
      <c r="AB222" s="57"/>
      <c r="AC222" s="58"/>
      <c r="AD222" s="77"/>
      <c r="AE222" s="120">
        <f>ROUND((ROUND((ROUND((ROUND((_15_同援日１．５*_15・通訳),0)*_15・２人),0)*(1+_15・盲ろう)),0)*(1+_15・区４)),0)+ROUND((ROUND((ROUND((ROUND((ROUND((_15_同援日１．５＿０．５*_15・通訳),0)*_15・２人),0)*(1+_15・B夜間)),0)*(1+_15・盲ろう)),0)*(1+_15・区４)),0)+ROUND((ROUND((ROUND((ROUND((ROUND((_15_同援日１．５＿０．５＿１．０*_15・通訳),0)*_15・２人),0)*(1+_15・C深夜)),0)*(1+_15・盲ろう)),0)*(1+_15・区４)),0)</f>
        <v>1089</v>
      </c>
      <c r="AF222" s="69"/>
    </row>
    <row r="223" spans="1:32" ht="16.5" customHeight="1" x14ac:dyDescent="0.3">
      <c r="A223" s="2">
        <v>15</v>
      </c>
      <c r="B223" s="2" t="s">
        <v>5251</v>
      </c>
      <c r="C223" s="60" t="s">
        <v>15489</v>
      </c>
      <c r="D223" s="1"/>
      <c r="E223" s="68"/>
      <c r="F223" s="70"/>
      <c r="G223" s="233" t="s">
        <v>18389</v>
      </c>
      <c r="H223" s="235"/>
      <c r="I223" s="75"/>
      <c r="J223" s="74" t="s">
        <v>17494</v>
      </c>
      <c r="K223" s="62"/>
      <c r="L223" s="75"/>
      <c r="M223" s="67"/>
      <c r="N223" s="68"/>
      <c r="O223" s="76"/>
      <c r="P223" s="83"/>
      <c r="Q223" s="64"/>
      <c r="R223" s="65"/>
      <c r="S223" s="99"/>
      <c r="T223" s="70"/>
      <c r="U223" s="99"/>
      <c r="V223" s="70"/>
      <c r="W223" s="74"/>
      <c r="X223" s="62"/>
      <c r="Y223" s="63"/>
      <c r="Z223" s="75"/>
      <c r="AA223" s="74"/>
      <c r="AB223" s="62"/>
      <c r="AC223" s="63"/>
      <c r="AD223" s="75"/>
      <c r="AE223" s="120">
        <f>ROUND((_15_同援日１．５*_15・通訳),0)+ROUND((ROUND((_15_同援日１．５＿１．０*_15・通訳),0)*(1+_15・B夜間)),0)+ROUND((ROUND((_15_同援日１．５＿１．０＿０．５*_15・通訳),0)*(1+_15・C深夜)),0)</f>
        <v>608</v>
      </c>
      <c r="AF223" s="69"/>
    </row>
    <row r="224" spans="1:32" ht="16.5" customHeight="1" x14ac:dyDescent="0.3">
      <c r="A224" s="2">
        <v>15</v>
      </c>
      <c r="B224" s="2" t="s">
        <v>5252</v>
      </c>
      <c r="C224" s="60" t="s">
        <v>15488</v>
      </c>
      <c r="D224" s="1"/>
      <c r="E224" s="68"/>
      <c r="F224" s="70"/>
      <c r="G224" s="1" t="s">
        <v>16978</v>
      </c>
      <c r="H224" s="68"/>
      <c r="I224" s="70"/>
      <c r="J224" s="1" t="s">
        <v>7928</v>
      </c>
      <c r="K224" s="68"/>
      <c r="L224" s="70"/>
      <c r="M224" s="67"/>
      <c r="N224" s="68"/>
      <c r="O224" s="76"/>
      <c r="P224" s="83" t="s">
        <v>5895</v>
      </c>
      <c r="Q224" s="64" t="s">
        <v>1</v>
      </c>
      <c r="R224" s="65">
        <v>1</v>
      </c>
      <c r="S224" s="99"/>
      <c r="T224" s="70"/>
      <c r="U224" s="99"/>
      <c r="V224" s="70"/>
      <c r="W224" s="81"/>
      <c r="X224" s="57"/>
      <c r="Y224" s="58"/>
      <c r="Z224" s="77"/>
      <c r="AA224" s="1"/>
      <c r="AB224" s="68"/>
      <c r="AC224" s="76"/>
      <c r="AD224" s="70"/>
      <c r="AE224" s="120">
        <f>ROUND((ROUND((_15_同援日１．５*_15・通訳),0)*_15・２人),0)+ROUND((ROUND((ROUND((_15_同援日１．５＿１．０*_15・通訳),0)*_15・２人),0)*(1+_15・B夜間)),0)+ROUND((ROUND((ROUND((_15_同援日１．５＿１．０＿０．５*_15・通訳),0)*_15・２人),0)*(1+_15・C深夜)),0)</f>
        <v>608</v>
      </c>
      <c r="AF224" s="69"/>
    </row>
    <row r="225" spans="1:32" ht="16.5" customHeight="1" x14ac:dyDescent="0.3">
      <c r="A225" s="2">
        <v>15</v>
      </c>
      <c r="B225" s="2" t="s">
        <v>5253</v>
      </c>
      <c r="C225" s="60" t="s">
        <v>15487</v>
      </c>
      <c r="D225" s="1"/>
      <c r="E225" s="68"/>
      <c r="F225" s="70"/>
      <c r="G225" s="1" t="s">
        <v>8572</v>
      </c>
      <c r="H225" s="68"/>
      <c r="I225" s="70"/>
      <c r="J225" s="1"/>
      <c r="K225" s="68"/>
      <c r="L225" s="70"/>
      <c r="M225" s="67"/>
      <c r="N225" s="68"/>
      <c r="O225" s="76"/>
      <c r="P225" s="83"/>
      <c r="Q225" s="64"/>
      <c r="R225" s="65"/>
      <c r="S225" s="99"/>
      <c r="T225" s="70"/>
      <c r="U225" s="99"/>
      <c r="V225" s="70"/>
      <c r="W225" s="74" t="s">
        <v>18025</v>
      </c>
      <c r="X225" s="62"/>
      <c r="Y225" s="63"/>
      <c r="Z225" s="75"/>
      <c r="AA225" s="1"/>
      <c r="AB225" s="68"/>
      <c r="AC225" s="76"/>
      <c r="AD225" s="70"/>
      <c r="AE225" s="120">
        <f>ROUND((ROUND((_15_同援日１．５*_15・通訳),0)*(1+_15・盲ろう)),0)+ROUND((ROUND((ROUND((_15_同援日１．５＿１．０*_15・通訳),0)*(1+_15・B夜間)),0)*(1+_15・盲ろう)),0)+ROUND((ROUND((ROUND((_15_同援日１．５＿１．０＿０．５*_15・通訳),0)*(1+_15・C深夜)),0)*(1+_15・盲ろう)),0)</f>
        <v>761</v>
      </c>
      <c r="AF225" s="69"/>
    </row>
    <row r="226" spans="1:32" ht="16.5" customHeight="1" x14ac:dyDescent="0.3">
      <c r="A226" s="2">
        <v>15</v>
      </c>
      <c r="B226" s="2" t="s">
        <v>5254</v>
      </c>
      <c r="C226" s="60" t="s">
        <v>15486</v>
      </c>
      <c r="D226" s="1"/>
      <c r="E226" s="68"/>
      <c r="F226" s="70"/>
      <c r="G226" s="1"/>
      <c r="H226" s="119">
        <v>127</v>
      </c>
      <c r="I226" s="70" t="s">
        <v>0</v>
      </c>
      <c r="J226" s="1"/>
      <c r="K226" s="227">
        <v>63</v>
      </c>
      <c r="L226" s="70" t="s">
        <v>0</v>
      </c>
      <c r="M226" s="67"/>
      <c r="N226" s="68"/>
      <c r="O226" s="76"/>
      <c r="P226" s="83" t="s">
        <v>5895</v>
      </c>
      <c r="Q226" s="64" t="s">
        <v>1</v>
      </c>
      <c r="R226" s="65">
        <v>1</v>
      </c>
      <c r="S226" s="99"/>
      <c r="T226" s="70"/>
      <c r="U226" s="99"/>
      <c r="V226" s="70"/>
      <c r="W226" s="81" t="s">
        <v>18024</v>
      </c>
      <c r="X226" s="57" t="s">
        <v>1</v>
      </c>
      <c r="Y226" s="58">
        <v>0.25</v>
      </c>
      <c r="Z226" s="77" t="s">
        <v>422</v>
      </c>
      <c r="AA226" s="81"/>
      <c r="AB226" s="57"/>
      <c r="AC226" s="58"/>
      <c r="AD226" s="77"/>
      <c r="AE226" s="120">
        <f>ROUND((ROUND((ROUND((_15_同援日１．５*_15・通訳),0)*_15・２人),0)*(1+_15・盲ろう)),0)+ROUND((ROUND((ROUND((ROUND((_15_同援日１．５＿１．０*_15・通訳),0)*_15・２人),0)*(1+_15・B夜間)),0)*(1+_15・盲ろう)),0)+ROUND((ROUND((ROUND((ROUND((_15_同援日１．５＿１．０＿０．５*_15・通訳),0)*_15・２人),0)*(1+_15・C深夜)),0)*(1+_15・盲ろう)),0)</f>
        <v>761</v>
      </c>
      <c r="AF226" s="69"/>
    </row>
    <row r="227" spans="1:32" ht="16.5" customHeight="1" x14ac:dyDescent="0.3">
      <c r="A227" s="2">
        <v>15</v>
      </c>
      <c r="B227" s="2" t="s">
        <v>5255</v>
      </c>
      <c r="C227" s="60" t="s">
        <v>15485</v>
      </c>
      <c r="D227" s="1"/>
      <c r="E227" s="68"/>
      <c r="F227" s="70"/>
      <c r="G227" s="1"/>
      <c r="H227" s="68"/>
      <c r="I227" s="70"/>
      <c r="J227" s="1"/>
      <c r="K227" s="68"/>
      <c r="L227" s="70"/>
      <c r="M227" s="67"/>
      <c r="N227" s="68"/>
      <c r="O227" s="76"/>
      <c r="P227" s="83"/>
      <c r="Q227" s="64"/>
      <c r="R227" s="65"/>
      <c r="S227" s="99"/>
      <c r="T227" s="70"/>
      <c r="U227" s="99"/>
      <c r="V227" s="70"/>
      <c r="W227" s="74"/>
      <c r="X227" s="62"/>
      <c r="Y227" s="63"/>
      <c r="Z227" s="75"/>
      <c r="AA227" s="74" t="s">
        <v>18028</v>
      </c>
      <c r="AB227" s="62"/>
      <c r="AC227" s="63"/>
      <c r="AD227" s="75"/>
      <c r="AE227" s="120">
        <f>ROUND((ROUND((_15_同援日１．５*_15・通訳),0)*(1+_15・区３)),0)+ROUND((ROUND((ROUND((_15_同援日１．５＿１．０*_15・通訳),0)*(1+_15・B夜間)),0)*(1+_15・区３)),0)+ROUND((ROUND((ROUND((_15_同援日１．５＿１．０＿０．５*_15・通訳),0)*(1+_15・C深夜)),0)*(1+_15・区３)),0)</f>
        <v>730</v>
      </c>
      <c r="AF227" s="69"/>
    </row>
    <row r="228" spans="1:32" ht="16.5" customHeight="1" x14ac:dyDescent="0.3">
      <c r="A228" s="2">
        <v>15</v>
      </c>
      <c r="B228" s="2" t="s">
        <v>5256</v>
      </c>
      <c r="C228" s="60" t="s">
        <v>15484</v>
      </c>
      <c r="D228" s="1"/>
      <c r="E228" s="68"/>
      <c r="F228" s="70"/>
      <c r="G228" s="1"/>
      <c r="H228" s="68"/>
      <c r="I228" s="70"/>
      <c r="J228" s="1"/>
      <c r="K228" s="68"/>
      <c r="L228" s="70"/>
      <c r="M228" s="67"/>
      <c r="N228" s="68"/>
      <c r="O228" s="76"/>
      <c r="P228" s="83" t="s">
        <v>5895</v>
      </c>
      <c r="Q228" s="64" t="s">
        <v>1</v>
      </c>
      <c r="R228" s="65">
        <v>1</v>
      </c>
      <c r="S228" s="99"/>
      <c r="T228" s="70"/>
      <c r="U228" s="99"/>
      <c r="V228" s="70"/>
      <c r="W228" s="81"/>
      <c r="X228" s="57"/>
      <c r="Y228" s="58"/>
      <c r="Z228" s="77"/>
      <c r="AA228" s="1" t="s">
        <v>18026</v>
      </c>
      <c r="AB228" s="68"/>
      <c r="AC228" s="76"/>
      <c r="AD228" s="70"/>
      <c r="AE228" s="120">
        <f>ROUND((ROUND((ROUND((_15_同援日１．５*_15・通訳),0)*_15・２人),0)*(1+_15・区３)),0)+ROUND((ROUND((ROUND((ROUND((_15_同援日１．５＿１．０*_15・通訳),0)*_15・２人),0)*(1+_15・B夜間)),0)*(1+_15・区３)),0)+ROUND((ROUND((ROUND((ROUND((_15_同援日１．５＿１．０＿０．５*_15・通訳),0)*_15・２人),0)*(1+_15・C深夜)),0)*(1+_15・区３)),0)</f>
        <v>730</v>
      </c>
      <c r="AF228" s="69"/>
    </row>
    <row r="229" spans="1:32" ht="16.5" customHeight="1" x14ac:dyDescent="0.3">
      <c r="A229" s="2">
        <v>15</v>
      </c>
      <c r="B229" s="2" t="s">
        <v>5257</v>
      </c>
      <c r="C229" s="60" t="s">
        <v>15483</v>
      </c>
      <c r="D229" s="1"/>
      <c r="E229" s="68"/>
      <c r="F229" s="70"/>
      <c r="G229" s="1"/>
      <c r="H229" s="68"/>
      <c r="I229" s="70"/>
      <c r="J229" s="1"/>
      <c r="K229" s="68"/>
      <c r="L229" s="70"/>
      <c r="M229" s="67"/>
      <c r="N229" s="68"/>
      <c r="O229" s="76"/>
      <c r="P229" s="83"/>
      <c r="Q229" s="64"/>
      <c r="R229" s="65"/>
      <c r="S229" s="99"/>
      <c r="T229" s="70"/>
      <c r="U229" s="99"/>
      <c r="V229" s="70"/>
      <c r="W229" s="74" t="s">
        <v>8085</v>
      </c>
      <c r="X229" s="62"/>
      <c r="Y229" s="63"/>
      <c r="Z229" s="75"/>
      <c r="AA229" s="1"/>
      <c r="AB229" s="68" t="s">
        <v>1</v>
      </c>
      <c r="AC229" s="76">
        <v>0.2</v>
      </c>
      <c r="AD229" s="70" t="s">
        <v>422</v>
      </c>
      <c r="AE229" s="120">
        <f>ROUND((ROUND((ROUND((_15_同援日１．５*_15・通訳),0)*(1+_15・盲ろう)),0)*(1+_15・区３)),0)+ROUND((ROUND((ROUND((ROUND((_15_同援日１．５＿１．０*_15・通訳),0)*(1+_15・B夜間)),0)*(1+_15・盲ろう)),0)*(1+_15・区３)),0)+ROUND((ROUND((ROUND((ROUND((_15_同援日１．５＿１．０＿０．５*_15・通訳),0)*(1+_15・C深夜)),0)*(1+_15・盲ろう)),0)*(1+_15・区３)),0)</f>
        <v>914</v>
      </c>
      <c r="AF229" s="69"/>
    </row>
    <row r="230" spans="1:32" ht="16.5" customHeight="1" x14ac:dyDescent="0.3">
      <c r="A230" s="2">
        <v>15</v>
      </c>
      <c r="B230" s="2" t="s">
        <v>5258</v>
      </c>
      <c r="C230" s="60" t="s">
        <v>15482</v>
      </c>
      <c r="D230" s="1"/>
      <c r="E230" s="68"/>
      <c r="F230" s="70"/>
      <c r="G230" s="1"/>
      <c r="H230" s="68"/>
      <c r="I230" s="70"/>
      <c r="J230" s="1"/>
      <c r="K230" s="68"/>
      <c r="L230" s="70"/>
      <c r="M230" s="67"/>
      <c r="N230" s="68"/>
      <c r="O230" s="76"/>
      <c r="P230" s="83" t="s">
        <v>5895</v>
      </c>
      <c r="Q230" s="64" t="s">
        <v>1</v>
      </c>
      <c r="R230" s="65">
        <v>1</v>
      </c>
      <c r="S230" s="99"/>
      <c r="T230" s="70"/>
      <c r="U230" s="99"/>
      <c r="V230" s="70"/>
      <c r="W230" s="81" t="s">
        <v>18024</v>
      </c>
      <c r="X230" s="57" t="s">
        <v>1</v>
      </c>
      <c r="Y230" s="58">
        <v>0.25</v>
      </c>
      <c r="Z230" s="77" t="s">
        <v>422</v>
      </c>
      <c r="AA230" s="81"/>
      <c r="AB230" s="57"/>
      <c r="AC230" s="58"/>
      <c r="AD230" s="77"/>
      <c r="AE230" s="120">
        <f>ROUND((ROUND((ROUND((ROUND((_15_同援日１．５*_15・通訳),0)*_15・２人),0)*(1+_15・盲ろう)),0)*(1+_15・区３)),0)+ROUND((ROUND((ROUND((ROUND((ROUND((_15_同援日１．５＿１．０*_15・通訳),0)*_15・２人),0)*(1+_15・B夜間)),0)*(1+_15・盲ろう)),0)*(1+_15・区３)),0)+ROUND((ROUND((ROUND((ROUND((ROUND((_15_同援日１．５＿１．０＿０．５*_15・通訳),0)*_15・２人),0)*(1+_15・C深夜)),0)*(1+_15・盲ろう)),0)*(1+_15・区３)),0)</f>
        <v>914</v>
      </c>
      <c r="AF230" s="69"/>
    </row>
    <row r="231" spans="1:32" ht="16.5" customHeight="1" x14ac:dyDescent="0.3">
      <c r="A231" s="2">
        <v>15</v>
      </c>
      <c r="B231" s="2" t="s">
        <v>5259</v>
      </c>
      <c r="C231" s="60" t="s">
        <v>15481</v>
      </c>
      <c r="D231" s="1"/>
      <c r="E231" s="68"/>
      <c r="F231" s="70"/>
      <c r="G231" s="1"/>
      <c r="H231" s="68"/>
      <c r="I231" s="70"/>
      <c r="J231" s="1"/>
      <c r="K231" s="68"/>
      <c r="L231" s="70"/>
      <c r="M231" s="67"/>
      <c r="N231" s="68"/>
      <c r="O231" s="76"/>
      <c r="P231" s="83"/>
      <c r="Q231" s="64"/>
      <c r="R231" s="65"/>
      <c r="S231" s="99"/>
      <c r="T231" s="70"/>
      <c r="U231" s="99"/>
      <c r="V231" s="70"/>
      <c r="W231" s="74"/>
      <c r="X231" s="62"/>
      <c r="Y231" s="63"/>
      <c r="Z231" s="75"/>
      <c r="AA231" s="74" t="s">
        <v>8089</v>
      </c>
      <c r="AB231" s="62"/>
      <c r="AC231" s="63"/>
      <c r="AD231" s="75"/>
      <c r="AE231" s="120">
        <f>ROUND((ROUND((_15_同援日１．５*_15・通訳),0)*(1+_15・区４)),0)+ROUND((ROUND((ROUND((_15_同援日１．５＿１．０*_15・通訳),0)*(1+_15・B夜間)),0)*(1+_15・区４)),0)+ROUND((ROUND((ROUND((_15_同援日１．５＿１．０＿０．５*_15・通訳),0)*(1+_15・C深夜)),0)*(1+_15・区４)),0)</f>
        <v>851</v>
      </c>
      <c r="AF231" s="69"/>
    </row>
    <row r="232" spans="1:32" ht="16.5" customHeight="1" x14ac:dyDescent="0.3">
      <c r="A232" s="2">
        <v>15</v>
      </c>
      <c r="B232" s="2" t="s">
        <v>5260</v>
      </c>
      <c r="C232" s="60" t="s">
        <v>15480</v>
      </c>
      <c r="D232" s="1"/>
      <c r="E232" s="68"/>
      <c r="F232" s="70"/>
      <c r="G232" s="1"/>
      <c r="H232" s="68"/>
      <c r="I232" s="70"/>
      <c r="J232" s="1"/>
      <c r="K232" s="68"/>
      <c r="L232" s="70"/>
      <c r="M232" s="67"/>
      <c r="N232" s="68"/>
      <c r="O232" s="76"/>
      <c r="P232" s="83" t="s">
        <v>5895</v>
      </c>
      <c r="Q232" s="64" t="s">
        <v>1</v>
      </c>
      <c r="R232" s="65">
        <v>1</v>
      </c>
      <c r="S232" s="99"/>
      <c r="T232" s="70"/>
      <c r="U232" s="99"/>
      <c r="V232" s="70"/>
      <c r="W232" s="81"/>
      <c r="X232" s="57"/>
      <c r="Y232" s="58"/>
      <c r="Z232" s="77"/>
      <c r="AA232" s="1" t="s">
        <v>18026</v>
      </c>
      <c r="AB232" s="68"/>
      <c r="AC232" s="76"/>
      <c r="AD232" s="70"/>
      <c r="AE232" s="120">
        <f>ROUND((ROUND((ROUND((_15_同援日１．５*_15・通訳),0)*_15・２人),0)*(1+_15・区４)),0)+ROUND((ROUND((ROUND((ROUND((_15_同援日１．５＿１．０*_15・通訳),0)*_15・２人),0)*(1+_15・B夜間)),0)*(1+_15・区４)),0)+ROUND((ROUND((ROUND((ROUND((_15_同援日１．５＿１．０＿０．５*_15・通訳),0)*_15・２人),0)*(1+_15・C深夜)),0)*(1+_15・区４)),0)</f>
        <v>851</v>
      </c>
      <c r="AF232" s="69"/>
    </row>
    <row r="233" spans="1:32" ht="16.5" customHeight="1" x14ac:dyDescent="0.3">
      <c r="A233" s="2">
        <v>15</v>
      </c>
      <c r="B233" s="2" t="s">
        <v>5261</v>
      </c>
      <c r="C233" s="60" t="s">
        <v>15479</v>
      </c>
      <c r="D233" s="1"/>
      <c r="E233" s="68"/>
      <c r="F233" s="70"/>
      <c r="G233" s="1"/>
      <c r="H233" s="68"/>
      <c r="I233" s="70"/>
      <c r="J233" s="1"/>
      <c r="K233" s="68"/>
      <c r="L233" s="70"/>
      <c r="M233" s="67"/>
      <c r="N233" s="68"/>
      <c r="O233" s="76"/>
      <c r="P233" s="83"/>
      <c r="Q233" s="64"/>
      <c r="R233" s="65"/>
      <c r="S233" s="99"/>
      <c r="T233" s="70"/>
      <c r="U233" s="99"/>
      <c r="V233" s="70"/>
      <c r="W233" s="74" t="s">
        <v>18025</v>
      </c>
      <c r="X233" s="62"/>
      <c r="Y233" s="63"/>
      <c r="Z233" s="75"/>
      <c r="AA233" s="1"/>
      <c r="AB233" s="68" t="s">
        <v>1</v>
      </c>
      <c r="AC233" s="76">
        <v>0.4</v>
      </c>
      <c r="AD233" s="70" t="s">
        <v>422</v>
      </c>
      <c r="AE233" s="120">
        <f>ROUND((ROUND((ROUND((_15_同援日１．５*_15・通訳),0)*(1+_15・盲ろう)),0)*(1+_15・区４)),0)+ROUND((ROUND((ROUND((ROUND((_15_同援日１．５＿１．０*_15・通訳),0)*(1+_15・B夜間)),0)*(1+_15・盲ろう)),0)*(1+_15・区４)),0)+ROUND((ROUND((ROUND((ROUND((_15_同援日１．５＿１．０＿０．５*_15・通訳),0)*(1+_15・C深夜)),0)*(1+_15・盲ろう)),0)*(1+_15・区４)),0)</f>
        <v>1066</v>
      </c>
      <c r="AF233" s="69"/>
    </row>
    <row r="234" spans="1:32" ht="16.5" customHeight="1" x14ac:dyDescent="0.3">
      <c r="A234" s="2">
        <v>15</v>
      </c>
      <c r="B234" s="2" t="s">
        <v>5262</v>
      </c>
      <c r="C234" s="60" t="s">
        <v>15478</v>
      </c>
      <c r="D234" s="81"/>
      <c r="E234" s="57"/>
      <c r="F234" s="77"/>
      <c r="G234" s="81"/>
      <c r="H234" s="57"/>
      <c r="I234" s="77"/>
      <c r="J234" s="1"/>
      <c r="K234" s="68"/>
      <c r="L234" s="70"/>
      <c r="M234" s="67"/>
      <c r="N234" s="68"/>
      <c r="O234" s="76"/>
      <c r="P234" s="83" t="s">
        <v>5895</v>
      </c>
      <c r="Q234" s="64" t="s">
        <v>1</v>
      </c>
      <c r="R234" s="65">
        <v>1</v>
      </c>
      <c r="S234" s="99"/>
      <c r="T234" s="70"/>
      <c r="U234" s="99"/>
      <c r="V234" s="70"/>
      <c r="W234" s="81" t="s">
        <v>8083</v>
      </c>
      <c r="X234" s="57" t="s">
        <v>1</v>
      </c>
      <c r="Y234" s="58">
        <v>0.25</v>
      </c>
      <c r="Z234" s="77" t="s">
        <v>422</v>
      </c>
      <c r="AA234" s="81"/>
      <c r="AB234" s="57"/>
      <c r="AC234" s="58"/>
      <c r="AD234" s="77"/>
      <c r="AE234" s="120">
        <f>ROUND((ROUND((ROUND((ROUND((_15_同援日１．５*_15・通訳),0)*_15・２人),0)*(1+_15・盲ろう)),0)*(1+_15・区４)),0)+ROUND((ROUND((ROUND((ROUND((ROUND((_15_同援日１．５＿１．０*_15・通訳),0)*_15・２人),0)*(1+_15・B夜間)),0)*(1+_15・盲ろう)),0)*(1+_15・区４)),0)+ROUND((ROUND((ROUND((ROUND((ROUND((_15_同援日１．５＿１．０＿０．５*_15・通訳),0)*_15・２人),0)*(1+_15・C深夜)),0)*(1+_15・盲ろう)),0)*(1+_15・区４)),0)</f>
        <v>1066</v>
      </c>
      <c r="AF234" s="69"/>
    </row>
    <row r="235" spans="1:32" ht="16.5" customHeight="1" x14ac:dyDescent="0.3">
      <c r="A235" s="2">
        <v>15</v>
      </c>
      <c r="B235" s="2" t="s">
        <v>5263</v>
      </c>
      <c r="C235" s="60" t="s">
        <v>15477</v>
      </c>
      <c r="D235" s="233" t="s">
        <v>18388</v>
      </c>
      <c r="E235" s="235"/>
      <c r="F235" s="75"/>
      <c r="G235" s="233" t="s">
        <v>18387</v>
      </c>
      <c r="H235" s="235"/>
      <c r="I235" s="75"/>
      <c r="J235" s="74" t="s">
        <v>17494</v>
      </c>
      <c r="K235" s="62"/>
      <c r="L235" s="75"/>
      <c r="M235" s="67"/>
      <c r="N235" s="68"/>
      <c r="O235" s="76"/>
      <c r="P235" s="83"/>
      <c r="Q235" s="64"/>
      <c r="R235" s="65"/>
      <c r="S235" s="99"/>
      <c r="T235" s="70"/>
      <c r="U235" s="99"/>
      <c r="V235" s="70"/>
      <c r="W235" s="74"/>
      <c r="X235" s="62"/>
      <c r="Y235" s="63"/>
      <c r="Z235" s="75"/>
      <c r="AA235" s="74"/>
      <c r="AB235" s="62"/>
      <c r="AC235" s="63"/>
      <c r="AD235" s="75"/>
      <c r="AE235" s="120">
        <f>ROUND((_15_同援日２．０*_15・通訳),0)+ROUND((ROUND((_15_同援日２．０＿０．５*_15・通訳),0)*(1+_15・B夜間)),0)+ROUND((ROUND((_15_同援日２．０＿０．５＿０．５*_15・通訳),0)*(1+_15・C深夜)),0)</f>
        <v>594</v>
      </c>
      <c r="AF235" s="69"/>
    </row>
    <row r="236" spans="1:32" ht="16.5" customHeight="1" x14ac:dyDescent="0.3">
      <c r="A236" s="2">
        <v>15</v>
      </c>
      <c r="B236" s="2" t="s">
        <v>5264</v>
      </c>
      <c r="C236" s="60" t="s">
        <v>15476</v>
      </c>
      <c r="D236" s="1" t="s">
        <v>16981</v>
      </c>
      <c r="E236" s="68"/>
      <c r="F236" s="70"/>
      <c r="G236" s="1" t="s">
        <v>7928</v>
      </c>
      <c r="H236" s="68"/>
      <c r="I236" s="70"/>
      <c r="J236" s="1" t="s">
        <v>7928</v>
      </c>
      <c r="K236" s="68"/>
      <c r="L236" s="70"/>
      <c r="M236" s="67"/>
      <c r="N236" s="68"/>
      <c r="O236" s="76"/>
      <c r="P236" s="83" t="s">
        <v>5895</v>
      </c>
      <c r="Q236" s="64" t="s">
        <v>1</v>
      </c>
      <c r="R236" s="65">
        <v>1</v>
      </c>
      <c r="S236" s="99"/>
      <c r="T236" s="70"/>
      <c r="U236" s="99"/>
      <c r="V236" s="70"/>
      <c r="W236" s="81"/>
      <c r="X236" s="57"/>
      <c r="Y236" s="58"/>
      <c r="Z236" s="77"/>
      <c r="AA236" s="1"/>
      <c r="AB236" s="68"/>
      <c r="AC236" s="76"/>
      <c r="AD236" s="70"/>
      <c r="AE236" s="120">
        <f>ROUND((ROUND((_15_同援日２．０*_15・通訳),0)*_15・２人),0)+ROUND((ROUND((ROUND((_15_同援日２．０＿０．５*_15・通訳),0)*_15・２人),0)*(1+_15・B夜間)),0)+ROUND((ROUND((ROUND((_15_同援日２．０＿０．５＿０．５*_15・通訳),0)*_15・２人),0)*(1+_15・C深夜)),0)</f>
        <v>594</v>
      </c>
      <c r="AF236" s="69"/>
    </row>
    <row r="237" spans="1:32" ht="16.5" customHeight="1" x14ac:dyDescent="0.3">
      <c r="A237" s="2">
        <v>15</v>
      </c>
      <c r="B237" s="2" t="s">
        <v>5265</v>
      </c>
      <c r="C237" s="60" t="s">
        <v>15475</v>
      </c>
      <c r="D237" s="1" t="s">
        <v>6448</v>
      </c>
      <c r="E237" s="68"/>
      <c r="F237" s="70"/>
      <c r="G237" s="1"/>
      <c r="H237" s="68"/>
      <c r="I237" s="70"/>
      <c r="J237" s="1"/>
      <c r="K237" s="68"/>
      <c r="L237" s="70"/>
      <c r="M237" s="67"/>
      <c r="N237" s="68"/>
      <c r="O237" s="76"/>
      <c r="P237" s="83"/>
      <c r="Q237" s="64"/>
      <c r="R237" s="65"/>
      <c r="S237" s="99"/>
      <c r="T237" s="70"/>
      <c r="U237" s="99"/>
      <c r="V237" s="70"/>
      <c r="W237" s="74" t="s">
        <v>18025</v>
      </c>
      <c r="X237" s="62"/>
      <c r="Y237" s="63"/>
      <c r="Z237" s="75"/>
      <c r="AA237" s="1"/>
      <c r="AB237" s="68"/>
      <c r="AC237" s="76"/>
      <c r="AD237" s="70"/>
      <c r="AE237" s="120">
        <f>ROUND((ROUND((_15_同援日２．０*_15・通訳),0)*(1+_15・盲ろう)),0)+ROUND((ROUND((ROUND((_15_同援日２．０＿０．５*_15・通訳),0)*(1+_15・B夜間)),0)*(1+_15・盲ろう)),0)+ROUND((ROUND((ROUND((_15_同援日２．０＿０．５＿０．５*_15・通訳),0)*(1+_15・C深夜)),0)*(1+_15・盲ろう)),0)</f>
        <v>743</v>
      </c>
      <c r="AF237" s="69"/>
    </row>
    <row r="238" spans="1:32" ht="16.5" customHeight="1" x14ac:dyDescent="0.3">
      <c r="A238" s="2">
        <v>15</v>
      </c>
      <c r="B238" s="2" t="s">
        <v>5266</v>
      </c>
      <c r="C238" s="60" t="s">
        <v>15474</v>
      </c>
      <c r="D238" s="1"/>
      <c r="E238" s="227">
        <v>485</v>
      </c>
      <c r="F238" s="70" t="s">
        <v>0</v>
      </c>
      <c r="G238" s="1"/>
      <c r="H238" s="119">
        <v>63</v>
      </c>
      <c r="I238" s="70" t="s">
        <v>0</v>
      </c>
      <c r="J238" s="1"/>
      <c r="K238" s="227">
        <v>63</v>
      </c>
      <c r="L238" s="70" t="s">
        <v>0</v>
      </c>
      <c r="M238" s="67"/>
      <c r="N238" s="68"/>
      <c r="O238" s="76"/>
      <c r="P238" s="83" t="s">
        <v>5895</v>
      </c>
      <c r="Q238" s="64" t="s">
        <v>1</v>
      </c>
      <c r="R238" s="65">
        <v>1</v>
      </c>
      <c r="S238" s="99"/>
      <c r="T238" s="70"/>
      <c r="U238" s="99"/>
      <c r="V238" s="70"/>
      <c r="W238" s="81" t="s">
        <v>18024</v>
      </c>
      <c r="X238" s="57" t="s">
        <v>1</v>
      </c>
      <c r="Y238" s="58">
        <v>0.25</v>
      </c>
      <c r="Z238" s="77" t="s">
        <v>422</v>
      </c>
      <c r="AA238" s="81"/>
      <c r="AB238" s="57"/>
      <c r="AC238" s="58"/>
      <c r="AD238" s="77"/>
      <c r="AE238" s="120">
        <f>ROUND((ROUND((ROUND((_15_同援日２．０*_15・通訳),0)*_15・２人),0)*(1+_15・盲ろう)),0)+ROUND((ROUND((ROUND((ROUND((_15_同援日２．０＿０．５*_15・通訳),0)*_15・２人),0)*(1+_15・B夜間)),0)*(1+_15・盲ろう)),0)+ROUND((ROUND((ROUND((ROUND((_15_同援日２．０＿０．５＿０．５*_15・通訳),0)*_15・２人),0)*(1+_15・C深夜)),0)*(1+_15・盲ろう)),0)</f>
        <v>743</v>
      </c>
      <c r="AF238" s="69"/>
    </row>
    <row r="239" spans="1:32" ht="16.5" customHeight="1" x14ac:dyDescent="0.3">
      <c r="A239" s="2">
        <v>15</v>
      </c>
      <c r="B239" s="2" t="s">
        <v>5267</v>
      </c>
      <c r="C239" s="60" t="s">
        <v>15473</v>
      </c>
      <c r="D239" s="1"/>
      <c r="E239" s="68"/>
      <c r="F239" s="70"/>
      <c r="G239" s="1"/>
      <c r="H239" s="68"/>
      <c r="I239" s="70"/>
      <c r="J239" s="1"/>
      <c r="K239" s="68"/>
      <c r="L239" s="70"/>
      <c r="M239" s="67"/>
      <c r="N239" s="68"/>
      <c r="O239" s="76"/>
      <c r="P239" s="83"/>
      <c r="Q239" s="64"/>
      <c r="R239" s="65"/>
      <c r="S239" s="99"/>
      <c r="T239" s="70"/>
      <c r="U239" s="99"/>
      <c r="V239" s="70"/>
      <c r="W239" s="74"/>
      <c r="X239" s="62"/>
      <c r="Y239" s="63"/>
      <c r="Z239" s="75"/>
      <c r="AA239" s="74" t="s">
        <v>18028</v>
      </c>
      <c r="AB239" s="62"/>
      <c r="AC239" s="63"/>
      <c r="AD239" s="75"/>
      <c r="AE239" s="120">
        <f>ROUND((ROUND((_15_同援日２．０*_15・通訳),0)*(1+_15・区３)),0)+ROUND((ROUND((ROUND((_15_同援日２．０＿０．５*_15・通訳),0)*(1+_15・B夜間)),0)*(1+_15・区３)),0)+ROUND((ROUND((ROUND((_15_同援日２．０＿０．５＿０．５*_15・通訳),0)*(1+_15・C深夜)),0)*(1+_15・区３)),0)</f>
        <v>712</v>
      </c>
      <c r="AF239" s="69"/>
    </row>
    <row r="240" spans="1:32" ht="16.5" customHeight="1" x14ac:dyDescent="0.3">
      <c r="A240" s="2">
        <v>15</v>
      </c>
      <c r="B240" s="2" t="s">
        <v>5268</v>
      </c>
      <c r="C240" s="60" t="s">
        <v>15472</v>
      </c>
      <c r="D240" s="1"/>
      <c r="E240" s="68"/>
      <c r="F240" s="70"/>
      <c r="G240" s="1"/>
      <c r="H240" s="68"/>
      <c r="I240" s="70"/>
      <c r="J240" s="1"/>
      <c r="K240" s="68"/>
      <c r="L240" s="70"/>
      <c r="M240" s="67"/>
      <c r="N240" s="68"/>
      <c r="O240" s="76"/>
      <c r="P240" s="83" t="s">
        <v>5895</v>
      </c>
      <c r="Q240" s="64" t="s">
        <v>1</v>
      </c>
      <c r="R240" s="65">
        <v>1</v>
      </c>
      <c r="S240" s="99"/>
      <c r="T240" s="70"/>
      <c r="U240" s="99"/>
      <c r="V240" s="70"/>
      <c r="W240" s="81"/>
      <c r="X240" s="57"/>
      <c r="Y240" s="58"/>
      <c r="Z240" s="77"/>
      <c r="AA240" s="1" t="s">
        <v>18026</v>
      </c>
      <c r="AB240" s="68"/>
      <c r="AC240" s="76"/>
      <c r="AD240" s="70"/>
      <c r="AE240" s="120">
        <f>ROUND((ROUND((ROUND((_15_同援日２．０*_15・通訳),0)*_15・２人),0)*(1+_15・区３)),0)+ROUND((ROUND((ROUND((ROUND((_15_同援日２．０＿０．５*_15・通訳),0)*_15・２人),0)*(1+_15・B夜間)),0)*(1+_15・区３)),0)+ROUND((ROUND((ROUND((ROUND((_15_同援日２．０＿０．５＿０．５*_15・通訳),0)*_15・２人),0)*(1+_15・C深夜)),0)*(1+_15・区３)),0)</f>
        <v>712</v>
      </c>
      <c r="AF240" s="69"/>
    </row>
    <row r="241" spans="1:32" ht="16.5" customHeight="1" x14ac:dyDescent="0.3">
      <c r="A241" s="2">
        <v>15</v>
      </c>
      <c r="B241" s="2" t="s">
        <v>5269</v>
      </c>
      <c r="C241" s="60" t="s">
        <v>15471</v>
      </c>
      <c r="D241" s="1"/>
      <c r="E241" s="68"/>
      <c r="F241" s="70"/>
      <c r="G241" s="1"/>
      <c r="H241" s="68"/>
      <c r="I241" s="70"/>
      <c r="J241" s="1"/>
      <c r="K241" s="68"/>
      <c r="L241" s="70"/>
      <c r="M241" s="67"/>
      <c r="N241" s="68"/>
      <c r="O241" s="76"/>
      <c r="P241" s="83"/>
      <c r="Q241" s="64"/>
      <c r="R241" s="65"/>
      <c r="S241" s="99"/>
      <c r="T241" s="70"/>
      <c r="U241" s="99"/>
      <c r="V241" s="70"/>
      <c r="W241" s="74" t="s">
        <v>18025</v>
      </c>
      <c r="X241" s="62"/>
      <c r="Y241" s="63"/>
      <c r="Z241" s="75"/>
      <c r="AA241" s="1"/>
      <c r="AB241" s="68" t="s">
        <v>1</v>
      </c>
      <c r="AC241" s="76">
        <v>0.2</v>
      </c>
      <c r="AD241" s="70" t="s">
        <v>422</v>
      </c>
      <c r="AE241" s="120">
        <f>ROUND((ROUND((ROUND((_15_同援日２．０*_15・通訳),0)*(1+_15・盲ろう)),0)*(1+_15・区３)),0)+ROUND((ROUND((ROUND((ROUND((_15_同援日２．０＿０．５*_15・通訳),0)*(1+_15・B夜間)),0)*(1+_15・盲ろう)),0)*(1+_15・区３)),0)+ROUND((ROUND((ROUND((ROUND((_15_同援日２．０＿０．５＿０．５*_15・通訳),0)*(1+_15・C深夜)),0)*(1+_15・盲ろう)),0)*(1+_15・区３)),0)</f>
        <v>892</v>
      </c>
      <c r="AF241" s="69"/>
    </row>
    <row r="242" spans="1:32" ht="16.5" customHeight="1" x14ac:dyDescent="0.3">
      <c r="A242" s="2">
        <v>15</v>
      </c>
      <c r="B242" s="2" t="s">
        <v>5270</v>
      </c>
      <c r="C242" s="60" t="s">
        <v>15470</v>
      </c>
      <c r="D242" s="1"/>
      <c r="E242" s="68"/>
      <c r="F242" s="70"/>
      <c r="G242" s="1"/>
      <c r="H242" s="68"/>
      <c r="I242" s="70"/>
      <c r="J242" s="1"/>
      <c r="K242" s="68"/>
      <c r="L242" s="70"/>
      <c r="M242" s="67"/>
      <c r="N242" s="68"/>
      <c r="O242" s="76"/>
      <c r="P242" s="83" t="s">
        <v>5895</v>
      </c>
      <c r="Q242" s="64" t="s">
        <v>1</v>
      </c>
      <c r="R242" s="65">
        <v>1</v>
      </c>
      <c r="S242" s="99"/>
      <c r="T242" s="70"/>
      <c r="U242" s="99"/>
      <c r="V242" s="70"/>
      <c r="W242" s="81" t="s">
        <v>8083</v>
      </c>
      <c r="X242" s="57" t="s">
        <v>1</v>
      </c>
      <c r="Y242" s="58">
        <v>0.25</v>
      </c>
      <c r="Z242" s="77" t="s">
        <v>422</v>
      </c>
      <c r="AA242" s="81"/>
      <c r="AB242" s="57"/>
      <c r="AC242" s="58"/>
      <c r="AD242" s="77"/>
      <c r="AE242" s="120">
        <f>ROUND((ROUND((ROUND((ROUND((_15_同援日２．０*_15・通訳),0)*_15・２人),0)*(1+_15・盲ろう)),0)*(1+_15・区３)),0)+ROUND((ROUND((ROUND((ROUND((ROUND((_15_同援日２．０＿０．５*_15・通訳),0)*_15・２人),0)*(1+_15・B夜間)),0)*(1+_15・盲ろう)),0)*(1+_15・区３)),0)+ROUND((ROUND((ROUND((ROUND((ROUND((_15_同援日２．０＿０．５＿０．５*_15・通訳),0)*_15・２人),0)*(1+_15・C深夜)),0)*(1+_15・盲ろう)),0)*(1+_15・区３)),0)</f>
        <v>892</v>
      </c>
      <c r="AF242" s="69"/>
    </row>
    <row r="243" spans="1:32" ht="16.5" customHeight="1" x14ac:dyDescent="0.3">
      <c r="A243" s="2">
        <v>15</v>
      </c>
      <c r="B243" s="2" t="s">
        <v>5271</v>
      </c>
      <c r="C243" s="60" t="s">
        <v>15469</v>
      </c>
      <c r="D243" s="1"/>
      <c r="E243" s="68"/>
      <c r="F243" s="70"/>
      <c r="G243" s="1"/>
      <c r="H243" s="68"/>
      <c r="I243" s="70"/>
      <c r="J243" s="1"/>
      <c r="K243" s="68"/>
      <c r="L243" s="70"/>
      <c r="M243" s="67"/>
      <c r="N243" s="68"/>
      <c r="O243" s="76"/>
      <c r="P243" s="83"/>
      <c r="Q243" s="64"/>
      <c r="R243" s="65"/>
      <c r="S243" s="99"/>
      <c r="T243" s="70"/>
      <c r="U243" s="99"/>
      <c r="V243" s="70"/>
      <c r="W243" s="74"/>
      <c r="X243" s="62"/>
      <c r="Y243" s="63"/>
      <c r="Z243" s="75"/>
      <c r="AA243" s="74" t="s">
        <v>8089</v>
      </c>
      <c r="AB243" s="62"/>
      <c r="AC243" s="63"/>
      <c r="AD243" s="75"/>
      <c r="AE243" s="120">
        <f>ROUND((ROUND((_15_同援日２．０*_15・通訳),0)*(1+_15・区４)),0)+ROUND((ROUND((ROUND((_15_同援日２．０＿０．５*_15・通訳),0)*(1+_15・B夜間)),0)*(1+_15・区４)),0)+ROUND((ROUND((ROUND((_15_同援日２．０＿０．５＿０．５*_15・通訳),0)*(1+_15・C深夜)),0)*(1+_15・区４)),0)</f>
        <v>831</v>
      </c>
      <c r="AF243" s="69"/>
    </row>
    <row r="244" spans="1:32" ht="16.5" customHeight="1" x14ac:dyDescent="0.3">
      <c r="A244" s="2">
        <v>15</v>
      </c>
      <c r="B244" s="2" t="s">
        <v>5272</v>
      </c>
      <c r="C244" s="60" t="s">
        <v>15468</v>
      </c>
      <c r="D244" s="1"/>
      <c r="E244" s="68"/>
      <c r="F244" s="70"/>
      <c r="G244" s="1"/>
      <c r="H244" s="68"/>
      <c r="I244" s="70"/>
      <c r="J244" s="1"/>
      <c r="K244" s="68"/>
      <c r="L244" s="70"/>
      <c r="M244" s="67"/>
      <c r="N244" s="68"/>
      <c r="O244" s="76"/>
      <c r="P244" s="83" t="s">
        <v>5895</v>
      </c>
      <c r="Q244" s="64" t="s">
        <v>1</v>
      </c>
      <c r="R244" s="65">
        <v>1</v>
      </c>
      <c r="S244" s="99"/>
      <c r="T244" s="70"/>
      <c r="U244" s="99"/>
      <c r="V244" s="70"/>
      <c r="W244" s="81"/>
      <c r="X244" s="57"/>
      <c r="Y244" s="58"/>
      <c r="Z244" s="77"/>
      <c r="AA244" s="1" t="s">
        <v>18026</v>
      </c>
      <c r="AB244" s="68"/>
      <c r="AC244" s="76"/>
      <c r="AD244" s="70"/>
      <c r="AE244" s="120">
        <f>ROUND((ROUND((ROUND((_15_同援日２．０*_15・通訳),0)*_15・２人),0)*(1+_15・区４)),0)+ROUND((ROUND((ROUND((ROUND((_15_同援日２．０＿０．５*_15・通訳),0)*_15・２人),0)*(1+_15・B夜間)),0)*(1+_15・区４)),0)+ROUND((ROUND((ROUND((ROUND((_15_同援日２．０＿０．５＿０．５*_15・通訳),0)*_15・２人),0)*(1+_15・C深夜)),0)*(1+_15・区４)),0)</f>
        <v>831</v>
      </c>
      <c r="AF244" s="69"/>
    </row>
    <row r="245" spans="1:32" ht="16.5" customHeight="1" x14ac:dyDescent="0.3">
      <c r="A245" s="2">
        <v>15</v>
      </c>
      <c r="B245" s="2" t="s">
        <v>5273</v>
      </c>
      <c r="C245" s="60" t="s">
        <v>15467</v>
      </c>
      <c r="D245" s="1"/>
      <c r="E245" s="68"/>
      <c r="F245" s="70"/>
      <c r="G245" s="1"/>
      <c r="H245" s="68"/>
      <c r="I245" s="70"/>
      <c r="J245" s="1"/>
      <c r="K245" s="68"/>
      <c r="L245" s="70"/>
      <c r="M245" s="67"/>
      <c r="N245" s="68"/>
      <c r="O245" s="76"/>
      <c r="P245" s="83"/>
      <c r="Q245" s="64"/>
      <c r="R245" s="65"/>
      <c r="S245" s="99"/>
      <c r="T245" s="70"/>
      <c r="U245" s="99"/>
      <c r="V245" s="70"/>
      <c r="W245" s="74" t="s">
        <v>18025</v>
      </c>
      <c r="X245" s="62"/>
      <c r="Y245" s="63"/>
      <c r="Z245" s="75"/>
      <c r="AA245" s="1"/>
      <c r="AB245" s="68" t="s">
        <v>1</v>
      </c>
      <c r="AC245" s="76">
        <v>0.4</v>
      </c>
      <c r="AD245" s="70" t="s">
        <v>422</v>
      </c>
      <c r="AE245" s="228">
        <f>ROUND((ROUND((ROUND((_15_同援日２．０*_15・通訳),0)*(1+_15・盲ろう)),0)*(1+_15・区４)),0)+ROUND((ROUND((ROUND((ROUND((_15_同援日２．０＿０．５*_15・通訳),0)*(1+_15・B夜間)),0)*(1+_15・盲ろう)),0)*(1+_15・区４)),0)+ROUND((ROUND((ROUND((ROUND((_15_同援日２．０＿０．５＿０．５*_15・通訳),0)*(1+_15・C深夜)),0)*(1+_15・盲ろう)),0)*(1+_15・区４)),0)</f>
        <v>1040</v>
      </c>
      <c r="AF245" s="69"/>
    </row>
    <row r="246" spans="1:32" ht="16.5" customHeight="1" x14ac:dyDescent="0.3">
      <c r="A246" s="2">
        <v>15</v>
      </c>
      <c r="B246" s="2" t="s">
        <v>5274</v>
      </c>
      <c r="C246" s="60" t="s">
        <v>15466</v>
      </c>
      <c r="D246" s="81"/>
      <c r="E246" s="57"/>
      <c r="F246" s="77"/>
      <c r="G246" s="81"/>
      <c r="H246" s="57"/>
      <c r="I246" s="77"/>
      <c r="J246" s="81"/>
      <c r="K246" s="57"/>
      <c r="L246" s="77"/>
      <c r="M246" s="66"/>
      <c r="N246" s="57"/>
      <c r="O246" s="58"/>
      <c r="P246" s="83" t="s">
        <v>5895</v>
      </c>
      <c r="Q246" s="64" t="s">
        <v>1</v>
      </c>
      <c r="R246" s="65">
        <v>1</v>
      </c>
      <c r="S246" s="101"/>
      <c r="T246" s="77"/>
      <c r="U246" s="101"/>
      <c r="V246" s="77"/>
      <c r="W246" s="81" t="s">
        <v>8083</v>
      </c>
      <c r="X246" s="57" t="s">
        <v>1</v>
      </c>
      <c r="Y246" s="58">
        <v>0.25</v>
      </c>
      <c r="Z246" s="77" t="s">
        <v>422</v>
      </c>
      <c r="AA246" s="81"/>
      <c r="AB246" s="57"/>
      <c r="AC246" s="58"/>
      <c r="AD246" s="77"/>
      <c r="AE246" s="228">
        <f>ROUND((ROUND((ROUND((ROUND((_15_同援日２．０*_15・通訳),0)*_15・２人),0)*(1+_15・盲ろう)),0)*(1+_15・区４)),0)+ROUND((ROUND((ROUND((ROUND((ROUND((_15_同援日２．０＿０．５*_15・通訳),0)*_15・２人),0)*(1+_15・B夜間)),0)*(1+_15・盲ろう)),0)*(1+_15・区４)),0)+ROUND((ROUND((ROUND((ROUND((ROUND((_15_同援日２．０＿０．５＿０．５*_15・通訳),0)*_15・２人),0)*(1+_15・C深夜)),0)*(1+_15・盲ろう)),0)*(1+_15・区４)),0)</f>
        <v>1040</v>
      </c>
      <c r="AF246" s="71"/>
    </row>
    <row r="247" spans="1:32" ht="16.5" customHeight="1" x14ac:dyDescent="0.3">
      <c r="P247" s="114"/>
      <c r="W247" s="114"/>
      <c r="AA247" s="114"/>
    </row>
    <row r="248" spans="1:32" ht="16.5" customHeight="1" x14ac:dyDescent="0.3">
      <c r="P248" s="114"/>
      <c r="W248" s="114"/>
      <c r="AA248" s="114"/>
    </row>
    <row r="249" spans="1:32" ht="16.5" customHeight="1" x14ac:dyDescent="0.3">
      <c r="B249" s="229" t="s">
        <v>18386</v>
      </c>
      <c r="C249" s="131"/>
      <c r="D249" s="230"/>
      <c r="E249" s="231"/>
      <c r="F249" s="231"/>
      <c r="G249" s="131"/>
      <c r="H249" s="231"/>
      <c r="I249" s="231"/>
      <c r="J249" s="131"/>
      <c r="K249" s="231"/>
      <c r="L249" s="231"/>
      <c r="M249" s="231"/>
      <c r="P249" s="114"/>
      <c r="W249" s="114"/>
      <c r="AA249" s="114"/>
    </row>
    <row r="250" spans="1:32" ht="16.5" customHeight="1" x14ac:dyDescent="0.3">
      <c r="A250" s="50" t="s">
        <v>5864</v>
      </c>
      <c r="B250" s="51"/>
      <c r="C250" s="52" t="s">
        <v>5867</v>
      </c>
      <c r="D250" s="79" t="s">
        <v>5868</v>
      </c>
      <c r="E250" s="53"/>
      <c r="F250" s="53"/>
      <c r="G250" s="79"/>
      <c r="H250" s="53"/>
      <c r="I250" s="53"/>
      <c r="J250" s="79"/>
      <c r="K250" s="53"/>
      <c r="L250" s="53"/>
      <c r="M250" s="53"/>
      <c r="N250" s="53"/>
      <c r="O250" s="54"/>
      <c r="P250" s="91"/>
      <c r="Q250" s="53"/>
      <c r="R250" s="54"/>
      <c r="S250" s="54"/>
      <c r="T250" s="53"/>
      <c r="U250" s="54"/>
      <c r="V250" s="53"/>
      <c r="W250" s="91"/>
      <c r="X250" s="53"/>
      <c r="Y250" s="54"/>
      <c r="Z250" s="53"/>
      <c r="AA250" s="91"/>
      <c r="AB250" s="53"/>
      <c r="AC250" s="54"/>
      <c r="AD250" s="53"/>
      <c r="AE250" s="55" t="s">
        <v>5869</v>
      </c>
      <c r="AF250" s="55" t="s">
        <v>5871</v>
      </c>
    </row>
    <row r="251" spans="1:32" ht="16.5" customHeight="1" x14ac:dyDescent="0.3">
      <c r="A251" s="2" t="s">
        <v>5865</v>
      </c>
      <c r="B251" s="2" t="s">
        <v>5866</v>
      </c>
      <c r="C251" s="56"/>
      <c r="D251" s="80" t="s">
        <v>5872</v>
      </c>
      <c r="E251" s="86"/>
      <c r="F251" s="87"/>
      <c r="G251" s="73"/>
      <c r="H251" s="57"/>
      <c r="I251" s="57"/>
      <c r="J251" s="80" t="s">
        <v>17490</v>
      </c>
      <c r="K251" s="86"/>
      <c r="L251" s="87"/>
      <c r="M251" s="57"/>
      <c r="N251" s="57"/>
      <c r="O251" s="58"/>
      <c r="P251" s="90"/>
      <c r="Q251" s="57"/>
      <c r="R251" s="58"/>
      <c r="S251" s="58"/>
      <c r="T251" s="57"/>
      <c r="U251" s="58"/>
      <c r="V251" s="57"/>
      <c r="W251" s="90"/>
      <c r="X251" s="57"/>
      <c r="Y251" s="58"/>
      <c r="Z251" s="57"/>
      <c r="AA251" s="90"/>
      <c r="AB251" s="57"/>
      <c r="AC251" s="58"/>
      <c r="AD251" s="57"/>
      <c r="AE251" s="59" t="s">
        <v>5870</v>
      </c>
      <c r="AF251" s="59" t="s">
        <v>0</v>
      </c>
    </row>
    <row r="252" spans="1:32" ht="16.5" customHeight="1" x14ac:dyDescent="0.3">
      <c r="A252" s="2">
        <v>15</v>
      </c>
      <c r="B252" s="2" t="s">
        <v>5275</v>
      </c>
      <c r="C252" s="60" t="s">
        <v>15465</v>
      </c>
      <c r="D252" s="233" t="s">
        <v>18385</v>
      </c>
      <c r="E252" s="235"/>
      <c r="F252" s="75"/>
      <c r="G252" s="233" t="s">
        <v>17506</v>
      </c>
      <c r="H252" s="235"/>
      <c r="I252" s="75"/>
      <c r="J252" s="74" t="s">
        <v>17489</v>
      </c>
      <c r="K252" s="62"/>
      <c r="L252" s="75"/>
      <c r="M252" s="61"/>
      <c r="N252" s="62"/>
      <c r="O252" s="63"/>
      <c r="P252" s="83"/>
      <c r="Q252" s="64"/>
      <c r="R252" s="65"/>
      <c r="S252" s="98"/>
      <c r="T252" s="75"/>
      <c r="U252" s="98"/>
      <c r="V252" s="75"/>
      <c r="W252" s="74"/>
      <c r="X252" s="62"/>
      <c r="Y252" s="63"/>
      <c r="Z252" s="75"/>
      <c r="AA252" s="74"/>
      <c r="AB252" s="62"/>
      <c r="AC252" s="63"/>
      <c r="AD252" s="75"/>
      <c r="AE252" s="228">
        <f>ROUND((ROUND((_15_同援日０．５*_15・通訳),0)*(1+_15・A早朝)),0)+ROUND((_15_同援日０．５＿２．０*_15・通訳),0)+ROUND((ROUND((_15_同援日０．５＿２．０＿０．５*_15・通訳),0)*(1+_15・C夜間)),0)</f>
        <v>607</v>
      </c>
      <c r="AF252" s="52" t="s">
        <v>5863</v>
      </c>
    </row>
    <row r="253" spans="1:32" ht="16.5" customHeight="1" x14ac:dyDescent="0.3">
      <c r="A253" s="2">
        <v>15</v>
      </c>
      <c r="B253" s="2" t="s">
        <v>5276</v>
      </c>
      <c r="C253" s="60" t="s">
        <v>15464</v>
      </c>
      <c r="D253" s="1" t="s">
        <v>7928</v>
      </c>
      <c r="E253" s="68"/>
      <c r="F253" s="70"/>
      <c r="G253" s="1" t="s">
        <v>16981</v>
      </c>
      <c r="H253" s="68"/>
      <c r="I253" s="70"/>
      <c r="J253" s="1" t="s">
        <v>7928</v>
      </c>
      <c r="K253" s="68"/>
      <c r="L253" s="70"/>
      <c r="M253" s="67"/>
      <c r="N253" s="68"/>
      <c r="O253" s="76"/>
      <c r="P253" s="83" t="s">
        <v>5895</v>
      </c>
      <c r="Q253" s="64" t="s">
        <v>1</v>
      </c>
      <c r="R253" s="65">
        <v>1</v>
      </c>
      <c r="S253" s="99"/>
      <c r="T253" s="70"/>
      <c r="U253" s="99"/>
      <c r="V253" s="70"/>
      <c r="W253" s="81"/>
      <c r="X253" s="57"/>
      <c r="Y253" s="58"/>
      <c r="Z253" s="77"/>
      <c r="AA253" s="1"/>
      <c r="AB253" s="68"/>
      <c r="AC253" s="76"/>
      <c r="AD253" s="70"/>
      <c r="AE253" s="228">
        <f>ROUND((ROUND((ROUND((_15_同援日０．５*_15・通訳),0)*_15・２人),0)*(1+_15・A早朝)),0)+ROUND((ROUND((_15_同援日０．５＿２．０*_15・通訳),0)*_15・２人),0)+ROUND((ROUND((ROUND((_15_同援日０．５＿２．０＿０．５*_15・通訳),0)*_15・２人),0)*(1+_15・C夜間)),0)</f>
        <v>607</v>
      </c>
      <c r="AF253" s="69"/>
    </row>
    <row r="254" spans="1:32" ht="16.5" customHeight="1" x14ac:dyDescent="0.3">
      <c r="A254" s="2">
        <v>15</v>
      </c>
      <c r="B254" s="2" t="s">
        <v>5277</v>
      </c>
      <c r="C254" s="60" t="s">
        <v>15463</v>
      </c>
      <c r="D254" s="1"/>
      <c r="E254" s="68"/>
      <c r="F254" s="70"/>
      <c r="G254" s="1" t="s">
        <v>6448</v>
      </c>
      <c r="H254" s="68"/>
      <c r="I254" s="70"/>
      <c r="J254" s="1"/>
      <c r="K254" s="68"/>
      <c r="L254" s="70"/>
      <c r="M254" s="67"/>
      <c r="N254" s="68"/>
      <c r="O254" s="76"/>
      <c r="P254" s="83"/>
      <c r="Q254" s="64"/>
      <c r="R254" s="65"/>
      <c r="S254" s="99"/>
      <c r="T254" s="70"/>
      <c r="U254" s="99"/>
      <c r="V254" s="70"/>
      <c r="W254" s="74" t="s">
        <v>18025</v>
      </c>
      <c r="X254" s="62"/>
      <c r="Y254" s="63"/>
      <c r="Z254" s="75"/>
      <c r="AA254" s="1"/>
      <c r="AB254" s="68"/>
      <c r="AC254" s="76"/>
      <c r="AD254" s="70"/>
      <c r="AE254" s="228">
        <f>ROUND((ROUND((ROUND((_15_同援日０．５*_15・通訳),0)*(1+_15・A早朝)),0)*(1+_15・盲ろう)),0)+ROUND((ROUND((_15_同援日０．５＿２．０*_15・通訳),0)*(1+_15・盲ろう)),0)+ROUND((ROUND((ROUND((_15_同援日０．５＿２．０＿０．５*_15・通訳),0)*(1+_15・C夜間)),0)*(1+_15・盲ろう)),0)</f>
        <v>759</v>
      </c>
      <c r="AF254" s="69"/>
    </row>
    <row r="255" spans="1:32" ht="16.5" customHeight="1" x14ac:dyDescent="0.3">
      <c r="A255" s="2">
        <v>15</v>
      </c>
      <c r="B255" s="2" t="s">
        <v>5278</v>
      </c>
      <c r="C255" s="60" t="s">
        <v>15462</v>
      </c>
      <c r="D255" s="1"/>
      <c r="E255" s="119">
        <v>184</v>
      </c>
      <c r="F255" s="70" t="s">
        <v>0</v>
      </c>
      <c r="G255" s="1"/>
      <c r="H255" s="227">
        <v>364</v>
      </c>
      <c r="I255" s="70" t="s">
        <v>0</v>
      </c>
      <c r="J255" s="1"/>
      <c r="K255" s="119">
        <v>63</v>
      </c>
      <c r="L255" s="70" t="s">
        <v>0</v>
      </c>
      <c r="M255" s="67"/>
      <c r="N255" s="68"/>
      <c r="O255" s="76"/>
      <c r="P255" s="83" t="s">
        <v>5895</v>
      </c>
      <c r="Q255" s="64" t="s">
        <v>1</v>
      </c>
      <c r="R255" s="65">
        <v>1</v>
      </c>
      <c r="S255" s="99" t="s">
        <v>7895</v>
      </c>
      <c r="T255" s="70"/>
      <c r="U255" s="99" t="s">
        <v>7743</v>
      </c>
      <c r="V255" s="70"/>
      <c r="W255" s="81" t="s">
        <v>18024</v>
      </c>
      <c r="X255" s="57" t="s">
        <v>1</v>
      </c>
      <c r="Y255" s="58">
        <v>0.25</v>
      </c>
      <c r="Z255" s="77" t="s">
        <v>422</v>
      </c>
      <c r="AA255" s="81"/>
      <c r="AB255" s="57"/>
      <c r="AC255" s="58"/>
      <c r="AD255" s="77"/>
      <c r="AE255" s="228">
        <f>ROUND((ROUND((ROUND((ROUND((_15_同援日０．５*_15・通訳),0)*_15・２人),0)*(1+_15・A早朝)),0)*(1+_15・盲ろう)),0)+ROUND((ROUND((ROUND((_15_同援日０．５＿２．０*_15・通訳),0)*_15・２人),0)*(1+_15・盲ろう)),0)+ROUND((ROUND((ROUND((ROUND((_15_同援日０．５＿２．０＿０．５*_15・通訳),0)*_15・２人),0)*(1+_15・C夜間)),0)*(1+_15・盲ろう)),0)</f>
        <v>759</v>
      </c>
      <c r="AF255" s="69"/>
    </row>
    <row r="256" spans="1:32" ht="16.5" customHeight="1" x14ac:dyDescent="0.3">
      <c r="A256" s="2">
        <v>15</v>
      </c>
      <c r="B256" s="2" t="s">
        <v>5279</v>
      </c>
      <c r="C256" s="60" t="s">
        <v>15461</v>
      </c>
      <c r="D256" s="1"/>
      <c r="E256" s="68"/>
      <c r="F256" s="70"/>
      <c r="G256" s="1"/>
      <c r="H256" s="68"/>
      <c r="I256" s="70"/>
      <c r="J256" s="1"/>
      <c r="K256" s="68"/>
      <c r="L256" s="70"/>
      <c r="M256" s="67"/>
      <c r="N256" s="68"/>
      <c r="O256" s="76"/>
      <c r="P256" s="83"/>
      <c r="Q256" s="64"/>
      <c r="R256" s="65"/>
      <c r="S256" s="99"/>
      <c r="T256" s="100" t="s">
        <v>7948</v>
      </c>
      <c r="U256" s="99"/>
      <c r="V256" s="100" t="s">
        <v>11531</v>
      </c>
      <c r="W256" s="74"/>
      <c r="X256" s="62"/>
      <c r="Y256" s="63"/>
      <c r="Z256" s="75"/>
      <c r="AA256" s="74" t="s">
        <v>18028</v>
      </c>
      <c r="AB256" s="62"/>
      <c r="AC256" s="63"/>
      <c r="AD256" s="75"/>
      <c r="AE256" s="228">
        <f>ROUND((ROUND((ROUND((_15_同援日０．５*_15・通訳),0)*(1+_15・A早朝)),0)*(1+_15・区３)),0)+ROUND((ROUND((_15_同援日０．５＿２．０*_15・通訳),0)*(1+_15・区３)),0)+ROUND((ROUND((ROUND((_15_同援日０．５＿２．０＿０．５*_15・通訳),0)*(1+_15・C夜間)),0)*(1+_15・区３)),0)</f>
        <v>729</v>
      </c>
      <c r="AF256" s="69"/>
    </row>
    <row r="257" spans="1:32" ht="16.5" customHeight="1" x14ac:dyDescent="0.3">
      <c r="A257" s="2">
        <v>15</v>
      </c>
      <c r="B257" s="2" t="s">
        <v>5280</v>
      </c>
      <c r="C257" s="60" t="s">
        <v>15460</v>
      </c>
      <c r="D257" s="1"/>
      <c r="E257" s="68"/>
      <c r="F257" s="70"/>
      <c r="G257" s="1"/>
      <c r="H257" s="68"/>
      <c r="I257" s="70"/>
      <c r="J257" s="1"/>
      <c r="K257" s="68"/>
      <c r="L257" s="70"/>
      <c r="M257" s="67" t="s">
        <v>13802</v>
      </c>
      <c r="N257" s="68"/>
      <c r="O257" s="76"/>
      <c r="P257" s="83" t="s">
        <v>5895</v>
      </c>
      <c r="Q257" s="64" t="s">
        <v>1</v>
      </c>
      <c r="R257" s="65">
        <v>1</v>
      </c>
      <c r="S257" s="99"/>
      <c r="T257" s="70"/>
      <c r="U257" s="99"/>
      <c r="V257" s="70"/>
      <c r="W257" s="81"/>
      <c r="X257" s="57"/>
      <c r="Y257" s="58"/>
      <c r="Z257" s="77"/>
      <c r="AA257" s="1" t="s">
        <v>18026</v>
      </c>
      <c r="AB257" s="68"/>
      <c r="AC257" s="76"/>
      <c r="AD257" s="70"/>
      <c r="AE257" s="228">
        <f>ROUND((ROUND((ROUND((ROUND((_15_同援日０．５*_15・通訳),0)*_15・２人),0)*(1+_15・A早朝)),0)*(1+_15・区３)),0)+ROUND((ROUND((ROUND((_15_同援日０．５＿２．０*_15・通訳),0)*_15・２人),0)*(1+_15・区３)),0)+ROUND((ROUND((ROUND((ROUND((_15_同援日０．５＿２．０＿０．５*_15・通訳),0)*_15・２人),0)*(1+_15・C夜間)),0)*(1+_15・区３)),0)</f>
        <v>729</v>
      </c>
      <c r="AF257" s="69"/>
    </row>
    <row r="258" spans="1:32" ht="16.5" customHeight="1" x14ac:dyDescent="0.3">
      <c r="A258" s="2">
        <v>15</v>
      </c>
      <c r="B258" s="2" t="s">
        <v>5281</v>
      </c>
      <c r="C258" s="60" t="s">
        <v>15459</v>
      </c>
      <c r="D258" s="1"/>
      <c r="E258" s="68"/>
      <c r="F258" s="70"/>
      <c r="G258" s="1"/>
      <c r="H258" s="68"/>
      <c r="I258" s="70"/>
      <c r="J258" s="1"/>
      <c r="K258" s="68"/>
      <c r="L258" s="70"/>
      <c r="M258" s="67" t="s">
        <v>13800</v>
      </c>
      <c r="N258" s="68" t="s">
        <v>1</v>
      </c>
      <c r="O258" s="76">
        <v>0.9</v>
      </c>
      <c r="P258" s="83"/>
      <c r="Q258" s="64"/>
      <c r="R258" s="65"/>
      <c r="S258" s="67" t="s">
        <v>1</v>
      </c>
      <c r="T258" s="93">
        <v>0.25</v>
      </c>
      <c r="U258" s="67" t="s">
        <v>1</v>
      </c>
      <c r="V258" s="93">
        <v>0.25</v>
      </c>
      <c r="W258" s="74" t="s">
        <v>18025</v>
      </c>
      <c r="X258" s="62"/>
      <c r="Y258" s="63"/>
      <c r="Z258" s="75"/>
      <c r="AA258" s="1"/>
      <c r="AB258" s="68" t="s">
        <v>1</v>
      </c>
      <c r="AC258" s="76">
        <v>0.2</v>
      </c>
      <c r="AD258" s="70" t="s">
        <v>422</v>
      </c>
      <c r="AE258" s="228">
        <f>ROUND((ROUND((ROUND((ROUND((_15_同援日０．５*_15・通訳),0)*(1+_15・A早朝)),0)*(1+_15・盲ろう)),0)*(1+_15・区３)),0)+ROUND((ROUND((ROUND((_15_同援日０．５＿２．０*_15・通訳),0)*(1+_15・盲ろう)),0)*(1+_15・区３)),0)+ROUND((ROUND((ROUND((ROUND((_15_同援日０．５＿２．０＿０．５*_15・通訳),0)*(1+_15・C夜間)),0)*(1+_15・盲ろう)),0)*(1+_15・区３)),0)</f>
        <v>911</v>
      </c>
      <c r="AF258" s="69"/>
    </row>
    <row r="259" spans="1:32" ht="16.5" customHeight="1" x14ac:dyDescent="0.3">
      <c r="A259" s="2">
        <v>15</v>
      </c>
      <c r="B259" s="2" t="s">
        <v>5282</v>
      </c>
      <c r="C259" s="60" t="s">
        <v>15458</v>
      </c>
      <c r="D259" s="1"/>
      <c r="E259" s="68"/>
      <c r="F259" s="70"/>
      <c r="G259" s="1"/>
      <c r="H259" s="68"/>
      <c r="I259" s="70"/>
      <c r="J259" s="1"/>
      <c r="K259" s="68"/>
      <c r="L259" s="70"/>
      <c r="M259" s="67"/>
      <c r="N259" s="68"/>
      <c r="O259" s="76"/>
      <c r="P259" s="83" t="s">
        <v>5895</v>
      </c>
      <c r="Q259" s="64" t="s">
        <v>1</v>
      </c>
      <c r="R259" s="65">
        <v>1</v>
      </c>
      <c r="S259" s="99"/>
      <c r="T259" s="100" t="s">
        <v>422</v>
      </c>
      <c r="U259" s="99"/>
      <c r="V259" s="100" t="s">
        <v>422</v>
      </c>
      <c r="W259" s="81" t="s">
        <v>18024</v>
      </c>
      <c r="X259" s="57" t="s">
        <v>1</v>
      </c>
      <c r="Y259" s="58">
        <v>0.25</v>
      </c>
      <c r="Z259" s="77" t="s">
        <v>422</v>
      </c>
      <c r="AA259" s="81"/>
      <c r="AB259" s="57"/>
      <c r="AC259" s="58"/>
      <c r="AD259" s="77"/>
      <c r="AE259" s="228">
        <f>ROUND((ROUND((ROUND((ROUND((ROUND((_15_同援日０．５*_15・通訳),0)*_15・２人),0)*(1+_15・A早朝)),0)*(1+_15・盲ろう)),0)*(1+_15・区３)),0)+ROUND((ROUND((ROUND((ROUND((_15_同援日０．５＿２．０*_15・通訳),0)*_15・２人),0)*(1+_15・盲ろう)),0)*(1+_15・区３)),0)+ROUND((ROUND((ROUND((ROUND((ROUND((_15_同援日０．５＿２．０＿０．５*_15・通訳),0)*_15・２人),0)*(1+_15・C夜間)),0)*(1+_15・盲ろう)),0)*(1+_15・区３)),0)</f>
        <v>911</v>
      </c>
      <c r="AF259" s="69"/>
    </row>
    <row r="260" spans="1:32" ht="16.5" customHeight="1" x14ac:dyDescent="0.3">
      <c r="A260" s="2">
        <v>15</v>
      </c>
      <c r="B260" s="2" t="s">
        <v>5283</v>
      </c>
      <c r="C260" s="60" t="s">
        <v>15457</v>
      </c>
      <c r="D260" s="1"/>
      <c r="E260" s="68"/>
      <c r="F260" s="70"/>
      <c r="G260" s="1"/>
      <c r="H260" s="68"/>
      <c r="I260" s="70"/>
      <c r="J260" s="1"/>
      <c r="K260" s="68"/>
      <c r="L260" s="70"/>
      <c r="M260" s="67"/>
      <c r="N260" s="68"/>
      <c r="O260" s="76"/>
      <c r="P260" s="83"/>
      <c r="Q260" s="64"/>
      <c r="R260" s="65"/>
      <c r="S260" s="99"/>
      <c r="T260" s="70"/>
      <c r="U260" s="99"/>
      <c r="V260" s="70"/>
      <c r="W260" s="74"/>
      <c r="X260" s="62"/>
      <c r="Y260" s="63"/>
      <c r="Z260" s="75"/>
      <c r="AA260" s="74" t="s">
        <v>18027</v>
      </c>
      <c r="AB260" s="62"/>
      <c r="AC260" s="63"/>
      <c r="AD260" s="75"/>
      <c r="AE260" s="228">
        <f>ROUND((ROUND((ROUND((_15_同援日０．５*_15・通訳),0)*(1+_15・A早朝)),0)*(1+_15・区４)),0)+ROUND((ROUND((_15_同援日０．５＿２．０*_15・通訳),0)*(1+_15・区４)),0)+ROUND((ROUND((ROUND((_15_同援日０．５＿２．０＿０．５*_15・通訳),0)*(1+_15・C夜間)),0)*(1+_15・区４)),0)</f>
        <v>849</v>
      </c>
      <c r="AF260" s="69"/>
    </row>
    <row r="261" spans="1:32" ht="16.5" customHeight="1" x14ac:dyDescent="0.3">
      <c r="A261" s="2">
        <v>15</v>
      </c>
      <c r="B261" s="2" t="s">
        <v>5284</v>
      </c>
      <c r="C261" s="60" t="s">
        <v>15456</v>
      </c>
      <c r="D261" s="1"/>
      <c r="E261" s="68"/>
      <c r="F261" s="70"/>
      <c r="G261" s="1"/>
      <c r="H261" s="68"/>
      <c r="I261" s="70"/>
      <c r="J261" s="1"/>
      <c r="K261" s="68"/>
      <c r="L261" s="70"/>
      <c r="M261" s="67"/>
      <c r="N261" s="68"/>
      <c r="O261" s="76"/>
      <c r="P261" s="83" t="s">
        <v>5895</v>
      </c>
      <c r="Q261" s="64" t="s">
        <v>1</v>
      </c>
      <c r="R261" s="65">
        <v>1</v>
      </c>
      <c r="S261" s="99"/>
      <c r="T261" s="70"/>
      <c r="U261" s="99"/>
      <c r="V261" s="70"/>
      <c r="W261" s="81"/>
      <c r="X261" s="57"/>
      <c r="Y261" s="58"/>
      <c r="Z261" s="77"/>
      <c r="AA261" s="1" t="s">
        <v>18026</v>
      </c>
      <c r="AB261" s="68"/>
      <c r="AC261" s="76"/>
      <c r="AD261" s="70"/>
      <c r="AE261" s="228">
        <f>ROUND((ROUND((ROUND((ROUND((_15_同援日０．５*_15・通訳),0)*_15・２人),0)*(1+_15・A早朝)),0)*(1+_15・区４)),0)+ROUND((ROUND((ROUND((_15_同援日０．５＿２．０*_15・通訳),0)*_15・２人),0)*(1+_15・区４)),0)+ROUND((ROUND((ROUND((ROUND((_15_同援日０．５＿２．０＿０．５*_15・通訳),0)*_15・２人),0)*(1+_15・C夜間)),0)*(1+_15・区４)),0)</f>
        <v>849</v>
      </c>
      <c r="AF261" s="69"/>
    </row>
    <row r="262" spans="1:32" ht="16.5" customHeight="1" x14ac:dyDescent="0.3">
      <c r="A262" s="2">
        <v>15</v>
      </c>
      <c r="B262" s="2" t="s">
        <v>5285</v>
      </c>
      <c r="C262" s="60" t="s">
        <v>15455</v>
      </c>
      <c r="D262" s="1"/>
      <c r="E262" s="68"/>
      <c r="F262" s="70"/>
      <c r="G262" s="1"/>
      <c r="H262" s="68"/>
      <c r="I262" s="70"/>
      <c r="J262" s="1"/>
      <c r="K262" s="68"/>
      <c r="L262" s="70"/>
      <c r="M262" s="67"/>
      <c r="N262" s="68"/>
      <c r="O262" s="76"/>
      <c r="P262" s="83"/>
      <c r="Q262" s="64"/>
      <c r="R262" s="65"/>
      <c r="S262" s="99"/>
      <c r="T262" s="70"/>
      <c r="U262" s="99"/>
      <c r="V262" s="70"/>
      <c r="W262" s="74" t="s">
        <v>18025</v>
      </c>
      <c r="X262" s="62"/>
      <c r="Y262" s="63"/>
      <c r="Z262" s="75"/>
      <c r="AA262" s="1"/>
      <c r="AB262" s="68" t="s">
        <v>1</v>
      </c>
      <c r="AC262" s="76">
        <v>0.4</v>
      </c>
      <c r="AD262" s="70" t="s">
        <v>422</v>
      </c>
      <c r="AE262" s="228">
        <f>ROUND((ROUND((ROUND((ROUND((_15_同援日０．５*_15・通訳),0)*(1+_15・A早朝)),0)*(1+_15・盲ろう)),0)*(1+_15・区４)),0)+ROUND((ROUND((ROUND((_15_同援日０．５＿２．０*_15・通訳),0)*(1+_15・盲ろう)),0)*(1+_15・区４)),0)+ROUND((ROUND((ROUND((ROUND((_15_同援日０．５＿２．０＿０．５*_15・通訳),0)*(1+_15・C夜間)),0)*(1+_15・盲ろう)),0)*(1+_15・区４)),0)</f>
        <v>1063</v>
      </c>
      <c r="AF262" s="69"/>
    </row>
    <row r="263" spans="1:32" ht="16.5" customHeight="1" x14ac:dyDescent="0.3">
      <c r="A263" s="2">
        <v>15</v>
      </c>
      <c r="B263" s="2" t="s">
        <v>5286</v>
      </c>
      <c r="C263" s="60" t="s">
        <v>15454</v>
      </c>
      <c r="D263" s="81"/>
      <c r="E263" s="57"/>
      <c r="F263" s="77"/>
      <c r="G263" s="81"/>
      <c r="H263" s="57"/>
      <c r="I263" s="77"/>
      <c r="J263" s="81"/>
      <c r="K263" s="57"/>
      <c r="L263" s="77"/>
      <c r="M263" s="66"/>
      <c r="N263" s="57"/>
      <c r="O263" s="58"/>
      <c r="P263" s="83" t="s">
        <v>5895</v>
      </c>
      <c r="Q263" s="64" t="s">
        <v>1</v>
      </c>
      <c r="R263" s="65">
        <v>1</v>
      </c>
      <c r="S263" s="101"/>
      <c r="T263" s="77"/>
      <c r="U263" s="101"/>
      <c r="V263" s="77"/>
      <c r="W263" s="81" t="s">
        <v>18024</v>
      </c>
      <c r="X263" s="57" t="s">
        <v>1</v>
      </c>
      <c r="Y263" s="58">
        <v>0.25</v>
      </c>
      <c r="Z263" s="77" t="s">
        <v>422</v>
      </c>
      <c r="AA263" s="81"/>
      <c r="AB263" s="57"/>
      <c r="AC263" s="58"/>
      <c r="AD263" s="77"/>
      <c r="AE263" s="228">
        <f>ROUND((ROUND((ROUND((ROUND((ROUND((_15_同援日０．５*_15・通訳),0)*_15・２人),0)*(1+_15・A早朝)),0)*(1+_15・盲ろう)),0)*(1+_15・区４)),0)+ROUND((ROUND((ROUND((ROUND((_15_同援日０．５＿２．０*_15・通訳),0)*_15・２人),0)*(1+_15・盲ろう)),0)*(1+_15・区４)),0)+ROUND((ROUND((ROUND((ROUND((ROUND((_15_同援日０．５＿２．０＿０．５*_15・通訳),0)*_15・２人),0)*(1+_15・C夜間)),0)*(1+_15・盲ろう)),0)*(1+_15・区４)),0)</f>
        <v>1063</v>
      </c>
      <c r="AF263" s="71"/>
    </row>
    <row r="264" spans="1:32" ht="16.5" customHeight="1" x14ac:dyDescent="0.3"/>
    <row r="265" spans="1:3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39" fitToHeight="0" orientation="portrait" r:id="rId1"/>
  <headerFooter>
    <oddHeader>&amp;R&amp;"ＭＳ Ｐゴシック"&amp;9同行援護</oddHeader>
    <oddFooter>&amp;C&amp;"ＭＳ Ｐゴシック"&amp;14&amp;P</oddFooter>
  </headerFooter>
  <rowBreaks count="2" manualBreakCount="2">
    <brk id="126" max="16383" man="1"/>
    <brk id="246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0000"/>
    <pageSetUpPr fitToPage="1"/>
  </sheetPr>
  <dimension ref="A1:V260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6.62890625" style="45" customWidth="1"/>
    <col min="5" max="5" width="5.89453125" style="46" bestFit="1" customWidth="1"/>
    <col min="6" max="6" width="4.734375" style="46" bestFit="1" customWidth="1"/>
    <col min="7" max="7" width="16.62890625" style="46" customWidth="1"/>
    <col min="8" max="8" width="3.1015625" style="46" bestFit="1" customWidth="1"/>
    <col min="9" max="9" width="4.1015625" style="47" bestFit="1" customWidth="1"/>
    <col min="10" max="10" width="26.47265625" style="46" customWidth="1"/>
    <col min="11" max="11" width="3.1015625" style="46" bestFit="1" customWidth="1"/>
    <col min="12" max="12" width="5" style="47" bestFit="1" customWidth="1"/>
    <col min="13" max="13" width="21.62890625" style="46" customWidth="1"/>
    <col min="14" max="14" width="3.1015625" style="46" bestFit="1" customWidth="1"/>
    <col min="15" max="15" width="4.1015625" style="47" bestFit="1" customWidth="1"/>
    <col min="16" max="16" width="4.734375" style="46" bestFit="1" customWidth="1"/>
    <col min="17" max="17" width="8.62890625" style="46" customWidth="1"/>
    <col min="18" max="18" width="3.1015625" style="46" bestFit="1" customWidth="1"/>
    <col min="19" max="19" width="4.1015625" style="47" bestFit="1" customWidth="1"/>
    <col min="20" max="20" width="4.734375" style="46" bestFit="1" customWidth="1"/>
    <col min="21" max="21" width="6.3671875" style="84" bestFit="1" customWidth="1"/>
    <col min="22" max="22" width="7.734375" style="48" bestFit="1" customWidth="1"/>
    <col min="23" max="16384" width="9" style="49"/>
  </cols>
  <sheetData>
    <row r="1" spans="1:22" ht="16.5" customHeight="1" x14ac:dyDescent="0.3"/>
    <row r="2" spans="1:22" ht="16.5" customHeight="1" x14ac:dyDescent="0.3"/>
    <row r="3" spans="1:22" ht="16.5" customHeight="1" x14ac:dyDescent="0.3"/>
    <row r="4" spans="1:22" ht="16.5" customHeight="1" x14ac:dyDescent="0.3">
      <c r="B4" s="229" t="s">
        <v>18416</v>
      </c>
      <c r="C4" s="131"/>
      <c r="D4" s="72"/>
    </row>
    <row r="5" spans="1:22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3"/>
      <c r="N5" s="53"/>
      <c r="O5" s="54"/>
      <c r="P5" s="53"/>
      <c r="Q5" s="53"/>
      <c r="R5" s="53"/>
      <c r="S5" s="54"/>
      <c r="T5" s="53"/>
      <c r="U5" s="55" t="s">
        <v>5869</v>
      </c>
      <c r="V5" s="55" t="s">
        <v>5871</v>
      </c>
    </row>
    <row r="6" spans="1:22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7"/>
      <c r="N6" s="57"/>
      <c r="O6" s="58"/>
      <c r="P6" s="57"/>
      <c r="Q6" s="57"/>
      <c r="R6" s="57"/>
      <c r="S6" s="58"/>
      <c r="T6" s="57"/>
      <c r="U6" s="59" t="s">
        <v>5870</v>
      </c>
      <c r="V6" s="59" t="s">
        <v>0</v>
      </c>
    </row>
    <row r="7" spans="1:22" ht="16.5" customHeight="1" x14ac:dyDescent="0.3">
      <c r="A7" s="2">
        <v>15</v>
      </c>
      <c r="B7" s="2" t="s">
        <v>5287</v>
      </c>
      <c r="C7" s="60" t="s">
        <v>15956</v>
      </c>
      <c r="D7" s="233" t="s">
        <v>18415</v>
      </c>
      <c r="E7" s="235"/>
      <c r="F7" s="75"/>
      <c r="G7" s="61"/>
      <c r="H7" s="62"/>
      <c r="I7" s="63"/>
      <c r="J7" s="85"/>
      <c r="K7" s="64"/>
      <c r="L7" s="65"/>
      <c r="M7" s="61"/>
      <c r="N7" s="62"/>
      <c r="O7" s="63"/>
      <c r="P7" s="75"/>
      <c r="Q7" s="61"/>
      <c r="R7" s="62"/>
      <c r="S7" s="63"/>
      <c r="T7" s="75"/>
      <c r="U7" s="120">
        <f>ROUND((_15_同援日増０．５*_15・通訳),0)</f>
        <v>57</v>
      </c>
      <c r="V7" s="52" t="s">
        <v>5863</v>
      </c>
    </row>
    <row r="8" spans="1:22" ht="16.5" customHeight="1" x14ac:dyDescent="0.3">
      <c r="A8" s="2">
        <v>15</v>
      </c>
      <c r="B8" s="2" t="s">
        <v>5288</v>
      </c>
      <c r="C8" s="60" t="s">
        <v>15955</v>
      </c>
      <c r="D8" s="1" t="s">
        <v>7928</v>
      </c>
      <c r="E8" s="68"/>
      <c r="F8" s="70"/>
      <c r="G8" s="67"/>
      <c r="H8" s="68"/>
      <c r="I8" s="76"/>
      <c r="J8" s="83" t="s">
        <v>5895</v>
      </c>
      <c r="K8" s="64" t="s">
        <v>1</v>
      </c>
      <c r="L8" s="65">
        <v>1</v>
      </c>
      <c r="M8" s="66"/>
      <c r="N8" s="57"/>
      <c r="O8" s="58"/>
      <c r="P8" s="77"/>
      <c r="Q8" s="67"/>
      <c r="R8" s="68"/>
      <c r="S8" s="76"/>
      <c r="T8" s="70"/>
      <c r="U8" s="120">
        <f>ROUND((ROUND((_15_同援日増０．５*_15・通訳),0)*_15・２人),0)</f>
        <v>57</v>
      </c>
      <c r="V8" s="69"/>
    </row>
    <row r="9" spans="1:22" ht="16.5" customHeight="1" x14ac:dyDescent="0.3">
      <c r="A9" s="2">
        <v>15</v>
      </c>
      <c r="B9" s="2" t="s">
        <v>5289</v>
      </c>
      <c r="C9" s="60" t="s">
        <v>15954</v>
      </c>
      <c r="D9" s="1"/>
      <c r="E9" s="68"/>
      <c r="F9" s="70"/>
      <c r="G9" s="67"/>
      <c r="H9" s="68"/>
      <c r="I9" s="76"/>
      <c r="J9" s="85"/>
      <c r="K9" s="64"/>
      <c r="L9" s="65"/>
      <c r="M9" s="74" t="s">
        <v>17969</v>
      </c>
      <c r="N9" s="62"/>
      <c r="O9" s="63"/>
      <c r="P9" s="75"/>
      <c r="Q9" s="67"/>
      <c r="R9" s="68"/>
      <c r="S9" s="76"/>
      <c r="T9" s="70"/>
      <c r="U9" s="120">
        <f>ROUND((ROUND((_15_同援日増０．５*_15・通訳),0)*(1+_15・盲ろう)),0)</f>
        <v>71</v>
      </c>
      <c r="V9" s="69"/>
    </row>
    <row r="10" spans="1:22" ht="16.5" customHeight="1" x14ac:dyDescent="0.3">
      <c r="A10" s="2">
        <v>15</v>
      </c>
      <c r="B10" s="2" t="s">
        <v>5290</v>
      </c>
      <c r="C10" s="60" t="s">
        <v>15953</v>
      </c>
      <c r="D10" s="1"/>
      <c r="E10" s="119">
        <v>63</v>
      </c>
      <c r="F10" s="70" t="s">
        <v>0</v>
      </c>
      <c r="G10" s="67"/>
      <c r="H10" s="68"/>
      <c r="I10" s="76"/>
      <c r="J10" s="83" t="s">
        <v>5895</v>
      </c>
      <c r="K10" s="64" t="s">
        <v>1</v>
      </c>
      <c r="L10" s="65">
        <v>1</v>
      </c>
      <c r="M10" s="106" t="s">
        <v>17968</v>
      </c>
      <c r="N10" s="57" t="s">
        <v>1</v>
      </c>
      <c r="O10" s="58">
        <v>0.25</v>
      </c>
      <c r="P10" s="77" t="s">
        <v>422</v>
      </c>
      <c r="Q10" s="66"/>
      <c r="R10" s="57"/>
      <c r="S10" s="58"/>
      <c r="T10" s="77"/>
      <c r="U10" s="120">
        <f>ROUND((ROUND((ROUND((_15_同援日増０．５*_15・通訳),0)*_15・２人),0)*(1+_15・盲ろう)),0)</f>
        <v>71</v>
      </c>
      <c r="V10" s="69"/>
    </row>
    <row r="11" spans="1:22" ht="16.5" customHeight="1" x14ac:dyDescent="0.3">
      <c r="A11" s="2">
        <v>15</v>
      </c>
      <c r="B11" s="2" t="s">
        <v>5291</v>
      </c>
      <c r="C11" s="60" t="s">
        <v>15952</v>
      </c>
      <c r="D11" s="1"/>
      <c r="E11" s="68"/>
      <c r="F11" s="70"/>
      <c r="G11" s="67"/>
      <c r="H11" s="68"/>
      <c r="I11" s="76"/>
      <c r="J11" s="85"/>
      <c r="K11" s="64"/>
      <c r="L11" s="65"/>
      <c r="M11" s="61"/>
      <c r="N11" s="62"/>
      <c r="O11" s="63"/>
      <c r="P11" s="75"/>
      <c r="Q11" s="74" t="s">
        <v>17974</v>
      </c>
      <c r="R11" s="62"/>
      <c r="S11" s="63"/>
      <c r="T11" s="75"/>
      <c r="U11" s="120">
        <f>ROUND((ROUND((_15_同援日増０．５*_15・通訳),0)*(1+_15・区３)),0)</f>
        <v>68</v>
      </c>
      <c r="V11" s="69"/>
    </row>
    <row r="12" spans="1:22" ht="16.5" customHeight="1" x14ac:dyDescent="0.3">
      <c r="A12" s="2">
        <v>15</v>
      </c>
      <c r="B12" s="2" t="s">
        <v>5292</v>
      </c>
      <c r="C12" s="60" t="s">
        <v>15951</v>
      </c>
      <c r="D12" s="1"/>
      <c r="E12" s="68"/>
      <c r="F12" s="70"/>
      <c r="G12" s="1" t="s">
        <v>13802</v>
      </c>
      <c r="H12" s="68"/>
      <c r="I12" s="76"/>
      <c r="J12" s="83" t="s">
        <v>5895</v>
      </c>
      <c r="K12" s="64" t="s">
        <v>1</v>
      </c>
      <c r="L12" s="65">
        <v>1</v>
      </c>
      <c r="M12" s="66"/>
      <c r="N12" s="57"/>
      <c r="O12" s="58"/>
      <c r="P12" s="77"/>
      <c r="Q12" s="94" t="s">
        <v>17970</v>
      </c>
      <c r="R12" s="68"/>
      <c r="S12" s="76"/>
      <c r="T12" s="70"/>
      <c r="U12" s="120">
        <f>ROUND((ROUND((ROUND((_15_同援日増０．５*_15・通訳),0)*_15・２人),0)*(1+_15・区３)),0)</f>
        <v>68</v>
      </c>
      <c r="V12" s="69"/>
    </row>
    <row r="13" spans="1:22" ht="16.5" customHeight="1" x14ac:dyDescent="0.3">
      <c r="A13" s="2">
        <v>15</v>
      </c>
      <c r="B13" s="2" t="s">
        <v>5293</v>
      </c>
      <c r="C13" s="60" t="s">
        <v>15950</v>
      </c>
      <c r="D13" s="1"/>
      <c r="E13" s="68"/>
      <c r="F13" s="70"/>
      <c r="G13" s="94" t="s">
        <v>13800</v>
      </c>
      <c r="H13" s="68" t="s">
        <v>1</v>
      </c>
      <c r="I13" s="76">
        <v>0.9</v>
      </c>
      <c r="J13" s="85"/>
      <c r="K13" s="64"/>
      <c r="L13" s="65"/>
      <c r="M13" s="74" t="s">
        <v>17969</v>
      </c>
      <c r="N13" s="62"/>
      <c r="O13" s="63"/>
      <c r="P13" s="75"/>
      <c r="Q13" s="67"/>
      <c r="R13" s="68" t="s">
        <v>1</v>
      </c>
      <c r="S13" s="76">
        <v>0.2</v>
      </c>
      <c r="T13" s="70" t="s">
        <v>422</v>
      </c>
      <c r="U13" s="120">
        <f>ROUND((ROUND((ROUND((_15_同援日増０．５*_15・通訳),0)*(1+_15・盲ろう)),0)*(1+_15・区３)),0)</f>
        <v>85</v>
      </c>
      <c r="V13" s="69"/>
    </row>
    <row r="14" spans="1:22" ht="16.5" customHeight="1" x14ac:dyDescent="0.3">
      <c r="A14" s="2">
        <v>15</v>
      </c>
      <c r="B14" s="2" t="s">
        <v>5294</v>
      </c>
      <c r="C14" s="60" t="s">
        <v>15949</v>
      </c>
      <c r="D14" s="1"/>
      <c r="E14" s="68"/>
      <c r="F14" s="70"/>
      <c r="G14" s="67"/>
      <c r="H14" s="68"/>
      <c r="I14" s="76"/>
      <c r="J14" s="83" t="s">
        <v>5895</v>
      </c>
      <c r="K14" s="64" t="s">
        <v>1</v>
      </c>
      <c r="L14" s="65">
        <v>1</v>
      </c>
      <c r="M14" s="106" t="s">
        <v>17968</v>
      </c>
      <c r="N14" s="57" t="s">
        <v>1</v>
      </c>
      <c r="O14" s="58">
        <v>0.25</v>
      </c>
      <c r="P14" s="77" t="s">
        <v>422</v>
      </c>
      <c r="Q14" s="66"/>
      <c r="R14" s="57"/>
      <c r="S14" s="58"/>
      <c r="T14" s="77"/>
      <c r="U14" s="120">
        <f>ROUND((ROUND((ROUND((ROUND((_15_同援日増０．５*_15・通訳),0)*_15・２人),0)*(1+_15・盲ろう)),0)*(1+_15・区３)),0)</f>
        <v>85</v>
      </c>
      <c r="V14" s="69"/>
    </row>
    <row r="15" spans="1:22" ht="16.5" customHeight="1" x14ac:dyDescent="0.3">
      <c r="A15" s="2">
        <v>15</v>
      </c>
      <c r="B15" s="2" t="s">
        <v>5295</v>
      </c>
      <c r="C15" s="60" t="s">
        <v>15948</v>
      </c>
      <c r="D15" s="1"/>
      <c r="E15" s="68"/>
      <c r="F15" s="70"/>
      <c r="G15" s="67"/>
      <c r="H15" s="68"/>
      <c r="I15" s="76"/>
      <c r="J15" s="85"/>
      <c r="K15" s="64"/>
      <c r="L15" s="65"/>
      <c r="M15" s="61"/>
      <c r="N15" s="62"/>
      <c r="O15" s="63"/>
      <c r="P15" s="75"/>
      <c r="Q15" s="74" t="s">
        <v>17971</v>
      </c>
      <c r="R15" s="62"/>
      <c r="S15" s="63"/>
      <c r="T15" s="75"/>
      <c r="U15" s="120">
        <f>ROUND((ROUND((_15_同援日増０．５*_15・通訳),0)*(1+_15・区４)),0)</f>
        <v>80</v>
      </c>
      <c r="V15" s="69"/>
    </row>
    <row r="16" spans="1:22" ht="16.5" customHeight="1" x14ac:dyDescent="0.3">
      <c r="A16" s="2">
        <v>15</v>
      </c>
      <c r="B16" s="2" t="s">
        <v>5296</v>
      </c>
      <c r="C16" s="60" t="s">
        <v>15947</v>
      </c>
      <c r="D16" s="1"/>
      <c r="E16" s="68"/>
      <c r="F16" s="70"/>
      <c r="G16" s="67"/>
      <c r="H16" s="68"/>
      <c r="I16" s="76"/>
      <c r="J16" s="83" t="s">
        <v>5895</v>
      </c>
      <c r="K16" s="64" t="s">
        <v>1</v>
      </c>
      <c r="L16" s="65">
        <v>1</v>
      </c>
      <c r="M16" s="66"/>
      <c r="N16" s="57"/>
      <c r="O16" s="58"/>
      <c r="P16" s="77"/>
      <c r="Q16" s="94" t="s">
        <v>17970</v>
      </c>
      <c r="R16" s="68"/>
      <c r="S16" s="76"/>
      <c r="T16" s="70"/>
      <c r="U16" s="120">
        <f>ROUND((ROUND((ROUND((_15_同援日増０．５*_15・通訳),0)*_15・２人),0)*(1+_15・区４)),0)</f>
        <v>80</v>
      </c>
      <c r="V16" s="69"/>
    </row>
    <row r="17" spans="1:22" ht="16.5" customHeight="1" x14ac:dyDescent="0.3">
      <c r="A17" s="2">
        <v>15</v>
      </c>
      <c r="B17" s="2" t="s">
        <v>5297</v>
      </c>
      <c r="C17" s="60" t="s">
        <v>15946</v>
      </c>
      <c r="D17" s="1"/>
      <c r="E17" s="68"/>
      <c r="F17" s="70"/>
      <c r="G17" s="67"/>
      <c r="H17" s="68"/>
      <c r="I17" s="76"/>
      <c r="J17" s="85"/>
      <c r="K17" s="64"/>
      <c r="L17" s="65"/>
      <c r="M17" s="74" t="s">
        <v>17969</v>
      </c>
      <c r="N17" s="62"/>
      <c r="O17" s="63"/>
      <c r="P17" s="75"/>
      <c r="Q17" s="67"/>
      <c r="R17" s="68" t="s">
        <v>1</v>
      </c>
      <c r="S17" s="76">
        <v>0.4</v>
      </c>
      <c r="T17" s="70" t="s">
        <v>422</v>
      </c>
      <c r="U17" s="120">
        <f>ROUND((ROUND((ROUND((_15_同援日増０．５*_15・通訳),0)*(1+_15・盲ろう)),0)*(1+_15・区４)),0)</f>
        <v>99</v>
      </c>
      <c r="V17" s="69"/>
    </row>
    <row r="18" spans="1:22" ht="16.5" customHeight="1" x14ac:dyDescent="0.3">
      <c r="A18" s="2">
        <v>15</v>
      </c>
      <c r="B18" s="2" t="s">
        <v>5298</v>
      </c>
      <c r="C18" s="60" t="s">
        <v>15945</v>
      </c>
      <c r="D18" s="81"/>
      <c r="E18" s="57"/>
      <c r="F18" s="77"/>
      <c r="G18" s="67"/>
      <c r="H18" s="68"/>
      <c r="I18" s="76"/>
      <c r="J18" s="83" t="s">
        <v>5895</v>
      </c>
      <c r="K18" s="64" t="s">
        <v>1</v>
      </c>
      <c r="L18" s="65">
        <v>1</v>
      </c>
      <c r="M18" s="106" t="s">
        <v>17968</v>
      </c>
      <c r="N18" s="57" t="s">
        <v>1</v>
      </c>
      <c r="O18" s="58">
        <v>0.25</v>
      </c>
      <c r="P18" s="77" t="s">
        <v>422</v>
      </c>
      <c r="Q18" s="66"/>
      <c r="R18" s="57"/>
      <c r="S18" s="58"/>
      <c r="T18" s="77"/>
      <c r="U18" s="120">
        <f>ROUND((ROUND((ROUND((ROUND((_15_同援日増０．５*_15・通訳),0)*_15・２人),0)*(1+_15・盲ろう)),0)*(1+_15・区４)),0)</f>
        <v>99</v>
      </c>
      <c r="V18" s="69"/>
    </row>
    <row r="19" spans="1:22" ht="16.5" customHeight="1" x14ac:dyDescent="0.3">
      <c r="A19" s="2">
        <v>15</v>
      </c>
      <c r="B19" s="2" t="s">
        <v>5299</v>
      </c>
      <c r="C19" s="60" t="s">
        <v>15944</v>
      </c>
      <c r="D19" s="233" t="s">
        <v>18414</v>
      </c>
      <c r="E19" s="235"/>
      <c r="F19" s="75"/>
      <c r="G19" s="67"/>
      <c r="H19" s="68"/>
      <c r="I19" s="76"/>
      <c r="J19" s="85"/>
      <c r="K19" s="64"/>
      <c r="L19" s="65"/>
      <c r="M19" s="61"/>
      <c r="N19" s="62"/>
      <c r="O19" s="63"/>
      <c r="P19" s="75"/>
      <c r="Q19" s="61"/>
      <c r="R19" s="62"/>
      <c r="S19" s="63"/>
      <c r="T19" s="75"/>
      <c r="U19" s="120">
        <f>ROUND((_15_同援日増１．０*_15・通訳),0)</f>
        <v>113</v>
      </c>
      <c r="V19" s="69"/>
    </row>
    <row r="20" spans="1:22" ht="16.5" customHeight="1" x14ac:dyDescent="0.3">
      <c r="A20" s="2">
        <v>15</v>
      </c>
      <c r="B20" s="2" t="s">
        <v>5300</v>
      </c>
      <c r="C20" s="60" t="s">
        <v>15943</v>
      </c>
      <c r="D20" s="1" t="s">
        <v>16874</v>
      </c>
      <c r="E20" s="68"/>
      <c r="F20" s="70"/>
      <c r="G20" s="67"/>
      <c r="H20" s="68"/>
      <c r="I20" s="76"/>
      <c r="J20" s="83" t="s">
        <v>5895</v>
      </c>
      <c r="K20" s="64" t="s">
        <v>1</v>
      </c>
      <c r="L20" s="65">
        <v>1</v>
      </c>
      <c r="M20" s="66"/>
      <c r="N20" s="57"/>
      <c r="O20" s="58"/>
      <c r="P20" s="77"/>
      <c r="Q20" s="67"/>
      <c r="R20" s="68"/>
      <c r="S20" s="76"/>
      <c r="T20" s="70"/>
      <c r="U20" s="120">
        <f>ROUND((ROUND((_15_同援日増１．０*_15・通訳),0)*_15・２人),0)</f>
        <v>113</v>
      </c>
      <c r="V20" s="69"/>
    </row>
    <row r="21" spans="1:22" ht="16.5" customHeight="1" x14ac:dyDescent="0.3">
      <c r="A21" s="2">
        <v>15</v>
      </c>
      <c r="B21" s="2" t="s">
        <v>5301</v>
      </c>
      <c r="C21" s="60" t="s">
        <v>15942</v>
      </c>
      <c r="D21" s="1" t="s">
        <v>8572</v>
      </c>
      <c r="E21" s="68"/>
      <c r="F21" s="70"/>
      <c r="G21" s="67"/>
      <c r="H21" s="68"/>
      <c r="I21" s="76"/>
      <c r="J21" s="85"/>
      <c r="K21" s="64"/>
      <c r="L21" s="65"/>
      <c r="M21" s="74" t="s">
        <v>17969</v>
      </c>
      <c r="N21" s="62"/>
      <c r="O21" s="63"/>
      <c r="P21" s="75"/>
      <c r="Q21" s="67"/>
      <c r="R21" s="68"/>
      <c r="S21" s="76"/>
      <c r="T21" s="70"/>
      <c r="U21" s="120">
        <f>ROUND((ROUND((_15_同援日増１．０*_15・通訳),0)*(1+_15・盲ろう)),0)</f>
        <v>141</v>
      </c>
      <c r="V21" s="69"/>
    </row>
    <row r="22" spans="1:22" ht="16.5" customHeight="1" x14ac:dyDescent="0.3">
      <c r="A22" s="2">
        <v>15</v>
      </c>
      <c r="B22" s="2" t="s">
        <v>5302</v>
      </c>
      <c r="C22" s="60" t="s">
        <v>15941</v>
      </c>
      <c r="D22" s="1"/>
      <c r="E22" s="119">
        <v>126</v>
      </c>
      <c r="F22" s="70" t="s">
        <v>0</v>
      </c>
      <c r="G22" s="67"/>
      <c r="H22" s="68"/>
      <c r="I22" s="76"/>
      <c r="J22" s="83" t="s">
        <v>5895</v>
      </c>
      <c r="K22" s="64" t="s">
        <v>1</v>
      </c>
      <c r="L22" s="65">
        <v>1</v>
      </c>
      <c r="M22" s="106" t="s">
        <v>17968</v>
      </c>
      <c r="N22" s="57" t="s">
        <v>1</v>
      </c>
      <c r="O22" s="58">
        <v>0.25</v>
      </c>
      <c r="P22" s="77" t="s">
        <v>422</v>
      </c>
      <c r="Q22" s="66"/>
      <c r="R22" s="57"/>
      <c r="S22" s="58"/>
      <c r="T22" s="77"/>
      <c r="U22" s="120">
        <f>ROUND((ROUND((ROUND((_15_同援日増１．０*_15・通訳),0)*_15・２人),0)*(1+_15・盲ろう)),0)</f>
        <v>141</v>
      </c>
      <c r="V22" s="69"/>
    </row>
    <row r="23" spans="1:22" ht="16.5" customHeight="1" x14ac:dyDescent="0.3">
      <c r="A23" s="2">
        <v>15</v>
      </c>
      <c r="B23" s="2" t="s">
        <v>5303</v>
      </c>
      <c r="C23" s="60" t="s">
        <v>15940</v>
      </c>
      <c r="D23" s="1"/>
      <c r="E23" s="68"/>
      <c r="F23" s="70"/>
      <c r="G23" s="67"/>
      <c r="H23" s="68"/>
      <c r="I23" s="76"/>
      <c r="J23" s="85"/>
      <c r="K23" s="64"/>
      <c r="L23" s="65"/>
      <c r="M23" s="61"/>
      <c r="N23" s="62"/>
      <c r="O23" s="63"/>
      <c r="P23" s="75"/>
      <c r="Q23" s="74" t="s">
        <v>17974</v>
      </c>
      <c r="R23" s="62"/>
      <c r="S23" s="63"/>
      <c r="T23" s="75"/>
      <c r="U23" s="120">
        <f>ROUND((ROUND((_15_同援日増１．０*_15・通訳),0)*(1+_15・区３)),0)</f>
        <v>136</v>
      </c>
      <c r="V23" s="69"/>
    </row>
    <row r="24" spans="1:22" ht="16.5" customHeight="1" x14ac:dyDescent="0.3">
      <c r="A24" s="2">
        <v>15</v>
      </c>
      <c r="B24" s="2" t="s">
        <v>5304</v>
      </c>
      <c r="C24" s="60" t="s">
        <v>15939</v>
      </c>
      <c r="D24" s="1"/>
      <c r="E24" s="68"/>
      <c r="F24" s="70"/>
      <c r="G24" s="67"/>
      <c r="H24" s="68"/>
      <c r="I24" s="76"/>
      <c r="J24" s="83" t="s">
        <v>5895</v>
      </c>
      <c r="K24" s="64" t="s">
        <v>1</v>
      </c>
      <c r="L24" s="65">
        <v>1</v>
      </c>
      <c r="M24" s="66"/>
      <c r="N24" s="57"/>
      <c r="O24" s="58"/>
      <c r="P24" s="77"/>
      <c r="Q24" s="94" t="s">
        <v>17970</v>
      </c>
      <c r="R24" s="68"/>
      <c r="S24" s="76"/>
      <c r="T24" s="70"/>
      <c r="U24" s="120">
        <f>ROUND((ROUND((ROUND((_15_同援日増１．０*_15・通訳),0)*_15・２人),0)*(1+_15・区３)),0)</f>
        <v>136</v>
      </c>
      <c r="V24" s="69"/>
    </row>
    <row r="25" spans="1:22" ht="16.5" customHeight="1" x14ac:dyDescent="0.3">
      <c r="A25" s="2">
        <v>15</v>
      </c>
      <c r="B25" s="2" t="s">
        <v>5305</v>
      </c>
      <c r="C25" s="60" t="s">
        <v>15938</v>
      </c>
      <c r="D25" s="1"/>
      <c r="E25" s="68"/>
      <c r="F25" s="70"/>
      <c r="G25" s="67"/>
      <c r="H25" s="68"/>
      <c r="I25" s="76"/>
      <c r="J25" s="85"/>
      <c r="K25" s="64"/>
      <c r="L25" s="65"/>
      <c r="M25" s="74" t="s">
        <v>17969</v>
      </c>
      <c r="N25" s="62"/>
      <c r="O25" s="63"/>
      <c r="P25" s="75"/>
      <c r="Q25" s="67"/>
      <c r="R25" s="68" t="s">
        <v>1</v>
      </c>
      <c r="S25" s="76">
        <v>0.2</v>
      </c>
      <c r="T25" s="70" t="s">
        <v>422</v>
      </c>
      <c r="U25" s="120">
        <f>ROUND((ROUND((ROUND((_15_同援日増１．０*_15・通訳),0)*(1+_15・盲ろう)),0)*(1+_15・区３)),0)</f>
        <v>169</v>
      </c>
      <c r="V25" s="69"/>
    </row>
    <row r="26" spans="1:22" ht="16.5" customHeight="1" x14ac:dyDescent="0.3">
      <c r="A26" s="2">
        <v>15</v>
      </c>
      <c r="B26" s="2" t="s">
        <v>5306</v>
      </c>
      <c r="C26" s="60" t="s">
        <v>15937</v>
      </c>
      <c r="D26" s="1"/>
      <c r="E26" s="68"/>
      <c r="F26" s="70"/>
      <c r="G26" s="67"/>
      <c r="H26" s="68"/>
      <c r="I26" s="76"/>
      <c r="J26" s="83" t="s">
        <v>5895</v>
      </c>
      <c r="K26" s="64" t="s">
        <v>1</v>
      </c>
      <c r="L26" s="65">
        <v>1</v>
      </c>
      <c r="M26" s="106" t="s">
        <v>17968</v>
      </c>
      <c r="N26" s="57" t="s">
        <v>1</v>
      </c>
      <c r="O26" s="58">
        <v>0.25</v>
      </c>
      <c r="P26" s="77" t="s">
        <v>422</v>
      </c>
      <c r="Q26" s="66"/>
      <c r="R26" s="57"/>
      <c r="S26" s="58"/>
      <c r="T26" s="77"/>
      <c r="U26" s="120">
        <f>ROUND((ROUND((ROUND((ROUND((_15_同援日増１．０*_15・通訳),0)*_15・２人),0)*(1+_15・盲ろう)),0)*(1+_15・区３)),0)</f>
        <v>169</v>
      </c>
      <c r="V26" s="69"/>
    </row>
    <row r="27" spans="1:22" ht="16.5" customHeight="1" x14ac:dyDescent="0.3">
      <c r="A27" s="2">
        <v>15</v>
      </c>
      <c r="B27" s="2" t="s">
        <v>5307</v>
      </c>
      <c r="C27" s="60" t="s">
        <v>15936</v>
      </c>
      <c r="D27" s="1"/>
      <c r="E27" s="68"/>
      <c r="F27" s="70"/>
      <c r="G27" s="67"/>
      <c r="H27" s="68"/>
      <c r="I27" s="76"/>
      <c r="J27" s="85"/>
      <c r="K27" s="64"/>
      <c r="L27" s="65"/>
      <c r="M27" s="61"/>
      <c r="N27" s="62"/>
      <c r="O27" s="63"/>
      <c r="P27" s="75"/>
      <c r="Q27" s="74" t="s">
        <v>17971</v>
      </c>
      <c r="R27" s="62"/>
      <c r="S27" s="63"/>
      <c r="T27" s="75"/>
      <c r="U27" s="120">
        <f>ROUND((ROUND((_15_同援日増１．０*_15・通訳),0)*(1+_15・区４)),0)</f>
        <v>158</v>
      </c>
      <c r="V27" s="69"/>
    </row>
    <row r="28" spans="1:22" ht="16.5" customHeight="1" x14ac:dyDescent="0.3">
      <c r="A28" s="2">
        <v>15</v>
      </c>
      <c r="B28" s="2" t="s">
        <v>5308</v>
      </c>
      <c r="C28" s="60" t="s">
        <v>15935</v>
      </c>
      <c r="D28" s="1"/>
      <c r="E28" s="68"/>
      <c r="F28" s="70"/>
      <c r="G28" s="67"/>
      <c r="H28" s="68"/>
      <c r="I28" s="76"/>
      <c r="J28" s="83" t="s">
        <v>5895</v>
      </c>
      <c r="K28" s="64" t="s">
        <v>1</v>
      </c>
      <c r="L28" s="65">
        <v>1</v>
      </c>
      <c r="M28" s="66"/>
      <c r="N28" s="57"/>
      <c r="O28" s="58"/>
      <c r="P28" s="77"/>
      <c r="Q28" s="94" t="s">
        <v>17970</v>
      </c>
      <c r="R28" s="68"/>
      <c r="S28" s="76"/>
      <c r="T28" s="70"/>
      <c r="U28" s="120">
        <f>ROUND((ROUND((ROUND((_15_同援日増１．０*_15・通訳),0)*_15・２人),0)*(1+_15・区４)),0)</f>
        <v>158</v>
      </c>
      <c r="V28" s="69"/>
    </row>
    <row r="29" spans="1:22" ht="16.5" customHeight="1" x14ac:dyDescent="0.3">
      <c r="A29" s="2">
        <v>15</v>
      </c>
      <c r="B29" s="2" t="s">
        <v>5309</v>
      </c>
      <c r="C29" s="60" t="s">
        <v>15934</v>
      </c>
      <c r="D29" s="1"/>
      <c r="E29" s="68"/>
      <c r="F29" s="70"/>
      <c r="G29" s="67"/>
      <c r="H29" s="68"/>
      <c r="I29" s="76"/>
      <c r="J29" s="85"/>
      <c r="K29" s="64"/>
      <c r="L29" s="65"/>
      <c r="M29" s="74" t="s">
        <v>17969</v>
      </c>
      <c r="N29" s="62"/>
      <c r="O29" s="63"/>
      <c r="P29" s="75"/>
      <c r="Q29" s="67"/>
      <c r="R29" s="68" t="s">
        <v>1</v>
      </c>
      <c r="S29" s="76">
        <v>0.4</v>
      </c>
      <c r="T29" s="70" t="s">
        <v>422</v>
      </c>
      <c r="U29" s="120">
        <f>ROUND((ROUND((ROUND((_15_同援日増１．０*_15・通訳),0)*(1+_15・盲ろう)),0)*(1+_15・区４)),0)</f>
        <v>197</v>
      </c>
      <c r="V29" s="69"/>
    </row>
    <row r="30" spans="1:22" ht="16.5" customHeight="1" x14ac:dyDescent="0.3">
      <c r="A30" s="2">
        <v>15</v>
      </c>
      <c r="B30" s="2" t="s">
        <v>5310</v>
      </c>
      <c r="C30" s="60" t="s">
        <v>15933</v>
      </c>
      <c r="D30" s="81"/>
      <c r="E30" s="57"/>
      <c r="F30" s="77"/>
      <c r="G30" s="67"/>
      <c r="H30" s="68"/>
      <c r="I30" s="76"/>
      <c r="J30" s="83" t="s">
        <v>5895</v>
      </c>
      <c r="K30" s="64" t="s">
        <v>1</v>
      </c>
      <c r="L30" s="65">
        <v>1</v>
      </c>
      <c r="M30" s="106" t="s">
        <v>17968</v>
      </c>
      <c r="N30" s="57" t="s">
        <v>1</v>
      </c>
      <c r="O30" s="58">
        <v>0.25</v>
      </c>
      <c r="P30" s="77" t="s">
        <v>422</v>
      </c>
      <c r="Q30" s="66"/>
      <c r="R30" s="57"/>
      <c r="S30" s="58"/>
      <c r="T30" s="77"/>
      <c r="U30" s="120">
        <f>ROUND((ROUND((ROUND((ROUND((_15_同援日増１．０*_15・通訳),0)*_15・２人),0)*(1+_15・盲ろう)),0)*(1+_15・区４)),0)</f>
        <v>197</v>
      </c>
      <c r="V30" s="69"/>
    </row>
    <row r="31" spans="1:22" ht="16.5" customHeight="1" x14ac:dyDescent="0.3">
      <c r="A31" s="2">
        <v>15</v>
      </c>
      <c r="B31" s="2" t="s">
        <v>5311</v>
      </c>
      <c r="C31" s="60" t="s">
        <v>15932</v>
      </c>
      <c r="D31" s="233" t="s">
        <v>18413</v>
      </c>
      <c r="E31" s="235"/>
      <c r="F31" s="75"/>
      <c r="G31" s="67"/>
      <c r="H31" s="68"/>
      <c r="I31" s="76"/>
      <c r="J31" s="85"/>
      <c r="K31" s="64"/>
      <c r="L31" s="65"/>
      <c r="M31" s="61"/>
      <c r="N31" s="62"/>
      <c r="O31" s="63"/>
      <c r="P31" s="75"/>
      <c r="Q31" s="61"/>
      <c r="R31" s="62"/>
      <c r="S31" s="63"/>
      <c r="T31" s="75"/>
      <c r="U31" s="120">
        <f>ROUND((_15_同援日増１．５*_15・通訳),0)</f>
        <v>170</v>
      </c>
      <c r="V31" s="69"/>
    </row>
    <row r="32" spans="1:22" ht="16.5" customHeight="1" x14ac:dyDescent="0.3">
      <c r="A32" s="2">
        <v>15</v>
      </c>
      <c r="B32" s="2" t="s">
        <v>5312</v>
      </c>
      <c r="C32" s="60" t="s">
        <v>15931</v>
      </c>
      <c r="D32" s="1" t="s">
        <v>16871</v>
      </c>
      <c r="E32" s="68"/>
      <c r="F32" s="70"/>
      <c r="G32" s="67"/>
      <c r="H32" s="68"/>
      <c r="I32" s="76"/>
      <c r="J32" s="83" t="s">
        <v>5895</v>
      </c>
      <c r="K32" s="64" t="s">
        <v>1</v>
      </c>
      <c r="L32" s="65">
        <v>1</v>
      </c>
      <c r="M32" s="66"/>
      <c r="N32" s="57"/>
      <c r="O32" s="58"/>
      <c r="P32" s="77"/>
      <c r="Q32" s="67"/>
      <c r="R32" s="68"/>
      <c r="S32" s="76"/>
      <c r="T32" s="70"/>
      <c r="U32" s="120">
        <f>ROUND((ROUND((_15_同援日増１．５*_15・通訳),0)*_15・２人),0)</f>
        <v>170</v>
      </c>
      <c r="V32" s="69"/>
    </row>
    <row r="33" spans="1:22" ht="16.5" customHeight="1" x14ac:dyDescent="0.3">
      <c r="A33" s="2">
        <v>15</v>
      </c>
      <c r="B33" s="2" t="s">
        <v>5313</v>
      </c>
      <c r="C33" s="60" t="s">
        <v>15930</v>
      </c>
      <c r="D33" s="1" t="s">
        <v>8767</v>
      </c>
      <c r="E33" s="68"/>
      <c r="F33" s="70"/>
      <c r="G33" s="67"/>
      <c r="H33" s="68"/>
      <c r="I33" s="76"/>
      <c r="J33" s="85"/>
      <c r="K33" s="64"/>
      <c r="L33" s="65"/>
      <c r="M33" s="74" t="s">
        <v>17969</v>
      </c>
      <c r="N33" s="62"/>
      <c r="O33" s="63"/>
      <c r="P33" s="75"/>
      <c r="Q33" s="67"/>
      <c r="R33" s="68"/>
      <c r="S33" s="76"/>
      <c r="T33" s="70"/>
      <c r="U33" s="120">
        <f>ROUND((ROUND((_15_同援日増１．５*_15・通訳),0)*(1+_15・盲ろう)),0)</f>
        <v>213</v>
      </c>
      <c r="V33" s="69"/>
    </row>
    <row r="34" spans="1:22" ht="16.5" customHeight="1" x14ac:dyDescent="0.3">
      <c r="A34" s="2">
        <v>15</v>
      </c>
      <c r="B34" s="2" t="s">
        <v>5314</v>
      </c>
      <c r="C34" s="60" t="s">
        <v>15929</v>
      </c>
      <c r="D34" s="1"/>
      <c r="E34" s="119">
        <v>189</v>
      </c>
      <c r="F34" s="70" t="s">
        <v>0</v>
      </c>
      <c r="G34" s="67"/>
      <c r="H34" s="68"/>
      <c r="I34" s="76"/>
      <c r="J34" s="83" t="s">
        <v>5895</v>
      </c>
      <c r="K34" s="64" t="s">
        <v>1</v>
      </c>
      <c r="L34" s="65">
        <v>1</v>
      </c>
      <c r="M34" s="106" t="s">
        <v>17968</v>
      </c>
      <c r="N34" s="57" t="s">
        <v>1</v>
      </c>
      <c r="O34" s="58">
        <v>0.25</v>
      </c>
      <c r="P34" s="77" t="s">
        <v>422</v>
      </c>
      <c r="Q34" s="66"/>
      <c r="R34" s="57"/>
      <c r="S34" s="58"/>
      <c r="T34" s="77"/>
      <c r="U34" s="120">
        <f>ROUND((ROUND((ROUND((_15_同援日増１．５*_15・通訳),0)*_15・２人),0)*(1+_15・盲ろう)),0)</f>
        <v>213</v>
      </c>
      <c r="V34" s="69"/>
    </row>
    <row r="35" spans="1:22" ht="16.5" customHeight="1" x14ac:dyDescent="0.3">
      <c r="A35" s="2">
        <v>15</v>
      </c>
      <c r="B35" s="2" t="s">
        <v>5315</v>
      </c>
      <c r="C35" s="60" t="s">
        <v>15928</v>
      </c>
      <c r="D35" s="1"/>
      <c r="E35" s="68"/>
      <c r="F35" s="70"/>
      <c r="G35" s="67"/>
      <c r="H35" s="68"/>
      <c r="I35" s="76"/>
      <c r="J35" s="85"/>
      <c r="K35" s="64"/>
      <c r="L35" s="65"/>
      <c r="M35" s="61"/>
      <c r="N35" s="62"/>
      <c r="O35" s="63"/>
      <c r="P35" s="75"/>
      <c r="Q35" s="74" t="s">
        <v>17974</v>
      </c>
      <c r="R35" s="62"/>
      <c r="S35" s="63"/>
      <c r="T35" s="75"/>
      <c r="U35" s="120">
        <f>ROUND((ROUND((_15_同援日増１．５*_15・通訳),0)*(1+_15・区３)),0)</f>
        <v>204</v>
      </c>
      <c r="V35" s="69"/>
    </row>
    <row r="36" spans="1:22" ht="16.5" customHeight="1" x14ac:dyDescent="0.3">
      <c r="A36" s="2">
        <v>15</v>
      </c>
      <c r="B36" s="2" t="s">
        <v>5316</v>
      </c>
      <c r="C36" s="60" t="s">
        <v>15927</v>
      </c>
      <c r="D36" s="1"/>
      <c r="E36" s="68"/>
      <c r="F36" s="70"/>
      <c r="G36" s="67"/>
      <c r="H36" s="68"/>
      <c r="I36" s="76"/>
      <c r="J36" s="83" t="s">
        <v>5895</v>
      </c>
      <c r="K36" s="64" t="s">
        <v>1</v>
      </c>
      <c r="L36" s="65">
        <v>1</v>
      </c>
      <c r="M36" s="66"/>
      <c r="N36" s="57"/>
      <c r="O36" s="58"/>
      <c r="P36" s="77"/>
      <c r="Q36" s="94" t="s">
        <v>17970</v>
      </c>
      <c r="R36" s="68"/>
      <c r="S36" s="76"/>
      <c r="T36" s="70"/>
      <c r="U36" s="120">
        <f>ROUND((ROUND((ROUND((_15_同援日増１．５*_15・通訳),0)*_15・２人),0)*(1+_15・区３)),0)</f>
        <v>204</v>
      </c>
      <c r="V36" s="69"/>
    </row>
    <row r="37" spans="1:22" ht="16.5" customHeight="1" x14ac:dyDescent="0.3">
      <c r="A37" s="2">
        <v>15</v>
      </c>
      <c r="B37" s="2" t="s">
        <v>5317</v>
      </c>
      <c r="C37" s="60" t="s">
        <v>15926</v>
      </c>
      <c r="D37" s="1"/>
      <c r="E37" s="68"/>
      <c r="F37" s="70"/>
      <c r="G37" s="67"/>
      <c r="H37" s="68"/>
      <c r="I37" s="76"/>
      <c r="J37" s="85"/>
      <c r="K37" s="64"/>
      <c r="L37" s="65"/>
      <c r="M37" s="74" t="s">
        <v>17969</v>
      </c>
      <c r="N37" s="62"/>
      <c r="O37" s="63"/>
      <c r="P37" s="75"/>
      <c r="Q37" s="67"/>
      <c r="R37" s="68" t="s">
        <v>1</v>
      </c>
      <c r="S37" s="76">
        <v>0.2</v>
      </c>
      <c r="T37" s="70" t="s">
        <v>422</v>
      </c>
      <c r="U37" s="120">
        <f>ROUND((ROUND((ROUND((_15_同援日増１．５*_15・通訳),0)*(1+_15・盲ろう)),0)*(1+_15・区３)),0)</f>
        <v>256</v>
      </c>
      <c r="V37" s="69"/>
    </row>
    <row r="38" spans="1:22" ht="16.5" customHeight="1" x14ac:dyDescent="0.3">
      <c r="A38" s="2">
        <v>15</v>
      </c>
      <c r="B38" s="2" t="s">
        <v>5318</v>
      </c>
      <c r="C38" s="60" t="s">
        <v>15925</v>
      </c>
      <c r="D38" s="1"/>
      <c r="E38" s="68"/>
      <c r="F38" s="70"/>
      <c r="G38" s="67"/>
      <c r="H38" s="68"/>
      <c r="I38" s="76"/>
      <c r="J38" s="83" t="s">
        <v>5895</v>
      </c>
      <c r="K38" s="64" t="s">
        <v>1</v>
      </c>
      <c r="L38" s="65">
        <v>1</v>
      </c>
      <c r="M38" s="106" t="s">
        <v>17968</v>
      </c>
      <c r="N38" s="57" t="s">
        <v>1</v>
      </c>
      <c r="O38" s="58">
        <v>0.25</v>
      </c>
      <c r="P38" s="77" t="s">
        <v>422</v>
      </c>
      <c r="Q38" s="66"/>
      <c r="R38" s="57"/>
      <c r="S38" s="58"/>
      <c r="T38" s="77"/>
      <c r="U38" s="120">
        <f>ROUND((ROUND((ROUND((ROUND((_15_同援日増１．５*_15・通訳),0)*_15・２人),0)*(1+_15・盲ろう)),0)*(1+_15・区３)),0)</f>
        <v>256</v>
      </c>
      <c r="V38" s="69"/>
    </row>
    <row r="39" spans="1:22" ht="16.5" customHeight="1" x14ac:dyDescent="0.3">
      <c r="A39" s="2">
        <v>15</v>
      </c>
      <c r="B39" s="2" t="s">
        <v>5319</v>
      </c>
      <c r="C39" s="60" t="s">
        <v>15924</v>
      </c>
      <c r="D39" s="1"/>
      <c r="E39" s="68"/>
      <c r="F39" s="70"/>
      <c r="G39" s="67"/>
      <c r="H39" s="68"/>
      <c r="I39" s="76"/>
      <c r="J39" s="85"/>
      <c r="K39" s="64"/>
      <c r="L39" s="65"/>
      <c r="M39" s="61"/>
      <c r="N39" s="62"/>
      <c r="O39" s="63"/>
      <c r="P39" s="75"/>
      <c r="Q39" s="74" t="s">
        <v>17971</v>
      </c>
      <c r="R39" s="62"/>
      <c r="S39" s="63"/>
      <c r="T39" s="75"/>
      <c r="U39" s="120">
        <f>ROUND((ROUND((_15_同援日増１．５*_15・通訳),0)*(1+_15・区４)),0)</f>
        <v>238</v>
      </c>
      <c r="V39" s="69"/>
    </row>
    <row r="40" spans="1:22" ht="16.5" customHeight="1" x14ac:dyDescent="0.3">
      <c r="A40" s="2">
        <v>15</v>
      </c>
      <c r="B40" s="2" t="s">
        <v>5320</v>
      </c>
      <c r="C40" s="60" t="s">
        <v>15923</v>
      </c>
      <c r="D40" s="1"/>
      <c r="E40" s="68"/>
      <c r="F40" s="70"/>
      <c r="G40" s="67"/>
      <c r="H40" s="68"/>
      <c r="I40" s="76"/>
      <c r="J40" s="83" t="s">
        <v>5895</v>
      </c>
      <c r="K40" s="64" t="s">
        <v>1</v>
      </c>
      <c r="L40" s="65">
        <v>1</v>
      </c>
      <c r="M40" s="66"/>
      <c r="N40" s="57"/>
      <c r="O40" s="58"/>
      <c r="P40" s="77"/>
      <c r="Q40" s="94" t="s">
        <v>17970</v>
      </c>
      <c r="R40" s="68"/>
      <c r="S40" s="76"/>
      <c r="T40" s="70"/>
      <c r="U40" s="120">
        <f>ROUND((ROUND((ROUND((_15_同援日増１．５*_15・通訳),0)*_15・２人),0)*(1+_15・区４)),0)</f>
        <v>238</v>
      </c>
      <c r="V40" s="69"/>
    </row>
    <row r="41" spans="1:22" ht="16.5" customHeight="1" x14ac:dyDescent="0.3">
      <c r="A41" s="2">
        <v>15</v>
      </c>
      <c r="B41" s="2" t="s">
        <v>5321</v>
      </c>
      <c r="C41" s="60" t="s">
        <v>15922</v>
      </c>
      <c r="D41" s="1"/>
      <c r="E41" s="68"/>
      <c r="F41" s="70"/>
      <c r="G41" s="67"/>
      <c r="H41" s="68"/>
      <c r="I41" s="76"/>
      <c r="J41" s="85"/>
      <c r="K41" s="64"/>
      <c r="L41" s="65"/>
      <c r="M41" s="74" t="s">
        <v>17969</v>
      </c>
      <c r="N41" s="62"/>
      <c r="O41" s="63"/>
      <c r="P41" s="75"/>
      <c r="Q41" s="67"/>
      <c r="R41" s="68" t="s">
        <v>1</v>
      </c>
      <c r="S41" s="76">
        <v>0.4</v>
      </c>
      <c r="T41" s="70" t="s">
        <v>422</v>
      </c>
      <c r="U41" s="120">
        <f>ROUND((ROUND((ROUND((_15_同援日増１．５*_15・通訳),0)*(1+_15・盲ろう)),0)*(1+_15・区４)),0)</f>
        <v>298</v>
      </c>
      <c r="V41" s="69"/>
    </row>
    <row r="42" spans="1:22" ht="16.5" customHeight="1" x14ac:dyDescent="0.3">
      <c r="A42" s="2">
        <v>15</v>
      </c>
      <c r="B42" s="2" t="s">
        <v>5322</v>
      </c>
      <c r="C42" s="60" t="s">
        <v>15921</v>
      </c>
      <c r="D42" s="81"/>
      <c r="E42" s="57"/>
      <c r="F42" s="77"/>
      <c r="G42" s="67"/>
      <c r="H42" s="68"/>
      <c r="I42" s="76"/>
      <c r="J42" s="83" t="s">
        <v>5895</v>
      </c>
      <c r="K42" s="64" t="s">
        <v>1</v>
      </c>
      <c r="L42" s="65">
        <v>1</v>
      </c>
      <c r="M42" s="106" t="s">
        <v>17968</v>
      </c>
      <c r="N42" s="57" t="s">
        <v>1</v>
      </c>
      <c r="O42" s="58">
        <v>0.25</v>
      </c>
      <c r="P42" s="77" t="s">
        <v>422</v>
      </c>
      <c r="Q42" s="66"/>
      <c r="R42" s="57"/>
      <c r="S42" s="58"/>
      <c r="T42" s="77"/>
      <c r="U42" s="120">
        <f>ROUND((ROUND((ROUND((ROUND((_15_同援日増１．５*_15・通訳),0)*_15・２人),0)*(1+_15・盲ろう)),0)*(1+_15・区４)),0)</f>
        <v>298</v>
      </c>
      <c r="V42" s="69"/>
    </row>
    <row r="43" spans="1:22" ht="16.5" customHeight="1" x14ac:dyDescent="0.3">
      <c r="A43" s="2">
        <v>15</v>
      </c>
      <c r="B43" s="2" t="s">
        <v>5323</v>
      </c>
      <c r="C43" s="60" t="s">
        <v>15920</v>
      </c>
      <c r="D43" s="233" t="s">
        <v>18412</v>
      </c>
      <c r="E43" s="235"/>
      <c r="F43" s="75"/>
      <c r="G43" s="67"/>
      <c r="H43" s="68"/>
      <c r="I43" s="76"/>
      <c r="J43" s="85"/>
      <c r="K43" s="64"/>
      <c r="L43" s="65"/>
      <c r="M43" s="61"/>
      <c r="N43" s="62"/>
      <c r="O43" s="63"/>
      <c r="P43" s="75"/>
      <c r="Q43" s="61"/>
      <c r="R43" s="62"/>
      <c r="S43" s="63"/>
      <c r="T43" s="75"/>
      <c r="U43" s="120">
        <f>ROUND((_15_同援日増２．０*_15・通訳),0)</f>
        <v>227</v>
      </c>
      <c r="V43" s="69"/>
    </row>
    <row r="44" spans="1:22" ht="16.5" customHeight="1" x14ac:dyDescent="0.3">
      <c r="A44" s="2">
        <v>15</v>
      </c>
      <c r="B44" s="2" t="s">
        <v>5324</v>
      </c>
      <c r="C44" s="60" t="s">
        <v>15919</v>
      </c>
      <c r="D44" s="1" t="s">
        <v>16868</v>
      </c>
      <c r="E44" s="68"/>
      <c r="F44" s="70"/>
      <c r="G44" s="67"/>
      <c r="H44" s="68"/>
      <c r="I44" s="76"/>
      <c r="J44" s="83" t="s">
        <v>5895</v>
      </c>
      <c r="K44" s="64" t="s">
        <v>1</v>
      </c>
      <c r="L44" s="65">
        <v>1</v>
      </c>
      <c r="M44" s="66"/>
      <c r="N44" s="57"/>
      <c r="O44" s="58"/>
      <c r="P44" s="77"/>
      <c r="Q44" s="67"/>
      <c r="R44" s="68"/>
      <c r="S44" s="76"/>
      <c r="T44" s="70"/>
      <c r="U44" s="120">
        <f>ROUND((ROUND((_15_同援日増２．０*_15・通訳),0)*_15・２人),0)</f>
        <v>227</v>
      </c>
      <c r="V44" s="69"/>
    </row>
    <row r="45" spans="1:22" ht="16.5" customHeight="1" x14ac:dyDescent="0.3">
      <c r="A45" s="2">
        <v>15</v>
      </c>
      <c r="B45" s="2" t="s">
        <v>5325</v>
      </c>
      <c r="C45" s="60" t="s">
        <v>15918</v>
      </c>
      <c r="D45" s="1" t="s">
        <v>6448</v>
      </c>
      <c r="E45" s="68"/>
      <c r="F45" s="70"/>
      <c r="G45" s="67"/>
      <c r="H45" s="68"/>
      <c r="I45" s="76"/>
      <c r="J45" s="85"/>
      <c r="K45" s="64"/>
      <c r="L45" s="65"/>
      <c r="M45" s="74" t="s">
        <v>17969</v>
      </c>
      <c r="N45" s="62"/>
      <c r="O45" s="63"/>
      <c r="P45" s="75"/>
      <c r="Q45" s="67"/>
      <c r="R45" s="68"/>
      <c r="S45" s="76"/>
      <c r="T45" s="70"/>
      <c r="U45" s="120">
        <f>ROUND((ROUND((_15_同援日増２．０*_15・通訳),0)*(1+_15・盲ろう)),0)</f>
        <v>284</v>
      </c>
      <c r="V45" s="69"/>
    </row>
    <row r="46" spans="1:22" ht="16.5" customHeight="1" x14ac:dyDescent="0.3">
      <c r="A46" s="2">
        <v>15</v>
      </c>
      <c r="B46" s="2" t="s">
        <v>5326</v>
      </c>
      <c r="C46" s="60" t="s">
        <v>15917</v>
      </c>
      <c r="D46" s="1"/>
      <c r="E46" s="119">
        <v>252</v>
      </c>
      <c r="F46" s="70" t="s">
        <v>0</v>
      </c>
      <c r="G46" s="67"/>
      <c r="H46" s="68"/>
      <c r="I46" s="76"/>
      <c r="J46" s="83" t="s">
        <v>5895</v>
      </c>
      <c r="K46" s="64" t="s">
        <v>1</v>
      </c>
      <c r="L46" s="65">
        <v>1</v>
      </c>
      <c r="M46" s="106" t="s">
        <v>17968</v>
      </c>
      <c r="N46" s="57" t="s">
        <v>1</v>
      </c>
      <c r="O46" s="58">
        <v>0.25</v>
      </c>
      <c r="P46" s="77" t="s">
        <v>422</v>
      </c>
      <c r="Q46" s="66"/>
      <c r="R46" s="57"/>
      <c r="S46" s="58"/>
      <c r="T46" s="77"/>
      <c r="U46" s="120">
        <f>ROUND((ROUND((ROUND((_15_同援日増２．０*_15・通訳),0)*_15・２人),0)*(1+_15・盲ろう)),0)</f>
        <v>284</v>
      </c>
      <c r="V46" s="69"/>
    </row>
    <row r="47" spans="1:22" ht="16.5" customHeight="1" x14ac:dyDescent="0.3">
      <c r="A47" s="2">
        <v>15</v>
      </c>
      <c r="B47" s="2" t="s">
        <v>5327</v>
      </c>
      <c r="C47" s="60" t="s">
        <v>15916</v>
      </c>
      <c r="D47" s="1"/>
      <c r="E47" s="68"/>
      <c r="F47" s="70"/>
      <c r="G47" s="67"/>
      <c r="H47" s="68"/>
      <c r="I47" s="76"/>
      <c r="J47" s="85"/>
      <c r="K47" s="64"/>
      <c r="L47" s="65"/>
      <c r="M47" s="61"/>
      <c r="N47" s="62"/>
      <c r="O47" s="63"/>
      <c r="P47" s="75"/>
      <c r="Q47" s="74" t="s">
        <v>17974</v>
      </c>
      <c r="R47" s="62"/>
      <c r="S47" s="63"/>
      <c r="T47" s="75"/>
      <c r="U47" s="120">
        <f>ROUND((ROUND((_15_同援日増２．０*_15・通訳),0)*(1+_15・区３)),0)</f>
        <v>272</v>
      </c>
      <c r="V47" s="69"/>
    </row>
    <row r="48" spans="1:22" ht="16.5" customHeight="1" x14ac:dyDescent="0.3">
      <c r="A48" s="2">
        <v>15</v>
      </c>
      <c r="B48" s="2" t="s">
        <v>5328</v>
      </c>
      <c r="C48" s="60" t="s">
        <v>15915</v>
      </c>
      <c r="D48" s="1"/>
      <c r="E48" s="68"/>
      <c r="F48" s="70"/>
      <c r="G48" s="67"/>
      <c r="H48" s="68"/>
      <c r="I48" s="76"/>
      <c r="J48" s="83" t="s">
        <v>5895</v>
      </c>
      <c r="K48" s="64" t="s">
        <v>1</v>
      </c>
      <c r="L48" s="65">
        <v>1</v>
      </c>
      <c r="M48" s="66"/>
      <c r="N48" s="57"/>
      <c r="O48" s="58"/>
      <c r="P48" s="77"/>
      <c r="Q48" s="94" t="s">
        <v>17970</v>
      </c>
      <c r="R48" s="68"/>
      <c r="S48" s="76"/>
      <c r="T48" s="70"/>
      <c r="U48" s="120">
        <f>ROUND((ROUND((ROUND((_15_同援日増２．０*_15・通訳),0)*_15・２人),0)*(1+_15・区３)),0)</f>
        <v>272</v>
      </c>
      <c r="V48" s="69"/>
    </row>
    <row r="49" spans="1:22" ht="16.5" customHeight="1" x14ac:dyDescent="0.3">
      <c r="A49" s="2">
        <v>15</v>
      </c>
      <c r="B49" s="2" t="s">
        <v>5329</v>
      </c>
      <c r="C49" s="60" t="s">
        <v>15914</v>
      </c>
      <c r="D49" s="1"/>
      <c r="E49" s="68"/>
      <c r="F49" s="70"/>
      <c r="G49" s="67"/>
      <c r="H49" s="68"/>
      <c r="I49" s="76"/>
      <c r="J49" s="85"/>
      <c r="K49" s="64"/>
      <c r="L49" s="65"/>
      <c r="M49" s="74" t="s">
        <v>17969</v>
      </c>
      <c r="N49" s="62"/>
      <c r="O49" s="63"/>
      <c r="P49" s="75"/>
      <c r="Q49" s="67"/>
      <c r="R49" s="68" t="s">
        <v>1</v>
      </c>
      <c r="S49" s="76">
        <v>0.2</v>
      </c>
      <c r="T49" s="70" t="s">
        <v>422</v>
      </c>
      <c r="U49" s="120">
        <f>ROUND((ROUND((ROUND((_15_同援日増２．０*_15・通訳),0)*(1+_15・盲ろう)),0)*(1+_15・区３)),0)</f>
        <v>341</v>
      </c>
      <c r="V49" s="69"/>
    </row>
    <row r="50" spans="1:22" ht="16.5" customHeight="1" x14ac:dyDescent="0.3">
      <c r="A50" s="2">
        <v>15</v>
      </c>
      <c r="B50" s="2" t="s">
        <v>5330</v>
      </c>
      <c r="C50" s="60" t="s">
        <v>15913</v>
      </c>
      <c r="D50" s="1"/>
      <c r="E50" s="68"/>
      <c r="F50" s="70"/>
      <c r="G50" s="67"/>
      <c r="H50" s="68"/>
      <c r="I50" s="76"/>
      <c r="J50" s="83" t="s">
        <v>5895</v>
      </c>
      <c r="K50" s="64" t="s">
        <v>1</v>
      </c>
      <c r="L50" s="65">
        <v>1</v>
      </c>
      <c r="M50" s="106" t="s">
        <v>17968</v>
      </c>
      <c r="N50" s="57" t="s">
        <v>1</v>
      </c>
      <c r="O50" s="58">
        <v>0.25</v>
      </c>
      <c r="P50" s="77" t="s">
        <v>422</v>
      </c>
      <c r="Q50" s="66"/>
      <c r="R50" s="57"/>
      <c r="S50" s="58"/>
      <c r="T50" s="77"/>
      <c r="U50" s="120">
        <f>ROUND((ROUND((ROUND((ROUND((_15_同援日増２．０*_15・通訳),0)*_15・２人),0)*(1+_15・盲ろう)),0)*(1+_15・区３)),0)</f>
        <v>341</v>
      </c>
      <c r="V50" s="69"/>
    </row>
    <row r="51" spans="1:22" ht="16.5" customHeight="1" x14ac:dyDescent="0.3">
      <c r="A51" s="2">
        <v>15</v>
      </c>
      <c r="B51" s="2" t="s">
        <v>5331</v>
      </c>
      <c r="C51" s="60" t="s">
        <v>15912</v>
      </c>
      <c r="D51" s="1"/>
      <c r="E51" s="68"/>
      <c r="F51" s="70"/>
      <c r="G51" s="67"/>
      <c r="H51" s="68"/>
      <c r="I51" s="76"/>
      <c r="J51" s="85"/>
      <c r="K51" s="64"/>
      <c r="L51" s="65"/>
      <c r="M51" s="61"/>
      <c r="N51" s="62"/>
      <c r="O51" s="63"/>
      <c r="P51" s="75"/>
      <c r="Q51" s="74" t="s">
        <v>17971</v>
      </c>
      <c r="R51" s="62"/>
      <c r="S51" s="63"/>
      <c r="T51" s="75"/>
      <c r="U51" s="120">
        <f>ROUND((ROUND((_15_同援日増２．０*_15・通訳),0)*(1+_15・区４)),0)</f>
        <v>318</v>
      </c>
      <c r="V51" s="69"/>
    </row>
    <row r="52" spans="1:22" ht="16.5" customHeight="1" x14ac:dyDescent="0.3">
      <c r="A52" s="2">
        <v>15</v>
      </c>
      <c r="B52" s="2" t="s">
        <v>5332</v>
      </c>
      <c r="C52" s="60" t="s">
        <v>15911</v>
      </c>
      <c r="D52" s="1"/>
      <c r="E52" s="68"/>
      <c r="F52" s="70"/>
      <c r="G52" s="67"/>
      <c r="H52" s="68"/>
      <c r="I52" s="76"/>
      <c r="J52" s="83" t="s">
        <v>5895</v>
      </c>
      <c r="K52" s="64" t="s">
        <v>1</v>
      </c>
      <c r="L52" s="65">
        <v>1</v>
      </c>
      <c r="M52" s="66"/>
      <c r="N52" s="57"/>
      <c r="O52" s="58"/>
      <c r="P52" s="77"/>
      <c r="Q52" s="94" t="s">
        <v>17970</v>
      </c>
      <c r="R52" s="68"/>
      <c r="S52" s="76"/>
      <c r="T52" s="70"/>
      <c r="U52" s="120">
        <f>ROUND((ROUND((ROUND((_15_同援日増２．０*_15・通訳),0)*_15・２人),0)*(1+_15・区４)),0)</f>
        <v>318</v>
      </c>
      <c r="V52" s="69"/>
    </row>
    <row r="53" spans="1:22" ht="16.5" customHeight="1" x14ac:dyDescent="0.3">
      <c r="A53" s="2">
        <v>15</v>
      </c>
      <c r="B53" s="2" t="s">
        <v>5333</v>
      </c>
      <c r="C53" s="60" t="s">
        <v>15910</v>
      </c>
      <c r="D53" s="1"/>
      <c r="E53" s="68"/>
      <c r="F53" s="70"/>
      <c r="G53" s="67"/>
      <c r="H53" s="68"/>
      <c r="I53" s="76"/>
      <c r="J53" s="85"/>
      <c r="K53" s="64"/>
      <c r="L53" s="65"/>
      <c r="M53" s="74" t="s">
        <v>17969</v>
      </c>
      <c r="N53" s="62"/>
      <c r="O53" s="63"/>
      <c r="P53" s="75"/>
      <c r="Q53" s="67"/>
      <c r="R53" s="68" t="s">
        <v>1</v>
      </c>
      <c r="S53" s="76">
        <v>0.4</v>
      </c>
      <c r="T53" s="70" t="s">
        <v>422</v>
      </c>
      <c r="U53" s="120">
        <f>ROUND((ROUND((ROUND((_15_同援日増２．０*_15・通訳),0)*(1+_15・盲ろう)),0)*(1+_15・区４)),0)</f>
        <v>398</v>
      </c>
      <c r="V53" s="69"/>
    </row>
    <row r="54" spans="1:22" ht="16.5" customHeight="1" x14ac:dyDescent="0.3">
      <c r="A54" s="2">
        <v>15</v>
      </c>
      <c r="B54" s="2" t="s">
        <v>5334</v>
      </c>
      <c r="C54" s="60" t="s">
        <v>15909</v>
      </c>
      <c r="D54" s="81"/>
      <c r="E54" s="57"/>
      <c r="F54" s="77"/>
      <c r="G54" s="67"/>
      <c r="H54" s="68"/>
      <c r="I54" s="76"/>
      <c r="J54" s="83" t="s">
        <v>5895</v>
      </c>
      <c r="K54" s="64" t="s">
        <v>1</v>
      </c>
      <c r="L54" s="65">
        <v>1</v>
      </c>
      <c r="M54" s="106" t="s">
        <v>17968</v>
      </c>
      <c r="N54" s="57" t="s">
        <v>1</v>
      </c>
      <c r="O54" s="58">
        <v>0.25</v>
      </c>
      <c r="P54" s="77" t="s">
        <v>422</v>
      </c>
      <c r="Q54" s="66"/>
      <c r="R54" s="57"/>
      <c r="S54" s="58"/>
      <c r="T54" s="77"/>
      <c r="U54" s="120">
        <f>ROUND((ROUND((ROUND((ROUND((_15_同援日増２．０*_15・通訳),0)*_15・２人),0)*(1+_15・盲ろう)),0)*(1+_15・区４)),0)</f>
        <v>398</v>
      </c>
      <c r="V54" s="69"/>
    </row>
    <row r="55" spans="1:22" ht="16.5" customHeight="1" x14ac:dyDescent="0.3">
      <c r="A55" s="2">
        <v>15</v>
      </c>
      <c r="B55" s="2" t="s">
        <v>5335</v>
      </c>
      <c r="C55" s="60" t="s">
        <v>15908</v>
      </c>
      <c r="D55" s="233" t="s">
        <v>18411</v>
      </c>
      <c r="E55" s="235"/>
      <c r="F55" s="75"/>
      <c r="G55" s="67"/>
      <c r="H55" s="68"/>
      <c r="I55" s="76"/>
      <c r="J55" s="85"/>
      <c r="K55" s="64"/>
      <c r="L55" s="65"/>
      <c r="M55" s="61"/>
      <c r="N55" s="62"/>
      <c r="O55" s="63"/>
      <c r="P55" s="75"/>
      <c r="Q55" s="61"/>
      <c r="R55" s="62"/>
      <c r="S55" s="63"/>
      <c r="T55" s="75"/>
      <c r="U55" s="120">
        <f>ROUND((_15_同援日増２．５*_15・通訳),0)</f>
        <v>284</v>
      </c>
      <c r="V55" s="69"/>
    </row>
    <row r="56" spans="1:22" ht="16.5" customHeight="1" x14ac:dyDescent="0.3">
      <c r="A56" s="2">
        <v>15</v>
      </c>
      <c r="B56" s="2" t="s">
        <v>5336</v>
      </c>
      <c r="C56" s="60" t="s">
        <v>15907</v>
      </c>
      <c r="D56" s="1" t="s">
        <v>16865</v>
      </c>
      <c r="E56" s="68"/>
      <c r="F56" s="70"/>
      <c r="G56" s="67"/>
      <c r="H56" s="68"/>
      <c r="I56" s="76"/>
      <c r="J56" s="83" t="s">
        <v>5895</v>
      </c>
      <c r="K56" s="64" t="s">
        <v>1</v>
      </c>
      <c r="L56" s="65">
        <v>1</v>
      </c>
      <c r="M56" s="66"/>
      <c r="N56" s="57"/>
      <c r="O56" s="58"/>
      <c r="P56" s="77"/>
      <c r="Q56" s="67"/>
      <c r="R56" s="68"/>
      <c r="S56" s="76"/>
      <c r="T56" s="70"/>
      <c r="U56" s="120">
        <f>ROUND((ROUND((_15_同援日増２．５*_15・通訳),0)*_15・２人),0)</f>
        <v>284</v>
      </c>
      <c r="V56" s="69"/>
    </row>
    <row r="57" spans="1:22" ht="16.5" customHeight="1" x14ac:dyDescent="0.3">
      <c r="A57" s="2">
        <v>15</v>
      </c>
      <c r="B57" s="2" t="s">
        <v>5337</v>
      </c>
      <c r="C57" s="60" t="s">
        <v>15906</v>
      </c>
      <c r="D57" s="1" t="s">
        <v>8499</v>
      </c>
      <c r="E57" s="68"/>
      <c r="F57" s="70"/>
      <c r="G57" s="67"/>
      <c r="H57" s="68"/>
      <c r="I57" s="76"/>
      <c r="J57" s="85"/>
      <c r="K57" s="64"/>
      <c r="L57" s="65"/>
      <c r="M57" s="74" t="s">
        <v>17969</v>
      </c>
      <c r="N57" s="62"/>
      <c r="O57" s="63"/>
      <c r="P57" s="75"/>
      <c r="Q57" s="67"/>
      <c r="R57" s="68"/>
      <c r="S57" s="76"/>
      <c r="T57" s="70"/>
      <c r="U57" s="120">
        <f>ROUND((ROUND((_15_同援日増２．５*_15・通訳),0)*(1+_15・盲ろう)),0)</f>
        <v>355</v>
      </c>
      <c r="V57" s="69"/>
    </row>
    <row r="58" spans="1:22" ht="16.5" customHeight="1" x14ac:dyDescent="0.3">
      <c r="A58" s="2">
        <v>15</v>
      </c>
      <c r="B58" s="2" t="s">
        <v>5338</v>
      </c>
      <c r="C58" s="60" t="s">
        <v>15905</v>
      </c>
      <c r="D58" s="1"/>
      <c r="E58" s="119">
        <v>315</v>
      </c>
      <c r="F58" s="70" t="s">
        <v>0</v>
      </c>
      <c r="G58" s="67"/>
      <c r="H58" s="68"/>
      <c r="I58" s="76"/>
      <c r="J58" s="83" t="s">
        <v>5895</v>
      </c>
      <c r="K58" s="64" t="s">
        <v>1</v>
      </c>
      <c r="L58" s="65">
        <v>1</v>
      </c>
      <c r="M58" s="106" t="s">
        <v>17968</v>
      </c>
      <c r="N58" s="57" t="s">
        <v>1</v>
      </c>
      <c r="O58" s="58">
        <v>0.25</v>
      </c>
      <c r="P58" s="77" t="s">
        <v>422</v>
      </c>
      <c r="Q58" s="66"/>
      <c r="R58" s="57"/>
      <c r="S58" s="58"/>
      <c r="T58" s="77"/>
      <c r="U58" s="120">
        <f>ROUND((ROUND((ROUND((_15_同援日増２．５*_15・通訳),0)*_15・２人),0)*(1+_15・盲ろう)),0)</f>
        <v>355</v>
      </c>
      <c r="V58" s="69"/>
    </row>
    <row r="59" spans="1:22" ht="16.5" customHeight="1" x14ac:dyDescent="0.3">
      <c r="A59" s="2">
        <v>15</v>
      </c>
      <c r="B59" s="2" t="s">
        <v>5339</v>
      </c>
      <c r="C59" s="60" t="s">
        <v>15904</v>
      </c>
      <c r="D59" s="1"/>
      <c r="E59" s="68"/>
      <c r="F59" s="70"/>
      <c r="G59" s="67"/>
      <c r="H59" s="68"/>
      <c r="I59" s="76"/>
      <c r="J59" s="85"/>
      <c r="K59" s="64"/>
      <c r="L59" s="65"/>
      <c r="M59" s="61"/>
      <c r="N59" s="62"/>
      <c r="O59" s="63"/>
      <c r="P59" s="75"/>
      <c r="Q59" s="74" t="s">
        <v>17974</v>
      </c>
      <c r="R59" s="62"/>
      <c r="S59" s="63"/>
      <c r="T59" s="75"/>
      <c r="U59" s="120">
        <f>ROUND((ROUND((_15_同援日増２．５*_15・通訳),0)*(1+_15・区３)),0)</f>
        <v>341</v>
      </c>
      <c r="V59" s="69"/>
    </row>
    <row r="60" spans="1:22" ht="16.5" customHeight="1" x14ac:dyDescent="0.3">
      <c r="A60" s="2">
        <v>15</v>
      </c>
      <c r="B60" s="2" t="s">
        <v>5340</v>
      </c>
      <c r="C60" s="60" t="s">
        <v>15903</v>
      </c>
      <c r="D60" s="1"/>
      <c r="E60" s="68"/>
      <c r="F60" s="70"/>
      <c r="G60" s="67"/>
      <c r="H60" s="68"/>
      <c r="I60" s="76"/>
      <c r="J60" s="83" t="s">
        <v>5895</v>
      </c>
      <c r="K60" s="64" t="s">
        <v>1</v>
      </c>
      <c r="L60" s="65">
        <v>1</v>
      </c>
      <c r="M60" s="66"/>
      <c r="N60" s="57"/>
      <c r="O60" s="58"/>
      <c r="P60" s="77"/>
      <c r="Q60" s="94" t="s">
        <v>17970</v>
      </c>
      <c r="R60" s="68"/>
      <c r="S60" s="76"/>
      <c r="T60" s="70"/>
      <c r="U60" s="120">
        <f>ROUND((ROUND((ROUND((_15_同援日増２．５*_15・通訳),0)*_15・２人),0)*(1+_15・区３)),0)</f>
        <v>341</v>
      </c>
      <c r="V60" s="69"/>
    </row>
    <row r="61" spans="1:22" ht="16.5" customHeight="1" x14ac:dyDescent="0.3">
      <c r="A61" s="2">
        <v>15</v>
      </c>
      <c r="B61" s="2" t="s">
        <v>5341</v>
      </c>
      <c r="C61" s="60" t="s">
        <v>15902</v>
      </c>
      <c r="D61" s="1"/>
      <c r="E61" s="68"/>
      <c r="F61" s="70"/>
      <c r="G61" s="67"/>
      <c r="H61" s="68"/>
      <c r="I61" s="76"/>
      <c r="J61" s="85"/>
      <c r="K61" s="64"/>
      <c r="L61" s="65"/>
      <c r="M61" s="74" t="s">
        <v>17969</v>
      </c>
      <c r="N61" s="62"/>
      <c r="O61" s="63"/>
      <c r="P61" s="75"/>
      <c r="Q61" s="67"/>
      <c r="R61" s="68" t="s">
        <v>1</v>
      </c>
      <c r="S61" s="76">
        <v>0.2</v>
      </c>
      <c r="T61" s="70" t="s">
        <v>422</v>
      </c>
      <c r="U61" s="120">
        <f>ROUND((ROUND((ROUND((_15_同援日増２．５*_15・通訳),0)*(1+_15・盲ろう)),0)*(1+_15・区３)),0)</f>
        <v>426</v>
      </c>
      <c r="V61" s="69"/>
    </row>
    <row r="62" spans="1:22" ht="16.5" customHeight="1" x14ac:dyDescent="0.3">
      <c r="A62" s="2">
        <v>15</v>
      </c>
      <c r="B62" s="2" t="s">
        <v>5342</v>
      </c>
      <c r="C62" s="60" t="s">
        <v>15901</v>
      </c>
      <c r="D62" s="1"/>
      <c r="E62" s="68"/>
      <c r="F62" s="70"/>
      <c r="G62" s="67"/>
      <c r="H62" s="68"/>
      <c r="I62" s="76"/>
      <c r="J62" s="83" t="s">
        <v>5895</v>
      </c>
      <c r="K62" s="64" t="s">
        <v>1</v>
      </c>
      <c r="L62" s="65">
        <v>1</v>
      </c>
      <c r="M62" s="106" t="s">
        <v>17968</v>
      </c>
      <c r="N62" s="57" t="s">
        <v>1</v>
      </c>
      <c r="O62" s="58">
        <v>0.25</v>
      </c>
      <c r="P62" s="77" t="s">
        <v>422</v>
      </c>
      <c r="Q62" s="66"/>
      <c r="R62" s="57"/>
      <c r="S62" s="58"/>
      <c r="T62" s="77"/>
      <c r="U62" s="120">
        <f>ROUND((ROUND((ROUND((ROUND((_15_同援日増２．５*_15・通訳),0)*_15・２人),0)*(1+_15・盲ろう)),0)*(1+_15・区３)),0)</f>
        <v>426</v>
      </c>
      <c r="V62" s="69"/>
    </row>
    <row r="63" spans="1:22" ht="16.5" customHeight="1" x14ac:dyDescent="0.3">
      <c r="A63" s="2">
        <v>15</v>
      </c>
      <c r="B63" s="2" t="s">
        <v>5343</v>
      </c>
      <c r="C63" s="60" t="s">
        <v>15900</v>
      </c>
      <c r="D63" s="1"/>
      <c r="E63" s="68"/>
      <c r="F63" s="70"/>
      <c r="G63" s="67"/>
      <c r="H63" s="68"/>
      <c r="I63" s="76"/>
      <c r="J63" s="85"/>
      <c r="K63" s="64"/>
      <c r="L63" s="65"/>
      <c r="M63" s="61"/>
      <c r="N63" s="62"/>
      <c r="O63" s="63"/>
      <c r="P63" s="75"/>
      <c r="Q63" s="74" t="s">
        <v>17971</v>
      </c>
      <c r="R63" s="62"/>
      <c r="S63" s="63"/>
      <c r="T63" s="75"/>
      <c r="U63" s="120">
        <f>ROUND((ROUND((_15_同援日増２．５*_15・通訳),0)*(1+_15・区４)),0)</f>
        <v>398</v>
      </c>
      <c r="V63" s="69"/>
    </row>
    <row r="64" spans="1:22" ht="16.5" customHeight="1" x14ac:dyDescent="0.3">
      <c r="A64" s="2">
        <v>15</v>
      </c>
      <c r="B64" s="2" t="s">
        <v>5344</v>
      </c>
      <c r="C64" s="60" t="s">
        <v>15899</v>
      </c>
      <c r="D64" s="1"/>
      <c r="E64" s="68"/>
      <c r="F64" s="70"/>
      <c r="G64" s="67"/>
      <c r="H64" s="68"/>
      <c r="I64" s="76"/>
      <c r="J64" s="83" t="s">
        <v>5895</v>
      </c>
      <c r="K64" s="64" t="s">
        <v>1</v>
      </c>
      <c r="L64" s="65">
        <v>1</v>
      </c>
      <c r="M64" s="66"/>
      <c r="N64" s="57"/>
      <c r="O64" s="58"/>
      <c r="P64" s="77"/>
      <c r="Q64" s="94" t="s">
        <v>17970</v>
      </c>
      <c r="R64" s="68"/>
      <c r="S64" s="76"/>
      <c r="T64" s="70"/>
      <c r="U64" s="120">
        <f>ROUND((ROUND((ROUND((_15_同援日増２．５*_15・通訳),0)*_15・２人),0)*(1+_15・区４)),0)</f>
        <v>398</v>
      </c>
      <c r="V64" s="69"/>
    </row>
    <row r="65" spans="1:22" ht="16.5" customHeight="1" x14ac:dyDescent="0.3">
      <c r="A65" s="2">
        <v>15</v>
      </c>
      <c r="B65" s="2" t="s">
        <v>5345</v>
      </c>
      <c r="C65" s="60" t="s">
        <v>15898</v>
      </c>
      <c r="D65" s="1"/>
      <c r="E65" s="68"/>
      <c r="F65" s="70"/>
      <c r="G65" s="67"/>
      <c r="H65" s="68"/>
      <c r="I65" s="76"/>
      <c r="J65" s="85"/>
      <c r="K65" s="64"/>
      <c r="L65" s="65"/>
      <c r="M65" s="74" t="s">
        <v>17969</v>
      </c>
      <c r="N65" s="62"/>
      <c r="O65" s="63"/>
      <c r="P65" s="75"/>
      <c r="Q65" s="67"/>
      <c r="R65" s="68" t="s">
        <v>1</v>
      </c>
      <c r="S65" s="76">
        <v>0.4</v>
      </c>
      <c r="T65" s="70" t="s">
        <v>422</v>
      </c>
      <c r="U65" s="120">
        <f>ROUND((ROUND((ROUND((_15_同援日増２．５*_15・通訳),0)*(1+_15・盲ろう)),0)*(1+_15・区４)),0)</f>
        <v>497</v>
      </c>
      <c r="V65" s="69"/>
    </row>
    <row r="66" spans="1:22" ht="16.5" customHeight="1" x14ac:dyDescent="0.3">
      <c r="A66" s="2">
        <v>15</v>
      </c>
      <c r="B66" s="2" t="s">
        <v>5346</v>
      </c>
      <c r="C66" s="60" t="s">
        <v>15897</v>
      </c>
      <c r="D66" s="81"/>
      <c r="E66" s="57"/>
      <c r="F66" s="77"/>
      <c r="G66" s="67"/>
      <c r="H66" s="68"/>
      <c r="I66" s="76"/>
      <c r="J66" s="83" t="s">
        <v>5895</v>
      </c>
      <c r="K66" s="64" t="s">
        <v>1</v>
      </c>
      <c r="L66" s="65">
        <v>1</v>
      </c>
      <c r="M66" s="106" t="s">
        <v>17968</v>
      </c>
      <c r="N66" s="57" t="s">
        <v>1</v>
      </c>
      <c r="O66" s="58">
        <v>0.25</v>
      </c>
      <c r="P66" s="77" t="s">
        <v>422</v>
      </c>
      <c r="Q66" s="66"/>
      <c r="R66" s="57"/>
      <c r="S66" s="58"/>
      <c r="T66" s="77"/>
      <c r="U66" s="120">
        <f>ROUND((ROUND((ROUND((ROUND((_15_同援日増２．５*_15・通訳),0)*_15・２人),0)*(1+_15・盲ろう)),0)*(1+_15・区４)),0)</f>
        <v>497</v>
      </c>
      <c r="V66" s="69"/>
    </row>
    <row r="67" spans="1:22" ht="16.5" customHeight="1" x14ac:dyDescent="0.3">
      <c r="A67" s="2">
        <v>15</v>
      </c>
      <c r="B67" s="2" t="s">
        <v>5347</v>
      </c>
      <c r="C67" s="60" t="s">
        <v>15896</v>
      </c>
      <c r="D67" s="233" t="s">
        <v>18410</v>
      </c>
      <c r="E67" s="235"/>
      <c r="F67" s="75"/>
      <c r="G67" s="67"/>
      <c r="H67" s="68"/>
      <c r="I67" s="76"/>
      <c r="J67" s="85"/>
      <c r="K67" s="64"/>
      <c r="L67" s="65"/>
      <c r="M67" s="61"/>
      <c r="N67" s="62"/>
      <c r="O67" s="63"/>
      <c r="P67" s="75"/>
      <c r="Q67" s="61"/>
      <c r="R67" s="62"/>
      <c r="S67" s="63"/>
      <c r="T67" s="75"/>
      <c r="U67" s="120">
        <f>ROUND((_15_同援日増３．０*_15・通訳),0)</f>
        <v>340</v>
      </c>
      <c r="V67" s="69"/>
    </row>
    <row r="68" spans="1:22" ht="16.5" customHeight="1" x14ac:dyDescent="0.3">
      <c r="A68" s="2">
        <v>15</v>
      </c>
      <c r="B68" s="2" t="s">
        <v>5348</v>
      </c>
      <c r="C68" s="60" t="s">
        <v>15895</v>
      </c>
      <c r="D68" s="1" t="s">
        <v>16862</v>
      </c>
      <c r="E68" s="68"/>
      <c r="F68" s="70"/>
      <c r="G68" s="67"/>
      <c r="H68" s="68"/>
      <c r="I68" s="76"/>
      <c r="J68" s="83" t="s">
        <v>5895</v>
      </c>
      <c r="K68" s="64" t="s">
        <v>1</v>
      </c>
      <c r="L68" s="65">
        <v>1</v>
      </c>
      <c r="M68" s="66"/>
      <c r="N68" s="57"/>
      <c r="O68" s="58"/>
      <c r="P68" s="77"/>
      <c r="Q68" s="67"/>
      <c r="R68" s="68"/>
      <c r="S68" s="76"/>
      <c r="T68" s="70"/>
      <c r="U68" s="120">
        <f>ROUND((ROUND((_15_同援日増３．０*_15・通訳),0)*_15・２人),0)</f>
        <v>340</v>
      </c>
      <c r="V68" s="69"/>
    </row>
    <row r="69" spans="1:22" ht="16.5" customHeight="1" x14ac:dyDescent="0.3">
      <c r="A69" s="2">
        <v>15</v>
      </c>
      <c r="B69" s="2" t="s">
        <v>5349</v>
      </c>
      <c r="C69" s="60" t="s">
        <v>15894</v>
      </c>
      <c r="D69" s="1" t="s">
        <v>8694</v>
      </c>
      <c r="E69" s="68"/>
      <c r="F69" s="70"/>
      <c r="G69" s="67"/>
      <c r="H69" s="68"/>
      <c r="I69" s="76"/>
      <c r="J69" s="85"/>
      <c r="K69" s="64"/>
      <c r="L69" s="65"/>
      <c r="M69" s="74" t="s">
        <v>17969</v>
      </c>
      <c r="N69" s="62"/>
      <c r="O69" s="63"/>
      <c r="P69" s="75"/>
      <c r="Q69" s="67"/>
      <c r="R69" s="68"/>
      <c r="S69" s="76"/>
      <c r="T69" s="70"/>
      <c r="U69" s="120">
        <f>ROUND((ROUND((_15_同援日増３．０*_15・通訳),0)*(1+_15・盲ろう)),0)</f>
        <v>425</v>
      </c>
      <c r="V69" s="69"/>
    </row>
    <row r="70" spans="1:22" ht="16.5" customHeight="1" x14ac:dyDescent="0.3">
      <c r="A70" s="2">
        <v>15</v>
      </c>
      <c r="B70" s="2" t="s">
        <v>5350</v>
      </c>
      <c r="C70" s="60" t="s">
        <v>15893</v>
      </c>
      <c r="D70" s="1"/>
      <c r="E70" s="119">
        <v>378</v>
      </c>
      <c r="F70" s="70" t="s">
        <v>0</v>
      </c>
      <c r="G70" s="67"/>
      <c r="H70" s="68"/>
      <c r="I70" s="76"/>
      <c r="J70" s="83" t="s">
        <v>5895</v>
      </c>
      <c r="K70" s="64" t="s">
        <v>1</v>
      </c>
      <c r="L70" s="65">
        <v>1</v>
      </c>
      <c r="M70" s="106" t="s">
        <v>17968</v>
      </c>
      <c r="N70" s="57" t="s">
        <v>1</v>
      </c>
      <c r="O70" s="58">
        <v>0.25</v>
      </c>
      <c r="P70" s="77" t="s">
        <v>422</v>
      </c>
      <c r="Q70" s="66"/>
      <c r="R70" s="57"/>
      <c r="S70" s="58"/>
      <c r="T70" s="77"/>
      <c r="U70" s="120">
        <f>ROUND((ROUND((ROUND((_15_同援日増３．０*_15・通訳),0)*_15・２人),0)*(1+_15・盲ろう)),0)</f>
        <v>425</v>
      </c>
      <c r="V70" s="69"/>
    </row>
    <row r="71" spans="1:22" ht="16.5" customHeight="1" x14ac:dyDescent="0.3">
      <c r="A71" s="2">
        <v>15</v>
      </c>
      <c r="B71" s="2" t="s">
        <v>5351</v>
      </c>
      <c r="C71" s="60" t="s">
        <v>15892</v>
      </c>
      <c r="D71" s="1"/>
      <c r="E71" s="68"/>
      <c r="F71" s="70"/>
      <c r="G71" s="67"/>
      <c r="H71" s="68"/>
      <c r="I71" s="76"/>
      <c r="J71" s="85"/>
      <c r="K71" s="64"/>
      <c r="L71" s="65"/>
      <c r="M71" s="61"/>
      <c r="N71" s="62"/>
      <c r="O71" s="63"/>
      <c r="P71" s="75"/>
      <c r="Q71" s="74" t="s">
        <v>17974</v>
      </c>
      <c r="R71" s="62"/>
      <c r="S71" s="63"/>
      <c r="T71" s="75"/>
      <c r="U71" s="120">
        <f>ROUND((ROUND((_15_同援日増３．０*_15・通訳),0)*(1+_15・区３)),0)</f>
        <v>408</v>
      </c>
      <c r="V71" s="69"/>
    </row>
    <row r="72" spans="1:22" ht="16.5" customHeight="1" x14ac:dyDescent="0.3">
      <c r="A72" s="2">
        <v>15</v>
      </c>
      <c r="B72" s="2" t="s">
        <v>5352</v>
      </c>
      <c r="C72" s="60" t="s">
        <v>15891</v>
      </c>
      <c r="D72" s="1"/>
      <c r="E72" s="68"/>
      <c r="F72" s="70"/>
      <c r="G72" s="67"/>
      <c r="H72" s="68"/>
      <c r="I72" s="76"/>
      <c r="J72" s="83" t="s">
        <v>5895</v>
      </c>
      <c r="K72" s="64" t="s">
        <v>1</v>
      </c>
      <c r="L72" s="65">
        <v>1</v>
      </c>
      <c r="M72" s="66"/>
      <c r="N72" s="57"/>
      <c r="O72" s="58"/>
      <c r="P72" s="77"/>
      <c r="Q72" s="94" t="s">
        <v>17970</v>
      </c>
      <c r="R72" s="68"/>
      <c r="S72" s="76"/>
      <c r="T72" s="70"/>
      <c r="U72" s="120">
        <f>ROUND((ROUND((ROUND((_15_同援日増３．０*_15・通訳),0)*_15・２人),0)*(1+_15・区３)),0)</f>
        <v>408</v>
      </c>
      <c r="V72" s="69"/>
    </row>
    <row r="73" spans="1:22" ht="16.5" customHeight="1" x14ac:dyDescent="0.3">
      <c r="A73" s="2">
        <v>15</v>
      </c>
      <c r="B73" s="2" t="s">
        <v>5353</v>
      </c>
      <c r="C73" s="60" t="s">
        <v>15890</v>
      </c>
      <c r="D73" s="1"/>
      <c r="E73" s="68"/>
      <c r="F73" s="70"/>
      <c r="G73" s="67"/>
      <c r="H73" s="68"/>
      <c r="I73" s="76"/>
      <c r="J73" s="85"/>
      <c r="K73" s="64"/>
      <c r="L73" s="65"/>
      <c r="M73" s="74" t="s">
        <v>17969</v>
      </c>
      <c r="N73" s="62"/>
      <c r="O73" s="63"/>
      <c r="P73" s="75"/>
      <c r="Q73" s="67"/>
      <c r="R73" s="68" t="s">
        <v>1</v>
      </c>
      <c r="S73" s="76">
        <v>0.2</v>
      </c>
      <c r="T73" s="70" t="s">
        <v>422</v>
      </c>
      <c r="U73" s="120">
        <f>ROUND((ROUND((ROUND((_15_同援日増３．０*_15・通訳),0)*(1+_15・盲ろう)),0)*(1+_15・区３)),0)</f>
        <v>510</v>
      </c>
      <c r="V73" s="69"/>
    </row>
    <row r="74" spans="1:22" ht="16.5" customHeight="1" x14ac:dyDescent="0.3">
      <c r="A74" s="2">
        <v>15</v>
      </c>
      <c r="B74" s="2" t="s">
        <v>5354</v>
      </c>
      <c r="C74" s="60" t="s">
        <v>15889</v>
      </c>
      <c r="D74" s="1"/>
      <c r="E74" s="68"/>
      <c r="F74" s="70"/>
      <c r="G74" s="67"/>
      <c r="H74" s="68"/>
      <c r="I74" s="76"/>
      <c r="J74" s="83" t="s">
        <v>5895</v>
      </c>
      <c r="K74" s="64" t="s">
        <v>1</v>
      </c>
      <c r="L74" s="65">
        <v>1</v>
      </c>
      <c r="M74" s="106" t="s">
        <v>17968</v>
      </c>
      <c r="N74" s="57" t="s">
        <v>1</v>
      </c>
      <c r="O74" s="58">
        <v>0.25</v>
      </c>
      <c r="P74" s="77" t="s">
        <v>422</v>
      </c>
      <c r="Q74" s="66"/>
      <c r="R74" s="57"/>
      <c r="S74" s="58"/>
      <c r="T74" s="77"/>
      <c r="U74" s="120">
        <f>ROUND((ROUND((ROUND((ROUND((_15_同援日増３．０*_15・通訳),0)*_15・２人),0)*(1+_15・盲ろう)),0)*(1+_15・区３)),0)</f>
        <v>510</v>
      </c>
      <c r="V74" s="69"/>
    </row>
    <row r="75" spans="1:22" ht="16.5" customHeight="1" x14ac:dyDescent="0.3">
      <c r="A75" s="2">
        <v>15</v>
      </c>
      <c r="B75" s="2" t="s">
        <v>5355</v>
      </c>
      <c r="C75" s="60" t="s">
        <v>15888</v>
      </c>
      <c r="D75" s="1"/>
      <c r="E75" s="68"/>
      <c r="F75" s="70"/>
      <c r="G75" s="67"/>
      <c r="H75" s="68"/>
      <c r="I75" s="76"/>
      <c r="J75" s="85"/>
      <c r="K75" s="64"/>
      <c r="L75" s="65"/>
      <c r="M75" s="61"/>
      <c r="N75" s="62"/>
      <c r="O75" s="63"/>
      <c r="P75" s="75"/>
      <c r="Q75" s="74" t="s">
        <v>17971</v>
      </c>
      <c r="R75" s="62"/>
      <c r="S75" s="63"/>
      <c r="T75" s="75"/>
      <c r="U75" s="120">
        <f>ROUND((ROUND((_15_同援日増３．０*_15・通訳),0)*(1+_15・区４)),0)</f>
        <v>476</v>
      </c>
      <c r="V75" s="69"/>
    </row>
    <row r="76" spans="1:22" ht="16.5" customHeight="1" x14ac:dyDescent="0.3">
      <c r="A76" s="2">
        <v>15</v>
      </c>
      <c r="B76" s="2" t="s">
        <v>5356</v>
      </c>
      <c r="C76" s="60" t="s">
        <v>15887</v>
      </c>
      <c r="D76" s="1"/>
      <c r="E76" s="68"/>
      <c r="F76" s="70"/>
      <c r="G76" s="67"/>
      <c r="H76" s="68"/>
      <c r="I76" s="76"/>
      <c r="J76" s="83" t="s">
        <v>5895</v>
      </c>
      <c r="K76" s="64" t="s">
        <v>1</v>
      </c>
      <c r="L76" s="65">
        <v>1</v>
      </c>
      <c r="M76" s="66"/>
      <c r="N76" s="57"/>
      <c r="O76" s="58"/>
      <c r="P76" s="77"/>
      <c r="Q76" s="94" t="s">
        <v>17970</v>
      </c>
      <c r="R76" s="68"/>
      <c r="S76" s="76"/>
      <c r="T76" s="70"/>
      <c r="U76" s="120">
        <f>ROUND((ROUND((ROUND((_15_同援日増３．０*_15・通訳),0)*_15・２人),0)*(1+_15・区４)),0)</f>
        <v>476</v>
      </c>
      <c r="V76" s="69"/>
    </row>
    <row r="77" spans="1:22" ht="16.5" customHeight="1" x14ac:dyDescent="0.3">
      <c r="A77" s="2">
        <v>15</v>
      </c>
      <c r="B77" s="2" t="s">
        <v>5357</v>
      </c>
      <c r="C77" s="60" t="s">
        <v>15886</v>
      </c>
      <c r="D77" s="1"/>
      <c r="E77" s="68"/>
      <c r="F77" s="70"/>
      <c r="G77" s="67"/>
      <c r="H77" s="68"/>
      <c r="I77" s="76"/>
      <c r="J77" s="85"/>
      <c r="K77" s="64"/>
      <c r="L77" s="65"/>
      <c r="M77" s="74" t="s">
        <v>17969</v>
      </c>
      <c r="N77" s="62"/>
      <c r="O77" s="63"/>
      <c r="P77" s="75"/>
      <c r="Q77" s="67"/>
      <c r="R77" s="68" t="s">
        <v>1</v>
      </c>
      <c r="S77" s="76">
        <v>0.4</v>
      </c>
      <c r="T77" s="70" t="s">
        <v>422</v>
      </c>
      <c r="U77" s="120">
        <f>ROUND((ROUND((ROUND((_15_同援日増３．０*_15・通訳),0)*(1+_15・盲ろう)),0)*(1+_15・区４)),0)</f>
        <v>595</v>
      </c>
      <c r="V77" s="69"/>
    </row>
    <row r="78" spans="1:22" ht="16.5" customHeight="1" x14ac:dyDescent="0.3">
      <c r="A78" s="2">
        <v>15</v>
      </c>
      <c r="B78" s="2" t="s">
        <v>5358</v>
      </c>
      <c r="C78" s="60" t="s">
        <v>15885</v>
      </c>
      <c r="D78" s="81"/>
      <c r="E78" s="57"/>
      <c r="F78" s="77"/>
      <c r="G78" s="67"/>
      <c r="H78" s="68"/>
      <c r="I78" s="76"/>
      <c r="J78" s="83" t="s">
        <v>5895</v>
      </c>
      <c r="K78" s="64" t="s">
        <v>1</v>
      </c>
      <c r="L78" s="65">
        <v>1</v>
      </c>
      <c r="M78" s="106" t="s">
        <v>17968</v>
      </c>
      <c r="N78" s="57" t="s">
        <v>1</v>
      </c>
      <c r="O78" s="58">
        <v>0.25</v>
      </c>
      <c r="P78" s="77" t="s">
        <v>422</v>
      </c>
      <c r="Q78" s="66"/>
      <c r="R78" s="57"/>
      <c r="S78" s="58"/>
      <c r="T78" s="77"/>
      <c r="U78" s="120">
        <f>ROUND((ROUND((ROUND((ROUND((_15_同援日増３．０*_15・通訳),0)*_15・２人),0)*(1+_15・盲ろう)),0)*(1+_15・区４)),0)</f>
        <v>595</v>
      </c>
      <c r="V78" s="69"/>
    </row>
    <row r="79" spans="1:22" ht="16.5" customHeight="1" x14ac:dyDescent="0.3">
      <c r="A79" s="2">
        <v>15</v>
      </c>
      <c r="B79" s="2" t="s">
        <v>5359</v>
      </c>
      <c r="C79" s="60" t="s">
        <v>15884</v>
      </c>
      <c r="D79" s="233" t="s">
        <v>18409</v>
      </c>
      <c r="E79" s="235"/>
      <c r="F79" s="75"/>
      <c r="G79" s="67"/>
      <c r="H79" s="68"/>
      <c r="I79" s="76"/>
      <c r="J79" s="85"/>
      <c r="K79" s="64"/>
      <c r="L79" s="65"/>
      <c r="M79" s="61"/>
      <c r="N79" s="62"/>
      <c r="O79" s="63"/>
      <c r="P79" s="75"/>
      <c r="Q79" s="61"/>
      <c r="R79" s="62"/>
      <c r="S79" s="63"/>
      <c r="T79" s="75"/>
      <c r="U79" s="120">
        <f>ROUND((_15_同援日増３．５*_15・通訳),0)</f>
        <v>397</v>
      </c>
      <c r="V79" s="69"/>
    </row>
    <row r="80" spans="1:22" ht="16.5" customHeight="1" x14ac:dyDescent="0.3">
      <c r="A80" s="2">
        <v>15</v>
      </c>
      <c r="B80" s="2" t="s">
        <v>5360</v>
      </c>
      <c r="C80" s="60" t="s">
        <v>15883</v>
      </c>
      <c r="D80" s="1" t="s">
        <v>16859</v>
      </c>
      <c r="E80" s="68"/>
      <c r="F80" s="70"/>
      <c r="G80" s="67"/>
      <c r="H80" s="68"/>
      <c r="I80" s="76"/>
      <c r="J80" s="83" t="s">
        <v>5895</v>
      </c>
      <c r="K80" s="64" t="s">
        <v>1</v>
      </c>
      <c r="L80" s="65">
        <v>1</v>
      </c>
      <c r="M80" s="66"/>
      <c r="N80" s="57"/>
      <c r="O80" s="58"/>
      <c r="P80" s="77"/>
      <c r="Q80" s="67"/>
      <c r="R80" s="68"/>
      <c r="S80" s="76"/>
      <c r="T80" s="70"/>
      <c r="U80" s="120">
        <f>ROUND((ROUND((_15_同援日増３．５*_15・通訳),0)*_15・２人),0)</f>
        <v>397</v>
      </c>
      <c r="V80" s="69"/>
    </row>
    <row r="81" spans="1:22" ht="16.5" customHeight="1" x14ac:dyDescent="0.3">
      <c r="A81" s="2">
        <v>15</v>
      </c>
      <c r="B81" s="2" t="s">
        <v>5361</v>
      </c>
      <c r="C81" s="60" t="s">
        <v>15882</v>
      </c>
      <c r="D81" s="1" t="s">
        <v>8450</v>
      </c>
      <c r="E81" s="68"/>
      <c r="F81" s="70"/>
      <c r="G81" s="67"/>
      <c r="H81" s="68"/>
      <c r="I81" s="76"/>
      <c r="J81" s="85"/>
      <c r="K81" s="64"/>
      <c r="L81" s="65"/>
      <c r="M81" s="74" t="s">
        <v>17969</v>
      </c>
      <c r="N81" s="62"/>
      <c r="O81" s="63"/>
      <c r="P81" s="75"/>
      <c r="Q81" s="67"/>
      <c r="R81" s="68"/>
      <c r="S81" s="76"/>
      <c r="T81" s="70"/>
      <c r="U81" s="120">
        <f>ROUND((ROUND((_15_同援日増３．５*_15・通訳),0)*(1+_15・盲ろう)),0)</f>
        <v>496</v>
      </c>
      <c r="V81" s="69"/>
    </row>
    <row r="82" spans="1:22" ht="16.5" customHeight="1" x14ac:dyDescent="0.3">
      <c r="A82" s="2">
        <v>15</v>
      </c>
      <c r="B82" s="2" t="s">
        <v>5362</v>
      </c>
      <c r="C82" s="60" t="s">
        <v>15881</v>
      </c>
      <c r="D82" s="1"/>
      <c r="E82" s="119">
        <v>441</v>
      </c>
      <c r="F82" s="70" t="s">
        <v>0</v>
      </c>
      <c r="G82" s="67"/>
      <c r="H82" s="68"/>
      <c r="I82" s="76"/>
      <c r="J82" s="83" t="s">
        <v>5895</v>
      </c>
      <c r="K82" s="64" t="s">
        <v>1</v>
      </c>
      <c r="L82" s="65">
        <v>1</v>
      </c>
      <c r="M82" s="106" t="s">
        <v>17968</v>
      </c>
      <c r="N82" s="57" t="s">
        <v>1</v>
      </c>
      <c r="O82" s="58">
        <v>0.25</v>
      </c>
      <c r="P82" s="77" t="s">
        <v>422</v>
      </c>
      <c r="Q82" s="66"/>
      <c r="R82" s="57"/>
      <c r="S82" s="58"/>
      <c r="T82" s="77"/>
      <c r="U82" s="120">
        <f>ROUND((ROUND((ROUND((_15_同援日増３．５*_15・通訳),0)*_15・２人),0)*(1+_15・盲ろう)),0)</f>
        <v>496</v>
      </c>
      <c r="V82" s="69"/>
    </row>
    <row r="83" spans="1:22" ht="16.5" customHeight="1" x14ac:dyDescent="0.3">
      <c r="A83" s="2">
        <v>15</v>
      </c>
      <c r="B83" s="2" t="s">
        <v>5363</v>
      </c>
      <c r="C83" s="60" t="s">
        <v>15880</v>
      </c>
      <c r="D83" s="1"/>
      <c r="E83" s="68"/>
      <c r="F83" s="70"/>
      <c r="G83" s="67"/>
      <c r="H83" s="68"/>
      <c r="I83" s="76"/>
      <c r="J83" s="85"/>
      <c r="K83" s="64"/>
      <c r="L83" s="65"/>
      <c r="M83" s="61"/>
      <c r="N83" s="62"/>
      <c r="O83" s="63"/>
      <c r="P83" s="75"/>
      <c r="Q83" s="74" t="s">
        <v>17974</v>
      </c>
      <c r="R83" s="62"/>
      <c r="S83" s="63"/>
      <c r="T83" s="75"/>
      <c r="U83" s="120">
        <f>ROUND((ROUND((_15_同援日増３．５*_15・通訳),0)*(1+_15・区３)),0)</f>
        <v>476</v>
      </c>
      <c r="V83" s="69"/>
    </row>
    <row r="84" spans="1:22" ht="16.5" customHeight="1" x14ac:dyDescent="0.3">
      <c r="A84" s="2">
        <v>15</v>
      </c>
      <c r="B84" s="2" t="s">
        <v>5364</v>
      </c>
      <c r="C84" s="60" t="s">
        <v>15879</v>
      </c>
      <c r="D84" s="1"/>
      <c r="E84" s="68"/>
      <c r="F84" s="70"/>
      <c r="G84" s="67"/>
      <c r="H84" s="68"/>
      <c r="I84" s="76"/>
      <c r="J84" s="83" t="s">
        <v>5895</v>
      </c>
      <c r="K84" s="64" t="s">
        <v>1</v>
      </c>
      <c r="L84" s="65">
        <v>1</v>
      </c>
      <c r="M84" s="66"/>
      <c r="N84" s="57"/>
      <c r="O84" s="58"/>
      <c r="P84" s="77"/>
      <c r="Q84" s="94" t="s">
        <v>17970</v>
      </c>
      <c r="R84" s="68"/>
      <c r="S84" s="76"/>
      <c r="T84" s="70"/>
      <c r="U84" s="120">
        <f>ROUND((ROUND((ROUND((_15_同援日増３．５*_15・通訳),0)*_15・２人),0)*(1+_15・区３)),0)</f>
        <v>476</v>
      </c>
      <c r="V84" s="69"/>
    </row>
    <row r="85" spans="1:22" ht="16.5" customHeight="1" x14ac:dyDescent="0.3">
      <c r="A85" s="2">
        <v>15</v>
      </c>
      <c r="B85" s="2" t="s">
        <v>5365</v>
      </c>
      <c r="C85" s="60" t="s">
        <v>15878</v>
      </c>
      <c r="D85" s="1"/>
      <c r="E85" s="68"/>
      <c r="F85" s="70"/>
      <c r="G85" s="67"/>
      <c r="H85" s="68"/>
      <c r="I85" s="76"/>
      <c r="J85" s="85"/>
      <c r="K85" s="64"/>
      <c r="L85" s="65"/>
      <c r="M85" s="74" t="s">
        <v>17969</v>
      </c>
      <c r="N85" s="62"/>
      <c r="O85" s="63"/>
      <c r="P85" s="75"/>
      <c r="Q85" s="67"/>
      <c r="R85" s="68" t="s">
        <v>1</v>
      </c>
      <c r="S85" s="76">
        <v>0.2</v>
      </c>
      <c r="T85" s="70" t="s">
        <v>422</v>
      </c>
      <c r="U85" s="120">
        <f>ROUND((ROUND((ROUND((_15_同援日増３．５*_15・通訳),0)*(1+_15・盲ろう)),0)*(1+_15・区３)),0)</f>
        <v>595</v>
      </c>
      <c r="V85" s="69"/>
    </row>
    <row r="86" spans="1:22" ht="16.5" customHeight="1" x14ac:dyDescent="0.3">
      <c r="A86" s="2">
        <v>15</v>
      </c>
      <c r="B86" s="2" t="s">
        <v>5366</v>
      </c>
      <c r="C86" s="60" t="s">
        <v>15877</v>
      </c>
      <c r="D86" s="1"/>
      <c r="E86" s="68"/>
      <c r="F86" s="70"/>
      <c r="G86" s="67"/>
      <c r="H86" s="68"/>
      <c r="I86" s="76"/>
      <c r="J86" s="83" t="s">
        <v>5895</v>
      </c>
      <c r="K86" s="64" t="s">
        <v>1</v>
      </c>
      <c r="L86" s="65">
        <v>1</v>
      </c>
      <c r="M86" s="106" t="s">
        <v>17968</v>
      </c>
      <c r="N86" s="57" t="s">
        <v>1</v>
      </c>
      <c r="O86" s="58">
        <v>0.25</v>
      </c>
      <c r="P86" s="77" t="s">
        <v>422</v>
      </c>
      <c r="Q86" s="66"/>
      <c r="R86" s="57"/>
      <c r="S86" s="58"/>
      <c r="T86" s="77"/>
      <c r="U86" s="120">
        <f>ROUND((ROUND((ROUND((ROUND((_15_同援日増３．５*_15・通訳),0)*_15・２人),0)*(1+_15・盲ろう)),0)*(1+_15・区３)),0)</f>
        <v>595</v>
      </c>
      <c r="V86" s="69"/>
    </row>
    <row r="87" spans="1:22" ht="16.5" customHeight="1" x14ac:dyDescent="0.3">
      <c r="A87" s="2">
        <v>15</v>
      </c>
      <c r="B87" s="2" t="s">
        <v>5367</v>
      </c>
      <c r="C87" s="60" t="s">
        <v>15876</v>
      </c>
      <c r="D87" s="1"/>
      <c r="E87" s="68"/>
      <c r="F87" s="70"/>
      <c r="G87" s="67"/>
      <c r="H87" s="68"/>
      <c r="I87" s="76"/>
      <c r="J87" s="85"/>
      <c r="K87" s="64"/>
      <c r="L87" s="65"/>
      <c r="M87" s="61"/>
      <c r="N87" s="62"/>
      <c r="O87" s="63"/>
      <c r="P87" s="75"/>
      <c r="Q87" s="74" t="s">
        <v>17971</v>
      </c>
      <c r="R87" s="62"/>
      <c r="S87" s="63"/>
      <c r="T87" s="75"/>
      <c r="U87" s="120">
        <f>ROUND((ROUND((_15_同援日増３．５*_15・通訳),0)*(1+_15・区４)),0)</f>
        <v>556</v>
      </c>
      <c r="V87" s="69"/>
    </row>
    <row r="88" spans="1:22" ht="16.5" customHeight="1" x14ac:dyDescent="0.3">
      <c r="A88" s="2">
        <v>15</v>
      </c>
      <c r="B88" s="2" t="s">
        <v>5368</v>
      </c>
      <c r="C88" s="60" t="s">
        <v>15875</v>
      </c>
      <c r="D88" s="1"/>
      <c r="E88" s="68"/>
      <c r="F88" s="70"/>
      <c r="G88" s="67"/>
      <c r="H88" s="68"/>
      <c r="I88" s="76"/>
      <c r="J88" s="83" t="s">
        <v>5895</v>
      </c>
      <c r="K88" s="64" t="s">
        <v>1</v>
      </c>
      <c r="L88" s="65">
        <v>1</v>
      </c>
      <c r="M88" s="66"/>
      <c r="N88" s="57"/>
      <c r="O88" s="58"/>
      <c r="P88" s="77"/>
      <c r="Q88" s="94" t="s">
        <v>17970</v>
      </c>
      <c r="R88" s="68"/>
      <c r="S88" s="76"/>
      <c r="T88" s="70"/>
      <c r="U88" s="120">
        <f>ROUND((ROUND((ROUND((_15_同援日増３．５*_15・通訳),0)*_15・２人),0)*(1+_15・区４)),0)</f>
        <v>556</v>
      </c>
      <c r="V88" s="69"/>
    </row>
    <row r="89" spans="1:22" ht="16.5" customHeight="1" x14ac:dyDescent="0.3">
      <c r="A89" s="2">
        <v>15</v>
      </c>
      <c r="B89" s="2" t="s">
        <v>5369</v>
      </c>
      <c r="C89" s="60" t="s">
        <v>15874</v>
      </c>
      <c r="D89" s="1"/>
      <c r="E89" s="68"/>
      <c r="F89" s="70"/>
      <c r="G89" s="67"/>
      <c r="H89" s="68"/>
      <c r="I89" s="76"/>
      <c r="J89" s="85"/>
      <c r="K89" s="64"/>
      <c r="L89" s="65"/>
      <c r="M89" s="74" t="s">
        <v>17969</v>
      </c>
      <c r="N89" s="62"/>
      <c r="O89" s="63"/>
      <c r="P89" s="75"/>
      <c r="Q89" s="67"/>
      <c r="R89" s="68" t="s">
        <v>1</v>
      </c>
      <c r="S89" s="76">
        <v>0.4</v>
      </c>
      <c r="T89" s="70" t="s">
        <v>422</v>
      </c>
      <c r="U89" s="120">
        <f>ROUND((ROUND((ROUND((_15_同援日増３．５*_15・通訳),0)*(1+_15・盲ろう)),0)*(1+_15・区４)),0)</f>
        <v>694</v>
      </c>
      <c r="V89" s="69"/>
    </row>
    <row r="90" spans="1:22" ht="16.5" customHeight="1" x14ac:dyDescent="0.3">
      <c r="A90" s="2">
        <v>15</v>
      </c>
      <c r="B90" s="2" t="s">
        <v>5370</v>
      </c>
      <c r="C90" s="60" t="s">
        <v>15873</v>
      </c>
      <c r="D90" s="81"/>
      <c r="E90" s="57"/>
      <c r="F90" s="77"/>
      <c r="G90" s="67"/>
      <c r="H90" s="68"/>
      <c r="I90" s="76"/>
      <c r="J90" s="83" t="s">
        <v>5895</v>
      </c>
      <c r="K90" s="64" t="s">
        <v>1</v>
      </c>
      <c r="L90" s="65">
        <v>1</v>
      </c>
      <c r="M90" s="106" t="s">
        <v>17968</v>
      </c>
      <c r="N90" s="57" t="s">
        <v>1</v>
      </c>
      <c r="O90" s="58">
        <v>0.25</v>
      </c>
      <c r="P90" s="77" t="s">
        <v>422</v>
      </c>
      <c r="Q90" s="66"/>
      <c r="R90" s="57"/>
      <c r="S90" s="58"/>
      <c r="T90" s="77"/>
      <c r="U90" s="120">
        <f>ROUND((ROUND((ROUND((ROUND((_15_同援日増３．５*_15・通訳),0)*_15・２人),0)*(1+_15・盲ろう)),0)*(1+_15・区４)),0)</f>
        <v>694</v>
      </c>
      <c r="V90" s="69"/>
    </row>
    <row r="91" spans="1:22" ht="16.5" customHeight="1" x14ac:dyDescent="0.3">
      <c r="A91" s="2">
        <v>15</v>
      </c>
      <c r="B91" s="2" t="s">
        <v>5371</v>
      </c>
      <c r="C91" s="60" t="s">
        <v>15872</v>
      </c>
      <c r="D91" s="233" t="s">
        <v>18408</v>
      </c>
      <c r="E91" s="235"/>
      <c r="F91" s="75"/>
      <c r="G91" s="67"/>
      <c r="H91" s="68"/>
      <c r="I91" s="76"/>
      <c r="J91" s="85"/>
      <c r="K91" s="64"/>
      <c r="L91" s="65"/>
      <c r="M91" s="61"/>
      <c r="N91" s="62"/>
      <c r="O91" s="63"/>
      <c r="P91" s="75"/>
      <c r="Q91" s="61"/>
      <c r="R91" s="62"/>
      <c r="S91" s="63"/>
      <c r="T91" s="75"/>
      <c r="U91" s="120">
        <f>ROUND((_15_同援日増４．０*_15・通訳),0)</f>
        <v>454</v>
      </c>
      <c r="V91" s="69"/>
    </row>
    <row r="92" spans="1:22" ht="16.5" customHeight="1" x14ac:dyDescent="0.3">
      <c r="A92" s="2">
        <v>15</v>
      </c>
      <c r="B92" s="2" t="s">
        <v>5372</v>
      </c>
      <c r="C92" s="60" t="s">
        <v>15871</v>
      </c>
      <c r="D92" s="1" t="s">
        <v>16882</v>
      </c>
      <c r="E92" s="68"/>
      <c r="F92" s="70"/>
      <c r="G92" s="67"/>
      <c r="H92" s="68"/>
      <c r="I92" s="76"/>
      <c r="J92" s="83" t="s">
        <v>5895</v>
      </c>
      <c r="K92" s="64" t="s">
        <v>1</v>
      </c>
      <c r="L92" s="65">
        <v>1</v>
      </c>
      <c r="M92" s="66"/>
      <c r="N92" s="57"/>
      <c r="O92" s="58"/>
      <c r="P92" s="77"/>
      <c r="Q92" s="67"/>
      <c r="R92" s="68"/>
      <c r="S92" s="76"/>
      <c r="T92" s="70"/>
      <c r="U92" s="120">
        <f>ROUND((ROUND((_15_同援日増４．０*_15・通訳),0)*_15・２人),0)</f>
        <v>454</v>
      </c>
      <c r="V92" s="69"/>
    </row>
    <row r="93" spans="1:22" ht="16.5" customHeight="1" x14ac:dyDescent="0.3">
      <c r="A93" s="2">
        <v>15</v>
      </c>
      <c r="B93" s="2" t="s">
        <v>5373</v>
      </c>
      <c r="C93" s="60" t="s">
        <v>15870</v>
      </c>
      <c r="D93" s="1" t="s">
        <v>8425</v>
      </c>
      <c r="E93" s="68"/>
      <c r="F93" s="70"/>
      <c r="G93" s="67"/>
      <c r="H93" s="68"/>
      <c r="I93" s="76"/>
      <c r="J93" s="85"/>
      <c r="K93" s="64"/>
      <c r="L93" s="65"/>
      <c r="M93" s="74" t="s">
        <v>17969</v>
      </c>
      <c r="N93" s="62"/>
      <c r="O93" s="63"/>
      <c r="P93" s="75"/>
      <c r="Q93" s="67"/>
      <c r="R93" s="68"/>
      <c r="S93" s="76"/>
      <c r="T93" s="70"/>
      <c r="U93" s="120">
        <f>ROUND((ROUND((_15_同援日増４．０*_15・通訳),0)*(1+_15・盲ろう)),0)</f>
        <v>568</v>
      </c>
      <c r="V93" s="69"/>
    </row>
    <row r="94" spans="1:22" ht="16.5" customHeight="1" x14ac:dyDescent="0.3">
      <c r="A94" s="2">
        <v>15</v>
      </c>
      <c r="B94" s="2" t="s">
        <v>5374</v>
      </c>
      <c r="C94" s="60" t="s">
        <v>15869</v>
      </c>
      <c r="D94" s="1"/>
      <c r="E94" s="119">
        <v>504</v>
      </c>
      <c r="F94" s="70" t="s">
        <v>0</v>
      </c>
      <c r="G94" s="67"/>
      <c r="H94" s="68"/>
      <c r="I94" s="76"/>
      <c r="J94" s="83" t="s">
        <v>5895</v>
      </c>
      <c r="K94" s="64" t="s">
        <v>1</v>
      </c>
      <c r="L94" s="65">
        <v>1</v>
      </c>
      <c r="M94" s="106" t="s">
        <v>17968</v>
      </c>
      <c r="N94" s="57" t="s">
        <v>1</v>
      </c>
      <c r="O94" s="58">
        <v>0.25</v>
      </c>
      <c r="P94" s="77" t="s">
        <v>422</v>
      </c>
      <c r="Q94" s="66"/>
      <c r="R94" s="57"/>
      <c r="S94" s="58"/>
      <c r="T94" s="77"/>
      <c r="U94" s="120">
        <f>ROUND((ROUND((ROUND((_15_同援日増４．０*_15・通訳),0)*_15・２人),0)*(1+_15・盲ろう)),0)</f>
        <v>568</v>
      </c>
      <c r="V94" s="69"/>
    </row>
    <row r="95" spans="1:22" ht="16.5" customHeight="1" x14ac:dyDescent="0.3">
      <c r="A95" s="2">
        <v>15</v>
      </c>
      <c r="B95" s="2" t="s">
        <v>5375</v>
      </c>
      <c r="C95" s="60" t="s">
        <v>15868</v>
      </c>
      <c r="D95" s="1"/>
      <c r="E95" s="68"/>
      <c r="F95" s="70"/>
      <c r="G95" s="67"/>
      <c r="H95" s="68"/>
      <c r="I95" s="76"/>
      <c r="J95" s="85"/>
      <c r="K95" s="64"/>
      <c r="L95" s="65"/>
      <c r="M95" s="61"/>
      <c r="N95" s="62"/>
      <c r="O95" s="63"/>
      <c r="P95" s="75"/>
      <c r="Q95" s="74" t="s">
        <v>17974</v>
      </c>
      <c r="R95" s="62"/>
      <c r="S95" s="63"/>
      <c r="T95" s="75"/>
      <c r="U95" s="120">
        <f>ROUND((ROUND((_15_同援日増４．０*_15・通訳),0)*(1+_15・区３)),0)</f>
        <v>545</v>
      </c>
      <c r="V95" s="69"/>
    </row>
    <row r="96" spans="1:22" ht="16.5" customHeight="1" x14ac:dyDescent="0.3">
      <c r="A96" s="2">
        <v>15</v>
      </c>
      <c r="B96" s="2" t="s">
        <v>5376</v>
      </c>
      <c r="C96" s="60" t="s">
        <v>15867</v>
      </c>
      <c r="D96" s="1"/>
      <c r="E96" s="68"/>
      <c r="F96" s="70"/>
      <c r="G96" s="67"/>
      <c r="H96" s="68"/>
      <c r="I96" s="76"/>
      <c r="J96" s="83" t="s">
        <v>5895</v>
      </c>
      <c r="K96" s="64" t="s">
        <v>1</v>
      </c>
      <c r="L96" s="65">
        <v>1</v>
      </c>
      <c r="M96" s="66"/>
      <c r="N96" s="57"/>
      <c r="O96" s="58"/>
      <c r="P96" s="77"/>
      <c r="Q96" s="94" t="s">
        <v>17970</v>
      </c>
      <c r="R96" s="68"/>
      <c r="S96" s="76"/>
      <c r="T96" s="70"/>
      <c r="U96" s="120">
        <f>ROUND((ROUND((ROUND((_15_同援日増４．０*_15・通訳),0)*_15・２人),0)*(1+_15・区３)),0)</f>
        <v>545</v>
      </c>
      <c r="V96" s="69"/>
    </row>
    <row r="97" spans="1:22" ht="16.5" customHeight="1" x14ac:dyDescent="0.3">
      <c r="A97" s="2">
        <v>15</v>
      </c>
      <c r="B97" s="2" t="s">
        <v>5377</v>
      </c>
      <c r="C97" s="60" t="s">
        <v>15866</v>
      </c>
      <c r="D97" s="1"/>
      <c r="E97" s="68"/>
      <c r="F97" s="70"/>
      <c r="G97" s="67"/>
      <c r="H97" s="68"/>
      <c r="I97" s="76"/>
      <c r="J97" s="85"/>
      <c r="K97" s="64"/>
      <c r="L97" s="65"/>
      <c r="M97" s="74" t="s">
        <v>17969</v>
      </c>
      <c r="N97" s="62"/>
      <c r="O97" s="63"/>
      <c r="P97" s="75"/>
      <c r="Q97" s="67"/>
      <c r="R97" s="68" t="s">
        <v>1</v>
      </c>
      <c r="S97" s="76">
        <v>0.2</v>
      </c>
      <c r="T97" s="70" t="s">
        <v>422</v>
      </c>
      <c r="U97" s="120">
        <f>ROUND((ROUND((ROUND((_15_同援日増４．０*_15・通訳),0)*(1+_15・盲ろう)),0)*(1+_15・区３)),0)</f>
        <v>682</v>
      </c>
      <c r="V97" s="69"/>
    </row>
    <row r="98" spans="1:22" ht="16.5" customHeight="1" x14ac:dyDescent="0.3">
      <c r="A98" s="2">
        <v>15</v>
      </c>
      <c r="B98" s="2" t="s">
        <v>5378</v>
      </c>
      <c r="C98" s="60" t="s">
        <v>15865</v>
      </c>
      <c r="D98" s="1"/>
      <c r="E98" s="68"/>
      <c r="F98" s="70"/>
      <c r="G98" s="67"/>
      <c r="H98" s="68"/>
      <c r="I98" s="76"/>
      <c r="J98" s="83" t="s">
        <v>5895</v>
      </c>
      <c r="K98" s="64" t="s">
        <v>1</v>
      </c>
      <c r="L98" s="65">
        <v>1</v>
      </c>
      <c r="M98" s="106" t="s">
        <v>17968</v>
      </c>
      <c r="N98" s="57" t="s">
        <v>1</v>
      </c>
      <c r="O98" s="58">
        <v>0.25</v>
      </c>
      <c r="P98" s="77" t="s">
        <v>422</v>
      </c>
      <c r="Q98" s="66"/>
      <c r="R98" s="57"/>
      <c r="S98" s="58"/>
      <c r="T98" s="77"/>
      <c r="U98" s="120">
        <f>ROUND((ROUND((ROUND((ROUND((_15_同援日増４．０*_15・通訳),0)*_15・２人),0)*(1+_15・盲ろう)),0)*(1+_15・区３)),0)</f>
        <v>682</v>
      </c>
      <c r="V98" s="69"/>
    </row>
    <row r="99" spans="1:22" ht="16.5" customHeight="1" x14ac:dyDescent="0.3">
      <c r="A99" s="2">
        <v>15</v>
      </c>
      <c r="B99" s="2" t="s">
        <v>5379</v>
      </c>
      <c r="C99" s="60" t="s">
        <v>15864</v>
      </c>
      <c r="D99" s="1"/>
      <c r="E99" s="68"/>
      <c r="F99" s="70"/>
      <c r="G99" s="67"/>
      <c r="H99" s="68"/>
      <c r="I99" s="76"/>
      <c r="J99" s="85"/>
      <c r="K99" s="64"/>
      <c r="L99" s="65"/>
      <c r="M99" s="61"/>
      <c r="N99" s="62"/>
      <c r="O99" s="63"/>
      <c r="P99" s="75"/>
      <c r="Q99" s="74" t="s">
        <v>17971</v>
      </c>
      <c r="R99" s="62"/>
      <c r="S99" s="63"/>
      <c r="T99" s="75"/>
      <c r="U99" s="120">
        <f>ROUND((ROUND((_15_同援日増４．０*_15・通訳),0)*(1+_15・区４)),0)</f>
        <v>636</v>
      </c>
      <c r="V99" s="69"/>
    </row>
    <row r="100" spans="1:22" ht="16.5" customHeight="1" x14ac:dyDescent="0.3">
      <c r="A100" s="2">
        <v>15</v>
      </c>
      <c r="B100" s="2" t="s">
        <v>5380</v>
      </c>
      <c r="C100" s="60" t="s">
        <v>15863</v>
      </c>
      <c r="D100" s="1"/>
      <c r="E100" s="68"/>
      <c r="F100" s="70"/>
      <c r="G100" s="67"/>
      <c r="H100" s="68"/>
      <c r="I100" s="76"/>
      <c r="J100" s="83" t="s">
        <v>5895</v>
      </c>
      <c r="K100" s="64" t="s">
        <v>1</v>
      </c>
      <c r="L100" s="65">
        <v>1</v>
      </c>
      <c r="M100" s="66"/>
      <c r="N100" s="57"/>
      <c r="O100" s="58"/>
      <c r="P100" s="77"/>
      <c r="Q100" s="94" t="s">
        <v>17970</v>
      </c>
      <c r="R100" s="68"/>
      <c r="S100" s="76"/>
      <c r="T100" s="70"/>
      <c r="U100" s="120">
        <f>ROUND((ROUND((ROUND((_15_同援日増４．０*_15・通訳),0)*_15・２人),0)*(1+_15・区４)),0)</f>
        <v>636</v>
      </c>
      <c r="V100" s="69"/>
    </row>
    <row r="101" spans="1:22" ht="16.5" customHeight="1" x14ac:dyDescent="0.3">
      <c r="A101" s="2">
        <v>15</v>
      </c>
      <c r="B101" s="2" t="s">
        <v>5381</v>
      </c>
      <c r="C101" s="60" t="s">
        <v>15862</v>
      </c>
      <c r="D101" s="1"/>
      <c r="E101" s="68"/>
      <c r="F101" s="70"/>
      <c r="G101" s="67"/>
      <c r="H101" s="68"/>
      <c r="I101" s="76"/>
      <c r="J101" s="85"/>
      <c r="K101" s="64"/>
      <c r="L101" s="65"/>
      <c r="M101" s="74" t="s">
        <v>17969</v>
      </c>
      <c r="N101" s="62"/>
      <c r="O101" s="63"/>
      <c r="P101" s="75"/>
      <c r="Q101" s="67"/>
      <c r="R101" s="68" t="s">
        <v>1</v>
      </c>
      <c r="S101" s="76">
        <v>0.4</v>
      </c>
      <c r="T101" s="70" t="s">
        <v>422</v>
      </c>
      <c r="U101" s="120">
        <f>ROUND((ROUND((ROUND((_15_同援日増４．０*_15・通訳),0)*(1+_15・盲ろう)),0)*(1+_15・区４)),0)</f>
        <v>795</v>
      </c>
      <c r="V101" s="69"/>
    </row>
    <row r="102" spans="1:22" ht="16.5" customHeight="1" x14ac:dyDescent="0.3">
      <c r="A102" s="2">
        <v>15</v>
      </c>
      <c r="B102" s="2" t="s">
        <v>5382</v>
      </c>
      <c r="C102" s="60" t="s">
        <v>15861</v>
      </c>
      <c r="D102" s="81"/>
      <c r="E102" s="57"/>
      <c r="F102" s="77"/>
      <c r="G102" s="67"/>
      <c r="H102" s="68"/>
      <c r="I102" s="76"/>
      <c r="J102" s="83" t="s">
        <v>5895</v>
      </c>
      <c r="K102" s="64" t="s">
        <v>1</v>
      </c>
      <c r="L102" s="65">
        <v>1</v>
      </c>
      <c r="M102" s="106" t="s">
        <v>17968</v>
      </c>
      <c r="N102" s="57" t="s">
        <v>1</v>
      </c>
      <c r="O102" s="58">
        <v>0.25</v>
      </c>
      <c r="P102" s="77" t="s">
        <v>422</v>
      </c>
      <c r="Q102" s="66"/>
      <c r="R102" s="57"/>
      <c r="S102" s="58"/>
      <c r="T102" s="77"/>
      <c r="U102" s="120">
        <f>ROUND((ROUND((ROUND((ROUND((_15_同援日増４．０*_15・通訳),0)*_15・２人),0)*(1+_15・盲ろう)),0)*(1+_15・区４)),0)</f>
        <v>795</v>
      </c>
      <c r="V102" s="69"/>
    </row>
    <row r="103" spans="1:22" ht="16.5" customHeight="1" x14ac:dyDescent="0.3">
      <c r="A103" s="2">
        <v>15</v>
      </c>
      <c r="B103" s="2" t="s">
        <v>5383</v>
      </c>
      <c r="C103" s="60" t="s">
        <v>15860</v>
      </c>
      <c r="D103" s="233" t="s">
        <v>18407</v>
      </c>
      <c r="E103" s="235"/>
      <c r="F103" s="75"/>
      <c r="G103" s="67"/>
      <c r="H103" s="68"/>
      <c r="I103" s="76"/>
      <c r="J103" s="85"/>
      <c r="K103" s="64"/>
      <c r="L103" s="65"/>
      <c r="M103" s="61"/>
      <c r="N103" s="62"/>
      <c r="O103" s="63"/>
      <c r="P103" s="75"/>
      <c r="Q103" s="61"/>
      <c r="R103" s="62"/>
      <c r="S103" s="63"/>
      <c r="T103" s="75"/>
      <c r="U103" s="120">
        <f>ROUND((_15_同援日増４．５*_15・通訳),0)</f>
        <v>510</v>
      </c>
      <c r="V103" s="69"/>
    </row>
    <row r="104" spans="1:22" ht="16.5" customHeight="1" x14ac:dyDescent="0.3">
      <c r="A104" s="2">
        <v>15</v>
      </c>
      <c r="B104" s="2" t="s">
        <v>5384</v>
      </c>
      <c r="C104" s="60" t="s">
        <v>15859</v>
      </c>
      <c r="D104" s="1" t="s">
        <v>16853</v>
      </c>
      <c r="E104" s="68"/>
      <c r="F104" s="70"/>
      <c r="G104" s="67"/>
      <c r="H104" s="68"/>
      <c r="I104" s="76"/>
      <c r="J104" s="83" t="s">
        <v>5895</v>
      </c>
      <c r="K104" s="64" t="s">
        <v>1</v>
      </c>
      <c r="L104" s="65">
        <v>1</v>
      </c>
      <c r="M104" s="66"/>
      <c r="N104" s="57"/>
      <c r="O104" s="58"/>
      <c r="P104" s="77"/>
      <c r="Q104" s="67"/>
      <c r="R104" s="68"/>
      <c r="S104" s="76"/>
      <c r="T104" s="70"/>
      <c r="U104" s="120">
        <f>ROUND((ROUND((_15_同援日増４．５*_15・通訳),0)*_15・２人),0)</f>
        <v>510</v>
      </c>
      <c r="V104" s="69"/>
    </row>
    <row r="105" spans="1:22" ht="16.5" customHeight="1" x14ac:dyDescent="0.3">
      <c r="A105" s="2">
        <v>15</v>
      </c>
      <c r="B105" s="2" t="s">
        <v>5385</v>
      </c>
      <c r="C105" s="60" t="s">
        <v>15858</v>
      </c>
      <c r="D105" s="1" t="s">
        <v>8621</v>
      </c>
      <c r="E105" s="68"/>
      <c r="F105" s="70"/>
      <c r="G105" s="67"/>
      <c r="H105" s="68"/>
      <c r="I105" s="76"/>
      <c r="J105" s="85"/>
      <c r="K105" s="64"/>
      <c r="L105" s="65"/>
      <c r="M105" s="74" t="s">
        <v>17969</v>
      </c>
      <c r="N105" s="62"/>
      <c r="O105" s="63"/>
      <c r="P105" s="75"/>
      <c r="Q105" s="67"/>
      <c r="R105" s="68"/>
      <c r="S105" s="76"/>
      <c r="T105" s="70"/>
      <c r="U105" s="120">
        <f>ROUND((ROUND((_15_同援日増４．５*_15・通訳),0)*(1+_15・盲ろう)),0)</f>
        <v>638</v>
      </c>
      <c r="V105" s="69"/>
    </row>
    <row r="106" spans="1:22" ht="16.5" customHeight="1" x14ac:dyDescent="0.3">
      <c r="A106" s="2">
        <v>15</v>
      </c>
      <c r="B106" s="2" t="s">
        <v>5386</v>
      </c>
      <c r="C106" s="60" t="s">
        <v>15857</v>
      </c>
      <c r="D106" s="1"/>
      <c r="E106" s="119">
        <v>567</v>
      </c>
      <c r="F106" s="70" t="s">
        <v>0</v>
      </c>
      <c r="G106" s="67"/>
      <c r="H106" s="68"/>
      <c r="I106" s="76"/>
      <c r="J106" s="83" t="s">
        <v>5895</v>
      </c>
      <c r="K106" s="64" t="s">
        <v>1</v>
      </c>
      <c r="L106" s="65">
        <v>1</v>
      </c>
      <c r="M106" s="106" t="s">
        <v>17968</v>
      </c>
      <c r="N106" s="57" t="s">
        <v>1</v>
      </c>
      <c r="O106" s="58">
        <v>0.25</v>
      </c>
      <c r="P106" s="77" t="s">
        <v>422</v>
      </c>
      <c r="Q106" s="66"/>
      <c r="R106" s="57"/>
      <c r="S106" s="58"/>
      <c r="T106" s="77"/>
      <c r="U106" s="120">
        <f>ROUND((ROUND((ROUND((_15_同援日増４．５*_15・通訳),0)*_15・２人),0)*(1+_15・盲ろう)),0)</f>
        <v>638</v>
      </c>
      <c r="V106" s="69"/>
    </row>
    <row r="107" spans="1:22" ht="16.5" customHeight="1" x14ac:dyDescent="0.3">
      <c r="A107" s="2">
        <v>15</v>
      </c>
      <c r="B107" s="2" t="s">
        <v>5387</v>
      </c>
      <c r="C107" s="60" t="s">
        <v>15856</v>
      </c>
      <c r="D107" s="1"/>
      <c r="E107" s="68"/>
      <c r="F107" s="70"/>
      <c r="G107" s="67"/>
      <c r="H107" s="68"/>
      <c r="I107" s="76"/>
      <c r="J107" s="85"/>
      <c r="K107" s="64"/>
      <c r="L107" s="65"/>
      <c r="M107" s="61"/>
      <c r="N107" s="62"/>
      <c r="O107" s="63"/>
      <c r="P107" s="75"/>
      <c r="Q107" s="74" t="s">
        <v>17974</v>
      </c>
      <c r="R107" s="62"/>
      <c r="S107" s="63"/>
      <c r="T107" s="75"/>
      <c r="U107" s="120">
        <f>ROUND((ROUND((_15_同援日増４．５*_15・通訳),0)*(1+_15・区３)),0)</f>
        <v>612</v>
      </c>
      <c r="V107" s="69"/>
    </row>
    <row r="108" spans="1:22" ht="16.5" customHeight="1" x14ac:dyDescent="0.3">
      <c r="A108" s="2">
        <v>15</v>
      </c>
      <c r="B108" s="2" t="s">
        <v>5388</v>
      </c>
      <c r="C108" s="60" t="s">
        <v>15855</v>
      </c>
      <c r="D108" s="1"/>
      <c r="E108" s="68"/>
      <c r="F108" s="70"/>
      <c r="G108" s="67"/>
      <c r="H108" s="68"/>
      <c r="I108" s="76"/>
      <c r="J108" s="83" t="s">
        <v>5895</v>
      </c>
      <c r="K108" s="64" t="s">
        <v>1</v>
      </c>
      <c r="L108" s="65">
        <v>1</v>
      </c>
      <c r="M108" s="66"/>
      <c r="N108" s="57"/>
      <c r="O108" s="58"/>
      <c r="P108" s="77"/>
      <c r="Q108" s="94" t="s">
        <v>17970</v>
      </c>
      <c r="R108" s="68"/>
      <c r="S108" s="76"/>
      <c r="T108" s="70"/>
      <c r="U108" s="120">
        <f>ROUND((ROUND((ROUND((_15_同援日増４．５*_15・通訳),0)*_15・２人),0)*(1+_15・区３)),0)</f>
        <v>612</v>
      </c>
      <c r="V108" s="69"/>
    </row>
    <row r="109" spans="1:22" ht="16.5" customHeight="1" x14ac:dyDescent="0.3">
      <c r="A109" s="2">
        <v>15</v>
      </c>
      <c r="B109" s="2" t="s">
        <v>5389</v>
      </c>
      <c r="C109" s="60" t="s">
        <v>15854</v>
      </c>
      <c r="D109" s="1"/>
      <c r="E109" s="68"/>
      <c r="F109" s="70"/>
      <c r="G109" s="67"/>
      <c r="H109" s="68"/>
      <c r="I109" s="76"/>
      <c r="J109" s="85"/>
      <c r="K109" s="64"/>
      <c r="L109" s="65"/>
      <c r="M109" s="74" t="s">
        <v>17969</v>
      </c>
      <c r="N109" s="62"/>
      <c r="O109" s="63"/>
      <c r="P109" s="75"/>
      <c r="Q109" s="67"/>
      <c r="R109" s="68" t="s">
        <v>1</v>
      </c>
      <c r="S109" s="76">
        <v>0.2</v>
      </c>
      <c r="T109" s="70" t="s">
        <v>422</v>
      </c>
      <c r="U109" s="120">
        <f>ROUND((ROUND((ROUND((_15_同援日増４．５*_15・通訳),0)*(1+_15・盲ろう)),0)*(1+_15・区３)),0)</f>
        <v>766</v>
      </c>
      <c r="V109" s="69"/>
    </row>
    <row r="110" spans="1:22" ht="16.5" customHeight="1" x14ac:dyDescent="0.3">
      <c r="A110" s="2">
        <v>15</v>
      </c>
      <c r="B110" s="2" t="s">
        <v>5390</v>
      </c>
      <c r="C110" s="60" t="s">
        <v>15853</v>
      </c>
      <c r="D110" s="1"/>
      <c r="E110" s="68"/>
      <c r="F110" s="70"/>
      <c r="G110" s="67"/>
      <c r="H110" s="68"/>
      <c r="I110" s="76"/>
      <c r="J110" s="83" t="s">
        <v>5895</v>
      </c>
      <c r="K110" s="64" t="s">
        <v>1</v>
      </c>
      <c r="L110" s="65">
        <v>1</v>
      </c>
      <c r="M110" s="106" t="s">
        <v>17968</v>
      </c>
      <c r="N110" s="57" t="s">
        <v>1</v>
      </c>
      <c r="O110" s="58">
        <v>0.25</v>
      </c>
      <c r="P110" s="77" t="s">
        <v>422</v>
      </c>
      <c r="Q110" s="66"/>
      <c r="R110" s="57"/>
      <c r="S110" s="58"/>
      <c r="T110" s="77"/>
      <c r="U110" s="120">
        <f>ROUND((ROUND((ROUND((ROUND((_15_同援日増４．５*_15・通訳),0)*_15・２人),0)*(1+_15・盲ろう)),0)*(1+_15・区３)),0)</f>
        <v>766</v>
      </c>
      <c r="V110" s="69"/>
    </row>
    <row r="111" spans="1:22" ht="16.5" customHeight="1" x14ac:dyDescent="0.3">
      <c r="A111" s="2">
        <v>15</v>
      </c>
      <c r="B111" s="2" t="s">
        <v>5391</v>
      </c>
      <c r="C111" s="60" t="s">
        <v>15852</v>
      </c>
      <c r="D111" s="1"/>
      <c r="E111" s="68"/>
      <c r="F111" s="70"/>
      <c r="G111" s="67"/>
      <c r="H111" s="68"/>
      <c r="I111" s="76"/>
      <c r="J111" s="85"/>
      <c r="K111" s="64"/>
      <c r="L111" s="65"/>
      <c r="M111" s="61"/>
      <c r="N111" s="62"/>
      <c r="O111" s="63"/>
      <c r="P111" s="75"/>
      <c r="Q111" s="74" t="s">
        <v>17971</v>
      </c>
      <c r="R111" s="62"/>
      <c r="S111" s="63"/>
      <c r="T111" s="75"/>
      <c r="U111" s="120">
        <f>ROUND((ROUND((_15_同援日増４．５*_15・通訳),0)*(1+_15・区４)),0)</f>
        <v>714</v>
      </c>
      <c r="V111" s="69"/>
    </row>
    <row r="112" spans="1:22" ht="16.5" customHeight="1" x14ac:dyDescent="0.3">
      <c r="A112" s="2">
        <v>15</v>
      </c>
      <c r="B112" s="2" t="s">
        <v>5392</v>
      </c>
      <c r="C112" s="60" t="s">
        <v>15851</v>
      </c>
      <c r="D112" s="1"/>
      <c r="E112" s="68"/>
      <c r="F112" s="70"/>
      <c r="G112" s="67"/>
      <c r="H112" s="68"/>
      <c r="I112" s="76"/>
      <c r="J112" s="83" t="s">
        <v>5895</v>
      </c>
      <c r="K112" s="64" t="s">
        <v>1</v>
      </c>
      <c r="L112" s="65">
        <v>1</v>
      </c>
      <c r="M112" s="66"/>
      <c r="N112" s="57"/>
      <c r="O112" s="58"/>
      <c r="P112" s="77"/>
      <c r="Q112" s="94" t="s">
        <v>17970</v>
      </c>
      <c r="R112" s="68"/>
      <c r="S112" s="76"/>
      <c r="T112" s="70"/>
      <c r="U112" s="120">
        <f>ROUND((ROUND((ROUND((_15_同援日増４．５*_15・通訳),0)*_15・２人),0)*(1+_15・区４)),0)</f>
        <v>714</v>
      </c>
      <c r="V112" s="69"/>
    </row>
    <row r="113" spans="1:22" ht="16.5" customHeight="1" x14ac:dyDescent="0.3">
      <c r="A113" s="2">
        <v>15</v>
      </c>
      <c r="B113" s="2" t="s">
        <v>5393</v>
      </c>
      <c r="C113" s="60" t="s">
        <v>15850</v>
      </c>
      <c r="D113" s="1"/>
      <c r="E113" s="68"/>
      <c r="F113" s="70"/>
      <c r="G113" s="67"/>
      <c r="H113" s="68"/>
      <c r="I113" s="76"/>
      <c r="J113" s="85"/>
      <c r="K113" s="64"/>
      <c r="L113" s="65"/>
      <c r="M113" s="74" t="s">
        <v>17969</v>
      </c>
      <c r="N113" s="62"/>
      <c r="O113" s="63"/>
      <c r="P113" s="75"/>
      <c r="Q113" s="67"/>
      <c r="R113" s="68" t="s">
        <v>1</v>
      </c>
      <c r="S113" s="76">
        <v>0.4</v>
      </c>
      <c r="T113" s="70" t="s">
        <v>422</v>
      </c>
      <c r="U113" s="120">
        <f>ROUND((ROUND((ROUND((_15_同援日増４．５*_15・通訳),0)*(1+_15・盲ろう)),0)*(1+_15・区４)),0)</f>
        <v>893</v>
      </c>
      <c r="V113" s="69"/>
    </row>
    <row r="114" spans="1:22" ht="16.5" customHeight="1" x14ac:dyDescent="0.3">
      <c r="A114" s="2">
        <v>15</v>
      </c>
      <c r="B114" s="2" t="s">
        <v>5394</v>
      </c>
      <c r="C114" s="60" t="s">
        <v>15849</v>
      </c>
      <c r="D114" s="81"/>
      <c r="E114" s="57"/>
      <c r="F114" s="77"/>
      <c r="G114" s="67"/>
      <c r="H114" s="68"/>
      <c r="I114" s="76"/>
      <c r="J114" s="83" t="s">
        <v>5895</v>
      </c>
      <c r="K114" s="64" t="s">
        <v>1</v>
      </c>
      <c r="L114" s="65">
        <v>1</v>
      </c>
      <c r="M114" s="106" t="s">
        <v>17968</v>
      </c>
      <c r="N114" s="57" t="s">
        <v>1</v>
      </c>
      <c r="O114" s="58">
        <v>0.25</v>
      </c>
      <c r="P114" s="77" t="s">
        <v>422</v>
      </c>
      <c r="Q114" s="66"/>
      <c r="R114" s="57"/>
      <c r="S114" s="58"/>
      <c r="T114" s="77"/>
      <c r="U114" s="120">
        <f>ROUND((ROUND((ROUND((ROUND((_15_同援日増４．５*_15・通訳),0)*_15・２人),0)*(1+_15・盲ろう)),0)*(1+_15・区４)),0)</f>
        <v>893</v>
      </c>
      <c r="V114" s="69"/>
    </row>
    <row r="115" spans="1:22" ht="16.5" customHeight="1" x14ac:dyDescent="0.3">
      <c r="A115" s="2">
        <v>15</v>
      </c>
      <c r="B115" s="2" t="s">
        <v>5395</v>
      </c>
      <c r="C115" s="60" t="s">
        <v>15848</v>
      </c>
      <c r="D115" s="233" t="s">
        <v>18406</v>
      </c>
      <c r="E115" s="235"/>
      <c r="F115" s="75"/>
      <c r="G115" s="67"/>
      <c r="H115" s="68"/>
      <c r="I115" s="76"/>
      <c r="J115" s="85"/>
      <c r="K115" s="64"/>
      <c r="L115" s="65"/>
      <c r="M115" s="61"/>
      <c r="N115" s="62"/>
      <c r="O115" s="63"/>
      <c r="P115" s="75"/>
      <c r="Q115" s="61"/>
      <c r="R115" s="62"/>
      <c r="S115" s="63"/>
      <c r="T115" s="75"/>
      <c r="U115" s="120">
        <f>ROUND((_15_同援日増５．０*_15・通訳),0)</f>
        <v>567</v>
      </c>
      <c r="V115" s="69"/>
    </row>
    <row r="116" spans="1:22" ht="16.5" customHeight="1" x14ac:dyDescent="0.3">
      <c r="A116" s="2">
        <v>15</v>
      </c>
      <c r="B116" s="2" t="s">
        <v>5396</v>
      </c>
      <c r="C116" s="60" t="s">
        <v>15847</v>
      </c>
      <c r="D116" s="1" t="s">
        <v>16850</v>
      </c>
      <c r="E116" s="68"/>
      <c r="F116" s="70"/>
      <c r="G116" s="67"/>
      <c r="H116" s="68"/>
      <c r="I116" s="76"/>
      <c r="J116" s="83" t="s">
        <v>5895</v>
      </c>
      <c r="K116" s="64" t="s">
        <v>1</v>
      </c>
      <c r="L116" s="65">
        <v>1</v>
      </c>
      <c r="M116" s="66"/>
      <c r="N116" s="57"/>
      <c r="O116" s="58"/>
      <c r="P116" s="77"/>
      <c r="Q116" s="67"/>
      <c r="R116" s="68"/>
      <c r="S116" s="76"/>
      <c r="T116" s="70"/>
      <c r="U116" s="120">
        <f>ROUND((ROUND((_15_同援日増５．０*_15・通訳),0)*_15・２人),0)</f>
        <v>567</v>
      </c>
      <c r="V116" s="69"/>
    </row>
    <row r="117" spans="1:22" ht="16.5" customHeight="1" x14ac:dyDescent="0.3">
      <c r="A117" s="2">
        <v>15</v>
      </c>
      <c r="B117" s="2" t="s">
        <v>5397</v>
      </c>
      <c r="C117" s="60" t="s">
        <v>15846</v>
      </c>
      <c r="D117" s="1" t="s">
        <v>9035</v>
      </c>
      <c r="E117" s="68"/>
      <c r="F117" s="70"/>
      <c r="G117" s="67"/>
      <c r="H117" s="68"/>
      <c r="I117" s="76"/>
      <c r="J117" s="85"/>
      <c r="K117" s="64"/>
      <c r="L117" s="65"/>
      <c r="M117" s="74" t="s">
        <v>17969</v>
      </c>
      <c r="N117" s="62"/>
      <c r="O117" s="63"/>
      <c r="P117" s="75"/>
      <c r="Q117" s="67"/>
      <c r="R117" s="68"/>
      <c r="S117" s="76"/>
      <c r="T117" s="70"/>
      <c r="U117" s="120">
        <f>ROUND((ROUND((_15_同援日増５．０*_15・通訳),0)*(1+_15・盲ろう)),0)</f>
        <v>709</v>
      </c>
      <c r="V117" s="69"/>
    </row>
    <row r="118" spans="1:22" ht="16.5" customHeight="1" x14ac:dyDescent="0.3">
      <c r="A118" s="2">
        <v>15</v>
      </c>
      <c r="B118" s="2" t="s">
        <v>5398</v>
      </c>
      <c r="C118" s="60" t="s">
        <v>15845</v>
      </c>
      <c r="D118" s="1"/>
      <c r="E118" s="119">
        <v>630</v>
      </c>
      <c r="F118" s="70" t="s">
        <v>0</v>
      </c>
      <c r="G118" s="67"/>
      <c r="H118" s="68"/>
      <c r="I118" s="76"/>
      <c r="J118" s="83" t="s">
        <v>5895</v>
      </c>
      <c r="K118" s="64" t="s">
        <v>1</v>
      </c>
      <c r="L118" s="65">
        <v>1</v>
      </c>
      <c r="M118" s="106" t="s">
        <v>17968</v>
      </c>
      <c r="N118" s="57" t="s">
        <v>1</v>
      </c>
      <c r="O118" s="58">
        <v>0.25</v>
      </c>
      <c r="P118" s="77" t="s">
        <v>422</v>
      </c>
      <c r="Q118" s="66"/>
      <c r="R118" s="57"/>
      <c r="S118" s="58"/>
      <c r="T118" s="77"/>
      <c r="U118" s="120">
        <f>ROUND((ROUND((ROUND((_15_同援日増５．０*_15・通訳),0)*_15・２人),0)*(1+_15・盲ろう)),0)</f>
        <v>709</v>
      </c>
      <c r="V118" s="69"/>
    </row>
    <row r="119" spans="1:22" ht="16.5" customHeight="1" x14ac:dyDescent="0.3">
      <c r="A119" s="2">
        <v>15</v>
      </c>
      <c r="B119" s="2" t="s">
        <v>5399</v>
      </c>
      <c r="C119" s="60" t="s">
        <v>15844</v>
      </c>
      <c r="D119" s="1"/>
      <c r="E119" s="68"/>
      <c r="F119" s="70"/>
      <c r="G119" s="67"/>
      <c r="H119" s="68"/>
      <c r="I119" s="76"/>
      <c r="J119" s="85"/>
      <c r="K119" s="64"/>
      <c r="L119" s="65"/>
      <c r="M119" s="61"/>
      <c r="N119" s="62"/>
      <c r="O119" s="63"/>
      <c r="P119" s="75"/>
      <c r="Q119" s="74" t="s">
        <v>17974</v>
      </c>
      <c r="R119" s="62"/>
      <c r="S119" s="63"/>
      <c r="T119" s="75"/>
      <c r="U119" s="120">
        <f>ROUND((ROUND((_15_同援日増５．０*_15・通訳),0)*(1+_15・区３)),0)</f>
        <v>680</v>
      </c>
      <c r="V119" s="69"/>
    </row>
    <row r="120" spans="1:22" ht="16.5" customHeight="1" x14ac:dyDescent="0.3">
      <c r="A120" s="2">
        <v>15</v>
      </c>
      <c r="B120" s="2" t="s">
        <v>5400</v>
      </c>
      <c r="C120" s="60" t="s">
        <v>15843</v>
      </c>
      <c r="D120" s="1"/>
      <c r="E120" s="68"/>
      <c r="F120" s="70"/>
      <c r="G120" s="67"/>
      <c r="H120" s="68"/>
      <c r="I120" s="76"/>
      <c r="J120" s="83" t="s">
        <v>5895</v>
      </c>
      <c r="K120" s="64" t="s">
        <v>1</v>
      </c>
      <c r="L120" s="65">
        <v>1</v>
      </c>
      <c r="M120" s="66"/>
      <c r="N120" s="57"/>
      <c r="O120" s="58"/>
      <c r="P120" s="77"/>
      <c r="Q120" s="94" t="s">
        <v>17970</v>
      </c>
      <c r="R120" s="68"/>
      <c r="S120" s="76"/>
      <c r="T120" s="70"/>
      <c r="U120" s="120">
        <f>ROUND((ROUND((ROUND((_15_同援日増５．０*_15・通訳),0)*_15・２人),0)*(1+_15・区３)),0)</f>
        <v>680</v>
      </c>
      <c r="V120" s="69"/>
    </row>
    <row r="121" spans="1:22" ht="16.5" customHeight="1" x14ac:dyDescent="0.3">
      <c r="A121" s="2">
        <v>15</v>
      </c>
      <c r="B121" s="2" t="s">
        <v>5401</v>
      </c>
      <c r="C121" s="60" t="s">
        <v>15842</v>
      </c>
      <c r="D121" s="1"/>
      <c r="E121" s="68"/>
      <c r="F121" s="70"/>
      <c r="G121" s="67"/>
      <c r="H121" s="68"/>
      <c r="I121" s="76"/>
      <c r="J121" s="85"/>
      <c r="K121" s="64"/>
      <c r="L121" s="65"/>
      <c r="M121" s="74" t="s">
        <v>17969</v>
      </c>
      <c r="N121" s="62"/>
      <c r="O121" s="63"/>
      <c r="P121" s="75"/>
      <c r="Q121" s="67"/>
      <c r="R121" s="68" t="s">
        <v>1</v>
      </c>
      <c r="S121" s="76">
        <v>0.2</v>
      </c>
      <c r="T121" s="70" t="s">
        <v>422</v>
      </c>
      <c r="U121" s="120">
        <f>ROUND((ROUND((ROUND((_15_同援日増５．０*_15・通訳),0)*(1+_15・盲ろう)),0)*(1+_15・区３)),0)</f>
        <v>851</v>
      </c>
      <c r="V121" s="69"/>
    </row>
    <row r="122" spans="1:22" ht="16.5" customHeight="1" x14ac:dyDescent="0.3">
      <c r="A122" s="2">
        <v>15</v>
      </c>
      <c r="B122" s="2" t="s">
        <v>5402</v>
      </c>
      <c r="C122" s="60" t="s">
        <v>15841</v>
      </c>
      <c r="D122" s="1"/>
      <c r="E122" s="68"/>
      <c r="F122" s="70"/>
      <c r="G122" s="67"/>
      <c r="H122" s="68"/>
      <c r="I122" s="76"/>
      <c r="J122" s="83" t="s">
        <v>5895</v>
      </c>
      <c r="K122" s="64" t="s">
        <v>1</v>
      </c>
      <c r="L122" s="65">
        <v>1</v>
      </c>
      <c r="M122" s="106" t="s">
        <v>17968</v>
      </c>
      <c r="N122" s="57" t="s">
        <v>1</v>
      </c>
      <c r="O122" s="58">
        <v>0.25</v>
      </c>
      <c r="P122" s="77" t="s">
        <v>422</v>
      </c>
      <c r="Q122" s="66"/>
      <c r="R122" s="57"/>
      <c r="S122" s="58"/>
      <c r="T122" s="77"/>
      <c r="U122" s="120">
        <f>ROUND((ROUND((ROUND((ROUND((_15_同援日増５．０*_15・通訳),0)*_15・２人),0)*(1+_15・盲ろう)),0)*(1+_15・区３)),0)</f>
        <v>851</v>
      </c>
      <c r="V122" s="69"/>
    </row>
    <row r="123" spans="1:22" ht="16.5" customHeight="1" x14ac:dyDescent="0.3">
      <c r="A123" s="2">
        <v>15</v>
      </c>
      <c r="B123" s="2" t="s">
        <v>5403</v>
      </c>
      <c r="C123" s="60" t="s">
        <v>15840</v>
      </c>
      <c r="D123" s="1"/>
      <c r="E123" s="68"/>
      <c r="F123" s="70"/>
      <c r="G123" s="67"/>
      <c r="H123" s="68"/>
      <c r="I123" s="76"/>
      <c r="J123" s="85"/>
      <c r="K123" s="64"/>
      <c r="L123" s="65"/>
      <c r="M123" s="61"/>
      <c r="N123" s="62"/>
      <c r="O123" s="63"/>
      <c r="P123" s="75"/>
      <c r="Q123" s="74" t="s">
        <v>17971</v>
      </c>
      <c r="R123" s="62"/>
      <c r="S123" s="63"/>
      <c r="T123" s="75"/>
      <c r="U123" s="120">
        <f>ROUND((ROUND((_15_同援日増５．０*_15・通訳),0)*(1+_15・区４)),0)</f>
        <v>794</v>
      </c>
      <c r="V123" s="69"/>
    </row>
    <row r="124" spans="1:22" ht="16.5" customHeight="1" x14ac:dyDescent="0.3">
      <c r="A124" s="2">
        <v>15</v>
      </c>
      <c r="B124" s="2" t="s">
        <v>5404</v>
      </c>
      <c r="C124" s="60" t="s">
        <v>15839</v>
      </c>
      <c r="D124" s="1"/>
      <c r="E124" s="68"/>
      <c r="F124" s="70"/>
      <c r="G124" s="67"/>
      <c r="H124" s="68"/>
      <c r="I124" s="76"/>
      <c r="J124" s="83" t="s">
        <v>5895</v>
      </c>
      <c r="K124" s="64" t="s">
        <v>1</v>
      </c>
      <c r="L124" s="65">
        <v>1</v>
      </c>
      <c r="M124" s="66"/>
      <c r="N124" s="57"/>
      <c r="O124" s="58"/>
      <c r="P124" s="77"/>
      <c r="Q124" s="94" t="s">
        <v>17970</v>
      </c>
      <c r="R124" s="68"/>
      <c r="S124" s="76"/>
      <c r="T124" s="70"/>
      <c r="U124" s="120">
        <f>ROUND((ROUND((ROUND((_15_同援日増５．０*_15・通訳),0)*_15・２人),0)*(1+_15・区４)),0)</f>
        <v>794</v>
      </c>
      <c r="V124" s="69"/>
    </row>
    <row r="125" spans="1:22" ht="16.5" customHeight="1" x14ac:dyDescent="0.3">
      <c r="A125" s="2">
        <v>15</v>
      </c>
      <c r="B125" s="2" t="s">
        <v>5405</v>
      </c>
      <c r="C125" s="60" t="s">
        <v>15838</v>
      </c>
      <c r="D125" s="1"/>
      <c r="E125" s="68"/>
      <c r="F125" s="70"/>
      <c r="G125" s="67"/>
      <c r="H125" s="68"/>
      <c r="I125" s="76"/>
      <c r="J125" s="85"/>
      <c r="K125" s="64"/>
      <c r="L125" s="65"/>
      <c r="M125" s="74" t="s">
        <v>17969</v>
      </c>
      <c r="N125" s="62"/>
      <c r="O125" s="63"/>
      <c r="P125" s="75"/>
      <c r="Q125" s="67"/>
      <c r="R125" s="68" t="s">
        <v>1</v>
      </c>
      <c r="S125" s="76">
        <v>0.4</v>
      </c>
      <c r="T125" s="70" t="s">
        <v>422</v>
      </c>
      <c r="U125" s="120">
        <f>ROUND((ROUND((ROUND((_15_同援日増５．０*_15・通訳),0)*(1+_15・盲ろう)),0)*(1+_15・区４)),0)</f>
        <v>993</v>
      </c>
      <c r="V125" s="69"/>
    </row>
    <row r="126" spans="1:22" ht="16.5" customHeight="1" x14ac:dyDescent="0.3">
      <c r="A126" s="2">
        <v>15</v>
      </c>
      <c r="B126" s="2" t="s">
        <v>5406</v>
      </c>
      <c r="C126" s="60" t="s">
        <v>15837</v>
      </c>
      <c r="D126" s="81"/>
      <c r="E126" s="57"/>
      <c r="F126" s="77"/>
      <c r="G126" s="67"/>
      <c r="H126" s="68"/>
      <c r="I126" s="76"/>
      <c r="J126" s="83" t="s">
        <v>5895</v>
      </c>
      <c r="K126" s="64" t="s">
        <v>1</v>
      </c>
      <c r="L126" s="65">
        <v>1</v>
      </c>
      <c r="M126" s="106" t="s">
        <v>17968</v>
      </c>
      <c r="N126" s="57" t="s">
        <v>1</v>
      </c>
      <c r="O126" s="58">
        <v>0.25</v>
      </c>
      <c r="P126" s="77" t="s">
        <v>422</v>
      </c>
      <c r="Q126" s="66"/>
      <c r="R126" s="57"/>
      <c r="S126" s="58"/>
      <c r="T126" s="77"/>
      <c r="U126" s="120">
        <f>ROUND((ROUND((ROUND((ROUND((_15_同援日増５．０*_15・通訳),0)*_15・２人),0)*(1+_15・盲ろう)),0)*(1+_15・区４)),0)</f>
        <v>993</v>
      </c>
      <c r="V126" s="69"/>
    </row>
    <row r="127" spans="1:22" ht="16.5" customHeight="1" x14ac:dyDescent="0.3">
      <c r="A127" s="2">
        <v>15</v>
      </c>
      <c r="B127" s="2" t="s">
        <v>5407</v>
      </c>
      <c r="C127" s="60" t="s">
        <v>15836</v>
      </c>
      <c r="D127" s="233" t="s">
        <v>18405</v>
      </c>
      <c r="E127" s="235"/>
      <c r="F127" s="75"/>
      <c r="G127" s="67"/>
      <c r="H127" s="68"/>
      <c r="I127" s="76"/>
      <c r="J127" s="85"/>
      <c r="K127" s="64"/>
      <c r="L127" s="65"/>
      <c r="M127" s="61"/>
      <c r="N127" s="62"/>
      <c r="O127" s="63"/>
      <c r="P127" s="75"/>
      <c r="Q127" s="61"/>
      <c r="R127" s="62"/>
      <c r="S127" s="63"/>
      <c r="T127" s="75"/>
      <c r="U127" s="120">
        <f>ROUND((_15_同援日増５．５*_15・通訳),0)</f>
        <v>624</v>
      </c>
      <c r="V127" s="69"/>
    </row>
    <row r="128" spans="1:22" ht="16.5" customHeight="1" x14ac:dyDescent="0.3">
      <c r="A128" s="2">
        <v>15</v>
      </c>
      <c r="B128" s="2" t="s">
        <v>5408</v>
      </c>
      <c r="C128" s="60" t="s">
        <v>15835</v>
      </c>
      <c r="D128" s="1" t="s">
        <v>16847</v>
      </c>
      <c r="E128" s="68"/>
      <c r="F128" s="70"/>
      <c r="G128" s="67"/>
      <c r="H128" s="68"/>
      <c r="I128" s="76"/>
      <c r="J128" s="83" t="s">
        <v>5895</v>
      </c>
      <c r="K128" s="64" t="s">
        <v>1</v>
      </c>
      <c r="L128" s="65">
        <v>1</v>
      </c>
      <c r="M128" s="66"/>
      <c r="N128" s="57"/>
      <c r="O128" s="58"/>
      <c r="P128" s="77"/>
      <c r="Q128" s="67"/>
      <c r="R128" s="68"/>
      <c r="S128" s="76"/>
      <c r="T128" s="70"/>
      <c r="U128" s="120">
        <f>ROUND((ROUND((_15_同援日増５．５*_15・通訳),0)*_15・２人),0)</f>
        <v>624</v>
      </c>
      <c r="V128" s="69"/>
    </row>
    <row r="129" spans="1:22" ht="16.5" customHeight="1" x14ac:dyDescent="0.3">
      <c r="A129" s="2">
        <v>15</v>
      </c>
      <c r="B129" s="2" t="s">
        <v>5409</v>
      </c>
      <c r="C129" s="60" t="s">
        <v>15834</v>
      </c>
      <c r="D129" s="1" t="s">
        <v>9010</v>
      </c>
      <c r="E129" s="68"/>
      <c r="F129" s="70"/>
      <c r="G129" s="67"/>
      <c r="H129" s="68"/>
      <c r="I129" s="76"/>
      <c r="J129" s="85"/>
      <c r="K129" s="64"/>
      <c r="L129" s="65"/>
      <c r="M129" s="74" t="s">
        <v>17969</v>
      </c>
      <c r="N129" s="62"/>
      <c r="O129" s="63"/>
      <c r="P129" s="75"/>
      <c r="Q129" s="67"/>
      <c r="R129" s="68"/>
      <c r="S129" s="76"/>
      <c r="T129" s="70"/>
      <c r="U129" s="120">
        <f>ROUND((ROUND((_15_同援日増５．５*_15・通訳),0)*(1+_15・盲ろう)),0)</f>
        <v>780</v>
      </c>
      <c r="V129" s="69"/>
    </row>
    <row r="130" spans="1:22" ht="16.5" customHeight="1" x14ac:dyDescent="0.3">
      <c r="A130" s="2">
        <v>15</v>
      </c>
      <c r="B130" s="2" t="s">
        <v>5410</v>
      </c>
      <c r="C130" s="60" t="s">
        <v>15833</v>
      </c>
      <c r="D130" s="1"/>
      <c r="E130" s="119">
        <v>693</v>
      </c>
      <c r="F130" s="70" t="s">
        <v>0</v>
      </c>
      <c r="G130" s="67"/>
      <c r="H130" s="68"/>
      <c r="I130" s="76"/>
      <c r="J130" s="83" t="s">
        <v>5895</v>
      </c>
      <c r="K130" s="64" t="s">
        <v>1</v>
      </c>
      <c r="L130" s="65">
        <v>1</v>
      </c>
      <c r="M130" s="106" t="s">
        <v>17968</v>
      </c>
      <c r="N130" s="57" t="s">
        <v>1</v>
      </c>
      <c r="O130" s="58">
        <v>0.25</v>
      </c>
      <c r="P130" s="77" t="s">
        <v>422</v>
      </c>
      <c r="Q130" s="66"/>
      <c r="R130" s="57"/>
      <c r="S130" s="58"/>
      <c r="T130" s="77"/>
      <c r="U130" s="120">
        <f>ROUND((ROUND((ROUND((_15_同援日増５．５*_15・通訳),0)*_15・２人),0)*(1+_15・盲ろう)),0)</f>
        <v>780</v>
      </c>
      <c r="V130" s="69"/>
    </row>
    <row r="131" spans="1:22" ht="16.5" customHeight="1" x14ac:dyDescent="0.3">
      <c r="A131" s="2">
        <v>15</v>
      </c>
      <c r="B131" s="2" t="s">
        <v>5411</v>
      </c>
      <c r="C131" s="60" t="s">
        <v>15832</v>
      </c>
      <c r="D131" s="1"/>
      <c r="E131" s="68"/>
      <c r="F131" s="70"/>
      <c r="G131" s="67"/>
      <c r="H131" s="68"/>
      <c r="I131" s="76"/>
      <c r="J131" s="85"/>
      <c r="K131" s="64"/>
      <c r="L131" s="65"/>
      <c r="M131" s="61"/>
      <c r="N131" s="62"/>
      <c r="O131" s="63"/>
      <c r="P131" s="75"/>
      <c r="Q131" s="74" t="s">
        <v>17974</v>
      </c>
      <c r="R131" s="62"/>
      <c r="S131" s="63"/>
      <c r="T131" s="75"/>
      <c r="U131" s="120">
        <f>ROUND((ROUND((_15_同援日増５．５*_15・通訳),0)*(1+_15・区３)),0)</f>
        <v>749</v>
      </c>
      <c r="V131" s="69"/>
    </row>
    <row r="132" spans="1:22" ht="16.5" customHeight="1" x14ac:dyDescent="0.3">
      <c r="A132" s="2">
        <v>15</v>
      </c>
      <c r="B132" s="2" t="s">
        <v>5412</v>
      </c>
      <c r="C132" s="60" t="s">
        <v>15831</v>
      </c>
      <c r="D132" s="1"/>
      <c r="E132" s="68"/>
      <c r="F132" s="70"/>
      <c r="G132" s="67"/>
      <c r="H132" s="68"/>
      <c r="I132" s="76"/>
      <c r="J132" s="83" t="s">
        <v>5895</v>
      </c>
      <c r="K132" s="64" t="s">
        <v>1</v>
      </c>
      <c r="L132" s="65">
        <v>1</v>
      </c>
      <c r="M132" s="66"/>
      <c r="N132" s="57"/>
      <c r="O132" s="58"/>
      <c r="P132" s="77"/>
      <c r="Q132" s="94" t="s">
        <v>17970</v>
      </c>
      <c r="R132" s="68"/>
      <c r="S132" s="76"/>
      <c r="T132" s="70"/>
      <c r="U132" s="120">
        <f>ROUND((ROUND((ROUND((_15_同援日増５．５*_15・通訳),0)*_15・２人),0)*(1+_15・区３)),0)</f>
        <v>749</v>
      </c>
      <c r="V132" s="69"/>
    </row>
    <row r="133" spans="1:22" ht="16.5" customHeight="1" x14ac:dyDescent="0.3">
      <c r="A133" s="2">
        <v>15</v>
      </c>
      <c r="B133" s="2" t="s">
        <v>5413</v>
      </c>
      <c r="C133" s="60" t="s">
        <v>15830</v>
      </c>
      <c r="D133" s="1"/>
      <c r="E133" s="68"/>
      <c r="F133" s="70"/>
      <c r="G133" s="67"/>
      <c r="H133" s="68"/>
      <c r="I133" s="76"/>
      <c r="J133" s="85"/>
      <c r="K133" s="64"/>
      <c r="L133" s="65"/>
      <c r="M133" s="74" t="s">
        <v>17969</v>
      </c>
      <c r="N133" s="62"/>
      <c r="O133" s="63"/>
      <c r="P133" s="75"/>
      <c r="Q133" s="67"/>
      <c r="R133" s="68" t="s">
        <v>1</v>
      </c>
      <c r="S133" s="76">
        <v>0.2</v>
      </c>
      <c r="T133" s="70" t="s">
        <v>422</v>
      </c>
      <c r="U133" s="120">
        <f>ROUND((ROUND((ROUND((_15_同援日増５．５*_15・通訳),0)*(1+_15・盲ろう)),0)*(1+_15・区３)),0)</f>
        <v>936</v>
      </c>
      <c r="V133" s="69"/>
    </row>
    <row r="134" spans="1:22" ht="16.5" customHeight="1" x14ac:dyDescent="0.3">
      <c r="A134" s="2">
        <v>15</v>
      </c>
      <c r="B134" s="2" t="s">
        <v>5414</v>
      </c>
      <c r="C134" s="60" t="s">
        <v>15829</v>
      </c>
      <c r="D134" s="1"/>
      <c r="E134" s="68"/>
      <c r="F134" s="70"/>
      <c r="G134" s="67"/>
      <c r="H134" s="68"/>
      <c r="I134" s="76"/>
      <c r="J134" s="83" t="s">
        <v>5895</v>
      </c>
      <c r="K134" s="64" t="s">
        <v>1</v>
      </c>
      <c r="L134" s="65">
        <v>1</v>
      </c>
      <c r="M134" s="106" t="s">
        <v>17968</v>
      </c>
      <c r="N134" s="57" t="s">
        <v>1</v>
      </c>
      <c r="O134" s="58">
        <v>0.25</v>
      </c>
      <c r="P134" s="77" t="s">
        <v>422</v>
      </c>
      <c r="Q134" s="66"/>
      <c r="R134" s="57"/>
      <c r="S134" s="58"/>
      <c r="T134" s="77"/>
      <c r="U134" s="120">
        <f>ROUND((ROUND((ROUND((ROUND((_15_同援日増５．５*_15・通訳),0)*_15・２人),0)*(1+_15・盲ろう)),0)*(1+_15・区３)),0)</f>
        <v>936</v>
      </c>
      <c r="V134" s="69"/>
    </row>
    <row r="135" spans="1:22" ht="16.5" customHeight="1" x14ac:dyDescent="0.3">
      <c r="A135" s="2">
        <v>15</v>
      </c>
      <c r="B135" s="2" t="s">
        <v>5415</v>
      </c>
      <c r="C135" s="60" t="s">
        <v>15828</v>
      </c>
      <c r="D135" s="1"/>
      <c r="E135" s="68"/>
      <c r="F135" s="70"/>
      <c r="G135" s="67"/>
      <c r="H135" s="68"/>
      <c r="I135" s="76"/>
      <c r="J135" s="85"/>
      <c r="K135" s="64"/>
      <c r="L135" s="65"/>
      <c r="M135" s="61"/>
      <c r="N135" s="62"/>
      <c r="O135" s="63"/>
      <c r="P135" s="75"/>
      <c r="Q135" s="74" t="s">
        <v>17971</v>
      </c>
      <c r="R135" s="62"/>
      <c r="S135" s="63"/>
      <c r="T135" s="75"/>
      <c r="U135" s="120">
        <f>ROUND((ROUND((_15_同援日増５．５*_15・通訳),0)*(1+_15・区４)),0)</f>
        <v>874</v>
      </c>
      <c r="V135" s="69"/>
    </row>
    <row r="136" spans="1:22" ht="16.5" customHeight="1" x14ac:dyDescent="0.3">
      <c r="A136" s="2">
        <v>15</v>
      </c>
      <c r="B136" s="2" t="s">
        <v>5416</v>
      </c>
      <c r="C136" s="60" t="s">
        <v>15827</v>
      </c>
      <c r="D136" s="1"/>
      <c r="E136" s="68"/>
      <c r="F136" s="70"/>
      <c r="G136" s="67"/>
      <c r="H136" s="68"/>
      <c r="I136" s="76"/>
      <c r="J136" s="83" t="s">
        <v>5895</v>
      </c>
      <c r="K136" s="64" t="s">
        <v>1</v>
      </c>
      <c r="L136" s="65">
        <v>1</v>
      </c>
      <c r="M136" s="66"/>
      <c r="N136" s="57"/>
      <c r="O136" s="58"/>
      <c r="P136" s="77"/>
      <c r="Q136" s="94" t="s">
        <v>17970</v>
      </c>
      <c r="R136" s="68"/>
      <c r="S136" s="76"/>
      <c r="T136" s="70"/>
      <c r="U136" s="120">
        <f>ROUND((ROUND((ROUND((_15_同援日増５．５*_15・通訳),0)*_15・２人),0)*(1+_15・区４)),0)</f>
        <v>874</v>
      </c>
      <c r="V136" s="69"/>
    </row>
    <row r="137" spans="1:22" ht="16.5" customHeight="1" x14ac:dyDescent="0.3">
      <c r="A137" s="2">
        <v>15</v>
      </c>
      <c r="B137" s="2" t="s">
        <v>5417</v>
      </c>
      <c r="C137" s="60" t="s">
        <v>15826</v>
      </c>
      <c r="D137" s="1"/>
      <c r="E137" s="68"/>
      <c r="F137" s="70"/>
      <c r="G137" s="67"/>
      <c r="H137" s="68"/>
      <c r="I137" s="76"/>
      <c r="J137" s="85"/>
      <c r="K137" s="64"/>
      <c r="L137" s="65"/>
      <c r="M137" s="74" t="s">
        <v>17969</v>
      </c>
      <c r="N137" s="62"/>
      <c r="O137" s="63"/>
      <c r="P137" s="75"/>
      <c r="Q137" s="67"/>
      <c r="R137" s="68" t="s">
        <v>1</v>
      </c>
      <c r="S137" s="76">
        <v>0.4</v>
      </c>
      <c r="T137" s="70" t="s">
        <v>422</v>
      </c>
      <c r="U137" s="120">
        <f>ROUND((ROUND((ROUND((_15_同援日増５．５*_15・通訳),0)*(1+_15・盲ろう)),0)*(1+_15・区４)),0)</f>
        <v>1092</v>
      </c>
      <c r="V137" s="69"/>
    </row>
    <row r="138" spans="1:22" ht="16.5" customHeight="1" x14ac:dyDescent="0.3">
      <c r="A138" s="2">
        <v>15</v>
      </c>
      <c r="B138" s="2" t="s">
        <v>5418</v>
      </c>
      <c r="C138" s="60" t="s">
        <v>15825</v>
      </c>
      <c r="D138" s="81"/>
      <c r="E138" s="57"/>
      <c r="F138" s="77"/>
      <c r="G138" s="67"/>
      <c r="H138" s="68"/>
      <c r="I138" s="76"/>
      <c r="J138" s="83" t="s">
        <v>5895</v>
      </c>
      <c r="K138" s="64" t="s">
        <v>1</v>
      </c>
      <c r="L138" s="65">
        <v>1</v>
      </c>
      <c r="M138" s="106" t="s">
        <v>17968</v>
      </c>
      <c r="N138" s="57" t="s">
        <v>1</v>
      </c>
      <c r="O138" s="58">
        <v>0.25</v>
      </c>
      <c r="P138" s="77" t="s">
        <v>422</v>
      </c>
      <c r="Q138" s="66"/>
      <c r="R138" s="57"/>
      <c r="S138" s="58"/>
      <c r="T138" s="77"/>
      <c r="U138" s="120">
        <f>ROUND((ROUND((ROUND((ROUND((_15_同援日増５．５*_15・通訳),0)*_15・２人),0)*(1+_15・盲ろう)),0)*(1+_15・区４)),0)</f>
        <v>1092</v>
      </c>
      <c r="V138" s="69"/>
    </row>
    <row r="139" spans="1:22" ht="16.5" customHeight="1" x14ac:dyDescent="0.3">
      <c r="A139" s="2">
        <v>15</v>
      </c>
      <c r="B139" s="2" t="s">
        <v>5419</v>
      </c>
      <c r="C139" s="60" t="s">
        <v>15824</v>
      </c>
      <c r="D139" s="233" t="s">
        <v>18404</v>
      </c>
      <c r="E139" s="235"/>
      <c r="F139" s="75"/>
      <c r="G139" s="67"/>
      <c r="H139" s="68"/>
      <c r="I139" s="76"/>
      <c r="J139" s="85"/>
      <c r="K139" s="64"/>
      <c r="L139" s="65"/>
      <c r="M139" s="61"/>
      <c r="N139" s="62"/>
      <c r="O139" s="63"/>
      <c r="P139" s="75"/>
      <c r="Q139" s="61"/>
      <c r="R139" s="62"/>
      <c r="S139" s="63"/>
      <c r="T139" s="75"/>
      <c r="U139" s="120">
        <f>ROUND((_15_同援日増６．０*_15・通訳),0)</f>
        <v>680</v>
      </c>
      <c r="V139" s="69"/>
    </row>
    <row r="140" spans="1:22" ht="16.5" customHeight="1" x14ac:dyDescent="0.3">
      <c r="A140" s="2">
        <v>15</v>
      </c>
      <c r="B140" s="2" t="s">
        <v>5420</v>
      </c>
      <c r="C140" s="60" t="s">
        <v>15823</v>
      </c>
      <c r="D140" s="1" t="s">
        <v>16844</v>
      </c>
      <c r="E140" s="68"/>
      <c r="F140" s="70"/>
      <c r="G140" s="67"/>
      <c r="H140" s="68"/>
      <c r="I140" s="76"/>
      <c r="J140" s="83" t="s">
        <v>5895</v>
      </c>
      <c r="K140" s="64" t="s">
        <v>1</v>
      </c>
      <c r="L140" s="65">
        <v>1</v>
      </c>
      <c r="M140" s="66"/>
      <c r="N140" s="57"/>
      <c r="O140" s="58"/>
      <c r="P140" s="77"/>
      <c r="Q140" s="67"/>
      <c r="R140" s="68"/>
      <c r="S140" s="76"/>
      <c r="T140" s="70"/>
      <c r="U140" s="120">
        <f>ROUND((ROUND((_15_同援日増６．０*_15・通訳),0)*_15・２人),0)</f>
        <v>680</v>
      </c>
      <c r="V140" s="69"/>
    </row>
    <row r="141" spans="1:22" ht="16.5" customHeight="1" x14ac:dyDescent="0.3">
      <c r="A141" s="2">
        <v>15</v>
      </c>
      <c r="B141" s="2" t="s">
        <v>5421</v>
      </c>
      <c r="C141" s="60" t="s">
        <v>15822</v>
      </c>
      <c r="D141" s="1" t="s">
        <v>8985</v>
      </c>
      <c r="E141" s="68"/>
      <c r="F141" s="70"/>
      <c r="G141" s="67"/>
      <c r="H141" s="68"/>
      <c r="I141" s="76"/>
      <c r="J141" s="85"/>
      <c r="K141" s="64"/>
      <c r="L141" s="65"/>
      <c r="M141" s="74" t="s">
        <v>17969</v>
      </c>
      <c r="N141" s="62"/>
      <c r="O141" s="63"/>
      <c r="P141" s="75"/>
      <c r="Q141" s="67"/>
      <c r="R141" s="68"/>
      <c r="S141" s="76"/>
      <c r="T141" s="70"/>
      <c r="U141" s="120">
        <f>ROUND((ROUND((_15_同援日増６．０*_15・通訳),0)*(1+_15・盲ろう)),0)</f>
        <v>850</v>
      </c>
      <c r="V141" s="69"/>
    </row>
    <row r="142" spans="1:22" ht="16.5" customHeight="1" x14ac:dyDescent="0.3">
      <c r="A142" s="2">
        <v>15</v>
      </c>
      <c r="B142" s="2" t="s">
        <v>5422</v>
      </c>
      <c r="C142" s="60" t="s">
        <v>15821</v>
      </c>
      <c r="D142" s="1"/>
      <c r="E142" s="119">
        <v>756</v>
      </c>
      <c r="F142" s="70" t="s">
        <v>0</v>
      </c>
      <c r="G142" s="67"/>
      <c r="H142" s="68"/>
      <c r="I142" s="76"/>
      <c r="J142" s="83" t="s">
        <v>5895</v>
      </c>
      <c r="K142" s="64" t="s">
        <v>1</v>
      </c>
      <c r="L142" s="65">
        <v>1</v>
      </c>
      <c r="M142" s="106" t="s">
        <v>17968</v>
      </c>
      <c r="N142" s="57" t="s">
        <v>1</v>
      </c>
      <c r="O142" s="58">
        <v>0.25</v>
      </c>
      <c r="P142" s="77" t="s">
        <v>422</v>
      </c>
      <c r="Q142" s="66"/>
      <c r="R142" s="57"/>
      <c r="S142" s="58"/>
      <c r="T142" s="77"/>
      <c r="U142" s="120">
        <f>ROUND((ROUND((ROUND((_15_同援日増６．０*_15・通訳),0)*_15・２人),0)*(1+_15・盲ろう)),0)</f>
        <v>850</v>
      </c>
      <c r="V142" s="69"/>
    </row>
    <row r="143" spans="1:22" ht="16.5" customHeight="1" x14ac:dyDescent="0.3">
      <c r="A143" s="2">
        <v>15</v>
      </c>
      <c r="B143" s="2" t="s">
        <v>5423</v>
      </c>
      <c r="C143" s="60" t="s">
        <v>15820</v>
      </c>
      <c r="D143" s="1"/>
      <c r="E143" s="68"/>
      <c r="F143" s="70"/>
      <c r="G143" s="67"/>
      <c r="H143" s="68"/>
      <c r="I143" s="76"/>
      <c r="J143" s="85"/>
      <c r="K143" s="64"/>
      <c r="L143" s="65"/>
      <c r="M143" s="61"/>
      <c r="N143" s="62"/>
      <c r="O143" s="63"/>
      <c r="P143" s="75"/>
      <c r="Q143" s="74" t="s">
        <v>17974</v>
      </c>
      <c r="R143" s="62"/>
      <c r="S143" s="63"/>
      <c r="T143" s="75"/>
      <c r="U143" s="120">
        <f>ROUND((ROUND((_15_同援日増６．０*_15・通訳),0)*(1+_15・区３)),0)</f>
        <v>816</v>
      </c>
      <c r="V143" s="69"/>
    </row>
    <row r="144" spans="1:22" ht="16.5" customHeight="1" x14ac:dyDescent="0.3">
      <c r="A144" s="2">
        <v>15</v>
      </c>
      <c r="B144" s="2" t="s">
        <v>5424</v>
      </c>
      <c r="C144" s="60" t="s">
        <v>15819</v>
      </c>
      <c r="D144" s="1"/>
      <c r="E144" s="68"/>
      <c r="F144" s="70"/>
      <c r="G144" s="67"/>
      <c r="H144" s="68"/>
      <c r="I144" s="76"/>
      <c r="J144" s="83" t="s">
        <v>5895</v>
      </c>
      <c r="K144" s="64" t="s">
        <v>1</v>
      </c>
      <c r="L144" s="65">
        <v>1</v>
      </c>
      <c r="M144" s="66"/>
      <c r="N144" s="57"/>
      <c r="O144" s="58"/>
      <c r="P144" s="77"/>
      <c r="Q144" s="94" t="s">
        <v>17970</v>
      </c>
      <c r="R144" s="68"/>
      <c r="S144" s="76"/>
      <c r="T144" s="70"/>
      <c r="U144" s="120">
        <f>ROUND((ROUND((ROUND((_15_同援日増６．０*_15・通訳),0)*_15・２人),0)*(1+_15・区３)),0)</f>
        <v>816</v>
      </c>
      <c r="V144" s="69"/>
    </row>
    <row r="145" spans="1:22" ht="16.5" customHeight="1" x14ac:dyDescent="0.3">
      <c r="A145" s="2">
        <v>15</v>
      </c>
      <c r="B145" s="2" t="s">
        <v>5425</v>
      </c>
      <c r="C145" s="60" t="s">
        <v>15818</v>
      </c>
      <c r="D145" s="1"/>
      <c r="E145" s="68"/>
      <c r="F145" s="70"/>
      <c r="G145" s="67"/>
      <c r="H145" s="68"/>
      <c r="I145" s="76"/>
      <c r="J145" s="85"/>
      <c r="K145" s="64"/>
      <c r="L145" s="65"/>
      <c r="M145" s="74" t="s">
        <v>17969</v>
      </c>
      <c r="N145" s="62"/>
      <c r="O145" s="63"/>
      <c r="P145" s="75"/>
      <c r="Q145" s="67"/>
      <c r="R145" s="68" t="s">
        <v>1</v>
      </c>
      <c r="S145" s="76">
        <v>0.2</v>
      </c>
      <c r="T145" s="70" t="s">
        <v>422</v>
      </c>
      <c r="U145" s="120">
        <f>ROUND((ROUND((ROUND((_15_同援日増６．０*_15・通訳),0)*(1+_15・盲ろう)),0)*(1+_15・区３)),0)</f>
        <v>1020</v>
      </c>
      <c r="V145" s="69"/>
    </row>
    <row r="146" spans="1:22" ht="16.5" customHeight="1" x14ac:dyDescent="0.3">
      <c r="A146" s="2">
        <v>15</v>
      </c>
      <c r="B146" s="2" t="s">
        <v>5426</v>
      </c>
      <c r="C146" s="60" t="s">
        <v>15817</v>
      </c>
      <c r="D146" s="1"/>
      <c r="E146" s="68"/>
      <c r="F146" s="70"/>
      <c r="G146" s="67"/>
      <c r="H146" s="68"/>
      <c r="I146" s="76"/>
      <c r="J146" s="83" t="s">
        <v>5895</v>
      </c>
      <c r="K146" s="64" t="s">
        <v>1</v>
      </c>
      <c r="L146" s="65">
        <v>1</v>
      </c>
      <c r="M146" s="106" t="s">
        <v>17968</v>
      </c>
      <c r="N146" s="57" t="s">
        <v>1</v>
      </c>
      <c r="O146" s="58">
        <v>0.25</v>
      </c>
      <c r="P146" s="77" t="s">
        <v>422</v>
      </c>
      <c r="Q146" s="66"/>
      <c r="R146" s="57"/>
      <c r="S146" s="58"/>
      <c r="T146" s="77"/>
      <c r="U146" s="120">
        <f>ROUND((ROUND((ROUND((ROUND((_15_同援日増６．０*_15・通訳),0)*_15・２人),0)*(1+_15・盲ろう)),0)*(1+_15・区３)),0)</f>
        <v>1020</v>
      </c>
      <c r="V146" s="69"/>
    </row>
    <row r="147" spans="1:22" ht="16.5" customHeight="1" x14ac:dyDescent="0.3">
      <c r="A147" s="2">
        <v>15</v>
      </c>
      <c r="B147" s="2" t="s">
        <v>5427</v>
      </c>
      <c r="C147" s="60" t="s">
        <v>15816</v>
      </c>
      <c r="D147" s="1"/>
      <c r="E147" s="68"/>
      <c r="F147" s="70"/>
      <c r="G147" s="67"/>
      <c r="H147" s="68"/>
      <c r="I147" s="76"/>
      <c r="J147" s="85"/>
      <c r="K147" s="64"/>
      <c r="L147" s="65"/>
      <c r="M147" s="61"/>
      <c r="N147" s="62"/>
      <c r="O147" s="63"/>
      <c r="P147" s="75"/>
      <c r="Q147" s="74" t="s">
        <v>17971</v>
      </c>
      <c r="R147" s="62"/>
      <c r="S147" s="63"/>
      <c r="T147" s="75"/>
      <c r="U147" s="120">
        <f>ROUND((ROUND((_15_同援日増６．０*_15・通訳),0)*(1+_15・区４)),0)</f>
        <v>952</v>
      </c>
      <c r="V147" s="69"/>
    </row>
    <row r="148" spans="1:22" ht="16.5" customHeight="1" x14ac:dyDescent="0.3">
      <c r="A148" s="2">
        <v>15</v>
      </c>
      <c r="B148" s="2" t="s">
        <v>5428</v>
      </c>
      <c r="C148" s="60" t="s">
        <v>15815</v>
      </c>
      <c r="D148" s="1"/>
      <c r="E148" s="68"/>
      <c r="F148" s="70"/>
      <c r="G148" s="67"/>
      <c r="H148" s="68"/>
      <c r="I148" s="76"/>
      <c r="J148" s="83" t="s">
        <v>5895</v>
      </c>
      <c r="K148" s="64" t="s">
        <v>1</v>
      </c>
      <c r="L148" s="65">
        <v>1</v>
      </c>
      <c r="M148" s="66"/>
      <c r="N148" s="57"/>
      <c r="O148" s="58"/>
      <c r="P148" s="77"/>
      <c r="Q148" s="94" t="s">
        <v>17970</v>
      </c>
      <c r="R148" s="68"/>
      <c r="S148" s="76"/>
      <c r="T148" s="70"/>
      <c r="U148" s="120">
        <f>ROUND((ROUND((ROUND((_15_同援日増６．０*_15・通訳),0)*_15・２人),0)*(1+_15・区４)),0)</f>
        <v>952</v>
      </c>
      <c r="V148" s="69"/>
    </row>
    <row r="149" spans="1:22" ht="16.5" customHeight="1" x14ac:dyDescent="0.3">
      <c r="A149" s="2">
        <v>15</v>
      </c>
      <c r="B149" s="2" t="s">
        <v>5429</v>
      </c>
      <c r="C149" s="60" t="s">
        <v>15814</v>
      </c>
      <c r="D149" s="1"/>
      <c r="E149" s="68"/>
      <c r="F149" s="70"/>
      <c r="G149" s="67"/>
      <c r="H149" s="68"/>
      <c r="I149" s="76"/>
      <c r="J149" s="85"/>
      <c r="K149" s="64"/>
      <c r="L149" s="65"/>
      <c r="M149" s="74" t="s">
        <v>17969</v>
      </c>
      <c r="N149" s="62"/>
      <c r="O149" s="63"/>
      <c r="P149" s="75"/>
      <c r="Q149" s="67"/>
      <c r="R149" s="68" t="s">
        <v>1</v>
      </c>
      <c r="S149" s="76">
        <v>0.4</v>
      </c>
      <c r="T149" s="70" t="s">
        <v>422</v>
      </c>
      <c r="U149" s="120">
        <f>ROUND((ROUND((ROUND((_15_同援日増６．０*_15・通訳),0)*(1+_15・盲ろう)),0)*(1+_15・区４)),0)</f>
        <v>1190</v>
      </c>
      <c r="V149" s="69"/>
    </row>
    <row r="150" spans="1:22" ht="16.5" customHeight="1" x14ac:dyDescent="0.3">
      <c r="A150" s="2">
        <v>15</v>
      </c>
      <c r="B150" s="2" t="s">
        <v>5430</v>
      </c>
      <c r="C150" s="60" t="s">
        <v>15813</v>
      </c>
      <c r="D150" s="81"/>
      <c r="E150" s="57"/>
      <c r="F150" s="77"/>
      <c r="G150" s="67"/>
      <c r="H150" s="68"/>
      <c r="I150" s="76"/>
      <c r="J150" s="83" t="s">
        <v>5895</v>
      </c>
      <c r="K150" s="64" t="s">
        <v>1</v>
      </c>
      <c r="L150" s="65">
        <v>1</v>
      </c>
      <c r="M150" s="106" t="s">
        <v>17968</v>
      </c>
      <c r="N150" s="57" t="s">
        <v>1</v>
      </c>
      <c r="O150" s="58">
        <v>0.25</v>
      </c>
      <c r="P150" s="77" t="s">
        <v>422</v>
      </c>
      <c r="Q150" s="66"/>
      <c r="R150" s="57"/>
      <c r="S150" s="58"/>
      <c r="T150" s="77"/>
      <c r="U150" s="120">
        <f>ROUND((ROUND((ROUND((ROUND((_15_同援日増６．０*_15・通訳),0)*_15・２人),0)*(1+_15・盲ろう)),0)*(1+_15・区４)),0)</f>
        <v>1190</v>
      </c>
      <c r="V150" s="69"/>
    </row>
    <row r="151" spans="1:22" ht="16.5" customHeight="1" x14ac:dyDescent="0.3">
      <c r="A151" s="2">
        <v>15</v>
      </c>
      <c r="B151" s="2" t="s">
        <v>5431</v>
      </c>
      <c r="C151" s="60" t="s">
        <v>15812</v>
      </c>
      <c r="D151" s="233" t="s">
        <v>18403</v>
      </c>
      <c r="E151" s="235"/>
      <c r="F151" s="75"/>
      <c r="G151" s="67"/>
      <c r="H151" s="68"/>
      <c r="I151" s="76"/>
      <c r="J151" s="85"/>
      <c r="K151" s="64"/>
      <c r="L151" s="65"/>
      <c r="M151" s="61"/>
      <c r="N151" s="62"/>
      <c r="O151" s="63"/>
      <c r="P151" s="75"/>
      <c r="Q151" s="61"/>
      <c r="R151" s="62"/>
      <c r="S151" s="63"/>
      <c r="T151" s="75"/>
      <c r="U151" s="120">
        <f>ROUND((_15_同援日増６．５*_15・通訳),0)</f>
        <v>737</v>
      </c>
      <c r="V151" s="69"/>
    </row>
    <row r="152" spans="1:22" ht="16.5" customHeight="1" x14ac:dyDescent="0.3">
      <c r="A152" s="2">
        <v>15</v>
      </c>
      <c r="B152" s="2" t="s">
        <v>5432</v>
      </c>
      <c r="C152" s="60" t="s">
        <v>15811</v>
      </c>
      <c r="D152" s="1" t="s">
        <v>17231</v>
      </c>
      <c r="E152" s="68"/>
      <c r="F152" s="70"/>
      <c r="G152" s="67"/>
      <c r="H152" s="68"/>
      <c r="I152" s="76"/>
      <c r="J152" s="83" t="s">
        <v>5895</v>
      </c>
      <c r="K152" s="64" t="s">
        <v>1</v>
      </c>
      <c r="L152" s="65">
        <v>1</v>
      </c>
      <c r="M152" s="66"/>
      <c r="N152" s="57"/>
      <c r="O152" s="58"/>
      <c r="P152" s="77"/>
      <c r="Q152" s="67"/>
      <c r="R152" s="68"/>
      <c r="S152" s="76"/>
      <c r="T152" s="70"/>
      <c r="U152" s="120">
        <f>ROUND((ROUND((_15_同援日増６．５*_15・通訳),0)*_15・２人),0)</f>
        <v>737</v>
      </c>
      <c r="V152" s="69"/>
    </row>
    <row r="153" spans="1:22" ht="16.5" customHeight="1" x14ac:dyDescent="0.3">
      <c r="A153" s="2">
        <v>15</v>
      </c>
      <c r="B153" s="2" t="s">
        <v>5433</v>
      </c>
      <c r="C153" s="60" t="s">
        <v>15810</v>
      </c>
      <c r="D153" s="1" t="s">
        <v>8960</v>
      </c>
      <c r="E153" s="68"/>
      <c r="F153" s="70"/>
      <c r="G153" s="67"/>
      <c r="H153" s="68"/>
      <c r="I153" s="76"/>
      <c r="J153" s="85"/>
      <c r="K153" s="64"/>
      <c r="L153" s="65"/>
      <c r="M153" s="74" t="s">
        <v>17969</v>
      </c>
      <c r="N153" s="62"/>
      <c r="O153" s="63"/>
      <c r="P153" s="75"/>
      <c r="Q153" s="67"/>
      <c r="R153" s="68"/>
      <c r="S153" s="76"/>
      <c r="T153" s="70"/>
      <c r="U153" s="120">
        <f>ROUND((ROUND((_15_同援日増６．５*_15・通訳),0)*(1+_15・盲ろう)),0)</f>
        <v>921</v>
      </c>
      <c r="V153" s="69"/>
    </row>
    <row r="154" spans="1:22" ht="16.5" customHeight="1" x14ac:dyDescent="0.3">
      <c r="A154" s="2">
        <v>15</v>
      </c>
      <c r="B154" s="2" t="s">
        <v>5434</v>
      </c>
      <c r="C154" s="60" t="s">
        <v>15809</v>
      </c>
      <c r="D154" s="1"/>
      <c r="E154" s="119">
        <v>819</v>
      </c>
      <c r="F154" s="70" t="s">
        <v>0</v>
      </c>
      <c r="G154" s="67"/>
      <c r="H154" s="68"/>
      <c r="I154" s="76"/>
      <c r="J154" s="83" t="s">
        <v>5895</v>
      </c>
      <c r="K154" s="64" t="s">
        <v>1</v>
      </c>
      <c r="L154" s="65">
        <v>1</v>
      </c>
      <c r="M154" s="106" t="s">
        <v>17968</v>
      </c>
      <c r="N154" s="57" t="s">
        <v>1</v>
      </c>
      <c r="O154" s="58">
        <v>0.25</v>
      </c>
      <c r="P154" s="77" t="s">
        <v>422</v>
      </c>
      <c r="Q154" s="66"/>
      <c r="R154" s="57"/>
      <c r="S154" s="58"/>
      <c r="T154" s="77"/>
      <c r="U154" s="120">
        <f>ROUND((ROUND((ROUND((_15_同援日増６．５*_15・通訳),0)*_15・２人),0)*(1+_15・盲ろう)),0)</f>
        <v>921</v>
      </c>
      <c r="V154" s="69"/>
    </row>
    <row r="155" spans="1:22" ht="16.5" customHeight="1" x14ac:dyDescent="0.3">
      <c r="A155" s="2">
        <v>15</v>
      </c>
      <c r="B155" s="2" t="s">
        <v>5435</v>
      </c>
      <c r="C155" s="60" t="s">
        <v>15808</v>
      </c>
      <c r="D155" s="1"/>
      <c r="E155" s="68"/>
      <c r="F155" s="70"/>
      <c r="G155" s="67"/>
      <c r="H155" s="68"/>
      <c r="I155" s="76"/>
      <c r="J155" s="85"/>
      <c r="K155" s="64"/>
      <c r="L155" s="65"/>
      <c r="M155" s="61"/>
      <c r="N155" s="62"/>
      <c r="O155" s="63"/>
      <c r="P155" s="75"/>
      <c r="Q155" s="74" t="s">
        <v>17974</v>
      </c>
      <c r="R155" s="62"/>
      <c r="S155" s="63"/>
      <c r="T155" s="75"/>
      <c r="U155" s="120">
        <f>ROUND((ROUND((_15_同援日増６．５*_15・通訳),0)*(1+_15・区３)),0)</f>
        <v>884</v>
      </c>
      <c r="V155" s="69"/>
    </row>
    <row r="156" spans="1:22" ht="16.5" customHeight="1" x14ac:dyDescent="0.3">
      <c r="A156" s="2">
        <v>15</v>
      </c>
      <c r="B156" s="2" t="s">
        <v>5436</v>
      </c>
      <c r="C156" s="60" t="s">
        <v>15807</v>
      </c>
      <c r="D156" s="1"/>
      <c r="E156" s="68"/>
      <c r="F156" s="70"/>
      <c r="G156" s="67"/>
      <c r="H156" s="68"/>
      <c r="I156" s="76"/>
      <c r="J156" s="83" t="s">
        <v>5895</v>
      </c>
      <c r="K156" s="64" t="s">
        <v>1</v>
      </c>
      <c r="L156" s="65">
        <v>1</v>
      </c>
      <c r="M156" s="66"/>
      <c r="N156" s="57"/>
      <c r="O156" s="58"/>
      <c r="P156" s="77"/>
      <c r="Q156" s="94" t="s">
        <v>17970</v>
      </c>
      <c r="R156" s="68"/>
      <c r="S156" s="76"/>
      <c r="T156" s="70"/>
      <c r="U156" s="120">
        <f>ROUND((ROUND((ROUND((_15_同援日増６．５*_15・通訳),0)*_15・２人),0)*(1+_15・区３)),0)</f>
        <v>884</v>
      </c>
      <c r="V156" s="69"/>
    </row>
    <row r="157" spans="1:22" ht="16.5" customHeight="1" x14ac:dyDescent="0.3">
      <c r="A157" s="2">
        <v>15</v>
      </c>
      <c r="B157" s="2" t="s">
        <v>5437</v>
      </c>
      <c r="C157" s="60" t="s">
        <v>15806</v>
      </c>
      <c r="D157" s="1"/>
      <c r="E157" s="68"/>
      <c r="F157" s="70"/>
      <c r="G157" s="67"/>
      <c r="H157" s="68"/>
      <c r="I157" s="76"/>
      <c r="J157" s="85"/>
      <c r="K157" s="64"/>
      <c r="L157" s="65"/>
      <c r="M157" s="74" t="s">
        <v>18394</v>
      </c>
      <c r="N157" s="62"/>
      <c r="O157" s="63"/>
      <c r="P157" s="75"/>
      <c r="Q157" s="67"/>
      <c r="R157" s="68" t="s">
        <v>1</v>
      </c>
      <c r="S157" s="76">
        <v>0.2</v>
      </c>
      <c r="T157" s="70" t="s">
        <v>422</v>
      </c>
      <c r="U157" s="120">
        <f>ROUND((ROUND((ROUND((_15_同援日増６．５*_15・通訳),0)*(1+_15・盲ろう)),0)*(1+_15・区３)),0)</f>
        <v>1105</v>
      </c>
      <c r="V157" s="69"/>
    </row>
    <row r="158" spans="1:22" ht="16.5" customHeight="1" x14ac:dyDescent="0.3">
      <c r="A158" s="2">
        <v>15</v>
      </c>
      <c r="B158" s="2" t="s">
        <v>5438</v>
      </c>
      <c r="C158" s="60" t="s">
        <v>15805</v>
      </c>
      <c r="D158" s="1"/>
      <c r="E158" s="68"/>
      <c r="F158" s="70"/>
      <c r="G158" s="67"/>
      <c r="H158" s="68"/>
      <c r="I158" s="76"/>
      <c r="J158" s="83" t="s">
        <v>5895</v>
      </c>
      <c r="K158" s="64" t="s">
        <v>1</v>
      </c>
      <c r="L158" s="65">
        <v>1</v>
      </c>
      <c r="M158" s="106" t="s">
        <v>17968</v>
      </c>
      <c r="N158" s="57" t="s">
        <v>1</v>
      </c>
      <c r="O158" s="58">
        <v>0.25</v>
      </c>
      <c r="P158" s="77" t="s">
        <v>422</v>
      </c>
      <c r="Q158" s="66"/>
      <c r="R158" s="57"/>
      <c r="S158" s="58"/>
      <c r="T158" s="77"/>
      <c r="U158" s="120">
        <f>ROUND((ROUND((ROUND((ROUND((_15_同援日増６．５*_15・通訳),0)*_15・２人),0)*(1+_15・盲ろう)),0)*(1+_15・区３)),0)</f>
        <v>1105</v>
      </c>
      <c r="V158" s="69"/>
    </row>
    <row r="159" spans="1:22" ht="16.5" customHeight="1" x14ac:dyDescent="0.3">
      <c r="A159" s="2">
        <v>15</v>
      </c>
      <c r="B159" s="2" t="s">
        <v>5439</v>
      </c>
      <c r="C159" s="60" t="s">
        <v>15804</v>
      </c>
      <c r="D159" s="1"/>
      <c r="E159" s="68"/>
      <c r="F159" s="70"/>
      <c r="G159" s="67"/>
      <c r="H159" s="68"/>
      <c r="I159" s="76"/>
      <c r="J159" s="85"/>
      <c r="K159" s="64"/>
      <c r="L159" s="65"/>
      <c r="M159" s="61"/>
      <c r="N159" s="62"/>
      <c r="O159" s="63"/>
      <c r="P159" s="75"/>
      <c r="Q159" s="74" t="s">
        <v>17971</v>
      </c>
      <c r="R159" s="62"/>
      <c r="S159" s="63"/>
      <c r="T159" s="75"/>
      <c r="U159" s="120">
        <f>ROUND((ROUND((_15_同援日増６．５*_15・通訳),0)*(1+_15・区４)),0)</f>
        <v>1032</v>
      </c>
      <c r="V159" s="69"/>
    </row>
    <row r="160" spans="1:22" ht="16.5" customHeight="1" x14ac:dyDescent="0.3">
      <c r="A160" s="2">
        <v>15</v>
      </c>
      <c r="B160" s="2" t="s">
        <v>5440</v>
      </c>
      <c r="C160" s="60" t="s">
        <v>15803</v>
      </c>
      <c r="D160" s="1"/>
      <c r="E160" s="68"/>
      <c r="F160" s="70"/>
      <c r="G160" s="67"/>
      <c r="H160" s="68"/>
      <c r="I160" s="76"/>
      <c r="J160" s="83" t="s">
        <v>5895</v>
      </c>
      <c r="K160" s="64" t="s">
        <v>1</v>
      </c>
      <c r="L160" s="65">
        <v>1</v>
      </c>
      <c r="M160" s="66"/>
      <c r="N160" s="57"/>
      <c r="O160" s="58"/>
      <c r="P160" s="77"/>
      <c r="Q160" s="94" t="s">
        <v>17970</v>
      </c>
      <c r="R160" s="68"/>
      <c r="S160" s="76"/>
      <c r="T160" s="70"/>
      <c r="U160" s="120">
        <f>ROUND((ROUND((ROUND((_15_同援日増６．５*_15・通訳),0)*_15・２人),0)*(1+_15・区４)),0)</f>
        <v>1032</v>
      </c>
      <c r="V160" s="69"/>
    </row>
    <row r="161" spans="1:22" ht="16.5" customHeight="1" x14ac:dyDescent="0.3">
      <c r="A161" s="2">
        <v>15</v>
      </c>
      <c r="B161" s="2" t="s">
        <v>5441</v>
      </c>
      <c r="C161" s="60" t="s">
        <v>15802</v>
      </c>
      <c r="D161" s="1"/>
      <c r="E161" s="68"/>
      <c r="F161" s="70"/>
      <c r="G161" s="67"/>
      <c r="H161" s="68"/>
      <c r="I161" s="76"/>
      <c r="J161" s="85"/>
      <c r="K161" s="64"/>
      <c r="L161" s="65"/>
      <c r="M161" s="74" t="s">
        <v>17969</v>
      </c>
      <c r="N161" s="62"/>
      <c r="O161" s="63"/>
      <c r="P161" s="75"/>
      <c r="Q161" s="67"/>
      <c r="R161" s="68" t="s">
        <v>1</v>
      </c>
      <c r="S161" s="76">
        <v>0.4</v>
      </c>
      <c r="T161" s="70" t="s">
        <v>422</v>
      </c>
      <c r="U161" s="120">
        <f>ROUND((ROUND((ROUND((_15_同援日増６．５*_15・通訳),0)*(1+_15・盲ろう)),0)*(1+_15・区４)),0)</f>
        <v>1289</v>
      </c>
      <c r="V161" s="69"/>
    </row>
    <row r="162" spans="1:22" ht="16.5" customHeight="1" x14ac:dyDescent="0.3">
      <c r="A162" s="2">
        <v>15</v>
      </c>
      <c r="B162" s="2" t="s">
        <v>5442</v>
      </c>
      <c r="C162" s="60" t="s">
        <v>15801</v>
      </c>
      <c r="D162" s="81"/>
      <c r="E162" s="57"/>
      <c r="F162" s="77"/>
      <c r="G162" s="67"/>
      <c r="H162" s="68"/>
      <c r="I162" s="76"/>
      <c r="J162" s="83" t="s">
        <v>5895</v>
      </c>
      <c r="K162" s="64" t="s">
        <v>1</v>
      </c>
      <c r="L162" s="65">
        <v>1</v>
      </c>
      <c r="M162" s="106" t="s">
        <v>17968</v>
      </c>
      <c r="N162" s="57" t="s">
        <v>1</v>
      </c>
      <c r="O162" s="58">
        <v>0.25</v>
      </c>
      <c r="P162" s="77" t="s">
        <v>422</v>
      </c>
      <c r="Q162" s="66"/>
      <c r="R162" s="57"/>
      <c r="S162" s="58"/>
      <c r="T162" s="77"/>
      <c r="U162" s="120">
        <f>ROUND((ROUND((ROUND((ROUND((_15_同援日増６．５*_15・通訳),0)*_15・２人),0)*(1+_15・盲ろう)),0)*(1+_15・区４)),0)</f>
        <v>1289</v>
      </c>
      <c r="V162" s="69"/>
    </row>
    <row r="163" spans="1:22" ht="16.5" customHeight="1" x14ac:dyDescent="0.3">
      <c r="A163" s="2">
        <v>15</v>
      </c>
      <c r="B163" s="2" t="s">
        <v>5443</v>
      </c>
      <c r="C163" s="60" t="s">
        <v>15800</v>
      </c>
      <c r="D163" s="233" t="s">
        <v>18402</v>
      </c>
      <c r="E163" s="235"/>
      <c r="F163" s="75"/>
      <c r="G163" s="67"/>
      <c r="H163" s="68"/>
      <c r="I163" s="76"/>
      <c r="J163" s="85"/>
      <c r="K163" s="64"/>
      <c r="L163" s="65"/>
      <c r="M163" s="61"/>
      <c r="N163" s="62"/>
      <c r="O163" s="63"/>
      <c r="P163" s="75"/>
      <c r="Q163" s="61"/>
      <c r="R163" s="62"/>
      <c r="S163" s="63"/>
      <c r="T163" s="75"/>
      <c r="U163" s="120">
        <f>ROUND((_15_同援日増７．０*_15・通訳),0)</f>
        <v>794</v>
      </c>
      <c r="V163" s="69"/>
    </row>
    <row r="164" spans="1:22" ht="16.5" customHeight="1" x14ac:dyDescent="0.3">
      <c r="A164" s="2">
        <v>15</v>
      </c>
      <c r="B164" s="2" t="s">
        <v>5444</v>
      </c>
      <c r="C164" s="60" t="s">
        <v>15799</v>
      </c>
      <c r="D164" s="1" t="s">
        <v>18401</v>
      </c>
      <c r="E164" s="68"/>
      <c r="F164" s="70"/>
      <c r="G164" s="67"/>
      <c r="H164" s="68"/>
      <c r="I164" s="76"/>
      <c r="J164" s="83" t="s">
        <v>5895</v>
      </c>
      <c r="K164" s="64" t="s">
        <v>1</v>
      </c>
      <c r="L164" s="65">
        <v>1</v>
      </c>
      <c r="M164" s="66"/>
      <c r="N164" s="57"/>
      <c r="O164" s="58"/>
      <c r="P164" s="77"/>
      <c r="Q164" s="67"/>
      <c r="R164" s="68"/>
      <c r="S164" s="76"/>
      <c r="T164" s="70"/>
      <c r="U164" s="120">
        <f>ROUND((ROUND((_15_同援日増７．０*_15・通訳),0)*_15・２人),0)</f>
        <v>794</v>
      </c>
      <c r="V164" s="69"/>
    </row>
    <row r="165" spans="1:22" ht="16.5" customHeight="1" x14ac:dyDescent="0.3">
      <c r="A165" s="2">
        <v>15</v>
      </c>
      <c r="B165" s="2" t="s">
        <v>5445</v>
      </c>
      <c r="C165" s="60" t="s">
        <v>15798</v>
      </c>
      <c r="D165" s="1" t="s">
        <v>12591</v>
      </c>
      <c r="E165" s="68"/>
      <c r="F165" s="70"/>
      <c r="G165" s="67"/>
      <c r="H165" s="68"/>
      <c r="I165" s="76"/>
      <c r="J165" s="85"/>
      <c r="K165" s="64"/>
      <c r="L165" s="65"/>
      <c r="M165" s="74" t="s">
        <v>17969</v>
      </c>
      <c r="N165" s="62"/>
      <c r="O165" s="63"/>
      <c r="P165" s="75"/>
      <c r="Q165" s="67"/>
      <c r="R165" s="68"/>
      <c r="S165" s="76"/>
      <c r="T165" s="70"/>
      <c r="U165" s="120">
        <f>ROUND((ROUND((_15_同援日増７．０*_15・通訳),0)*(1+_15・盲ろう)),0)</f>
        <v>993</v>
      </c>
      <c r="V165" s="69"/>
    </row>
    <row r="166" spans="1:22" ht="16.5" customHeight="1" x14ac:dyDescent="0.3">
      <c r="A166" s="2">
        <v>15</v>
      </c>
      <c r="B166" s="2" t="s">
        <v>5446</v>
      </c>
      <c r="C166" s="60" t="s">
        <v>15797</v>
      </c>
      <c r="D166" s="1"/>
      <c r="E166" s="119">
        <v>882</v>
      </c>
      <c r="F166" s="70" t="s">
        <v>0</v>
      </c>
      <c r="G166" s="67"/>
      <c r="H166" s="68"/>
      <c r="I166" s="76"/>
      <c r="J166" s="83" t="s">
        <v>5895</v>
      </c>
      <c r="K166" s="64" t="s">
        <v>1</v>
      </c>
      <c r="L166" s="65">
        <v>1</v>
      </c>
      <c r="M166" s="106" t="s">
        <v>17968</v>
      </c>
      <c r="N166" s="57" t="s">
        <v>1</v>
      </c>
      <c r="O166" s="58">
        <v>0.25</v>
      </c>
      <c r="P166" s="77" t="s">
        <v>422</v>
      </c>
      <c r="Q166" s="66"/>
      <c r="R166" s="57"/>
      <c r="S166" s="58"/>
      <c r="T166" s="77"/>
      <c r="U166" s="120">
        <f>ROUND((ROUND((ROUND((_15_同援日増７．０*_15・通訳),0)*_15・２人),0)*(1+_15・盲ろう)),0)</f>
        <v>993</v>
      </c>
      <c r="V166" s="69"/>
    </row>
    <row r="167" spans="1:22" ht="16.5" customHeight="1" x14ac:dyDescent="0.3">
      <c r="A167" s="2">
        <v>15</v>
      </c>
      <c r="B167" s="2" t="s">
        <v>5447</v>
      </c>
      <c r="C167" s="60" t="s">
        <v>15796</v>
      </c>
      <c r="D167" s="1"/>
      <c r="E167" s="68"/>
      <c r="F167" s="70"/>
      <c r="G167" s="67"/>
      <c r="H167" s="68"/>
      <c r="I167" s="76"/>
      <c r="J167" s="85"/>
      <c r="K167" s="64"/>
      <c r="L167" s="65"/>
      <c r="M167" s="61"/>
      <c r="N167" s="62"/>
      <c r="O167" s="63"/>
      <c r="P167" s="75"/>
      <c r="Q167" s="74" t="s">
        <v>17974</v>
      </c>
      <c r="R167" s="62"/>
      <c r="S167" s="63"/>
      <c r="T167" s="75"/>
      <c r="U167" s="120">
        <f>ROUND((ROUND((_15_同援日増７．０*_15・通訳),0)*(1+_15・区３)),0)</f>
        <v>953</v>
      </c>
      <c r="V167" s="69"/>
    </row>
    <row r="168" spans="1:22" ht="16.5" customHeight="1" x14ac:dyDescent="0.3">
      <c r="A168" s="2">
        <v>15</v>
      </c>
      <c r="B168" s="2" t="s">
        <v>5448</v>
      </c>
      <c r="C168" s="60" t="s">
        <v>15795</v>
      </c>
      <c r="D168" s="1"/>
      <c r="E168" s="68"/>
      <c r="F168" s="70"/>
      <c r="G168" s="67"/>
      <c r="H168" s="68"/>
      <c r="I168" s="76"/>
      <c r="J168" s="83" t="s">
        <v>5895</v>
      </c>
      <c r="K168" s="64" t="s">
        <v>1</v>
      </c>
      <c r="L168" s="65">
        <v>1</v>
      </c>
      <c r="M168" s="66"/>
      <c r="N168" s="57"/>
      <c r="O168" s="58"/>
      <c r="P168" s="77"/>
      <c r="Q168" s="94" t="s">
        <v>17970</v>
      </c>
      <c r="R168" s="68"/>
      <c r="S168" s="76"/>
      <c r="T168" s="70"/>
      <c r="U168" s="120">
        <f>ROUND((ROUND((ROUND((_15_同援日増７．０*_15・通訳),0)*_15・２人),0)*(1+_15・区３)),0)</f>
        <v>953</v>
      </c>
      <c r="V168" s="69"/>
    </row>
    <row r="169" spans="1:22" ht="16.5" customHeight="1" x14ac:dyDescent="0.3">
      <c r="A169" s="2">
        <v>15</v>
      </c>
      <c r="B169" s="2" t="s">
        <v>5449</v>
      </c>
      <c r="C169" s="60" t="s">
        <v>15794</v>
      </c>
      <c r="D169" s="1"/>
      <c r="E169" s="68"/>
      <c r="F169" s="70"/>
      <c r="G169" s="67"/>
      <c r="H169" s="68"/>
      <c r="I169" s="76"/>
      <c r="J169" s="85"/>
      <c r="K169" s="64"/>
      <c r="L169" s="65"/>
      <c r="M169" s="74" t="s">
        <v>17969</v>
      </c>
      <c r="N169" s="62"/>
      <c r="O169" s="63"/>
      <c r="P169" s="75"/>
      <c r="Q169" s="67"/>
      <c r="R169" s="68" t="s">
        <v>1</v>
      </c>
      <c r="S169" s="76">
        <v>0.2</v>
      </c>
      <c r="T169" s="70" t="s">
        <v>422</v>
      </c>
      <c r="U169" s="120">
        <f>ROUND((ROUND((ROUND((_15_同援日増７．０*_15・通訳),0)*(1+_15・盲ろう)),0)*(1+_15・区３)),0)</f>
        <v>1192</v>
      </c>
      <c r="V169" s="69"/>
    </row>
    <row r="170" spans="1:22" ht="16.5" customHeight="1" x14ac:dyDescent="0.3">
      <c r="A170" s="2">
        <v>15</v>
      </c>
      <c r="B170" s="2" t="s">
        <v>5450</v>
      </c>
      <c r="C170" s="60" t="s">
        <v>15793</v>
      </c>
      <c r="D170" s="1"/>
      <c r="E170" s="68"/>
      <c r="F170" s="70"/>
      <c r="G170" s="67"/>
      <c r="H170" s="68"/>
      <c r="I170" s="76"/>
      <c r="J170" s="83" t="s">
        <v>5895</v>
      </c>
      <c r="K170" s="64" t="s">
        <v>1</v>
      </c>
      <c r="L170" s="65">
        <v>1</v>
      </c>
      <c r="M170" s="106" t="s">
        <v>17968</v>
      </c>
      <c r="N170" s="57" t="s">
        <v>1</v>
      </c>
      <c r="O170" s="58">
        <v>0.25</v>
      </c>
      <c r="P170" s="77" t="s">
        <v>422</v>
      </c>
      <c r="Q170" s="66"/>
      <c r="R170" s="57"/>
      <c r="S170" s="58"/>
      <c r="T170" s="77"/>
      <c r="U170" s="120">
        <f>ROUND((ROUND((ROUND((ROUND((_15_同援日増７．０*_15・通訳),0)*_15・２人),0)*(1+_15・盲ろう)),0)*(1+_15・区３)),0)</f>
        <v>1192</v>
      </c>
      <c r="V170" s="69"/>
    </row>
    <row r="171" spans="1:22" ht="16.5" customHeight="1" x14ac:dyDescent="0.3">
      <c r="A171" s="2">
        <v>15</v>
      </c>
      <c r="B171" s="2" t="s">
        <v>5451</v>
      </c>
      <c r="C171" s="60" t="s">
        <v>15792</v>
      </c>
      <c r="D171" s="1"/>
      <c r="E171" s="68"/>
      <c r="F171" s="70"/>
      <c r="G171" s="67"/>
      <c r="H171" s="68"/>
      <c r="I171" s="76"/>
      <c r="J171" s="85"/>
      <c r="K171" s="64"/>
      <c r="L171" s="65"/>
      <c r="M171" s="61"/>
      <c r="N171" s="62"/>
      <c r="O171" s="63"/>
      <c r="P171" s="75"/>
      <c r="Q171" s="74" t="s">
        <v>17971</v>
      </c>
      <c r="R171" s="62"/>
      <c r="S171" s="63"/>
      <c r="T171" s="75"/>
      <c r="U171" s="120">
        <f>ROUND((ROUND((_15_同援日増７．０*_15・通訳),0)*(1+_15・区４)),0)</f>
        <v>1112</v>
      </c>
      <c r="V171" s="69"/>
    </row>
    <row r="172" spans="1:22" ht="16.5" customHeight="1" x14ac:dyDescent="0.3">
      <c r="A172" s="2">
        <v>15</v>
      </c>
      <c r="B172" s="2" t="s">
        <v>5452</v>
      </c>
      <c r="C172" s="60" t="s">
        <v>15791</v>
      </c>
      <c r="D172" s="1"/>
      <c r="E172" s="68"/>
      <c r="F172" s="70"/>
      <c r="G172" s="67"/>
      <c r="H172" s="68"/>
      <c r="I172" s="76"/>
      <c r="J172" s="83" t="s">
        <v>5895</v>
      </c>
      <c r="K172" s="64" t="s">
        <v>1</v>
      </c>
      <c r="L172" s="65">
        <v>1</v>
      </c>
      <c r="M172" s="66"/>
      <c r="N172" s="57"/>
      <c r="O172" s="58"/>
      <c r="P172" s="77"/>
      <c r="Q172" s="94" t="s">
        <v>17970</v>
      </c>
      <c r="R172" s="68"/>
      <c r="S172" s="76"/>
      <c r="T172" s="70"/>
      <c r="U172" s="120">
        <f>ROUND((ROUND((ROUND((_15_同援日増７．０*_15・通訳),0)*_15・２人),0)*(1+_15・区４)),0)</f>
        <v>1112</v>
      </c>
      <c r="V172" s="69"/>
    </row>
    <row r="173" spans="1:22" ht="16.5" customHeight="1" x14ac:dyDescent="0.3">
      <c r="A173" s="2">
        <v>15</v>
      </c>
      <c r="B173" s="2" t="s">
        <v>5453</v>
      </c>
      <c r="C173" s="60" t="s">
        <v>15790</v>
      </c>
      <c r="D173" s="1"/>
      <c r="E173" s="68"/>
      <c r="F173" s="70"/>
      <c r="G173" s="67"/>
      <c r="H173" s="68"/>
      <c r="I173" s="76"/>
      <c r="J173" s="85"/>
      <c r="K173" s="64"/>
      <c r="L173" s="65"/>
      <c r="M173" s="74" t="s">
        <v>17969</v>
      </c>
      <c r="N173" s="62"/>
      <c r="O173" s="63"/>
      <c r="P173" s="75"/>
      <c r="Q173" s="67"/>
      <c r="R173" s="68" t="s">
        <v>1</v>
      </c>
      <c r="S173" s="76">
        <v>0.4</v>
      </c>
      <c r="T173" s="70" t="s">
        <v>422</v>
      </c>
      <c r="U173" s="120">
        <f>ROUND((ROUND((ROUND((_15_同援日増７．０*_15・通訳),0)*(1+_15・盲ろう)),0)*(1+_15・区４)),0)</f>
        <v>1390</v>
      </c>
      <c r="V173" s="69"/>
    </row>
    <row r="174" spans="1:22" ht="16.5" customHeight="1" x14ac:dyDescent="0.3">
      <c r="A174" s="2">
        <v>15</v>
      </c>
      <c r="B174" s="2" t="s">
        <v>5454</v>
      </c>
      <c r="C174" s="60" t="s">
        <v>15789</v>
      </c>
      <c r="D174" s="81"/>
      <c r="E174" s="57"/>
      <c r="F174" s="77"/>
      <c r="G174" s="67"/>
      <c r="H174" s="68"/>
      <c r="I174" s="76"/>
      <c r="J174" s="83" t="s">
        <v>5895</v>
      </c>
      <c r="K174" s="64" t="s">
        <v>1</v>
      </c>
      <c r="L174" s="65">
        <v>1</v>
      </c>
      <c r="M174" s="106" t="s">
        <v>17968</v>
      </c>
      <c r="N174" s="57" t="s">
        <v>1</v>
      </c>
      <c r="O174" s="58">
        <v>0.25</v>
      </c>
      <c r="P174" s="77" t="s">
        <v>422</v>
      </c>
      <c r="Q174" s="66"/>
      <c r="R174" s="57"/>
      <c r="S174" s="58"/>
      <c r="T174" s="77"/>
      <c r="U174" s="120">
        <f>ROUND((ROUND((ROUND((ROUND((_15_同援日増７．０*_15・通訳),0)*_15・２人),0)*(1+_15・盲ろう)),0)*(1+_15・区４)),0)</f>
        <v>1390</v>
      </c>
      <c r="V174" s="69"/>
    </row>
    <row r="175" spans="1:22" ht="16.5" customHeight="1" x14ac:dyDescent="0.3">
      <c r="A175" s="2">
        <v>15</v>
      </c>
      <c r="B175" s="2" t="s">
        <v>5455</v>
      </c>
      <c r="C175" s="60" t="s">
        <v>15788</v>
      </c>
      <c r="D175" s="233" t="s">
        <v>16317</v>
      </c>
      <c r="E175" s="235"/>
      <c r="F175" s="75"/>
      <c r="G175" s="67"/>
      <c r="H175" s="68"/>
      <c r="I175" s="76"/>
      <c r="J175" s="85"/>
      <c r="K175" s="64"/>
      <c r="L175" s="65"/>
      <c r="M175" s="61"/>
      <c r="N175" s="62"/>
      <c r="O175" s="63"/>
      <c r="P175" s="75"/>
      <c r="Q175" s="61"/>
      <c r="R175" s="62"/>
      <c r="S175" s="63"/>
      <c r="T175" s="75"/>
      <c r="U175" s="120">
        <f>ROUND((_15_同援日増７．５*_15・通訳),0)</f>
        <v>851</v>
      </c>
      <c r="V175" s="69"/>
    </row>
    <row r="176" spans="1:22" ht="16.5" customHeight="1" x14ac:dyDescent="0.3">
      <c r="A176" s="2">
        <v>15</v>
      </c>
      <c r="B176" s="2" t="s">
        <v>5456</v>
      </c>
      <c r="C176" s="60" t="s">
        <v>15787</v>
      </c>
      <c r="D176" s="1" t="s">
        <v>16834</v>
      </c>
      <c r="E176" s="68"/>
      <c r="F176" s="70"/>
      <c r="G176" s="67"/>
      <c r="H176" s="68"/>
      <c r="I176" s="76"/>
      <c r="J176" s="83" t="s">
        <v>5895</v>
      </c>
      <c r="K176" s="64" t="s">
        <v>1</v>
      </c>
      <c r="L176" s="65">
        <v>1</v>
      </c>
      <c r="M176" s="66"/>
      <c r="N176" s="57"/>
      <c r="O176" s="58"/>
      <c r="P176" s="77"/>
      <c r="Q176" s="67"/>
      <c r="R176" s="68"/>
      <c r="S176" s="76"/>
      <c r="T176" s="70"/>
      <c r="U176" s="120">
        <f>ROUND((ROUND((_15_同援日増７．５*_15・通訳),0)*_15・２人),0)</f>
        <v>851</v>
      </c>
      <c r="V176" s="69"/>
    </row>
    <row r="177" spans="1:22" ht="16.5" customHeight="1" x14ac:dyDescent="0.3">
      <c r="A177" s="2">
        <v>15</v>
      </c>
      <c r="B177" s="2" t="s">
        <v>5457</v>
      </c>
      <c r="C177" s="60" t="s">
        <v>15786</v>
      </c>
      <c r="D177" s="1" t="s">
        <v>12566</v>
      </c>
      <c r="E177" s="68"/>
      <c r="F177" s="70"/>
      <c r="G177" s="67"/>
      <c r="H177" s="68"/>
      <c r="I177" s="76"/>
      <c r="J177" s="85"/>
      <c r="K177" s="64"/>
      <c r="L177" s="65"/>
      <c r="M177" s="74" t="s">
        <v>17969</v>
      </c>
      <c r="N177" s="62"/>
      <c r="O177" s="63"/>
      <c r="P177" s="75"/>
      <c r="Q177" s="67"/>
      <c r="R177" s="68"/>
      <c r="S177" s="76"/>
      <c r="T177" s="70"/>
      <c r="U177" s="120">
        <f>ROUND((ROUND((_15_同援日増７．５*_15・通訳),0)*(1+_15・盲ろう)),0)</f>
        <v>1064</v>
      </c>
      <c r="V177" s="69"/>
    </row>
    <row r="178" spans="1:22" ht="16.5" customHeight="1" x14ac:dyDescent="0.3">
      <c r="A178" s="2">
        <v>15</v>
      </c>
      <c r="B178" s="2" t="s">
        <v>5458</v>
      </c>
      <c r="C178" s="60" t="s">
        <v>15785</v>
      </c>
      <c r="D178" s="1"/>
      <c r="E178" s="119">
        <v>945</v>
      </c>
      <c r="F178" s="70" t="s">
        <v>0</v>
      </c>
      <c r="G178" s="67"/>
      <c r="H178" s="68"/>
      <c r="I178" s="76"/>
      <c r="J178" s="83" t="s">
        <v>5895</v>
      </c>
      <c r="K178" s="64" t="s">
        <v>1</v>
      </c>
      <c r="L178" s="65">
        <v>1</v>
      </c>
      <c r="M178" s="106" t="s">
        <v>17968</v>
      </c>
      <c r="N178" s="57" t="s">
        <v>1</v>
      </c>
      <c r="O178" s="58">
        <v>0.25</v>
      </c>
      <c r="P178" s="77" t="s">
        <v>422</v>
      </c>
      <c r="Q178" s="66"/>
      <c r="R178" s="57"/>
      <c r="S178" s="58"/>
      <c r="T178" s="77"/>
      <c r="U178" s="120">
        <f>ROUND((ROUND((ROUND((_15_同援日増７．５*_15・通訳),0)*_15・２人),0)*(1+_15・盲ろう)),0)</f>
        <v>1064</v>
      </c>
      <c r="V178" s="69"/>
    </row>
    <row r="179" spans="1:22" ht="16.5" customHeight="1" x14ac:dyDescent="0.3">
      <c r="A179" s="2">
        <v>15</v>
      </c>
      <c r="B179" s="2" t="s">
        <v>5459</v>
      </c>
      <c r="C179" s="60" t="s">
        <v>15784</v>
      </c>
      <c r="D179" s="1"/>
      <c r="E179" s="68"/>
      <c r="F179" s="70"/>
      <c r="G179" s="67"/>
      <c r="H179" s="68"/>
      <c r="I179" s="76"/>
      <c r="J179" s="85"/>
      <c r="K179" s="64"/>
      <c r="L179" s="65"/>
      <c r="M179" s="61"/>
      <c r="N179" s="62"/>
      <c r="O179" s="63"/>
      <c r="P179" s="75"/>
      <c r="Q179" s="74" t="s">
        <v>17974</v>
      </c>
      <c r="R179" s="62"/>
      <c r="S179" s="63"/>
      <c r="T179" s="75"/>
      <c r="U179" s="120">
        <f>ROUND((ROUND((_15_同援日増７．５*_15・通訳),0)*(1+_15・区３)),0)</f>
        <v>1021</v>
      </c>
      <c r="V179" s="69"/>
    </row>
    <row r="180" spans="1:22" ht="16.5" customHeight="1" x14ac:dyDescent="0.3">
      <c r="A180" s="2">
        <v>15</v>
      </c>
      <c r="B180" s="2" t="s">
        <v>5460</v>
      </c>
      <c r="C180" s="60" t="s">
        <v>15783</v>
      </c>
      <c r="D180" s="1"/>
      <c r="E180" s="68"/>
      <c r="F180" s="70"/>
      <c r="G180" s="67"/>
      <c r="H180" s="68"/>
      <c r="I180" s="76"/>
      <c r="J180" s="83" t="s">
        <v>5895</v>
      </c>
      <c r="K180" s="64" t="s">
        <v>1</v>
      </c>
      <c r="L180" s="65">
        <v>1</v>
      </c>
      <c r="M180" s="66"/>
      <c r="N180" s="57"/>
      <c r="O180" s="58"/>
      <c r="P180" s="77"/>
      <c r="Q180" s="94" t="s">
        <v>17970</v>
      </c>
      <c r="R180" s="68"/>
      <c r="S180" s="76"/>
      <c r="T180" s="70"/>
      <c r="U180" s="120">
        <f>ROUND((ROUND((ROUND((_15_同援日増７．５*_15・通訳),0)*_15・２人),0)*(1+_15・区３)),0)</f>
        <v>1021</v>
      </c>
      <c r="V180" s="69"/>
    </row>
    <row r="181" spans="1:22" ht="16.5" customHeight="1" x14ac:dyDescent="0.3">
      <c r="A181" s="2">
        <v>15</v>
      </c>
      <c r="B181" s="2" t="s">
        <v>5461</v>
      </c>
      <c r="C181" s="60" t="s">
        <v>15782</v>
      </c>
      <c r="D181" s="1"/>
      <c r="E181" s="68"/>
      <c r="F181" s="70"/>
      <c r="G181" s="67"/>
      <c r="H181" s="68"/>
      <c r="I181" s="76"/>
      <c r="J181" s="85"/>
      <c r="K181" s="64"/>
      <c r="L181" s="65"/>
      <c r="M181" s="74" t="s">
        <v>8085</v>
      </c>
      <c r="N181" s="62"/>
      <c r="O181" s="63"/>
      <c r="P181" s="75"/>
      <c r="Q181" s="67"/>
      <c r="R181" s="68" t="s">
        <v>1</v>
      </c>
      <c r="S181" s="76">
        <v>0.2</v>
      </c>
      <c r="T181" s="70" t="s">
        <v>422</v>
      </c>
      <c r="U181" s="120">
        <f>ROUND((ROUND((ROUND((_15_同援日増７．５*_15・通訳),0)*(1+_15・盲ろう)),0)*(1+_15・区３)),0)</f>
        <v>1277</v>
      </c>
      <c r="V181" s="69"/>
    </row>
    <row r="182" spans="1:22" ht="16.5" customHeight="1" x14ac:dyDescent="0.3">
      <c r="A182" s="2">
        <v>15</v>
      </c>
      <c r="B182" s="2" t="s">
        <v>5462</v>
      </c>
      <c r="C182" s="60" t="s">
        <v>15781</v>
      </c>
      <c r="D182" s="1"/>
      <c r="E182" s="68"/>
      <c r="F182" s="70"/>
      <c r="G182" s="67"/>
      <c r="H182" s="68"/>
      <c r="I182" s="76"/>
      <c r="J182" s="83" t="s">
        <v>5895</v>
      </c>
      <c r="K182" s="64" t="s">
        <v>1</v>
      </c>
      <c r="L182" s="65">
        <v>1</v>
      </c>
      <c r="M182" s="106" t="s">
        <v>17968</v>
      </c>
      <c r="N182" s="57" t="s">
        <v>1</v>
      </c>
      <c r="O182" s="58">
        <v>0.25</v>
      </c>
      <c r="P182" s="77" t="s">
        <v>422</v>
      </c>
      <c r="Q182" s="66"/>
      <c r="R182" s="57"/>
      <c r="S182" s="58"/>
      <c r="T182" s="77"/>
      <c r="U182" s="120">
        <f>ROUND((ROUND((ROUND((ROUND((_15_同援日増７．５*_15・通訳),0)*_15・２人),0)*(1+_15・盲ろう)),0)*(1+_15・区３)),0)</f>
        <v>1277</v>
      </c>
      <c r="V182" s="69"/>
    </row>
    <row r="183" spans="1:22" ht="16.5" customHeight="1" x14ac:dyDescent="0.3">
      <c r="A183" s="2">
        <v>15</v>
      </c>
      <c r="B183" s="2" t="s">
        <v>5463</v>
      </c>
      <c r="C183" s="60" t="s">
        <v>15780</v>
      </c>
      <c r="D183" s="1"/>
      <c r="E183" s="68"/>
      <c r="F183" s="70"/>
      <c r="G183" s="67"/>
      <c r="H183" s="68"/>
      <c r="I183" s="76"/>
      <c r="J183" s="85"/>
      <c r="K183" s="64"/>
      <c r="L183" s="65"/>
      <c r="M183" s="61"/>
      <c r="N183" s="62"/>
      <c r="O183" s="63"/>
      <c r="P183" s="75"/>
      <c r="Q183" s="74" t="s">
        <v>17971</v>
      </c>
      <c r="R183" s="62"/>
      <c r="S183" s="63"/>
      <c r="T183" s="75"/>
      <c r="U183" s="120">
        <f>ROUND((ROUND((_15_同援日増７．５*_15・通訳),0)*(1+_15・区４)),0)</f>
        <v>1191</v>
      </c>
      <c r="V183" s="69"/>
    </row>
    <row r="184" spans="1:22" ht="16.5" customHeight="1" x14ac:dyDescent="0.3">
      <c r="A184" s="2">
        <v>15</v>
      </c>
      <c r="B184" s="2" t="s">
        <v>5464</v>
      </c>
      <c r="C184" s="60" t="s">
        <v>15779</v>
      </c>
      <c r="D184" s="1"/>
      <c r="E184" s="68"/>
      <c r="F184" s="70"/>
      <c r="G184" s="67"/>
      <c r="H184" s="68"/>
      <c r="I184" s="76"/>
      <c r="J184" s="83" t="s">
        <v>5895</v>
      </c>
      <c r="K184" s="64" t="s">
        <v>1</v>
      </c>
      <c r="L184" s="65">
        <v>1</v>
      </c>
      <c r="M184" s="66"/>
      <c r="N184" s="57"/>
      <c r="O184" s="58"/>
      <c r="P184" s="77"/>
      <c r="Q184" s="94" t="s">
        <v>17970</v>
      </c>
      <c r="R184" s="68"/>
      <c r="S184" s="76"/>
      <c r="T184" s="70"/>
      <c r="U184" s="120">
        <f>ROUND((ROUND((ROUND((_15_同援日増７．５*_15・通訳),0)*_15・２人),0)*(1+_15・区４)),0)</f>
        <v>1191</v>
      </c>
      <c r="V184" s="69"/>
    </row>
    <row r="185" spans="1:22" ht="16.5" customHeight="1" x14ac:dyDescent="0.3">
      <c r="A185" s="2">
        <v>15</v>
      </c>
      <c r="B185" s="2" t="s">
        <v>5465</v>
      </c>
      <c r="C185" s="60" t="s">
        <v>15778</v>
      </c>
      <c r="D185" s="1"/>
      <c r="E185" s="68"/>
      <c r="F185" s="70"/>
      <c r="G185" s="67"/>
      <c r="H185" s="68"/>
      <c r="I185" s="76"/>
      <c r="J185" s="85"/>
      <c r="K185" s="64"/>
      <c r="L185" s="65"/>
      <c r="M185" s="74" t="s">
        <v>17969</v>
      </c>
      <c r="N185" s="62"/>
      <c r="O185" s="63"/>
      <c r="P185" s="75"/>
      <c r="Q185" s="67"/>
      <c r="R185" s="68" t="s">
        <v>1</v>
      </c>
      <c r="S185" s="76">
        <v>0.4</v>
      </c>
      <c r="T185" s="70" t="s">
        <v>422</v>
      </c>
      <c r="U185" s="120">
        <f>ROUND((ROUND((ROUND((_15_同援日増７．５*_15・通訳),0)*(1+_15・盲ろう)),0)*(1+_15・区４)),0)</f>
        <v>1490</v>
      </c>
      <c r="V185" s="69"/>
    </row>
    <row r="186" spans="1:22" ht="16.5" customHeight="1" x14ac:dyDescent="0.3">
      <c r="A186" s="2">
        <v>15</v>
      </c>
      <c r="B186" s="2" t="s">
        <v>5466</v>
      </c>
      <c r="C186" s="60" t="s">
        <v>15777</v>
      </c>
      <c r="D186" s="81"/>
      <c r="E186" s="57"/>
      <c r="F186" s="77"/>
      <c r="G186" s="67"/>
      <c r="H186" s="68"/>
      <c r="I186" s="76"/>
      <c r="J186" s="83" t="s">
        <v>5895</v>
      </c>
      <c r="K186" s="64" t="s">
        <v>1</v>
      </c>
      <c r="L186" s="65">
        <v>1</v>
      </c>
      <c r="M186" s="106" t="s">
        <v>17968</v>
      </c>
      <c r="N186" s="57" t="s">
        <v>1</v>
      </c>
      <c r="O186" s="58">
        <v>0.25</v>
      </c>
      <c r="P186" s="77" t="s">
        <v>422</v>
      </c>
      <c r="Q186" s="66"/>
      <c r="R186" s="57"/>
      <c r="S186" s="58"/>
      <c r="T186" s="77"/>
      <c r="U186" s="120">
        <f>ROUND((ROUND((ROUND((ROUND((_15_同援日増７．５*_15・通訳),0)*_15・２人),0)*(1+_15・盲ろう)),0)*(1+_15・区４)),0)</f>
        <v>1490</v>
      </c>
      <c r="V186" s="69"/>
    </row>
    <row r="187" spans="1:22" ht="16.5" customHeight="1" x14ac:dyDescent="0.3">
      <c r="A187" s="2">
        <v>15</v>
      </c>
      <c r="B187" s="2" t="s">
        <v>5467</v>
      </c>
      <c r="C187" s="60" t="s">
        <v>15776</v>
      </c>
      <c r="D187" s="233" t="s">
        <v>16318</v>
      </c>
      <c r="E187" s="235"/>
      <c r="F187" s="75"/>
      <c r="G187" s="67"/>
      <c r="H187" s="68"/>
      <c r="I187" s="76"/>
      <c r="J187" s="85"/>
      <c r="K187" s="64"/>
      <c r="L187" s="65"/>
      <c r="M187" s="61"/>
      <c r="N187" s="62"/>
      <c r="O187" s="63"/>
      <c r="P187" s="75"/>
      <c r="Q187" s="61"/>
      <c r="R187" s="62"/>
      <c r="S187" s="63"/>
      <c r="T187" s="75"/>
      <c r="U187" s="120">
        <f>ROUND((_15_同援日増８．０*_15・通訳),0)</f>
        <v>907</v>
      </c>
      <c r="V187" s="69"/>
    </row>
    <row r="188" spans="1:22" ht="16.5" customHeight="1" x14ac:dyDescent="0.3">
      <c r="A188" s="2">
        <v>15</v>
      </c>
      <c r="B188" s="2" t="s">
        <v>5468</v>
      </c>
      <c r="C188" s="60" t="s">
        <v>15775</v>
      </c>
      <c r="D188" s="1" t="s">
        <v>16831</v>
      </c>
      <c r="E188" s="68"/>
      <c r="F188" s="70"/>
      <c r="G188" s="67"/>
      <c r="H188" s="68"/>
      <c r="I188" s="76"/>
      <c r="J188" s="83" t="s">
        <v>5895</v>
      </c>
      <c r="K188" s="64" t="s">
        <v>1</v>
      </c>
      <c r="L188" s="65">
        <v>1</v>
      </c>
      <c r="M188" s="66"/>
      <c r="N188" s="57"/>
      <c r="O188" s="58"/>
      <c r="P188" s="77"/>
      <c r="Q188" s="67"/>
      <c r="R188" s="68"/>
      <c r="S188" s="76"/>
      <c r="T188" s="70"/>
      <c r="U188" s="120">
        <f>ROUND((ROUND((_15_同援日増８．０*_15・通訳),0)*_15・２人),0)</f>
        <v>907</v>
      </c>
      <c r="V188" s="69"/>
    </row>
    <row r="189" spans="1:22" ht="16.5" customHeight="1" x14ac:dyDescent="0.3">
      <c r="A189" s="2">
        <v>15</v>
      </c>
      <c r="B189" s="2" t="s">
        <v>5469</v>
      </c>
      <c r="C189" s="60" t="s">
        <v>15774</v>
      </c>
      <c r="D189" s="1" t="s">
        <v>8232</v>
      </c>
      <c r="E189" s="68"/>
      <c r="F189" s="70"/>
      <c r="G189" s="67"/>
      <c r="H189" s="68"/>
      <c r="I189" s="76"/>
      <c r="J189" s="85"/>
      <c r="K189" s="64"/>
      <c r="L189" s="65"/>
      <c r="M189" s="74" t="s">
        <v>17969</v>
      </c>
      <c r="N189" s="62"/>
      <c r="O189" s="63"/>
      <c r="P189" s="75"/>
      <c r="Q189" s="67"/>
      <c r="R189" s="68"/>
      <c r="S189" s="76"/>
      <c r="T189" s="70"/>
      <c r="U189" s="120">
        <f>ROUND((ROUND((_15_同援日増８．０*_15・通訳),0)*(1+_15・盲ろう)),0)</f>
        <v>1134</v>
      </c>
      <c r="V189" s="69"/>
    </row>
    <row r="190" spans="1:22" ht="16.5" customHeight="1" x14ac:dyDescent="0.3">
      <c r="A190" s="2">
        <v>15</v>
      </c>
      <c r="B190" s="2" t="s">
        <v>5470</v>
      </c>
      <c r="C190" s="60" t="s">
        <v>15773</v>
      </c>
      <c r="D190" s="1"/>
      <c r="E190" s="119">
        <v>1008</v>
      </c>
      <c r="F190" s="70" t="s">
        <v>0</v>
      </c>
      <c r="G190" s="67"/>
      <c r="H190" s="68"/>
      <c r="I190" s="76"/>
      <c r="J190" s="83" t="s">
        <v>5895</v>
      </c>
      <c r="K190" s="64" t="s">
        <v>1</v>
      </c>
      <c r="L190" s="65">
        <v>1</v>
      </c>
      <c r="M190" s="106" t="s">
        <v>8083</v>
      </c>
      <c r="N190" s="57" t="s">
        <v>1</v>
      </c>
      <c r="O190" s="58">
        <v>0.25</v>
      </c>
      <c r="P190" s="77" t="s">
        <v>422</v>
      </c>
      <c r="Q190" s="66"/>
      <c r="R190" s="57"/>
      <c r="S190" s="58"/>
      <c r="T190" s="77"/>
      <c r="U190" s="120">
        <f>ROUND((ROUND((ROUND((_15_同援日増８．０*_15・通訳),0)*_15・２人),0)*(1+_15・盲ろう)),0)</f>
        <v>1134</v>
      </c>
      <c r="V190" s="69"/>
    </row>
    <row r="191" spans="1:22" ht="16.5" customHeight="1" x14ac:dyDescent="0.3">
      <c r="A191" s="2">
        <v>15</v>
      </c>
      <c r="B191" s="2" t="s">
        <v>5471</v>
      </c>
      <c r="C191" s="60" t="s">
        <v>15772</v>
      </c>
      <c r="D191" s="1"/>
      <c r="E191" s="68"/>
      <c r="F191" s="70"/>
      <c r="G191" s="67"/>
      <c r="H191" s="68"/>
      <c r="I191" s="76"/>
      <c r="J191" s="85"/>
      <c r="K191" s="64"/>
      <c r="L191" s="65"/>
      <c r="M191" s="61"/>
      <c r="N191" s="62"/>
      <c r="O191" s="63"/>
      <c r="P191" s="75"/>
      <c r="Q191" s="74" t="s">
        <v>8098</v>
      </c>
      <c r="R191" s="62"/>
      <c r="S191" s="63"/>
      <c r="T191" s="75"/>
      <c r="U191" s="120">
        <f>ROUND((ROUND((_15_同援日増８．０*_15・通訳),0)*(1+_15・区３)),0)</f>
        <v>1088</v>
      </c>
      <c r="V191" s="69"/>
    </row>
    <row r="192" spans="1:22" ht="16.5" customHeight="1" x14ac:dyDescent="0.3">
      <c r="A192" s="2">
        <v>15</v>
      </c>
      <c r="B192" s="2" t="s">
        <v>5472</v>
      </c>
      <c r="C192" s="60" t="s">
        <v>15771</v>
      </c>
      <c r="D192" s="1"/>
      <c r="E192" s="68"/>
      <c r="F192" s="70"/>
      <c r="G192" s="67"/>
      <c r="H192" s="68"/>
      <c r="I192" s="76"/>
      <c r="J192" s="83" t="s">
        <v>5895</v>
      </c>
      <c r="K192" s="64" t="s">
        <v>1</v>
      </c>
      <c r="L192" s="65">
        <v>1</v>
      </c>
      <c r="M192" s="66"/>
      <c r="N192" s="57"/>
      <c r="O192" s="58"/>
      <c r="P192" s="77"/>
      <c r="Q192" s="94" t="s">
        <v>17970</v>
      </c>
      <c r="R192" s="68"/>
      <c r="S192" s="76"/>
      <c r="T192" s="70"/>
      <c r="U192" s="120">
        <f>ROUND((ROUND((ROUND((_15_同援日増８．０*_15・通訳),0)*_15・２人),0)*(1+_15・区３)),0)</f>
        <v>1088</v>
      </c>
      <c r="V192" s="69"/>
    </row>
    <row r="193" spans="1:22" ht="16.5" customHeight="1" x14ac:dyDescent="0.3">
      <c r="A193" s="2">
        <v>15</v>
      </c>
      <c r="B193" s="2" t="s">
        <v>5473</v>
      </c>
      <c r="C193" s="60" t="s">
        <v>15770</v>
      </c>
      <c r="D193" s="1"/>
      <c r="E193" s="68"/>
      <c r="F193" s="70"/>
      <c r="G193" s="67"/>
      <c r="H193" s="68"/>
      <c r="I193" s="76"/>
      <c r="J193" s="85"/>
      <c r="K193" s="64"/>
      <c r="L193" s="65"/>
      <c r="M193" s="74" t="s">
        <v>8085</v>
      </c>
      <c r="N193" s="62"/>
      <c r="O193" s="63"/>
      <c r="P193" s="75"/>
      <c r="Q193" s="67"/>
      <c r="R193" s="68" t="s">
        <v>1</v>
      </c>
      <c r="S193" s="76">
        <v>0.2</v>
      </c>
      <c r="T193" s="70" t="s">
        <v>422</v>
      </c>
      <c r="U193" s="120">
        <f>ROUND((ROUND((ROUND((_15_同援日増８．０*_15・通訳),0)*(1+_15・盲ろう)),0)*(1+_15・区３)),0)</f>
        <v>1361</v>
      </c>
      <c r="V193" s="69"/>
    </row>
    <row r="194" spans="1:22" ht="16.5" customHeight="1" x14ac:dyDescent="0.3">
      <c r="A194" s="2">
        <v>15</v>
      </c>
      <c r="B194" s="2" t="s">
        <v>5474</v>
      </c>
      <c r="C194" s="60" t="s">
        <v>15769</v>
      </c>
      <c r="D194" s="1"/>
      <c r="E194" s="68"/>
      <c r="F194" s="70"/>
      <c r="G194" s="67"/>
      <c r="H194" s="68"/>
      <c r="I194" s="76"/>
      <c r="J194" s="83" t="s">
        <v>5895</v>
      </c>
      <c r="K194" s="64" t="s">
        <v>1</v>
      </c>
      <c r="L194" s="65">
        <v>1</v>
      </c>
      <c r="M194" s="106" t="s">
        <v>17968</v>
      </c>
      <c r="N194" s="57" t="s">
        <v>1</v>
      </c>
      <c r="O194" s="58">
        <v>0.25</v>
      </c>
      <c r="P194" s="77" t="s">
        <v>422</v>
      </c>
      <c r="Q194" s="66"/>
      <c r="R194" s="57"/>
      <c r="S194" s="58"/>
      <c r="T194" s="77"/>
      <c r="U194" s="120">
        <f>ROUND((ROUND((ROUND((ROUND((_15_同援日増８．０*_15・通訳),0)*_15・２人),0)*(1+_15・盲ろう)),0)*(1+_15・区３)),0)</f>
        <v>1361</v>
      </c>
      <c r="V194" s="69"/>
    </row>
    <row r="195" spans="1:22" ht="16.5" customHeight="1" x14ac:dyDescent="0.3">
      <c r="A195" s="2">
        <v>15</v>
      </c>
      <c r="B195" s="2" t="s">
        <v>5475</v>
      </c>
      <c r="C195" s="60" t="s">
        <v>15768</v>
      </c>
      <c r="D195" s="1"/>
      <c r="E195" s="68"/>
      <c r="F195" s="70"/>
      <c r="G195" s="67"/>
      <c r="H195" s="68"/>
      <c r="I195" s="76"/>
      <c r="J195" s="85"/>
      <c r="K195" s="64"/>
      <c r="L195" s="65"/>
      <c r="M195" s="61"/>
      <c r="N195" s="62"/>
      <c r="O195" s="63"/>
      <c r="P195" s="75"/>
      <c r="Q195" s="74" t="s">
        <v>18398</v>
      </c>
      <c r="R195" s="62"/>
      <c r="S195" s="63"/>
      <c r="T195" s="75"/>
      <c r="U195" s="120">
        <f>ROUND((ROUND((_15_同援日増８．０*_15・通訳),0)*(1+_15・区４)),0)</f>
        <v>1270</v>
      </c>
      <c r="V195" s="69"/>
    </row>
    <row r="196" spans="1:22" ht="16.5" customHeight="1" x14ac:dyDescent="0.3">
      <c r="A196" s="2">
        <v>15</v>
      </c>
      <c r="B196" s="2" t="s">
        <v>5476</v>
      </c>
      <c r="C196" s="60" t="s">
        <v>15767</v>
      </c>
      <c r="D196" s="1"/>
      <c r="E196" s="68"/>
      <c r="F196" s="70"/>
      <c r="G196" s="67"/>
      <c r="H196" s="68"/>
      <c r="I196" s="76"/>
      <c r="J196" s="83" t="s">
        <v>5895</v>
      </c>
      <c r="K196" s="64" t="s">
        <v>1</v>
      </c>
      <c r="L196" s="65">
        <v>1</v>
      </c>
      <c r="M196" s="66"/>
      <c r="N196" s="57"/>
      <c r="O196" s="58"/>
      <c r="P196" s="77"/>
      <c r="Q196" s="94" t="s">
        <v>8087</v>
      </c>
      <c r="R196" s="68"/>
      <c r="S196" s="76"/>
      <c r="T196" s="70"/>
      <c r="U196" s="120">
        <f>ROUND((ROUND((ROUND((_15_同援日増８．０*_15・通訳),0)*_15・２人),0)*(1+_15・区４)),0)</f>
        <v>1270</v>
      </c>
      <c r="V196" s="69"/>
    </row>
    <row r="197" spans="1:22" ht="16.5" customHeight="1" x14ac:dyDescent="0.3">
      <c r="A197" s="2">
        <v>15</v>
      </c>
      <c r="B197" s="2" t="s">
        <v>5477</v>
      </c>
      <c r="C197" s="60" t="s">
        <v>15766</v>
      </c>
      <c r="D197" s="1"/>
      <c r="E197" s="68"/>
      <c r="F197" s="70"/>
      <c r="G197" s="67"/>
      <c r="H197" s="68"/>
      <c r="I197" s="76"/>
      <c r="J197" s="85"/>
      <c r="K197" s="64"/>
      <c r="L197" s="65"/>
      <c r="M197" s="74" t="s">
        <v>17969</v>
      </c>
      <c r="N197" s="62"/>
      <c r="O197" s="63"/>
      <c r="P197" s="75"/>
      <c r="Q197" s="67"/>
      <c r="R197" s="68" t="s">
        <v>1</v>
      </c>
      <c r="S197" s="76">
        <v>0.4</v>
      </c>
      <c r="T197" s="70" t="s">
        <v>422</v>
      </c>
      <c r="U197" s="120">
        <f>ROUND((ROUND((ROUND((_15_同援日増８．０*_15・通訳),0)*(1+_15・盲ろう)),0)*(1+_15・区４)),0)</f>
        <v>1588</v>
      </c>
      <c r="V197" s="69"/>
    </row>
    <row r="198" spans="1:22" ht="16.5" customHeight="1" x14ac:dyDescent="0.3">
      <c r="A198" s="2">
        <v>15</v>
      </c>
      <c r="B198" s="2" t="s">
        <v>5478</v>
      </c>
      <c r="C198" s="60" t="s">
        <v>15765</v>
      </c>
      <c r="D198" s="81"/>
      <c r="E198" s="57"/>
      <c r="F198" s="77"/>
      <c r="G198" s="67"/>
      <c r="H198" s="68"/>
      <c r="I198" s="76"/>
      <c r="J198" s="83" t="s">
        <v>5895</v>
      </c>
      <c r="K198" s="64" t="s">
        <v>1</v>
      </c>
      <c r="L198" s="65">
        <v>1</v>
      </c>
      <c r="M198" s="106" t="s">
        <v>17968</v>
      </c>
      <c r="N198" s="57" t="s">
        <v>1</v>
      </c>
      <c r="O198" s="58">
        <v>0.25</v>
      </c>
      <c r="P198" s="77" t="s">
        <v>422</v>
      </c>
      <c r="Q198" s="66"/>
      <c r="R198" s="57"/>
      <c r="S198" s="58"/>
      <c r="T198" s="77"/>
      <c r="U198" s="120">
        <f>ROUND((ROUND((ROUND((ROUND((_15_同援日増８．０*_15・通訳),0)*_15・２人),0)*(1+_15・盲ろう)),0)*(1+_15・区４)),0)</f>
        <v>1588</v>
      </c>
      <c r="V198" s="69"/>
    </row>
    <row r="199" spans="1:22" ht="16.5" customHeight="1" x14ac:dyDescent="0.3">
      <c r="A199" s="2">
        <v>15</v>
      </c>
      <c r="B199" s="2" t="s">
        <v>5479</v>
      </c>
      <c r="C199" s="60" t="s">
        <v>15764</v>
      </c>
      <c r="D199" s="233" t="s">
        <v>18400</v>
      </c>
      <c r="E199" s="235"/>
      <c r="F199" s="75"/>
      <c r="G199" s="67"/>
      <c r="H199" s="68"/>
      <c r="I199" s="76"/>
      <c r="J199" s="85"/>
      <c r="K199" s="64"/>
      <c r="L199" s="65"/>
      <c r="M199" s="61"/>
      <c r="N199" s="62"/>
      <c r="O199" s="63"/>
      <c r="P199" s="75"/>
      <c r="Q199" s="61"/>
      <c r="R199" s="62"/>
      <c r="S199" s="63"/>
      <c r="T199" s="75"/>
      <c r="U199" s="120">
        <f>ROUND((_15_同援日増８．５*_15・通訳),0)</f>
        <v>964</v>
      </c>
      <c r="V199" s="69"/>
    </row>
    <row r="200" spans="1:22" ht="16.5" customHeight="1" x14ac:dyDescent="0.3">
      <c r="A200" s="2">
        <v>15</v>
      </c>
      <c r="B200" s="2" t="s">
        <v>5480</v>
      </c>
      <c r="C200" s="60" t="s">
        <v>15763</v>
      </c>
      <c r="D200" s="1" t="s">
        <v>5919</v>
      </c>
      <c r="E200" s="68"/>
      <c r="F200" s="70"/>
      <c r="G200" s="67"/>
      <c r="H200" s="68"/>
      <c r="I200" s="76"/>
      <c r="J200" s="83" t="s">
        <v>5895</v>
      </c>
      <c r="K200" s="64" t="s">
        <v>1</v>
      </c>
      <c r="L200" s="65">
        <v>1</v>
      </c>
      <c r="M200" s="66"/>
      <c r="N200" s="57"/>
      <c r="O200" s="58"/>
      <c r="P200" s="77"/>
      <c r="Q200" s="67"/>
      <c r="R200" s="68"/>
      <c r="S200" s="76"/>
      <c r="T200" s="70"/>
      <c r="U200" s="120">
        <f>ROUND((ROUND((_15_同援日増８．５*_15・通訳),0)*_15・２人),0)</f>
        <v>964</v>
      </c>
      <c r="V200" s="69"/>
    </row>
    <row r="201" spans="1:22" ht="16.5" customHeight="1" x14ac:dyDescent="0.3">
      <c r="A201" s="2">
        <v>15</v>
      </c>
      <c r="B201" s="2" t="s">
        <v>5481</v>
      </c>
      <c r="C201" s="60" t="s">
        <v>15762</v>
      </c>
      <c r="D201" s="1" t="s">
        <v>8207</v>
      </c>
      <c r="E201" s="68"/>
      <c r="F201" s="70"/>
      <c r="G201" s="67"/>
      <c r="H201" s="68"/>
      <c r="I201" s="76"/>
      <c r="J201" s="85"/>
      <c r="K201" s="64"/>
      <c r="L201" s="65"/>
      <c r="M201" s="74" t="s">
        <v>17969</v>
      </c>
      <c r="N201" s="62"/>
      <c r="O201" s="63"/>
      <c r="P201" s="75"/>
      <c r="Q201" s="67"/>
      <c r="R201" s="68"/>
      <c r="S201" s="76"/>
      <c r="T201" s="70"/>
      <c r="U201" s="120">
        <f>ROUND((ROUND((_15_同援日増８．５*_15・通訳),0)*(1+_15・盲ろう)),0)</f>
        <v>1205</v>
      </c>
      <c r="V201" s="69"/>
    </row>
    <row r="202" spans="1:22" ht="16.5" customHeight="1" x14ac:dyDescent="0.3">
      <c r="A202" s="2">
        <v>15</v>
      </c>
      <c r="B202" s="2" t="s">
        <v>5482</v>
      </c>
      <c r="C202" s="60" t="s">
        <v>15761</v>
      </c>
      <c r="D202" s="1"/>
      <c r="E202" s="119">
        <v>1071</v>
      </c>
      <c r="F202" s="70" t="s">
        <v>0</v>
      </c>
      <c r="G202" s="67"/>
      <c r="H202" s="68"/>
      <c r="I202" s="76"/>
      <c r="J202" s="83" t="s">
        <v>5895</v>
      </c>
      <c r="K202" s="64" t="s">
        <v>1</v>
      </c>
      <c r="L202" s="65">
        <v>1</v>
      </c>
      <c r="M202" s="106" t="s">
        <v>17968</v>
      </c>
      <c r="N202" s="57" t="s">
        <v>1</v>
      </c>
      <c r="O202" s="58">
        <v>0.25</v>
      </c>
      <c r="P202" s="77" t="s">
        <v>422</v>
      </c>
      <c r="Q202" s="66"/>
      <c r="R202" s="57"/>
      <c r="S202" s="58"/>
      <c r="T202" s="77"/>
      <c r="U202" s="120">
        <f>ROUND((ROUND((ROUND((_15_同援日増８．５*_15・通訳),0)*_15・２人),0)*(1+_15・盲ろう)),0)</f>
        <v>1205</v>
      </c>
      <c r="V202" s="69"/>
    </row>
    <row r="203" spans="1:22" ht="16.5" customHeight="1" x14ac:dyDescent="0.3">
      <c r="A203" s="2">
        <v>15</v>
      </c>
      <c r="B203" s="2" t="s">
        <v>5483</v>
      </c>
      <c r="C203" s="60" t="s">
        <v>15760</v>
      </c>
      <c r="D203" s="1"/>
      <c r="E203" s="68"/>
      <c r="F203" s="70"/>
      <c r="G203" s="67"/>
      <c r="H203" s="68"/>
      <c r="I203" s="76"/>
      <c r="J203" s="85"/>
      <c r="K203" s="64"/>
      <c r="L203" s="65"/>
      <c r="M203" s="61"/>
      <c r="N203" s="62"/>
      <c r="O203" s="63"/>
      <c r="P203" s="75"/>
      <c r="Q203" s="74" t="s">
        <v>17974</v>
      </c>
      <c r="R203" s="62"/>
      <c r="S203" s="63"/>
      <c r="T203" s="75"/>
      <c r="U203" s="120">
        <f>ROUND((ROUND((_15_同援日増８．５*_15・通訳),0)*(1+_15・区３)),0)</f>
        <v>1157</v>
      </c>
      <c r="V203" s="69"/>
    </row>
    <row r="204" spans="1:22" ht="16.5" customHeight="1" x14ac:dyDescent="0.3">
      <c r="A204" s="2">
        <v>15</v>
      </c>
      <c r="B204" s="2" t="s">
        <v>5484</v>
      </c>
      <c r="C204" s="60" t="s">
        <v>15759</v>
      </c>
      <c r="D204" s="1"/>
      <c r="E204" s="68"/>
      <c r="F204" s="70"/>
      <c r="G204" s="67"/>
      <c r="H204" s="68"/>
      <c r="I204" s="76"/>
      <c r="J204" s="83" t="s">
        <v>5895</v>
      </c>
      <c r="K204" s="64" t="s">
        <v>1</v>
      </c>
      <c r="L204" s="65">
        <v>1</v>
      </c>
      <c r="M204" s="66"/>
      <c r="N204" s="57"/>
      <c r="O204" s="58"/>
      <c r="P204" s="77"/>
      <c r="Q204" s="94" t="s">
        <v>8087</v>
      </c>
      <c r="R204" s="68"/>
      <c r="S204" s="76"/>
      <c r="T204" s="70"/>
      <c r="U204" s="120">
        <f>ROUND((ROUND((ROUND((_15_同援日増８．５*_15・通訳),0)*_15・２人),0)*(1+_15・区３)),0)</f>
        <v>1157</v>
      </c>
      <c r="V204" s="69"/>
    </row>
    <row r="205" spans="1:22" ht="16.5" customHeight="1" x14ac:dyDescent="0.3">
      <c r="A205" s="2">
        <v>15</v>
      </c>
      <c r="B205" s="2" t="s">
        <v>5485</v>
      </c>
      <c r="C205" s="60" t="s">
        <v>15758</v>
      </c>
      <c r="D205" s="1"/>
      <c r="E205" s="68"/>
      <c r="F205" s="70"/>
      <c r="G205" s="67"/>
      <c r="H205" s="68"/>
      <c r="I205" s="76"/>
      <c r="J205" s="85"/>
      <c r="K205" s="64"/>
      <c r="L205" s="65"/>
      <c r="M205" s="74" t="s">
        <v>17969</v>
      </c>
      <c r="N205" s="62"/>
      <c r="O205" s="63"/>
      <c r="P205" s="75"/>
      <c r="Q205" s="67"/>
      <c r="R205" s="68" t="s">
        <v>1</v>
      </c>
      <c r="S205" s="76">
        <v>0.2</v>
      </c>
      <c r="T205" s="70" t="s">
        <v>422</v>
      </c>
      <c r="U205" s="120">
        <f>ROUND((ROUND((ROUND((_15_同援日増８．５*_15・通訳),0)*(1+_15・盲ろう)),0)*(1+_15・区３)),0)</f>
        <v>1446</v>
      </c>
      <c r="V205" s="69"/>
    </row>
    <row r="206" spans="1:22" ht="16.5" customHeight="1" x14ac:dyDescent="0.3">
      <c r="A206" s="2">
        <v>15</v>
      </c>
      <c r="B206" s="2" t="s">
        <v>5486</v>
      </c>
      <c r="C206" s="60" t="s">
        <v>15757</v>
      </c>
      <c r="D206" s="1"/>
      <c r="E206" s="68"/>
      <c r="F206" s="70"/>
      <c r="G206" s="67"/>
      <c r="H206" s="68"/>
      <c r="I206" s="76"/>
      <c r="J206" s="83" t="s">
        <v>5895</v>
      </c>
      <c r="K206" s="64" t="s">
        <v>1</v>
      </c>
      <c r="L206" s="65">
        <v>1</v>
      </c>
      <c r="M206" s="106" t="s">
        <v>17968</v>
      </c>
      <c r="N206" s="57" t="s">
        <v>1</v>
      </c>
      <c r="O206" s="58">
        <v>0.25</v>
      </c>
      <c r="P206" s="77" t="s">
        <v>422</v>
      </c>
      <c r="Q206" s="66"/>
      <c r="R206" s="57"/>
      <c r="S206" s="58"/>
      <c r="T206" s="77"/>
      <c r="U206" s="120">
        <f>ROUND((ROUND((ROUND((ROUND((_15_同援日増８．５*_15・通訳),0)*_15・２人),0)*(1+_15・盲ろう)),0)*(1+_15・区３)),0)</f>
        <v>1446</v>
      </c>
      <c r="V206" s="69"/>
    </row>
    <row r="207" spans="1:22" ht="16.5" customHeight="1" x14ac:dyDescent="0.3">
      <c r="A207" s="2">
        <v>15</v>
      </c>
      <c r="B207" s="2" t="s">
        <v>5487</v>
      </c>
      <c r="C207" s="60" t="s">
        <v>15756</v>
      </c>
      <c r="D207" s="1"/>
      <c r="E207" s="68"/>
      <c r="F207" s="70"/>
      <c r="G207" s="67"/>
      <c r="H207" s="68"/>
      <c r="I207" s="76"/>
      <c r="J207" s="85"/>
      <c r="K207" s="64"/>
      <c r="L207" s="65"/>
      <c r="M207" s="61"/>
      <c r="N207" s="62"/>
      <c r="O207" s="63"/>
      <c r="P207" s="75"/>
      <c r="Q207" s="74" t="s">
        <v>18398</v>
      </c>
      <c r="R207" s="62"/>
      <c r="S207" s="63"/>
      <c r="T207" s="75"/>
      <c r="U207" s="120">
        <f>ROUND((ROUND((_15_同援日増８．５*_15・通訳),0)*(1+_15・区４)),0)</f>
        <v>1350</v>
      </c>
      <c r="V207" s="69"/>
    </row>
    <row r="208" spans="1:22" ht="16.5" customHeight="1" x14ac:dyDescent="0.3">
      <c r="A208" s="2">
        <v>15</v>
      </c>
      <c r="B208" s="2" t="s">
        <v>5488</v>
      </c>
      <c r="C208" s="60" t="s">
        <v>15755</v>
      </c>
      <c r="D208" s="1"/>
      <c r="E208" s="68"/>
      <c r="F208" s="70"/>
      <c r="G208" s="67"/>
      <c r="H208" s="68"/>
      <c r="I208" s="76"/>
      <c r="J208" s="83" t="s">
        <v>5895</v>
      </c>
      <c r="K208" s="64" t="s">
        <v>1</v>
      </c>
      <c r="L208" s="65">
        <v>1</v>
      </c>
      <c r="M208" s="66"/>
      <c r="N208" s="57"/>
      <c r="O208" s="58"/>
      <c r="P208" s="77"/>
      <c r="Q208" s="94" t="s">
        <v>17970</v>
      </c>
      <c r="R208" s="68"/>
      <c r="S208" s="76"/>
      <c r="T208" s="70"/>
      <c r="U208" s="120">
        <f>ROUND((ROUND((ROUND((_15_同援日増８．５*_15・通訳),0)*_15・２人),0)*(1+_15・区４)),0)</f>
        <v>1350</v>
      </c>
      <c r="V208" s="69"/>
    </row>
    <row r="209" spans="1:22" ht="16.5" customHeight="1" x14ac:dyDescent="0.3">
      <c r="A209" s="2">
        <v>15</v>
      </c>
      <c r="B209" s="2" t="s">
        <v>5489</v>
      </c>
      <c r="C209" s="60" t="s">
        <v>15754</v>
      </c>
      <c r="D209" s="1"/>
      <c r="E209" s="68"/>
      <c r="F209" s="70"/>
      <c r="G209" s="67"/>
      <c r="H209" s="68"/>
      <c r="I209" s="76"/>
      <c r="J209" s="85"/>
      <c r="K209" s="64"/>
      <c r="L209" s="65"/>
      <c r="M209" s="74" t="s">
        <v>17969</v>
      </c>
      <c r="N209" s="62"/>
      <c r="O209" s="63"/>
      <c r="P209" s="75"/>
      <c r="Q209" s="67"/>
      <c r="R209" s="68" t="s">
        <v>1</v>
      </c>
      <c r="S209" s="76">
        <v>0.4</v>
      </c>
      <c r="T209" s="70" t="s">
        <v>422</v>
      </c>
      <c r="U209" s="120">
        <f>ROUND((ROUND((ROUND((_15_同援日増８．５*_15・通訳),0)*(1+_15・盲ろう)),0)*(1+_15・区４)),0)</f>
        <v>1687</v>
      </c>
      <c r="V209" s="69"/>
    </row>
    <row r="210" spans="1:22" ht="16.5" customHeight="1" x14ac:dyDescent="0.3">
      <c r="A210" s="2">
        <v>15</v>
      </c>
      <c r="B210" s="2" t="s">
        <v>5490</v>
      </c>
      <c r="C210" s="60" t="s">
        <v>15753</v>
      </c>
      <c r="D210" s="81"/>
      <c r="E210" s="57"/>
      <c r="F210" s="77"/>
      <c r="G210" s="67"/>
      <c r="H210" s="68"/>
      <c r="I210" s="76"/>
      <c r="J210" s="83" t="s">
        <v>5895</v>
      </c>
      <c r="K210" s="64" t="s">
        <v>1</v>
      </c>
      <c r="L210" s="65">
        <v>1</v>
      </c>
      <c r="M210" s="106" t="s">
        <v>17968</v>
      </c>
      <c r="N210" s="57" t="s">
        <v>1</v>
      </c>
      <c r="O210" s="58">
        <v>0.25</v>
      </c>
      <c r="P210" s="77" t="s">
        <v>422</v>
      </c>
      <c r="Q210" s="66"/>
      <c r="R210" s="57"/>
      <c r="S210" s="58"/>
      <c r="T210" s="77"/>
      <c r="U210" s="120">
        <f>ROUND((ROUND((ROUND((ROUND((_15_同援日増８．５*_15・通訳),0)*_15・２人),0)*(1+_15・盲ろう)),0)*(1+_15・区４)),0)</f>
        <v>1687</v>
      </c>
      <c r="V210" s="69"/>
    </row>
    <row r="211" spans="1:22" ht="16.5" customHeight="1" x14ac:dyDescent="0.3">
      <c r="A211" s="2">
        <v>15</v>
      </c>
      <c r="B211" s="2" t="s">
        <v>5491</v>
      </c>
      <c r="C211" s="60" t="s">
        <v>15752</v>
      </c>
      <c r="D211" s="233" t="s">
        <v>18399</v>
      </c>
      <c r="E211" s="235"/>
      <c r="F211" s="75"/>
      <c r="G211" s="67"/>
      <c r="H211" s="68"/>
      <c r="I211" s="76"/>
      <c r="J211" s="85"/>
      <c r="K211" s="64"/>
      <c r="L211" s="65"/>
      <c r="M211" s="61"/>
      <c r="N211" s="62"/>
      <c r="O211" s="63"/>
      <c r="P211" s="75"/>
      <c r="Q211" s="61"/>
      <c r="R211" s="62"/>
      <c r="S211" s="63"/>
      <c r="T211" s="75"/>
      <c r="U211" s="120">
        <f>ROUND((_15_同援日増９．０*_15・通訳),0)</f>
        <v>1021</v>
      </c>
      <c r="V211" s="69"/>
    </row>
    <row r="212" spans="1:22" ht="16.5" customHeight="1" x14ac:dyDescent="0.3">
      <c r="A212" s="2">
        <v>15</v>
      </c>
      <c r="B212" s="2" t="s">
        <v>5492</v>
      </c>
      <c r="C212" s="60" t="s">
        <v>15751</v>
      </c>
      <c r="D212" s="1" t="s">
        <v>16825</v>
      </c>
      <c r="E212" s="68"/>
      <c r="F212" s="70"/>
      <c r="G212" s="67"/>
      <c r="H212" s="68"/>
      <c r="I212" s="76"/>
      <c r="J212" s="83" t="s">
        <v>5895</v>
      </c>
      <c r="K212" s="64" t="s">
        <v>1</v>
      </c>
      <c r="L212" s="65">
        <v>1</v>
      </c>
      <c r="M212" s="66"/>
      <c r="N212" s="57"/>
      <c r="O212" s="58"/>
      <c r="P212" s="77"/>
      <c r="Q212" s="67"/>
      <c r="R212" s="68"/>
      <c r="S212" s="76"/>
      <c r="T212" s="70"/>
      <c r="U212" s="120">
        <f>ROUND((ROUND((_15_同援日増９．０*_15・通訳),0)*_15・２人),0)</f>
        <v>1021</v>
      </c>
      <c r="V212" s="69"/>
    </row>
    <row r="213" spans="1:22" ht="16.5" customHeight="1" x14ac:dyDescent="0.3">
      <c r="A213" s="2">
        <v>15</v>
      </c>
      <c r="B213" s="2" t="s">
        <v>5493</v>
      </c>
      <c r="C213" s="60" t="s">
        <v>15750</v>
      </c>
      <c r="D213" s="1" t="s">
        <v>8182</v>
      </c>
      <c r="E213" s="68"/>
      <c r="F213" s="70"/>
      <c r="G213" s="67"/>
      <c r="H213" s="68"/>
      <c r="I213" s="76"/>
      <c r="J213" s="85"/>
      <c r="K213" s="64"/>
      <c r="L213" s="65"/>
      <c r="M213" s="74" t="s">
        <v>17969</v>
      </c>
      <c r="N213" s="62"/>
      <c r="O213" s="63"/>
      <c r="P213" s="75"/>
      <c r="Q213" s="67"/>
      <c r="R213" s="68"/>
      <c r="S213" s="76"/>
      <c r="T213" s="70"/>
      <c r="U213" s="120">
        <f>ROUND((ROUND((_15_同援日増９．０*_15・通訳),0)*(1+_15・盲ろう)),0)</f>
        <v>1276</v>
      </c>
      <c r="V213" s="69"/>
    </row>
    <row r="214" spans="1:22" ht="16.5" customHeight="1" x14ac:dyDescent="0.3">
      <c r="A214" s="2">
        <v>15</v>
      </c>
      <c r="B214" s="2" t="s">
        <v>5494</v>
      </c>
      <c r="C214" s="60" t="s">
        <v>15749</v>
      </c>
      <c r="D214" s="1"/>
      <c r="E214" s="119">
        <v>1134</v>
      </c>
      <c r="F214" s="70" t="s">
        <v>0</v>
      </c>
      <c r="G214" s="67"/>
      <c r="H214" s="68"/>
      <c r="I214" s="76"/>
      <c r="J214" s="83" t="s">
        <v>5895</v>
      </c>
      <c r="K214" s="64" t="s">
        <v>1</v>
      </c>
      <c r="L214" s="65">
        <v>1</v>
      </c>
      <c r="M214" s="106" t="s">
        <v>17968</v>
      </c>
      <c r="N214" s="57" t="s">
        <v>1</v>
      </c>
      <c r="O214" s="58">
        <v>0.25</v>
      </c>
      <c r="P214" s="77" t="s">
        <v>422</v>
      </c>
      <c r="Q214" s="66"/>
      <c r="R214" s="57"/>
      <c r="S214" s="58"/>
      <c r="T214" s="77"/>
      <c r="U214" s="120">
        <f>ROUND((ROUND((ROUND((_15_同援日増９．０*_15・通訳),0)*_15・２人),0)*(1+_15・盲ろう)),0)</f>
        <v>1276</v>
      </c>
      <c r="V214" s="69"/>
    </row>
    <row r="215" spans="1:22" ht="16.5" customHeight="1" x14ac:dyDescent="0.3">
      <c r="A215" s="2">
        <v>15</v>
      </c>
      <c r="B215" s="2" t="s">
        <v>5495</v>
      </c>
      <c r="C215" s="60" t="s">
        <v>15748</v>
      </c>
      <c r="D215" s="1"/>
      <c r="E215" s="68"/>
      <c r="F215" s="70"/>
      <c r="G215" s="67"/>
      <c r="H215" s="68"/>
      <c r="I215" s="76"/>
      <c r="J215" s="85"/>
      <c r="K215" s="64"/>
      <c r="L215" s="65"/>
      <c r="M215" s="61"/>
      <c r="N215" s="62"/>
      <c r="O215" s="63"/>
      <c r="P215" s="75"/>
      <c r="Q215" s="74" t="s">
        <v>8098</v>
      </c>
      <c r="R215" s="62"/>
      <c r="S215" s="63"/>
      <c r="T215" s="75"/>
      <c r="U215" s="120">
        <f>ROUND((ROUND((_15_同援日増９．０*_15・通訳),0)*(1+_15・区３)),0)</f>
        <v>1225</v>
      </c>
      <c r="V215" s="69"/>
    </row>
    <row r="216" spans="1:22" ht="16.5" customHeight="1" x14ac:dyDescent="0.3">
      <c r="A216" s="2">
        <v>15</v>
      </c>
      <c r="B216" s="2" t="s">
        <v>5496</v>
      </c>
      <c r="C216" s="60" t="s">
        <v>15747</v>
      </c>
      <c r="D216" s="1"/>
      <c r="E216" s="68"/>
      <c r="F216" s="70"/>
      <c r="G216" s="67"/>
      <c r="H216" s="68"/>
      <c r="I216" s="76"/>
      <c r="J216" s="83" t="s">
        <v>5895</v>
      </c>
      <c r="K216" s="64" t="s">
        <v>1</v>
      </c>
      <c r="L216" s="65">
        <v>1</v>
      </c>
      <c r="M216" s="66"/>
      <c r="N216" s="57"/>
      <c r="O216" s="58"/>
      <c r="P216" s="77"/>
      <c r="Q216" s="94" t="s">
        <v>17970</v>
      </c>
      <c r="R216" s="68"/>
      <c r="S216" s="76"/>
      <c r="T216" s="70"/>
      <c r="U216" s="120">
        <f>ROUND((ROUND((ROUND((_15_同援日増９．０*_15・通訳),0)*_15・２人),0)*(1+_15・区３)),0)</f>
        <v>1225</v>
      </c>
      <c r="V216" s="69"/>
    </row>
    <row r="217" spans="1:22" ht="16.5" customHeight="1" x14ac:dyDescent="0.3">
      <c r="A217" s="2">
        <v>15</v>
      </c>
      <c r="B217" s="2" t="s">
        <v>5497</v>
      </c>
      <c r="C217" s="60" t="s">
        <v>15746</v>
      </c>
      <c r="D217" s="1"/>
      <c r="E217" s="68"/>
      <c r="F217" s="70"/>
      <c r="G217" s="67"/>
      <c r="H217" s="68"/>
      <c r="I217" s="76"/>
      <c r="J217" s="85"/>
      <c r="K217" s="64"/>
      <c r="L217" s="65"/>
      <c r="M217" s="74" t="s">
        <v>17969</v>
      </c>
      <c r="N217" s="62"/>
      <c r="O217" s="63"/>
      <c r="P217" s="75"/>
      <c r="Q217" s="67"/>
      <c r="R217" s="68" t="s">
        <v>1</v>
      </c>
      <c r="S217" s="76">
        <v>0.2</v>
      </c>
      <c r="T217" s="70" t="s">
        <v>422</v>
      </c>
      <c r="U217" s="120">
        <f>ROUND((ROUND((ROUND((_15_同援日増９．０*_15・通訳),0)*(1+_15・盲ろう)),0)*(1+_15・区３)),0)</f>
        <v>1531</v>
      </c>
      <c r="V217" s="69"/>
    </row>
    <row r="218" spans="1:22" ht="16.5" customHeight="1" x14ac:dyDescent="0.3">
      <c r="A218" s="2">
        <v>15</v>
      </c>
      <c r="B218" s="2" t="s">
        <v>5498</v>
      </c>
      <c r="C218" s="60" t="s">
        <v>15745</v>
      </c>
      <c r="D218" s="1"/>
      <c r="E218" s="68"/>
      <c r="F218" s="70"/>
      <c r="G218" s="67"/>
      <c r="H218" s="68"/>
      <c r="I218" s="76"/>
      <c r="J218" s="83" t="s">
        <v>5895</v>
      </c>
      <c r="K218" s="64" t="s">
        <v>1</v>
      </c>
      <c r="L218" s="65">
        <v>1</v>
      </c>
      <c r="M218" s="106" t="s">
        <v>17968</v>
      </c>
      <c r="N218" s="57" t="s">
        <v>1</v>
      </c>
      <c r="O218" s="58">
        <v>0.25</v>
      </c>
      <c r="P218" s="77" t="s">
        <v>422</v>
      </c>
      <c r="Q218" s="66"/>
      <c r="R218" s="57"/>
      <c r="S218" s="58"/>
      <c r="T218" s="77"/>
      <c r="U218" s="120">
        <f>ROUND((ROUND((ROUND((ROUND((_15_同援日増９．０*_15・通訳),0)*_15・２人),0)*(1+_15・盲ろう)),0)*(1+_15・区３)),0)</f>
        <v>1531</v>
      </c>
      <c r="V218" s="69"/>
    </row>
    <row r="219" spans="1:22" ht="16.5" customHeight="1" x14ac:dyDescent="0.3">
      <c r="A219" s="2">
        <v>15</v>
      </c>
      <c r="B219" s="2" t="s">
        <v>5499</v>
      </c>
      <c r="C219" s="60" t="s">
        <v>15744</v>
      </c>
      <c r="D219" s="1"/>
      <c r="E219" s="68"/>
      <c r="F219" s="70"/>
      <c r="G219" s="67"/>
      <c r="H219" s="68"/>
      <c r="I219" s="76"/>
      <c r="J219" s="85"/>
      <c r="K219" s="64"/>
      <c r="L219" s="65"/>
      <c r="M219" s="61"/>
      <c r="N219" s="62"/>
      <c r="O219" s="63"/>
      <c r="P219" s="75"/>
      <c r="Q219" s="74" t="s">
        <v>18398</v>
      </c>
      <c r="R219" s="62"/>
      <c r="S219" s="63"/>
      <c r="T219" s="75"/>
      <c r="U219" s="120">
        <f>ROUND((ROUND((_15_同援日増９．０*_15・通訳),0)*(1+_15・区４)),0)</f>
        <v>1429</v>
      </c>
      <c r="V219" s="69"/>
    </row>
    <row r="220" spans="1:22" ht="16.5" customHeight="1" x14ac:dyDescent="0.3">
      <c r="A220" s="2">
        <v>15</v>
      </c>
      <c r="B220" s="2" t="s">
        <v>5500</v>
      </c>
      <c r="C220" s="60" t="s">
        <v>15743</v>
      </c>
      <c r="D220" s="1"/>
      <c r="E220" s="68"/>
      <c r="F220" s="70"/>
      <c r="G220" s="67"/>
      <c r="H220" s="68"/>
      <c r="I220" s="76"/>
      <c r="J220" s="83" t="s">
        <v>5895</v>
      </c>
      <c r="K220" s="64" t="s">
        <v>1</v>
      </c>
      <c r="L220" s="65">
        <v>1</v>
      </c>
      <c r="M220" s="66"/>
      <c r="N220" s="57"/>
      <c r="O220" s="58"/>
      <c r="P220" s="77"/>
      <c r="Q220" s="94" t="s">
        <v>17970</v>
      </c>
      <c r="R220" s="68"/>
      <c r="S220" s="76"/>
      <c r="T220" s="70"/>
      <c r="U220" s="120">
        <f>ROUND((ROUND((ROUND((_15_同援日増９．０*_15・通訳),0)*_15・２人),0)*(1+_15・区４)),0)</f>
        <v>1429</v>
      </c>
      <c r="V220" s="69"/>
    </row>
    <row r="221" spans="1:22" ht="16.5" customHeight="1" x14ac:dyDescent="0.3">
      <c r="A221" s="2">
        <v>15</v>
      </c>
      <c r="B221" s="2" t="s">
        <v>5501</v>
      </c>
      <c r="C221" s="60" t="s">
        <v>15742</v>
      </c>
      <c r="D221" s="1"/>
      <c r="E221" s="68"/>
      <c r="F221" s="70"/>
      <c r="G221" s="67"/>
      <c r="H221" s="68"/>
      <c r="I221" s="76"/>
      <c r="J221" s="85"/>
      <c r="K221" s="64"/>
      <c r="L221" s="65"/>
      <c r="M221" s="74" t="s">
        <v>8085</v>
      </c>
      <c r="N221" s="62"/>
      <c r="O221" s="63"/>
      <c r="P221" s="75"/>
      <c r="Q221" s="67"/>
      <c r="R221" s="68" t="s">
        <v>1</v>
      </c>
      <c r="S221" s="76">
        <v>0.4</v>
      </c>
      <c r="T221" s="70" t="s">
        <v>422</v>
      </c>
      <c r="U221" s="120">
        <f>ROUND((ROUND((ROUND((_15_同援日増９．０*_15・通訳),0)*(1+_15・盲ろう)),0)*(1+_15・区４)),0)</f>
        <v>1786</v>
      </c>
      <c r="V221" s="69"/>
    </row>
    <row r="222" spans="1:22" ht="16.5" customHeight="1" x14ac:dyDescent="0.3">
      <c r="A222" s="2">
        <v>15</v>
      </c>
      <c r="B222" s="2" t="s">
        <v>5502</v>
      </c>
      <c r="C222" s="60" t="s">
        <v>15741</v>
      </c>
      <c r="D222" s="81"/>
      <c r="E222" s="57"/>
      <c r="F222" s="77"/>
      <c r="G222" s="67"/>
      <c r="H222" s="68"/>
      <c r="I222" s="76"/>
      <c r="J222" s="83" t="s">
        <v>5895</v>
      </c>
      <c r="K222" s="64" t="s">
        <v>1</v>
      </c>
      <c r="L222" s="65">
        <v>1</v>
      </c>
      <c r="M222" s="106" t="s">
        <v>8083</v>
      </c>
      <c r="N222" s="57" t="s">
        <v>1</v>
      </c>
      <c r="O222" s="58">
        <v>0.25</v>
      </c>
      <c r="P222" s="77" t="s">
        <v>422</v>
      </c>
      <c r="Q222" s="66"/>
      <c r="R222" s="57"/>
      <c r="S222" s="58"/>
      <c r="T222" s="77"/>
      <c r="U222" s="120">
        <f>ROUND((ROUND((ROUND((ROUND((_15_同援日増９．０*_15・通訳),0)*_15・２人),0)*(1+_15・盲ろう)),0)*(1+_15・区４)),0)</f>
        <v>1786</v>
      </c>
      <c r="V222" s="69"/>
    </row>
    <row r="223" spans="1:22" ht="16.5" customHeight="1" x14ac:dyDescent="0.3">
      <c r="A223" s="2">
        <v>15</v>
      </c>
      <c r="B223" s="2" t="s">
        <v>5503</v>
      </c>
      <c r="C223" s="60" t="s">
        <v>15740</v>
      </c>
      <c r="D223" s="233" t="s">
        <v>16319</v>
      </c>
      <c r="E223" s="235"/>
      <c r="F223" s="75"/>
      <c r="G223" s="67"/>
      <c r="H223" s="68"/>
      <c r="I223" s="76"/>
      <c r="J223" s="85"/>
      <c r="K223" s="64"/>
      <c r="L223" s="65"/>
      <c r="M223" s="61"/>
      <c r="N223" s="62"/>
      <c r="O223" s="63"/>
      <c r="P223" s="75"/>
      <c r="Q223" s="61"/>
      <c r="R223" s="62"/>
      <c r="S223" s="63"/>
      <c r="T223" s="75"/>
      <c r="U223" s="120">
        <f>ROUND((_15_同援日増９．５*_15・通訳),0)</f>
        <v>1077</v>
      </c>
      <c r="V223" s="69"/>
    </row>
    <row r="224" spans="1:22" ht="16.5" customHeight="1" x14ac:dyDescent="0.3">
      <c r="A224" s="2">
        <v>15</v>
      </c>
      <c r="B224" s="2" t="s">
        <v>5504</v>
      </c>
      <c r="C224" s="60" t="s">
        <v>15739</v>
      </c>
      <c r="D224" s="1" t="s">
        <v>16821</v>
      </c>
      <c r="E224" s="68"/>
      <c r="F224" s="70"/>
      <c r="G224" s="67"/>
      <c r="H224" s="68"/>
      <c r="I224" s="76"/>
      <c r="J224" s="83" t="s">
        <v>5895</v>
      </c>
      <c r="K224" s="64" t="s">
        <v>1</v>
      </c>
      <c r="L224" s="65">
        <v>1</v>
      </c>
      <c r="M224" s="66"/>
      <c r="N224" s="57"/>
      <c r="O224" s="58"/>
      <c r="P224" s="77"/>
      <c r="Q224" s="67"/>
      <c r="R224" s="68"/>
      <c r="S224" s="76"/>
      <c r="T224" s="70"/>
      <c r="U224" s="120">
        <f>ROUND((ROUND((_15_同援日増９．５*_15・通訳),0)*_15・２人),0)</f>
        <v>1077</v>
      </c>
      <c r="V224" s="69"/>
    </row>
    <row r="225" spans="1:22" ht="16.5" customHeight="1" x14ac:dyDescent="0.3">
      <c r="A225" s="2">
        <v>15</v>
      </c>
      <c r="B225" s="2" t="s">
        <v>5505</v>
      </c>
      <c r="C225" s="60" t="s">
        <v>15738</v>
      </c>
      <c r="D225" s="1" t="s">
        <v>8157</v>
      </c>
      <c r="E225" s="68"/>
      <c r="F225" s="70"/>
      <c r="G225" s="67"/>
      <c r="H225" s="68"/>
      <c r="I225" s="76"/>
      <c r="J225" s="85"/>
      <c r="K225" s="64"/>
      <c r="L225" s="65"/>
      <c r="M225" s="74" t="s">
        <v>8085</v>
      </c>
      <c r="N225" s="62"/>
      <c r="O225" s="63"/>
      <c r="P225" s="75"/>
      <c r="Q225" s="67"/>
      <c r="R225" s="68"/>
      <c r="S225" s="76"/>
      <c r="T225" s="70"/>
      <c r="U225" s="120">
        <f>ROUND((ROUND((_15_同援日増９．５*_15・通訳),0)*(1+_15・盲ろう)),0)</f>
        <v>1346</v>
      </c>
      <c r="V225" s="69"/>
    </row>
    <row r="226" spans="1:22" ht="16.5" customHeight="1" x14ac:dyDescent="0.3">
      <c r="A226" s="2">
        <v>15</v>
      </c>
      <c r="B226" s="2" t="s">
        <v>5506</v>
      </c>
      <c r="C226" s="60" t="s">
        <v>15737</v>
      </c>
      <c r="D226" s="1"/>
      <c r="E226" s="119">
        <v>1197</v>
      </c>
      <c r="F226" s="70" t="s">
        <v>0</v>
      </c>
      <c r="G226" s="67"/>
      <c r="H226" s="68"/>
      <c r="I226" s="76"/>
      <c r="J226" s="83" t="s">
        <v>5895</v>
      </c>
      <c r="K226" s="64" t="s">
        <v>1</v>
      </c>
      <c r="L226" s="65">
        <v>1</v>
      </c>
      <c r="M226" s="106" t="s">
        <v>17968</v>
      </c>
      <c r="N226" s="57" t="s">
        <v>1</v>
      </c>
      <c r="O226" s="58">
        <v>0.25</v>
      </c>
      <c r="P226" s="77" t="s">
        <v>422</v>
      </c>
      <c r="Q226" s="66"/>
      <c r="R226" s="57"/>
      <c r="S226" s="58"/>
      <c r="T226" s="77"/>
      <c r="U226" s="120">
        <f>ROUND((ROUND((ROUND((_15_同援日増９．５*_15・通訳),0)*_15・２人),0)*(1+_15・盲ろう)),0)</f>
        <v>1346</v>
      </c>
      <c r="V226" s="69"/>
    </row>
    <row r="227" spans="1:22" ht="16.5" customHeight="1" x14ac:dyDescent="0.3">
      <c r="A227" s="2">
        <v>15</v>
      </c>
      <c r="B227" s="2" t="s">
        <v>5507</v>
      </c>
      <c r="C227" s="60" t="s">
        <v>15736</v>
      </c>
      <c r="D227" s="1"/>
      <c r="E227" s="68"/>
      <c r="F227" s="70"/>
      <c r="G227" s="67"/>
      <c r="H227" s="68"/>
      <c r="I227" s="76"/>
      <c r="J227" s="85"/>
      <c r="K227" s="64"/>
      <c r="L227" s="65"/>
      <c r="M227" s="61"/>
      <c r="N227" s="62"/>
      <c r="O227" s="63"/>
      <c r="P227" s="75"/>
      <c r="Q227" s="74" t="s">
        <v>17974</v>
      </c>
      <c r="R227" s="62"/>
      <c r="S227" s="63"/>
      <c r="T227" s="75"/>
      <c r="U227" s="120">
        <f>ROUND((ROUND((_15_同援日増９．５*_15・通訳),0)*(1+_15・区３)),0)</f>
        <v>1292</v>
      </c>
      <c r="V227" s="69"/>
    </row>
    <row r="228" spans="1:22" ht="16.5" customHeight="1" x14ac:dyDescent="0.3">
      <c r="A228" s="2">
        <v>15</v>
      </c>
      <c r="B228" s="2" t="s">
        <v>5508</v>
      </c>
      <c r="C228" s="60" t="s">
        <v>15735</v>
      </c>
      <c r="D228" s="1"/>
      <c r="E228" s="68"/>
      <c r="F228" s="70"/>
      <c r="G228" s="67"/>
      <c r="H228" s="68"/>
      <c r="I228" s="76"/>
      <c r="J228" s="83" t="s">
        <v>5895</v>
      </c>
      <c r="K228" s="64" t="s">
        <v>1</v>
      </c>
      <c r="L228" s="65">
        <v>1</v>
      </c>
      <c r="M228" s="66"/>
      <c r="N228" s="57"/>
      <c r="O228" s="58"/>
      <c r="P228" s="77"/>
      <c r="Q228" s="94" t="s">
        <v>17970</v>
      </c>
      <c r="R228" s="68"/>
      <c r="S228" s="76"/>
      <c r="T228" s="70"/>
      <c r="U228" s="120">
        <f>ROUND((ROUND((ROUND((_15_同援日増９．５*_15・通訳),0)*_15・２人),0)*(1+_15・区３)),0)</f>
        <v>1292</v>
      </c>
      <c r="V228" s="69"/>
    </row>
    <row r="229" spans="1:22" ht="16.5" customHeight="1" x14ac:dyDescent="0.3">
      <c r="A229" s="2">
        <v>15</v>
      </c>
      <c r="B229" s="2" t="s">
        <v>5509</v>
      </c>
      <c r="C229" s="60" t="s">
        <v>15734</v>
      </c>
      <c r="D229" s="1"/>
      <c r="E229" s="68"/>
      <c r="F229" s="70"/>
      <c r="G229" s="67"/>
      <c r="H229" s="68"/>
      <c r="I229" s="76"/>
      <c r="J229" s="85"/>
      <c r="K229" s="64"/>
      <c r="L229" s="65"/>
      <c r="M229" s="74" t="s">
        <v>17969</v>
      </c>
      <c r="N229" s="62"/>
      <c r="O229" s="63"/>
      <c r="P229" s="75"/>
      <c r="Q229" s="67"/>
      <c r="R229" s="68" t="s">
        <v>1</v>
      </c>
      <c r="S229" s="76">
        <v>0.2</v>
      </c>
      <c r="T229" s="70" t="s">
        <v>422</v>
      </c>
      <c r="U229" s="120">
        <f>ROUND((ROUND((ROUND((_15_同援日増９．５*_15・通訳),0)*(1+_15・盲ろう)),0)*(1+_15・区３)),0)</f>
        <v>1615</v>
      </c>
      <c r="V229" s="69"/>
    </row>
    <row r="230" spans="1:22" ht="16.5" customHeight="1" x14ac:dyDescent="0.3">
      <c r="A230" s="2">
        <v>15</v>
      </c>
      <c r="B230" s="2" t="s">
        <v>5510</v>
      </c>
      <c r="C230" s="60" t="s">
        <v>15733</v>
      </c>
      <c r="D230" s="1"/>
      <c r="E230" s="68"/>
      <c r="F230" s="70"/>
      <c r="G230" s="67"/>
      <c r="H230" s="68"/>
      <c r="I230" s="76"/>
      <c r="J230" s="83" t="s">
        <v>5895</v>
      </c>
      <c r="K230" s="64" t="s">
        <v>1</v>
      </c>
      <c r="L230" s="65">
        <v>1</v>
      </c>
      <c r="M230" s="106" t="s">
        <v>8083</v>
      </c>
      <c r="N230" s="57" t="s">
        <v>1</v>
      </c>
      <c r="O230" s="58">
        <v>0.25</v>
      </c>
      <c r="P230" s="77" t="s">
        <v>422</v>
      </c>
      <c r="Q230" s="66"/>
      <c r="R230" s="57"/>
      <c r="S230" s="58"/>
      <c r="T230" s="77"/>
      <c r="U230" s="120">
        <f>ROUND((ROUND((ROUND((ROUND((_15_同援日増９．５*_15・通訳),0)*_15・２人),0)*(1+_15・盲ろう)),0)*(1+_15・区３)),0)</f>
        <v>1615</v>
      </c>
      <c r="V230" s="69"/>
    </row>
    <row r="231" spans="1:22" ht="16.5" customHeight="1" x14ac:dyDescent="0.3">
      <c r="A231" s="2">
        <v>15</v>
      </c>
      <c r="B231" s="2" t="s">
        <v>5511</v>
      </c>
      <c r="C231" s="60" t="s">
        <v>15732</v>
      </c>
      <c r="D231" s="1"/>
      <c r="E231" s="68"/>
      <c r="F231" s="70"/>
      <c r="G231" s="67"/>
      <c r="H231" s="68"/>
      <c r="I231" s="76"/>
      <c r="J231" s="85"/>
      <c r="K231" s="64"/>
      <c r="L231" s="65"/>
      <c r="M231" s="61"/>
      <c r="N231" s="62"/>
      <c r="O231" s="63"/>
      <c r="P231" s="75"/>
      <c r="Q231" s="74" t="s">
        <v>8089</v>
      </c>
      <c r="R231" s="62"/>
      <c r="S231" s="63"/>
      <c r="T231" s="75"/>
      <c r="U231" s="120">
        <f>ROUND((ROUND((_15_同援日増９．５*_15・通訳),0)*(1+_15・区４)),0)</f>
        <v>1508</v>
      </c>
      <c r="V231" s="69"/>
    </row>
    <row r="232" spans="1:22" ht="16.5" customHeight="1" x14ac:dyDescent="0.3">
      <c r="A232" s="2">
        <v>15</v>
      </c>
      <c r="B232" s="2" t="s">
        <v>5512</v>
      </c>
      <c r="C232" s="60" t="s">
        <v>15731</v>
      </c>
      <c r="D232" s="1"/>
      <c r="E232" s="68"/>
      <c r="F232" s="70"/>
      <c r="G232" s="67"/>
      <c r="H232" s="68"/>
      <c r="I232" s="76"/>
      <c r="J232" s="83" t="s">
        <v>5895</v>
      </c>
      <c r="K232" s="64" t="s">
        <v>1</v>
      </c>
      <c r="L232" s="65">
        <v>1</v>
      </c>
      <c r="M232" s="66"/>
      <c r="N232" s="57"/>
      <c r="O232" s="58"/>
      <c r="P232" s="77"/>
      <c r="Q232" s="94" t="s">
        <v>17970</v>
      </c>
      <c r="R232" s="68"/>
      <c r="S232" s="76"/>
      <c r="T232" s="70"/>
      <c r="U232" s="120">
        <f>ROUND((ROUND((ROUND((_15_同援日増９．５*_15・通訳),0)*_15・２人),0)*(1+_15・区４)),0)</f>
        <v>1508</v>
      </c>
      <c r="V232" s="69"/>
    </row>
    <row r="233" spans="1:22" ht="16.5" customHeight="1" x14ac:dyDescent="0.3">
      <c r="A233" s="2">
        <v>15</v>
      </c>
      <c r="B233" s="2" t="s">
        <v>5513</v>
      </c>
      <c r="C233" s="60" t="s">
        <v>15730</v>
      </c>
      <c r="D233" s="1"/>
      <c r="E233" s="68"/>
      <c r="F233" s="70"/>
      <c r="G233" s="67"/>
      <c r="H233" s="68"/>
      <c r="I233" s="76"/>
      <c r="J233" s="85"/>
      <c r="K233" s="64"/>
      <c r="L233" s="65"/>
      <c r="M233" s="74" t="s">
        <v>8085</v>
      </c>
      <c r="N233" s="62"/>
      <c r="O233" s="63"/>
      <c r="P233" s="75"/>
      <c r="Q233" s="67"/>
      <c r="R233" s="68" t="s">
        <v>1</v>
      </c>
      <c r="S233" s="76">
        <v>0.4</v>
      </c>
      <c r="T233" s="70" t="s">
        <v>422</v>
      </c>
      <c r="U233" s="120">
        <f>ROUND((ROUND((ROUND((_15_同援日増９．５*_15・通訳),0)*(1+_15・盲ろう)),0)*(1+_15・区４)),0)</f>
        <v>1884</v>
      </c>
      <c r="V233" s="69"/>
    </row>
    <row r="234" spans="1:22" ht="16.5" customHeight="1" x14ac:dyDescent="0.3">
      <c r="A234" s="2">
        <v>15</v>
      </c>
      <c r="B234" s="2" t="s">
        <v>5514</v>
      </c>
      <c r="C234" s="60" t="s">
        <v>15729</v>
      </c>
      <c r="D234" s="81"/>
      <c r="E234" s="57"/>
      <c r="F234" s="77"/>
      <c r="G234" s="67"/>
      <c r="H234" s="68"/>
      <c r="I234" s="76"/>
      <c r="J234" s="83" t="s">
        <v>5895</v>
      </c>
      <c r="K234" s="64" t="s">
        <v>1</v>
      </c>
      <c r="L234" s="65">
        <v>1</v>
      </c>
      <c r="M234" s="106" t="s">
        <v>8083</v>
      </c>
      <c r="N234" s="57" t="s">
        <v>1</v>
      </c>
      <c r="O234" s="58">
        <v>0.25</v>
      </c>
      <c r="P234" s="77" t="s">
        <v>422</v>
      </c>
      <c r="Q234" s="66"/>
      <c r="R234" s="57"/>
      <c r="S234" s="58"/>
      <c r="T234" s="77"/>
      <c r="U234" s="120">
        <f>ROUND((ROUND((ROUND((ROUND((_15_同援日増９．５*_15・通訳),0)*_15・２人),0)*(1+_15・盲ろう)),0)*(1+_15・区４)),0)</f>
        <v>1884</v>
      </c>
      <c r="V234" s="69"/>
    </row>
    <row r="235" spans="1:22" ht="16.5" customHeight="1" x14ac:dyDescent="0.3">
      <c r="A235" s="2">
        <v>15</v>
      </c>
      <c r="B235" s="2" t="s">
        <v>5515</v>
      </c>
      <c r="C235" s="60" t="s">
        <v>15728</v>
      </c>
      <c r="D235" s="233" t="s">
        <v>18397</v>
      </c>
      <c r="E235" s="235"/>
      <c r="F235" s="75"/>
      <c r="G235" s="67"/>
      <c r="H235" s="68"/>
      <c r="I235" s="76"/>
      <c r="J235" s="85"/>
      <c r="K235" s="64"/>
      <c r="L235" s="65"/>
      <c r="M235" s="61"/>
      <c r="N235" s="62"/>
      <c r="O235" s="63"/>
      <c r="P235" s="75"/>
      <c r="Q235" s="61"/>
      <c r="R235" s="62"/>
      <c r="S235" s="63"/>
      <c r="T235" s="75"/>
      <c r="U235" s="120">
        <f>ROUND((_15_同援日増１０．０*_15・通訳),0)</f>
        <v>1134</v>
      </c>
      <c r="V235" s="69"/>
    </row>
    <row r="236" spans="1:22" ht="16.5" customHeight="1" x14ac:dyDescent="0.3">
      <c r="A236" s="2">
        <v>15</v>
      </c>
      <c r="B236" s="2" t="s">
        <v>5516</v>
      </c>
      <c r="C236" s="60" t="s">
        <v>15727</v>
      </c>
      <c r="D236" s="1" t="s">
        <v>5904</v>
      </c>
      <c r="E236" s="68"/>
      <c r="F236" s="70"/>
      <c r="G236" s="67"/>
      <c r="H236" s="68"/>
      <c r="I236" s="76"/>
      <c r="J236" s="83" t="s">
        <v>5895</v>
      </c>
      <c r="K236" s="64" t="s">
        <v>1</v>
      </c>
      <c r="L236" s="65">
        <v>1</v>
      </c>
      <c r="M236" s="66"/>
      <c r="N236" s="57"/>
      <c r="O236" s="58"/>
      <c r="P236" s="77"/>
      <c r="Q236" s="67"/>
      <c r="R236" s="68"/>
      <c r="S236" s="76"/>
      <c r="T236" s="70"/>
      <c r="U236" s="120">
        <f>ROUND((ROUND((_15_同援日増１０．０*_15・通訳),0)*_15・２人),0)</f>
        <v>1134</v>
      </c>
      <c r="V236" s="69"/>
    </row>
    <row r="237" spans="1:22" ht="16.5" customHeight="1" x14ac:dyDescent="0.3">
      <c r="A237" s="2">
        <v>15</v>
      </c>
      <c r="B237" s="2" t="s">
        <v>5517</v>
      </c>
      <c r="C237" s="60" t="s">
        <v>15726</v>
      </c>
      <c r="D237" s="1" t="s">
        <v>8132</v>
      </c>
      <c r="E237" s="68"/>
      <c r="F237" s="70"/>
      <c r="G237" s="67"/>
      <c r="H237" s="68"/>
      <c r="I237" s="76"/>
      <c r="J237" s="85"/>
      <c r="K237" s="64"/>
      <c r="L237" s="65"/>
      <c r="M237" s="74" t="s">
        <v>8085</v>
      </c>
      <c r="N237" s="62"/>
      <c r="O237" s="63"/>
      <c r="P237" s="75"/>
      <c r="Q237" s="67"/>
      <c r="R237" s="68"/>
      <c r="S237" s="76"/>
      <c r="T237" s="70"/>
      <c r="U237" s="120">
        <f>ROUND((ROUND((_15_同援日増１０．０*_15・通訳),0)*(1+_15・盲ろう)),0)</f>
        <v>1418</v>
      </c>
      <c r="V237" s="69"/>
    </row>
    <row r="238" spans="1:22" ht="16.5" customHeight="1" x14ac:dyDescent="0.3">
      <c r="A238" s="2">
        <v>15</v>
      </c>
      <c r="B238" s="2" t="s">
        <v>5518</v>
      </c>
      <c r="C238" s="60" t="s">
        <v>15725</v>
      </c>
      <c r="D238" s="1"/>
      <c r="E238" s="119">
        <v>1260</v>
      </c>
      <c r="F238" s="70" t="s">
        <v>0</v>
      </c>
      <c r="G238" s="67"/>
      <c r="H238" s="68"/>
      <c r="I238" s="76"/>
      <c r="J238" s="83" t="s">
        <v>5895</v>
      </c>
      <c r="K238" s="64" t="s">
        <v>1</v>
      </c>
      <c r="L238" s="65">
        <v>1</v>
      </c>
      <c r="M238" s="106" t="s">
        <v>17968</v>
      </c>
      <c r="N238" s="57" t="s">
        <v>1</v>
      </c>
      <c r="O238" s="58">
        <v>0.25</v>
      </c>
      <c r="P238" s="77" t="s">
        <v>422</v>
      </c>
      <c r="Q238" s="66"/>
      <c r="R238" s="57"/>
      <c r="S238" s="58"/>
      <c r="T238" s="77"/>
      <c r="U238" s="120">
        <f>ROUND((ROUND((ROUND((_15_同援日増１０．０*_15・通訳),0)*_15・２人),0)*(1+_15・盲ろう)),0)</f>
        <v>1418</v>
      </c>
      <c r="V238" s="69"/>
    </row>
    <row r="239" spans="1:22" ht="16.5" customHeight="1" x14ac:dyDescent="0.3">
      <c r="A239" s="2">
        <v>15</v>
      </c>
      <c r="B239" s="2" t="s">
        <v>5519</v>
      </c>
      <c r="C239" s="60" t="s">
        <v>15724</v>
      </c>
      <c r="D239" s="1"/>
      <c r="E239" s="68"/>
      <c r="F239" s="70"/>
      <c r="G239" s="67"/>
      <c r="H239" s="68"/>
      <c r="I239" s="76"/>
      <c r="J239" s="85"/>
      <c r="K239" s="64"/>
      <c r="L239" s="65"/>
      <c r="M239" s="61"/>
      <c r="N239" s="62"/>
      <c r="O239" s="63"/>
      <c r="P239" s="75"/>
      <c r="Q239" s="74" t="s">
        <v>8098</v>
      </c>
      <c r="R239" s="62"/>
      <c r="S239" s="63"/>
      <c r="T239" s="75"/>
      <c r="U239" s="120">
        <f>ROUND((ROUND((_15_同援日増１０．０*_15・通訳),0)*(1+_15・区３)),0)</f>
        <v>1361</v>
      </c>
      <c r="V239" s="69"/>
    </row>
    <row r="240" spans="1:22" ht="16.5" customHeight="1" x14ac:dyDescent="0.3">
      <c r="A240" s="2">
        <v>15</v>
      </c>
      <c r="B240" s="2" t="s">
        <v>5520</v>
      </c>
      <c r="C240" s="60" t="s">
        <v>15723</v>
      </c>
      <c r="D240" s="1"/>
      <c r="E240" s="68"/>
      <c r="F240" s="70"/>
      <c r="G240" s="67"/>
      <c r="H240" s="68"/>
      <c r="I240" s="76"/>
      <c r="J240" s="83" t="s">
        <v>5895</v>
      </c>
      <c r="K240" s="64" t="s">
        <v>1</v>
      </c>
      <c r="L240" s="65">
        <v>1</v>
      </c>
      <c r="M240" s="66"/>
      <c r="N240" s="57"/>
      <c r="O240" s="58"/>
      <c r="P240" s="77"/>
      <c r="Q240" s="94" t="s">
        <v>17970</v>
      </c>
      <c r="R240" s="68"/>
      <c r="S240" s="76"/>
      <c r="T240" s="70"/>
      <c r="U240" s="120">
        <f>ROUND((ROUND((ROUND((_15_同援日増１０．０*_15・通訳),0)*_15・２人),0)*(1+_15・区３)),0)</f>
        <v>1361</v>
      </c>
      <c r="V240" s="69"/>
    </row>
    <row r="241" spans="1:22" ht="16.5" customHeight="1" x14ac:dyDescent="0.3">
      <c r="A241" s="2">
        <v>15</v>
      </c>
      <c r="B241" s="2" t="s">
        <v>5521</v>
      </c>
      <c r="C241" s="60" t="s">
        <v>15722</v>
      </c>
      <c r="D241" s="1"/>
      <c r="E241" s="68"/>
      <c r="F241" s="70"/>
      <c r="G241" s="67"/>
      <c r="H241" s="68"/>
      <c r="I241" s="76"/>
      <c r="J241" s="85"/>
      <c r="K241" s="64"/>
      <c r="L241" s="65"/>
      <c r="M241" s="74" t="s">
        <v>17969</v>
      </c>
      <c r="N241" s="62"/>
      <c r="O241" s="63"/>
      <c r="P241" s="75"/>
      <c r="Q241" s="67"/>
      <c r="R241" s="68" t="s">
        <v>1</v>
      </c>
      <c r="S241" s="76">
        <v>0.2</v>
      </c>
      <c r="T241" s="70" t="s">
        <v>422</v>
      </c>
      <c r="U241" s="120">
        <f>ROUND((ROUND((ROUND((_15_同援日増１０．０*_15・通訳),0)*(1+_15・盲ろう)),0)*(1+_15・区３)),0)</f>
        <v>1702</v>
      </c>
      <c r="V241" s="69"/>
    </row>
    <row r="242" spans="1:22" ht="16.5" customHeight="1" x14ac:dyDescent="0.3">
      <c r="A242" s="2">
        <v>15</v>
      </c>
      <c r="B242" s="2" t="s">
        <v>5522</v>
      </c>
      <c r="C242" s="60" t="s">
        <v>15721</v>
      </c>
      <c r="D242" s="1"/>
      <c r="E242" s="68"/>
      <c r="F242" s="70"/>
      <c r="G242" s="67"/>
      <c r="H242" s="68"/>
      <c r="I242" s="76"/>
      <c r="J242" s="83" t="s">
        <v>5895</v>
      </c>
      <c r="K242" s="64" t="s">
        <v>1</v>
      </c>
      <c r="L242" s="65">
        <v>1</v>
      </c>
      <c r="M242" s="106" t="s">
        <v>17968</v>
      </c>
      <c r="N242" s="57" t="s">
        <v>1</v>
      </c>
      <c r="O242" s="58">
        <v>0.25</v>
      </c>
      <c r="P242" s="77" t="s">
        <v>422</v>
      </c>
      <c r="Q242" s="66"/>
      <c r="R242" s="57"/>
      <c r="S242" s="58"/>
      <c r="T242" s="77"/>
      <c r="U242" s="120">
        <f>ROUND((ROUND((ROUND((ROUND((_15_同援日増１０．０*_15・通訳),0)*_15・２人),0)*(1+_15・盲ろう)),0)*(1+_15・区３)),0)</f>
        <v>1702</v>
      </c>
      <c r="V242" s="69"/>
    </row>
    <row r="243" spans="1:22" ht="16.5" customHeight="1" x14ac:dyDescent="0.3">
      <c r="A243" s="2">
        <v>15</v>
      </c>
      <c r="B243" s="2" t="s">
        <v>5523</v>
      </c>
      <c r="C243" s="60" t="s">
        <v>15720</v>
      </c>
      <c r="D243" s="1"/>
      <c r="E243" s="68"/>
      <c r="F243" s="70"/>
      <c r="G243" s="67"/>
      <c r="H243" s="68"/>
      <c r="I243" s="76"/>
      <c r="J243" s="85"/>
      <c r="K243" s="64"/>
      <c r="L243" s="65"/>
      <c r="M243" s="61"/>
      <c r="N243" s="62"/>
      <c r="O243" s="63"/>
      <c r="P243" s="75"/>
      <c r="Q243" s="74" t="s">
        <v>17971</v>
      </c>
      <c r="R243" s="62"/>
      <c r="S243" s="63"/>
      <c r="T243" s="75"/>
      <c r="U243" s="120">
        <f>ROUND((ROUND((_15_同援日増１０．０*_15・通訳),0)*(1+_15・区４)),0)</f>
        <v>1588</v>
      </c>
      <c r="V243" s="69"/>
    </row>
    <row r="244" spans="1:22" ht="16.5" customHeight="1" x14ac:dyDescent="0.3">
      <c r="A244" s="2">
        <v>15</v>
      </c>
      <c r="B244" s="2" t="s">
        <v>5524</v>
      </c>
      <c r="C244" s="60" t="s">
        <v>15719</v>
      </c>
      <c r="D244" s="1"/>
      <c r="E244" s="68"/>
      <c r="F244" s="70"/>
      <c r="G244" s="67"/>
      <c r="H244" s="68"/>
      <c r="I244" s="76"/>
      <c r="J244" s="83" t="s">
        <v>5895</v>
      </c>
      <c r="K244" s="64" t="s">
        <v>1</v>
      </c>
      <c r="L244" s="65">
        <v>1</v>
      </c>
      <c r="M244" s="66"/>
      <c r="N244" s="57"/>
      <c r="O244" s="58"/>
      <c r="P244" s="77"/>
      <c r="Q244" s="94" t="s">
        <v>17970</v>
      </c>
      <c r="R244" s="68"/>
      <c r="S244" s="76"/>
      <c r="T244" s="70"/>
      <c r="U244" s="120">
        <f>ROUND((ROUND((ROUND((_15_同援日増１０．０*_15・通訳),0)*_15・２人),0)*(1+_15・区４)),0)</f>
        <v>1588</v>
      </c>
      <c r="V244" s="69"/>
    </row>
    <row r="245" spans="1:22" ht="16.5" customHeight="1" x14ac:dyDescent="0.3">
      <c r="A245" s="2">
        <v>15</v>
      </c>
      <c r="B245" s="2" t="s">
        <v>5525</v>
      </c>
      <c r="C245" s="60" t="s">
        <v>15718</v>
      </c>
      <c r="D245" s="1"/>
      <c r="E245" s="68"/>
      <c r="F245" s="70"/>
      <c r="G245" s="67"/>
      <c r="H245" s="68"/>
      <c r="I245" s="76"/>
      <c r="J245" s="85"/>
      <c r="K245" s="64"/>
      <c r="L245" s="65"/>
      <c r="M245" s="74" t="s">
        <v>17969</v>
      </c>
      <c r="N245" s="62"/>
      <c r="O245" s="63"/>
      <c r="P245" s="75"/>
      <c r="Q245" s="67"/>
      <c r="R245" s="68" t="s">
        <v>1</v>
      </c>
      <c r="S245" s="76">
        <v>0.4</v>
      </c>
      <c r="T245" s="70" t="s">
        <v>422</v>
      </c>
      <c r="U245" s="120">
        <f>ROUND((ROUND((ROUND((_15_同援日増１０．０*_15・通訳),0)*(1+_15・盲ろう)),0)*(1+_15・区４)),0)</f>
        <v>1985</v>
      </c>
      <c r="V245" s="69"/>
    </row>
    <row r="246" spans="1:22" ht="16.5" customHeight="1" x14ac:dyDescent="0.3">
      <c r="A246" s="2">
        <v>15</v>
      </c>
      <c r="B246" s="2" t="s">
        <v>5526</v>
      </c>
      <c r="C246" s="60" t="s">
        <v>15717</v>
      </c>
      <c r="D246" s="81"/>
      <c r="E246" s="57"/>
      <c r="F246" s="77"/>
      <c r="G246" s="67"/>
      <c r="H246" s="68"/>
      <c r="I246" s="76"/>
      <c r="J246" s="83" t="s">
        <v>5895</v>
      </c>
      <c r="K246" s="64" t="s">
        <v>1</v>
      </c>
      <c r="L246" s="65">
        <v>1</v>
      </c>
      <c r="M246" s="106" t="s">
        <v>17968</v>
      </c>
      <c r="N246" s="57" t="s">
        <v>1</v>
      </c>
      <c r="O246" s="58">
        <v>0.25</v>
      </c>
      <c r="P246" s="77" t="s">
        <v>422</v>
      </c>
      <c r="Q246" s="66"/>
      <c r="R246" s="57"/>
      <c r="S246" s="58"/>
      <c r="T246" s="77"/>
      <c r="U246" s="120">
        <f>ROUND((ROUND((ROUND((ROUND((_15_同援日増１０．０*_15・通訳),0)*_15・２人),0)*(1+_15・盲ろう)),0)*(1+_15・区４)),0)</f>
        <v>1985</v>
      </c>
      <c r="V246" s="69"/>
    </row>
    <row r="247" spans="1:22" ht="16.5" customHeight="1" x14ac:dyDescent="0.3">
      <c r="A247" s="2">
        <v>15</v>
      </c>
      <c r="B247" s="2" t="s">
        <v>5527</v>
      </c>
      <c r="C247" s="60" t="s">
        <v>15716</v>
      </c>
      <c r="D247" s="233" t="s">
        <v>18396</v>
      </c>
      <c r="E247" s="235"/>
      <c r="F247" s="75"/>
      <c r="G247" s="67"/>
      <c r="H247" s="68"/>
      <c r="I247" s="76"/>
      <c r="J247" s="85"/>
      <c r="K247" s="64"/>
      <c r="L247" s="65"/>
      <c r="M247" s="61"/>
      <c r="N247" s="62"/>
      <c r="O247" s="63"/>
      <c r="P247" s="75"/>
      <c r="Q247" s="61"/>
      <c r="R247" s="62"/>
      <c r="S247" s="63"/>
      <c r="T247" s="75"/>
      <c r="U247" s="120">
        <f>ROUND((_15_同援日増１０．５*_15・通訳),0)</f>
        <v>1191</v>
      </c>
      <c r="V247" s="69"/>
    </row>
    <row r="248" spans="1:22" ht="16.5" customHeight="1" x14ac:dyDescent="0.3">
      <c r="A248" s="2">
        <v>15</v>
      </c>
      <c r="B248" s="2" t="s">
        <v>5528</v>
      </c>
      <c r="C248" s="60" t="s">
        <v>15715</v>
      </c>
      <c r="D248" s="1" t="s">
        <v>18395</v>
      </c>
      <c r="E248" s="68"/>
      <c r="F248" s="70"/>
      <c r="G248" s="67"/>
      <c r="H248" s="68"/>
      <c r="I248" s="76"/>
      <c r="J248" s="83" t="s">
        <v>5895</v>
      </c>
      <c r="K248" s="64" t="s">
        <v>1</v>
      </c>
      <c r="L248" s="65">
        <v>1</v>
      </c>
      <c r="M248" s="66"/>
      <c r="N248" s="57"/>
      <c r="O248" s="58"/>
      <c r="P248" s="77"/>
      <c r="Q248" s="67"/>
      <c r="R248" s="68"/>
      <c r="S248" s="76"/>
      <c r="T248" s="70"/>
      <c r="U248" s="120">
        <f>ROUND((ROUND((_15_同援日増１０．５*_15・通訳),0)*_15・２人),0)</f>
        <v>1191</v>
      </c>
      <c r="V248" s="69"/>
    </row>
    <row r="249" spans="1:22" ht="16.5" customHeight="1" x14ac:dyDescent="0.3">
      <c r="A249" s="2">
        <v>15</v>
      </c>
      <c r="B249" s="2" t="s">
        <v>5529</v>
      </c>
      <c r="C249" s="60" t="s">
        <v>15714</v>
      </c>
      <c r="D249" s="1" t="s">
        <v>8107</v>
      </c>
      <c r="E249" s="68"/>
      <c r="F249" s="70"/>
      <c r="G249" s="67"/>
      <c r="H249" s="68"/>
      <c r="I249" s="76"/>
      <c r="J249" s="85"/>
      <c r="K249" s="64"/>
      <c r="L249" s="65"/>
      <c r="M249" s="74" t="s">
        <v>18394</v>
      </c>
      <c r="N249" s="62"/>
      <c r="O249" s="63"/>
      <c r="P249" s="75"/>
      <c r="Q249" s="67"/>
      <c r="R249" s="68"/>
      <c r="S249" s="76"/>
      <c r="T249" s="70"/>
      <c r="U249" s="120">
        <f>ROUND((ROUND((_15_同援日増１０．５*_15・通訳),0)*(1+_15・盲ろう)),0)</f>
        <v>1489</v>
      </c>
      <c r="V249" s="69"/>
    </row>
    <row r="250" spans="1:22" ht="16.5" customHeight="1" x14ac:dyDescent="0.3">
      <c r="A250" s="2">
        <v>15</v>
      </c>
      <c r="B250" s="2" t="s">
        <v>5530</v>
      </c>
      <c r="C250" s="60" t="s">
        <v>15713</v>
      </c>
      <c r="D250" s="1"/>
      <c r="E250" s="119">
        <v>1323</v>
      </c>
      <c r="F250" s="70" t="s">
        <v>0</v>
      </c>
      <c r="G250" s="67"/>
      <c r="H250" s="68"/>
      <c r="I250" s="76"/>
      <c r="J250" s="83" t="s">
        <v>5895</v>
      </c>
      <c r="K250" s="64" t="s">
        <v>1</v>
      </c>
      <c r="L250" s="65">
        <v>1</v>
      </c>
      <c r="M250" s="106" t="s">
        <v>17968</v>
      </c>
      <c r="N250" s="57" t="s">
        <v>1</v>
      </c>
      <c r="O250" s="58">
        <v>0.25</v>
      </c>
      <c r="P250" s="77" t="s">
        <v>422</v>
      </c>
      <c r="Q250" s="66"/>
      <c r="R250" s="57"/>
      <c r="S250" s="58"/>
      <c r="T250" s="77"/>
      <c r="U250" s="120">
        <f>ROUND((ROUND((ROUND((_15_同援日増１０．５*_15・通訳),0)*_15・２人),0)*(1+_15・盲ろう)),0)</f>
        <v>1489</v>
      </c>
      <c r="V250" s="69"/>
    </row>
    <row r="251" spans="1:22" ht="16.5" customHeight="1" x14ac:dyDescent="0.3">
      <c r="A251" s="2">
        <v>15</v>
      </c>
      <c r="B251" s="2" t="s">
        <v>5531</v>
      </c>
      <c r="C251" s="60" t="s">
        <v>15712</v>
      </c>
      <c r="D251" s="1"/>
      <c r="E251" s="68"/>
      <c r="F251" s="70"/>
      <c r="G251" s="67"/>
      <c r="H251" s="68"/>
      <c r="I251" s="76"/>
      <c r="J251" s="85"/>
      <c r="K251" s="64"/>
      <c r="L251" s="65"/>
      <c r="M251" s="61"/>
      <c r="N251" s="62"/>
      <c r="O251" s="63"/>
      <c r="P251" s="75"/>
      <c r="Q251" s="74" t="s">
        <v>17974</v>
      </c>
      <c r="R251" s="62"/>
      <c r="S251" s="63"/>
      <c r="T251" s="75"/>
      <c r="U251" s="120">
        <f>ROUND((ROUND((_15_同援日増１０．５*_15・通訳),0)*(1+_15・区３)),0)</f>
        <v>1429</v>
      </c>
      <c r="V251" s="69"/>
    </row>
    <row r="252" spans="1:22" ht="16.5" customHeight="1" x14ac:dyDescent="0.3">
      <c r="A252" s="2">
        <v>15</v>
      </c>
      <c r="B252" s="2" t="s">
        <v>5532</v>
      </c>
      <c r="C252" s="60" t="s">
        <v>15711</v>
      </c>
      <c r="D252" s="1"/>
      <c r="E252" s="68"/>
      <c r="F252" s="70"/>
      <c r="G252" s="67"/>
      <c r="H252" s="68"/>
      <c r="I252" s="76"/>
      <c r="J252" s="83" t="s">
        <v>5895</v>
      </c>
      <c r="K252" s="64" t="s">
        <v>1</v>
      </c>
      <c r="L252" s="65">
        <v>1</v>
      </c>
      <c r="M252" s="66"/>
      <c r="N252" s="57"/>
      <c r="O252" s="58"/>
      <c r="P252" s="77"/>
      <c r="Q252" s="94" t="s">
        <v>17970</v>
      </c>
      <c r="R252" s="68"/>
      <c r="S252" s="76"/>
      <c r="T252" s="70"/>
      <c r="U252" s="120">
        <f>ROUND((ROUND((ROUND((_15_同援日増１０．５*_15・通訳),0)*_15・２人),0)*(1+_15・区３)),0)</f>
        <v>1429</v>
      </c>
      <c r="V252" s="69"/>
    </row>
    <row r="253" spans="1:22" ht="16.5" customHeight="1" x14ac:dyDescent="0.3">
      <c r="A253" s="2">
        <v>15</v>
      </c>
      <c r="B253" s="2" t="s">
        <v>5533</v>
      </c>
      <c r="C253" s="60" t="s">
        <v>15710</v>
      </c>
      <c r="D253" s="1"/>
      <c r="E253" s="68"/>
      <c r="F253" s="70"/>
      <c r="G253" s="67"/>
      <c r="H253" s="68"/>
      <c r="I253" s="76"/>
      <c r="J253" s="85"/>
      <c r="K253" s="64"/>
      <c r="L253" s="65"/>
      <c r="M253" s="74" t="s">
        <v>17969</v>
      </c>
      <c r="N253" s="62"/>
      <c r="O253" s="63"/>
      <c r="P253" s="75"/>
      <c r="Q253" s="67"/>
      <c r="R253" s="68" t="s">
        <v>1</v>
      </c>
      <c r="S253" s="76">
        <v>0.2</v>
      </c>
      <c r="T253" s="70" t="s">
        <v>422</v>
      </c>
      <c r="U253" s="120">
        <f>ROUND((ROUND((ROUND((_15_同援日増１０．５*_15・通訳),0)*(1+_15・盲ろう)),0)*(1+_15・区３)),0)</f>
        <v>1787</v>
      </c>
      <c r="V253" s="69"/>
    </row>
    <row r="254" spans="1:22" ht="16.5" customHeight="1" x14ac:dyDescent="0.3">
      <c r="A254" s="2">
        <v>15</v>
      </c>
      <c r="B254" s="2" t="s">
        <v>5534</v>
      </c>
      <c r="C254" s="60" t="s">
        <v>15709</v>
      </c>
      <c r="D254" s="1"/>
      <c r="E254" s="68"/>
      <c r="F254" s="70"/>
      <c r="G254" s="67"/>
      <c r="H254" s="68"/>
      <c r="I254" s="76"/>
      <c r="J254" s="83" t="s">
        <v>5895</v>
      </c>
      <c r="K254" s="64" t="s">
        <v>1</v>
      </c>
      <c r="L254" s="65">
        <v>1</v>
      </c>
      <c r="M254" s="106" t="s">
        <v>17968</v>
      </c>
      <c r="N254" s="57" t="s">
        <v>1</v>
      </c>
      <c r="O254" s="58">
        <v>0.25</v>
      </c>
      <c r="P254" s="77" t="s">
        <v>422</v>
      </c>
      <c r="Q254" s="66"/>
      <c r="R254" s="57"/>
      <c r="S254" s="58"/>
      <c r="T254" s="77"/>
      <c r="U254" s="120">
        <f>ROUND((ROUND((ROUND((ROUND((_15_同援日増１０．５*_15・通訳),0)*_15・２人),0)*(1+_15・盲ろう)),0)*(1+_15・区３)),0)</f>
        <v>1787</v>
      </c>
      <c r="V254" s="69"/>
    </row>
    <row r="255" spans="1:22" ht="16.5" customHeight="1" x14ac:dyDescent="0.3">
      <c r="A255" s="2">
        <v>15</v>
      </c>
      <c r="B255" s="2" t="s">
        <v>5535</v>
      </c>
      <c r="C255" s="60" t="s">
        <v>15708</v>
      </c>
      <c r="D255" s="1"/>
      <c r="E255" s="68"/>
      <c r="F255" s="70"/>
      <c r="G255" s="67"/>
      <c r="H255" s="68"/>
      <c r="I255" s="76"/>
      <c r="J255" s="85"/>
      <c r="K255" s="64"/>
      <c r="L255" s="65"/>
      <c r="M255" s="61"/>
      <c r="N255" s="62"/>
      <c r="O255" s="63"/>
      <c r="P255" s="75"/>
      <c r="Q255" s="74" t="s">
        <v>17971</v>
      </c>
      <c r="R255" s="62"/>
      <c r="S255" s="63"/>
      <c r="T255" s="75"/>
      <c r="U255" s="120">
        <f>ROUND((ROUND((_15_同援日増１０．５*_15・通訳),0)*(1+_15・区４)),0)</f>
        <v>1667</v>
      </c>
      <c r="V255" s="69"/>
    </row>
    <row r="256" spans="1:22" ht="16.5" customHeight="1" x14ac:dyDescent="0.3">
      <c r="A256" s="2">
        <v>15</v>
      </c>
      <c r="B256" s="2" t="s">
        <v>5536</v>
      </c>
      <c r="C256" s="60" t="s">
        <v>15707</v>
      </c>
      <c r="D256" s="1"/>
      <c r="E256" s="68"/>
      <c r="F256" s="70"/>
      <c r="G256" s="67"/>
      <c r="H256" s="68"/>
      <c r="I256" s="76"/>
      <c r="J256" s="83" t="s">
        <v>5895</v>
      </c>
      <c r="K256" s="64" t="s">
        <v>1</v>
      </c>
      <c r="L256" s="65">
        <v>1</v>
      </c>
      <c r="M256" s="66"/>
      <c r="N256" s="57"/>
      <c r="O256" s="58"/>
      <c r="P256" s="77"/>
      <c r="Q256" s="94" t="s">
        <v>17970</v>
      </c>
      <c r="R256" s="68"/>
      <c r="S256" s="76"/>
      <c r="T256" s="70"/>
      <c r="U256" s="120">
        <f>ROUND((ROUND((ROUND((_15_同援日増１０．５*_15・通訳),0)*_15・２人),0)*(1+_15・区４)),0)</f>
        <v>1667</v>
      </c>
      <c r="V256" s="69"/>
    </row>
    <row r="257" spans="1:22" ht="16.5" customHeight="1" x14ac:dyDescent="0.3">
      <c r="A257" s="2">
        <v>15</v>
      </c>
      <c r="B257" s="2" t="s">
        <v>5537</v>
      </c>
      <c r="C257" s="60" t="s">
        <v>15706</v>
      </c>
      <c r="D257" s="1"/>
      <c r="E257" s="68"/>
      <c r="F257" s="70"/>
      <c r="G257" s="67"/>
      <c r="H257" s="68"/>
      <c r="I257" s="76"/>
      <c r="J257" s="85"/>
      <c r="K257" s="64"/>
      <c r="L257" s="65"/>
      <c r="M257" s="74" t="s">
        <v>17969</v>
      </c>
      <c r="N257" s="62"/>
      <c r="O257" s="63"/>
      <c r="P257" s="75"/>
      <c r="Q257" s="67"/>
      <c r="R257" s="68" t="s">
        <v>1</v>
      </c>
      <c r="S257" s="76">
        <v>0.4</v>
      </c>
      <c r="T257" s="70" t="s">
        <v>422</v>
      </c>
      <c r="U257" s="120">
        <f>ROUND((ROUND((ROUND((_15_同援日増１０．５*_15・通訳),0)*(1+_15・盲ろう)),0)*(1+_15・区４)),0)</f>
        <v>2085</v>
      </c>
      <c r="V257" s="69"/>
    </row>
    <row r="258" spans="1:22" ht="16.5" customHeight="1" x14ac:dyDescent="0.3">
      <c r="A258" s="2">
        <v>15</v>
      </c>
      <c r="B258" s="2" t="s">
        <v>5538</v>
      </c>
      <c r="C258" s="60" t="s">
        <v>15705</v>
      </c>
      <c r="D258" s="81"/>
      <c r="E258" s="57"/>
      <c r="F258" s="77"/>
      <c r="G258" s="66"/>
      <c r="H258" s="57"/>
      <c r="I258" s="58"/>
      <c r="J258" s="83" t="s">
        <v>5895</v>
      </c>
      <c r="K258" s="64" t="s">
        <v>1</v>
      </c>
      <c r="L258" s="65">
        <v>1</v>
      </c>
      <c r="M258" s="106" t="s">
        <v>17968</v>
      </c>
      <c r="N258" s="57" t="s">
        <v>1</v>
      </c>
      <c r="O258" s="58">
        <v>0.25</v>
      </c>
      <c r="P258" s="77" t="s">
        <v>422</v>
      </c>
      <c r="Q258" s="66"/>
      <c r="R258" s="57"/>
      <c r="S258" s="58"/>
      <c r="T258" s="77"/>
      <c r="U258" s="120">
        <f>ROUND((ROUND((ROUND((ROUND((_15_同援日増１０．５*_15・通訳),0)*_15・２人),0)*(1+_15・盲ろう)),0)*(1+_15・区４)),0)</f>
        <v>2085</v>
      </c>
      <c r="V258" s="71"/>
    </row>
    <row r="259" spans="1:22" ht="16.5" customHeight="1" x14ac:dyDescent="0.3"/>
    <row r="260" spans="1:22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2" manualBreakCount="2">
    <brk id="102" max="16383" man="1"/>
    <brk id="19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0000"/>
    <pageSetUpPr fitToPage="1"/>
  </sheetPr>
  <dimension ref="A1:X181"/>
  <sheetViews>
    <sheetView topLeftCell="A93"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8.62890625" style="45" customWidth="1"/>
    <col min="5" max="5" width="4.1015625" style="46" bestFit="1" customWidth="1"/>
    <col min="6" max="6" width="4.734375" style="46" bestFit="1" customWidth="1"/>
    <col min="7" max="7" width="16.62890625" style="46" customWidth="1"/>
    <col min="8" max="8" width="3.1015625" style="46" bestFit="1" customWidth="1"/>
    <col min="9" max="9" width="4.1015625" style="47" bestFit="1" customWidth="1"/>
    <col min="10" max="10" width="26.47265625" style="46" bestFit="1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21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16297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 t="s">
        <v>5539</v>
      </c>
      <c r="C7" s="60" t="s">
        <v>16124</v>
      </c>
      <c r="D7" s="233" t="s">
        <v>18430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ROUND((ROUND((_15_同援日増０．５*_15・通訳),0)*(1+_15・A早朝)),0)</f>
        <v>71</v>
      </c>
      <c r="X7" s="52" t="s">
        <v>5863</v>
      </c>
    </row>
    <row r="8" spans="1:24" ht="16.5" customHeight="1" x14ac:dyDescent="0.3">
      <c r="A8" s="2">
        <v>15</v>
      </c>
      <c r="B8" s="2" t="s">
        <v>5540</v>
      </c>
      <c r="C8" s="60" t="s">
        <v>16123</v>
      </c>
      <c r="D8" s="1" t="s">
        <v>7928</v>
      </c>
      <c r="E8" s="68"/>
      <c r="F8" s="70"/>
      <c r="G8" s="67"/>
      <c r="H8" s="68"/>
      <c r="I8" s="76"/>
      <c r="J8" s="83" t="s">
        <v>5895</v>
      </c>
      <c r="K8" s="64" t="s">
        <v>1</v>
      </c>
      <c r="L8" s="65">
        <v>1</v>
      </c>
      <c r="M8" s="99"/>
      <c r="N8" s="70"/>
      <c r="O8" s="66"/>
      <c r="P8" s="57"/>
      <c r="Q8" s="58"/>
      <c r="R8" s="77"/>
      <c r="S8" s="67"/>
      <c r="T8" s="68"/>
      <c r="U8" s="76"/>
      <c r="V8" s="70"/>
      <c r="W8" s="120">
        <f>ROUND((ROUND((ROUND((_15_同援日増０．５*_15・通訳),0)*_15・２人),0)*(1+_15・A早朝)),0)</f>
        <v>71</v>
      </c>
      <c r="X8" s="69"/>
    </row>
    <row r="9" spans="1:24" ht="16.5" customHeight="1" x14ac:dyDescent="0.3">
      <c r="A9" s="2">
        <v>15</v>
      </c>
      <c r="B9" s="2" t="s">
        <v>5541</v>
      </c>
      <c r="C9" s="60" t="s">
        <v>16122</v>
      </c>
      <c r="D9" s="1"/>
      <c r="E9" s="68"/>
      <c r="F9" s="70"/>
      <c r="G9" s="67"/>
      <c r="H9" s="68"/>
      <c r="I9" s="76"/>
      <c r="J9" s="85"/>
      <c r="K9" s="64"/>
      <c r="L9" s="65"/>
      <c r="M9" s="99"/>
      <c r="N9" s="70"/>
      <c r="O9" s="74" t="s">
        <v>8085</v>
      </c>
      <c r="P9" s="62"/>
      <c r="Q9" s="63"/>
      <c r="R9" s="75"/>
      <c r="S9" s="67"/>
      <c r="T9" s="68"/>
      <c r="U9" s="76"/>
      <c r="V9" s="70"/>
      <c r="W9" s="120">
        <f>ROUND((ROUND((ROUND((_15_同援日増０．５*_15・通訳),0)*(1+_15・A早朝)),0)*(1+_15・盲ろう)),0)</f>
        <v>89</v>
      </c>
      <c r="X9" s="69"/>
    </row>
    <row r="10" spans="1:24" ht="16.5" customHeight="1" x14ac:dyDescent="0.3">
      <c r="A10" s="2">
        <v>15</v>
      </c>
      <c r="B10" s="2" t="s">
        <v>5542</v>
      </c>
      <c r="C10" s="60" t="s">
        <v>16121</v>
      </c>
      <c r="D10" s="1"/>
      <c r="E10" s="119">
        <v>63</v>
      </c>
      <c r="F10" s="70" t="s">
        <v>0</v>
      </c>
      <c r="G10" s="67"/>
      <c r="H10" s="68"/>
      <c r="I10" s="76"/>
      <c r="J10" s="83" t="s">
        <v>5895</v>
      </c>
      <c r="K10" s="64" t="s">
        <v>1</v>
      </c>
      <c r="L10" s="65">
        <v>1</v>
      </c>
      <c r="M10" s="99"/>
      <c r="N10" s="70"/>
      <c r="O10" s="106" t="s">
        <v>8083</v>
      </c>
      <c r="P10" s="57" t="s">
        <v>1</v>
      </c>
      <c r="Q10" s="58">
        <v>0.25</v>
      </c>
      <c r="R10" s="77" t="s">
        <v>422</v>
      </c>
      <c r="S10" s="66"/>
      <c r="T10" s="57"/>
      <c r="U10" s="58"/>
      <c r="V10" s="77"/>
      <c r="W10" s="120">
        <f>ROUND((ROUND((ROUND((ROUND((_15_同援日増０．５*_15・通訳),0)*_15・２人),0)*(1+_15・A早朝)),0)*(1+_15・盲ろう)),0)</f>
        <v>89</v>
      </c>
      <c r="X10" s="69"/>
    </row>
    <row r="11" spans="1:24" ht="16.5" customHeight="1" x14ac:dyDescent="0.3">
      <c r="A11" s="2">
        <v>15</v>
      </c>
      <c r="B11" s="2" t="s">
        <v>5543</v>
      </c>
      <c r="C11" s="60" t="s">
        <v>16120</v>
      </c>
      <c r="D11" s="1"/>
      <c r="E11" s="68"/>
      <c r="F11" s="70"/>
      <c r="G11" s="67"/>
      <c r="H11" s="68"/>
      <c r="I11" s="76"/>
      <c r="J11" s="85"/>
      <c r="K11" s="64"/>
      <c r="L11" s="65"/>
      <c r="M11" s="99"/>
      <c r="N11" s="70"/>
      <c r="O11" s="61"/>
      <c r="P11" s="62"/>
      <c r="Q11" s="63"/>
      <c r="R11" s="75"/>
      <c r="S11" s="74" t="s">
        <v>8098</v>
      </c>
      <c r="T11" s="62"/>
      <c r="U11" s="63"/>
      <c r="V11" s="75"/>
      <c r="W11" s="120">
        <f>ROUND((ROUND((ROUND((_15_同援日増０．５*_15・通訳),0)*(1+_15・A早朝)),0)*(1+_15・区３)),0)</f>
        <v>85</v>
      </c>
      <c r="X11" s="69"/>
    </row>
    <row r="12" spans="1:24" ht="16.5" customHeight="1" x14ac:dyDescent="0.3">
      <c r="A12" s="2">
        <v>15</v>
      </c>
      <c r="B12" s="2" t="s">
        <v>5544</v>
      </c>
      <c r="C12" s="60" t="s">
        <v>16119</v>
      </c>
      <c r="D12" s="1"/>
      <c r="E12" s="68"/>
      <c r="F12" s="70"/>
      <c r="G12" s="94" t="s">
        <v>13802</v>
      </c>
      <c r="H12" s="68"/>
      <c r="I12" s="76"/>
      <c r="J12" s="83" t="s">
        <v>5895</v>
      </c>
      <c r="K12" s="64" t="s">
        <v>1</v>
      </c>
      <c r="L12" s="65">
        <v>1</v>
      </c>
      <c r="M12" s="108" t="s">
        <v>7895</v>
      </c>
      <c r="N12" s="70"/>
      <c r="O12" s="66"/>
      <c r="P12" s="57"/>
      <c r="Q12" s="58"/>
      <c r="R12" s="77"/>
      <c r="S12" s="94" t="s">
        <v>8087</v>
      </c>
      <c r="T12" s="68"/>
      <c r="U12" s="76"/>
      <c r="V12" s="70"/>
      <c r="W12" s="120">
        <f>ROUND((ROUND((ROUND((ROUND((_15_同援日増０．５*_15・通訳),0)*_15・２人),0)*(1+_15・A早朝)),0)*(1+_15・区３)),0)</f>
        <v>85</v>
      </c>
      <c r="X12" s="69"/>
    </row>
    <row r="13" spans="1:24" ht="16.5" customHeight="1" x14ac:dyDescent="0.3">
      <c r="A13" s="2">
        <v>15</v>
      </c>
      <c r="B13" s="2" t="s">
        <v>5545</v>
      </c>
      <c r="C13" s="60" t="s">
        <v>16118</v>
      </c>
      <c r="D13" s="1"/>
      <c r="E13" s="68"/>
      <c r="F13" s="70"/>
      <c r="G13" s="1" t="s">
        <v>13800</v>
      </c>
      <c r="H13" s="68" t="s">
        <v>1</v>
      </c>
      <c r="I13" s="76">
        <v>0.9</v>
      </c>
      <c r="J13" s="85"/>
      <c r="K13" s="64"/>
      <c r="L13" s="65"/>
      <c r="M13" s="99"/>
      <c r="N13" s="110" t="s">
        <v>8034</v>
      </c>
      <c r="O13" s="74" t="s">
        <v>8085</v>
      </c>
      <c r="P13" s="62"/>
      <c r="Q13" s="63"/>
      <c r="R13" s="75"/>
      <c r="S13" s="67"/>
      <c r="T13" s="68" t="s">
        <v>1</v>
      </c>
      <c r="U13" s="76">
        <v>0.2</v>
      </c>
      <c r="V13" s="70" t="s">
        <v>422</v>
      </c>
      <c r="W13" s="120">
        <f>ROUND((ROUND((ROUND((ROUND((_15_同援日増０．５*_15・通訳),0)*(1+_15・A早朝)),0)*(1+_15・盲ろう)),0)*(1+_15・区３)),0)</f>
        <v>107</v>
      </c>
      <c r="X13" s="69"/>
    </row>
    <row r="14" spans="1:24" ht="16.5" customHeight="1" x14ac:dyDescent="0.3">
      <c r="A14" s="2">
        <v>15</v>
      </c>
      <c r="B14" s="2" t="s">
        <v>5546</v>
      </c>
      <c r="C14" s="60" t="s">
        <v>16117</v>
      </c>
      <c r="D14" s="1"/>
      <c r="E14" s="68"/>
      <c r="F14" s="70"/>
      <c r="G14" s="67"/>
      <c r="H14" s="68"/>
      <c r="I14" s="76"/>
      <c r="J14" s="83" t="s">
        <v>5895</v>
      </c>
      <c r="K14" s="64" t="s">
        <v>1</v>
      </c>
      <c r="L14" s="65">
        <v>1</v>
      </c>
      <c r="M14" s="99"/>
      <c r="N14" s="70"/>
      <c r="O14" s="106" t="s">
        <v>8083</v>
      </c>
      <c r="P14" s="57" t="s">
        <v>1</v>
      </c>
      <c r="Q14" s="58">
        <v>0.25</v>
      </c>
      <c r="R14" s="77" t="s">
        <v>422</v>
      </c>
      <c r="S14" s="66"/>
      <c r="T14" s="57"/>
      <c r="U14" s="58"/>
      <c r="V14" s="77"/>
      <c r="W14" s="120">
        <f>ROUND((ROUND((ROUND((ROUND((ROUND((_15_同援日増０．５*_15・通訳),0)*_15・２人),0)*(1+_15・A早朝)),0)*(1+_15・盲ろう)),0)*(1+_15・区３)),0)</f>
        <v>107</v>
      </c>
      <c r="X14" s="69"/>
    </row>
    <row r="15" spans="1:24" ht="16.5" customHeight="1" x14ac:dyDescent="0.3">
      <c r="A15" s="2">
        <v>15</v>
      </c>
      <c r="B15" s="2" t="s">
        <v>5547</v>
      </c>
      <c r="C15" s="60" t="s">
        <v>16116</v>
      </c>
      <c r="D15" s="1"/>
      <c r="E15" s="68"/>
      <c r="F15" s="70"/>
      <c r="G15" s="67"/>
      <c r="H15" s="68"/>
      <c r="I15" s="76"/>
      <c r="J15" s="85"/>
      <c r="K15" s="64"/>
      <c r="L15" s="65"/>
      <c r="M15" s="67" t="s">
        <v>1</v>
      </c>
      <c r="N15" s="93">
        <v>0.25</v>
      </c>
      <c r="O15" s="61"/>
      <c r="P15" s="62"/>
      <c r="Q15" s="63"/>
      <c r="R15" s="75"/>
      <c r="S15" s="74" t="s">
        <v>8089</v>
      </c>
      <c r="T15" s="62"/>
      <c r="U15" s="63"/>
      <c r="V15" s="75"/>
      <c r="W15" s="120">
        <f>ROUND((ROUND((ROUND((_15_同援日増０．５*_15・通訳),0)*(1+_15・A早朝)),0)*(1+_15・区４)),0)</f>
        <v>99</v>
      </c>
      <c r="X15" s="69"/>
    </row>
    <row r="16" spans="1:24" ht="16.5" customHeight="1" x14ac:dyDescent="0.3">
      <c r="A16" s="2">
        <v>15</v>
      </c>
      <c r="B16" s="2" t="s">
        <v>5548</v>
      </c>
      <c r="C16" s="60" t="s">
        <v>16115</v>
      </c>
      <c r="D16" s="1"/>
      <c r="E16" s="68"/>
      <c r="F16" s="70"/>
      <c r="G16" s="67"/>
      <c r="H16" s="68"/>
      <c r="I16" s="76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6"/>
      <c r="P16" s="57"/>
      <c r="Q16" s="58"/>
      <c r="R16" s="77"/>
      <c r="S16" s="94" t="s">
        <v>8087</v>
      </c>
      <c r="T16" s="68"/>
      <c r="U16" s="76"/>
      <c r="V16" s="70"/>
      <c r="W16" s="120">
        <f>ROUND((ROUND((ROUND((ROUND((_15_同援日増０．５*_15・通訳),0)*_15・２人),0)*(1+_15・A早朝)),0)*(1+_15・区４)),0)</f>
        <v>99</v>
      </c>
      <c r="X16" s="69"/>
    </row>
    <row r="17" spans="1:24" ht="16.5" customHeight="1" x14ac:dyDescent="0.3">
      <c r="A17" s="2">
        <v>15</v>
      </c>
      <c r="B17" s="2" t="s">
        <v>5549</v>
      </c>
      <c r="C17" s="60" t="s">
        <v>16114</v>
      </c>
      <c r="D17" s="1"/>
      <c r="E17" s="68"/>
      <c r="F17" s="70"/>
      <c r="G17" s="67"/>
      <c r="H17" s="68"/>
      <c r="I17" s="76"/>
      <c r="J17" s="85"/>
      <c r="K17" s="64"/>
      <c r="L17" s="65"/>
      <c r="M17" s="99"/>
      <c r="N17" s="70"/>
      <c r="O17" s="74" t="s">
        <v>8085</v>
      </c>
      <c r="P17" s="62"/>
      <c r="Q17" s="63"/>
      <c r="R17" s="75"/>
      <c r="S17" s="67"/>
      <c r="T17" s="68" t="s">
        <v>1</v>
      </c>
      <c r="U17" s="76">
        <v>0.4</v>
      </c>
      <c r="V17" s="70" t="s">
        <v>422</v>
      </c>
      <c r="W17" s="120">
        <f>ROUND((ROUND((ROUND((ROUND((_15_同援日増０．５*_15・通訳),0)*(1+_15・A早朝)),0)*(1+_15・盲ろう)),0)*(1+_15・区４)),0)</f>
        <v>125</v>
      </c>
      <c r="X17" s="69"/>
    </row>
    <row r="18" spans="1:24" ht="16.5" customHeight="1" x14ac:dyDescent="0.3">
      <c r="A18" s="2">
        <v>15</v>
      </c>
      <c r="B18" s="2" t="s">
        <v>5550</v>
      </c>
      <c r="C18" s="60" t="s">
        <v>16113</v>
      </c>
      <c r="D18" s="81"/>
      <c r="E18" s="57"/>
      <c r="F18" s="77"/>
      <c r="G18" s="67"/>
      <c r="H18" s="68"/>
      <c r="I18" s="76"/>
      <c r="J18" s="83" t="s">
        <v>5895</v>
      </c>
      <c r="K18" s="64" t="s">
        <v>1</v>
      </c>
      <c r="L18" s="65">
        <v>1</v>
      </c>
      <c r="M18" s="99"/>
      <c r="N18" s="70"/>
      <c r="O18" s="106" t="s">
        <v>8083</v>
      </c>
      <c r="P18" s="57" t="s">
        <v>1</v>
      </c>
      <c r="Q18" s="58">
        <v>0.25</v>
      </c>
      <c r="R18" s="77" t="s">
        <v>422</v>
      </c>
      <c r="S18" s="66"/>
      <c r="T18" s="57"/>
      <c r="U18" s="58"/>
      <c r="V18" s="77"/>
      <c r="W18" s="120">
        <f>ROUND((ROUND((ROUND((ROUND((ROUND((_15_同援日増０．５*_15・通訳),0)*_15・２人),0)*(1+_15・A早朝)),0)*(1+_15・盲ろう)),0)*(1+_15・区４)),0)</f>
        <v>125</v>
      </c>
      <c r="X18" s="69"/>
    </row>
    <row r="19" spans="1:24" ht="16.5" customHeight="1" x14ac:dyDescent="0.3">
      <c r="A19" s="2">
        <v>15</v>
      </c>
      <c r="B19" s="2" t="s">
        <v>5551</v>
      </c>
      <c r="C19" s="60" t="s">
        <v>16112</v>
      </c>
      <c r="D19" s="233" t="s">
        <v>18429</v>
      </c>
      <c r="E19" s="62"/>
      <c r="F19" s="75"/>
      <c r="G19" s="67"/>
      <c r="H19" s="68"/>
      <c r="I19" s="76"/>
      <c r="J19" s="85"/>
      <c r="K19" s="64"/>
      <c r="L19" s="65"/>
      <c r="M19" s="99"/>
      <c r="N19" s="70"/>
      <c r="O19" s="61"/>
      <c r="P19" s="62"/>
      <c r="Q19" s="63"/>
      <c r="R19" s="75"/>
      <c r="S19" s="61"/>
      <c r="T19" s="62"/>
      <c r="U19" s="63"/>
      <c r="V19" s="75"/>
      <c r="W19" s="120">
        <f>ROUND((ROUND((_15_同援日増１．０*_15・通訳),0)*(1+_15・A早朝)),0)</f>
        <v>141</v>
      </c>
      <c r="X19" s="69"/>
    </row>
    <row r="20" spans="1:24" ht="16.5" customHeight="1" x14ac:dyDescent="0.3">
      <c r="A20" s="2">
        <v>15</v>
      </c>
      <c r="B20" s="2" t="s">
        <v>5552</v>
      </c>
      <c r="C20" s="60" t="s">
        <v>16111</v>
      </c>
      <c r="D20" s="1" t="s">
        <v>5993</v>
      </c>
      <c r="E20" s="68"/>
      <c r="F20" s="70"/>
      <c r="G20" s="67"/>
      <c r="H20" s="68"/>
      <c r="I20" s="76"/>
      <c r="J20" s="83" t="s">
        <v>5895</v>
      </c>
      <c r="K20" s="64" t="s">
        <v>1</v>
      </c>
      <c r="L20" s="65">
        <v>1</v>
      </c>
      <c r="M20" s="99"/>
      <c r="N20" s="70"/>
      <c r="O20" s="66"/>
      <c r="P20" s="57"/>
      <c r="Q20" s="58"/>
      <c r="R20" s="77"/>
      <c r="S20" s="67"/>
      <c r="T20" s="68"/>
      <c r="U20" s="76"/>
      <c r="V20" s="70"/>
      <c r="W20" s="120">
        <f>ROUND((ROUND((ROUND((_15_同援日増１．０*_15・通訳),0)*_15・２人),0)*(1+_15・A早朝)),0)</f>
        <v>141</v>
      </c>
      <c r="X20" s="69"/>
    </row>
    <row r="21" spans="1:24" ht="16.5" customHeight="1" x14ac:dyDescent="0.3">
      <c r="A21" s="2">
        <v>15</v>
      </c>
      <c r="B21" s="2" t="s">
        <v>5553</v>
      </c>
      <c r="C21" s="60" t="s">
        <v>16110</v>
      </c>
      <c r="D21" s="1" t="s">
        <v>8572</v>
      </c>
      <c r="E21" s="68"/>
      <c r="F21" s="70"/>
      <c r="G21" s="67"/>
      <c r="H21" s="68"/>
      <c r="I21" s="76"/>
      <c r="J21" s="85"/>
      <c r="K21" s="64"/>
      <c r="L21" s="65"/>
      <c r="M21" s="99"/>
      <c r="N21" s="70"/>
      <c r="O21" s="74" t="s">
        <v>8085</v>
      </c>
      <c r="P21" s="62"/>
      <c r="Q21" s="63"/>
      <c r="R21" s="75"/>
      <c r="S21" s="67"/>
      <c r="T21" s="68"/>
      <c r="U21" s="76"/>
      <c r="V21" s="70"/>
      <c r="W21" s="120">
        <f>ROUND((ROUND((ROUND((_15_同援日増１．０*_15・通訳),0)*(1+_15・A早朝)),0)*(1+_15・盲ろう)),0)</f>
        <v>176</v>
      </c>
      <c r="X21" s="69"/>
    </row>
    <row r="22" spans="1:24" ht="16.5" customHeight="1" x14ac:dyDescent="0.3">
      <c r="A22" s="2">
        <v>15</v>
      </c>
      <c r="B22" s="2" t="s">
        <v>5554</v>
      </c>
      <c r="C22" s="60" t="s">
        <v>16109</v>
      </c>
      <c r="D22" s="1"/>
      <c r="E22" s="119">
        <v>126</v>
      </c>
      <c r="F22" s="70" t="s">
        <v>0</v>
      </c>
      <c r="G22" s="67"/>
      <c r="H22" s="68"/>
      <c r="I22" s="76"/>
      <c r="J22" s="83" t="s">
        <v>5895</v>
      </c>
      <c r="K22" s="64" t="s">
        <v>1</v>
      </c>
      <c r="L22" s="65">
        <v>1</v>
      </c>
      <c r="M22" s="99"/>
      <c r="N22" s="70"/>
      <c r="O22" s="106" t="s">
        <v>8083</v>
      </c>
      <c r="P22" s="57" t="s">
        <v>1</v>
      </c>
      <c r="Q22" s="58">
        <v>0.25</v>
      </c>
      <c r="R22" s="77" t="s">
        <v>422</v>
      </c>
      <c r="S22" s="66"/>
      <c r="T22" s="57"/>
      <c r="U22" s="58"/>
      <c r="V22" s="77"/>
      <c r="W22" s="120">
        <f>ROUND((ROUND((ROUND((ROUND((_15_同援日増１．０*_15・通訳),0)*_15・２人),0)*(1+_15・A早朝)),0)*(1+_15・盲ろう)),0)</f>
        <v>176</v>
      </c>
      <c r="X22" s="69"/>
    </row>
    <row r="23" spans="1:24" ht="16.5" customHeight="1" x14ac:dyDescent="0.3">
      <c r="A23" s="2">
        <v>15</v>
      </c>
      <c r="B23" s="2" t="s">
        <v>5555</v>
      </c>
      <c r="C23" s="60" t="s">
        <v>16108</v>
      </c>
      <c r="D23" s="1"/>
      <c r="E23" s="68"/>
      <c r="F23" s="70"/>
      <c r="G23" s="67"/>
      <c r="H23" s="68"/>
      <c r="I23" s="76"/>
      <c r="J23" s="85"/>
      <c r="K23" s="64"/>
      <c r="L23" s="65"/>
      <c r="M23" s="99"/>
      <c r="N23" s="70"/>
      <c r="O23" s="61"/>
      <c r="P23" s="62"/>
      <c r="Q23" s="63"/>
      <c r="R23" s="75"/>
      <c r="S23" s="74" t="s">
        <v>8098</v>
      </c>
      <c r="T23" s="62"/>
      <c r="U23" s="63"/>
      <c r="V23" s="75"/>
      <c r="W23" s="120">
        <f>ROUND((ROUND((ROUND((_15_同援日増１．０*_15・通訳),0)*(1+_15・A早朝)),0)*(1+_15・区３)),0)</f>
        <v>169</v>
      </c>
      <c r="X23" s="69"/>
    </row>
    <row r="24" spans="1:24" ht="16.5" customHeight="1" x14ac:dyDescent="0.3">
      <c r="A24" s="2">
        <v>15</v>
      </c>
      <c r="B24" s="2" t="s">
        <v>5556</v>
      </c>
      <c r="C24" s="60" t="s">
        <v>16107</v>
      </c>
      <c r="D24" s="1"/>
      <c r="E24" s="68"/>
      <c r="F24" s="70"/>
      <c r="G24" s="67"/>
      <c r="H24" s="68"/>
      <c r="I24" s="76"/>
      <c r="J24" s="83" t="s">
        <v>5895</v>
      </c>
      <c r="K24" s="64" t="s">
        <v>1</v>
      </c>
      <c r="L24" s="65">
        <v>1</v>
      </c>
      <c r="M24" s="99"/>
      <c r="N24" s="70"/>
      <c r="O24" s="66"/>
      <c r="P24" s="57"/>
      <c r="Q24" s="58"/>
      <c r="R24" s="77"/>
      <c r="S24" s="94" t="s">
        <v>8087</v>
      </c>
      <c r="T24" s="68"/>
      <c r="U24" s="76"/>
      <c r="V24" s="70"/>
      <c r="W24" s="120">
        <f>ROUND((ROUND((ROUND((ROUND((_15_同援日増１．０*_15・通訳),0)*_15・２人),0)*(1+_15・A早朝)),0)*(1+_15・区３)),0)</f>
        <v>169</v>
      </c>
      <c r="X24" s="69"/>
    </row>
    <row r="25" spans="1:24" ht="16.5" customHeight="1" x14ac:dyDescent="0.3">
      <c r="A25" s="2">
        <v>15</v>
      </c>
      <c r="B25" s="2" t="s">
        <v>5557</v>
      </c>
      <c r="C25" s="60" t="s">
        <v>16106</v>
      </c>
      <c r="D25" s="1"/>
      <c r="E25" s="68"/>
      <c r="F25" s="70"/>
      <c r="G25" s="67"/>
      <c r="H25" s="68"/>
      <c r="I25" s="76"/>
      <c r="J25" s="85"/>
      <c r="K25" s="64"/>
      <c r="L25" s="65"/>
      <c r="M25" s="99"/>
      <c r="N25" s="70"/>
      <c r="O25" s="74" t="s">
        <v>17969</v>
      </c>
      <c r="P25" s="62"/>
      <c r="Q25" s="63"/>
      <c r="R25" s="75"/>
      <c r="S25" s="67"/>
      <c r="T25" s="68" t="s">
        <v>1</v>
      </c>
      <c r="U25" s="76">
        <v>0.2</v>
      </c>
      <c r="V25" s="70" t="s">
        <v>422</v>
      </c>
      <c r="W25" s="120">
        <f>ROUND((ROUND((ROUND((ROUND((_15_同援日増１．０*_15・通訳),0)*(1+_15・A早朝)),0)*(1+_15・盲ろう)),0)*(1+_15・区３)),0)</f>
        <v>211</v>
      </c>
      <c r="X25" s="69"/>
    </row>
    <row r="26" spans="1:24" ht="16.5" customHeight="1" x14ac:dyDescent="0.3">
      <c r="A26" s="2">
        <v>15</v>
      </c>
      <c r="B26" s="2" t="s">
        <v>5558</v>
      </c>
      <c r="C26" s="60" t="s">
        <v>16105</v>
      </c>
      <c r="D26" s="1"/>
      <c r="E26" s="68"/>
      <c r="F26" s="70"/>
      <c r="G26" s="67"/>
      <c r="H26" s="68"/>
      <c r="I26" s="76"/>
      <c r="J26" s="83" t="s">
        <v>5895</v>
      </c>
      <c r="K26" s="64" t="s">
        <v>1</v>
      </c>
      <c r="L26" s="65">
        <v>1</v>
      </c>
      <c r="M26" s="99"/>
      <c r="N26" s="70"/>
      <c r="O26" s="106" t="s">
        <v>8083</v>
      </c>
      <c r="P26" s="57" t="s">
        <v>1</v>
      </c>
      <c r="Q26" s="58">
        <v>0.25</v>
      </c>
      <c r="R26" s="77" t="s">
        <v>422</v>
      </c>
      <c r="S26" s="66"/>
      <c r="T26" s="57"/>
      <c r="U26" s="58"/>
      <c r="V26" s="77"/>
      <c r="W26" s="120">
        <f>ROUND((ROUND((ROUND((ROUND((ROUND((_15_同援日増１．０*_15・通訳),0)*_15・２人),0)*(1+_15・A早朝)),0)*(1+_15・盲ろう)),0)*(1+_15・区３)),0)</f>
        <v>211</v>
      </c>
      <c r="X26" s="69"/>
    </row>
    <row r="27" spans="1:24" ht="16.5" customHeight="1" x14ac:dyDescent="0.3">
      <c r="A27" s="2">
        <v>15</v>
      </c>
      <c r="B27" s="2" t="s">
        <v>5559</v>
      </c>
      <c r="C27" s="60" t="s">
        <v>16104</v>
      </c>
      <c r="D27" s="1"/>
      <c r="E27" s="68"/>
      <c r="F27" s="70"/>
      <c r="G27" s="67"/>
      <c r="H27" s="68"/>
      <c r="I27" s="76"/>
      <c r="J27" s="85"/>
      <c r="K27" s="64"/>
      <c r="L27" s="65"/>
      <c r="M27" s="99"/>
      <c r="N27" s="70"/>
      <c r="O27" s="61"/>
      <c r="P27" s="62"/>
      <c r="Q27" s="63"/>
      <c r="R27" s="75"/>
      <c r="S27" s="74" t="s">
        <v>8089</v>
      </c>
      <c r="T27" s="62"/>
      <c r="U27" s="63"/>
      <c r="V27" s="75"/>
      <c r="W27" s="120">
        <f>ROUND((ROUND((ROUND((_15_同援日増１．０*_15・通訳),0)*(1+_15・A早朝)),0)*(1+_15・区４)),0)</f>
        <v>197</v>
      </c>
      <c r="X27" s="69"/>
    </row>
    <row r="28" spans="1:24" ht="16.5" customHeight="1" x14ac:dyDescent="0.3">
      <c r="A28" s="2">
        <v>15</v>
      </c>
      <c r="B28" s="2" t="s">
        <v>5560</v>
      </c>
      <c r="C28" s="60" t="s">
        <v>16103</v>
      </c>
      <c r="D28" s="1"/>
      <c r="E28" s="68"/>
      <c r="F28" s="70"/>
      <c r="G28" s="67"/>
      <c r="H28" s="68"/>
      <c r="I28" s="76"/>
      <c r="J28" s="83" t="s">
        <v>5895</v>
      </c>
      <c r="K28" s="64" t="s">
        <v>1</v>
      </c>
      <c r="L28" s="65">
        <v>1</v>
      </c>
      <c r="M28" s="99"/>
      <c r="N28" s="70"/>
      <c r="O28" s="66"/>
      <c r="P28" s="57"/>
      <c r="Q28" s="58"/>
      <c r="R28" s="77"/>
      <c r="S28" s="94" t="s">
        <v>8087</v>
      </c>
      <c r="T28" s="68"/>
      <c r="U28" s="76"/>
      <c r="V28" s="70"/>
      <c r="W28" s="120">
        <f>ROUND((ROUND((ROUND((ROUND((_15_同援日増１．０*_15・通訳),0)*_15・２人),0)*(1+_15・A早朝)),0)*(1+_15・区４)),0)</f>
        <v>197</v>
      </c>
      <c r="X28" s="69"/>
    </row>
    <row r="29" spans="1:24" ht="16.5" customHeight="1" x14ac:dyDescent="0.3">
      <c r="A29" s="2">
        <v>15</v>
      </c>
      <c r="B29" s="2" t="s">
        <v>5561</v>
      </c>
      <c r="C29" s="60" t="s">
        <v>16102</v>
      </c>
      <c r="D29" s="1"/>
      <c r="E29" s="68"/>
      <c r="F29" s="70"/>
      <c r="G29" s="67"/>
      <c r="H29" s="68"/>
      <c r="I29" s="76"/>
      <c r="J29" s="85"/>
      <c r="K29" s="64"/>
      <c r="L29" s="65"/>
      <c r="M29" s="99"/>
      <c r="N29" s="70"/>
      <c r="O29" s="74" t="s">
        <v>8085</v>
      </c>
      <c r="P29" s="62"/>
      <c r="Q29" s="63"/>
      <c r="R29" s="75"/>
      <c r="S29" s="67"/>
      <c r="T29" s="68" t="s">
        <v>1</v>
      </c>
      <c r="U29" s="76">
        <v>0.4</v>
      </c>
      <c r="V29" s="70" t="s">
        <v>422</v>
      </c>
      <c r="W29" s="120">
        <f>ROUND((ROUND((ROUND((ROUND((_15_同援日増１．０*_15・通訳),0)*(1+_15・A早朝)),0)*(1+_15・盲ろう)),0)*(1+_15・区４)),0)</f>
        <v>246</v>
      </c>
      <c r="X29" s="69"/>
    </row>
    <row r="30" spans="1:24" ht="16.5" customHeight="1" x14ac:dyDescent="0.3">
      <c r="A30" s="2">
        <v>15</v>
      </c>
      <c r="B30" s="2" t="s">
        <v>5562</v>
      </c>
      <c r="C30" s="60" t="s">
        <v>16101</v>
      </c>
      <c r="D30" s="81"/>
      <c r="E30" s="57"/>
      <c r="F30" s="77"/>
      <c r="G30" s="67"/>
      <c r="H30" s="68"/>
      <c r="I30" s="76"/>
      <c r="J30" s="83" t="s">
        <v>5895</v>
      </c>
      <c r="K30" s="64" t="s">
        <v>1</v>
      </c>
      <c r="L30" s="65">
        <v>1</v>
      </c>
      <c r="M30" s="99"/>
      <c r="N30" s="70"/>
      <c r="O30" s="106" t="s">
        <v>8083</v>
      </c>
      <c r="P30" s="57" t="s">
        <v>1</v>
      </c>
      <c r="Q30" s="58">
        <v>0.25</v>
      </c>
      <c r="R30" s="77" t="s">
        <v>422</v>
      </c>
      <c r="S30" s="66"/>
      <c r="T30" s="57"/>
      <c r="U30" s="58"/>
      <c r="V30" s="77"/>
      <c r="W30" s="120">
        <f>ROUND((ROUND((ROUND((ROUND((ROUND((_15_同援日増１．０*_15・通訳),0)*_15・２人),0)*(1+_15・A早朝)),0)*(1+_15・盲ろう)),0)*(1+_15・区４)),0)</f>
        <v>246</v>
      </c>
      <c r="X30" s="69"/>
    </row>
    <row r="31" spans="1:24" ht="16.5" customHeight="1" x14ac:dyDescent="0.3">
      <c r="A31" s="2">
        <v>15</v>
      </c>
      <c r="B31" s="2" t="s">
        <v>5563</v>
      </c>
      <c r="C31" s="60" t="s">
        <v>16100</v>
      </c>
      <c r="D31" s="233" t="s">
        <v>16322</v>
      </c>
      <c r="E31" s="62"/>
      <c r="F31" s="75"/>
      <c r="G31" s="67"/>
      <c r="H31" s="68"/>
      <c r="I31" s="76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120">
        <f>ROUND((ROUND((_15_同援日増１．５*_15・通訳),0)*(1+_15・A早朝)),0)</f>
        <v>213</v>
      </c>
      <c r="X31" s="69"/>
    </row>
    <row r="32" spans="1:24" ht="16.5" customHeight="1" x14ac:dyDescent="0.3">
      <c r="A32" s="2">
        <v>15</v>
      </c>
      <c r="B32" s="2" t="s">
        <v>5564</v>
      </c>
      <c r="C32" s="60" t="s">
        <v>16099</v>
      </c>
      <c r="D32" s="1" t="s">
        <v>5987</v>
      </c>
      <c r="E32" s="68"/>
      <c r="F32" s="70"/>
      <c r="G32" s="67"/>
      <c r="H32" s="68"/>
      <c r="I32" s="76"/>
      <c r="J32" s="83" t="s">
        <v>5895</v>
      </c>
      <c r="K32" s="64" t="s">
        <v>1</v>
      </c>
      <c r="L32" s="65">
        <v>1</v>
      </c>
      <c r="M32" s="99"/>
      <c r="N32" s="70"/>
      <c r="O32" s="66"/>
      <c r="P32" s="57"/>
      <c r="Q32" s="58"/>
      <c r="R32" s="77"/>
      <c r="S32" s="67"/>
      <c r="T32" s="68"/>
      <c r="U32" s="76"/>
      <c r="V32" s="70"/>
      <c r="W32" s="120">
        <f>ROUND((ROUND((ROUND((_15_同援日増１．５*_15・通訳),0)*_15・２人),0)*(1+_15・A早朝)),0)</f>
        <v>213</v>
      </c>
      <c r="X32" s="69"/>
    </row>
    <row r="33" spans="1:24" ht="16.5" customHeight="1" x14ac:dyDescent="0.3">
      <c r="A33" s="2">
        <v>15</v>
      </c>
      <c r="B33" s="2" t="s">
        <v>5565</v>
      </c>
      <c r="C33" s="60" t="s">
        <v>16098</v>
      </c>
      <c r="D33" s="1" t="s">
        <v>8767</v>
      </c>
      <c r="E33" s="68"/>
      <c r="F33" s="70"/>
      <c r="G33" s="67"/>
      <c r="H33" s="68"/>
      <c r="I33" s="76"/>
      <c r="J33" s="85"/>
      <c r="K33" s="64"/>
      <c r="L33" s="65"/>
      <c r="M33" s="99"/>
      <c r="N33" s="70"/>
      <c r="O33" s="74" t="s">
        <v>8085</v>
      </c>
      <c r="P33" s="62"/>
      <c r="Q33" s="63"/>
      <c r="R33" s="75"/>
      <c r="S33" s="67"/>
      <c r="T33" s="68"/>
      <c r="U33" s="76"/>
      <c r="V33" s="70"/>
      <c r="W33" s="120">
        <f>ROUND((ROUND((ROUND((_15_同援日増１．５*_15・通訳),0)*(1+_15・A早朝)),0)*(1+_15・盲ろう)),0)</f>
        <v>266</v>
      </c>
      <c r="X33" s="69"/>
    </row>
    <row r="34" spans="1:24" ht="16.5" customHeight="1" x14ac:dyDescent="0.3">
      <c r="A34" s="2">
        <v>15</v>
      </c>
      <c r="B34" s="2" t="s">
        <v>5566</v>
      </c>
      <c r="C34" s="60" t="s">
        <v>16097</v>
      </c>
      <c r="D34" s="1"/>
      <c r="E34" s="119">
        <v>189</v>
      </c>
      <c r="F34" s="70" t="s">
        <v>0</v>
      </c>
      <c r="G34" s="67"/>
      <c r="H34" s="68"/>
      <c r="I34" s="76"/>
      <c r="J34" s="83" t="s">
        <v>5895</v>
      </c>
      <c r="K34" s="64" t="s">
        <v>1</v>
      </c>
      <c r="L34" s="65">
        <v>1</v>
      </c>
      <c r="M34" s="99"/>
      <c r="N34" s="70"/>
      <c r="O34" s="106" t="s">
        <v>8083</v>
      </c>
      <c r="P34" s="57" t="s">
        <v>1</v>
      </c>
      <c r="Q34" s="58">
        <v>0.25</v>
      </c>
      <c r="R34" s="77" t="s">
        <v>422</v>
      </c>
      <c r="S34" s="66"/>
      <c r="T34" s="57"/>
      <c r="U34" s="58"/>
      <c r="V34" s="77"/>
      <c r="W34" s="120">
        <f>ROUND((ROUND((ROUND((ROUND((_15_同援日増１．５*_15・通訳),0)*_15・２人),0)*(1+_15・A早朝)),0)*(1+_15・盲ろう)),0)</f>
        <v>266</v>
      </c>
      <c r="X34" s="69"/>
    </row>
    <row r="35" spans="1:24" ht="16.5" customHeight="1" x14ac:dyDescent="0.3">
      <c r="A35" s="2">
        <v>15</v>
      </c>
      <c r="B35" s="2" t="s">
        <v>5567</v>
      </c>
      <c r="C35" s="60" t="s">
        <v>16096</v>
      </c>
      <c r="D35" s="1"/>
      <c r="E35" s="68"/>
      <c r="F35" s="70"/>
      <c r="G35" s="67"/>
      <c r="H35" s="68"/>
      <c r="I35" s="76"/>
      <c r="J35" s="85"/>
      <c r="K35" s="64"/>
      <c r="L35" s="65"/>
      <c r="M35" s="99"/>
      <c r="N35" s="70"/>
      <c r="O35" s="61"/>
      <c r="P35" s="62"/>
      <c r="Q35" s="63"/>
      <c r="R35" s="75"/>
      <c r="S35" s="74" t="s">
        <v>8098</v>
      </c>
      <c r="T35" s="62"/>
      <c r="U35" s="63"/>
      <c r="V35" s="75"/>
      <c r="W35" s="120">
        <f>ROUND((ROUND((ROUND((_15_同援日増１．５*_15・通訳),0)*(1+_15・A早朝)),0)*(1+_15・区３)),0)</f>
        <v>256</v>
      </c>
      <c r="X35" s="69"/>
    </row>
    <row r="36" spans="1:24" ht="16.5" customHeight="1" x14ac:dyDescent="0.3">
      <c r="A36" s="2">
        <v>15</v>
      </c>
      <c r="B36" s="2" t="s">
        <v>5568</v>
      </c>
      <c r="C36" s="60" t="s">
        <v>16095</v>
      </c>
      <c r="D36" s="1"/>
      <c r="E36" s="68"/>
      <c r="F36" s="70"/>
      <c r="G36" s="67"/>
      <c r="H36" s="68"/>
      <c r="I36" s="76"/>
      <c r="J36" s="83" t="s">
        <v>5895</v>
      </c>
      <c r="K36" s="64" t="s">
        <v>1</v>
      </c>
      <c r="L36" s="65">
        <v>1</v>
      </c>
      <c r="M36" s="99"/>
      <c r="N36" s="70"/>
      <c r="O36" s="66"/>
      <c r="P36" s="57"/>
      <c r="Q36" s="58"/>
      <c r="R36" s="77"/>
      <c r="S36" s="94" t="s">
        <v>17970</v>
      </c>
      <c r="T36" s="68"/>
      <c r="U36" s="76"/>
      <c r="V36" s="70"/>
      <c r="W36" s="120">
        <f>ROUND((ROUND((ROUND((ROUND((_15_同援日増１．５*_15・通訳),0)*_15・２人),0)*(1+_15・A早朝)),0)*(1+_15・区３)),0)</f>
        <v>256</v>
      </c>
      <c r="X36" s="69"/>
    </row>
    <row r="37" spans="1:24" ht="16.5" customHeight="1" x14ac:dyDescent="0.3">
      <c r="A37" s="2">
        <v>15</v>
      </c>
      <c r="B37" s="2" t="s">
        <v>5569</v>
      </c>
      <c r="C37" s="60" t="s">
        <v>16094</v>
      </c>
      <c r="D37" s="1"/>
      <c r="E37" s="68"/>
      <c r="F37" s="70"/>
      <c r="G37" s="67"/>
      <c r="H37" s="68"/>
      <c r="I37" s="76"/>
      <c r="J37" s="85"/>
      <c r="K37" s="64"/>
      <c r="L37" s="65"/>
      <c r="M37" s="99"/>
      <c r="N37" s="70"/>
      <c r="O37" s="74" t="s">
        <v>8085</v>
      </c>
      <c r="P37" s="62"/>
      <c r="Q37" s="63"/>
      <c r="R37" s="75"/>
      <c r="S37" s="67"/>
      <c r="T37" s="68" t="s">
        <v>1</v>
      </c>
      <c r="U37" s="76">
        <v>0.2</v>
      </c>
      <c r="V37" s="70" t="s">
        <v>422</v>
      </c>
      <c r="W37" s="120">
        <f>ROUND((ROUND((ROUND((ROUND((_15_同援日増１．５*_15・通訳),0)*(1+_15・A早朝)),0)*(1+_15・盲ろう)),0)*(1+_15・区３)),0)</f>
        <v>319</v>
      </c>
      <c r="X37" s="69"/>
    </row>
    <row r="38" spans="1:24" ht="16.5" customHeight="1" x14ac:dyDescent="0.3">
      <c r="A38" s="2">
        <v>15</v>
      </c>
      <c r="B38" s="2" t="s">
        <v>5570</v>
      </c>
      <c r="C38" s="60" t="s">
        <v>16093</v>
      </c>
      <c r="D38" s="1"/>
      <c r="E38" s="68"/>
      <c r="F38" s="70"/>
      <c r="G38" s="67"/>
      <c r="H38" s="68"/>
      <c r="I38" s="76"/>
      <c r="J38" s="83" t="s">
        <v>5895</v>
      </c>
      <c r="K38" s="64" t="s">
        <v>1</v>
      </c>
      <c r="L38" s="65">
        <v>1</v>
      </c>
      <c r="M38" s="99"/>
      <c r="N38" s="70"/>
      <c r="O38" s="106" t="s">
        <v>17968</v>
      </c>
      <c r="P38" s="57" t="s">
        <v>1</v>
      </c>
      <c r="Q38" s="58">
        <v>0.25</v>
      </c>
      <c r="R38" s="77" t="s">
        <v>422</v>
      </c>
      <c r="S38" s="66"/>
      <c r="T38" s="57"/>
      <c r="U38" s="58"/>
      <c r="V38" s="77"/>
      <c r="W38" s="120">
        <f>ROUND((ROUND((ROUND((ROUND((ROUND((_15_同援日増１．５*_15・通訳),0)*_15・２人),0)*(1+_15・A早朝)),0)*(1+_15・盲ろう)),0)*(1+_15・区３)),0)</f>
        <v>319</v>
      </c>
      <c r="X38" s="69"/>
    </row>
    <row r="39" spans="1:24" ht="16.5" customHeight="1" x14ac:dyDescent="0.3">
      <c r="A39" s="2">
        <v>15</v>
      </c>
      <c r="B39" s="2" t="s">
        <v>5571</v>
      </c>
      <c r="C39" s="60" t="s">
        <v>16092</v>
      </c>
      <c r="D39" s="1"/>
      <c r="E39" s="68"/>
      <c r="F39" s="70"/>
      <c r="G39" s="67"/>
      <c r="H39" s="68"/>
      <c r="I39" s="76"/>
      <c r="J39" s="85"/>
      <c r="K39" s="64"/>
      <c r="L39" s="65"/>
      <c r="M39" s="99"/>
      <c r="N39" s="70"/>
      <c r="O39" s="61"/>
      <c r="P39" s="62"/>
      <c r="Q39" s="63"/>
      <c r="R39" s="75"/>
      <c r="S39" s="74" t="s">
        <v>17971</v>
      </c>
      <c r="T39" s="62"/>
      <c r="U39" s="63"/>
      <c r="V39" s="75"/>
      <c r="W39" s="120">
        <f>ROUND((ROUND((ROUND((_15_同援日増１．５*_15・通訳),0)*(1+_15・A早朝)),0)*(1+_15・区４)),0)</f>
        <v>298</v>
      </c>
      <c r="X39" s="69"/>
    </row>
    <row r="40" spans="1:24" ht="16.5" customHeight="1" x14ac:dyDescent="0.3">
      <c r="A40" s="2">
        <v>15</v>
      </c>
      <c r="B40" s="2" t="s">
        <v>5572</v>
      </c>
      <c r="C40" s="60" t="s">
        <v>16091</v>
      </c>
      <c r="D40" s="1"/>
      <c r="E40" s="68"/>
      <c r="F40" s="70"/>
      <c r="G40" s="67"/>
      <c r="H40" s="68"/>
      <c r="I40" s="76"/>
      <c r="J40" s="83" t="s">
        <v>5895</v>
      </c>
      <c r="K40" s="64" t="s">
        <v>1</v>
      </c>
      <c r="L40" s="65">
        <v>1</v>
      </c>
      <c r="M40" s="99"/>
      <c r="N40" s="70"/>
      <c r="O40" s="66"/>
      <c r="P40" s="57"/>
      <c r="Q40" s="58"/>
      <c r="R40" s="77"/>
      <c r="S40" s="94" t="s">
        <v>17970</v>
      </c>
      <c r="T40" s="68"/>
      <c r="U40" s="76"/>
      <c r="V40" s="70"/>
      <c r="W40" s="120">
        <f>ROUND((ROUND((ROUND((ROUND((_15_同援日増１．５*_15・通訳),0)*_15・２人),0)*(1+_15・A早朝)),0)*(1+_15・区４)),0)</f>
        <v>298</v>
      </c>
      <c r="X40" s="69"/>
    </row>
    <row r="41" spans="1:24" ht="16.5" customHeight="1" x14ac:dyDescent="0.3">
      <c r="A41" s="2">
        <v>15</v>
      </c>
      <c r="B41" s="2" t="s">
        <v>5573</v>
      </c>
      <c r="C41" s="60" t="s">
        <v>16090</v>
      </c>
      <c r="D41" s="1"/>
      <c r="E41" s="68"/>
      <c r="F41" s="70"/>
      <c r="G41" s="67"/>
      <c r="H41" s="68"/>
      <c r="I41" s="76"/>
      <c r="J41" s="85"/>
      <c r="K41" s="64"/>
      <c r="L41" s="65"/>
      <c r="M41" s="99"/>
      <c r="N41" s="70"/>
      <c r="O41" s="74" t="s">
        <v>8085</v>
      </c>
      <c r="P41" s="62"/>
      <c r="Q41" s="63"/>
      <c r="R41" s="75"/>
      <c r="S41" s="67"/>
      <c r="T41" s="68" t="s">
        <v>1</v>
      </c>
      <c r="U41" s="76">
        <v>0.4</v>
      </c>
      <c r="V41" s="70" t="s">
        <v>422</v>
      </c>
      <c r="W41" s="120">
        <f>ROUND((ROUND((ROUND((ROUND((_15_同援日増１．５*_15・通訳),0)*(1+_15・A早朝)),0)*(1+_15・盲ろう)),0)*(1+_15・区４)),0)</f>
        <v>372</v>
      </c>
      <c r="X41" s="69"/>
    </row>
    <row r="42" spans="1:24" ht="16.5" customHeight="1" x14ac:dyDescent="0.3">
      <c r="A42" s="2">
        <v>15</v>
      </c>
      <c r="B42" s="2" t="s">
        <v>5574</v>
      </c>
      <c r="C42" s="60" t="s">
        <v>16089</v>
      </c>
      <c r="D42" s="81"/>
      <c r="E42" s="57"/>
      <c r="F42" s="77"/>
      <c r="G42" s="67"/>
      <c r="H42" s="68"/>
      <c r="I42" s="76"/>
      <c r="J42" s="83" t="s">
        <v>5895</v>
      </c>
      <c r="K42" s="64" t="s">
        <v>1</v>
      </c>
      <c r="L42" s="65">
        <v>1</v>
      </c>
      <c r="M42" s="99"/>
      <c r="N42" s="70"/>
      <c r="O42" s="106" t="s">
        <v>8083</v>
      </c>
      <c r="P42" s="57" t="s">
        <v>1</v>
      </c>
      <c r="Q42" s="58">
        <v>0.25</v>
      </c>
      <c r="R42" s="77" t="s">
        <v>422</v>
      </c>
      <c r="S42" s="66"/>
      <c r="T42" s="57"/>
      <c r="U42" s="58"/>
      <c r="V42" s="77"/>
      <c r="W42" s="120">
        <f>ROUND((ROUND((ROUND((ROUND((ROUND((_15_同援日増１．５*_15・通訳),0)*_15・２人),0)*(1+_15・A早朝)),0)*(1+_15・盲ろう)),0)*(1+_15・区４)),0)</f>
        <v>372</v>
      </c>
      <c r="X42" s="69"/>
    </row>
    <row r="43" spans="1:24" ht="16.5" customHeight="1" x14ac:dyDescent="0.3">
      <c r="A43" s="2">
        <v>15</v>
      </c>
      <c r="B43" s="2" t="s">
        <v>5575</v>
      </c>
      <c r="C43" s="60" t="s">
        <v>16088</v>
      </c>
      <c r="D43" s="233" t="s">
        <v>16323</v>
      </c>
      <c r="E43" s="62"/>
      <c r="F43" s="75"/>
      <c r="G43" s="67"/>
      <c r="H43" s="68"/>
      <c r="I43" s="76"/>
      <c r="J43" s="85"/>
      <c r="K43" s="64"/>
      <c r="L43" s="65"/>
      <c r="M43" s="99"/>
      <c r="N43" s="70"/>
      <c r="O43" s="61"/>
      <c r="P43" s="62"/>
      <c r="Q43" s="63"/>
      <c r="R43" s="75"/>
      <c r="S43" s="61"/>
      <c r="T43" s="62"/>
      <c r="U43" s="63"/>
      <c r="V43" s="75"/>
      <c r="W43" s="120">
        <f>ROUND((ROUND((_15_同援日増２．０*_15・通訳),0)*(1+_15・A早朝)),0)</f>
        <v>284</v>
      </c>
      <c r="X43" s="69"/>
    </row>
    <row r="44" spans="1:24" ht="16.5" customHeight="1" x14ac:dyDescent="0.3">
      <c r="A44" s="2">
        <v>15</v>
      </c>
      <c r="B44" s="2" t="s">
        <v>5576</v>
      </c>
      <c r="C44" s="60" t="s">
        <v>16087</v>
      </c>
      <c r="D44" s="1" t="s">
        <v>16868</v>
      </c>
      <c r="E44" s="68"/>
      <c r="F44" s="70"/>
      <c r="G44" s="67"/>
      <c r="H44" s="68"/>
      <c r="I44" s="76"/>
      <c r="J44" s="83" t="s">
        <v>5895</v>
      </c>
      <c r="K44" s="64" t="s">
        <v>1</v>
      </c>
      <c r="L44" s="65">
        <v>1</v>
      </c>
      <c r="M44" s="99"/>
      <c r="N44" s="70"/>
      <c r="O44" s="66"/>
      <c r="P44" s="57"/>
      <c r="Q44" s="58"/>
      <c r="R44" s="77"/>
      <c r="S44" s="67"/>
      <c r="T44" s="68"/>
      <c r="U44" s="76"/>
      <c r="V44" s="70"/>
      <c r="W44" s="120">
        <f>ROUND((ROUND((ROUND((_15_同援日増２．０*_15・通訳),0)*_15・２人),0)*(1+_15・A早朝)),0)</f>
        <v>284</v>
      </c>
      <c r="X44" s="69"/>
    </row>
    <row r="45" spans="1:24" ht="16.5" customHeight="1" x14ac:dyDescent="0.3">
      <c r="A45" s="2">
        <v>15</v>
      </c>
      <c r="B45" s="2" t="s">
        <v>5577</v>
      </c>
      <c r="C45" s="60" t="s">
        <v>16086</v>
      </c>
      <c r="D45" s="1" t="s">
        <v>6448</v>
      </c>
      <c r="E45" s="68"/>
      <c r="F45" s="70"/>
      <c r="G45" s="67"/>
      <c r="H45" s="68"/>
      <c r="I45" s="76"/>
      <c r="J45" s="85"/>
      <c r="K45" s="64"/>
      <c r="L45" s="65"/>
      <c r="M45" s="99"/>
      <c r="N45" s="70"/>
      <c r="O45" s="74" t="s">
        <v>8085</v>
      </c>
      <c r="P45" s="62"/>
      <c r="Q45" s="63"/>
      <c r="R45" s="75"/>
      <c r="S45" s="67"/>
      <c r="T45" s="68"/>
      <c r="U45" s="76"/>
      <c r="V45" s="70"/>
      <c r="W45" s="120">
        <f>ROUND((ROUND((ROUND((_15_同援日増２．０*_15・通訳),0)*(1+_15・A早朝)),0)*(1+_15・盲ろう)),0)</f>
        <v>355</v>
      </c>
      <c r="X45" s="69"/>
    </row>
    <row r="46" spans="1:24" ht="16.5" customHeight="1" x14ac:dyDescent="0.3">
      <c r="A46" s="2">
        <v>15</v>
      </c>
      <c r="B46" s="2" t="s">
        <v>5578</v>
      </c>
      <c r="C46" s="60" t="s">
        <v>16085</v>
      </c>
      <c r="D46" s="1"/>
      <c r="E46" s="119">
        <v>252</v>
      </c>
      <c r="F46" s="70" t="s">
        <v>0</v>
      </c>
      <c r="G46" s="67"/>
      <c r="H46" s="68"/>
      <c r="I46" s="76"/>
      <c r="J46" s="83" t="s">
        <v>5895</v>
      </c>
      <c r="K46" s="64" t="s">
        <v>1</v>
      </c>
      <c r="L46" s="65">
        <v>1</v>
      </c>
      <c r="M46" s="99"/>
      <c r="N46" s="70"/>
      <c r="O46" s="106" t="s">
        <v>8083</v>
      </c>
      <c r="P46" s="57" t="s">
        <v>1</v>
      </c>
      <c r="Q46" s="58">
        <v>0.25</v>
      </c>
      <c r="R46" s="77" t="s">
        <v>422</v>
      </c>
      <c r="S46" s="66"/>
      <c r="T46" s="57"/>
      <c r="U46" s="58"/>
      <c r="V46" s="77"/>
      <c r="W46" s="120">
        <f>ROUND((ROUND((ROUND((ROUND((_15_同援日増２．０*_15・通訳),0)*_15・２人),0)*(1+_15・A早朝)),0)*(1+_15・盲ろう)),0)</f>
        <v>355</v>
      </c>
      <c r="X46" s="69"/>
    </row>
    <row r="47" spans="1:24" ht="16.5" customHeight="1" x14ac:dyDescent="0.3">
      <c r="A47" s="2">
        <v>15</v>
      </c>
      <c r="B47" s="2" t="s">
        <v>5579</v>
      </c>
      <c r="C47" s="60" t="s">
        <v>16084</v>
      </c>
      <c r="D47" s="1"/>
      <c r="E47" s="68"/>
      <c r="F47" s="70"/>
      <c r="G47" s="67"/>
      <c r="H47" s="68"/>
      <c r="I47" s="76"/>
      <c r="J47" s="85"/>
      <c r="K47" s="64"/>
      <c r="L47" s="65"/>
      <c r="M47" s="99"/>
      <c r="N47" s="70"/>
      <c r="O47" s="61"/>
      <c r="P47" s="62"/>
      <c r="Q47" s="63"/>
      <c r="R47" s="75"/>
      <c r="S47" s="74" t="s">
        <v>8098</v>
      </c>
      <c r="T47" s="62"/>
      <c r="U47" s="63"/>
      <c r="V47" s="75"/>
      <c r="W47" s="120">
        <f>ROUND((ROUND((ROUND((_15_同援日増２．０*_15・通訳),0)*(1+_15・A早朝)),0)*(1+_15・区３)),0)</f>
        <v>341</v>
      </c>
      <c r="X47" s="69"/>
    </row>
    <row r="48" spans="1:24" ht="16.5" customHeight="1" x14ac:dyDescent="0.3">
      <c r="A48" s="2">
        <v>15</v>
      </c>
      <c r="B48" s="2" t="s">
        <v>5580</v>
      </c>
      <c r="C48" s="60" t="s">
        <v>16083</v>
      </c>
      <c r="D48" s="1"/>
      <c r="E48" s="68"/>
      <c r="F48" s="70"/>
      <c r="G48" s="67"/>
      <c r="H48" s="68"/>
      <c r="I48" s="76"/>
      <c r="J48" s="83" t="s">
        <v>5895</v>
      </c>
      <c r="K48" s="64" t="s">
        <v>1</v>
      </c>
      <c r="L48" s="65">
        <v>1</v>
      </c>
      <c r="M48" s="99"/>
      <c r="N48" s="70"/>
      <c r="O48" s="66"/>
      <c r="P48" s="57"/>
      <c r="Q48" s="58"/>
      <c r="R48" s="77"/>
      <c r="S48" s="94" t="s">
        <v>8087</v>
      </c>
      <c r="T48" s="68"/>
      <c r="U48" s="76"/>
      <c r="V48" s="70"/>
      <c r="W48" s="120">
        <f>ROUND((ROUND((ROUND((ROUND((_15_同援日増２．０*_15・通訳),0)*_15・２人),0)*(1+_15・A早朝)),0)*(1+_15・区３)),0)</f>
        <v>341</v>
      </c>
      <c r="X48" s="69"/>
    </row>
    <row r="49" spans="1:24" ht="16.5" customHeight="1" x14ac:dyDescent="0.3">
      <c r="A49" s="2">
        <v>15</v>
      </c>
      <c r="B49" s="2" t="s">
        <v>5581</v>
      </c>
      <c r="C49" s="60" t="s">
        <v>16082</v>
      </c>
      <c r="D49" s="1"/>
      <c r="E49" s="68"/>
      <c r="F49" s="70"/>
      <c r="G49" s="67"/>
      <c r="H49" s="68"/>
      <c r="I49" s="76"/>
      <c r="J49" s="85"/>
      <c r="K49" s="64"/>
      <c r="L49" s="65"/>
      <c r="M49" s="99"/>
      <c r="N49" s="70"/>
      <c r="O49" s="74" t="s">
        <v>8085</v>
      </c>
      <c r="P49" s="62"/>
      <c r="Q49" s="63"/>
      <c r="R49" s="75"/>
      <c r="S49" s="67"/>
      <c r="T49" s="68" t="s">
        <v>1</v>
      </c>
      <c r="U49" s="76">
        <v>0.2</v>
      </c>
      <c r="V49" s="70" t="s">
        <v>422</v>
      </c>
      <c r="W49" s="120">
        <f>ROUND((ROUND((ROUND((ROUND((_15_同援日増２．０*_15・通訳),0)*(1+_15・A早朝)),0)*(1+_15・盲ろう)),0)*(1+_15・区３)),0)</f>
        <v>426</v>
      </c>
      <c r="X49" s="69"/>
    </row>
    <row r="50" spans="1:24" ht="16.5" customHeight="1" x14ac:dyDescent="0.3">
      <c r="A50" s="2">
        <v>15</v>
      </c>
      <c r="B50" s="2" t="s">
        <v>5582</v>
      </c>
      <c r="C50" s="60" t="s">
        <v>16081</v>
      </c>
      <c r="D50" s="1"/>
      <c r="E50" s="68"/>
      <c r="F50" s="70"/>
      <c r="G50" s="67"/>
      <c r="H50" s="68"/>
      <c r="I50" s="76"/>
      <c r="J50" s="83" t="s">
        <v>5895</v>
      </c>
      <c r="K50" s="64" t="s">
        <v>1</v>
      </c>
      <c r="L50" s="65">
        <v>1</v>
      </c>
      <c r="M50" s="99"/>
      <c r="N50" s="70"/>
      <c r="O50" s="106" t="s">
        <v>8083</v>
      </c>
      <c r="P50" s="57" t="s">
        <v>1</v>
      </c>
      <c r="Q50" s="58">
        <v>0.25</v>
      </c>
      <c r="R50" s="77" t="s">
        <v>422</v>
      </c>
      <c r="S50" s="66"/>
      <c r="T50" s="57"/>
      <c r="U50" s="58"/>
      <c r="V50" s="77"/>
      <c r="W50" s="120">
        <f>ROUND((ROUND((ROUND((ROUND((ROUND((_15_同援日増２．０*_15・通訳),0)*_15・２人),0)*(1+_15・A早朝)),0)*(1+_15・盲ろう)),0)*(1+_15・区３)),0)</f>
        <v>426</v>
      </c>
      <c r="X50" s="69"/>
    </row>
    <row r="51" spans="1:24" ht="16.5" customHeight="1" x14ac:dyDescent="0.3">
      <c r="A51" s="2">
        <v>15</v>
      </c>
      <c r="B51" s="2" t="s">
        <v>5583</v>
      </c>
      <c r="C51" s="60" t="s">
        <v>16080</v>
      </c>
      <c r="D51" s="1"/>
      <c r="E51" s="68"/>
      <c r="F51" s="70"/>
      <c r="G51" s="67"/>
      <c r="H51" s="68"/>
      <c r="I51" s="76"/>
      <c r="J51" s="85"/>
      <c r="K51" s="64"/>
      <c r="L51" s="65"/>
      <c r="M51" s="99"/>
      <c r="N51" s="70"/>
      <c r="O51" s="61"/>
      <c r="P51" s="62"/>
      <c r="Q51" s="63"/>
      <c r="R51" s="75"/>
      <c r="S51" s="74" t="s">
        <v>17971</v>
      </c>
      <c r="T51" s="62"/>
      <c r="U51" s="63"/>
      <c r="V51" s="75"/>
      <c r="W51" s="120">
        <f>ROUND((ROUND((ROUND((_15_同援日増２．０*_15・通訳),0)*(1+_15・A早朝)),0)*(1+_15・区４)),0)</f>
        <v>398</v>
      </c>
      <c r="X51" s="69"/>
    </row>
    <row r="52" spans="1:24" ht="16.5" customHeight="1" x14ac:dyDescent="0.3">
      <c r="A52" s="2">
        <v>15</v>
      </c>
      <c r="B52" s="2" t="s">
        <v>5584</v>
      </c>
      <c r="C52" s="60" t="s">
        <v>16079</v>
      </c>
      <c r="D52" s="1"/>
      <c r="E52" s="68"/>
      <c r="F52" s="70"/>
      <c r="G52" s="67"/>
      <c r="H52" s="68"/>
      <c r="I52" s="76"/>
      <c r="J52" s="83" t="s">
        <v>5895</v>
      </c>
      <c r="K52" s="64" t="s">
        <v>1</v>
      </c>
      <c r="L52" s="65">
        <v>1</v>
      </c>
      <c r="M52" s="99"/>
      <c r="N52" s="70"/>
      <c r="O52" s="66"/>
      <c r="P52" s="57"/>
      <c r="Q52" s="58"/>
      <c r="R52" s="77"/>
      <c r="S52" s="94" t="s">
        <v>8087</v>
      </c>
      <c r="T52" s="68"/>
      <c r="U52" s="76"/>
      <c r="V52" s="70"/>
      <c r="W52" s="120">
        <f>ROUND((ROUND((ROUND((ROUND((_15_同援日増２．０*_15・通訳),0)*_15・２人),0)*(1+_15・A早朝)),0)*(1+_15・区４)),0)</f>
        <v>398</v>
      </c>
      <c r="X52" s="69"/>
    </row>
    <row r="53" spans="1:24" ht="16.5" customHeight="1" x14ac:dyDescent="0.3">
      <c r="A53" s="2">
        <v>15</v>
      </c>
      <c r="B53" s="2" t="s">
        <v>5585</v>
      </c>
      <c r="C53" s="60" t="s">
        <v>16078</v>
      </c>
      <c r="D53" s="1"/>
      <c r="E53" s="68"/>
      <c r="F53" s="70"/>
      <c r="G53" s="67"/>
      <c r="H53" s="68"/>
      <c r="I53" s="76"/>
      <c r="J53" s="85"/>
      <c r="K53" s="64"/>
      <c r="L53" s="65"/>
      <c r="M53" s="99"/>
      <c r="N53" s="70"/>
      <c r="O53" s="74" t="s">
        <v>17969</v>
      </c>
      <c r="P53" s="62"/>
      <c r="Q53" s="63"/>
      <c r="R53" s="75"/>
      <c r="S53" s="67"/>
      <c r="T53" s="68" t="s">
        <v>1</v>
      </c>
      <c r="U53" s="76">
        <v>0.4</v>
      </c>
      <c r="V53" s="70" t="s">
        <v>422</v>
      </c>
      <c r="W53" s="120">
        <f>ROUND((ROUND((ROUND((ROUND((_15_同援日増２．０*_15・通訳),0)*(1+_15・A早朝)),0)*(1+_15・盲ろう)),0)*(1+_15・区４)),0)</f>
        <v>497</v>
      </c>
      <c r="X53" s="69"/>
    </row>
    <row r="54" spans="1:24" ht="16.5" customHeight="1" x14ac:dyDescent="0.3">
      <c r="A54" s="2">
        <v>15</v>
      </c>
      <c r="B54" s="2" t="s">
        <v>5586</v>
      </c>
      <c r="C54" s="60" t="s">
        <v>16077</v>
      </c>
      <c r="D54" s="81"/>
      <c r="E54" s="57"/>
      <c r="F54" s="77"/>
      <c r="G54" s="67"/>
      <c r="H54" s="68"/>
      <c r="I54" s="76"/>
      <c r="J54" s="83" t="s">
        <v>5895</v>
      </c>
      <c r="K54" s="64" t="s">
        <v>1</v>
      </c>
      <c r="L54" s="65">
        <v>1</v>
      </c>
      <c r="M54" s="99"/>
      <c r="N54" s="70"/>
      <c r="O54" s="106" t="s">
        <v>17968</v>
      </c>
      <c r="P54" s="57" t="s">
        <v>1</v>
      </c>
      <c r="Q54" s="58">
        <v>0.25</v>
      </c>
      <c r="R54" s="77" t="s">
        <v>422</v>
      </c>
      <c r="S54" s="66"/>
      <c r="T54" s="57"/>
      <c r="U54" s="58"/>
      <c r="V54" s="77"/>
      <c r="W54" s="120">
        <f>ROUND((ROUND((ROUND((ROUND((ROUND((_15_同援日増２．０*_15・通訳),0)*_15・２人),0)*(1+_15・A早朝)),0)*(1+_15・盲ろう)),0)*(1+_15・区４)),0)</f>
        <v>497</v>
      </c>
      <c r="X54" s="69"/>
    </row>
    <row r="55" spans="1:24" ht="16.5" customHeight="1" x14ac:dyDescent="0.3">
      <c r="A55" s="2">
        <v>15</v>
      </c>
      <c r="B55" s="2" t="s">
        <v>5587</v>
      </c>
      <c r="C55" s="60" t="s">
        <v>16076</v>
      </c>
      <c r="D55" s="233" t="s">
        <v>18428</v>
      </c>
      <c r="E55" s="62"/>
      <c r="F55" s="75"/>
      <c r="G55" s="67"/>
      <c r="H55" s="68"/>
      <c r="I55" s="76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120">
        <f>ROUND((ROUND((_15_同援日増２．５*_15・通訳),0)*(1+_15・A早朝)),0)</f>
        <v>355</v>
      </c>
      <c r="X55" s="69"/>
    </row>
    <row r="56" spans="1:24" ht="16.5" customHeight="1" x14ac:dyDescent="0.3">
      <c r="A56" s="2">
        <v>15</v>
      </c>
      <c r="B56" s="2" t="s">
        <v>5588</v>
      </c>
      <c r="C56" s="60" t="s">
        <v>16075</v>
      </c>
      <c r="D56" s="1" t="s">
        <v>16865</v>
      </c>
      <c r="E56" s="68"/>
      <c r="F56" s="70"/>
      <c r="G56" s="67"/>
      <c r="H56" s="68"/>
      <c r="I56" s="76"/>
      <c r="J56" s="83" t="s">
        <v>5895</v>
      </c>
      <c r="K56" s="64" t="s">
        <v>1</v>
      </c>
      <c r="L56" s="65">
        <v>1</v>
      </c>
      <c r="M56" s="99"/>
      <c r="N56" s="70"/>
      <c r="O56" s="66"/>
      <c r="P56" s="57"/>
      <c r="Q56" s="58"/>
      <c r="R56" s="77"/>
      <c r="S56" s="67"/>
      <c r="T56" s="68"/>
      <c r="U56" s="76"/>
      <c r="V56" s="70"/>
      <c r="W56" s="120">
        <f>ROUND((ROUND((ROUND((_15_同援日増２．５*_15・通訳),0)*_15・２人),0)*(1+_15・A早朝)),0)</f>
        <v>355</v>
      </c>
      <c r="X56" s="69"/>
    </row>
    <row r="57" spans="1:24" ht="16.5" customHeight="1" x14ac:dyDescent="0.3">
      <c r="A57" s="2">
        <v>15</v>
      </c>
      <c r="B57" s="2" t="s">
        <v>5589</v>
      </c>
      <c r="C57" s="60" t="s">
        <v>16074</v>
      </c>
      <c r="D57" s="1" t="s">
        <v>8499</v>
      </c>
      <c r="E57" s="68"/>
      <c r="F57" s="70"/>
      <c r="G57" s="67"/>
      <c r="H57" s="68"/>
      <c r="I57" s="76"/>
      <c r="J57" s="85"/>
      <c r="K57" s="64"/>
      <c r="L57" s="65"/>
      <c r="M57" s="99"/>
      <c r="N57" s="70"/>
      <c r="O57" s="74" t="s">
        <v>8085</v>
      </c>
      <c r="P57" s="62"/>
      <c r="Q57" s="63"/>
      <c r="R57" s="75"/>
      <c r="S57" s="67"/>
      <c r="T57" s="68"/>
      <c r="U57" s="76"/>
      <c r="V57" s="70"/>
      <c r="W57" s="120">
        <f>ROUND((ROUND((ROUND((_15_同援日増２．５*_15・通訳),0)*(1+_15・A早朝)),0)*(1+_15・盲ろう)),0)</f>
        <v>444</v>
      </c>
      <c r="X57" s="69"/>
    </row>
    <row r="58" spans="1:24" ht="16.5" customHeight="1" x14ac:dyDescent="0.3">
      <c r="A58" s="2">
        <v>15</v>
      </c>
      <c r="B58" s="2" t="s">
        <v>5590</v>
      </c>
      <c r="C58" s="60" t="s">
        <v>16073</v>
      </c>
      <c r="D58" s="1"/>
      <c r="E58" s="119">
        <v>315</v>
      </c>
      <c r="F58" s="70" t="s">
        <v>0</v>
      </c>
      <c r="G58" s="67"/>
      <c r="H58" s="68"/>
      <c r="I58" s="76"/>
      <c r="J58" s="83" t="s">
        <v>5895</v>
      </c>
      <c r="K58" s="64" t="s">
        <v>1</v>
      </c>
      <c r="L58" s="65">
        <v>1</v>
      </c>
      <c r="M58" s="99"/>
      <c r="N58" s="70"/>
      <c r="O58" s="106" t="s">
        <v>17968</v>
      </c>
      <c r="P58" s="57" t="s">
        <v>1</v>
      </c>
      <c r="Q58" s="58">
        <v>0.25</v>
      </c>
      <c r="R58" s="77" t="s">
        <v>422</v>
      </c>
      <c r="S58" s="66"/>
      <c r="T58" s="57"/>
      <c r="U58" s="58"/>
      <c r="V58" s="77"/>
      <c r="W58" s="120">
        <f>ROUND((ROUND((ROUND((ROUND((_15_同援日増２．５*_15・通訳),0)*_15・２人),0)*(1+_15・A早朝)),0)*(1+_15・盲ろう)),0)</f>
        <v>444</v>
      </c>
      <c r="X58" s="69"/>
    </row>
    <row r="59" spans="1:24" ht="16.5" customHeight="1" x14ac:dyDescent="0.3">
      <c r="A59" s="2">
        <v>15</v>
      </c>
      <c r="B59" s="2" t="s">
        <v>5591</v>
      </c>
      <c r="C59" s="60" t="s">
        <v>16072</v>
      </c>
      <c r="D59" s="1"/>
      <c r="E59" s="68"/>
      <c r="F59" s="70"/>
      <c r="G59" s="67"/>
      <c r="H59" s="68"/>
      <c r="I59" s="76"/>
      <c r="J59" s="85"/>
      <c r="K59" s="64"/>
      <c r="L59" s="65"/>
      <c r="M59" s="99"/>
      <c r="N59" s="70"/>
      <c r="O59" s="61"/>
      <c r="P59" s="62"/>
      <c r="Q59" s="63"/>
      <c r="R59" s="75"/>
      <c r="S59" s="74" t="s">
        <v>8098</v>
      </c>
      <c r="T59" s="62"/>
      <c r="U59" s="63"/>
      <c r="V59" s="75"/>
      <c r="W59" s="120">
        <f>ROUND((ROUND((ROUND((_15_同援日増２．５*_15・通訳),0)*(1+_15・A早朝)),0)*(1+_15・区３)),0)</f>
        <v>426</v>
      </c>
      <c r="X59" s="69"/>
    </row>
    <row r="60" spans="1:24" ht="16.5" customHeight="1" x14ac:dyDescent="0.3">
      <c r="A60" s="2">
        <v>15</v>
      </c>
      <c r="B60" s="2" t="s">
        <v>5592</v>
      </c>
      <c r="C60" s="60" t="s">
        <v>16071</v>
      </c>
      <c r="D60" s="1"/>
      <c r="E60" s="68"/>
      <c r="F60" s="70"/>
      <c r="G60" s="67"/>
      <c r="H60" s="68"/>
      <c r="I60" s="76"/>
      <c r="J60" s="83" t="s">
        <v>5895</v>
      </c>
      <c r="K60" s="64" t="s">
        <v>1</v>
      </c>
      <c r="L60" s="65">
        <v>1</v>
      </c>
      <c r="M60" s="99"/>
      <c r="N60" s="70"/>
      <c r="O60" s="66"/>
      <c r="P60" s="57"/>
      <c r="Q60" s="58"/>
      <c r="R60" s="77"/>
      <c r="S60" s="94" t="s">
        <v>8087</v>
      </c>
      <c r="T60" s="68"/>
      <c r="U60" s="76"/>
      <c r="V60" s="70"/>
      <c r="W60" s="120">
        <f>ROUND((ROUND((ROUND((ROUND((_15_同援日増２．５*_15・通訳),0)*_15・２人),0)*(1+_15・A早朝)),0)*(1+_15・区３)),0)</f>
        <v>426</v>
      </c>
      <c r="X60" s="69"/>
    </row>
    <row r="61" spans="1:24" ht="16.5" customHeight="1" x14ac:dyDescent="0.3">
      <c r="A61" s="2">
        <v>15</v>
      </c>
      <c r="B61" s="2" t="s">
        <v>5593</v>
      </c>
      <c r="C61" s="60" t="s">
        <v>16070</v>
      </c>
      <c r="D61" s="1"/>
      <c r="E61" s="68"/>
      <c r="F61" s="70"/>
      <c r="G61" s="67"/>
      <c r="H61" s="68"/>
      <c r="I61" s="76"/>
      <c r="J61" s="85"/>
      <c r="K61" s="64"/>
      <c r="L61" s="65"/>
      <c r="M61" s="99"/>
      <c r="N61" s="70"/>
      <c r="O61" s="74" t="s">
        <v>17969</v>
      </c>
      <c r="P61" s="62"/>
      <c r="Q61" s="63"/>
      <c r="R61" s="75"/>
      <c r="S61" s="67"/>
      <c r="T61" s="68" t="s">
        <v>1</v>
      </c>
      <c r="U61" s="76">
        <v>0.2</v>
      </c>
      <c r="V61" s="70" t="s">
        <v>422</v>
      </c>
      <c r="W61" s="120">
        <f>ROUND((ROUND((ROUND((ROUND((_15_同援日増２．５*_15・通訳),0)*(1+_15・A早朝)),0)*(1+_15・盲ろう)),0)*(1+_15・区３)),0)</f>
        <v>533</v>
      </c>
      <c r="X61" s="69"/>
    </row>
    <row r="62" spans="1:24" ht="16.5" customHeight="1" x14ac:dyDescent="0.3">
      <c r="A62" s="2">
        <v>15</v>
      </c>
      <c r="B62" s="2" t="s">
        <v>5594</v>
      </c>
      <c r="C62" s="60" t="s">
        <v>16069</v>
      </c>
      <c r="D62" s="1"/>
      <c r="E62" s="68"/>
      <c r="F62" s="70"/>
      <c r="G62" s="67"/>
      <c r="H62" s="68"/>
      <c r="I62" s="76"/>
      <c r="J62" s="83" t="s">
        <v>5895</v>
      </c>
      <c r="K62" s="64" t="s">
        <v>1</v>
      </c>
      <c r="L62" s="65">
        <v>1</v>
      </c>
      <c r="M62" s="99"/>
      <c r="N62" s="70"/>
      <c r="O62" s="106" t="s">
        <v>18417</v>
      </c>
      <c r="P62" s="57" t="s">
        <v>1</v>
      </c>
      <c r="Q62" s="58">
        <v>0.25</v>
      </c>
      <c r="R62" s="77" t="s">
        <v>422</v>
      </c>
      <c r="S62" s="66"/>
      <c r="T62" s="57"/>
      <c r="U62" s="58"/>
      <c r="V62" s="77"/>
      <c r="W62" s="120">
        <f>ROUND((ROUND((ROUND((ROUND((ROUND((_15_同援日増２．５*_15・通訳),0)*_15・２人),0)*(1+_15・A早朝)),0)*(1+_15・盲ろう)),0)*(1+_15・区３)),0)</f>
        <v>533</v>
      </c>
      <c r="X62" s="69"/>
    </row>
    <row r="63" spans="1:24" ht="16.5" customHeight="1" x14ac:dyDescent="0.3">
      <c r="A63" s="2">
        <v>15</v>
      </c>
      <c r="B63" s="2" t="s">
        <v>5595</v>
      </c>
      <c r="C63" s="60" t="s">
        <v>16068</v>
      </c>
      <c r="D63" s="1"/>
      <c r="E63" s="68"/>
      <c r="F63" s="70"/>
      <c r="G63" s="67"/>
      <c r="H63" s="68"/>
      <c r="I63" s="76"/>
      <c r="J63" s="85"/>
      <c r="K63" s="64"/>
      <c r="L63" s="65"/>
      <c r="M63" s="99"/>
      <c r="N63" s="70"/>
      <c r="O63" s="61"/>
      <c r="P63" s="62"/>
      <c r="Q63" s="63"/>
      <c r="R63" s="75"/>
      <c r="S63" s="74" t="s">
        <v>8089</v>
      </c>
      <c r="T63" s="62"/>
      <c r="U63" s="63"/>
      <c r="V63" s="75"/>
      <c r="W63" s="120">
        <f>ROUND((ROUND((ROUND((_15_同援日増２．５*_15・通訳),0)*(1+_15・A早朝)),0)*(1+_15・区４)),0)</f>
        <v>497</v>
      </c>
      <c r="X63" s="69"/>
    </row>
    <row r="64" spans="1:24" ht="16.5" customHeight="1" x14ac:dyDescent="0.3">
      <c r="A64" s="2">
        <v>15</v>
      </c>
      <c r="B64" s="2" t="s">
        <v>5596</v>
      </c>
      <c r="C64" s="60" t="s">
        <v>16067</v>
      </c>
      <c r="D64" s="1"/>
      <c r="E64" s="68"/>
      <c r="F64" s="70"/>
      <c r="G64" s="67"/>
      <c r="H64" s="68"/>
      <c r="I64" s="76"/>
      <c r="J64" s="83" t="s">
        <v>5895</v>
      </c>
      <c r="K64" s="64" t="s">
        <v>1</v>
      </c>
      <c r="L64" s="65">
        <v>1</v>
      </c>
      <c r="M64" s="99"/>
      <c r="N64" s="70"/>
      <c r="O64" s="66"/>
      <c r="P64" s="57"/>
      <c r="Q64" s="58"/>
      <c r="R64" s="77"/>
      <c r="S64" s="94" t="s">
        <v>18418</v>
      </c>
      <c r="T64" s="68"/>
      <c r="U64" s="76"/>
      <c r="V64" s="70"/>
      <c r="W64" s="120">
        <f>ROUND((ROUND((ROUND((ROUND((_15_同援日増２．５*_15・通訳),0)*_15・２人),0)*(1+_15・A早朝)),0)*(1+_15・区４)),0)</f>
        <v>497</v>
      </c>
      <c r="X64" s="69"/>
    </row>
    <row r="65" spans="1:24" ht="16.5" customHeight="1" x14ac:dyDescent="0.3">
      <c r="A65" s="2">
        <v>15</v>
      </c>
      <c r="B65" s="2" t="s">
        <v>5597</v>
      </c>
      <c r="C65" s="60" t="s">
        <v>16066</v>
      </c>
      <c r="D65" s="1"/>
      <c r="E65" s="68"/>
      <c r="F65" s="70"/>
      <c r="G65" s="67"/>
      <c r="H65" s="68"/>
      <c r="I65" s="76"/>
      <c r="J65" s="85"/>
      <c r="K65" s="64"/>
      <c r="L65" s="65"/>
      <c r="M65" s="99"/>
      <c r="N65" s="70"/>
      <c r="O65" s="74" t="s">
        <v>17969</v>
      </c>
      <c r="P65" s="62"/>
      <c r="Q65" s="63"/>
      <c r="R65" s="75"/>
      <c r="S65" s="67"/>
      <c r="T65" s="68" t="s">
        <v>1</v>
      </c>
      <c r="U65" s="76">
        <v>0.4</v>
      </c>
      <c r="V65" s="70" t="s">
        <v>422</v>
      </c>
      <c r="W65" s="120">
        <f>ROUND((ROUND((ROUND((ROUND((_15_同援日増２．５*_15・通訳),0)*(1+_15・A早朝)),0)*(1+_15・盲ろう)),0)*(1+_15・区４)),0)</f>
        <v>622</v>
      </c>
      <c r="X65" s="69"/>
    </row>
    <row r="66" spans="1:24" ht="16.5" customHeight="1" x14ac:dyDescent="0.3">
      <c r="A66" s="2">
        <v>15</v>
      </c>
      <c r="B66" s="2" t="s">
        <v>5598</v>
      </c>
      <c r="C66" s="60" t="s">
        <v>16065</v>
      </c>
      <c r="D66" s="81"/>
      <c r="E66" s="57"/>
      <c r="F66" s="77"/>
      <c r="G66" s="66"/>
      <c r="H66" s="57"/>
      <c r="I66" s="58"/>
      <c r="J66" s="83" t="s">
        <v>5895</v>
      </c>
      <c r="K66" s="64" t="s">
        <v>1</v>
      </c>
      <c r="L66" s="65">
        <v>1</v>
      </c>
      <c r="M66" s="101"/>
      <c r="N66" s="77"/>
      <c r="O66" s="106" t="s">
        <v>8083</v>
      </c>
      <c r="P66" s="57" t="s">
        <v>1</v>
      </c>
      <c r="Q66" s="58">
        <v>0.25</v>
      </c>
      <c r="R66" s="77" t="s">
        <v>422</v>
      </c>
      <c r="S66" s="66"/>
      <c r="T66" s="57"/>
      <c r="U66" s="58"/>
      <c r="V66" s="77"/>
      <c r="W66" s="120">
        <f>ROUND((ROUND((ROUND((ROUND((ROUND((_15_同援日増２．５*_15・通訳),0)*_15・２人),0)*(1+_15・A早朝)),0)*(1+_15・盲ろう)),0)*(1+_15・区４)),0)</f>
        <v>622</v>
      </c>
      <c r="X66" s="71"/>
    </row>
    <row r="67" spans="1:24" ht="16.5" customHeight="1" x14ac:dyDescent="0.3"/>
    <row r="68" spans="1:24" ht="16.5" customHeight="1" x14ac:dyDescent="0.3"/>
    <row r="69" spans="1:24" ht="16.5" customHeight="1" x14ac:dyDescent="0.3">
      <c r="B69" s="229" t="s">
        <v>18427</v>
      </c>
      <c r="C69" s="131"/>
      <c r="D69" s="72"/>
    </row>
    <row r="70" spans="1:24" ht="16.5" customHeight="1" x14ac:dyDescent="0.3">
      <c r="A70" s="50" t="s">
        <v>5864</v>
      </c>
      <c r="B70" s="51"/>
      <c r="C70" s="52" t="s">
        <v>5867</v>
      </c>
      <c r="D70" s="79" t="s">
        <v>5868</v>
      </c>
      <c r="E70" s="53"/>
      <c r="F70" s="53"/>
      <c r="G70" s="53"/>
      <c r="H70" s="53"/>
      <c r="I70" s="54"/>
      <c r="J70" s="53"/>
      <c r="K70" s="53"/>
      <c r="L70" s="54"/>
      <c r="M70" s="54"/>
      <c r="N70" s="53"/>
      <c r="O70" s="53"/>
      <c r="P70" s="53"/>
      <c r="Q70" s="54"/>
      <c r="R70" s="53"/>
      <c r="S70" s="53"/>
      <c r="T70" s="53"/>
      <c r="U70" s="54"/>
      <c r="V70" s="53"/>
      <c r="W70" s="55" t="s">
        <v>5869</v>
      </c>
      <c r="X70" s="55" t="s">
        <v>5871</v>
      </c>
    </row>
    <row r="71" spans="1:24" ht="16.5" customHeight="1" x14ac:dyDescent="0.3">
      <c r="A71" s="2" t="s">
        <v>5865</v>
      </c>
      <c r="B71" s="2" t="s">
        <v>5866</v>
      </c>
      <c r="C71" s="56"/>
      <c r="D71" s="73"/>
      <c r="E71" s="57"/>
      <c r="F71" s="57"/>
      <c r="G71" s="57"/>
      <c r="H71" s="57"/>
      <c r="I71" s="58"/>
      <c r="J71" s="57"/>
      <c r="K71" s="57"/>
      <c r="L71" s="58"/>
      <c r="M71" s="58"/>
      <c r="N71" s="57"/>
      <c r="O71" s="57"/>
      <c r="P71" s="57"/>
      <c r="Q71" s="58"/>
      <c r="R71" s="57"/>
      <c r="S71" s="57"/>
      <c r="T71" s="57"/>
      <c r="U71" s="58"/>
      <c r="V71" s="57"/>
      <c r="W71" s="59" t="s">
        <v>5870</v>
      </c>
      <c r="X71" s="59" t="s">
        <v>0</v>
      </c>
    </row>
    <row r="72" spans="1:24" ht="16.5" customHeight="1" x14ac:dyDescent="0.3">
      <c r="A72" s="2">
        <v>15</v>
      </c>
      <c r="B72" s="2" t="s">
        <v>5599</v>
      </c>
      <c r="C72" s="60" t="s">
        <v>16064</v>
      </c>
      <c r="D72" s="233" t="s">
        <v>18196</v>
      </c>
      <c r="E72" s="62"/>
      <c r="F72" s="75"/>
      <c r="G72" s="61"/>
      <c r="H72" s="62"/>
      <c r="I72" s="63"/>
      <c r="J72" s="85"/>
      <c r="K72" s="64"/>
      <c r="L72" s="65"/>
      <c r="M72" s="98"/>
      <c r="N72" s="75"/>
      <c r="O72" s="61"/>
      <c r="P72" s="62"/>
      <c r="Q72" s="63"/>
      <c r="R72" s="75"/>
      <c r="S72" s="61"/>
      <c r="T72" s="62"/>
      <c r="U72" s="63"/>
      <c r="V72" s="75"/>
      <c r="W72" s="120">
        <f>ROUND((ROUND((_15_同援日増０．５*_15・通訳),0)*(1+_15・A夜間)),0)</f>
        <v>71</v>
      </c>
      <c r="X72" s="52" t="s">
        <v>5863</v>
      </c>
    </row>
    <row r="73" spans="1:24" ht="16.5" customHeight="1" x14ac:dyDescent="0.3">
      <c r="A73" s="2">
        <v>15</v>
      </c>
      <c r="B73" s="2" t="s">
        <v>5600</v>
      </c>
      <c r="C73" s="60" t="s">
        <v>16063</v>
      </c>
      <c r="D73" s="1" t="s">
        <v>7928</v>
      </c>
      <c r="E73" s="68"/>
      <c r="F73" s="70"/>
      <c r="G73" s="67"/>
      <c r="H73" s="68"/>
      <c r="I73" s="76"/>
      <c r="J73" s="83" t="s">
        <v>5895</v>
      </c>
      <c r="K73" s="64" t="s">
        <v>1</v>
      </c>
      <c r="L73" s="65">
        <v>1</v>
      </c>
      <c r="M73" s="99"/>
      <c r="N73" s="70"/>
      <c r="O73" s="66"/>
      <c r="P73" s="57"/>
      <c r="Q73" s="58"/>
      <c r="R73" s="77"/>
      <c r="S73" s="67"/>
      <c r="T73" s="68"/>
      <c r="U73" s="76"/>
      <c r="V73" s="70"/>
      <c r="W73" s="120">
        <f>ROUND((ROUND((ROUND((_15_同援日増０．５*_15・通訳),0)*_15・２人),0)*(1+_15・A夜間)),0)</f>
        <v>71</v>
      </c>
      <c r="X73" s="69"/>
    </row>
    <row r="74" spans="1:24" ht="16.5" customHeight="1" x14ac:dyDescent="0.3">
      <c r="A74" s="2">
        <v>15</v>
      </c>
      <c r="B74" s="2" t="s">
        <v>5601</v>
      </c>
      <c r="C74" s="60" t="s">
        <v>16062</v>
      </c>
      <c r="D74" s="1"/>
      <c r="E74" s="68"/>
      <c r="F74" s="70"/>
      <c r="G74" s="67"/>
      <c r="H74" s="68"/>
      <c r="I74" s="76"/>
      <c r="J74" s="85"/>
      <c r="K74" s="64"/>
      <c r="L74" s="65"/>
      <c r="M74" s="99"/>
      <c r="N74" s="70"/>
      <c r="O74" s="74" t="s">
        <v>17969</v>
      </c>
      <c r="P74" s="62"/>
      <c r="Q74" s="63"/>
      <c r="R74" s="75"/>
      <c r="S74" s="67"/>
      <c r="T74" s="68"/>
      <c r="U74" s="76"/>
      <c r="V74" s="70"/>
      <c r="W74" s="120">
        <f>ROUND((ROUND((ROUND((_15_同援日増０．５*_15・通訳),0)*(1+_15・A夜間)),0)*(1+_15・盲ろう)),0)</f>
        <v>89</v>
      </c>
      <c r="X74" s="69"/>
    </row>
    <row r="75" spans="1:24" ht="16.5" customHeight="1" x14ac:dyDescent="0.3">
      <c r="A75" s="2">
        <v>15</v>
      </c>
      <c r="B75" s="2" t="s">
        <v>5602</v>
      </c>
      <c r="C75" s="60" t="s">
        <v>16061</v>
      </c>
      <c r="D75" s="1"/>
      <c r="E75" s="119">
        <v>63</v>
      </c>
      <c r="F75" s="70" t="s">
        <v>0</v>
      </c>
      <c r="G75" s="67"/>
      <c r="H75" s="68"/>
      <c r="I75" s="76"/>
      <c r="J75" s="83" t="s">
        <v>5895</v>
      </c>
      <c r="K75" s="64" t="s">
        <v>1</v>
      </c>
      <c r="L75" s="65">
        <v>1</v>
      </c>
      <c r="M75" s="99"/>
      <c r="N75" s="70"/>
      <c r="O75" s="106" t="s">
        <v>17968</v>
      </c>
      <c r="P75" s="57" t="s">
        <v>1</v>
      </c>
      <c r="Q75" s="58">
        <v>0.25</v>
      </c>
      <c r="R75" s="77" t="s">
        <v>422</v>
      </c>
      <c r="S75" s="66"/>
      <c r="T75" s="57"/>
      <c r="U75" s="58"/>
      <c r="V75" s="77"/>
      <c r="W75" s="120">
        <f>ROUND((ROUND((ROUND((ROUND((_15_同援日増０．５*_15・通訳),0)*_15・２人),0)*(1+_15・A夜間)),0)*(1+_15・盲ろう)),0)</f>
        <v>89</v>
      </c>
      <c r="X75" s="69"/>
    </row>
    <row r="76" spans="1:24" ht="16.5" customHeight="1" x14ac:dyDescent="0.3">
      <c r="A76" s="2">
        <v>15</v>
      </c>
      <c r="B76" s="2" t="s">
        <v>5603</v>
      </c>
      <c r="C76" s="60" t="s">
        <v>16060</v>
      </c>
      <c r="D76" s="1"/>
      <c r="E76" s="68"/>
      <c r="F76" s="70"/>
      <c r="G76" s="67"/>
      <c r="H76" s="68"/>
      <c r="I76" s="76"/>
      <c r="J76" s="85"/>
      <c r="K76" s="64"/>
      <c r="L76" s="65"/>
      <c r="M76" s="99"/>
      <c r="N76" s="70"/>
      <c r="O76" s="61"/>
      <c r="P76" s="62"/>
      <c r="Q76" s="63"/>
      <c r="R76" s="75"/>
      <c r="S76" s="74" t="s">
        <v>17974</v>
      </c>
      <c r="T76" s="62"/>
      <c r="U76" s="63"/>
      <c r="V76" s="75"/>
      <c r="W76" s="120">
        <f>ROUND((ROUND((ROUND((_15_同援日増０．５*_15・通訳),0)*(1+_15・A夜間)),0)*(1+_15・区３)),0)</f>
        <v>85</v>
      </c>
      <c r="X76" s="69"/>
    </row>
    <row r="77" spans="1:24" ht="16.5" customHeight="1" x14ac:dyDescent="0.3">
      <c r="A77" s="2">
        <v>15</v>
      </c>
      <c r="B77" s="2" t="s">
        <v>5604</v>
      </c>
      <c r="C77" s="60" t="s">
        <v>16059</v>
      </c>
      <c r="D77" s="1"/>
      <c r="E77" s="68"/>
      <c r="F77" s="70"/>
      <c r="G77" s="1" t="s">
        <v>13802</v>
      </c>
      <c r="H77" s="68"/>
      <c r="I77" s="76"/>
      <c r="J77" s="83" t="s">
        <v>5895</v>
      </c>
      <c r="K77" s="64" t="s">
        <v>1</v>
      </c>
      <c r="L77" s="65">
        <v>1</v>
      </c>
      <c r="M77" s="108" t="s">
        <v>7743</v>
      </c>
      <c r="N77" s="70"/>
      <c r="O77" s="66"/>
      <c r="P77" s="57"/>
      <c r="Q77" s="58"/>
      <c r="R77" s="77"/>
      <c r="S77" s="94" t="s">
        <v>17970</v>
      </c>
      <c r="T77" s="68"/>
      <c r="U77" s="76"/>
      <c r="V77" s="70"/>
      <c r="W77" s="120">
        <f>ROUND((ROUND((ROUND((ROUND((_15_同援日増０．５*_15・通訳),0)*_15・２人),0)*(1+_15・A夜間)),0)*(1+_15・区３)),0)</f>
        <v>85</v>
      </c>
      <c r="X77" s="69"/>
    </row>
    <row r="78" spans="1:24" ht="16.5" customHeight="1" x14ac:dyDescent="0.3">
      <c r="A78" s="2">
        <v>15</v>
      </c>
      <c r="B78" s="2" t="s">
        <v>5605</v>
      </c>
      <c r="C78" s="60" t="s">
        <v>16058</v>
      </c>
      <c r="D78" s="1"/>
      <c r="E78" s="68"/>
      <c r="F78" s="70"/>
      <c r="G78" s="94" t="s">
        <v>13800</v>
      </c>
      <c r="H78" s="68" t="s">
        <v>1</v>
      </c>
      <c r="I78" s="76">
        <v>0.9</v>
      </c>
      <c r="J78" s="85"/>
      <c r="K78" s="64"/>
      <c r="L78" s="65"/>
      <c r="M78" s="99"/>
      <c r="N78" s="110" t="s">
        <v>8034</v>
      </c>
      <c r="O78" s="74" t="s">
        <v>17969</v>
      </c>
      <c r="P78" s="62"/>
      <c r="Q78" s="63"/>
      <c r="R78" s="75"/>
      <c r="S78" s="67"/>
      <c r="T78" s="68" t="s">
        <v>1</v>
      </c>
      <c r="U78" s="76">
        <v>0.2</v>
      </c>
      <c r="V78" s="70" t="s">
        <v>422</v>
      </c>
      <c r="W78" s="120">
        <f>ROUND((ROUND((ROUND((ROUND((_15_同援日増０．５*_15・通訳),0)*(1+_15・A夜間)),0)*(1+_15・盲ろう)),0)*(1+_15・区３)),0)</f>
        <v>107</v>
      </c>
      <c r="X78" s="69"/>
    </row>
    <row r="79" spans="1:24" ht="16.5" customHeight="1" x14ac:dyDescent="0.3">
      <c r="A79" s="2">
        <v>15</v>
      </c>
      <c r="B79" s="2" t="s">
        <v>5606</v>
      </c>
      <c r="C79" s="60" t="s">
        <v>16057</v>
      </c>
      <c r="D79" s="1"/>
      <c r="E79" s="68"/>
      <c r="F79" s="70"/>
      <c r="G79" s="67"/>
      <c r="H79" s="68"/>
      <c r="I79" s="76"/>
      <c r="J79" s="83" t="s">
        <v>5895</v>
      </c>
      <c r="K79" s="64" t="s">
        <v>1</v>
      </c>
      <c r="L79" s="65">
        <v>1</v>
      </c>
      <c r="M79" s="99"/>
      <c r="N79" s="70"/>
      <c r="O79" s="106" t="s">
        <v>17968</v>
      </c>
      <c r="P79" s="57" t="s">
        <v>1</v>
      </c>
      <c r="Q79" s="58">
        <v>0.25</v>
      </c>
      <c r="R79" s="77" t="s">
        <v>422</v>
      </c>
      <c r="S79" s="66"/>
      <c r="T79" s="57"/>
      <c r="U79" s="58"/>
      <c r="V79" s="77"/>
      <c r="W79" s="120">
        <f>ROUND((ROUND((ROUND((ROUND((ROUND((_15_同援日増０．５*_15・通訳),0)*_15・２人),0)*(1+_15・A夜間)),0)*(1+_15・盲ろう)),0)*(1+_15・区３)),0)</f>
        <v>107</v>
      </c>
      <c r="X79" s="69"/>
    </row>
    <row r="80" spans="1:24" ht="16.5" customHeight="1" x14ac:dyDescent="0.3">
      <c r="A80" s="2">
        <v>15</v>
      </c>
      <c r="B80" s="2" t="s">
        <v>5607</v>
      </c>
      <c r="C80" s="60" t="s">
        <v>16056</v>
      </c>
      <c r="D80" s="1"/>
      <c r="E80" s="68"/>
      <c r="F80" s="70"/>
      <c r="G80" s="67"/>
      <c r="H80" s="68"/>
      <c r="I80" s="76"/>
      <c r="J80" s="85"/>
      <c r="K80" s="64"/>
      <c r="L80" s="65"/>
      <c r="M80" s="67" t="s">
        <v>1</v>
      </c>
      <c r="N80" s="93">
        <v>0.25</v>
      </c>
      <c r="O80" s="61"/>
      <c r="P80" s="62"/>
      <c r="Q80" s="63"/>
      <c r="R80" s="75"/>
      <c r="S80" s="74" t="s">
        <v>17971</v>
      </c>
      <c r="T80" s="62"/>
      <c r="U80" s="63"/>
      <c r="V80" s="75"/>
      <c r="W80" s="120">
        <f>ROUND((ROUND((ROUND((_15_同援日増０．５*_15・通訳),0)*(1+_15・A夜間)),0)*(1+_15・区４)),0)</f>
        <v>99</v>
      </c>
      <c r="X80" s="69"/>
    </row>
    <row r="81" spans="1:24" ht="16.5" customHeight="1" x14ac:dyDescent="0.3">
      <c r="A81" s="2">
        <v>15</v>
      </c>
      <c r="B81" s="2" t="s">
        <v>5608</v>
      </c>
      <c r="C81" s="60" t="s">
        <v>16055</v>
      </c>
      <c r="D81" s="1"/>
      <c r="E81" s="68"/>
      <c r="F81" s="70"/>
      <c r="G81" s="67"/>
      <c r="H81" s="68"/>
      <c r="I81" s="76"/>
      <c r="J81" s="83" t="s">
        <v>5895</v>
      </c>
      <c r="K81" s="64" t="s">
        <v>1</v>
      </c>
      <c r="L81" s="65">
        <v>1</v>
      </c>
      <c r="M81" s="99"/>
      <c r="N81" s="100" t="s">
        <v>422</v>
      </c>
      <c r="O81" s="66"/>
      <c r="P81" s="57"/>
      <c r="Q81" s="58"/>
      <c r="R81" s="77"/>
      <c r="S81" s="94" t="s">
        <v>17970</v>
      </c>
      <c r="T81" s="68"/>
      <c r="U81" s="76"/>
      <c r="V81" s="70"/>
      <c r="W81" s="120">
        <f>ROUND((ROUND((ROUND((ROUND((_15_同援日増０．５*_15・通訳),0)*_15・２人),0)*(1+_15・A夜間)),0)*(1+_15・区４)),0)</f>
        <v>99</v>
      </c>
      <c r="X81" s="69"/>
    </row>
    <row r="82" spans="1:24" ht="16.5" customHeight="1" x14ac:dyDescent="0.3">
      <c r="A82" s="2">
        <v>15</v>
      </c>
      <c r="B82" s="2" t="s">
        <v>5609</v>
      </c>
      <c r="C82" s="60" t="s">
        <v>16054</v>
      </c>
      <c r="D82" s="1"/>
      <c r="E82" s="68"/>
      <c r="F82" s="70"/>
      <c r="G82" s="67"/>
      <c r="H82" s="68"/>
      <c r="I82" s="76"/>
      <c r="J82" s="85"/>
      <c r="K82" s="64"/>
      <c r="L82" s="65"/>
      <c r="M82" s="99"/>
      <c r="N82" s="70"/>
      <c r="O82" s="74" t="s">
        <v>17969</v>
      </c>
      <c r="P82" s="62"/>
      <c r="Q82" s="63"/>
      <c r="R82" s="75"/>
      <c r="S82" s="67"/>
      <c r="T82" s="68" t="s">
        <v>1</v>
      </c>
      <c r="U82" s="76">
        <v>0.4</v>
      </c>
      <c r="V82" s="70" t="s">
        <v>422</v>
      </c>
      <c r="W82" s="120">
        <f>ROUND((ROUND((ROUND((ROUND((_15_同援日増０．５*_15・通訳),0)*(1+_15・A夜間)),0)*(1+_15・盲ろう)),0)*(1+_15・区４)),0)</f>
        <v>125</v>
      </c>
      <c r="X82" s="69"/>
    </row>
    <row r="83" spans="1:24" ht="16.5" customHeight="1" x14ac:dyDescent="0.3">
      <c r="A83" s="2">
        <v>15</v>
      </c>
      <c r="B83" s="2" t="s">
        <v>5610</v>
      </c>
      <c r="C83" s="60" t="s">
        <v>16053</v>
      </c>
      <c r="D83" s="81"/>
      <c r="E83" s="57"/>
      <c r="F83" s="77"/>
      <c r="G83" s="67"/>
      <c r="H83" s="68"/>
      <c r="I83" s="76"/>
      <c r="J83" s="83" t="s">
        <v>5895</v>
      </c>
      <c r="K83" s="64" t="s">
        <v>1</v>
      </c>
      <c r="L83" s="65">
        <v>1</v>
      </c>
      <c r="M83" s="99"/>
      <c r="N83" s="70"/>
      <c r="O83" s="106" t="s">
        <v>17968</v>
      </c>
      <c r="P83" s="57" t="s">
        <v>1</v>
      </c>
      <c r="Q83" s="58">
        <v>0.25</v>
      </c>
      <c r="R83" s="77" t="s">
        <v>422</v>
      </c>
      <c r="S83" s="66"/>
      <c r="T83" s="57"/>
      <c r="U83" s="58"/>
      <c r="V83" s="77"/>
      <c r="W83" s="120">
        <f>ROUND((ROUND((ROUND((ROUND((ROUND((_15_同援日増０．５*_15・通訳),0)*_15・２人),0)*(1+_15・A夜間)),0)*(1+_15・盲ろう)),0)*(1+_15・区４)),0)</f>
        <v>125</v>
      </c>
      <c r="X83" s="69"/>
    </row>
    <row r="84" spans="1:24" ht="16.5" customHeight="1" x14ac:dyDescent="0.3">
      <c r="A84" s="2">
        <v>15</v>
      </c>
      <c r="B84" s="2" t="s">
        <v>5611</v>
      </c>
      <c r="C84" s="60" t="s">
        <v>16052</v>
      </c>
      <c r="D84" s="233" t="s">
        <v>16325</v>
      </c>
      <c r="E84" s="62"/>
      <c r="F84" s="75"/>
      <c r="G84" s="67"/>
      <c r="H84" s="68"/>
      <c r="I84" s="76"/>
      <c r="J84" s="85"/>
      <c r="K84" s="64"/>
      <c r="L84" s="65"/>
      <c r="M84" s="99"/>
      <c r="N84" s="70"/>
      <c r="O84" s="61"/>
      <c r="P84" s="62"/>
      <c r="Q84" s="63"/>
      <c r="R84" s="75"/>
      <c r="S84" s="61"/>
      <c r="T84" s="62"/>
      <c r="U84" s="63"/>
      <c r="V84" s="75"/>
      <c r="W84" s="120">
        <f>ROUND((ROUND((_15_同援日増１．０*_15・通訳),0)*(1+_15・A夜間)),0)</f>
        <v>141</v>
      </c>
      <c r="X84" s="69"/>
    </row>
    <row r="85" spans="1:24" ht="16.5" customHeight="1" x14ac:dyDescent="0.3">
      <c r="A85" s="2">
        <v>15</v>
      </c>
      <c r="B85" s="2" t="s">
        <v>5612</v>
      </c>
      <c r="C85" s="60" t="s">
        <v>16051</v>
      </c>
      <c r="D85" s="1" t="s">
        <v>17127</v>
      </c>
      <c r="E85" s="68"/>
      <c r="F85" s="70"/>
      <c r="G85" s="67"/>
      <c r="H85" s="68"/>
      <c r="I85" s="76"/>
      <c r="J85" s="83" t="s">
        <v>5895</v>
      </c>
      <c r="K85" s="64" t="s">
        <v>1</v>
      </c>
      <c r="L85" s="65">
        <v>1</v>
      </c>
      <c r="M85" s="99"/>
      <c r="N85" s="70"/>
      <c r="O85" s="66"/>
      <c r="P85" s="57"/>
      <c r="Q85" s="58"/>
      <c r="R85" s="77"/>
      <c r="S85" s="67"/>
      <c r="T85" s="68"/>
      <c r="U85" s="76"/>
      <c r="V85" s="70"/>
      <c r="W85" s="120">
        <f>ROUND((ROUND((ROUND((_15_同援日増１．０*_15・通訳),0)*_15・２人),0)*(1+_15・A夜間)),0)</f>
        <v>141</v>
      </c>
      <c r="X85" s="69"/>
    </row>
    <row r="86" spans="1:24" ht="16.5" customHeight="1" x14ac:dyDescent="0.3">
      <c r="A86" s="2">
        <v>15</v>
      </c>
      <c r="B86" s="2" t="s">
        <v>5613</v>
      </c>
      <c r="C86" s="60" t="s">
        <v>16050</v>
      </c>
      <c r="D86" s="1" t="s">
        <v>8572</v>
      </c>
      <c r="E86" s="68"/>
      <c r="F86" s="70"/>
      <c r="G86" s="67"/>
      <c r="H86" s="68"/>
      <c r="I86" s="76"/>
      <c r="J86" s="85"/>
      <c r="K86" s="64"/>
      <c r="L86" s="65"/>
      <c r="M86" s="99"/>
      <c r="N86" s="70"/>
      <c r="O86" s="74" t="s">
        <v>17969</v>
      </c>
      <c r="P86" s="62"/>
      <c r="Q86" s="63"/>
      <c r="R86" s="75"/>
      <c r="S86" s="67"/>
      <c r="T86" s="68"/>
      <c r="U86" s="76"/>
      <c r="V86" s="70"/>
      <c r="W86" s="120">
        <f>ROUND((ROUND((ROUND((_15_同援日増１．０*_15・通訳),0)*(1+_15・A夜間)),0)*(1+_15・盲ろう)),0)</f>
        <v>176</v>
      </c>
      <c r="X86" s="69"/>
    </row>
    <row r="87" spans="1:24" ht="16.5" customHeight="1" x14ac:dyDescent="0.3">
      <c r="A87" s="2">
        <v>15</v>
      </c>
      <c r="B87" s="2" t="s">
        <v>5614</v>
      </c>
      <c r="C87" s="60" t="s">
        <v>16049</v>
      </c>
      <c r="D87" s="1"/>
      <c r="E87" s="119">
        <v>126</v>
      </c>
      <c r="F87" s="70" t="s">
        <v>0</v>
      </c>
      <c r="G87" s="67"/>
      <c r="H87" s="68"/>
      <c r="I87" s="76"/>
      <c r="J87" s="83" t="s">
        <v>5895</v>
      </c>
      <c r="K87" s="64" t="s">
        <v>1</v>
      </c>
      <c r="L87" s="65">
        <v>1</v>
      </c>
      <c r="M87" s="99"/>
      <c r="N87" s="70"/>
      <c r="O87" s="106" t="s">
        <v>17968</v>
      </c>
      <c r="P87" s="57" t="s">
        <v>1</v>
      </c>
      <c r="Q87" s="58">
        <v>0.25</v>
      </c>
      <c r="R87" s="77" t="s">
        <v>422</v>
      </c>
      <c r="S87" s="66"/>
      <c r="T87" s="57"/>
      <c r="U87" s="58"/>
      <c r="V87" s="77"/>
      <c r="W87" s="120">
        <f>ROUND((ROUND((ROUND((ROUND((_15_同援日増１．０*_15・通訳),0)*_15・２人),0)*(1+_15・A夜間)),0)*(1+_15・盲ろう)),0)</f>
        <v>176</v>
      </c>
      <c r="X87" s="69"/>
    </row>
    <row r="88" spans="1:24" ht="16.5" customHeight="1" x14ac:dyDescent="0.3">
      <c r="A88" s="2">
        <v>15</v>
      </c>
      <c r="B88" s="2" t="s">
        <v>5615</v>
      </c>
      <c r="C88" s="60" t="s">
        <v>16048</v>
      </c>
      <c r="D88" s="1"/>
      <c r="E88" s="68"/>
      <c r="F88" s="70"/>
      <c r="G88" s="67"/>
      <c r="H88" s="68"/>
      <c r="I88" s="76"/>
      <c r="J88" s="85"/>
      <c r="K88" s="64"/>
      <c r="L88" s="65"/>
      <c r="M88" s="99"/>
      <c r="N88" s="70"/>
      <c r="O88" s="61"/>
      <c r="P88" s="62"/>
      <c r="Q88" s="63"/>
      <c r="R88" s="75"/>
      <c r="S88" s="74" t="s">
        <v>17974</v>
      </c>
      <c r="T88" s="62"/>
      <c r="U88" s="63"/>
      <c r="V88" s="75"/>
      <c r="W88" s="120">
        <f>ROUND((ROUND((ROUND((_15_同援日増１．０*_15・通訳),0)*(1+_15・A夜間)),0)*(1+_15・区３)),0)</f>
        <v>169</v>
      </c>
      <c r="X88" s="69"/>
    </row>
    <row r="89" spans="1:24" ht="16.5" customHeight="1" x14ac:dyDescent="0.3">
      <c r="A89" s="2">
        <v>15</v>
      </c>
      <c r="B89" s="2" t="s">
        <v>5616</v>
      </c>
      <c r="C89" s="60" t="s">
        <v>16047</v>
      </c>
      <c r="D89" s="1"/>
      <c r="E89" s="68"/>
      <c r="F89" s="70"/>
      <c r="G89" s="67"/>
      <c r="H89" s="68"/>
      <c r="I89" s="76"/>
      <c r="J89" s="83" t="s">
        <v>5895</v>
      </c>
      <c r="K89" s="64" t="s">
        <v>1</v>
      </c>
      <c r="L89" s="65">
        <v>1</v>
      </c>
      <c r="M89" s="99"/>
      <c r="N89" s="70"/>
      <c r="O89" s="66"/>
      <c r="P89" s="57"/>
      <c r="Q89" s="58"/>
      <c r="R89" s="77"/>
      <c r="S89" s="94" t="s">
        <v>17970</v>
      </c>
      <c r="T89" s="68"/>
      <c r="U89" s="76"/>
      <c r="V89" s="70"/>
      <c r="W89" s="120">
        <f>ROUND((ROUND((ROUND((ROUND((_15_同援日増１．０*_15・通訳),0)*_15・２人),0)*(1+_15・A夜間)),0)*(1+_15・区３)),0)</f>
        <v>169</v>
      </c>
      <c r="X89" s="69"/>
    </row>
    <row r="90" spans="1:24" ht="16.5" customHeight="1" x14ac:dyDescent="0.3">
      <c r="A90" s="2">
        <v>15</v>
      </c>
      <c r="B90" s="2" t="s">
        <v>5617</v>
      </c>
      <c r="C90" s="60" t="s">
        <v>16046</v>
      </c>
      <c r="D90" s="1"/>
      <c r="E90" s="68"/>
      <c r="F90" s="70"/>
      <c r="G90" s="67"/>
      <c r="H90" s="68"/>
      <c r="I90" s="76"/>
      <c r="J90" s="85"/>
      <c r="K90" s="64"/>
      <c r="L90" s="65"/>
      <c r="M90" s="99"/>
      <c r="N90" s="70"/>
      <c r="O90" s="74" t="s">
        <v>17969</v>
      </c>
      <c r="P90" s="62"/>
      <c r="Q90" s="63"/>
      <c r="R90" s="75"/>
      <c r="S90" s="67"/>
      <c r="T90" s="68" t="s">
        <v>1</v>
      </c>
      <c r="U90" s="76">
        <v>0.2</v>
      </c>
      <c r="V90" s="70" t="s">
        <v>422</v>
      </c>
      <c r="W90" s="120">
        <f>ROUND((ROUND((ROUND((ROUND((_15_同援日増１．０*_15・通訳),0)*(1+_15・A夜間)),0)*(1+_15・盲ろう)),0)*(1+_15・区３)),0)</f>
        <v>211</v>
      </c>
      <c r="X90" s="69"/>
    </row>
    <row r="91" spans="1:24" ht="16.5" customHeight="1" x14ac:dyDescent="0.3">
      <c r="A91" s="2">
        <v>15</v>
      </c>
      <c r="B91" s="2" t="s">
        <v>5618</v>
      </c>
      <c r="C91" s="60" t="s">
        <v>16045</v>
      </c>
      <c r="D91" s="1"/>
      <c r="E91" s="68"/>
      <c r="F91" s="70"/>
      <c r="G91" s="67"/>
      <c r="H91" s="68"/>
      <c r="I91" s="76"/>
      <c r="J91" s="83" t="s">
        <v>5895</v>
      </c>
      <c r="K91" s="64" t="s">
        <v>1</v>
      </c>
      <c r="L91" s="65">
        <v>1</v>
      </c>
      <c r="M91" s="99"/>
      <c r="N91" s="70"/>
      <c r="O91" s="106" t="s">
        <v>17968</v>
      </c>
      <c r="P91" s="57" t="s">
        <v>1</v>
      </c>
      <c r="Q91" s="58">
        <v>0.25</v>
      </c>
      <c r="R91" s="77" t="s">
        <v>422</v>
      </c>
      <c r="S91" s="66"/>
      <c r="T91" s="57"/>
      <c r="U91" s="58"/>
      <c r="V91" s="77"/>
      <c r="W91" s="120">
        <f>ROUND((ROUND((ROUND((ROUND((ROUND((_15_同援日増１．０*_15・通訳),0)*_15・２人),0)*(1+_15・A夜間)),0)*(1+_15・盲ろう)),0)*(1+_15・区３)),0)</f>
        <v>211</v>
      </c>
      <c r="X91" s="69"/>
    </row>
    <row r="92" spans="1:24" ht="16.5" customHeight="1" x14ac:dyDescent="0.3">
      <c r="A92" s="2">
        <v>15</v>
      </c>
      <c r="B92" s="2" t="s">
        <v>5619</v>
      </c>
      <c r="C92" s="60" t="s">
        <v>16044</v>
      </c>
      <c r="D92" s="1"/>
      <c r="E92" s="68"/>
      <c r="F92" s="70"/>
      <c r="G92" s="67"/>
      <c r="H92" s="68"/>
      <c r="I92" s="76"/>
      <c r="J92" s="85"/>
      <c r="K92" s="64"/>
      <c r="L92" s="65"/>
      <c r="M92" s="99"/>
      <c r="N92" s="70"/>
      <c r="O92" s="61"/>
      <c r="P92" s="62"/>
      <c r="Q92" s="63"/>
      <c r="R92" s="75"/>
      <c r="S92" s="74" t="s">
        <v>17971</v>
      </c>
      <c r="T92" s="62"/>
      <c r="U92" s="63"/>
      <c r="V92" s="75"/>
      <c r="W92" s="120">
        <f>ROUND((ROUND((ROUND((_15_同援日増１．０*_15・通訳),0)*(1+_15・A夜間)),0)*(1+_15・区４)),0)</f>
        <v>197</v>
      </c>
      <c r="X92" s="69"/>
    </row>
    <row r="93" spans="1:24" ht="16.5" customHeight="1" x14ac:dyDescent="0.3">
      <c r="A93" s="2">
        <v>15</v>
      </c>
      <c r="B93" s="2" t="s">
        <v>5620</v>
      </c>
      <c r="C93" s="60" t="s">
        <v>16043</v>
      </c>
      <c r="D93" s="1"/>
      <c r="E93" s="68"/>
      <c r="F93" s="70"/>
      <c r="G93" s="67"/>
      <c r="H93" s="68"/>
      <c r="I93" s="76"/>
      <c r="J93" s="83" t="s">
        <v>5895</v>
      </c>
      <c r="K93" s="64" t="s">
        <v>1</v>
      </c>
      <c r="L93" s="65">
        <v>1</v>
      </c>
      <c r="M93" s="99"/>
      <c r="N93" s="70"/>
      <c r="O93" s="66"/>
      <c r="P93" s="57"/>
      <c r="Q93" s="58"/>
      <c r="R93" s="77"/>
      <c r="S93" s="94" t="s">
        <v>17970</v>
      </c>
      <c r="T93" s="68"/>
      <c r="U93" s="76"/>
      <c r="V93" s="70"/>
      <c r="W93" s="120">
        <f>ROUND((ROUND((ROUND((ROUND((_15_同援日増１．０*_15・通訳),0)*_15・２人),0)*(1+_15・A夜間)),0)*(1+_15・区４)),0)</f>
        <v>197</v>
      </c>
      <c r="X93" s="69"/>
    </row>
    <row r="94" spans="1:24" ht="16.5" customHeight="1" x14ac:dyDescent="0.3">
      <c r="A94" s="2">
        <v>15</v>
      </c>
      <c r="B94" s="2" t="s">
        <v>5621</v>
      </c>
      <c r="C94" s="60" t="s">
        <v>16042</v>
      </c>
      <c r="D94" s="1"/>
      <c r="E94" s="68"/>
      <c r="F94" s="70"/>
      <c r="G94" s="67"/>
      <c r="H94" s="68"/>
      <c r="I94" s="76"/>
      <c r="J94" s="85"/>
      <c r="K94" s="64"/>
      <c r="L94" s="65"/>
      <c r="M94" s="99"/>
      <c r="N94" s="70"/>
      <c r="O94" s="74" t="s">
        <v>17969</v>
      </c>
      <c r="P94" s="62"/>
      <c r="Q94" s="63"/>
      <c r="R94" s="75"/>
      <c r="S94" s="67"/>
      <c r="T94" s="68" t="s">
        <v>1</v>
      </c>
      <c r="U94" s="76">
        <v>0.4</v>
      </c>
      <c r="V94" s="70" t="s">
        <v>422</v>
      </c>
      <c r="W94" s="120">
        <f>ROUND((ROUND((ROUND((ROUND((_15_同援日増１．０*_15・通訳),0)*(1+_15・A夜間)),0)*(1+_15・盲ろう)),0)*(1+_15・区４)),0)</f>
        <v>246</v>
      </c>
      <c r="X94" s="69"/>
    </row>
    <row r="95" spans="1:24" ht="16.5" customHeight="1" x14ac:dyDescent="0.3">
      <c r="A95" s="2">
        <v>15</v>
      </c>
      <c r="B95" s="2" t="s">
        <v>5622</v>
      </c>
      <c r="C95" s="60" t="s">
        <v>16041</v>
      </c>
      <c r="D95" s="81"/>
      <c r="E95" s="57"/>
      <c r="F95" s="77"/>
      <c r="G95" s="67"/>
      <c r="H95" s="68"/>
      <c r="I95" s="76"/>
      <c r="J95" s="83" t="s">
        <v>5895</v>
      </c>
      <c r="K95" s="64" t="s">
        <v>1</v>
      </c>
      <c r="L95" s="65">
        <v>1</v>
      </c>
      <c r="M95" s="99"/>
      <c r="N95" s="70"/>
      <c r="O95" s="106" t="s">
        <v>17968</v>
      </c>
      <c r="P95" s="57" t="s">
        <v>1</v>
      </c>
      <c r="Q95" s="58">
        <v>0.25</v>
      </c>
      <c r="R95" s="77" t="s">
        <v>422</v>
      </c>
      <c r="S95" s="66"/>
      <c r="T95" s="57"/>
      <c r="U95" s="58"/>
      <c r="V95" s="77"/>
      <c r="W95" s="120">
        <f>ROUND((ROUND((ROUND((ROUND((ROUND((_15_同援日増１．０*_15・通訳),0)*_15・２人),0)*(1+_15・A夜間)),0)*(1+_15・盲ろう)),0)*(1+_15・区４)),0)</f>
        <v>246</v>
      </c>
      <c r="X95" s="69"/>
    </row>
    <row r="96" spans="1:24" ht="16.5" customHeight="1" x14ac:dyDescent="0.3">
      <c r="A96" s="2">
        <v>15</v>
      </c>
      <c r="B96" s="2" t="s">
        <v>5623</v>
      </c>
      <c r="C96" s="60" t="s">
        <v>16040</v>
      </c>
      <c r="D96" s="233" t="s">
        <v>18426</v>
      </c>
      <c r="E96" s="62"/>
      <c r="F96" s="75"/>
      <c r="G96" s="67"/>
      <c r="H96" s="68"/>
      <c r="I96" s="76"/>
      <c r="J96" s="85"/>
      <c r="K96" s="64"/>
      <c r="L96" s="65"/>
      <c r="M96" s="99"/>
      <c r="N96" s="70"/>
      <c r="O96" s="61"/>
      <c r="P96" s="62"/>
      <c r="Q96" s="63"/>
      <c r="R96" s="75"/>
      <c r="S96" s="61"/>
      <c r="T96" s="62"/>
      <c r="U96" s="63"/>
      <c r="V96" s="75"/>
      <c r="W96" s="120">
        <f>ROUND((ROUND((_15_同援日増１．５*_15・通訳),0)*(1+_15・A夜間)),0)</f>
        <v>213</v>
      </c>
      <c r="X96" s="69"/>
    </row>
    <row r="97" spans="1:24" ht="16.5" customHeight="1" x14ac:dyDescent="0.3">
      <c r="A97" s="2">
        <v>15</v>
      </c>
      <c r="B97" s="2" t="s">
        <v>5624</v>
      </c>
      <c r="C97" s="60" t="s">
        <v>16039</v>
      </c>
      <c r="D97" s="1" t="s">
        <v>17130</v>
      </c>
      <c r="E97" s="68"/>
      <c r="F97" s="70"/>
      <c r="G97" s="67"/>
      <c r="H97" s="68"/>
      <c r="I97" s="76"/>
      <c r="J97" s="83" t="s">
        <v>5895</v>
      </c>
      <c r="K97" s="64" t="s">
        <v>1</v>
      </c>
      <c r="L97" s="65">
        <v>1</v>
      </c>
      <c r="M97" s="99"/>
      <c r="N97" s="70"/>
      <c r="O97" s="66"/>
      <c r="P97" s="57"/>
      <c r="Q97" s="58"/>
      <c r="R97" s="77"/>
      <c r="S97" s="67"/>
      <c r="T97" s="68"/>
      <c r="U97" s="76"/>
      <c r="V97" s="70"/>
      <c r="W97" s="120">
        <f>ROUND((ROUND((ROUND((_15_同援日増１．５*_15・通訳),0)*_15・２人),0)*(1+_15・A夜間)),0)</f>
        <v>213</v>
      </c>
      <c r="X97" s="69"/>
    </row>
    <row r="98" spans="1:24" ht="16.5" customHeight="1" x14ac:dyDescent="0.3">
      <c r="A98" s="2">
        <v>15</v>
      </c>
      <c r="B98" s="2" t="s">
        <v>5625</v>
      </c>
      <c r="C98" s="60" t="s">
        <v>16038</v>
      </c>
      <c r="D98" s="1" t="s">
        <v>8767</v>
      </c>
      <c r="E98" s="68"/>
      <c r="F98" s="70"/>
      <c r="G98" s="67"/>
      <c r="H98" s="68"/>
      <c r="I98" s="76"/>
      <c r="J98" s="85"/>
      <c r="K98" s="64"/>
      <c r="L98" s="65"/>
      <c r="M98" s="99"/>
      <c r="N98" s="70"/>
      <c r="O98" s="74" t="s">
        <v>8085</v>
      </c>
      <c r="P98" s="62"/>
      <c r="Q98" s="63"/>
      <c r="R98" s="75"/>
      <c r="S98" s="67"/>
      <c r="T98" s="68"/>
      <c r="U98" s="76"/>
      <c r="V98" s="70"/>
      <c r="W98" s="120">
        <f>ROUND((ROUND((ROUND((_15_同援日増１．５*_15・通訳),0)*(1+_15・A夜間)),0)*(1+_15・盲ろう)),0)</f>
        <v>266</v>
      </c>
      <c r="X98" s="69"/>
    </row>
    <row r="99" spans="1:24" ht="16.5" customHeight="1" x14ac:dyDescent="0.3">
      <c r="A99" s="2">
        <v>15</v>
      </c>
      <c r="B99" s="2" t="s">
        <v>5626</v>
      </c>
      <c r="C99" s="60" t="s">
        <v>16037</v>
      </c>
      <c r="D99" s="1"/>
      <c r="E99" s="119">
        <v>189</v>
      </c>
      <c r="F99" s="70" t="s">
        <v>0</v>
      </c>
      <c r="G99" s="67"/>
      <c r="H99" s="68"/>
      <c r="I99" s="76"/>
      <c r="J99" s="83" t="s">
        <v>5895</v>
      </c>
      <c r="K99" s="64" t="s">
        <v>1</v>
      </c>
      <c r="L99" s="65">
        <v>1</v>
      </c>
      <c r="M99" s="99"/>
      <c r="N99" s="70"/>
      <c r="O99" s="106" t="s">
        <v>8083</v>
      </c>
      <c r="P99" s="57" t="s">
        <v>1</v>
      </c>
      <c r="Q99" s="58">
        <v>0.25</v>
      </c>
      <c r="R99" s="77" t="s">
        <v>422</v>
      </c>
      <c r="S99" s="66"/>
      <c r="T99" s="57"/>
      <c r="U99" s="58"/>
      <c r="V99" s="77"/>
      <c r="W99" s="120">
        <f>ROUND((ROUND((ROUND((ROUND((_15_同援日増１．５*_15・通訳),0)*_15・２人),0)*(1+_15・A夜間)),0)*(1+_15・盲ろう)),0)</f>
        <v>266</v>
      </c>
      <c r="X99" s="69"/>
    </row>
    <row r="100" spans="1:24" ht="16.5" customHeight="1" x14ac:dyDescent="0.3">
      <c r="A100" s="2">
        <v>15</v>
      </c>
      <c r="B100" s="2" t="s">
        <v>5627</v>
      </c>
      <c r="C100" s="60" t="s">
        <v>16036</v>
      </c>
      <c r="D100" s="1"/>
      <c r="E100" s="68"/>
      <c r="F100" s="70"/>
      <c r="G100" s="67"/>
      <c r="H100" s="68"/>
      <c r="I100" s="76"/>
      <c r="J100" s="85"/>
      <c r="K100" s="64"/>
      <c r="L100" s="65"/>
      <c r="M100" s="99"/>
      <c r="N100" s="70"/>
      <c r="O100" s="61"/>
      <c r="P100" s="62"/>
      <c r="Q100" s="63"/>
      <c r="R100" s="75"/>
      <c r="S100" s="74" t="s">
        <v>18419</v>
      </c>
      <c r="T100" s="62"/>
      <c r="U100" s="63"/>
      <c r="V100" s="75"/>
      <c r="W100" s="120">
        <f>ROUND((ROUND((ROUND((_15_同援日増１．５*_15・通訳),0)*(1+_15・A夜間)),0)*(1+_15・区３)),0)</f>
        <v>256</v>
      </c>
      <c r="X100" s="69"/>
    </row>
    <row r="101" spans="1:24" ht="16.5" customHeight="1" x14ac:dyDescent="0.3">
      <c r="A101" s="2">
        <v>15</v>
      </c>
      <c r="B101" s="2" t="s">
        <v>5628</v>
      </c>
      <c r="C101" s="60" t="s">
        <v>16035</v>
      </c>
      <c r="D101" s="1"/>
      <c r="E101" s="68"/>
      <c r="F101" s="70"/>
      <c r="G101" s="67"/>
      <c r="H101" s="68"/>
      <c r="I101" s="76"/>
      <c r="J101" s="83" t="s">
        <v>5895</v>
      </c>
      <c r="K101" s="64" t="s">
        <v>1</v>
      </c>
      <c r="L101" s="65">
        <v>1</v>
      </c>
      <c r="M101" s="99"/>
      <c r="N101" s="70"/>
      <c r="O101" s="66"/>
      <c r="P101" s="57"/>
      <c r="Q101" s="58"/>
      <c r="R101" s="77"/>
      <c r="S101" s="94" t="s">
        <v>18418</v>
      </c>
      <c r="T101" s="68"/>
      <c r="U101" s="76"/>
      <c r="V101" s="70"/>
      <c r="W101" s="120">
        <f>ROUND((ROUND((ROUND((ROUND((_15_同援日増１．５*_15・通訳),0)*_15・２人),0)*(1+_15・A夜間)),0)*(1+_15・区３)),0)</f>
        <v>256</v>
      </c>
      <c r="X101" s="69"/>
    </row>
    <row r="102" spans="1:24" ht="16.5" customHeight="1" x14ac:dyDescent="0.3">
      <c r="A102" s="2">
        <v>15</v>
      </c>
      <c r="B102" s="2" t="s">
        <v>5629</v>
      </c>
      <c r="C102" s="60" t="s">
        <v>16034</v>
      </c>
      <c r="D102" s="1"/>
      <c r="E102" s="68"/>
      <c r="F102" s="70"/>
      <c r="G102" s="67"/>
      <c r="H102" s="68"/>
      <c r="I102" s="76"/>
      <c r="J102" s="85"/>
      <c r="K102" s="64"/>
      <c r="L102" s="65"/>
      <c r="M102" s="99"/>
      <c r="N102" s="70"/>
      <c r="O102" s="74" t="s">
        <v>8085</v>
      </c>
      <c r="P102" s="62"/>
      <c r="Q102" s="63"/>
      <c r="R102" s="75"/>
      <c r="S102" s="67"/>
      <c r="T102" s="68" t="s">
        <v>1</v>
      </c>
      <c r="U102" s="76">
        <v>0.2</v>
      </c>
      <c r="V102" s="70" t="s">
        <v>422</v>
      </c>
      <c r="W102" s="120">
        <f>ROUND((ROUND((ROUND((ROUND((_15_同援日増１．５*_15・通訳),0)*(1+_15・A夜間)),0)*(1+_15・盲ろう)),0)*(1+_15・区３)),0)</f>
        <v>319</v>
      </c>
      <c r="X102" s="69"/>
    </row>
    <row r="103" spans="1:24" ht="16.5" customHeight="1" x14ac:dyDescent="0.3">
      <c r="A103" s="2">
        <v>15</v>
      </c>
      <c r="B103" s="2" t="s">
        <v>5630</v>
      </c>
      <c r="C103" s="60" t="s">
        <v>16033</v>
      </c>
      <c r="D103" s="1"/>
      <c r="E103" s="68"/>
      <c r="F103" s="70"/>
      <c r="G103" s="67"/>
      <c r="H103" s="68"/>
      <c r="I103" s="76"/>
      <c r="J103" s="83" t="s">
        <v>5895</v>
      </c>
      <c r="K103" s="64" t="s">
        <v>1</v>
      </c>
      <c r="L103" s="65">
        <v>1</v>
      </c>
      <c r="M103" s="99"/>
      <c r="N103" s="70"/>
      <c r="O103" s="106" t="s">
        <v>17968</v>
      </c>
      <c r="P103" s="57" t="s">
        <v>1</v>
      </c>
      <c r="Q103" s="58">
        <v>0.25</v>
      </c>
      <c r="R103" s="77" t="s">
        <v>422</v>
      </c>
      <c r="S103" s="66"/>
      <c r="T103" s="57"/>
      <c r="U103" s="58"/>
      <c r="V103" s="77"/>
      <c r="W103" s="120">
        <f>ROUND((ROUND((ROUND((ROUND((ROUND((_15_同援日増１．５*_15・通訳),0)*_15・２人),0)*(1+_15・A夜間)),0)*(1+_15・盲ろう)),0)*(1+_15・区３)),0)</f>
        <v>319</v>
      </c>
      <c r="X103" s="69"/>
    </row>
    <row r="104" spans="1:24" ht="16.5" customHeight="1" x14ac:dyDescent="0.3">
      <c r="A104" s="2">
        <v>15</v>
      </c>
      <c r="B104" s="2" t="s">
        <v>5631</v>
      </c>
      <c r="C104" s="60" t="s">
        <v>16032</v>
      </c>
      <c r="D104" s="1"/>
      <c r="E104" s="68"/>
      <c r="F104" s="70"/>
      <c r="G104" s="67"/>
      <c r="H104" s="68"/>
      <c r="I104" s="76"/>
      <c r="J104" s="85"/>
      <c r="K104" s="64"/>
      <c r="L104" s="65"/>
      <c r="M104" s="99"/>
      <c r="N104" s="70"/>
      <c r="O104" s="61"/>
      <c r="P104" s="62"/>
      <c r="Q104" s="63"/>
      <c r="R104" s="75"/>
      <c r="S104" s="74" t="s">
        <v>8089</v>
      </c>
      <c r="T104" s="62"/>
      <c r="U104" s="63"/>
      <c r="V104" s="75"/>
      <c r="W104" s="120">
        <f>ROUND((ROUND((ROUND((_15_同援日増１．５*_15・通訳),0)*(1+_15・A夜間)),0)*(1+_15・区４)),0)</f>
        <v>298</v>
      </c>
      <c r="X104" s="69"/>
    </row>
    <row r="105" spans="1:24" ht="16.5" customHeight="1" x14ac:dyDescent="0.3">
      <c r="A105" s="2">
        <v>15</v>
      </c>
      <c r="B105" s="2" t="s">
        <v>5632</v>
      </c>
      <c r="C105" s="60" t="s">
        <v>16031</v>
      </c>
      <c r="D105" s="1"/>
      <c r="E105" s="68"/>
      <c r="F105" s="70"/>
      <c r="G105" s="67"/>
      <c r="H105" s="68"/>
      <c r="I105" s="76"/>
      <c r="J105" s="83" t="s">
        <v>5895</v>
      </c>
      <c r="K105" s="64" t="s">
        <v>1</v>
      </c>
      <c r="L105" s="65">
        <v>1</v>
      </c>
      <c r="M105" s="99"/>
      <c r="N105" s="70"/>
      <c r="O105" s="66"/>
      <c r="P105" s="57"/>
      <c r="Q105" s="58"/>
      <c r="R105" s="77"/>
      <c r="S105" s="94" t="s">
        <v>17970</v>
      </c>
      <c r="T105" s="68"/>
      <c r="U105" s="76"/>
      <c r="V105" s="70"/>
      <c r="W105" s="120">
        <f>ROUND((ROUND((ROUND((ROUND((_15_同援日増１．５*_15・通訳),0)*_15・２人),0)*(1+_15・A夜間)),0)*(1+_15・区４)),0)</f>
        <v>298</v>
      </c>
      <c r="X105" s="69"/>
    </row>
    <row r="106" spans="1:24" ht="16.5" customHeight="1" x14ac:dyDescent="0.3">
      <c r="A106" s="2">
        <v>15</v>
      </c>
      <c r="B106" s="2" t="s">
        <v>5633</v>
      </c>
      <c r="C106" s="60" t="s">
        <v>16030</v>
      </c>
      <c r="D106" s="1"/>
      <c r="E106" s="68"/>
      <c r="F106" s="70"/>
      <c r="G106" s="67"/>
      <c r="H106" s="68"/>
      <c r="I106" s="76"/>
      <c r="J106" s="85"/>
      <c r="K106" s="64"/>
      <c r="L106" s="65"/>
      <c r="M106" s="99"/>
      <c r="N106" s="70"/>
      <c r="O106" s="74" t="s">
        <v>8085</v>
      </c>
      <c r="P106" s="62"/>
      <c r="Q106" s="63"/>
      <c r="R106" s="75"/>
      <c r="S106" s="67"/>
      <c r="T106" s="68" t="s">
        <v>1</v>
      </c>
      <c r="U106" s="76">
        <v>0.4</v>
      </c>
      <c r="V106" s="70" t="s">
        <v>422</v>
      </c>
      <c r="W106" s="120">
        <f>ROUND((ROUND((ROUND((ROUND((_15_同援日増１．５*_15・通訳),0)*(1+_15・A夜間)),0)*(1+_15・盲ろう)),0)*(1+_15・区４)),0)</f>
        <v>372</v>
      </c>
      <c r="X106" s="69"/>
    </row>
    <row r="107" spans="1:24" ht="16.5" customHeight="1" x14ac:dyDescent="0.3">
      <c r="A107" s="2">
        <v>15</v>
      </c>
      <c r="B107" s="2" t="s">
        <v>5634</v>
      </c>
      <c r="C107" s="60" t="s">
        <v>16029</v>
      </c>
      <c r="D107" s="81"/>
      <c r="E107" s="57"/>
      <c r="F107" s="77"/>
      <c r="G107" s="67"/>
      <c r="H107" s="68"/>
      <c r="I107" s="76"/>
      <c r="J107" s="83" t="s">
        <v>5895</v>
      </c>
      <c r="K107" s="64" t="s">
        <v>1</v>
      </c>
      <c r="L107" s="65">
        <v>1</v>
      </c>
      <c r="M107" s="99"/>
      <c r="N107" s="70"/>
      <c r="O107" s="106" t="s">
        <v>18417</v>
      </c>
      <c r="P107" s="57" t="s">
        <v>1</v>
      </c>
      <c r="Q107" s="58">
        <v>0.25</v>
      </c>
      <c r="R107" s="77" t="s">
        <v>422</v>
      </c>
      <c r="S107" s="66"/>
      <c r="T107" s="57"/>
      <c r="U107" s="58"/>
      <c r="V107" s="77"/>
      <c r="W107" s="120">
        <f>ROUND((ROUND((ROUND((ROUND((ROUND((_15_同援日増１．５*_15・通訳),0)*_15・２人),0)*(1+_15・A夜間)),0)*(1+_15・盲ろう)),0)*(1+_15・区４)),0)</f>
        <v>372</v>
      </c>
      <c r="X107" s="69"/>
    </row>
    <row r="108" spans="1:24" ht="16.5" customHeight="1" x14ac:dyDescent="0.3">
      <c r="A108" s="2">
        <v>15</v>
      </c>
      <c r="B108" s="2" t="s">
        <v>5635</v>
      </c>
      <c r="C108" s="60" t="s">
        <v>16028</v>
      </c>
      <c r="D108" s="233" t="s">
        <v>18425</v>
      </c>
      <c r="E108" s="62"/>
      <c r="F108" s="75"/>
      <c r="G108" s="67"/>
      <c r="H108" s="68"/>
      <c r="I108" s="76"/>
      <c r="J108" s="85"/>
      <c r="K108" s="64"/>
      <c r="L108" s="65"/>
      <c r="M108" s="99"/>
      <c r="N108" s="70"/>
      <c r="O108" s="61"/>
      <c r="P108" s="62"/>
      <c r="Q108" s="63"/>
      <c r="R108" s="75"/>
      <c r="S108" s="61"/>
      <c r="T108" s="62"/>
      <c r="U108" s="63"/>
      <c r="V108" s="75"/>
      <c r="W108" s="120">
        <f>ROUND((ROUND((_15_同援日増２．０*_15・通訳),0)*(1+_15・A夜間)),0)</f>
        <v>284</v>
      </c>
      <c r="X108" s="69"/>
    </row>
    <row r="109" spans="1:24" ht="16.5" customHeight="1" x14ac:dyDescent="0.3">
      <c r="A109" s="2">
        <v>15</v>
      </c>
      <c r="B109" s="2" t="s">
        <v>5636</v>
      </c>
      <c r="C109" s="60" t="s">
        <v>16027</v>
      </c>
      <c r="D109" s="1" t="s">
        <v>5983</v>
      </c>
      <c r="E109" s="68"/>
      <c r="F109" s="70"/>
      <c r="G109" s="67"/>
      <c r="H109" s="68"/>
      <c r="I109" s="76"/>
      <c r="J109" s="83" t="s">
        <v>5895</v>
      </c>
      <c r="K109" s="64" t="s">
        <v>1</v>
      </c>
      <c r="L109" s="65">
        <v>1</v>
      </c>
      <c r="M109" s="99"/>
      <c r="N109" s="70"/>
      <c r="O109" s="66"/>
      <c r="P109" s="57"/>
      <c r="Q109" s="58"/>
      <c r="R109" s="77"/>
      <c r="S109" s="67"/>
      <c r="T109" s="68"/>
      <c r="U109" s="76"/>
      <c r="V109" s="70"/>
      <c r="W109" s="120">
        <f>ROUND((ROUND((ROUND((_15_同援日増２．０*_15・通訳),0)*_15・２人),0)*(1+_15・A夜間)),0)</f>
        <v>284</v>
      </c>
      <c r="X109" s="69"/>
    </row>
    <row r="110" spans="1:24" ht="16.5" customHeight="1" x14ac:dyDescent="0.3">
      <c r="A110" s="2">
        <v>15</v>
      </c>
      <c r="B110" s="2" t="s">
        <v>5637</v>
      </c>
      <c r="C110" s="60" t="s">
        <v>16026</v>
      </c>
      <c r="D110" s="1" t="s">
        <v>6448</v>
      </c>
      <c r="E110" s="68"/>
      <c r="F110" s="70"/>
      <c r="G110" s="67"/>
      <c r="H110" s="68"/>
      <c r="I110" s="76"/>
      <c r="J110" s="85"/>
      <c r="K110" s="64"/>
      <c r="L110" s="65"/>
      <c r="M110" s="99"/>
      <c r="N110" s="70"/>
      <c r="O110" s="74" t="s">
        <v>8085</v>
      </c>
      <c r="P110" s="62"/>
      <c r="Q110" s="63"/>
      <c r="R110" s="75"/>
      <c r="S110" s="67"/>
      <c r="T110" s="68"/>
      <c r="U110" s="76"/>
      <c r="V110" s="70"/>
      <c r="W110" s="120">
        <f>ROUND((ROUND((ROUND((_15_同援日増２．０*_15・通訳),0)*(1+_15・A夜間)),0)*(1+_15・盲ろう)),0)</f>
        <v>355</v>
      </c>
      <c r="X110" s="69"/>
    </row>
    <row r="111" spans="1:24" ht="16.5" customHeight="1" x14ac:dyDescent="0.3">
      <c r="A111" s="2">
        <v>15</v>
      </c>
      <c r="B111" s="2" t="s">
        <v>5638</v>
      </c>
      <c r="C111" s="60" t="s">
        <v>16025</v>
      </c>
      <c r="D111" s="1"/>
      <c r="E111" s="119">
        <v>252</v>
      </c>
      <c r="F111" s="70" t="s">
        <v>0</v>
      </c>
      <c r="G111" s="67"/>
      <c r="H111" s="68"/>
      <c r="I111" s="76"/>
      <c r="J111" s="83" t="s">
        <v>5895</v>
      </c>
      <c r="K111" s="64" t="s">
        <v>1</v>
      </c>
      <c r="L111" s="65">
        <v>1</v>
      </c>
      <c r="M111" s="99"/>
      <c r="N111" s="70"/>
      <c r="O111" s="106" t="s">
        <v>8083</v>
      </c>
      <c r="P111" s="57" t="s">
        <v>1</v>
      </c>
      <c r="Q111" s="58">
        <v>0.25</v>
      </c>
      <c r="R111" s="77" t="s">
        <v>422</v>
      </c>
      <c r="S111" s="66"/>
      <c r="T111" s="57"/>
      <c r="U111" s="58"/>
      <c r="V111" s="77"/>
      <c r="W111" s="120">
        <f>ROUND((ROUND((ROUND((ROUND((_15_同援日増２．０*_15・通訳),0)*_15・２人),0)*(1+_15・A夜間)),0)*(1+_15・盲ろう)),0)</f>
        <v>355</v>
      </c>
      <c r="X111" s="69"/>
    </row>
    <row r="112" spans="1:24" ht="16.5" customHeight="1" x14ac:dyDescent="0.3">
      <c r="A112" s="2">
        <v>15</v>
      </c>
      <c r="B112" s="2" t="s">
        <v>5639</v>
      </c>
      <c r="C112" s="60" t="s">
        <v>16024</v>
      </c>
      <c r="D112" s="1"/>
      <c r="E112" s="68"/>
      <c r="F112" s="70"/>
      <c r="G112" s="67"/>
      <c r="H112" s="68"/>
      <c r="I112" s="76"/>
      <c r="J112" s="85"/>
      <c r="K112" s="64"/>
      <c r="L112" s="65"/>
      <c r="M112" s="99"/>
      <c r="N112" s="70"/>
      <c r="O112" s="61"/>
      <c r="P112" s="62"/>
      <c r="Q112" s="63"/>
      <c r="R112" s="75"/>
      <c r="S112" s="74" t="s">
        <v>17974</v>
      </c>
      <c r="T112" s="62"/>
      <c r="U112" s="63"/>
      <c r="V112" s="75"/>
      <c r="W112" s="120">
        <f>ROUND((ROUND((ROUND((_15_同援日増２．０*_15・通訳),0)*(1+_15・A夜間)),0)*(1+_15・区３)),0)</f>
        <v>341</v>
      </c>
      <c r="X112" s="69"/>
    </row>
    <row r="113" spans="1:24" ht="16.5" customHeight="1" x14ac:dyDescent="0.3">
      <c r="A113" s="2">
        <v>15</v>
      </c>
      <c r="B113" s="2" t="s">
        <v>5640</v>
      </c>
      <c r="C113" s="60" t="s">
        <v>16023</v>
      </c>
      <c r="D113" s="1"/>
      <c r="E113" s="68"/>
      <c r="F113" s="70"/>
      <c r="G113" s="67"/>
      <c r="H113" s="68"/>
      <c r="I113" s="76"/>
      <c r="J113" s="83" t="s">
        <v>5895</v>
      </c>
      <c r="K113" s="64" t="s">
        <v>1</v>
      </c>
      <c r="L113" s="65">
        <v>1</v>
      </c>
      <c r="M113" s="99"/>
      <c r="N113" s="70"/>
      <c r="O113" s="66"/>
      <c r="P113" s="57"/>
      <c r="Q113" s="58"/>
      <c r="R113" s="77"/>
      <c r="S113" s="94" t="s">
        <v>8087</v>
      </c>
      <c r="T113" s="68"/>
      <c r="U113" s="76"/>
      <c r="V113" s="70"/>
      <c r="W113" s="120">
        <f>ROUND((ROUND((ROUND((ROUND((_15_同援日増２．０*_15・通訳),0)*_15・２人),0)*(1+_15・A夜間)),0)*(1+_15・区３)),0)</f>
        <v>341</v>
      </c>
      <c r="X113" s="69"/>
    </row>
    <row r="114" spans="1:24" ht="16.5" customHeight="1" x14ac:dyDescent="0.3">
      <c r="A114" s="2">
        <v>15</v>
      </c>
      <c r="B114" s="2" t="s">
        <v>5641</v>
      </c>
      <c r="C114" s="60" t="s">
        <v>16022</v>
      </c>
      <c r="D114" s="1"/>
      <c r="E114" s="68"/>
      <c r="F114" s="70"/>
      <c r="G114" s="67"/>
      <c r="H114" s="68"/>
      <c r="I114" s="76"/>
      <c r="J114" s="85"/>
      <c r="K114" s="64"/>
      <c r="L114" s="65"/>
      <c r="M114" s="99"/>
      <c r="N114" s="70"/>
      <c r="O114" s="74" t="s">
        <v>18421</v>
      </c>
      <c r="P114" s="62"/>
      <c r="Q114" s="63"/>
      <c r="R114" s="75"/>
      <c r="S114" s="67"/>
      <c r="T114" s="68" t="s">
        <v>1</v>
      </c>
      <c r="U114" s="76">
        <v>0.2</v>
      </c>
      <c r="V114" s="70" t="s">
        <v>422</v>
      </c>
      <c r="W114" s="120">
        <f>ROUND((ROUND((ROUND((ROUND((_15_同援日増２．０*_15・通訳),0)*(1+_15・A夜間)),0)*(1+_15・盲ろう)),0)*(1+_15・区３)),0)</f>
        <v>426</v>
      </c>
      <c r="X114" s="69"/>
    </row>
    <row r="115" spans="1:24" ht="16.5" customHeight="1" x14ac:dyDescent="0.3">
      <c r="A115" s="2">
        <v>15</v>
      </c>
      <c r="B115" s="2" t="s">
        <v>5642</v>
      </c>
      <c r="C115" s="60" t="s">
        <v>16021</v>
      </c>
      <c r="D115" s="1"/>
      <c r="E115" s="68"/>
      <c r="F115" s="70"/>
      <c r="G115" s="67"/>
      <c r="H115" s="68"/>
      <c r="I115" s="76"/>
      <c r="J115" s="83" t="s">
        <v>5895</v>
      </c>
      <c r="K115" s="64" t="s">
        <v>1</v>
      </c>
      <c r="L115" s="65">
        <v>1</v>
      </c>
      <c r="M115" s="99"/>
      <c r="N115" s="70"/>
      <c r="O115" s="106" t="s">
        <v>17968</v>
      </c>
      <c r="P115" s="57" t="s">
        <v>1</v>
      </c>
      <c r="Q115" s="58">
        <v>0.25</v>
      </c>
      <c r="R115" s="77" t="s">
        <v>422</v>
      </c>
      <c r="S115" s="66"/>
      <c r="T115" s="57"/>
      <c r="U115" s="58"/>
      <c r="V115" s="77"/>
      <c r="W115" s="120">
        <f>ROUND((ROUND((ROUND((ROUND((ROUND((_15_同援日増２．０*_15・通訳),0)*_15・２人),0)*(1+_15・A夜間)),0)*(1+_15・盲ろう)),0)*(1+_15・区３)),0)</f>
        <v>426</v>
      </c>
      <c r="X115" s="69"/>
    </row>
    <row r="116" spans="1:24" ht="16.5" customHeight="1" x14ac:dyDescent="0.3">
      <c r="A116" s="2">
        <v>15</v>
      </c>
      <c r="B116" s="2" t="s">
        <v>5643</v>
      </c>
      <c r="C116" s="60" t="s">
        <v>16020</v>
      </c>
      <c r="D116" s="1"/>
      <c r="E116" s="68"/>
      <c r="F116" s="70"/>
      <c r="G116" s="67"/>
      <c r="H116" s="68"/>
      <c r="I116" s="76"/>
      <c r="J116" s="85"/>
      <c r="K116" s="64"/>
      <c r="L116" s="65"/>
      <c r="M116" s="99"/>
      <c r="N116" s="70"/>
      <c r="O116" s="61"/>
      <c r="P116" s="62"/>
      <c r="Q116" s="63"/>
      <c r="R116" s="75"/>
      <c r="S116" s="74" t="s">
        <v>17971</v>
      </c>
      <c r="T116" s="62"/>
      <c r="U116" s="63"/>
      <c r="V116" s="75"/>
      <c r="W116" s="120">
        <f>ROUND((ROUND((ROUND((_15_同援日増２．０*_15・通訳),0)*(1+_15・A夜間)),0)*(1+_15・区４)),0)</f>
        <v>398</v>
      </c>
      <c r="X116" s="69"/>
    </row>
    <row r="117" spans="1:24" ht="16.5" customHeight="1" x14ac:dyDescent="0.3">
      <c r="A117" s="2">
        <v>15</v>
      </c>
      <c r="B117" s="2" t="s">
        <v>5644</v>
      </c>
      <c r="C117" s="60" t="s">
        <v>16019</v>
      </c>
      <c r="D117" s="1"/>
      <c r="E117" s="68"/>
      <c r="F117" s="70"/>
      <c r="G117" s="67"/>
      <c r="H117" s="68"/>
      <c r="I117" s="76"/>
      <c r="J117" s="83" t="s">
        <v>5895</v>
      </c>
      <c r="K117" s="64" t="s">
        <v>1</v>
      </c>
      <c r="L117" s="65">
        <v>1</v>
      </c>
      <c r="M117" s="99"/>
      <c r="N117" s="70"/>
      <c r="O117" s="66"/>
      <c r="P117" s="57"/>
      <c r="Q117" s="58"/>
      <c r="R117" s="77"/>
      <c r="S117" s="94" t="s">
        <v>17970</v>
      </c>
      <c r="T117" s="68"/>
      <c r="U117" s="76"/>
      <c r="V117" s="70"/>
      <c r="W117" s="120">
        <f>ROUND((ROUND((ROUND((ROUND((_15_同援日増２．０*_15・通訳),0)*_15・２人),0)*(1+_15・A夜間)),0)*(1+_15・区４)),0)</f>
        <v>398</v>
      </c>
      <c r="X117" s="69"/>
    </row>
    <row r="118" spans="1:24" ht="16.5" customHeight="1" x14ac:dyDescent="0.3">
      <c r="A118" s="2">
        <v>15</v>
      </c>
      <c r="B118" s="2" t="s">
        <v>5645</v>
      </c>
      <c r="C118" s="60" t="s">
        <v>16018</v>
      </c>
      <c r="D118" s="1"/>
      <c r="E118" s="68"/>
      <c r="F118" s="70"/>
      <c r="G118" s="67"/>
      <c r="H118" s="68"/>
      <c r="I118" s="76"/>
      <c r="J118" s="85"/>
      <c r="K118" s="64"/>
      <c r="L118" s="65"/>
      <c r="M118" s="99"/>
      <c r="N118" s="70"/>
      <c r="O118" s="74" t="s">
        <v>18421</v>
      </c>
      <c r="P118" s="62"/>
      <c r="Q118" s="63"/>
      <c r="R118" s="75"/>
      <c r="S118" s="67"/>
      <c r="T118" s="68" t="s">
        <v>1</v>
      </c>
      <c r="U118" s="76">
        <v>0.4</v>
      </c>
      <c r="V118" s="70" t="s">
        <v>422</v>
      </c>
      <c r="W118" s="120">
        <f>ROUND((ROUND((ROUND((ROUND((_15_同援日増２．０*_15・通訳),0)*(1+_15・A夜間)),0)*(1+_15・盲ろう)),0)*(1+_15・区４)),0)</f>
        <v>497</v>
      </c>
      <c r="X118" s="69"/>
    </row>
    <row r="119" spans="1:24" ht="16.5" customHeight="1" x14ac:dyDescent="0.3">
      <c r="A119" s="2">
        <v>15</v>
      </c>
      <c r="B119" s="2" t="s">
        <v>5646</v>
      </c>
      <c r="C119" s="60" t="s">
        <v>16017</v>
      </c>
      <c r="D119" s="81"/>
      <c r="E119" s="57"/>
      <c r="F119" s="77"/>
      <c r="G119" s="67"/>
      <c r="H119" s="68"/>
      <c r="I119" s="76"/>
      <c r="J119" s="83" t="s">
        <v>5895</v>
      </c>
      <c r="K119" s="64" t="s">
        <v>1</v>
      </c>
      <c r="L119" s="65">
        <v>1</v>
      </c>
      <c r="M119" s="99"/>
      <c r="N119" s="70"/>
      <c r="O119" s="106" t="s">
        <v>18417</v>
      </c>
      <c r="P119" s="57" t="s">
        <v>1</v>
      </c>
      <c r="Q119" s="58">
        <v>0.25</v>
      </c>
      <c r="R119" s="77" t="s">
        <v>422</v>
      </c>
      <c r="S119" s="66"/>
      <c r="T119" s="57"/>
      <c r="U119" s="58"/>
      <c r="V119" s="77"/>
      <c r="W119" s="120">
        <f>ROUND((ROUND((ROUND((ROUND((ROUND((_15_同援日増２．０*_15・通訳),0)*_15・２人),0)*(1+_15・A夜間)),0)*(1+_15・盲ろう)),0)*(1+_15・区４)),0)</f>
        <v>497</v>
      </c>
      <c r="X119" s="69"/>
    </row>
    <row r="120" spans="1:24" ht="16.5" customHeight="1" x14ac:dyDescent="0.3">
      <c r="A120" s="2">
        <v>15</v>
      </c>
      <c r="B120" s="2" t="s">
        <v>5647</v>
      </c>
      <c r="C120" s="60" t="s">
        <v>16016</v>
      </c>
      <c r="D120" s="233" t="s">
        <v>16326</v>
      </c>
      <c r="E120" s="62"/>
      <c r="F120" s="75"/>
      <c r="G120" s="67"/>
      <c r="H120" s="68"/>
      <c r="I120" s="76"/>
      <c r="J120" s="85"/>
      <c r="K120" s="64"/>
      <c r="L120" s="65"/>
      <c r="M120" s="99"/>
      <c r="N120" s="70"/>
      <c r="O120" s="61"/>
      <c r="P120" s="62"/>
      <c r="Q120" s="63"/>
      <c r="R120" s="75"/>
      <c r="S120" s="61"/>
      <c r="T120" s="62"/>
      <c r="U120" s="63"/>
      <c r="V120" s="75"/>
      <c r="W120" s="120">
        <f>ROUND((ROUND((_15_同援日増２．５*_15・通訳),0)*(1+_15・A夜間)),0)</f>
        <v>355</v>
      </c>
      <c r="X120" s="69"/>
    </row>
    <row r="121" spans="1:24" ht="16.5" customHeight="1" x14ac:dyDescent="0.3">
      <c r="A121" s="2">
        <v>15</v>
      </c>
      <c r="B121" s="2" t="s">
        <v>5648</v>
      </c>
      <c r="C121" s="60" t="s">
        <v>16015</v>
      </c>
      <c r="D121" s="1" t="s">
        <v>17199</v>
      </c>
      <c r="E121" s="68"/>
      <c r="F121" s="70"/>
      <c r="G121" s="67"/>
      <c r="H121" s="68"/>
      <c r="I121" s="76"/>
      <c r="J121" s="83" t="s">
        <v>5895</v>
      </c>
      <c r="K121" s="64" t="s">
        <v>1</v>
      </c>
      <c r="L121" s="65">
        <v>1</v>
      </c>
      <c r="M121" s="99"/>
      <c r="N121" s="70"/>
      <c r="O121" s="66"/>
      <c r="P121" s="57"/>
      <c r="Q121" s="58"/>
      <c r="R121" s="77"/>
      <c r="S121" s="67"/>
      <c r="T121" s="68"/>
      <c r="U121" s="76"/>
      <c r="V121" s="70"/>
      <c r="W121" s="120">
        <f>ROUND((ROUND((ROUND((_15_同援日増２．５*_15・通訳),0)*_15・２人),0)*(1+_15・A夜間)),0)</f>
        <v>355</v>
      </c>
      <c r="X121" s="69"/>
    </row>
    <row r="122" spans="1:24" ht="16.5" customHeight="1" x14ac:dyDescent="0.3">
      <c r="A122" s="2">
        <v>15</v>
      </c>
      <c r="B122" s="2" t="s">
        <v>5649</v>
      </c>
      <c r="C122" s="60" t="s">
        <v>16014</v>
      </c>
      <c r="D122" s="1" t="s">
        <v>8499</v>
      </c>
      <c r="E122" s="68"/>
      <c r="F122" s="70"/>
      <c r="G122" s="67"/>
      <c r="H122" s="68"/>
      <c r="I122" s="76"/>
      <c r="J122" s="85"/>
      <c r="K122" s="64"/>
      <c r="L122" s="65"/>
      <c r="M122" s="99"/>
      <c r="N122" s="70"/>
      <c r="O122" s="74" t="s">
        <v>17969</v>
      </c>
      <c r="P122" s="62"/>
      <c r="Q122" s="63"/>
      <c r="R122" s="75"/>
      <c r="S122" s="67"/>
      <c r="T122" s="68"/>
      <c r="U122" s="76"/>
      <c r="V122" s="70"/>
      <c r="W122" s="120">
        <f>ROUND((ROUND((ROUND((_15_同援日増２．５*_15・通訳),0)*(1+_15・A夜間)),0)*(1+_15・盲ろう)),0)</f>
        <v>444</v>
      </c>
      <c r="X122" s="69"/>
    </row>
    <row r="123" spans="1:24" ht="16.5" customHeight="1" x14ac:dyDescent="0.3">
      <c r="A123" s="2">
        <v>15</v>
      </c>
      <c r="B123" s="2" t="s">
        <v>5650</v>
      </c>
      <c r="C123" s="60" t="s">
        <v>16013</v>
      </c>
      <c r="D123" s="1"/>
      <c r="E123" s="119">
        <v>315</v>
      </c>
      <c r="F123" s="70" t="s">
        <v>0</v>
      </c>
      <c r="G123" s="67"/>
      <c r="H123" s="68"/>
      <c r="I123" s="76"/>
      <c r="J123" s="83" t="s">
        <v>5895</v>
      </c>
      <c r="K123" s="64" t="s">
        <v>1</v>
      </c>
      <c r="L123" s="65">
        <v>1</v>
      </c>
      <c r="M123" s="99"/>
      <c r="N123" s="70"/>
      <c r="O123" s="106" t="s">
        <v>17968</v>
      </c>
      <c r="P123" s="57" t="s">
        <v>1</v>
      </c>
      <c r="Q123" s="58">
        <v>0.25</v>
      </c>
      <c r="R123" s="77" t="s">
        <v>422</v>
      </c>
      <c r="S123" s="66"/>
      <c r="T123" s="57"/>
      <c r="U123" s="58"/>
      <c r="V123" s="77"/>
      <c r="W123" s="120">
        <f>ROUND((ROUND((ROUND((ROUND((_15_同援日増２．５*_15・通訳),0)*_15・２人),0)*(1+_15・A夜間)),0)*(1+_15・盲ろう)),0)</f>
        <v>444</v>
      </c>
      <c r="X123" s="69"/>
    </row>
    <row r="124" spans="1:24" ht="16.5" customHeight="1" x14ac:dyDescent="0.3">
      <c r="A124" s="2">
        <v>15</v>
      </c>
      <c r="B124" s="2" t="s">
        <v>5651</v>
      </c>
      <c r="C124" s="60" t="s">
        <v>16012</v>
      </c>
      <c r="D124" s="1"/>
      <c r="E124" s="68"/>
      <c r="F124" s="70"/>
      <c r="G124" s="67"/>
      <c r="H124" s="68"/>
      <c r="I124" s="76"/>
      <c r="J124" s="85"/>
      <c r="K124" s="64"/>
      <c r="L124" s="65"/>
      <c r="M124" s="99"/>
      <c r="N124" s="70"/>
      <c r="O124" s="61"/>
      <c r="P124" s="62"/>
      <c r="Q124" s="63"/>
      <c r="R124" s="75"/>
      <c r="S124" s="74" t="s">
        <v>17974</v>
      </c>
      <c r="T124" s="62"/>
      <c r="U124" s="63"/>
      <c r="V124" s="75"/>
      <c r="W124" s="120">
        <f>ROUND((ROUND((ROUND((_15_同援日増２．５*_15・通訳),0)*(1+_15・A夜間)),0)*(1+_15・区３)),0)</f>
        <v>426</v>
      </c>
      <c r="X124" s="69"/>
    </row>
    <row r="125" spans="1:24" ht="16.5" customHeight="1" x14ac:dyDescent="0.3">
      <c r="A125" s="2">
        <v>15</v>
      </c>
      <c r="B125" s="2" t="s">
        <v>5652</v>
      </c>
      <c r="C125" s="60" t="s">
        <v>16011</v>
      </c>
      <c r="D125" s="1"/>
      <c r="E125" s="68"/>
      <c r="F125" s="70"/>
      <c r="G125" s="67"/>
      <c r="H125" s="68"/>
      <c r="I125" s="76"/>
      <c r="J125" s="83" t="s">
        <v>5895</v>
      </c>
      <c r="K125" s="64" t="s">
        <v>1</v>
      </c>
      <c r="L125" s="65">
        <v>1</v>
      </c>
      <c r="M125" s="99"/>
      <c r="N125" s="70"/>
      <c r="O125" s="66"/>
      <c r="P125" s="57"/>
      <c r="Q125" s="58"/>
      <c r="R125" s="77"/>
      <c r="S125" s="94" t="s">
        <v>8087</v>
      </c>
      <c r="T125" s="68"/>
      <c r="U125" s="76"/>
      <c r="V125" s="70"/>
      <c r="W125" s="120">
        <f>ROUND((ROUND((ROUND((ROUND((_15_同援日増２．５*_15・通訳),0)*_15・２人),0)*(1+_15・A夜間)),0)*(1+_15・区３)),0)</f>
        <v>426</v>
      </c>
      <c r="X125" s="69"/>
    </row>
    <row r="126" spans="1:24" ht="16.5" customHeight="1" x14ac:dyDescent="0.3">
      <c r="A126" s="2">
        <v>15</v>
      </c>
      <c r="B126" s="2" t="s">
        <v>5653</v>
      </c>
      <c r="C126" s="60" t="s">
        <v>16010</v>
      </c>
      <c r="D126" s="1"/>
      <c r="E126" s="68"/>
      <c r="F126" s="70"/>
      <c r="G126" s="67"/>
      <c r="H126" s="68"/>
      <c r="I126" s="76"/>
      <c r="J126" s="85"/>
      <c r="K126" s="64"/>
      <c r="L126" s="65"/>
      <c r="M126" s="99"/>
      <c r="N126" s="70"/>
      <c r="O126" s="74" t="s">
        <v>17969</v>
      </c>
      <c r="P126" s="62"/>
      <c r="Q126" s="63"/>
      <c r="R126" s="75"/>
      <c r="S126" s="67"/>
      <c r="T126" s="68" t="s">
        <v>1</v>
      </c>
      <c r="U126" s="76">
        <v>0.2</v>
      </c>
      <c r="V126" s="70" t="s">
        <v>422</v>
      </c>
      <c r="W126" s="120">
        <f>ROUND((ROUND((ROUND((ROUND((_15_同援日増２．５*_15・通訳),0)*(1+_15・A夜間)),0)*(1+_15・盲ろう)),0)*(1+_15・区３)),0)</f>
        <v>533</v>
      </c>
      <c r="X126" s="69"/>
    </row>
    <row r="127" spans="1:24" ht="16.5" customHeight="1" x14ac:dyDescent="0.3">
      <c r="A127" s="2">
        <v>15</v>
      </c>
      <c r="B127" s="2" t="s">
        <v>5654</v>
      </c>
      <c r="C127" s="60" t="s">
        <v>16009</v>
      </c>
      <c r="D127" s="1"/>
      <c r="E127" s="68"/>
      <c r="F127" s="70"/>
      <c r="G127" s="67"/>
      <c r="H127" s="68"/>
      <c r="I127" s="76"/>
      <c r="J127" s="83" t="s">
        <v>5895</v>
      </c>
      <c r="K127" s="64" t="s">
        <v>1</v>
      </c>
      <c r="L127" s="65">
        <v>1</v>
      </c>
      <c r="M127" s="99"/>
      <c r="N127" s="70"/>
      <c r="O127" s="106" t="s">
        <v>17968</v>
      </c>
      <c r="P127" s="57" t="s">
        <v>1</v>
      </c>
      <c r="Q127" s="58">
        <v>0.25</v>
      </c>
      <c r="R127" s="77" t="s">
        <v>422</v>
      </c>
      <c r="S127" s="66"/>
      <c r="T127" s="57"/>
      <c r="U127" s="58"/>
      <c r="V127" s="77"/>
      <c r="W127" s="120">
        <f>ROUND((ROUND((ROUND((ROUND((ROUND((_15_同援日増２．５*_15・通訳),0)*_15・２人),0)*(1+_15・A夜間)),0)*(1+_15・盲ろう)),0)*(1+_15・区３)),0)</f>
        <v>533</v>
      </c>
      <c r="X127" s="69"/>
    </row>
    <row r="128" spans="1:24" ht="16.5" customHeight="1" x14ac:dyDescent="0.3">
      <c r="A128" s="2">
        <v>15</v>
      </c>
      <c r="B128" s="2" t="s">
        <v>5655</v>
      </c>
      <c r="C128" s="60" t="s">
        <v>16008</v>
      </c>
      <c r="D128" s="1"/>
      <c r="E128" s="68"/>
      <c r="F128" s="70"/>
      <c r="G128" s="67"/>
      <c r="H128" s="68"/>
      <c r="I128" s="76"/>
      <c r="J128" s="85"/>
      <c r="K128" s="64"/>
      <c r="L128" s="65"/>
      <c r="M128" s="99"/>
      <c r="N128" s="70"/>
      <c r="O128" s="61"/>
      <c r="P128" s="62"/>
      <c r="Q128" s="63"/>
      <c r="R128" s="75"/>
      <c r="S128" s="74" t="s">
        <v>17971</v>
      </c>
      <c r="T128" s="62"/>
      <c r="U128" s="63"/>
      <c r="V128" s="75"/>
      <c r="W128" s="120">
        <f>ROUND((ROUND((ROUND((_15_同援日増２．５*_15・通訳),0)*(1+_15・A夜間)),0)*(1+_15・区４)),0)</f>
        <v>497</v>
      </c>
      <c r="X128" s="69"/>
    </row>
    <row r="129" spans="1:24" ht="16.5" customHeight="1" x14ac:dyDescent="0.3">
      <c r="A129" s="2">
        <v>15</v>
      </c>
      <c r="B129" s="2" t="s">
        <v>5656</v>
      </c>
      <c r="C129" s="60" t="s">
        <v>16007</v>
      </c>
      <c r="D129" s="1"/>
      <c r="E129" s="68"/>
      <c r="F129" s="70"/>
      <c r="G129" s="67"/>
      <c r="H129" s="68"/>
      <c r="I129" s="76"/>
      <c r="J129" s="83" t="s">
        <v>5895</v>
      </c>
      <c r="K129" s="64" t="s">
        <v>1</v>
      </c>
      <c r="L129" s="65">
        <v>1</v>
      </c>
      <c r="M129" s="99"/>
      <c r="N129" s="70"/>
      <c r="O129" s="66"/>
      <c r="P129" s="57"/>
      <c r="Q129" s="58"/>
      <c r="R129" s="77"/>
      <c r="S129" s="94" t="s">
        <v>8087</v>
      </c>
      <c r="T129" s="68"/>
      <c r="U129" s="76"/>
      <c r="V129" s="70"/>
      <c r="W129" s="120">
        <f>ROUND((ROUND((ROUND((ROUND((_15_同援日増２．５*_15・通訳),0)*_15・２人),0)*(1+_15・A夜間)),0)*(1+_15・区４)),0)</f>
        <v>497</v>
      </c>
      <c r="X129" s="69"/>
    </row>
    <row r="130" spans="1:24" ht="16.5" customHeight="1" x14ac:dyDescent="0.3">
      <c r="A130" s="2">
        <v>15</v>
      </c>
      <c r="B130" s="2" t="s">
        <v>5657</v>
      </c>
      <c r="C130" s="60" t="s">
        <v>16006</v>
      </c>
      <c r="D130" s="1"/>
      <c r="E130" s="68"/>
      <c r="F130" s="70"/>
      <c r="G130" s="67"/>
      <c r="H130" s="68"/>
      <c r="I130" s="76"/>
      <c r="J130" s="85"/>
      <c r="K130" s="64"/>
      <c r="L130" s="65"/>
      <c r="M130" s="99"/>
      <c r="N130" s="70"/>
      <c r="O130" s="74" t="s">
        <v>17969</v>
      </c>
      <c r="P130" s="62"/>
      <c r="Q130" s="63"/>
      <c r="R130" s="75"/>
      <c r="S130" s="67"/>
      <c r="T130" s="68" t="s">
        <v>1</v>
      </c>
      <c r="U130" s="76">
        <v>0.4</v>
      </c>
      <c r="V130" s="70" t="s">
        <v>422</v>
      </c>
      <c r="W130" s="120">
        <f>ROUND((ROUND((ROUND((ROUND((_15_同援日増２．５*_15・通訳),0)*(1+_15・A夜間)),0)*(1+_15・盲ろう)),0)*(1+_15・区４)),0)</f>
        <v>622</v>
      </c>
      <c r="X130" s="69"/>
    </row>
    <row r="131" spans="1:24" ht="16.5" customHeight="1" x14ac:dyDescent="0.3">
      <c r="A131" s="2">
        <v>15</v>
      </c>
      <c r="B131" s="2" t="s">
        <v>5658</v>
      </c>
      <c r="C131" s="60" t="s">
        <v>16005</v>
      </c>
      <c r="D131" s="81"/>
      <c r="E131" s="57"/>
      <c r="F131" s="77"/>
      <c r="G131" s="67"/>
      <c r="H131" s="68"/>
      <c r="I131" s="76"/>
      <c r="J131" s="83" t="s">
        <v>5895</v>
      </c>
      <c r="K131" s="64" t="s">
        <v>1</v>
      </c>
      <c r="L131" s="65">
        <v>1</v>
      </c>
      <c r="M131" s="99"/>
      <c r="N131" s="70"/>
      <c r="O131" s="106" t="s">
        <v>17968</v>
      </c>
      <c r="P131" s="57" t="s">
        <v>1</v>
      </c>
      <c r="Q131" s="58">
        <v>0.25</v>
      </c>
      <c r="R131" s="77" t="s">
        <v>422</v>
      </c>
      <c r="S131" s="66"/>
      <c r="T131" s="57"/>
      <c r="U131" s="58"/>
      <c r="V131" s="77"/>
      <c r="W131" s="120">
        <f>ROUND((ROUND((ROUND((ROUND((ROUND((_15_同援日増２．５*_15・通訳),0)*_15・２人),0)*(1+_15・A夜間)),0)*(1+_15・盲ろう)),0)*(1+_15・区４)),0)</f>
        <v>622</v>
      </c>
      <c r="X131" s="69"/>
    </row>
    <row r="132" spans="1:24" ht="16.5" customHeight="1" x14ac:dyDescent="0.3">
      <c r="A132" s="2">
        <v>15</v>
      </c>
      <c r="B132" s="2" t="s">
        <v>5659</v>
      </c>
      <c r="C132" s="60" t="s">
        <v>16004</v>
      </c>
      <c r="D132" s="233" t="s">
        <v>18424</v>
      </c>
      <c r="E132" s="62"/>
      <c r="F132" s="75"/>
      <c r="G132" s="67"/>
      <c r="H132" s="68"/>
      <c r="I132" s="76"/>
      <c r="J132" s="85"/>
      <c r="K132" s="64"/>
      <c r="L132" s="65"/>
      <c r="M132" s="99"/>
      <c r="N132" s="70"/>
      <c r="O132" s="61"/>
      <c r="P132" s="62"/>
      <c r="Q132" s="63"/>
      <c r="R132" s="75"/>
      <c r="S132" s="61"/>
      <c r="T132" s="62"/>
      <c r="U132" s="63"/>
      <c r="V132" s="75"/>
      <c r="W132" s="120">
        <f>ROUND((ROUND((_15_同援日増３．０*_15・通訳),0)*(1+_15・A夜間)),0)</f>
        <v>425</v>
      </c>
      <c r="X132" s="69"/>
    </row>
    <row r="133" spans="1:24" ht="16.5" customHeight="1" x14ac:dyDescent="0.3">
      <c r="A133" s="2">
        <v>15</v>
      </c>
      <c r="B133" s="2" t="s">
        <v>5660</v>
      </c>
      <c r="C133" s="60" t="s">
        <v>16003</v>
      </c>
      <c r="D133" s="1" t="s">
        <v>17196</v>
      </c>
      <c r="E133" s="68"/>
      <c r="F133" s="70"/>
      <c r="G133" s="67"/>
      <c r="H133" s="68"/>
      <c r="I133" s="76"/>
      <c r="J133" s="83" t="s">
        <v>5895</v>
      </c>
      <c r="K133" s="64" t="s">
        <v>1</v>
      </c>
      <c r="L133" s="65">
        <v>1</v>
      </c>
      <c r="M133" s="99"/>
      <c r="N133" s="70"/>
      <c r="O133" s="66"/>
      <c r="P133" s="57"/>
      <c r="Q133" s="58"/>
      <c r="R133" s="77"/>
      <c r="S133" s="67"/>
      <c r="T133" s="68"/>
      <c r="U133" s="76"/>
      <c r="V133" s="70"/>
      <c r="W133" s="120">
        <f>ROUND((ROUND((ROUND((_15_同援日増３．０*_15・通訳),0)*_15・２人),0)*(1+_15・A夜間)),0)</f>
        <v>425</v>
      </c>
      <c r="X133" s="69"/>
    </row>
    <row r="134" spans="1:24" ht="16.5" customHeight="1" x14ac:dyDescent="0.3">
      <c r="A134" s="2">
        <v>15</v>
      </c>
      <c r="B134" s="2" t="s">
        <v>5661</v>
      </c>
      <c r="C134" s="60" t="s">
        <v>16002</v>
      </c>
      <c r="D134" s="1" t="s">
        <v>8694</v>
      </c>
      <c r="E134" s="68"/>
      <c r="F134" s="70"/>
      <c r="G134" s="67"/>
      <c r="H134" s="68"/>
      <c r="I134" s="76"/>
      <c r="J134" s="85"/>
      <c r="K134" s="64"/>
      <c r="L134" s="65"/>
      <c r="M134" s="99"/>
      <c r="N134" s="70"/>
      <c r="O134" s="74" t="s">
        <v>18421</v>
      </c>
      <c r="P134" s="62"/>
      <c r="Q134" s="63"/>
      <c r="R134" s="75"/>
      <c r="S134" s="67"/>
      <c r="T134" s="68"/>
      <c r="U134" s="76"/>
      <c r="V134" s="70"/>
      <c r="W134" s="120">
        <f>ROUND((ROUND((ROUND((_15_同援日増３．０*_15・通訳),0)*(1+_15・A夜間)),0)*(1+_15・盲ろう)),0)</f>
        <v>531</v>
      </c>
      <c r="X134" s="69"/>
    </row>
    <row r="135" spans="1:24" ht="16.5" customHeight="1" x14ac:dyDescent="0.3">
      <c r="A135" s="2">
        <v>15</v>
      </c>
      <c r="B135" s="2" t="s">
        <v>5662</v>
      </c>
      <c r="C135" s="60" t="s">
        <v>16001</v>
      </c>
      <c r="D135" s="1"/>
      <c r="E135" s="119">
        <v>378</v>
      </c>
      <c r="F135" s="70" t="s">
        <v>0</v>
      </c>
      <c r="G135" s="67"/>
      <c r="H135" s="68"/>
      <c r="I135" s="76"/>
      <c r="J135" s="83" t="s">
        <v>5895</v>
      </c>
      <c r="K135" s="64" t="s">
        <v>1</v>
      </c>
      <c r="L135" s="65">
        <v>1</v>
      </c>
      <c r="M135" s="99"/>
      <c r="N135" s="70"/>
      <c r="O135" s="106" t="s">
        <v>17968</v>
      </c>
      <c r="P135" s="57" t="s">
        <v>1</v>
      </c>
      <c r="Q135" s="58">
        <v>0.25</v>
      </c>
      <c r="R135" s="77" t="s">
        <v>422</v>
      </c>
      <c r="S135" s="66"/>
      <c r="T135" s="57"/>
      <c r="U135" s="58"/>
      <c r="V135" s="77"/>
      <c r="W135" s="120">
        <f>ROUND((ROUND((ROUND((ROUND((_15_同援日増３．０*_15・通訳),0)*_15・２人),0)*(1+_15・A夜間)),0)*(1+_15・盲ろう)),0)</f>
        <v>531</v>
      </c>
      <c r="X135" s="69"/>
    </row>
    <row r="136" spans="1:24" ht="16.5" customHeight="1" x14ac:dyDescent="0.3">
      <c r="A136" s="2">
        <v>15</v>
      </c>
      <c r="B136" s="2" t="s">
        <v>5663</v>
      </c>
      <c r="C136" s="60" t="s">
        <v>16000</v>
      </c>
      <c r="D136" s="1"/>
      <c r="E136" s="68"/>
      <c r="F136" s="70"/>
      <c r="G136" s="67"/>
      <c r="H136" s="68"/>
      <c r="I136" s="76"/>
      <c r="J136" s="85"/>
      <c r="K136" s="64"/>
      <c r="L136" s="65"/>
      <c r="M136" s="99"/>
      <c r="N136" s="70"/>
      <c r="O136" s="61"/>
      <c r="P136" s="62"/>
      <c r="Q136" s="63"/>
      <c r="R136" s="75"/>
      <c r="S136" s="74" t="s">
        <v>17974</v>
      </c>
      <c r="T136" s="62"/>
      <c r="U136" s="63"/>
      <c r="V136" s="75"/>
      <c r="W136" s="120">
        <f>ROUND((ROUND((ROUND((_15_同援日増３．０*_15・通訳),0)*(1+_15・A夜間)),0)*(1+_15・区３)),0)</f>
        <v>510</v>
      </c>
      <c r="X136" s="69"/>
    </row>
    <row r="137" spans="1:24" ht="16.5" customHeight="1" x14ac:dyDescent="0.3">
      <c r="A137" s="2">
        <v>15</v>
      </c>
      <c r="B137" s="2" t="s">
        <v>5664</v>
      </c>
      <c r="C137" s="60" t="s">
        <v>15999</v>
      </c>
      <c r="D137" s="1"/>
      <c r="E137" s="68"/>
      <c r="F137" s="70"/>
      <c r="G137" s="67"/>
      <c r="H137" s="68"/>
      <c r="I137" s="76"/>
      <c r="J137" s="83" t="s">
        <v>5895</v>
      </c>
      <c r="K137" s="64" t="s">
        <v>1</v>
      </c>
      <c r="L137" s="65">
        <v>1</v>
      </c>
      <c r="M137" s="99"/>
      <c r="N137" s="70"/>
      <c r="O137" s="66"/>
      <c r="P137" s="57"/>
      <c r="Q137" s="58"/>
      <c r="R137" s="77"/>
      <c r="S137" s="94" t="s">
        <v>8087</v>
      </c>
      <c r="T137" s="68"/>
      <c r="U137" s="76"/>
      <c r="V137" s="70"/>
      <c r="W137" s="120">
        <f>ROUND((ROUND((ROUND((ROUND((_15_同援日増３．０*_15・通訳),0)*_15・２人),0)*(1+_15・A夜間)),0)*(1+_15・区３)),0)</f>
        <v>510</v>
      </c>
      <c r="X137" s="69"/>
    </row>
    <row r="138" spans="1:24" ht="16.5" customHeight="1" x14ac:dyDescent="0.3">
      <c r="A138" s="2">
        <v>15</v>
      </c>
      <c r="B138" s="2" t="s">
        <v>5665</v>
      </c>
      <c r="C138" s="60" t="s">
        <v>15998</v>
      </c>
      <c r="D138" s="1"/>
      <c r="E138" s="68"/>
      <c r="F138" s="70"/>
      <c r="G138" s="67"/>
      <c r="H138" s="68"/>
      <c r="I138" s="76"/>
      <c r="J138" s="85"/>
      <c r="K138" s="64"/>
      <c r="L138" s="65"/>
      <c r="M138" s="99"/>
      <c r="N138" s="70"/>
      <c r="O138" s="74" t="s">
        <v>17969</v>
      </c>
      <c r="P138" s="62"/>
      <c r="Q138" s="63"/>
      <c r="R138" s="75"/>
      <c r="S138" s="67"/>
      <c r="T138" s="68" t="s">
        <v>1</v>
      </c>
      <c r="U138" s="76">
        <v>0.2</v>
      </c>
      <c r="V138" s="70" t="s">
        <v>422</v>
      </c>
      <c r="W138" s="120">
        <f>ROUND((ROUND((ROUND((ROUND((_15_同援日増３．０*_15・通訳),0)*(1+_15・A夜間)),0)*(1+_15・盲ろう)),0)*(1+_15・区３)),0)</f>
        <v>637</v>
      </c>
      <c r="X138" s="69"/>
    </row>
    <row r="139" spans="1:24" ht="16.5" customHeight="1" x14ac:dyDescent="0.3">
      <c r="A139" s="2">
        <v>15</v>
      </c>
      <c r="B139" s="2" t="s">
        <v>5666</v>
      </c>
      <c r="C139" s="60" t="s">
        <v>15997</v>
      </c>
      <c r="D139" s="1"/>
      <c r="E139" s="68"/>
      <c r="F139" s="70"/>
      <c r="G139" s="67"/>
      <c r="H139" s="68"/>
      <c r="I139" s="76"/>
      <c r="J139" s="83" t="s">
        <v>5895</v>
      </c>
      <c r="K139" s="64" t="s">
        <v>1</v>
      </c>
      <c r="L139" s="65">
        <v>1</v>
      </c>
      <c r="M139" s="99"/>
      <c r="N139" s="70"/>
      <c r="O139" s="106" t="s">
        <v>17968</v>
      </c>
      <c r="P139" s="57" t="s">
        <v>1</v>
      </c>
      <c r="Q139" s="58">
        <v>0.25</v>
      </c>
      <c r="R139" s="77" t="s">
        <v>422</v>
      </c>
      <c r="S139" s="66"/>
      <c r="T139" s="57"/>
      <c r="U139" s="58"/>
      <c r="V139" s="77"/>
      <c r="W139" s="120">
        <f>ROUND((ROUND((ROUND((ROUND((ROUND((_15_同援日増３．０*_15・通訳),0)*_15・２人),0)*(1+_15・A夜間)),0)*(1+_15・盲ろう)),0)*(1+_15・区３)),0)</f>
        <v>637</v>
      </c>
      <c r="X139" s="69"/>
    </row>
    <row r="140" spans="1:24" ht="16.5" customHeight="1" x14ac:dyDescent="0.3">
      <c r="A140" s="2">
        <v>15</v>
      </c>
      <c r="B140" s="2" t="s">
        <v>5667</v>
      </c>
      <c r="C140" s="60" t="s">
        <v>15996</v>
      </c>
      <c r="D140" s="1"/>
      <c r="E140" s="68"/>
      <c r="F140" s="70"/>
      <c r="G140" s="67"/>
      <c r="H140" s="68"/>
      <c r="I140" s="76"/>
      <c r="J140" s="85"/>
      <c r="K140" s="64"/>
      <c r="L140" s="65"/>
      <c r="M140" s="99"/>
      <c r="N140" s="70"/>
      <c r="O140" s="61"/>
      <c r="P140" s="62"/>
      <c r="Q140" s="63"/>
      <c r="R140" s="75"/>
      <c r="S140" s="74" t="s">
        <v>18423</v>
      </c>
      <c r="T140" s="62"/>
      <c r="U140" s="63"/>
      <c r="V140" s="75"/>
      <c r="W140" s="120">
        <f>ROUND((ROUND((ROUND((_15_同援日増３．０*_15・通訳),0)*(1+_15・A夜間)),0)*(1+_15・区４)),0)</f>
        <v>595</v>
      </c>
      <c r="X140" s="69"/>
    </row>
    <row r="141" spans="1:24" ht="16.5" customHeight="1" x14ac:dyDescent="0.3">
      <c r="A141" s="2">
        <v>15</v>
      </c>
      <c r="B141" s="2" t="s">
        <v>5668</v>
      </c>
      <c r="C141" s="60" t="s">
        <v>15995</v>
      </c>
      <c r="D141" s="1"/>
      <c r="E141" s="68"/>
      <c r="F141" s="70"/>
      <c r="G141" s="67"/>
      <c r="H141" s="68"/>
      <c r="I141" s="76"/>
      <c r="J141" s="83" t="s">
        <v>5895</v>
      </c>
      <c r="K141" s="64" t="s">
        <v>1</v>
      </c>
      <c r="L141" s="65">
        <v>1</v>
      </c>
      <c r="M141" s="99"/>
      <c r="N141" s="70"/>
      <c r="O141" s="66"/>
      <c r="P141" s="57"/>
      <c r="Q141" s="58"/>
      <c r="R141" s="77"/>
      <c r="S141" s="94" t="s">
        <v>17970</v>
      </c>
      <c r="T141" s="68"/>
      <c r="U141" s="76"/>
      <c r="V141" s="70"/>
      <c r="W141" s="120">
        <f>ROUND((ROUND((ROUND((ROUND((_15_同援日増３．０*_15・通訳),0)*_15・２人),0)*(1+_15・A夜間)),0)*(1+_15・区４)),0)</f>
        <v>595</v>
      </c>
      <c r="X141" s="69"/>
    </row>
    <row r="142" spans="1:24" ht="16.5" customHeight="1" x14ac:dyDescent="0.3">
      <c r="A142" s="2">
        <v>15</v>
      </c>
      <c r="B142" s="2" t="s">
        <v>5669</v>
      </c>
      <c r="C142" s="60" t="s">
        <v>15994</v>
      </c>
      <c r="D142" s="1"/>
      <c r="E142" s="68"/>
      <c r="F142" s="70"/>
      <c r="G142" s="67"/>
      <c r="H142" s="68"/>
      <c r="I142" s="76"/>
      <c r="J142" s="85"/>
      <c r="K142" s="64"/>
      <c r="L142" s="65"/>
      <c r="M142" s="99"/>
      <c r="N142" s="70"/>
      <c r="O142" s="74" t="s">
        <v>18421</v>
      </c>
      <c r="P142" s="62"/>
      <c r="Q142" s="63"/>
      <c r="R142" s="75"/>
      <c r="S142" s="67"/>
      <c r="T142" s="68" t="s">
        <v>1</v>
      </c>
      <c r="U142" s="76">
        <v>0.4</v>
      </c>
      <c r="V142" s="70" t="s">
        <v>422</v>
      </c>
      <c r="W142" s="120">
        <f>ROUND((ROUND((ROUND((ROUND((_15_同援日増３．０*_15・通訳),0)*(1+_15・A夜間)),0)*(1+_15・盲ろう)),0)*(1+_15・区４)),0)</f>
        <v>743</v>
      </c>
      <c r="X142" s="69"/>
    </row>
    <row r="143" spans="1:24" ht="16.5" customHeight="1" x14ac:dyDescent="0.3">
      <c r="A143" s="2">
        <v>15</v>
      </c>
      <c r="B143" s="2" t="s">
        <v>5670</v>
      </c>
      <c r="C143" s="60" t="s">
        <v>15993</v>
      </c>
      <c r="D143" s="81"/>
      <c r="E143" s="57"/>
      <c r="F143" s="77"/>
      <c r="G143" s="67"/>
      <c r="H143" s="68"/>
      <c r="I143" s="76"/>
      <c r="J143" s="83" t="s">
        <v>5895</v>
      </c>
      <c r="K143" s="64" t="s">
        <v>1</v>
      </c>
      <c r="L143" s="65">
        <v>1</v>
      </c>
      <c r="M143" s="99"/>
      <c r="N143" s="70"/>
      <c r="O143" s="106" t="s">
        <v>8083</v>
      </c>
      <c r="P143" s="57" t="s">
        <v>1</v>
      </c>
      <c r="Q143" s="58">
        <v>0.25</v>
      </c>
      <c r="R143" s="77" t="s">
        <v>422</v>
      </c>
      <c r="S143" s="66"/>
      <c r="T143" s="57"/>
      <c r="U143" s="58"/>
      <c r="V143" s="77"/>
      <c r="W143" s="120">
        <f>ROUND((ROUND((ROUND((ROUND((ROUND((_15_同援日増３．０*_15・通訳),0)*_15・２人),0)*(1+_15・A夜間)),0)*(1+_15・盲ろう)),0)*(1+_15・区４)),0)</f>
        <v>743</v>
      </c>
      <c r="X143" s="69"/>
    </row>
    <row r="144" spans="1:24" ht="16.5" customHeight="1" x14ac:dyDescent="0.3">
      <c r="A144" s="2">
        <v>15</v>
      </c>
      <c r="B144" s="2" t="s">
        <v>5671</v>
      </c>
      <c r="C144" s="60" t="s">
        <v>15992</v>
      </c>
      <c r="D144" s="233" t="s">
        <v>16328</v>
      </c>
      <c r="E144" s="62"/>
      <c r="F144" s="75"/>
      <c r="G144" s="67"/>
      <c r="H144" s="68"/>
      <c r="I144" s="76"/>
      <c r="J144" s="85"/>
      <c r="K144" s="64"/>
      <c r="L144" s="65"/>
      <c r="M144" s="99"/>
      <c r="N144" s="70"/>
      <c r="O144" s="61"/>
      <c r="P144" s="62"/>
      <c r="Q144" s="63"/>
      <c r="R144" s="75"/>
      <c r="S144" s="61"/>
      <c r="T144" s="62"/>
      <c r="U144" s="63"/>
      <c r="V144" s="75"/>
      <c r="W144" s="120">
        <f>ROUND((ROUND((_15_同援日増３．５*_15・通訳),0)*(1+_15・A夜間)),0)</f>
        <v>496</v>
      </c>
      <c r="X144" s="69"/>
    </row>
    <row r="145" spans="1:24" ht="16.5" customHeight="1" x14ac:dyDescent="0.3">
      <c r="A145" s="2">
        <v>15</v>
      </c>
      <c r="B145" s="2" t="s">
        <v>5672</v>
      </c>
      <c r="C145" s="60" t="s">
        <v>15991</v>
      </c>
      <c r="D145" s="1" t="s">
        <v>17193</v>
      </c>
      <c r="E145" s="68"/>
      <c r="F145" s="70"/>
      <c r="G145" s="67"/>
      <c r="H145" s="68"/>
      <c r="I145" s="76"/>
      <c r="J145" s="83" t="s">
        <v>5895</v>
      </c>
      <c r="K145" s="64" t="s">
        <v>1</v>
      </c>
      <c r="L145" s="65">
        <v>1</v>
      </c>
      <c r="M145" s="99"/>
      <c r="N145" s="70"/>
      <c r="O145" s="66"/>
      <c r="P145" s="57"/>
      <c r="Q145" s="58"/>
      <c r="R145" s="77"/>
      <c r="S145" s="67"/>
      <c r="T145" s="68"/>
      <c r="U145" s="76"/>
      <c r="V145" s="70"/>
      <c r="W145" s="120">
        <f>ROUND((ROUND((ROUND((_15_同援日増３．５*_15・通訳),0)*_15・２人),0)*(1+_15・A夜間)),0)</f>
        <v>496</v>
      </c>
      <c r="X145" s="69"/>
    </row>
    <row r="146" spans="1:24" ht="16.5" customHeight="1" x14ac:dyDescent="0.3">
      <c r="A146" s="2">
        <v>15</v>
      </c>
      <c r="B146" s="2" t="s">
        <v>5673</v>
      </c>
      <c r="C146" s="60" t="s">
        <v>15990</v>
      </c>
      <c r="D146" s="1" t="s">
        <v>8450</v>
      </c>
      <c r="E146" s="68"/>
      <c r="F146" s="70"/>
      <c r="G146" s="67"/>
      <c r="H146" s="68"/>
      <c r="I146" s="76"/>
      <c r="J146" s="85"/>
      <c r="K146" s="64"/>
      <c r="L146" s="65"/>
      <c r="M146" s="99"/>
      <c r="N146" s="70"/>
      <c r="O146" s="74" t="s">
        <v>18421</v>
      </c>
      <c r="P146" s="62"/>
      <c r="Q146" s="63"/>
      <c r="R146" s="75"/>
      <c r="S146" s="67"/>
      <c r="T146" s="68"/>
      <c r="U146" s="76"/>
      <c r="V146" s="70"/>
      <c r="W146" s="120">
        <f>ROUND((ROUND((ROUND((_15_同援日増３．５*_15・通訳),0)*(1+_15・A夜間)),0)*(1+_15・盲ろう)),0)</f>
        <v>620</v>
      </c>
      <c r="X146" s="69"/>
    </row>
    <row r="147" spans="1:24" ht="16.5" customHeight="1" x14ac:dyDescent="0.3">
      <c r="A147" s="2">
        <v>15</v>
      </c>
      <c r="B147" s="2" t="s">
        <v>5674</v>
      </c>
      <c r="C147" s="60" t="s">
        <v>15989</v>
      </c>
      <c r="D147" s="1"/>
      <c r="E147" s="119">
        <v>441</v>
      </c>
      <c r="F147" s="70" t="s">
        <v>0</v>
      </c>
      <c r="G147" s="67"/>
      <c r="H147" s="68"/>
      <c r="I147" s="76"/>
      <c r="J147" s="83" t="s">
        <v>5895</v>
      </c>
      <c r="K147" s="64" t="s">
        <v>1</v>
      </c>
      <c r="L147" s="65">
        <v>1</v>
      </c>
      <c r="M147" s="99"/>
      <c r="N147" s="70"/>
      <c r="O147" s="106" t="s">
        <v>8083</v>
      </c>
      <c r="P147" s="57" t="s">
        <v>1</v>
      </c>
      <c r="Q147" s="58">
        <v>0.25</v>
      </c>
      <c r="R147" s="77" t="s">
        <v>422</v>
      </c>
      <c r="S147" s="66"/>
      <c r="T147" s="57"/>
      <c r="U147" s="58"/>
      <c r="V147" s="77"/>
      <c r="W147" s="120">
        <f>ROUND((ROUND((ROUND((ROUND((_15_同援日増３．５*_15・通訳),0)*_15・２人),0)*(1+_15・A夜間)),0)*(1+_15・盲ろう)),0)</f>
        <v>620</v>
      </c>
      <c r="X147" s="69"/>
    </row>
    <row r="148" spans="1:24" ht="16.5" customHeight="1" x14ac:dyDescent="0.3">
      <c r="A148" s="2">
        <v>15</v>
      </c>
      <c r="B148" s="2" t="s">
        <v>5675</v>
      </c>
      <c r="C148" s="60" t="s">
        <v>15988</v>
      </c>
      <c r="D148" s="1"/>
      <c r="E148" s="68"/>
      <c r="F148" s="70"/>
      <c r="G148" s="67"/>
      <c r="H148" s="68"/>
      <c r="I148" s="76"/>
      <c r="J148" s="85"/>
      <c r="K148" s="64"/>
      <c r="L148" s="65"/>
      <c r="M148" s="99"/>
      <c r="N148" s="70"/>
      <c r="O148" s="61"/>
      <c r="P148" s="62"/>
      <c r="Q148" s="63"/>
      <c r="R148" s="75"/>
      <c r="S148" s="74" t="s">
        <v>8098</v>
      </c>
      <c r="T148" s="62"/>
      <c r="U148" s="63"/>
      <c r="V148" s="75"/>
      <c r="W148" s="120">
        <f>ROUND((ROUND((ROUND((_15_同援日増３．５*_15・通訳),0)*(1+_15・A夜間)),0)*(1+_15・区３)),0)</f>
        <v>595</v>
      </c>
      <c r="X148" s="69"/>
    </row>
    <row r="149" spans="1:24" ht="16.5" customHeight="1" x14ac:dyDescent="0.3">
      <c r="A149" s="2">
        <v>15</v>
      </c>
      <c r="B149" s="2" t="s">
        <v>5676</v>
      </c>
      <c r="C149" s="60" t="s">
        <v>15987</v>
      </c>
      <c r="D149" s="1"/>
      <c r="E149" s="68"/>
      <c r="F149" s="70"/>
      <c r="G149" s="67"/>
      <c r="H149" s="68"/>
      <c r="I149" s="76"/>
      <c r="J149" s="83" t="s">
        <v>5895</v>
      </c>
      <c r="K149" s="64" t="s">
        <v>1</v>
      </c>
      <c r="L149" s="65">
        <v>1</v>
      </c>
      <c r="M149" s="99"/>
      <c r="N149" s="70"/>
      <c r="O149" s="66"/>
      <c r="P149" s="57"/>
      <c r="Q149" s="58"/>
      <c r="R149" s="77"/>
      <c r="S149" s="94" t="s">
        <v>8087</v>
      </c>
      <c r="T149" s="68"/>
      <c r="U149" s="76"/>
      <c r="V149" s="70"/>
      <c r="W149" s="120">
        <f>ROUND((ROUND((ROUND((ROUND((_15_同援日増３．５*_15・通訳),0)*_15・２人),0)*(1+_15・A夜間)),0)*(1+_15・区３)),0)</f>
        <v>595</v>
      </c>
      <c r="X149" s="69"/>
    </row>
    <row r="150" spans="1:24" ht="16.5" customHeight="1" x14ac:dyDescent="0.3">
      <c r="A150" s="2">
        <v>15</v>
      </c>
      <c r="B150" s="2" t="s">
        <v>5677</v>
      </c>
      <c r="C150" s="60" t="s">
        <v>15986</v>
      </c>
      <c r="D150" s="1"/>
      <c r="E150" s="68"/>
      <c r="F150" s="70"/>
      <c r="G150" s="67"/>
      <c r="H150" s="68"/>
      <c r="I150" s="76"/>
      <c r="J150" s="85"/>
      <c r="K150" s="64"/>
      <c r="L150" s="65"/>
      <c r="M150" s="99"/>
      <c r="N150" s="70"/>
      <c r="O150" s="74" t="s">
        <v>18421</v>
      </c>
      <c r="P150" s="62"/>
      <c r="Q150" s="63"/>
      <c r="R150" s="75"/>
      <c r="S150" s="67"/>
      <c r="T150" s="68" t="s">
        <v>1</v>
      </c>
      <c r="U150" s="76">
        <v>0.2</v>
      </c>
      <c r="V150" s="70" t="s">
        <v>422</v>
      </c>
      <c r="W150" s="120">
        <f>ROUND((ROUND((ROUND((ROUND((_15_同援日増３．５*_15・通訳),0)*(1+_15・A夜間)),0)*(1+_15・盲ろう)),0)*(1+_15・区３)),0)</f>
        <v>744</v>
      </c>
      <c r="X150" s="69"/>
    </row>
    <row r="151" spans="1:24" ht="16.5" customHeight="1" x14ac:dyDescent="0.3">
      <c r="A151" s="2">
        <v>15</v>
      </c>
      <c r="B151" s="2" t="s">
        <v>5678</v>
      </c>
      <c r="C151" s="60" t="s">
        <v>15985</v>
      </c>
      <c r="D151" s="1"/>
      <c r="E151" s="68"/>
      <c r="F151" s="70"/>
      <c r="G151" s="67"/>
      <c r="H151" s="68"/>
      <c r="I151" s="76"/>
      <c r="J151" s="83" t="s">
        <v>5895</v>
      </c>
      <c r="K151" s="64" t="s">
        <v>1</v>
      </c>
      <c r="L151" s="65">
        <v>1</v>
      </c>
      <c r="M151" s="99"/>
      <c r="N151" s="70"/>
      <c r="O151" s="106" t="s">
        <v>18417</v>
      </c>
      <c r="P151" s="57" t="s">
        <v>1</v>
      </c>
      <c r="Q151" s="58">
        <v>0.25</v>
      </c>
      <c r="R151" s="77" t="s">
        <v>422</v>
      </c>
      <c r="S151" s="66"/>
      <c r="T151" s="57"/>
      <c r="U151" s="58"/>
      <c r="V151" s="77"/>
      <c r="W151" s="120">
        <f>ROUND((ROUND((ROUND((ROUND((ROUND((_15_同援日増３．５*_15・通訳),0)*_15・２人),0)*(1+_15・A夜間)),0)*(1+_15・盲ろう)),0)*(1+_15・区３)),0)</f>
        <v>744</v>
      </c>
      <c r="X151" s="69"/>
    </row>
    <row r="152" spans="1:24" ht="16.5" customHeight="1" x14ac:dyDescent="0.3">
      <c r="A152" s="2">
        <v>15</v>
      </c>
      <c r="B152" s="2" t="s">
        <v>5679</v>
      </c>
      <c r="C152" s="60" t="s">
        <v>15984</v>
      </c>
      <c r="D152" s="1"/>
      <c r="E152" s="68"/>
      <c r="F152" s="70"/>
      <c r="G152" s="67"/>
      <c r="H152" s="68"/>
      <c r="I152" s="76"/>
      <c r="J152" s="85"/>
      <c r="K152" s="64"/>
      <c r="L152" s="65"/>
      <c r="M152" s="99"/>
      <c r="N152" s="70"/>
      <c r="O152" s="61"/>
      <c r="P152" s="62"/>
      <c r="Q152" s="63"/>
      <c r="R152" s="75"/>
      <c r="S152" s="74" t="s">
        <v>17971</v>
      </c>
      <c r="T152" s="62"/>
      <c r="U152" s="63"/>
      <c r="V152" s="75"/>
      <c r="W152" s="120">
        <f>ROUND((ROUND((ROUND((_15_同援日増３．５*_15・通訳),0)*(1+_15・A夜間)),0)*(1+_15・区４)),0)</f>
        <v>694</v>
      </c>
      <c r="X152" s="69"/>
    </row>
    <row r="153" spans="1:24" ht="16.5" customHeight="1" x14ac:dyDescent="0.3">
      <c r="A153" s="2">
        <v>15</v>
      </c>
      <c r="B153" s="2" t="s">
        <v>5680</v>
      </c>
      <c r="C153" s="60" t="s">
        <v>15983</v>
      </c>
      <c r="D153" s="1"/>
      <c r="E153" s="68"/>
      <c r="F153" s="70"/>
      <c r="G153" s="67"/>
      <c r="H153" s="68"/>
      <c r="I153" s="76"/>
      <c r="J153" s="83" t="s">
        <v>5895</v>
      </c>
      <c r="K153" s="64" t="s">
        <v>1</v>
      </c>
      <c r="L153" s="65">
        <v>1</v>
      </c>
      <c r="M153" s="99"/>
      <c r="N153" s="70"/>
      <c r="O153" s="66"/>
      <c r="P153" s="57"/>
      <c r="Q153" s="58"/>
      <c r="R153" s="77"/>
      <c r="S153" s="94" t="s">
        <v>17970</v>
      </c>
      <c r="T153" s="68"/>
      <c r="U153" s="76"/>
      <c r="V153" s="70"/>
      <c r="W153" s="120">
        <f>ROUND((ROUND((ROUND((ROUND((_15_同援日増３．５*_15・通訳),0)*_15・２人),0)*(1+_15・A夜間)),0)*(1+_15・区４)),0)</f>
        <v>694</v>
      </c>
      <c r="X153" s="69"/>
    </row>
    <row r="154" spans="1:24" ht="16.5" customHeight="1" x14ac:dyDescent="0.3">
      <c r="A154" s="2">
        <v>15</v>
      </c>
      <c r="B154" s="2" t="s">
        <v>5681</v>
      </c>
      <c r="C154" s="60" t="s">
        <v>15982</v>
      </c>
      <c r="D154" s="1"/>
      <c r="E154" s="68"/>
      <c r="F154" s="70"/>
      <c r="G154" s="67"/>
      <c r="H154" s="68"/>
      <c r="I154" s="76"/>
      <c r="J154" s="85"/>
      <c r="K154" s="64"/>
      <c r="L154" s="65"/>
      <c r="M154" s="99"/>
      <c r="N154" s="70"/>
      <c r="O154" s="74" t="s">
        <v>8085</v>
      </c>
      <c r="P154" s="62"/>
      <c r="Q154" s="63"/>
      <c r="R154" s="75"/>
      <c r="S154" s="67"/>
      <c r="T154" s="68" t="s">
        <v>1</v>
      </c>
      <c r="U154" s="76">
        <v>0.4</v>
      </c>
      <c r="V154" s="70" t="s">
        <v>422</v>
      </c>
      <c r="W154" s="120">
        <f>ROUND((ROUND((ROUND((ROUND((_15_同援日増３．５*_15・通訳),0)*(1+_15・A夜間)),0)*(1+_15・盲ろう)),0)*(1+_15・区４)),0)</f>
        <v>868</v>
      </c>
      <c r="X154" s="69"/>
    </row>
    <row r="155" spans="1:24" ht="16.5" customHeight="1" x14ac:dyDescent="0.3">
      <c r="A155" s="2">
        <v>15</v>
      </c>
      <c r="B155" s="2" t="s">
        <v>5682</v>
      </c>
      <c r="C155" s="60" t="s">
        <v>15981</v>
      </c>
      <c r="D155" s="81"/>
      <c r="E155" s="57"/>
      <c r="F155" s="77"/>
      <c r="G155" s="67"/>
      <c r="H155" s="68"/>
      <c r="I155" s="76"/>
      <c r="J155" s="83" t="s">
        <v>5895</v>
      </c>
      <c r="K155" s="64" t="s">
        <v>1</v>
      </c>
      <c r="L155" s="65">
        <v>1</v>
      </c>
      <c r="M155" s="99"/>
      <c r="N155" s="70"/>
      <c r="O155" s="106" t="s">
        <v>17968</v>
      </c>
      <c r="P155" s="57" t="s">
        <v>1</v>
      </c>
      <c r="Q155" s="58">
        <v>0.25</v>
      </c>
      <c r="R155" s="77" t="s">
        <v>422</v>
      </c>
      <c r="S155" s="66"/>
      <c r="T155" s="57"/>
      <c r="U155" s="58"/>
      <c r="V155" s="77"/>
      <c r="W155" s="120">
        <f>ROUND((ROUND((ROUND((ROUND((ROUND((_15_同援日増３．５*_15・通訳),0)*_15・２人),0)*(1+_15・A夜間)),0)*(1+_15・盲ろう)),0)*(1+_15・区４)),0)</f>
        <v>868</v>
      </c>
      <c r="X155" s="69"/>
    </row>
    <row r="156" spans="1:24" ht="16.5" customHeight="1" x14ac:dyDescent="0.3">
      <c r="A156" s="2">
        <v>15</v>
      </c>
      <c r="B156" s="2" t="s">
        <v>5683</v>
      </c>
      <c r="C156" s="60" t="s">
        <v>15980</v>
      </c>
      <c r="D156" s="233" t="s">
        <v>18422</v>
      </c>
      <c r="E156" s="62"/>
      <c r="F156" s="75"/>
      <c r="G156" s="67"/>
      <c r="H156" s="68"/>
      <c r="I156" s="76"/>
      <c r="J156" s="85"/>
      <c r="K156" s="64"/>
      <c r="L156" s="65"/>
      <c r="M156" s="99"/>
      <c r="N156" s="70"/>
      <c r="O156" s="61"/>
      <c r="P156" s="62"/>
      <c r="Q156" s="63"/>
      <c r="R156" s="75"/>
      <c r="S156" s="61"/>
      <c r="T156" s="62"/>
      <c r="U156" s="63"/>
      <c r="V156" s="75"/>
      <c r="W156" s="120">
        <f>ROUND((ROUND((_15_同援日増４．０*_15・通訳),0)*(1+_15・A夜間)),0)</f>
        <v>568</v>
      </c>
      <c r="X156" s="69"/>
    </row>
    <row r="157" spans="1:24" ht="16.5" customHeight="1" x14ac:dyDescent="0.3">
      <c r="A157" s="2">
        <v>15</v>
      </c>
      <c r="B157" s="2" t="s">
        <v>5684</v>
      </c>
      <c r="C157" s="60" t="s">
        <v>15979</v>
      </c>
      <c r="D157" s="1" t="s">
        <v>16882</v>
      </c>
      <c r="E157" s="68"/>
      <c r="F157" s="70"/>
      <c r="G157" s="67"/>
      <c r="H157" s="68"/>
      <c r="I157" s="76"/>
      <c r="J157" s="83" t="s">
        <v>5895</v>
      </c>
      <c r="K157" s="64" t="s">
        <v>1</v>
      </c>
      <c r="L157" s="65">
        <v>1</v>
      </c>
      <c r="M157" s="99"/>
      <c r="N157" s="70"/>
      <c r="O157" s="66"/>
      <c r="P157" s="57"/>
      <c r="Q157" s="58"/>
      <c r="R157" s="77"/>
      <c r="S157" s="67"/>
      <c r="T157" s="68"/>
      <c r="U157" s="76"/>
      <c r="V157" s="70"/>
      <c r="W157" s="120">
        <f>ROUND((ROUND((ROUND((_15_同援日増４．０*_15・通訳),0)*_15・２人),0)*(1+_15・A夜間)),0)</f>
        <v>568</v>
      </c>
      <c r="X157" s="69"/>
    </row>
    <row r="158" spans="1:24" ht="16.5" customHeight="1" x14ac:dyDescent="0.3">
      <c r="A158" s="2">
        <v>15</v>
      </c>
      <c r="B158" s="2" t="s">
        <v>5685</v>
      </c>
      <c r="C158" s="60" t="s">
        <v>15978</v>
      </c>
      <c r="D158" s="1" t="s">
        <v>8425</v>
      </c>
      <c r="E158" s="68"/>
      <c r="F158" s="70"/>
      <c r="G158" s="67"/>
      <c r="H158" s="68"/>
      <c r="I158" s="76"/>
      <c r="J158" s="85"/>
      <c r="K158" s="64"/>
      <c r="L158" s="65"/>
      <c r="M158" s="99"/>
      <c r="N158" s="70"/>
      <c r="O158" s="74" t="s">
        <v>17969</v>
      </c>
      <c r="P158" s="62"/>
      <c r="Q158" s="63"/>
      <c r="R158" s="75"/>
      <c r="S158" s="67"/>
      <c r="T158" s="68"/>
      <c r="U158" s="76"/>
      <c r="V158" s="70"/>
      <c r="W158" s="120">
        <f>ROUND((ROUND((ROUND((_15_同援日増４．０*_15・通訳),0)*(1+_15・A夜間)),0)*(1+_15・盲ろう)),0)</f>
        <v>710</v>
      </c>
      <c r="X158" s="69"/>
    </row>
    <row r="159" spans="1:24" ht="16.5" customHeight="1" x14ac:dyDescent="0.3">
      <c r="A159" s="2">
        <v>15</v>
      </c>
      <c r="B159" s="2" t="s">
        <v>5686</v>
      </c>
      <c r="C159" s="60" t="s">
        <v>15977</v>
      </c>
      <c r="D159" s="1"/>
      <c r="E159" s="119">
        <v>504</v>
      </c>
      <c r="F159" s="70" t="s">
        <v>0</v>
      </c>
      <c r="G159" s="67"/>
      <c r="H159" s="68"/>
      <c r="I159" s="76"/>
      <c r="J159" s="83" t="s">
        <v>5895</v>
      </c>
      <c r="K159" s="64" t="s">
        <v>1</v>
      </c>
      <c r="L159" s="65">
        <v>1</v>
      </c>
      <c r="M159" s="99"/>
      <c r="N159" s="70"/>
      <c r="O159" s="106" t="s">
        <v>8083</v>
      </c>
      <c r="P159" s="57" t="s">
        <v>1</v>
      </c>
      <c r="Q159" s="58">
        <v>0.25</v>
      </c>
      <c r="R159" s="77" t="s">
        <v>422</v>
      </c>
      <c r="S159" s="66"/>
      <c r="T159" s="57"/>
      <c r="U159" s="58"/>
      <c r="V159" s="77"/>
      <c r="W159" s="120">
        <f>ROUND((ROUND((ROUND((ROUND((_15_同援日増４．０*_15・通訳),0)*_15・２人),0)*(1+_15・A夜間)),0)*(1+_15・盲ろう)),0)</f>
        <v>710</v>
      </c>
      <c r="X159" s="69"/>
    </row>
    <row r="160" spans="1:24" ht="16.5" customHeight="1" x14ac:dyDescent="0.3">
      <c r="A160" s="2">
        <v>15</v>
      </c>
      <c r="B160" s="2" t="s">
        <v>5687</v>
      </c>
      <c r="C160" s="60" t="s">
        <v>15976</v>
      </c>
      <c r="D160" s="1"/>
      <c r="E160" s="68"/>
      <c r="F160" s="70"/>
      <c r="G160" s="67"/>
      <c r="H160" s="68"/>
      <c r="I160" s="76"/>
      <c r="J160" s="85"/>
      <c r="K160" s="64"/>
      <c r="L160" s="65"/>
      <c r="M160" s="99"/>
      <c r="N160" s="70"/>
      <c r="O160" s="61"/>
      <c r="P160" s="62"/>
      <c r="Q160" s="63"/>
      <c r="R160" s="75"/>
      <c r="S160" s="74" t="s">
        <v>8098</v>
      </c>
      <c r="T160" s="62"/>
      <c r="U160" s="63"/>
      <c r="V160" s="75"/>
      <c r="W160" s="120">
        <f>ROUND((ROUND((ROUND((_15_同援日増４．０*_15・通訳),0)*(1+_15・A夜間)),0)*(1+_15・区３)),0)</f>
        <v>682</v>
      </c>
      <c r="X160" s="69"/>
    </row>
    <row r="161" spans="1:24" ht="16.5" customHeight="1" x14ac:dyDescent="0.3">
      <c r="A161" s="2">
        <v>15</v>
      </c>
      <c r="B161" s="2" t="s">
        <v>5688</v>
      </c>
      <c r="C161" s="60" t="s">
        <v>15975</v>
      </c>
      <c r="D161" s="1"/>
      <c r="E161" s="68"/>
      <c r="F161" s="70"/>
      <c r="G161" s="67"/>
      <c r="H161" s="68"/>
      <c r="I161" s="76"/>
      <c r="J161" s="83" t="s">
        <v>5895</v>
      </c>
      <c r="K161" s="64" t="s">
        <v>1</v>
      </c>
      <c r="L161" s="65">
        <v>1</v>
      </c>
      <c r="M161" s="99"/>
      <c r="N161" s="70"/>
      <c r="O161" s="66"/>
      <c r="P161" s="57"/>
      <c r="Q161" s="58"/>
      <c r="R161" s="77"/>
      <c r="S161" s="94" t="s">
        <v>17970</v>
      </c>
      <c r="T161" s="68"/>
      <c r="U161" s="76"/>
      <c r="V161" s="70"/>
      <c r="W161" s="120">
        <f>ROUND((ROUND((ROUND((ROUND((_15_同援日増４．０*_15・通訳),0)*_15・２人),0)*(1+_15・A夜間)),0)*(1+_15・区３)),0)</f>
        <v>682</v>
      </c>
      <c r="X161" s="69"/>
    </row>
    <row r="162" spans="1:24" ht="16.5" customHeight="1" x14ac:dyDescent="0.3">
      <c r="A162" s="2">
        <v>15</v>
      </c>
      <c r="B162" s="2" t="s">
        <v>5689</v>
      </c>
      <c r="C162" s="60" t="s">
        <v>15974</v>
      </c>
      <c r="D162" s="1"/>
      <c r="E162" s="68"/>
      <c r="F162" s="70"/>
      <c r="G162" s="67"/>
      <c r="H162" s="68"/>
      <c r="I162" s="76"/>
      <c r="J162" s="85"/>
      <c r="K162" s="64"/>
      <c r="L162" s="65"/>
      <c r="M162" s="99"/>
      <c r="N162" s="70"/>
      <c r="O162" s="74" t="s">
        <v>18421</v>
      </c>
      <c r="P162" s="62"/>
      <c r="Q162" s="63"/>
      <c r="R162" s="75"/>
      <c r="S162" s="67"/>
      <c r="T162" s="68" t="s">
        <v>1</v>
      </c>
      <c r="U162" s="76">
        <v>0.2</v>
      </c>
      <c r="V162" s="70" t="s">
        <v>422</v>
      </c>
      <c r="W162" s="120">
        <f>ROUND((ROUND((ROUND((ROUND((_15_同援日増４．０*_15・通訳),0)*(1+_15・A夜間)),0)*(1+_15・盲ろう)),0)*(1+_15・区３)),0)</f>
        <v>852</v>
      </c>
      <c r="X162" s="69"/>
    </row>
    <row r="163" spans="1:24" ht="16.5" customHeight="1" x14ac:dyDescent="0.3">
      <c r="A163" s="2">
        <v>15</v>
      </c>
      <c r="B163" s="2" t="s">
        <v>5690</v>
      </c>
      <c r="C163" s="60" t="s">
        <v>15973</v>
      </c>
      <c r="D163" s="1"/>
      <c r="E163" s="68"/>
      <c r="F163" s="70"/>
      <c r="G163" s="67"/>
      <c r="H163" s="68"/>
      <c r="I163" s="76"/>
      <c r="J163" s="83" t="s">
        <v>5895</v>
      </c>
      <c r="K163" s="64" t="s">
        <v>1</v>
      </c>
      <c r="L163" s="65">
        <v>1</v>
      </c>
      <c r="M163" s="99"/>
      <c r="N163" s="70"/>
      <c r="O163" s="106" t="s">
        <v>17968</v>
      </c>
      <c r="P163" s="57" t="s">
        <v>1</v>
      </c>
      <c r="Q163" s="58">
        <v>0.25</v>
      </c>
      <c r="R163" s="77" t="s">
        <v>422</v>
      </c>
      <c r="S163" s="66"/>
      <c r="T163" s="57"/>
      <c r="U163" s="58"/>
      <c r="V163" s="77"/>
      <c r="W163" s="120">
        <f>ROUND((ROUND((ROUND((ROUND((ROUND((_15_同援日増４．０*_15・通訳),0)*_15・２人),0)*(1+_15・A夜間)),0)*(1+_15・盲ろう)),0)*(1+_15・区３)),0)</f>
        <v>852</v>
      </c>
      <c r="X163" s="69"/>
    </row>
    <row r="164" spans="1:24" ht="16.5" customHeight="1" x14ac:dyDescent="0.3">
      <c r="A164" s="2">
        <v>15</v>
      </c>
      <c r="B164" s="2" t="s">
        <v>5691</v>
      </c>
      <c r="C164" s="60" t="s">
        <v>15972</v>
      </c>
      <c r="D164" s="1"/>
      <c r="E164" s="68"/>
      <c r="F164" s="70"/>
      <c r="G164" s="67"/>
      <c r="H164" s="68"/>
      <c r="I164" s="76"/>
      <c r="J164" s="85"/>
      <c r="K164" s="64"/>
      <c r="L164" s="65"/>
      <c r="M164" s="99"/>
      <c r="N164" s="70"/>
      <c r="O164" s="61"/>
      <c r="P164" s="62"/>
      <c r="Q164" s="63"/>
      <c r="R164" s="75"/>
      <c r="S164" s="74" t="s">
        <v>17971</v>
      </c>
      <c r="T164" s="62"/>
      <c r="U164" s="63"/>
      <c r="V164" s="75"/>
      <c r="W164" s="120">
        <f>ROUND((ROUND((ROUND((_15_同援日増４．０*_15・通訳),0)*(1+_15・A夜間)),0)*(1+_15・区４)),0)</f>
        <v>795</v>
      </c>
      <c r="X164" s="69"/>
    </row>
    <row r="165" spans="1:24" ht="16.5" customHeight="1" x14ac:dyDescent="0.3">
      <c r="A165" s="2">
        <v>15</v>
      </c>
      <c r="B165" s="2" t="s">
        <v>5692</v>
      </c>
      <c r="C165" s="60" t="s">
        <v>15971</v>
      </c>
      <c r="D165" s="1"/>
      <c r="E165" s="68"/>
      <c r="F165" s="70"/>
      <c r="G165" s="67"/>
      <c r="H165" s="68"/>
      <c r="I165" s="76"/>
      <c r="J165" s="83" t="s">
        <v>5895</v>
      </c>
      <c r="K165" s="64" t="s">
        <v>1</v>
      </c>
      <c r="L165" s="65">
        <v>1</v>
      </c>
      <c r="M165" s="99"/>
      <c r="N165" s="70"/>
      <c r="O165" s="66"/>
      <c r="P165" s="57"/>
      <c r="Q165" s="58"/>
      <c r="R165" s="77"/>
      <c r="S165" s="94" t="s">
        <v>8087</v>
      </c>
      <c r="T165" s="68"/>
      <c r="U165" s="76"/>
      <c r="V165" s="70"/>
      <c r="W165" s="120">
        <f>ROUND((ROUND((ROUND((ROUND((_15_同援日増４．０*_15・通訳),0)*_15・２人),0)*(1+_15・A夜間)),0)*(1+_15・区４)),0)</f>
        <v>795</v>
      </c>
      <c r="X165" s="69"/>
    </row>
    <row r="166" spans="1:24" ht="16.5" customHeight="1" x14ac:dyDescent="0.3">
      <c r="A166" s="2">
        <v>15</v>
      </c>
      <c r="B166" s="2" t="s">
        <v>5693</v>
      </c>
      <c r="C166" s="60" t="s">
        <v>15970</v>
      </c>
      <c r="D166" s="1"/>
      <c r="E166" s="68"/>
      <c r="F166" s="70"/>
      <c r="G166" s="67"/>
      <c r="H166" s="68"/>
      <c r="I166" s="76"/>
      <c r="J166" s="85"/>
      <c r="K166" s="64"/>
      <c r="L166" s="65"/>
      <c r="M166" s="99"/>
      <c r="N166" s="70"/>
      <c r="O166" s="74" t="s">
        <v>17969</v>
      </c>
      <c r="P166" s="62"/>
      <c r="Q166" s="63"/>
      <c r="R166" s="75"/>
      <c r="S166" s="67"/>
      <c r="T166" s="68" t="s">
        <v>1</v>
      </c>
      <c r="U166" s="76">
        <v>0.4</v>
      </c>
      <c r="V166" s="70" t="s">
        <v>422</v>
      </c>
      <c r="W166" s="120">
        <f>ROUND((ROUND((ROUND((ROUND((_15_同援日増４．０*_15・通訳),0)*(1+_15・A夜間)),0)*(1+_15・盲ろう)),0)*(1+_15・区４)),0)</f>
        <v>994</v>
      </c>
      <c r="X166" s="69"/>
    </row>
    <row r="167" spans="1:24" ht="16.5" customHeight="1" x14ac:dyDescent="0.3">
      <c r="A167" s="2">
        <v>15</v>
      </c>
      <c r="B167" s="2" t="s">
        <v>5694</v>
      </c>
      <c r="C167" s="60" t="s">
        <v>15969</v>
      </c>
      <c r="D167" s="81"/>
      <c r="E167" s="57"/>
      <c r="F167" s="77"/>
      <c r="G167" s="67"/>
      <c r="H167" s="68"/>
      <c r="I167" s="76"/>
      <c r="J167" s="83" t="s">
        <v>5895</v>
      </c>
      <c r="K167" s="64" t="s">
        <v>1</v>
      </c>
      <c r="L167" s="65">
        <v>1</v>
      </c>
      <c r="M167" s="99"/>
      <c r="N167" s="70"/>
      <c r="O167" s="106" t="s">
        <v>17968</v>
      </c>
      <c r="P167" s="57" t="s">
        <v>1</v>
      </c>
      <c r="Q167" s="58">
        <v>0.25</v>
      </c>
      <c r="R167" s="77" t="s">
        <v>422</v>
      </c>
      <c r="S167" s="66"/>
      <c r="T167" s="57"/>
      <c r="U167" s="58"/>
      <c r="V167" s="77"/>
      <c r="W167" s="120">
        <f>ROUND((ROUND((ROUND((ROUND((ROUND((_15_同援日増４．０*_15・通訳),0)*_15・２人),0)*(1+_15・A夜間)),0)*(1+_15・盲ろう)),0)*(1+_15・区４)),0)</f>
        <v>994</v>
      </c>
      <c r="X167" s="69"/>
    </row>
    <row r="168" spans="1:24" ht="16.5" customHeight="1" x14ac:dyDescent="0.3">
      <c r="A168" s="2">
        <v>15</v>
      </c>
      <c r="B168" s="2" t="s">
        <v>5695</v>
      </c>
      <c r="C168" s="60" t="s">
        <v>15968</v>
      </c>
      <c r="D168" s="233" t="s">
        <v>18420</v>
      </c>
      <c r="E168" s="62"/>
      <c r="F168" s="75"/>
      <c r="G168" s="67"/>
      <c r="H168" s="68"/>
      <c r="I168" s="76"/>
      <c r="J168" s="85"/>
      <c r="K168" s="64"/>
      <c r="L168" s="65"/>
      <c r="M168" s="99"/>
      <c r="N168" s="70"/>
      <c r="O168" s="61"/>
      <c r="P168" s="62"/>
      <c r="Q168" s="63"/>
      <c r="R168" s="75"/>
      <c r="S168" s="61"/>
      <c r="T168" s="62"/>
      <c r="U168" s="63"/>
      <c r="V168" s="75"/>
      <c r="W168" s="120">
        <f>ROUND((ROUND((_15_同援日増４．５*_15・通訳),0)*(1+_15・A夜間)),0)</f>
        <v>638</v>
      </c>
      <c r="X168" s="69"/>
    </row>
    <row r="169" spans="1:24" ht="16.5" customHeight="1" x14ac:dyDescent="0.3">
      <c r="A169" s="2">
        <v>15</v>
      </c>
      <c r="B169" s="2" t="s">
        <v>5696</v>
      </c>
      <c r="C169" s="60" t="s">
        <v>15967</v>
      </c>
      <c r="D169" s="1" t="s">
        <v>17187</v>
      </c>
      <c r="E169" s="68"/>
      <c r="F169" s="70"/>
      <c r="G169" s="67"/>
      <c r="H169" s="68"/>
      <c r="I169" s="76"/>
      <c r="J169" s="83" t="s">
        <v>5895</v>
      </c>
      <c r="K169" s="64" t="s">
        <v>1</v>
      </c>
      <c r="L169" s="65">
        <v>1</v>
      </c>
      <c r="M169" s="99"/>
      <c r="N169" s="70"/>
      <c r="O169" s="66"/>
      <c r="P169" s="57"/>
      <c r="Q169" s="58"/>
      <c r="R169" s="77"/>
      <c r="S169" s="67"/>
      <c r="T169" s="68"/>
      <c r="U169" s="76"/>
      <c r="V169" s="70"/>
      <c r="W169" s="120">
        <f>ROUND((ROUND((ROUND((_15_同援日増４．５*_15・通訳),0)*_15・２人),0)*(1+_15・A夜間)),0)</f>
        <v>638</v>
      </c>
      <c r="X169" s="69"/>
    </row>
    <row r="170" spans="1:24" ht="16.5" customHeight="1" x14ac:dyDescent="0.3">
      <c r="A170" s="2">
        <v>15</v>
      </c>
      <c r="B170" s="2" t="s">
        <v>5697</v>
      </c>
      <c r="C170" s="60" t="s">
        <v>15966</v>
      </c>
      <c r="D170" s="1" t="s">
        <v>8621</v>
      </c>
      <c r="E170" s="68"/>
      <c r="F170" s="70"/>
      <c r="G170" s="67"/>
      <c r="H170" s="68"/>
      <c r="I170" s="76"/>
      <c r="J170" s="85"/>
      <c r="K170" s="64"/>
      <c r="L170" s="65"/>
      <c r="M170" s="99"/>
      <c r="N170" s="70"/>
      <c r="O170" s="74" t="s">
        <v>17969</v>
      </c>
      <c r="P170" s="62"/>
      <c r="Q170" s="63"/>
      <c r="R170" s="75"/>
      <c r="S170" s="67"/>
      <c r="T170" s="68"/>
      <c r="U170" s="76"/>
      <c r="V170" s="70"/>
      <c r="W170" s="120">
        <f>ROUND((ROUND((ROUND((_15_同援日増４．５*_15・通訳),0)*(1+_15・A夜間)),0)*(1+_15・盲ろう)),0)</f>
        <v>798</v>
      </c>
      <c r="X170" s="69"/>
    </row>
    <row r="171" spans="1:24" ht="16.5" customHeight="1" x14ac:dyDescent="0.3">
      <c r="A171" s="2">
        <v>15</v>
      </c>
      <c r="B171" s="2" t="s">
        <v>5698</v>
      </c>
      <c r="C171" s="60" t="s">
        <v>15965</v>
      </c>
      <c r="D171" s="1"/>
      <c r="E171" s="119">
        <v>567</v>
      </c>
      <c r="F171" s="70" t="s">
        <v>0</v>
      </c>
      <c r="G171" s="67"/>
      <c r="H171" s="68"/>
      <c r="I171" s="76"/>
      <c r="J171" s="83" t="s">
        <v>5895</v>
      </c>
      <c r="K171" s="64" t="s">
        <v>1</v>
      </c>
      <c r="L171" s="65">
        <v>1</v>
      </c>
      <c r="M171" s="99"/>
      <c r="N171" s="70"/>
      <c r="O171" s="106" t="s">
        <v>18417</v>
      </c>
      <c r="P171" s="57" t="s">
        <v>1</v>
      </c>
      <c r="Q171" s="58">
        <v>0.25</v>
      </c>
      <c r="R171" s="77" t="s">
        <v>422</v>
      </c>
      <c r="S171" s="66"/>
      <c r="T171" s="57"/>
      <c r="U171" s="58"/>
      <c r="V171" s="77"/>
      <c r="W171" s="120">
        <f>ROUND((ROUND((ROUND((ROUND((_15_同援日増４．５*_15・通訳),0)*_15・２人),0)*(1+_15・A夜間)),0)*(1+_15・盲ろう)),0)</f>
        <v>798</v>
      </c>
      <c r="X171" s="69"/>
    </row>
    <row r="172" spans="1:24" ht="16.5" customHeight="1" x14ac:dyDescent="0.3">
      <c r="A172" s="2">
        <v>15</v>
      </c>
      <c r="B172" s="2" t="s">
        <v>5699</v>
      </c>
      <c r="C172" s="60" t="s">
        <v>15964</v>
      </c>
      <c r="D172" s="1"/>
      <c r="E172" s="68"/>
      <c r="F172" s="70"/>
      <c r="G172" s="67"/>
      <c r="H172" s="68"/>
      <c r="I172" s="76"/>
      <c r="J172" s="85"/>
      <c r="K172" s="64"/>
      <c r="L172" s="65"/>
      <c r="M172" s="99"/>
      <c r="N172" s="70"/>
      <c r="O172" s="61"/>
      <c r="P172" s="62"/>
      <c r="Q172" s="63"/>
      <c r="R172" s="75"/>
      <c r="S172" s="74" t="s">
        <v>18419</v>
      </c>
      <c r="T172" s="62"/>
      <c r="U172" s="63"/>
      <c r="V172" s="75"/>
      <c r="W172" s="120">
        <f>ROUND((ROUND((ROUND((_15_同援日増４．５*_15・通訳),0)*(1+_15・A夜間)),0)*(1+_15・区３)),0)</f>
        <v>766</v>
      </c>
      <c r="X172" s="69"/>
    </row>
    <row r="173" spans="1:24" ht="16.5" customHeight="1" x14ac:dyDescent="0.3">
      <c r="A173" s="2">
        <v>15</v>
      </c>
      <c r="B173" s="2" t="s">
        <v>5700</v>
      </c>
      <c r="C173" s="60" t="s">
        <v>15963</v>
      </c>
      <c r="D173" s="1"/>
      <c r="E173" s="68"/>
      <c r="F173" s="70"/>
      <c r="G173" s="67"/>
      <c r="H173" s="68"/>
      <c r="I173" s="76"/>
      <c r="J173" s="83" t="s">
        <v>5895</v>
      </c>
      <c r="K173" s="64" t="s">
        <v>1</v>
      </c>
      <c r="L173" s="65">
        <v>1</v>
      </c>
      <c r="M173" s="99"/>
      <c r="N173" s="70"/>
      <c r="O173" s="66"/>
      <c r="P173" s="57"/>
      <c r="Q173" s="58"/>
      <c r="R173" s="77"/>
      <c r="S173" s="94" t="s">
        <v>18418</v>
      </c>
      <c r="T173" s="68"/>
      <c r="U173" s="76"/>
      <c r="V173" s="70"/>
      <c r="W173" s="120">
        <f>ROUND((ROUND((ROUND((ROUND((_15_同援日増４．５*_15・通訳),0)*_15・２人),0)*(1+_15・A夜間)),0)*(1+_15・区３)),0)</f>
        <v>766</v>
      </c>
      <c r="X173" s="69"/>
    </row>
    <row r="174" spans="1:24" ht="16.5" customHeight="1" x14ac:dyDescent="0.3">
      <c r="A174" s="2">
        <v>15</v>
      </c>
      <c r="B174" s="2" t="s">
        <v>5701</v>
      </c>
      <c r="C174" s="60" t="s">
        <v>15962</v>
      </c>
      <c r="D174" s="1"/>
      <c r="E174" s="68"/>
      <c r="F174" s="70"/>
      <c r="G174" s="67"/>
      <c r="H174" s="68"/>
      <c r="I174" s="76"/>
      <c r="J174" s="85"/>
      <c r="K174" s="64"/>
      <c r="L174" s="65"/>
      <c r="M174" s="99"/>
      <c r="N174" s="70"/>
      <c r="O174" s="74" t="s">
        <v>17969</v>
      </c>
      <c r="P174" s="62"/>
      <c r="Q174" s="63"/>
      <c r="R174" s="75"/>
      <c r="S174" s="67"/>
      <c r="T174" s="68" t="s">
        <v>1</v>
      </c>
      <c r="U174" s="76">
        <v>0.2</v>
      </c>
      <c r="V174" s="70" t="s">
        <v>422</v>
      </c>
      <c r="W174" s="120">
        <f>ROUND((ROUND((ROUND((ROUND((_15_同援日増４．５*_15・通訳),0)*(1+_15・A夜間)),0)*(1+_15・盲ろう)),0)*(1+_15・区３)),0)</f>
        <v>958</v>
      </c>
      <c r="X174" s="69"/>
    </row>
    <row r="175" spans="1:24" ht="16.5" customHeight="1" x14ac:dyDescent="0.3">
      <c r="A175" s="2">
        <v>15</v>
      </c>
      <c r="B175" s="2" t="s">
        <v>5702</v>
      </c>
      <c r="C175" s="60" t="s">
        <v>15961</v>
      </c>
      <c r="D175" s="1"/>
      <c r="E175" s="68"/>
      <c r="F175" s="70"/>
      <c r="G175" s="67"/>
      <c r="H175" s="68"/>
      <c r="I175" s="76"/>
      <c r="J175" s="83" t="s">
        <v>5895</v>
      </c>
      <c r="K175" s="64" t="s">
        <v>1</v>
      </c>
      <c r="L175" s="65">
        <v>1</v>
      </c>
      <c r="M175" s="99"/>
      <c r="N175" s="70"/>
      <c r="O175" s="106" t="s">
        <v>17968</v>
      </c>
      <c r="P175" s="57" t="s">
        <v>1</v>
      </c>
      <c r="Q175" s="58">
        <v>0.25</v>
      </c>
      <c r="R175" s="77" t="s">
        <v>422</v>
      </c>
      <c r="S175" s="66"/>
      <c r="T175" s="57"/>
      <c r="U175" s="58"/>
      <c r="V175" s="77"/>
      <c r="W175" s="120">
        <f>ROUND((ROUND((ROUND((ROUND((ROUND((_15_同援日増４．５*_15・通訳),0)*_15・２人),0)*(1+_15・A夜間)),0)*(1+_15・盲ろう)),0)*(1+_15・区３)),0)</f>
        <v>958</v>
      </c>
      <c r="X175" s="69"/>
    </row>
    <row r="176" spans="1:24" ht="16.5" customHeight="1" x14ac:dyDescent="0.3">
      <c r="A176" s="2">
        <v>15</v>
      </c>
      <c r="B176" s="2" t="s">
        <v>5703</v>
      </c>
      <c r="C176" s="60" t="s">
        <v>15960</v>
      </c>
      <c r="D176" s="1"/>
      <c r="E176" s="68"/>
      <c r="F176" s="70"/>
      <c r="G176" s="67"/>
      <c r="H176" s="68"/>
      <c r="I176" s="76"/>
      <c r="J176" s="85"/>
      <c r="K176" s="64"/>
      <c r="L176" s="65"/>
      <c r="M176" s="99"/>
      <c r="N176" s="70"/>
      <c r="O176" s="61"/>
      <c r="P176" s="62"/>
      <c r="Q176" s="63"/>
      <c r="R176" s="75"/>
      <c r="S176" s="74" t="s">
        <v>17971</v>
      </c>
      <c r="T176" s="62"/>
      <c r="U176" s="63"/>
      <c r="V176" s="75"/>
      <c r="W176" s="120">
        <f>ROUND((ROUND((ROUND((_15_同援日増４．５*_15・通訳),0)*(1+_15・A夜間)),0)*(1+_15・区４)),0)</f>
        <v>893</v>
      </c>
      <c r="X176" s="69"/>
    </row>
    <row r="177" spans="1:24" ht="16.5" customHeight="1" x14ac:dyDescent="0.3">
      <c r="A177" s="2">
        <v>15</v>
      </c>
      <c r="B177" s="2" t="s">
        <v>5704</v>
      </c>
      <c r="C177" s="60" t="s">
        <v>15959</v>
      </c>
      <c r="D177" s="1"/>
      <c r="E177" s="68"/>
      <c r="F177" s="70"/>
      <c r="G177" s="67"/>
      <c r="H177" s="68"/>
      <c r="I177" s="76"/>
      <c r="J177" s="83" t="s">
        <v>5895</v>
      </c>
      <c r="K177" s="64" t="s">
        <v>1</v>
      </c>
      <c r="L177" s="65">
        <v>1</v>
      </c>
      <c r="M177" s="99"/>
      <c r="N177" s="70"/>
      <c r="O177" s="66"/>
      <c r="P177" s="57"/>
      <c r="Q177" s="58"/>
      <c r="R177" s="77"/>
      <c r="S177" s="94" t="s">
        <v>17970</v>
      </c>
      <c r="T177" s="68"/>
      <c r="U177" s="76"/>
      <c r="V177" s="70"/>
      <c r="W177" s="120">
        <f>ROUND((ROUND((ROUND((ROUND((_15_同援日増４．５*_15・通訳),0)*_15・２人),0)*(1+_15・A夜間)),0)*(1+_15・区４)),0)</f>
        <v>893</v>
      </c>
      <c r="X177" s="69"/>
    </row>
    <row r="178" spans="1:24" ht="16.5" customHeight="1" x14ac:dyDescent="0.3">
      <c r="A178" s="2">
        <v>15</v>
      </c>
      <c r="B178" s="2" t="s">
        <v>5705</v>
      </c>
      <c r="C178" s="60" t="s">
        <v>15958</v>
      </c>
      <c r="D178" s="1"/>
      <c r="E178" s="68"/>
      <c r="F178" s="70"/>
      <c r="G178" s="67"/>
      <c r="H178" s="68"/>
      <c r="I178" s="76"/>
      <c r="J178" s="85"/>
      <c r="K178" s="64"/>
      <c r="L178" s="65"/>
      <c r="M178" s="99"/>
      <c r="N178" s="70"/>
      <c r="O178" s="74" t="s">
        <v>17969</v>
      </c>
      <c r="P178" s="62"/>
      <c r="Q178" s="63"/>
      <c r="R178" s="75"/>
      <c r="S178" s="67"/>
      <c r="T178" s="68" t="s">
        <v>1</v>
      </c>
      <c r="U178" s="76">
        <v>0.4</v>
      </c>
      <c r="V178" s="70" t="s">
        <v>422</v>
      </c>
      <c r="W178" s="120">
        <f>ROUND((ROUND((ROUND((ROUND((_15_同援日増４．５*_15・通訳),0)*(1+_15・A夜間)),0)*(1+_15・盲ろう)),0)*(1+_15・区４)),0)</f>
        <v>1117</v>
      </c>
      <c r="X178" s="69"/>
    </row>
    <row r="179" spans="1:24" ht="16.5" customHeight="1" x14ac:dyDescent="0.3">
      <c r="A179" s="2">
        <v>15</v>
      </c>
      <c r="B179" s="2" t="s">
        <v>5706</v>
      </c>
      <c r="C179" s="60" t="s">
        <v>15957</v>
      </c>
      <c r="D179" s="81"/>
      <c r="E179" s="57"/>
      <c r="F179" s="77"/>
      <c r="G179" s="66"/>
      <c r="H179" s="57"/>
      <c r="I179" s="58"/>
      <c r="J179" s="83" t="s">
        <v>5895</v>
      </c>
      <c r="K179" s="64" t="s">
        <v>1</v>
      </c>
      <c r="L179" s="65">
        <v>1</v>
      </c>
      <c r="M179" s="101"/>
      <c r="N179" s="77"/>
      <c r="O179" s="106" t="s">
        <v>18417</v>
      </c>
      <c r="P179" s="57" t="s">
        <v>1</v>
      </c>
      <c r="Q179" s="58">
        <v>0.25</v>
      </c>
      <c r="R179" s="77" t="s">
        <v>422</v>
      </c>
      <c r="S179" s="66"/>
      <c r="T179" s="57"/>
      <c r="U179" s="58"/>
      <c r="V179" s="77"/>
      <c r="W179" s="120">
        <f>ROUND((ROUND((ROUND((ROUND((ROUND((_15_同援日増４．５*_15・通訳),0)*_15・２人),0)*(1+_15・A夜間)),0)*(1+_15・盲ろう)),0)*(1+_15・区４)),0)</f>
        <v>1117</v>
      </c>
      <c r="X179" s="71"/>
    </row>
    <row r="180" spans="1:24" ht="16.5" customHeight="1" x14ac:dyDescent="0.3"/>
    <row r="181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07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0000"/>
    <pageSetUpPr fitToPage="1"/>
  </sheetPr>
  <dimension ref="A1:X164"/>
  <sheetViews>
    <sheetView zoomScaleNormal="100" zoomScaleSheetLayoutView="10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8.62890625" style="45" customWidth="1"/>
    <col min="5" max="5" width="4.1015625" style="46" bestFit="1" customWidth="1"/>
    <col min="6" max="6" width="4.734375" style="46" bestFit="1" customWidth="1"/>
    <col min="7" max="7" width="16.62890625" style="46" customWidth="1"/>
    <col min="8" max="8" width="3.1015625" style="46" bestFit="1" customWidth="1"/>
    <col min="9" max="9" width="4.1015625" style="47" bestFit="1" customWidth="1"/>
    <col min="10" max="10" width="26.47265625" style="46" bestFit="1" customWidth="1"/>
    <col min="11" max="11" width="3.1015625" style="46" bestFit="1" customWidth="1"/>
    <col min="12" max="12" width="5" style="47" bestFit="1" customWidth="1"/>
    <col min="13" max="13" width="4.1015625" style="47" bestFit="1" customWidth="1"/>
    <col min="14" max="14" width="4.734375" style="46" bestFit="1" customWidth="1"/>
    <col min="15" max="15" width="21.62890625" style="46" customWidth="1"/>
    <col min="16" max="16" width="3.1015625" style="46" bestFit="1" customWidth="1"/>
    <col min="17" max="17" width="4.1015625" style="47" bestFit="1" customWidth="1"/>
    <col min="18" max="18" width="4.734375" style="46" bestFit="1" customWidth="1"/>
    <col min="19" max="19" width="8.62890625" style="46" customWidth="1"/>
    <col min="20" max="20" width="3.1015625" style="46" bestFit="1" customWidth="1"/>
    <col min="21" max="21" width="4.1015625" style="47" bestFit="1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/>
    <row r="2" spans="1:24" ht="16.5" customHeight="1" x14ac:dyDescent="0.3"/>
    <row r="3" spans="1:24" ht="16.5" customHeight="1" x14ac:dyDescent="0.3"/>
    <row r="4" spans="1:24" ht="16.5" customHeight="1" x14ac:dyDescent="0.3">
      <c r="B4" s="229" t="s">
        <v>16298</v>
      </c>
      <c r="C4" s="131"/>
      <c r="D4" s="72"/>
    </row>
    <row r="5" spans="1:24" ht="16.5" customHeight="1" x14ac:dyDescent="0.3">
      <c r="A5" s="50" t="s">
        <v>5864</v>
      </c>
      <c r="B5" s="51"/>
      <c r="C5" s="52" t="s">
        <v>5867</v>
      </c>
      <c r="D5" s="79" t="s">
        <v>5868</v>
      </c>
      <c r="E5" s="53"/>
      <c r="F5" s="53"/>
      <c r="G5" s="53"/>
      <c r="H5" s="53"/>
      <c r="I5" s="54"/>
      <c r="J5" s="53"/>
      <c r="K5" s="53"/>
      <c r="L5" s="54"/>
      <c r="M5" s="54"/>
      <c r="N5" s="53"/>
      <c r="O5" s="53"/>
      <c r="P5" s="53"/>
      <c r="Q5" s="54"/>
      <c r="R5" s="53"/>
      <c r="S5" s="53"/>
      <c r="T5" s="53"/>
      <c r="U5" s="54"/>
      <c r="V5" s="53"/>
      <c r="W5" s="55" t="s">
        <v>5869</v>
      </c>
      <c r="X5" s="55" t="s">
        <v>5871</v>
      </c>
    </row>
    <row r="6" spans="1:24" ht="16.5" customHeight="1" x14ac:dyDescent="0.3">
      <c r="A6" s="2" t="s">
        <v>5865</v>
      </c>
      <c r="B6" s="2" t="s">
        <v>5866</v>
      </c>
      <c r="C6" s="56"/>
      <c r="D6" s="73"/>
      <c r="E6" s="57"/>
      <c r="F6" s="57"/>
      <c r="G6" s="57"/>
      <c r="H6" s="57"/>
      <c r="I6" s="58"/>
      <c r="J6" s="57"/>
      <c r="K6" s="57"/>
      <c r="L6" s="58"/>
      <c r="M6" s="58"/>
      <c r="N6" s="57"/>
      <c r="O6" s="57"/>
      <c r="P6" s="57"/>
      <c r="Q6" s="58"/>
      <c r="R6" s="57"/>
      <c r="S6" s="57"/>
      <c r="T6" s="57"/>
      <c r="U6" s="58"/>
      <c r="V6" s="57"/>
      <c r="W6" s="59" t="s">
        <v>5870</v>
      </c>
      <c r="X6" s="59" t="s">
        <v>0</v>
      </c>
    </row>
    <row r="7" spans="1:24" ht="16.5" customHeight="1" x14ac:dyDescent="0.3">
      <c r="A7" s="2">
        <v>15</v>
      </c>
      <c r="B7" s="2" t="s">
        <v>5707</v>
      </c>
      <c r="C7" s="60" t="s">
        <v>16280</v>
      </c>
      <c r="D7" s="233" t="s">
        <v>18446</v>
      </c>
      <c r="E7" s="62"/>
      <c r="F7" s="75"/>
      <c r="G7" s="61"/>
      <c r="H7" s="62"/>
      <c r="I7" s="63"/>
      <c r="J7" s="85"/>
      <c r="K7" s="64"/>
      <c r="L7" s="65"/>
      <c r="M7" s="98"/>
      <c r="N7" s="75"/>
      <c r="O7" s="61"/>
      <c r="P7" s="62"/>
      <c r="Q7" s="63"/>
      <c r="R7" s="75"/>
      <c r="S7" s="61"/>
      <c r="T7" s="62"/>
      <c r="U7" s="63"/>
      <c r="V7" s="75"/>
      <c r="W7" s="120">
        <f>ROUND((ROUND((_15_同援日増０．５*_15・通訳),0)*(1+_15・A深夜)),0)</f>
        <v>86</v>
      </c>
      <c r="X7" s="52" t="s">
        <v>5863</v>
      </c>
    </row>
    <row r="8" spans="1:24" ht="16.5" customHeight="1" x14ac:dyDescent="0.3">
      <c r="A8" s="2">
        <v>15</v>
      </c>
      <c r="B8" s="2" t="s">
        <v>5708</v>
      </c>
      <c r="C8" s="60" t="s">
        <v>16279</v>
      </c>
      <c r="D8" s="1" t="s">
        <v>7928</v>
      </c>
      <c r="E8" s="68"/>
      <c r="F8" s="70"/>
      <c r="G8" s="67"/>
      <c r="H8" s="68"/>
      <c r="I8" s="76"/>
      <c r="J8" s="83" t="s">
        <v>5895</v>
      </c>
      <c r="K8" s="64" t="s">
        <v>1</v>
      </c>
      <c r="L8" s="65">
        <v>1</v>
      </c>
      <c r="M8" s="99"/>
      <c r="N8" s="70"/>
      <c r="O8" s="66"/>
      <c r="P8" s="57"/>
      <c r="Q8" s="58"/>
      <c r="R8" s="77"/>
      <c r="S8" s="67"/>
      <c r="T8" s="68"/>
      <c r="U8" s="76"/>
      <c r="V8" s="70"/>
      <c r="W8" s="120">
        <f>ROUND((ROUND((ROUND((_15_同援日増０．５*_15・通訳),0)*_15・２人),0)*(1+_15・A深夜)),0)</f>
        <v>86</v>
      </c>
      <c r="X8" s="69"/>
    </row>
    <row r="9" spans="1:24" ht="16.5" customHeight="1" x14ac:dyDescent="0.3">
      <c r="A9" s="2">
        <v>15</v>
      </c>
      <c r="B9" s="2" t="s">
        <v>5709</v>
      </c>
      <c r="C9" s="60" t="s">
        <v>16278</v>
      </c>
      <c r="D9" s="1"/>
      <c r="E9" s="68"/>
      <c r="F9" s="70"/>
      <c r="G9" s="67"/>
      <c r="H9" s="68"/>
      <c r="I9" s="76"/>
      <c r="J9" s="85"/>
      <c r="K9" s="64"/>
      <c r="L9" s="65"/>
      <c r="M9" s="99"/>
      <c r="N9" s="70"/>
      <c r="O9" s="74" t="s">
        <v>8085</v>
      </c>
      <c r="P9" s="62"/>
      <c r="Q9" s="63"/>
      <c r="R9" s="75"/>
      <c r="S9" s="67"/>
      <c r="T9" s="68"/>
      <c r="U9" s="76"/>
      <c r="V9" s="70"/>
      <c r="W9" s="120">
        <f>ROUND((ROUND((ROUND((_15_同援日増０．５*_15・通訳),0)*(1+_15・A深夜)),0)*(1+_15・盲ろう)),0)</f>
        <v>108</v>
      </c>
      <c r="X9" s="69"/>
    </row>
    <row r="10" spans="1:24" ht="16.5" customHeight="1" x14ac:dyDescent="0.3">
      <c r="A10" s="2">
        <v>15</v>
      </c>
      <c r="B10" s="2" t="s">
        <v>5710</v>
      </c>
      <c r="C10" s="60" t="s">
        <v>16277</v>
      </c>
      <c r="D10" s="1"/>
      <c r="E10" s="119">
        <v>63</v>
      </c>
      <c r="F10" s="70" t="s">
        <v>0</v>
      </c>
      <c r="G10" s="67"/>
      <c r="H10" s="68"/>
      <c r="I10" s="76"/>
      <c r="J10" s="83" t="s">
        <v>5895</v>
      </c>
      <c r="K10" s="64" t="s">
        <v>1</v>
      </c>
      <c r="L10" s="65">
        <v>1</v>
      </c>
      <c r="M10" s="99"/>
      <c r="N10" s="70"/>
      <c r="O10" s="106" t="s">
        <v>8083</v>
      </c>
      <c r="P10" s="57" t="s">
        <v>1</v>
      </c>
      <c r="Q10" s="58">
        <v>0.25</v>
      </c>
      <c r="R10" s="77" t="s">
        <v>422</v>
      </c>
      <c r="S10" s="66"/>
      <c r="T10" s="57"/>
      <c r="U10" s="58"/>
      <c r="V10" s="77"/>
      <c r="W10" s="120">
        <f>ROUND((ROUND((ROUND((ROUND((_15_同援日増０．５*_15・通訳),0)*_15・２人),0)*(1+_15・A深夜)),0)*(1+_15・盲ろう)),0)</f>
        <v>108</v>
      </c>
      <c r="X10" s="69"/>
    </row>
    <row r="11" spans="1:24" ht="16.5" customHeight="1" x14ac:dyDescent="0.3">
      <c r="A11" s="2">
        <v>15</v>
      </c>
      <c r="B11" s="2" t="s">
        <v>5711</v>
      </c>
      <c r="C11" s="60" t="s">
        <v>16276</v>
      </c>
      <c r="D11" s="1"/>
      <c r="E11" s="68"/>
      <c r="F11" s="70"/>
      <c r="G11" s="67"/>
      <c r="H11" s="68"/>
      <c r="I11" s="76"/>
      <c r="J11" s="85"/>
      <c r="K11" s="64"/>
      <c r="L11" s="65"/>
      <c r="M11" s="99"/>
      <c r="N11" s="70"/>
      <c r="O11" s="61"/>
      <c r="P11" s="62"/>
      <c r="Q11" s="63"/>
      <c r="R11" s="75"/>
      <c r="S11" s="74" t="s">
        <v>8098</v>
      </c>
      <c r="T11" s="62"/>
      <c r="U11" s="63"/>
      <c r="V11" s="75"/>
      <c r="W11" s="120">
        <f>ROUND((ROUND((ROUND((_15_同援日増０．５*_15・通訳),0)*(1+_15・A深夜)),0)*(1+_15・区３)),0)</f>
        <v>103</v>
      </c>
      <c r="X11" s="69"/>
    </row>
    <row r="12" spans="1:24" ht="16.5" customHeight="1" x14ac:dyDescent="0.3">
      <c r="A12" s="2">
        <v>15</v>
      </c>
      <c r="B12" s="2" t="s">
        <v>5712</v>
      </c>
      <c r="C12" s="60" t="s">
        <v>16275</v>
      </c>
      <c r="D12" s="1"/>
      <c r="E12" s="68"/>
      <c r="F12" s="70"/>
      <c r="G12" s="1" t="s">
        <v>13802</v>
      </c>
      <c r="H12" s="68"/>
      <c r="I12" s="76"/>
      <c r="J12" s="83" t="s">
        <v>5895</v>
      </c>
      <c r="K12" s="64" t="s">
        <v>1</v>
      </c>
      <c r="L12" s="65">
        <v>1</v>
      </c>
      <c r="M12" s="117" t="s">
        <v>7920</v>
      </c>
      <c r="N12" s="70"/>
      <c r="O12" s="66"/>
      <c r="P12" s="57"/>
      <c r="Q12" s="58"/>
      <c r="R12" s="77"/>
      <c r="S12" s="94" t="s">
        <v>17970</v>
      </c>
      <c r="T12" s="68"/>
      <c r="U12" s="76"/>
      <c r="V12" s="70"/>
      <c r="W12" s="120">
        <f>ROUND((ROUND((ROUND((ROUND((_15_同援日増０．５*_15・通訳),0)*_15・２人),0)*(1+_15・A深夜)),0)*(1+_15・区３)),0)</f>
        <v>103</v>
      </c>
      <c r="X12" s="69"/>
    </row>
    <row r="13" spans="1:24" ht="16.5" customHeight="1" x14ac:dyDescent="0.3">
      <c r="A13" s="2">
        <v>15</v>
      </c>
      <c r="B13" s="2" t="s">
        <v>5713</v>
      </c>
      <c r="C13" s="60" t="s">
        <v>16274</v>
      </c>
      <c r="D13" s="1"/>
      <c r="E13" s="68"/>
      <c r="F13" s="70"/>
      <c r="G13" s="94" t="s">
        <v>13800</v>
      </c>
      <c r="H13" s="68" t="s">
        <v>1</v>
      </c>
      <c r="I13" s="76">
        <v>0.9</v>
      </c>
      <c r="J13" s="85"/>
      <c r="K13" s="64"/>
      <c r="L13" s="65"/>
      <c r="M13" s="99"/>
      <c r="N13" s="118" t="s">
        <v>8034</v>
      </c>
      <c r="O13" s="74" t="s">
        <v>8085</v>
      </c>
      <c r="P13" s="62"/>
      <c r="Q13" s="63"/>
      <c r="R13" s="75"/>
      <c r="S13" s="67"/>
      <c r="T13" s="68" t="s">
        <v>1</v>
      </c>
      <c r="U13" s="76">
        <v>0.2</v>
      </c>
      <c r="V13" s="70" t="s">
        <v>422</v>
      </c>
      <c r="W13" s="120">
        <f>ROUND((ROUND((ROUND((ROUND((_15_同援日増０．５*_15・通訳),0)*(1+_15・A深夜)),0)*(1+_15・盲ろう)),0)*(1+_15・区３)),0)</f>
        <v>130</v>
      </c>
      <c r="X13" s="69"/>
    </row>
    <row r="14" spans="1:24" ht="16.5" customHeight="1" x14ac:dyDescent="0.3">
      <c r="A14" s="2">
        <v>15</v>
      </c>
      <c r="B14" s="2" t="s">
        <v>5714</v>
      </c>
      <c r="C14" s="60" t="s">
        <v>16273</v>
      </c>
      <c r="D14" s="1"/>
      <c r="E14" s="68"/>
      <c r="F14" s="70"/>
      <c r="G14" s="67"/>
      <c r="H14" s="68"/>
      <c r="I14" s="76"/>
      <c r="J14" s="83" t="s">
        <v>5895</v>
      </c>
      <c r="K14" s="64" t="s">
        <v>1</v>
      </c>
      <c r="L14" s="65">
        <v>1</v>
      </c>
      <c r="M14" s="99"/>
      <c r="N14" s="70"/>
      <c r="O14" s="106" t="s">
        <v>17968</v>
      </c>
      <c r="P14" s="57" t="s">
        <v>1</v>
      </c>
      <c r="Q14" s="58">
        <v>0.25</v>
      </c>
      <c r="R14" s="77" t="s">
        <v>422</v>
      </c>
      <c r="S14" s="66"/>
      <c r="T14" s="57"/>
      <c r="U14" s="58"/>
      <c r="V14" s="77"/>
      <c r="W14" s="120">
        <f>ROUND((ROUND((ROUND((ROUND((ROUND((_15_同援日増０．５*_15・通訳),0)*_15・２人),0)*(1+_15・A深夜)),0)*(1+_15・盲ろう)),0)*(1+_15・区３)),0)</f>
        <v>130</v>
      </c>
      <c r="X14" s="69"/>
    </row>
    <row r="15" spans="1:24" ht="16.5" customHeight="1" x14ac:dyDescent="0.3">
      <c r="A15" s="2">
        <v>15</v>
      </c>
      <c r="B15" s="2" t="s">
        <v>5715</v>
      </c>
      <c r="C15" s="60" t="s">
        <v>16272</v>
      </c>
      <c r="D15" s="1"/>
      <c r="E15" s="68"/>
      <c r="F15" s="70"/>
      <c r="G15" s="67"/>
      <c r="H15" s="68"/>
      <c r="I15" s="76"/>
      <c r="J15" s="85"/>
      <c r="K15" s="64"/>
      <c r="L15" s="65"/>
      <c r="M15" s="67" t="s">
        <v>1</v>
      </c>
      <c r="N15" s="93">
        <v>0.5</v>
      </c>
      <c r="O15" s="61"/>
      <c r="P15" s="62"/>
      <c r="Q15" s="63"/>
      <c r="R15" s="75"/>
      <c r="S15" s="74" t="s">
        <v>8089</v>
      </c>
      <c r="T15" s="62"/>
      <c r="U15" s="63"/>
      <c r="V15" s="75"/>
      <c r="W15" s="120">
        <f>ROUND((ROUND((ROUND((_15_同援日増０．５*_15・通訳),0)*(1+_15・A深夜)),0)*(1+_15・区４)),0)</f>
        <v>120</v>
      </c>
      <c r="X15" s="69"/>
    </row>
    <row r="16" spans="1:24" ht="16.5" customHeight="1" x14ac:dyDescent="0.3">
      <c r="A16" s="2">
        <v>15</v>
      </c>
      <c r="B16" s="2" t="s">
        <v>5716</v>
      </c>
      <c r="C16" s="60" t="s">
        <v>16271</v>
      </c>
      <c r="D16" s="1"/>
      <c r="E16" s="68"/>
      <c r="F16" s="70"/>
      <c r="G16" s="67"/>
      <c r="H16" s="68"/>
      <c r="I16" s="76"/>
      <c r="J16" s="83" t="s">
        <v>5895</v>
      </c>
      <c r="K16" s="64" t="s">
        <v>1</v>
      </c>
      <c r="L16" s="65">
        <v>1</v>
      </c>
      <c r="M16" s="99"/>
      <c r="N16" s="100" t="s">
        <v>422</v>
      </c>
      <c r="O16" s="66"/>
      <c r="P16" s="57"/>
      <c r="Q16" s="58"/>
      <c r="R16" s="77"/>
      <c r="S16" s="94" t="s">
        <v>17970</v>
      </c>
      <c r="T16" s="68"/>
      <c r="U16" s="76"/>
      <c r="V16" s="70"/>
      <c r="W16" s="120">
        <f>ROUND((ROUND((ROUND((ROUND((_15_同援日増０．５*_15・通訳),0)*_15・２人),0)*(1+_15・A深夜)),0)*(1+_15・区４)),0)</f>
        <v>120</v>
      </c>
      <c r="X16" s="69"/>
    </row>
    <row r="17" spans="1:24" ht="16.5" customHeight="1" x14ac:dyDescent="0.3">
      <c r="A17" s="2">
        <v>15</v>
      </c>
      <c r="B17" s="2" t="s">
        <v>5717</v>
      </c>
      <c r="C17" s="60" t="s">
        <v>16270</v>
      </c>
      <c r="D17" s="1"/>
      <c r="E17" s="68"/>
      <c r="F17" s="70"/>
      <c r="G17" s="67"/>
      <c r="H17" s="68"/>
      <c r="I17" s="76"/>
      <c r="J17" s="85"/>
      <c r="K17" s="64"/>
      <c r="L17" s="65"/>
      <c r="M17" s="99"/>
      <c r="N17" s="70"/>
      <c r="O17" s="74" t="s">
        <v>17969</v>
      </c>
      <c r="P17" s="62"/>
      <c r="Q17" s="63"/>
      <c r="R17" s="75"/>
      <c r="S17" s="67"/>
      <c r="T17" s="68" t="s">
        <v>1</v>
      </c>
      <c r="U17" s="76">
        <v>0.4</v>
      </c>
      <c r="V17" s="70" t="s">
        <v>422</v>
      </c>
      <c r="W17" s="120">
        <f>ROUND((ROUND((ROUND((ROUND((_15_同援日増０．５*_15・通訳),0)*(1+_15・A深夜)),0)*(1+_15・盲ろう)),0)*(1+_15・区４)),0)</f>
        <v>151</v>
      </c>
      <c r="X17" s="69"/>
    </row>
    <row r="18" spans="1:24" ht="16.5" customHeight="1" x14ac:dyDescent="0.3">
      <c r="A18" s="2">
        <v>15</v>
      </c>
      <c r="B18" s="2" t="s">
        <v>5718</v>
      </c>
      <c r="C18" s="60" t="s">
        <v>16269</v>
      </c>
      <c r="D18" s="81"/>
      <c r="E18" s="57"/>
      <c r="F18" s="77"/>
      <c r="G18" s="67"/>
      <c r="H18" s="68"/>
      <c r="I18" s="76"/>
      <c r="J18" s="83" t="s">
        <v>5895</v>
      </c>
      <c r="K18" s="64" t="s">
        <v>1</v>
      </c>
      <c r="L18" s="65">
        <v>1</v>
      </c>
      <c r="M18" s="99"/>
      <c r="N18" s="70"/>
      <c r="O18" s="106" t="s">
        <v>17968</v>
      </c>
      <c r="P18" s="57" t="s">
        <v>1</v>
      </c>
      <c r="Q18" s="58">
        <v>0.25</v>
      </c>
      <c r="R18" s="77" t="s">
        <v>422</v>
      </c>
      <c r="S18" s="66"/>
      <c r="T18" s="57"/>
      <c r="U18" s="58"/>
      <c r="V18" s="77"/>
      <c r="W18" s="120">
        <f>ROUND((ROUND((ROUND((ROUND((ROUND((_15_同援日増０．５*_15・通訳),0)*_15・２人),0)*(1+_15・A深夜)),0)*(1+_15・盲ろう)),0)*(1+_15・区４)),0)</f>
        <v>151</v>
      </c>
      <c r="X18" s="69"/>
    </row>
    <row r="19" spans="1:24" ht="16.5" customHeight="1" x14ac:dyDescent="0.3">
      <c r="A19" s="2">
        <v>15</v>
      </c>
      <c r="B19" s="2" t="s">
        <v>5719</v>
      </c>
      <c r="C19" s="60" t="s">
        <v>16268</v>
      </c>
      <c r="D19" s="233" t="s">
        <v>18445</v>
      </c>
      <c r="E19" s="62"/>
      <c r="F19" s="75"/>
      <c r="G19" s="67"/>
      <c r="H19" s="68"/>
      <c r="I19" s="76"/>
      <c r="J19" s="85"/>
      <c r="K19" s="64"/>
      <c r="L19" s="65"/>
      <c r="M19" s="99"/>
      <c r="N19" s="70"/>
      <c r="O19" s="61"/>
      <c r="P19" s="62"/>
      <c r="Q19" s="63"/>
      <c r="R19" s="75"/>
      <c r="S19" s="61"/>
      <c r="T19" s="62"/>
      <c r="U19" s="63"/>
      <c r="V19" s="75"/>
      <c r="W19" s="120">
        <f>ROUND((ROUND((_15_同援日増１．０*_15・通訳),0)*(1+_15・A深夜)),0)</f>
        <v>170</v>
      </c>
      <c r="X19" s="69"/>
    </row>
    <row r="20" spans="1:24" ht="16.5" customHeight="1" x14ac:dyDescent="0.3">
      <c r="A20" s="2">
        <v>15</v>
      </c>
      <c r="B20" s="2" t="s">
        <v>5720</v>
      </c>
      <c r="C20" s="60" t="s">
        <v>16267</v>
      </c>
      <c r="D20" s="1" t="s">
        <v>16874</v>
      </c>
      <c r="E20" s="68"/>
      <c r="F20" s="70"/>
      <c r="G20" s="67"/>
      <c r="H20" s="68"/>
      <c r="I20" s="76"/>
      <c r="J20" s="83" t="s">
        <v>5895</v>
      </c>
      <c r="K20" s="64" t="s">
        <v>1</v>
      </c>
      <c r="L20" s="65">
        <v>1</v>
      </c>
      <c r="M20" s="99"/>
      <c r="N20" s="70"/>
      <c r="O20" s="66"/>
      <c r="P20" s="57"/>
      <c r="Q20" s="58"/>
      <c r="R20" s="77"/>
      <c r="S20" s="67"/>
      <c r="T20" s="68"/>
      <c r="U20" s="76"/>
      <c r="V20" s="70"/>
      <c r="W20" s="120">
        <f>ROUND((ROUND((ROUND((_15_同援日増１．０*_15・通訳),0)*_15・２人),0)*(1+_15・A深夜)),0)</f>
        <v>170</v>
      </c>
      <c r="X20" s="69"/>
    </row>
    <row r="21" spans="1:24" ht="16.5" customHeight="1" x14ac:dyDescent="0.3">
      <c r="A21" s="2">
        <v>15</v>
      </c>
      <c r="B21" s="2" t="s">
        <v>5721</v>
      </c>
      <c r="C21" s="60" t="s">
        <v>16266</v>
      </c>
      <c r="D21" s="1" t="s">
        <v>8572</v>
      </c>
      <c r="E21" s="68"/>
      <c r="F21" s="70"/>
      <c r="G21" s="67"/>
      <c r="H21" s="68"/>
      <c r="I21" s="76"/>
      <c r="J21" s="85"/>
      <c r="K21" s="64"/>
      <c r="L21" s="65"/>
      <c r="M21" s="99"/>
      <c r="N21" s="70"/>
      <c r="O21" s="74" t="s">
        <v>17969</v>
      </c>
      <c r="P21" s="62"/>
      <c r="Q21" s="63"/>
      <c r="R21" s="75"/>
      <c r="S21" s="67"/>
      <c r="T21" s="68"/>
      <c r="U21" s="76"/>
      <c r="V21" s="70"/>
      <c r="W21" s="120">
        <f>ROUND((ROUND((ROUND((_15_同援日増１．０*_15・通訳),0)*(1+_15・A深夜)),0)*(1+_15・盲ろう)),0)</f>
        <v>213</v>
      </c>
      <c r="X21" s="69"/>
    </row>
    <row r="22" spans="1:24" ht="16.5" customHeight="1" x14ac:dyDescent="0.3">
      <c r="A22" s="2">
        <v>15</v>
      </c>
      <c r="B22" s="2" t="s">
        <v>5722</v>
      </c>
      <c r="C22" s="60" t="s">
        <v>16265</v>
      </c>
      <c r="D22" s="1"/>
      <c r="E22" s="119">
        <v>126</v>
      </c>
      <c r="F22" s="70" t="s">
        <v>0</v>
      </c>
      <c r="G22" s="67"/>
      <c r="H22" s="68"/>
      <c r="I22" s="76"/>
      <c r="J22" s="83" t="s">
        <v>5895</v>
      </c>
      <c r="K22" s="64" t="s">
        <v>1</v>
      </c>
      <c r="L22" s="65">
        <v>1</v>
      </c>
      <c r="M22" s="99"/>
      <c r="N22" s="70"/>
      <c r="O22" s="106" t="s">
        <v>17968</v>
      </c>
      <c r="P22" s="57" t="s">
        <v>1</v>
      </c>
      <c r="Q22" s="58">
        <v>0.25</v>
      </c>
      <c r="R22" s="77" t="s">
        <v>422</v>
      </c>
      <c r="S22" s="66"/>
      <c r="T22" s="57"/>
      <c r="U22" s="58"/>
      <c r="V22" s="77"/>
      <c r="W22" s="120">
        <f>ROUND((ROUND((ROUND((ROUND((_15_同援日増１．０*_15・通訳),0)*_15・２人),0)*(1+_15・A深夜)),0)*(1+_15・盲ろう)),0)</f>
        <v>213</v>
      </c>
      <c r="X22" s="69"/>
    </row>
    <row r="23" spans="1:24" ht="16.5" customHeight="1" x14ac:dyDescent="0.3">
      <c r="A23" s="2">
        <v>15</v>
      </c>
      <c r="B23" s="2" t="s">
        <v>5723</v>
      </c>
      <c r="C23" s="60" t="s">
        <v>16264</v>
      </c>
      <c r="D23" s="1"/>
      <c r="E23" s="68"/>
      <c r="F23" s="70"/>
      <c r="G23" s="67"/>
      <c r="H23" s="68"/>
      <c r="I23" s="76"/>
      <c r="J23" s="85"/>
      <c r="K23" s="64"/>
      <c r="L23" s="65"/>
      <c r="M23" s="99"/>
      <c r="N23" s="70"/>
      <c r="O23" s="61"/>
      <c r="P23" s="62"/>
      <c r="Q23" s="63"/>
      <c r="R23" s="75"/>
      <c r="S23" s="74" t="s">
        <v>17974</v>
      </c>
      <c r="T23" s="62"/>
      <c r="U23" s="63"/>
      <c r="V23" s="75"/>
      <c r="W23" s="120">
        <f>ROUND((ROUND((ROUND((_15_同援日増１．０*_15・通訳),0)*(1+_15・A深夜)),0)*(1+_15・区３)),0)</f>
        <v>204</v>
      </c>
      <c r="X23" s="69"/>
    </row>
    <row r="24" spans="1:24" ht="16.5" customHeight="1" x14ac:dyDescent="0.3">
      <c r="A24" s="2">
        <v>15</v>
      </c>
      <c r="B24" s="2" t="s">
        <v>5724</v>
      </c>
      <c r="C24" s="60" t="s">
        <v>16263</v>
      </c>
      <c r="D24" s="1"/>
      <c r="E24" s="68"/>
      <c r="F24" s="70"/>
      <c r="G24" s="67"/>
      <c r="H24" s="68"/>
      <c r="I24" s="76"/>
      <c r="J24" s="83" t="s">
        <v>5895</v>
      </c>
      <c r="K24" s="64" t="s">
        <v>1</v>
      </c>
      <c r="L24" s="65">
        <v>1</v>
      </c>
      <c r="M24" s="99"/>
      <c r="N24" s="70"/>
      <c r="O24" s="66"/>
      <c r="P24" s="57"/>
      <c r="Q24" s="58"/>
      <c r="R24" s="77"/>
      <c r="S24" s="94" t="s">
        <v>8087</v>
      </c>
      <c r="T24" s="68"/>
      <c r="U24" s="76"/>
      <c r="V24" s="70"/>
      <c r="W24" s="120">
        <f>ROUND((ROUND((ROUND((ROUND((_15_同援日増１．０*_15・通訳),0)*_15・２人),0)*(1+_15・A深夜)),0)*(1+_15・区３)),0)</f>
        <v>204</v>
      </c>
      <c r="X24" s="69"/>
    </row>
    <row r="25" spans="1:24" ht="16.5" customHeight="1" x14ac:dyDescent="0.3">
      <c r="A25" s="2">
        <v>15</v>
      </c>
      <c r="B25" s="2" t="s">
        <v>5725</v>
      </c>
      <c r="C25" s="60" t="s">
        <v>16262</v>
      </c>
      <c r="D25" s="1"/>
      <c r="E25" s="68"/>
      <c r="F25" s="70"/>
      <c r="G25" s="67"/>
      <c r="H25" s="68"/>
      <c r="I25" s="76"/>
      <c r="J25" s="85"/>
      <c r="K25" s="64"/>
      <c r="L25" s="65"/>
      <c r="M25" s="99"/>
      <c r="N25" s="70"/>
      <c r="O25" s="74" t="s">
        <v>17969</v>
      </c>
      <c r="P25" s="62"/>
      <c r="Q25" s="63"/>
      <c r="R25" s="75"/>
      <c r="S25" s="67"/>
      <c r="T25" s="68" t="s">
        <v>1</v>
      </c>
      <c r="U25" s="76">
        <v>0.2</v>
      </c>
      <c r="V25" s="70" t="s">
        <v>422</v>
      </c>
      <c r="W25" s="120">
        <f>ROUND((ROUND((ROUND((ROUND((_15_同援日増１．０*_15・通訳),0)*(1+_15・A深夜)),0)*(1+_15・盲ろう)),0)*(1+_15・区３)),0)</f>
        <v>256</v>
      </c>
      <c r="X25" s="69"/>
    </row>
    <row r="26" spans="1:24" ht="16.5" customHeight="1" x14ac:dyDescent="0.3">
      <c r="A26" s="2">
        <v>15</v>
      </c>
      <c r="B26" s="2" t="s">
        <v>5726</v>
      </c>
      <c r="C26" s="60" t="s">
        <v>16261</v>
      </c>
      <c r="D26" s="1"/>
      <c r="E26" s="68"/>
      <c r="F26" s="70"/>
      <c r="G26" s="67"/>
      <c r="H26" s="68"/>
      <c r="I26" s="76"/>
      <c r="J26" s="83" t="s">
        <v>5895</v>
      </c>
      <c r="K26" s="64" t="s">
        <v>1</v>
      </c>
      <c r="L26" s="65">
        <v>1</v>
      </c>
      <c r="M26" s="99"/>
      <c r="N26" s="70"/>
      <c r="O26" s="106" t="s">
        <v>17968</v>
      </c>
      <c r="P26" s="57" t="s">
        <v>1</v>
      </c>
      <c r="Q26" s="58">
        <v>0.25</v>
      </c>
      <c r="R26" s="77" t="s">
        <v>422</v>
      </c>
      <c r="S26" s="66"/>
      <c r="T26" s="57"/>
      <c r="U26" s="58"/>
      <c r="V26" s="77"/>
      <c r="W26" s="120">
        <f>ROUND((ROUND((ROUND((ROUND((ROUND((_15_同援日増１．０*_15・通訳),0)*_15・２人),0)*(1+_15・A深夜)),0)*(1+_15・盲ろう)),0)*(1+_15・区３)),0)</f>
        <v>256</v>
      </c>
      <c r="X26" s="69"/>
    </row>
    <row r="27" spans="1:24" ht="16.5" customHeight="1" x14ac:dyDescent="0.3">
      <c r="A27" s="2">
        <v>15</v>
      </c>
      <c r="B27" s="2" t="s">
        <v>5727</v>
      </c>
      <c r="C27" s="60" t="s">
        <v>16260</v>
      </c>
      <c r="D27" s="1"/>
      <c r="E27" s="68"/>
      <c r="F27" s="70"/>
      <c r="G27" s="67"/>
      <c r="H27" s="68"/>
      <c r="I27" s="76"/>
      <c r="J27" s="85"/>
      <c r="K27" s="64"/>
      <c r="L27" s="65"/>
      <c r="M27" s="99"/>
      <c r="N27" s="70"/>
      <c r="O27" s="61"/>
      <c r="P27" s="62"/>
      <c r="Q27" s="63"/>
      <c r="R27" s="75"/>
      <c r="S27" s="74" t="s">
        <v>17971</v>
      </c>
      <c r="T27" s="62"/>
      <c r="U27" s="63"/>
      <c r="V27" s="75"/>
      <c r="W27" s="120">
        <f>ROUND((ROUND((ROUND((_15_同援日増１．０*_15・通訳),0)*(1+_15・A深夜)),0)*(1+_15・区４)),0)</f>
        <v>238</v>
      </c>
      <c r="X27" s="69"/>
    </row>
    <row r="28" spans="1:24" ht="16.5" customHeight="1" x14ac:dyDescent="0.3">
      <c r="A28" s="2">
        <v>15</v>
      </c>
      <c r="B28" s="2" t="s">
        <v>5728</v>
      </c>
      <c r="C28" s="60" t="s">
        <v>16259</v>
      </c>
      <c r="D28" s="1"/>
      <c r="E28" s="68"/>
      <c r="F28" s="70"/>
      <c r="G28" s="67"/>
      <c r="H28" s="68"/>
      <c r="I28" s="76"/>
      <c r="J28" s="83" t="s">
        <v>5895</v>
      </c>
      <c r="K28" s="64" t="s">
        <v>1</v>
      </c>
      <c r="L28" s="65">
        <v>1</v>
      </c>
      <c r="M28" s="99"/>
      <c r="N28" s="70"/>
      <c r="O28" s="66"/>
      <c r="P28" s="57"/>
      <c r="Q28" s="58"/>
      <c r="R28" s="77"/>
      <c r="S28" s="94" t="s">
        <v>17970</v>
      </c>
      <c r="T28" s="68"/>
      <c r="U28" s="76"/>
      <c r="V28" s="70"/>
      <c r="W28" s="120">
        <f>ROUND((ROUND((ROUND((ROUND((_15_同援日増１．０*_15・通訳),0)*_15・２人),0)*(1+_15・A深夜)),0)*(1+_15・区４)),0)</f>
        <v>238</v>
      </c>
      <c r="X28" s="69"/>
    </row>
    <row r="29" spans="1:24" ht="16.5" customHeight="1" x14ac:dyDescent="0.3">
      <c r="A29" s="2">
        <v>15</v>
      </c>
      <c r="B29" s="2" t="s">
        <v>5729</v>
      </c>
      <c r="C29" s="60" t="s">
        <v>16258</v>
      </c>
      <c r="D29" s="1"/>
      <c r="E29" s="68"/>
      <c r="F29" s="70"/>
      <c r="G29" s="67"/>
      <c r="H29" s="68"/>
      <c r="I29" s="76"/>
      <c r="J29" s="85"/>
      <c r="K29" s="64"/>
      <c r="L29" s="65"/>
      <c r="M29" s="99"/>
      <c r="N29" s="70"/>
      <c r="O29" s="74" t="s">
        <v>17969</v>
      </c>
      <c r="P29" s="62"/>
      <c r="Q29" s="63"/>
      <c r="R29" s="75"/>
      <c r="S29" s="67"/>
      <c r="T29" s="68" t="s">
        <v>1</v>
      </c>
      <c r="U29" s="76">
        <v>0.4</v>
      </c>
      <c r="V29" s="70" t="s">
        <v>422</v>
      </c>
      <c r="W29" s="120">
        <f>ROUND((ROUND((ROUND((ROUND((_15_同援日増１．０*_15・通訳),0)*(1+_15・A深夜)),0)*(1+_15・盲ろう)),0)*(1+_15・区４)),0)</f>
        <v>298</v>
      </c>
      <c r="X29" s="69"/>
    </row>
    <row r="30" spans="1:24" ht="16.5" customHeight="1" x14ac:dyDescent="0.3">
      <c r="A30" s="2">
        <v>15</v>
      </c>
      <c r="B30" s="2" t="s">
        <v>5730</v>
      </c>
      <c r="C30" s="60" t="s">
        <v>16257</v>
      </c>
      <c r="D30" s="81"/>
      <c r="E30" s="57"/>
      <c r="F30" s="77"/>
      <c r="G30" s="67"/>
      <c r="H30" s="68"/>
      <c r="I30" s="76"/>
      <c r="J30" s="83" t="s">
        <v>5895</v>
      </c>
      <c r="K30" s="64" t="s">
        <v>1</v>
      </c>
      <c r="L30" s="65">
        <v>1</v>
      </c>
      <c r="M30" s="99"/>
      <c r="N30" s="70"/>
      <c r="O30" s="106" t="s">
        <v>8083</v>
      </c>
      <c r="P30" s="57" t="s">
        <v>1</v>
      </c>
      <c r="Q30" s="58">
        <v>0.25</v>
      </c>
      <c r="R30" s="77" t="s">
        <v>422</v>
      </c>
      <c r="S30" s="66"/>
      <c r="T30" s="57"/>
      <c r="U30" s="58"/>
      <c r="V30" s="77"/>
      <c r="W30" s="120">
        <f>ROUND((ROUND((ROUND((ROUND((ROUND((_15_同援日増１．０*_15・通訳),0)*_15・２人),0)*(1+_15・A深夜)),0)*(1+_15・盲ろう)),0)*(1+_15・区４)),0)</f>
        <v>298</v>
      </c>
      <c r="X30" s="69"/>
    </row>
    <row r="31" spans="1:24" ht="16.5" customHeight="1" x14ac:dyDescent="0.3">
      <c r="A31" s="2">
        <v>15</v>
      </c>
      <c r="B31" s="2" t="s">
        <v>5731</v>
      </c>
      <c r="C31" s="60" t="s">
        <v>16256</v>
      </c>
      <c r="D31" s="233" t="s">
        <v>18444</v>
      </c>
      <c r="E31" s="62"/>
      <c r="F31" s="75"/>
      <c r="G31" s="67"/>
      <c r="H31" s="68"/>
      <c r="I31" s="76"/>
      <c r="J31" s="85"/>
      <c r="K31" s="64"/>
      <c r="L31" s="65"/>
      <c r="M31" s="99"/>
      <c r="N31" s="70"/>
      <c r="O31" s="61"/>
      <c r="P31" s="62"/>
      <c r="Q31" s="63"/>
      <c r="R31" s="75"/>
      <c r="S31" s="61"/>
      <c r="T31" s="62"/>
      <c r="U31" s="63"/>
      <c r="V31" s="75"/>
      <c r="W31" s="120">
        <f>ROUND((ROUND((_15_同援日増１．５*_15・通訳),0)*(1+_15・A深夜)),0)</f>
        <v>255</v>
      </c>
      <c r="X31" s="69"/>
    </row>
    <row r="32" spans="1:24" ht="16.5" customHeight="1" x14ac:dyDescent="0.3">
      <c r="A32" s="2">
        <v>15</v>
      </c>
      <c r="B32" s="2" t="s">
        <v>5732</v>
      </c>
      <c r="C32" s="60" t="s">
        <v>16255</v>
      </c>
      <c r="D32" s="1" t="s">
        <v>16871</v>
      </c>
      <c r="E32" s="68"/>
      <c r="F32" s="70"/>
      <c r="G32" s="67"/>
      <c r="H32" s="68"/>
      <c r="I32" s="76"/>
      <c r="J32" s="83" t="s">
        <v>5895</v>
      </c>
      <c r="K32" s="64" t="s">
        <v>1</v>
      </c>
      <c r="L32" s="65">
        <v>1</v>
      </c>
      <c r="M32" s="99"/>
      <c r="N32" s="70"/>
      <c r="O32" s="66"/>
      <c r="P32" s="57"/>
      <c r="Q32" s="58"/>
      <c r="R32" s="77"/>
      <c r="S32" s="67"/>
      <c r="T32" s="68"/>
      <c r="U32" s="76"/>
      <c r="V32" s="70"/>
      <c r="W32" s="120">
        <f>ROUND((ROUND((ROUND((_15_同援日増１．５*_15・通訳),0)*_15・２人),0)*(1+_15・A深夜)),0)</f>
        <v>255</v>
      </c>
      <c r="X32" s="69"/>
    </row>
    <row r="33" spans="1:24" ht="16.5" customHeight="1" x14ac:dyDescent="0.3">
      <c r="A33" s="2">
        <v>15</v>
      </c>
      <c r="B33" s="2" t="s">
        <v>5733</v>
      </c>
      <c r="C33" s="60" t="s">
        <v>16254</v>
      </c>
      <c r="D33" s="1" t="s">
        <v>8767</v>
      </c>
      <c r="E33" s="68"/>
      <c r="F33" s="70"/>
      <c r="G33" s="67"/>
      <c r="H33" s="68"/>
      <c r="I33" s="76"/>
      <c r="J33" s="85"/>
      <c r="K33" s="64"/>
      <c r="L33" s="65"/>
      <c r="M33" s="99"/>
      <c r="N33" s="70"/>
      <c r="O33" s="74" t="s">
        <v>8085</v>
      </c>
      <c r="P33" s="62"/>
      <c r="Q33" s="63"/>
      <c r="R33" s="75"/>
      <c r="S33" s="67"/>
      <c r="T33" s="68"/>
      <c r="U33" s="76"/>
      <c r="V33" s="70"/>
      <c r="W33" s="120">
        <f>ROUND((ROUND((ROUND((_15_同援日増１．５*_15・通訳),0)*(1+_15・A深夜)),0)*(1+_15・盲ろう)),0)</f>
        <v>319</v>
      </c>
      <c r="X33" s="69"/>
    </row>
    <row r="34" spans="1:24" ht="16.5" customHeight="1" x14ac:dyDescent="0.3">
      <c r="A34" s="2">
        <v>15</v>
      </c>
      <c r="B34" s="2" t="s">
        <v>5734</v>
      </c>
      <c r="C34" s="60" t="s">
        <v>16253</v>
      </c>
      <c r="D34" s="1"/>
      <c r="E34" s="119">
        <v>189</v>
      </c>
      <c r="F34" s="70" t="s">
        <v>0</v>
      </c>
      <c r="G34" s="67"/>
      <c r="H34" s="68"/>
      <c r="I34" s="76"/>
      <c r="J34" s="83" t="s">
        <v>5895</v>
      </c>
      <c r="K34" s="64" t="s">
        <v>1</v>
      </c>
      <c r="L34" s="65">
        <v>1</v>
      </c>
      <c r="M34" s="99"/>
      <c r="N34" s="70"/>
      <c r="O34" s="106" t="s">
        <v>17968</v>
      </c>
      <c r="P34" s="57" t="s">
        <v>1</v>
      </c>
      <c r="Q34" s="58">
        <v>0.25</v>
      </c>
      <c r="R34" s="77" t="s">
        <v>422</v>
      </c>
      <c r="S34" s="66"/>
      <c r="T34" s="57"/>
      <c r="U34" s="58"/>
      <c r="V34" s="77"/>
      <c r="W34" s="120">
        <f>ROUND((ROUND((ROUND((ROUND((_15_同援日増１．５*_15・通訳),0)*_15・２人),0)*(1+_15・A深夜)),0)*(1+_15・盲ろう)),0)</f>
        <v>319</v>
      </c>
      <c r="X34" s="69"/>
    </row>
    <row r="35" spans="1:24" ht="16.5" customHeight="1" x14ac:dyDescent="0.3">
      <c r="A35" s="2">
        <v>15</v>
      </c>
      <c r="B35" s="2" t="s">
        <v>5735</v>
      </c>
      <c r="C35" s="60" t="s">
        <v>16252</v>
      </c>
      <c r="D35" s="1"/>
      <c r="E35" s="68"/>
      <c r="F35" s="70"/>
      <c r="G35" s="67"/>
      <c r="H35" s="68"/>
      <c r="I35" s="76"/>
      <c r="J35" s="85"/>
      <c r="K35" s="64"/>
      <c r="L35" s="65"/>
      <c r="M35" s="99"/>
      <c r="N35" s="70"/>
      <c r="O35" s="61"/>
      <c r="P35" s="62"/>
      <c r="Q35" s="63"/>
      <c r="R35" s="75"/>
      <c r="S35" s="74" t="s">
        <v>8098</v>
      </c>
      <c r="T35" s="62"/>
      <c r="U35" s="63"/>
      <c r="V35" s="75"/>
      <c r="W35" s="120">
        <f>ROUND((ROUND((ROUND((_15_同援日増１．５*_15・通訳),0)*(1+_15・A深夜)),0)*(1+_15・区３)),0)</f>
        <v>306</v>
      </c>
      <c r="X35" s="69"/>
    </row>
    <row r="36" spans="1:24" ht="16.5" customHeight="1" x14ac:dyDescent="0.3">
      <c r="A36" s="2">
        <v>15</v>
      </c>
      <c r="B36" s="2" t="s">
        <v>5736</v>
      </c>
      <c r="C36" s="60" t="s">
        <v>16251</v>
      </c>
      <c r="D36" s="1"/>
      <c r="E36" s="68"/>
      <c r="F36" s="70"/>
      <c r="G36" s="67"/>
      <c r="H36" s="68"/>
      <c r="I36" s="76"/>
      <c r="J36" s="83" t="s">
        <v>5895</v>
      </c>
      <c r="K36" s="64" t="s">
        <v>1</v>
      </c>
      <c r="L36" s="65">
        <v>1</v>
      </c>
      <c r="M36" s="99"/>
      <c r="N36" s="70"/>
      <c r="O36" s="66"/>
      <c r="P36" s="57"/>
      <c r="Q36" s="58"/>
      <c r="R36" s="77"/>
      <c r="S36" s="94" t="s">
        <v>17970</v>
      </c>
      <c r="T36" s="68"/>
      <c r="U36" s="76"/>
      <c r="V36" s="70"/>
      <c r="W36" s="120">
        <f>ROUND((ROUND((ROUND((ROUND((_15_同援日増１．５*_15・通訳),0)*_15・２人),0)*(1+_15・A深夜)),0)*(1+_15・区３)),0)</f>
        <v>306</v>
      </c>
      <c r="X36" s="69"/>
    </row>
    <row r="37" spans="1:24" ht="16.5" customHeight="1" x14ac:dyDescent="0.3">
      <c r="A37" s="2">
        <v>15</v>
      </c>
      <c r="B37" s="2" t="s">
        <v>5737</v>
      </c>
      <c r="C37" s="60" t="s">
        <v>16250</v>
      </c>
      <c r="D37" s="1"/>
      <c r="E37" s="68"/>
      <c r="F37" s="70"/>
      <c r="G37" s="67"/>
      <c r="H37" s="68"/>
      <c r="I37" s="76"/>
      <c r="J37" s="85"/>
      <c r="K37" s="64"/>
      <c r="L37" s="65"/>
      <c r="M37" s="99"/>
      <c r="N37" s="70"/>
      <c r="O37" s="74" t="s">
        <v>17969</v>
      </c>
      <c r="P37" s="62"/>
      <c r="Q37" s="63"/>
      <c r="R37" s="75"/>
      <c r="S37" s="67"/>
      <c r="T37" s="68" t="s">
        <v>1</v>
      </c>
      <c r="U37" s="76">
        <v>0.2</v>
      </c>
      <c r="V37" s="70" t="s">
        <v>422</v>
      </c>
      <c r="W37" s="120">
        <f>ROUND((ROUND((ROUND((ROUND((_15_同援日増１．５*_15・通訳),0)*(1+_15・A深夜)),0)*(1+_15・盲ろう)),0)*(1+_15・区３)),0)</f>
        <v>383</v>
      </c>
      <c r="X37" s="69"/>
    </row>
    <row r="38" spans="1:24" ht="16.5" customHeight="1" x14ac:dyDescent="0.3">
      <c r="A38" s="2">
        <v>15</v>
      </c>
      <c r="B38" s="2" t="s">
        <v>5738</v>
      </c>
      <c r="C38" s="60" t="s">
        <v>16249</v>
      </c>
      <c r="D38" s="1"/>
      <c r="E38" s="68"/>
      <c r="F38" s="70"/>
      <c r="G38" s="67"/>
      <c r="H38" s="68"/>
      <c r="I38" s="76"/>
      <c r="J38" s="83" t="s">
        <v>5895</v>
      </c>
      <c r="K38" s="64" t="s">
        <v>1</v>
      </c>
      <c r="L38" s="65">
        <v>1</v>
      </c>
      <c r="M38" s="99"/>
      <c r="N38" s="70"/>
      <c r="O38" s="106" t="s">
        <v>8083</v>
      </c>
      <c r="P38" s="57" t="s">
        <v>1</v>
      </c>
      <c r="Q38" s="58">
        <v>0.25</v>
      </c>
      <c r="R38" s="77" t="s">
        <v>422</v>
      </c>
      <c r="S38" s="66"/>
      <c r="T38" s="57"/>
      <c r="U38" s="58"/>
      <c r="V38" s="77"/>
      <c r="W38" s="120">
        <f>ROUND((ROUND((ROUND((ROUND((ROUND((_15_同援日増１．５*_15・通訳),0)*_15・２人),0)*(1+_15・A深夜)),0)*(1+_15・盲ろう)),0)*(1+_15・区３)),0)</f>
        <v>383</v>
      </c>
      <c r="X38" s="69"/>
    </row>
    <row r="39" spans="1:24" ht="16.5" customHeight="1" x14ac:dyDescent="0.3">
      <c r="A39" s="2">
        <v>15</v>
      </c>
      <c r="B39" s="2" t="s">
        <v>5739</v>
      </c>
      <c r="C39" s="60" t="s">
        <v>16248</v>
      </c>
      <c r="D39" s="1"/>
      <c r="E39" s="68"/>
      <c r="F39" s="70"/>
      <c r="G39" s="67"/>
      <c r="H39" s="68"/>
      <c r="I39" s="76"/>
      <c r="J39" s="85"/>
      <c r="K39" s="64"/>
      <c r="L39" s="65"/>
      <c r="M39" s="99"/>
      <c r="N39" s="70"/>
      <c r="O39" s="61"/>
      <c r="P39" s="62"/>
      <c r="Q39" s="63"/>
      <c r="R39" s="75"/>
      <c r="S39" s="74" t="s">
        <v>17971</v>
      </c>
      <c r="T39" s="62"/>
      <c r="U39" s="63"/>
      <c r="V39" s="75"/>
      <c r="W39" s="120">
        <f>ROUND((ROUND((ROUND((_15_同援日増１．５*_15・通訳),0)*(1+_15・A深夜)),0)*(1+_15・区４)),0)</f>
        <v>357</v>
      </c>
      <c r="X39" s="69"/>
    </row>
    <row r="40" spans="1:24" ht="16.5" customHeight="1" x14ac:dyDescent="0.3">
      <c r="A40" s="2">
        <v>15</v>
      </c>
      <c r="B40" s="2" t="s">
        <v>5740</v>
      </c>
      <c r="C40" s="60" t="s">
        <v>16247</v>
      </c>
      <c r="D40" s="1"/>
      <c r="E40" s="68"/>
      <c r="F40" s="70"/>
      <c r="G40" s="67"/>
      <c r="H40" s="68"/>
      <c r="I40" s="76"/>
      <c r="J40" s="83" t="s">
        <v>5895</v>
      </c>
      <c r="K40" s="64" t="s">
        <v>1</v>
      </c>
      <c r="L40" s="65">
        <v>1</v>
      </c>
      <c r="M40" s="99"/>
      <c r="N40" s="70"/>
      <c r="O40" s="66"/>
      <c r="P40" s="57"/>
      <c r="Q40" s="58"/>
      <c r="R40" s="77"/>
      <c r="S40" s="94" t="s">
        <v>8087</v>
      </c>
      <c r="T40" s="68"/>
      <c r="U40" s="76"/>
      <c r="V40" s="70"/>
      <c r="W40" s="120">
        <f>ROUND((ROUND((ROUND((ROUND((_15_同援日増１．５*_15・通訳),0)*_15・２人),0)*(1+_15・A深夜)),0)*(1+_15・区４)),0)</f>
        <v>357</v>
      </c>
      <c r="X40" s="69"/>
    </row>
    <row r="41" spans="1:24" ht="16.5" customHeight="1" x14ac:dyDescent="0.3">
      <c r="A41" s="2">
        <v>15</v>
      </c>
      <c r="B41" s="2" t="s">
        <v>5741</v>
      </c>
      <c r="C41" s="60" t="s">
        <v>16246</v>
      </c>
      <c r="D41" s="1"/>
      <c r="E41" s="68"/>
      <c r="F41" s="70"/>
      <c r="G41" s="67"/>
      <c r="H41" s="68"/>
      <c r="I41" s="76"/>
      <c r="J41" s="85"/>
      <c r="K41" s="64"/>
      <c r="L41" s="65"/>
      <c r="M41" s="99"/>
      <c r="N41" s="70"/>
      <c r="O41" s="74" t="s">
        <v>17969</v>
      </c>
      <c r="P41" s="62"/>
      <c r="Q41" s="63"/>
      <c r="R41" s="75"/>
      <c r="S41" s="67"/>
      <c r="T41" s="68" t="s">
        <v>1</v>
      </c>
      <c r="U41" s="76">
        <v>0.4</v>
      </c>
      <c r="V41" s="70" t="s">
        <v>422</v>
      </c>
      <c r="W41" s="120">
        <f>ROUND((ROUND((ROUND((ROUND((_15_同援日増１．５*_15・通訳),0)*(1+_15・A深夜)),0)*(1+_15・盲ろう)),0)*(1+_15・区４)),0)</f>
        <v>447</v>
      </c>
      <c r="X41" s="69"/>
    </row>
    <row r="42" spans="1:24" ht="16.5" customHeight="1" x14ac:dyDescent="0.3">
      <c r="A42" s="2">
        <v>15</v>
      </c>
      <c r="B42" s="2" t="s">
        <v>5742</v>
      </c>
      <c r="C42" s="60" t="s">
        <v>16245</v>
      </c>
      <c r="D42" s="81"/>
      <c r="E42" s="57"/>
      <c r="F42" s="77"/>
      <c r="G42" s="67"/>
      <c r="H42" s="68"/>
      <c r="I42" s="76"/>
      <c r="J42" s="83" t="s">
        <v>5895</v>
      </c>
      <c r="K42" s="64" t="s">
        <v>1</v>
      </c>
      <c r="L42" s="65">
        <v>1</v>
      </c>
      <c r="M42" s="99"/>
      <c r="N42" s="70"/>
      <c r="O42" s="106" t="s">
        <v>17968</v>
      </c>
      <c r="P42" s="57" t="s">
        <v>1</v>
      </c>
      <c r="Q42" s="58">
        <v>0.25</v>
      </c>
      <c r="R42" s="77" t="s">
        <v>422</v>
      </c>
      <c r="S42" s="66"/>
      <c r="T42" s="57"/>
      <c r="U42" s="58"/>
      <c r="V42" s="77"/>
      <c r="W42" s="120">
        <f>ROUND((ROUND((ROUND((ROUND((ROUND((_15_同援日増１．５*_15・通訳),0)*_15・２人),0)*(1+_15・A深夜)),0)*(1+_15・盲ろう)),0)*(1+_15・区４)),0)</f>
        <v>447</v>
      </c>
      <c r="X42" s="69"/>
    </row>
    <row r="43" spans="1:24" ht="16.5" customHeight="1" x14ac:dyDescent="0.3">
      <c r="A43" s="2">
        <v>15</v>
      </c>
      <c r="B43" s="2" t="s">
        <v>5743</v>
      </c>
      <c r="C43" s="60" t="s">
        <v>16244</v>
      </c>
      <c r="D43" s="233" t="s">
        <v>18443</v>
      </c>
      <c r="E43" s="62"/>
      <c r="F43" s="75"/>
      <c r="G43" s="67"/>
      <c r="H43" s="68"/>
      <c r="I43" s="76"/>
      <c r="J43" s="85"/>
      <c r="K43" s="64"/>
      <c r="L43" s="65"/>
      <c r="M43" s="99"/>
      <c r="N43" s="70"/>
      <c r="O43" s="61"/>
      <c r="P43" s="62"/>
      <c r="Q43" s="63"/>
      <c r="R43" s="75"/>
      <c r="S43" s="61"/>
      <c r="T43" s="62"/>
      <c r="U43" s="63"/>
      <c r="V43" s="75"/>
      <c r="W43" s="120">
        <f>ROUND((ROUND((_15_同援日増２．０*_15・通訳),0)*(1+_15・A深夜)),0)</f>
        <v>341</v>
      </c>
      <c r="X43" s="69"/>
    </row>
    <row r="44" spans="1:24" ht="16.5" customHeight="1" x14ac:dyDescent="0.3">
      <c r="A44" s="2">
        <v>15</v>
      </c>
      <c r="B44" s="2" t="s">
        <v>5744</v>
      </c>
      <c r="C44" s="60" t="s">
        <v>16243</v>
      </c>
      <c r="D44" s="1" t="s">
        <v>16868</v>
      </c>
      <c r="E44" s="68"/>
      <c r="F44" s="70"/>
      <c r="G44" s="67"/>
      <c r="H44" s="68"/>
      <c r="I44" s="76"/>
      <c r="J44" s="83" t="s">
        <v>5895</v>
      </c>
      <c r="K44" s="64" t="s">
        <v>1</v>
      </c>
      <c r="L44" s="65">
        <v>1</v>
      </c>
      <c r="M44" s="99"/>
      <c r="N44" s="70"/>
      <c r="O44" s="66"/>
      <c r="P44" s="57"/>
      <c r="Q44" s="58"/>
      <c r="R44" s="77"/>
      <c r="S44" s="67"/>
      <c r="T44" s="68"/>
      <c r="U44" s="76"/>
      <c r="V44" s="70"/>
      <c r="W44" s="120">
        <f>ROUND((ROUND((ROUND((_15_同援日増２．０*_15・通訳),0)*_15・２人),0)*(1+_15・A深夜)),0)</f>
        <v>341</v>
      </c>
      <c r="X44" s="69"/>
    </row>
    <row r="45" spans="1:24" ht="16.5" customHeight="1" x14ac:dyDescent="0.3">
      <c r="A45" s="2">
        <v>15</v>
      </c>
      <c r="B45" s="2" t="s">
        <v>5745</v>
      </c>
      <c r="C45" s="60" t="s">
        <v>16242</v>
      </c>
      <c r="D45" s="1" t="s">
        <v>6448</v>
      </c>
      <c r="E45" s="68"/>
      <c r="F45" s="70"/>
      <c r="G45" s="67"/>
      <c r="H45" s="68"/>
      <c r="I45" s="76"/>
      <c r="J45" s="85"/>
      <c r="K45" s="64"/>
      <c r="L45" s="65"/>
      <c r="M45" s="99"/>
      <c r="N45" s="70"/>
      <c r="O45" s="74" t="s">
        <v>17969</v>
      </c>
      <c r="P45" s="62"/>
      <c r="Q45" s="63"/>
      <c r="R45" s="75"/>
      <c r="S45" s="67"/>
      <c r="T45" s="68"/>
      <c r="U45" s="76"/>
      <c r="V45" s="70"/>
      <c r="W45" s="120">
        <f>ROUND((ROUND((ROUND((_15_同援日増２．０*_15・通訳),0)*(1+_15・A深夜)),0)*(1+_15・盲ろう)),0)</f>
        <v>426</v>
      </c>
      <c r="X45" s="69"/>
    </row>
    <row r="46" spans="1:24" ht="16.5" customHeight="1" x14ac:dyDescent="0.3">
      <c r="A46" s="2">
        <v>15</v>
      </c>
      <c r="B46" s="2" t="s">
        <v>5746</v>
      </c>
      <c r="C46" s="60" t="s">
        <v>16241</v>
      </c>
      <c r="D46" s="1"/>
      <c r="E46" s="119">
        <v>252</v>
      </c>
      <c r="F46" s="70" t="s">
        <v>0</v>
      </c>
      <c r="G46" s="67"/>
      <c r="H46" s="68"/>
      <c r="I46" s="76"/>
      <c r="J46" s="83" t="s">
        <v>5895</v>
      </c>
      <c r="K46" s="64" t="s">
        <v>1</v>
      </c>
      <c r="L46" s="65">
        <v>1</v>
      </c>
      <c r="M46" s="99"/>
      <c r="N46" s="70"/>
      <c r="O46" s="106" t="s">
        <v>17968</v>
      </c>
      <c r="P46" s="57" t="s">
        <v>1</v>
      </c>
      <c r="Q46" s="58">
        <v>0.25</v>
      </c>
      <c r="R46" s="77" t="s">
        <v>422</v>
      </c>
      <c r="S46" s="66"/>
      <c r="T46" s="57"/>
      <c r="U46" s="58"/>
      <c r="V46" s="77"/>
      <c r="W46" s="120">
        <f>ROUND((ROUND((ROUND((ROUND((_15_同援日増２．０*_15・通訳),0)*_15・２人),0)*(1+_15・A深夜)),0)*(1+_15・盲ろう)),0)</f>
        <v>426</v>
      </c>
      <c r="X46" s="69"/>
    </row>
    <row r="47" spans="1:24" ht="16.5" customHeight="1" x14ac:dyDescent="0.3">
      <c r="A47" s="2">
        <v>15</v>
      </c>
      <c r="B47" s="2" t="s">
        <v>5747</v>
      </c>
      <c r="C47" s="60" t="s">
        <v>16240</v>
      </c>
      <c r="D47" s="1"/>
      <c r="E47" s="68"/>
      <c r="F47" s="70"/>
      <c r="G47" s="67"/>
      <c r="H47" s="68"/>
      <c r="I47" s="76"/>
      <c r="J47" s="85"/>
      <c r="K47" s="64"/>
      <c r="L47" s="65"/>
      <c r="M47" s="99"/>
      <c r="N47" s="70"/>
      <c r="O47" s="61"/>
      <c r="P47" s="62"/>
      <c r="Q47" s="63"/>
      <c r="R47" s="75"/>
      <c r="S47" s="74" t="s">
        <v>8098</v>
      </c>
      <c r="T47" s="62"/>
      <c r="U47" s="63"/>
      <c r="V47" s="75"/>
      <c r="W47" s="120">
        <f>ROUND((ROUND((ROUND((_15_同援日増２．０*_15・通訳),0)*(1+_15・A深夜)),0)*(1+_15・区３)),0)</f>
        <v>409</v>
      </c>
      <c r="X47" s="69"/>
    </row>
    <row r="48" spans="1:24" ht="16.5" customHeight="1" x14ac:dyDescent="0.3">
      <c r="A48" s="2">
        <v>15</v>
      </c>
      <c r="B48" s="2" t="s">
        <v>5748</v>
      </c>
      <c r="C48" s="60" t="s">
        <v>16239</v>
      </c>
      <c r="D48" s="1"/>
      <c r="E48" s="68"/>
      <c r="F48" s="70"/>
      <c r="G48" s="67"/>
      <c r="H48" s="68"/>
      <c r="I48" s="76"/>
      <c r="J48" s="83" t="s">
        <v>5895</v>
      </c>
      <c r="K48" s="64" t="s">
        <v>1</v>
      </c>
      <c r="L48" s="65">
        <v>1</v>
      </c>
      <c r="M48" s="99"/>
      <c r="N48" s="70"/>
      <c r="O48" s="66"/>
      <c r="P48" s="57"/>
      <c r="Q48" s="58"/>
      <c r="R48" s="77"/>
      <c r="S48" s="94" t="s">
        <v>8087</v>
      </c>
      <c r="T48" s="68"/>
      <c r="U48" s="76"/>
      <c r="V48" s="70"/>
      <c r="W48" s="120">
        <f>ROUND((ROUND((ROUND((ROUND((_15_同援日増２．０*_15・通訳),0)*_15・２人),0)*(1+_15・A深夜)),0)*(1+_15・区３)),0)</f>
        <v>409</v>
      </c>
      <c r="X48" s="69"/>
    </row>
    <row r="49" spans="1:24" ht="16.5" customHeight="1" x14ac:dyDescent="0.3">
      <c r="A49" s="2">
        <v>15</v>
      </c>
      <c r="B49" s="2" t="s">
        <v>5749</v>
      </c>
      <c r="C49" s="60" t="s">
        <v>16238</v>
      </c>
      <c r="D49" s="1"/>
      <c r="E49" s="68"/>
      <c r="F49" s="70"/>
      <c r="G49" s="67"/>
      <c r="H49" s="68"/>
      <c r="I49" s="76"/>
      <c r="J49" s="85"/>
      <c r="K49" s="64"/>
      <c r="L49" s="65"/>
      <c r="M49" s="99"/>
      <c r="N49" s="70"/>
      <c r="O49" s="74" t="s">
        <v>17969</v>
      </c>
      <c r="P49" s="62"/>
      <c r="Q49" s="63"/>
      <c r="R49" s="75"/>
      <c r="S49" s="67"/>
      <c r="T49" s="68" t="s">
        <v>1</v>
      </c>
      <c r="U49" s="76">
        <v>0.2</v>
      </c>
      <c r="V49" s="70" t="s">
        <v>422</v>
      </c>
      <c r="W49" s="120">
        <f>ROUND((ROUND((ROUND((ROUND((_15_同援日増２．０*_15・通訳),0)*(1+_15・A深夜)),0)*(1+_15・盲ろう)),0)*(1+_15・区３)),0)</f>
        <v>511</v>
      </c>
      <c r="X49" s="69"/>
    </row>
    <row r="50" spans="1:24" ht="16.5" customHeight="1" x14ac:dyDescent="0.3">
      <c r="A50" s="2">
        <v>15</v>
      </c>
      <c r="B50" s="2" t="s">
        <v>5750</v>
      </c>
      <c r="C50" s="60" t="s">
        <v>16237</v>
      </c>
      <c r="D50" s="1"/>
      <c r="E50" s="68"/>
      <c r="F50" s="70"/>
      <c r="G50" s="67"/>
      <c r="H50" s="68"/>
      <c r="I50" s="76"/>
      <c r="J50" s="83" t="s">
        <v>5895</v>
      </c>
      <c r="K50" s="64" t="s">
        <v>1</v>
      </c>
      <c r="L50" s="65">
        <v>1</v>
      </c>
      <c r="M50" s="99"/>
      <c r="N50" s="70"/>
      <c r="O50" s="106" t="s">
        <v>17968</v>
      </c>
      <c r="P50" s="57" t="s">
        <v>1</v>
      </c>
      <c r="Q50" s="58">
        <v>0.25</v>
      </c>
      <c r="R50" s="77" t="s">
        <v>422</v>
      </c>
      <c r="S50" s="66"/>
      <c r="T50" s="57"/>
      <c r="U50" s="58"/>
      <c r="V50" s="77"/>
      <c r="W50" s="120">
        <f>ROUND((ROUND((ROUND((ROUND((ROUND((_15_同援日増２．０*_15・通訳),0)*_15・２人),0)*(1+_15・A深夜)),0)*(1+_15・盲ろう)),0)*(1+_15・区３)),0)</f>
        <v>511</v>
      </c>
      <c r="X50" s="69"/>
    </row>
    <row r="51" spans="1:24" ht="16.5" customHeight="1" x14ac:dyDescent="0.3">
      <c r="A51" s="2">
        <v>15</v>
      </c>
      <c r="B51" s="2" t="s">
        <v>5751</v>
      </c>
      <c r="C51" s="60" t="s">
        <v>16236</v>
      </c>
      <c r="D51" s="1"/>
      <c r="E51" s="68"/>
      <c r="F51" s="70"/>
      <c r="G51" s="67"/>
      <c r="H51" s="68"/>
      <c r="I51" s="76"/>
      <c r="J51" s="85"/>
      <c r="K51" s="64"/>
      <c r="L51" s="65"/>
      <c r="M51" s="99"/>
      <c r="N51" s="70"/>
      <c r="O51" s="61"/>
      <c r="P51" s="62"/>
      <c r="Q51" s="63"/>
      <c r="R51" s="75"/>
      <c r="S51" s="74" t="s">
        <v>17971</v>
      </c>
      <c r="T51" s="62"/>
      <c r="U51" s="63"/>
      <c r="V51" s="75"/>
      <c r="W51" s="120">
        <f>ROUND((ROUND((ROUND((_15_同援日増２．０*_15・通訳),0)*(1+_15・A深夜)),0)*(1+_15・区４)),0)</f>
        <v>477</v>
      </c>
      <c r="X51" s="69"/>
    </row>
    <row r="52" spans="1:24" ht="16.5" customHeight="1" x14ac:dyDescent="0.3">
      <c r="A52" s="2">
        <v>15</v>
      </c>
      <c r="B52" s="2" t="s">
        <v>5752</v>
      </c>
      <c r="C52" s="60" t="s">
        <v>16235</v>
      </c>
      <c r="D52" s="1"/>
      <c r="E52" s="68"/>
      <c r="F52" s="70"/>
      <c r="G52" s="67"/>
      <c r="H52" s="68"/>
      <c r="I52" s="76"/>
      <c r="J52" s="83" t="s">
        <v>5895</v>
      </c>
      <c r="K52" s="64" t="s">
        <v>1</v>
      </c>
      <c r="L52" s="65">
        <v>1</v>
      </c>
      <c r="M52" s="99"/>
      <c r="N52" s="70"/>
      <c r="O52" s="66"/>
      <c r="P52" s="57"/>
      <c r="Q52" s="58"/>
      <c r="R52" s="77"/>
      <c r="S52" s="94" t="s">
        <v>17970</v>
      </c>
      <c r="T52" s="68"/>
      <c r="U52" s="76"/>
      <c r="V52" s="70"/>
      <c r="W52" s="120">
        <f>ROUND((ROUND((ROUND((ROUND((_15_同援日増２．０*_15・通訳),0)*_15・２人),0)*(1+_15・A深夜)),0)*(1+_15・区４)),0)</f>
        <v>477</v>
      </c>
      <c r="X52" s="69"/>
    </row>
    <row r="53" spans="1:24" ht="16.5" customHeight="1" x14ac:dyDescent="0.3">
      <c r="A53" s="2">
        <v>15</v>
      </c>
      <c r="B53" s="2" t="s">
        <v>5753</v>
      </c>
      <c r="C53" s="60" t="s">
        <v>16234</v>
      </c>
      <c r="D53" s="1"/>
      <c r="E53" s="68"/>
      <c r="F53" s="70"/>
      <c r="G53" s="67"/>
      <c r="H53" s="68"/>
      <c r="I53" s="76"/>
      <c r="J53" s="85"/>
      <c r="K53" s="64"/>
      <c r="L53" s="65"/>
      <c r="M53" s="99"/>
      <c r="N53" s="70"/>
      <c r="O53" s="74" t="s">
        <v>8085</v>
      </c>
      <c r="P53" s="62"/>
      <c r="Q53" s="63"/>
      <c r="R53" s="75"/>
      <c r="S53" s="67"/>
      <c r="T53" s="68" t="s">
        <v>1</v>
      </c>
      <c r="U53" s="76">
        <v>0.4</v>
      </c>
      <c r="V53" s="70" t="s">
        <v>422</v>
      </c>
      <c r="W53" s="120">
        <f>ROUND((ROUND((ROUND((ROUND((_15_同援日増２．０*_15・通訳),0)*(1+_15・A深夜)),0)*(1+_15・盲ろう)),0)*(1+_15・区４)),0)</f>
        <v>596</v>
      </c>
      <c r="X53" s="69"/>
    </row>
    <row r="54" spans="1:24" ht="16.5" customHeight="1" x14ac:dyDescent="0.3">
      <c r="A54" s="2">
        <v>15</v>
      </c>
      <c r="B54" s="2" t="s">
        <v>5754</v>
      </c>
      <c r="C54" s="60" t="s">
        <v>16233</v>
      </c>
      <c r="D54" s="81"/>
      <c r="E54" s="57"/>
      <c r="F54" s="77"/>
      <c r="G54" s="67"/>
      <c r="H54" s="68"/>
      <c r="I54" s="76"/>
      <c r="J54" s="83" t="s">
        <v>5895</v>
      </c>
      <c r="K54" s="64" t="s">
        <v>1</v>
      </c>
      <c r="L54" s="65">
        <v>1</v>
      </c>
      <c r="M54" s="99"/>
      <c r="N54" s="70"/>
      <c r="O54" s="106" t="s">
        <v>17968</v>
      </c>
      <c r="P54" s="57" t="s">
        <v>1</v>
      </c>
      <c r="Q54" s="58">
        <v>0.25</v>
      </c>
      <c r="R54" s="77" t="s">
        <v>422</v>
      </c>
      <c r="S54" s="66"/>
      <c r="T54" s="57"/>
      <c r="U54" s="58"/>
      <c r="V54" s="77"/>
      <c r="W54" s="120">
        <f>ROUND((ROUND((ROUND((ROUND((ROUND((_15_同援日増２．０*_15・通訳),0)*_15・２人),0)*(1+_15・A深夜)),0)*(1+_15・盲ろう)),0)*(1+_15・区４)),0)</f>
        <v>596</v>
      </c>
      <c r="X54" s="69"/>
    </row>
    <row r="55" spans="1:24" ht="16.5" customHeight="1" x14ac:dyDescent="0.3">
      <c r="A55" s="2">
        <v>15</v>
      </c>
      <c r="B55" s="2" t="s">
        <v>5755</v>
      </c>
      <c r="C55" s="60" t="s">
        <v>16232</v>
      </c>
      <c r="D55" s="233" t="s">
        <v>18442</v>
      </c>
      <c r="E55" s="62"/>
      <c r="F55" s="75"/>
      <c r="G55" s="67"/>
      <c r="H55" s="68"/>
      <c r="I55" s="76"/>
      <c r="J55" s="85"/>
      <c r="K55" s="64"/>
      <c r="L55" s="65"/>
      <c r="M55" s="99"/>
      <c r="N55" s="70"/>
      <c r="O55" s="61"/>
      <c r="P55" s="62"/>
      <c r="Q55" s="63"/>
      <c r="R55" s="75"/>
      <c r="S55" s="61"/>
      <c r="T55" s="62"/>
      <c r="U55" s="63"/>
      <c r="V55" s="75"/>
      <c r="W55" s="120">
        <f>ROUND((ROUND((_15_同援日増２．５*_15・通訳),0)*(1+_15・A深夜)),0)</f>
        <v>426</v>
      </c>
      <c r="X55" s="69"/>
    </row>
    <row r="56" spans="1:24" ht="16.5" customHeight="1" x14ac:dyDescent="0.3">
      <c r="A56" s="2">
        <v>15</v>
      </c>
      <c r="B56" s="2" t="s">
        <v>5756</v>
      </c>
      <c r="C56" s="60" t="s">
        <v>16231</v>
      </c>
      <c r="D56" s="1" t="s">
        <v>5977</v>
      </c>
      <c r="E56" s="68"/>
      <c r="F56" s="70"/>
      <c r="G56" s="67"/>
      <c r="H56" s="68"/>
      <c r="I56" s="76"/>
      <c r="J56" s="83" t="s">
        <v>5895</v>
      </c>
      <c r="K56" s="64" t="s">
        <v>1</v>
      </c>
      <c r="L56" s="65">
        <v>1</v>
      </c>
      <c r="M56" s="99"/>
      <c r="N56" s="70"/>
      <c r="O56" s="66"/>
      <c r="P56" s="57"/>
      <c r="Q56" s="58"/>
      <c r="R56" s="77"/>
      <c r="S56" s="67"/>
      <c r="T56" s="68"/>
      <c r="U56" s="76"/>
      <c r="V56" s="70"/>
      <c r="W56" s="120">
        <f>ROUND((ROUND((ROUND((_15_同援日増２．５*_15・通訳),0)*_15・２人),0)*(1+_15・A深夜)),0)</f>
        <v>426</v>
      </c>
      <c r="X56" s="69"/>
    </row>
    <row r="57" spans="1:24" ht="16.5" customHeight="1" x14ac:dyDescent="0.3">
      <c r="A57" s="2">
        <v>15</v>
      </c>
      <c r="B57" s="2" t="s">
        <v>5757</v>
      </c>
      <c r="C57" s="60" t="s">
        <v>16230</v>
      </c>
      <c r="D57" s="1" t="s">
        <v>8499</v>
      </c>
      <c r="E57" s="68"/>
      <c r="F57" s="70"/>
      <c r="G57" s="67"/>
      <c r="H57" s="68"/>
      <c r="I57" s="76"/>
      <c r="J57" s="85"/>
      <c r="K57" s="64"/>
      <c r="L57" s="65"/>
      <c r="M57" s="99"/>
      <c r="N57" s="70"/>
      <c r="O57" s="74" t="s">
        <v>8085</v>
      </c>
      <c r="P57" s="62"/>
      <c r="Q57" s="63"/>
      <c r="R57" s="75"/>
      <c r="S57" s="67"/>
      <c r="T57" s="68"/>
      <c r="U57" s="76"/>
      <c r="V57" s="70"/>
      <c r="W57" s="120">
        <f>ROUND((ROUND((ROUND((_15_同援日増２．５*_15・通訳),0)*(1+_15・A深夜)),0)*(1+_15・盲ろう)),0)</f>
        <v>533</v>
      </c>
      <c r="X57" s="69"/>
    </row>
    <row r="58" spans="1:24" ht="16.5" customHeight="1" x14ac:dyDescent="0.3">
      <c r="A58" s="2">
        <v>15</v>
      </c>
      <c r="B58" s="2" t="s">
        <v>5758</v>
      </c>
      <c r="C58" s="60" t="s">
        <v>16229</v>
      </c>
      <c r="D58" s="1"/>
      <c r="E58" s="119">
        <v>315</v>
      </c>
      <c r="F58" s="70" t="s">
        <v>0</v>
      </c>
      <c r="G58" s="67"/>
      <c r="H58" s="68"/>
      <c r="I58" s="76"/>
      <c r="J58" s="83" t="s">
        <v>5895</v>
      </c>
      <c r="K58" s="64" t="s">
        <v>1</v>
      </c>
      <c r="L58" s="65">
        <v>1</v>
      </c>
      <c r="M58" s="99"/>
      <c r="N58" s="70"/>
      <c r="O58" s="106" t="s">
        <v>17968</v>
      </c>
      <c r="P58" s="57" t="s">
        <v>1</v>
      </c>
      <c r="Q58" s="58">
        <v>0.25</v>
      </c>
      <c r="R58" s="77" t="s">
        <v>422</v>
      </c>
      <c r="S58" s="66"/>
      <c r="T58" s="57"/>
      <c r="U58" s="58"/>
      <c r="V58" s="77"/>
      <c r="W58" s="120">
        <f>ROUND((ROUND((ROUND((ROUND((_15_同援日増２．５*_15・通訳),0)*_15・２人),0)*(1+_15・A深夜)),0)*(1+_15・盲ろう)),0)</f>
        <v>533</v>
      </c>
      <c r="X58" s="69"/>
    </row>
    <row r="59" spans="1:24" ht="16.5" customHeight="1" x14ac:dyDescent="0.3">
      <c r="A59" s="2">
        <v>15</v>
      </c>
      <c r="B59" s="2" t="s">
        <v>5759</v>
      </c>
      <c r="C59" s="60" t="s">
        <v>16228</v>
      </c>
      <c r="D59" s="1"/>
      <c r="E59" s="68"/>
      <c r="F59" s="70"/>
      <c r="G59" s="67"/>
      <c r="H59" s="68"/>
      <c r="I59" s="76"/>
      <c r="J59" s="85"/>
      <c r="K59" s="64"/>
      <c r="L59" s="65"/>
      <c r="M59" s="99"/>
      <c r="N59" s="70"/>
      <c r="O59" s="61"/>
      <c r="P59" s="62"/>
      <c r="Q59" s="63"/>
      <c r="R59" s="75"/>
      <c r="S59" s="74" t="s">
        <v>17974</v>
      </c>
      <c r="T59" s="62"/>
      <c r="U59" s="63"/>
      <c r="V59" s="75"/>
      <c r="W59" s="120">
        <f>ROUND((ROUND((ROUND((_15_同援日増２．５*_15・通訳),0)*(1+_15・A深夜)),0)*(1+_15・区３)),0)</f>
        <v>511</v>
      </c>
      <c r="X59" s="69"/>
    </row>
    <row r="60" spans="1:24" ht="16.5" customHeight="1" x14ac:dyDescent="0.3">
      <c r="A60" s="2">
        <v>15</v>
      </c>
      <c r="B60" s="2" t="s">
        <v>5760</v>
      </c>
      <c r="C60" s="60" t="s">
        <v>16227</v>
      </c>
      <c r="D60" s="1"/>
      <c r="E60" s="68"/>
      <c r="F60" s="70"/>
      <c r="G60" s="67"/>
      <c r="H60" s="68"/>
      <c r="I60" s="76"/>
      <c r="J60" s="83" t="s">
        <v>5895</v>
      </c>
      <c r="K60" s="64" t="s">
        <v>1</v>
      </c>
      <c r="L60" s="65">
        <v>1</v>
      </c>
      <c r="M60" s="99"/>
      <c r="N60" s="70"/>
      <c r="O60" s="66"/>
      <c r="P60" s="57"/>
      <c r="Q60" s="58"/>
      <c r="R60" s="77"/>
      <c r="S60" s="94" t="s">
        <v>17970</v>
      </c>
      <c r="T60" s="68"/>
      <c r="U60" s="76"/>
      <c r="V60" s="70"/>
      <c r="W60" s="120">
        <f>ROUND((ROUND((ROUND((ROUND((_15_同援日増２．５*_15・通訳),0)*_15・２人),0)*(1+_15・A深夜)),0)*(1+_15・区３)),0)</f>
        <v>511</v>
      </c>
      <c r="X60" s="69"/>
    </row>
    <row r="61" spans="1:24" ht="16.5" customHeight="1" x14ac:dyDescent="0.3">
      <c r="A61" s="2">
        <v>15</v>
      </c>
      <c r="B61" s="2" t="s">
        <v>5761</v>
      </c>
      <c r="C61" s="60" t="s">
        <v>16226</v>
      </c>
      <c r="D61" s="1"/>
      <c r="E61" s="68"/>
      <c r="F61" s="70"/>
      <c r="G61" s="67"/>
      <c r="H61" s="68"/>
      <c r="I61" s="76"/>
      <c r="J61" s="85"/>
      <c r="K61" s="64"/>
      <c r="L61" s="65"/>
      <c r="M61" s="99"/>
      <c r="N61" s="70"/>
      <c r="O61" s="74" t="s">
        <v>17969</v>
      </c>
      <c r="P61" s="62"/>
      <c r="Q61" s="63"/>
      <c r="R61" s="75"/>
      <c r="S61" s="67"/>
      <c r="T61" s="68" t="s">
        <v>1</v>
      </c>
      <c r="U61" s="76">
        <v>0.2</v>
      </c>
      <c r="V61" s="70" t="s">
        <v>422</v>
      </c>
      <c r="W61" s="120">
        <f>ROUND((ROUND((ROUND((ROUND((_15_同援日増２．５*_15・通訳),0)*(1+_15・A深夜)),0)*(1+_15・盲ろう)),0)*(1+_15・区３)),0)</f>
        <v>640</v>
      </c>
      <c r="X61" s="69"/>
    </row>
    <row r="62" spans="1:24" ht="16.5" customHeight="1" x14ac:dyDescent="0.3">
      <c r="A62" s="2">
        <v>15</v>
      </c>
      <c r="B62" s="2" t="s">
        <v>5762</v>
      </c>
      <c r="C62" s="60" t="s">
        <v>16225</v>
      </c>
      <c r="D62" s="1"/>
      <c r="E62" s="68"/>
      <c r="F62" s="70"/>
      <c r="G62" s="67"/>
      <c r="H62" s="68"/>
      <c r="I62" s="76"/>
      <c r="J62" s="83" t="s">
        <v>5895</v>
      </c>
      <c r="K62" s="64" t="s">
        <v>1</v>
      </c>
      <c r="L62" s="65">
        <v>1</v>
      </c>
      <c r="M62" s="99"/>
      <c r="N62" s="70"/>
      <c r="O62" s="106" t="s">
        <v>17968</v>
      </c>
      <c r="P62" s="57" t="s">
        <v>1</v>
      </c>
      <c r="Q62" s="58">
        <v>0.25</v>
      </c>
      <c r="R62" s="77" t="s">
        <v>422</v>
      </c>
      <c r="S62" s="66"/>
      <c r="T62" s="57"/>
      <c r="U62" s="58"/>
      <c r="V62" s="77"/>
      <c r="W62" s="120">
        <f>ROUND((ROUND((ROUND((ROUND((ROUND((_15_同援日増２．５*_15・通訳),0)*_15・２人),0)*(1+_15・A深夜)),0)*(1+_15・盲ろう)),0)*(1+_15・区３)),0)</f>
        <v>640</v>
      </c>
      <c r="X62" s="69"/>
    </row>
    <row r="63" spans="1:24" ht="16.5" customHeight="1" x14ac:dyDescent="0.3">
      <c r="A63" s="2">
        <v>15</v>
      </c>
      <c r="B63" s="2" t="s">
        <v>5763</v>
      </c>
      <c r="C63" s="60" t="s">
        <v>16224</v>
      </c>
      <c r="D63" s="1"/>
      <c r="E63" s="68"/>
      <c r="F63" s="70"/>
      <c r="G63" s="67"/>
      <c r="H63" s="68"/>
      <c r="I63" s="76"/>
      <c r="J63" s="85"/>
      <c r="K63" s="64"/>
      <c r="L63" s="65"/>
      <c r="M63" s="99"/>
      <c r="N63" s="70"/>
      <c r="O63" s="61"/>
      <c r="P63" s="62"/>
      <c r="Q63" s="63"/>
      <c r="R63" s="75"/>
      <c r="S63" s="74" t="s">
        <v>17971</v>
      </c>
      <c r="T63" s="62"/>
      <c r="U63" s="63"/>
      <c r="V63" s="75"/>
      <c r="W63" s="120">
        <f>ROUND((ROUND((ROUND((_15_同援日増２．５*_15・通訳),0)*(1+_15・A深夜)),0)*(1+_15・区４)),0)</f>
        <v>596</v>
      </c>
      <c r="X63" s="69"/>
    </row>
    <row r="64" spans="1:24" ht="16.5" customHeight="1" x14ac:dyDescent="0.3">
      <c r="A64" s="2">
        <v>15</v>
      </c>
      <c r="B64" s="2" t="s">
        <v>5764</v>
      </c>
      <c r="C64" s="60" t="s">
        <v>16223</v>
      </c>
      <c r="D64" s="1"/>
      <c r="E64" s="68"/>
      <c r="F64" s="70"/>
      <c r="G64" s="67"/>
      <c r="H64" s="68"/>
      <c r="I64" s="76"/>
      <c r="J64" s="83" t="s">
        <v>5895</v>
      </c>
      <c r="K64" s="64" t="s">
        <v>1</v>
      </c>
      <c r="L64" s="65">
        <v>1</v>
      </c>
      <c r="M64" s="99"/>
      <c r="N64" s="70"/>
      <c r="O64" s="66"/>
      <c r="P64" s="57"/>
      <c r="Q64" s="58"/>
      <c r="R64" s="77"/>
      <c r="S64" s="94" t="s">
        <v>17970</v>
      </c>
      <c r="T64" s="68"/>
      <c r="U64" s="76"/>
      <c r="V64" s="70"/>
      <c r="W64" s="120">
        <f>ROUND((ROUND((ROUND((ROUND((_15_同援日増２．５*_15・通訳),0)*_15・２人),0)*(1+_15・A深夜)),0)*(1+_15・区４)),0)</f>
        <v>596</v>
      </c>
      <c r="X64" s="69"/>
    </row>
    <row r="65" spans="1:24" ht="16.5" customHeight="1" x14ac:dyDescent="0.3">
      <c r="A65" s="2">
        <v>15</v>
      </c>
      <c r="B65" s="2" t="s">
        <v>5765</v>
      </c>
      <c r="C65" s="60" t="s">
        <v>16222</v>
      </c>
      <c r="D65" s="1"/>
      <c r="E65" s="68"/>
      <c r="F65" s="70"/>
      <c r="G65" s="67"/>
      <c r="H65" s="68"/>
      <c r="I65" s="76"/>
      <c r="J65" s="85"/>
      <c r="K65" s="64"/>
      <c r="L65" s="65"/>
      <c r="M65" s="99"/>
      <c r="N65" s="70"/>
      <c r="O65" s="74" t="s">
        <v>8085</v>
      </c>
      <c r="P65" s="62"/>
      <c r="Q65" s="63"/>
      <c r="R65" s="75"/>
      <c r="S65" s="67"/>
      <c r="T65" s="68" t="s">
        <v>1</v>
      </c>
      <c r="U65" s="76">
        <v>0.4</v>
      </c>
      <c r="V65" s="70" t="s">
        <v>422</v>
      </c>
      <c r="W65" s="120">
        <f>ROUND((ROUND((ROUND((ROUND((_15_同援日増２．５*_15・通訳),0)*(1+_15・A深夜)),0)*(1+_15・盲ろう)),0)*(1+_15・区４)),0)</f>
        <v>746</v>
      </c>
      <c r="X65" s="69"/>
    </row>
    <row r="66" spans="1:24" ht="16.5" customHeight="1" x14ac:dyDescent="0.3">
      <c r="A66" s="2">
        <v>15</v>
      </c>
      <c r="B66" s="2" t="s">
        <v>5766</v>
      </c>
      <c r="C66" s="60" t="s">
        <v>16221</v>
      </c>
      <c r="D66" s="81"/>
      <c r="E66" s="57"/>
      <c r="F66" s="77"/>
      <c r="G66" s="67"/>
      <c r="H66" s="68"/>
      <c r="I66" s="76"/>
      <c r="J66" s="83" t="s">
        <v>5895</v>
      </c>
      <c r="K66" s="64" t="s">
        <v>1</v>
      </c>
      <c r="L66" s="65">
        <v>1</v>
      </c>
      <c r="M66" s="99"/>
      <c r="N66" s="70"/>
      <c r="O66" s="106" t="s">
        <v>8083</v>
      </c>
      <c r="P66" s="57" t="s">
        <v>1</v>
      </c>
      <c r="Q66" s="58">
        <v>0.25</v>
      </c>
      <c r="R66" s="77" t="s">
        <v>422</v>
      </c>
      <c r="S66" s="66"/>
      <c r="T66" s="57"/>
      <c r="U66" s="58"/>
      <c r="V66" s="77"/>
      <c r="W66" s="120">
        <f>ROUND((ROUND((ROUND((ROUND((ROUND((_15_同援日増２．５*_15・通訳),0)*_15・２人),0)*(1+_15・A深夜)),0)*(1+_15・盲ろう)),0)*(1+_15・区４)),0)</f>
        <v>746</v>
      </c>
      <c r="X66" s="69"/>
    </row>
    <row r="67" spans="1:24" ht="16.5" customHeight="1" x14ac:dyDescent="0.3">
      <c r="A67" s="2">
        <v>15</v>
      </c>
      <c r="B67" s="2" t="s">
        <v>5767</v>
      </c>
      <c r="C67" s="60" t="s">
        <v>16220</v>
      </c>
      <c r="D67" s="233" t="s">
        <v>16330</v>
      </c>
      <c r="E67" s="62"/>
      <c r="F67" s="75"/>
      <c r="G67" s="67"/>
      <c r="H67" s="68"/>
      <c r="I67" s="76"/>
      <c r="J67" s="85"/>
      <c r="K67" s="64"/>
      <c r="L67" s="65"/>
      <c r="M67" s="99"/>
      <c r="N67" s="70"/>
      <c r="O67" s="61"/>
      <c r="P67" s="62"/>
      <c r="Q67" s="63"/>
      <c r="R67" s="75"/>
      <c r="S67" s="61"/>
      <c r="T67" s="62"/>
      <c r="U67" s="63"/>
      <c r="V67" s="75"/>
      <c r="W67" s="120">
        <f>ROUND((ROUND((_15_同援日増３．０*_15・通訳),0)*(1+_15・A深夜)),0)</f>
        <v>510</v>
      </c>
      <c r="X67" s="69"/>
    </row>
    <row r="68" spans="1:24" ht="16.5" customHeight="1" x14ac:dyDescent="0.3">
      <c r="A68" s="2">
        <v>15</v>
      </c>
      <c r="B68" s="2" t="s">
        <v>5768</v>
      </c>
      <c r="C68" s="60" t="s">
        <v>16219</v>
      </c>
      <c r="D68" s="1" t="s">
        <v>16862</v>
      </c>
      <c r="E68" s="68"/>
      <c r="F68" s="70"/>
      <c r="G68" s="67"/>
      <c r="H68" s="68"/>
      <c r="I68" s="76"/>
      <c r="J68" s="83" t="s">
        <v>5895</v>
      </c>
      <c r="K68" s="64" t="s">
        <v>1</v>
      </c>
      <c r="L68" s="65">
        <v>1</v>
      </c>
      <c r="M68" s="99"/>
      <c r="N68" s="70"/>
      <c r="O68" s="66"/>
      <c r="P68" s="57"/>
      <c r="Q68" s="58"/>
      <c r="R68" s="77"/>
      <c r="S68" s="67"/>
      <c r="T68" s="68"/>
      <c r="U68" s="76"/>
      <c r="V68" s="70"/>
      <c r="W68" s="120">
        <f>ROUND((ROUND((ROUND((_15_同援日増３．０*_15・通訳),0)*_15・２人),0)*(1+_15・A深夜)),0)</f>
        <v>510</v>
      </c>
      <c r="X68" s="69"/>
    </row>
    <row r="69" spans="1:24" ht="16.5" customHeight="1" x14ac:dyDescent="0.3">
      <c r="A69" s="2">
        <v>15</v>
      </c>
      <c r="B69" s="2" t="s">
        <v>5769</v>
      </c>
      <c r="C69" s="60" t="s">
        <v>16218</v>
      </c>
      <c r="D69" s="1" t="s">
        <v>8694</v>
      </c>
      <c r="E69" s="68"/>
      <c r="F69" s="70"/>
      <c r="G69" s="67"/>
      <c r="H69" s="68"/>
      <c r="I69" s="76"/>
      <c r="J69" s="85"/>
      <c r="K69" s="64"/>
      <c r="L69" s="65"/>
      <c r="M69" s="99"/>
      <c r="N69" s="70"/>
      <c r="O69" s="74" t="s">
        <v>17969</v>
      </c>
      <c r="P69" s="62"/>
      <c r="Q69" s="63"/>
      <c r="R69" s="75"/>
      <c r="S69" s="67"/>
      <c r="T69" s="68"/>
      <c r="U69" s="76"/>
      <c r="V69" s="70"/>
      <c r="W69" s="120">
        <f>ROUND((ROUND((ROUND((_15_同援日増３．０*_15・通訳),0)*(1+_15・A深夜)),0)*(1+_15・盲ろう)),0)</f>
        <v>638</v>
      </c>
      <c r="X69" s="69"/>
    </row>
    <row r="70" spans="1:24" ht="16.5" customHeight="1" x14ac:dyDescent="0.3">
      <c r="A70" s="2">
        <v>15</v>
      </c>
      <c r="B70" s="2" t="s">
        <v>5770</v>
      </c>
      <c r="C70" s="60" t="s">
        <v>16217</v>
      </c>
      <c r="D70" s="1"/>
      <c r="E70" s="119">
        <v>378</v>
      </c>
      <c r="F70" s="70" t="s">
        <v>0</v>
      </c>
      <c r="G70" s="67"/>
      <c r="H70" s="68"/>
      <c r="I70" s="76"/>
      <c r="J70" s="83" t="s">
        <v>5895</v>
      </c>
      <c r="K70" s="64" t="s">
        <v>1</v>
      </c>
      <c r="L70" s="65">
        <v>1</v>
      </c>
      <c r="M70" s="99"/>
      <c r="N70" s="70"/>
      <c r="O70" s="106" t="s">
        <v>17968</v>
      </c>
      <c r="P70" s="57" t="s">
        <v>1</v>
      </c>
      <c r="Q70" s="58">
        <v>0.25</v>
      </c>
      <c r="R70" s="77" t="s">
        <v>422</v>
      </c>
      <c r="S70" s="66"/>
      <c r="T70" s="57"/>
      <c r="U70" s="58"/>
      <c r="V70" s="77"/>
      <c r="W70" s="120">
        <f>ROUND((ROUND((ROUND((ROUND((_15_同援日増３．０*_15・通訳),0)*_15・２人),0)*(1+_15・A深夜)),0)*(1+_15・盲ろう)),0)</f>
        <v>638</v>
      </c>
      <c r="X70" s="69"/>
    </row>
    <row r="71" spans="1:24" ht="16.5" customHeight="1" x14ac:dyDescent="0.3">
      <c r="A71" s="2">
        <v>15</v>
      </c>
      <c r="B71" s="2" t="s">
        <v>5771</v>
      </c>
      <c r="C71" s="60" t="s">
        <v>16216</v>
      </c>
      <c r="D71" s="1"/>
      <c r="E71" s="68"/>
      <c r="F71" s="70"/>
      <c r="G71" s="67"/>
      <c r="H71" s="68"/>
      <c r="I71" s="76"/>
      <c r="J71" s="85"/>
      <c r="K71" s="64"/>
      <c r="L71" s="65"/>
      <c r="M71" s="99"/>
      <c r="N71" s="70"/>
      <c r="O71" s="61"/>
      <c r="P71" s="62"/>
      <c r="Q71" s="63"/>
      <c r="R71" s="75"/>
      <c r="S71" s="74" t="s">
        <v>8098</v>
      </c>
      <c r="T71" s="62"/>
      <c r="U71" s="63"/>
      <c r="V71" s="75"/>
      <c r="W71" s="120">
        <f>ROUND((ROUND((ROUND((_15_同援日増３．０*_15・通訳),0)*(1+_15・A深夜)),0)*(1+_15・区３)),0)</f>
        <v>612</v>
      </c>
      <c r="X71" s="69"/>
    </row>
    <row r="72" spans="1:24" ht="16.5" customHeight="1" x14ac:dyDescent="0.3">
      <c r="A72" s="2">
        <v>15</v>
      </c>
      <c r="B72" s="2" t="s">
        <v>5772</v>
      </c>
      <c r="C72" s="60" t="s">
        <v>16215</v>
      </c>
      <c r="D72" s="1"/>
      <c r="E72" s="68"/>
      <c r="F72" s="70"/>
      <c r="G72" s="67"/>
      <c r="H72" s="68"/>
      <c r="I72" s="76"/>
      <c r="J72" s="83" t="s">
        <v>5895</v>
      </c>
      <c r="K72" s="64" t="s">
        <v>1</v>
      </c>
      <c r="L72" s="65">
        <v>1</v>
      </c>
      <c r="M72" s="99"/>
      <c r="N72" s="70"/>
      <c r="O72" s="66"/>
      <c r="P72" s="57"/>
      <c r="Q72" s="58"/>
      <c r="R72" s="77"/>
      <c r="S72" s="94" t="s">
        <v>17970</v>
      </c>
      <c r="T72" s="68"/>
      <c r="U72" s="76"/>
      <c r="V72" s="70"/>
      <c r="W72" s="120">
        <f>ROUND((ROUND((ROUND((ROUND((_15_同援日増３．０*_15・通訳),0)*_15・２人),0)*(1+_15・A深夜)),0)*(1+_15・区３)),0)</f>
        <v>612</v>
      </c>
      <c r="X72" s="69"/>
    </row>
    <row r="73" spans="1:24" ht="16.5" customHeight="1" x14ac:dyDescent="0.3">
      <c r="A73" s="2">
        <v>15</v>
      </c>
      <c r="B73" s="2" t="s">
        <v>5773</v>
      </c>
      <c r="C73" s="60" t="s">
        <v>16214</v>
      </c>
      <c r="D73" s="1"/>
      <c r="E73" s="68"/>
      <c r="F73" s="70"/>
      <c r="G73" s="67"/>
      <c r="H73" s="68"/>
      <c r="I73" s="76"/>
      <c r="J73" s="85"/>
      <c r="K73" s="64"/>
      <c r="L73" s="65"/>
      <c r="M73" s="99"/>
      <c r="N73" s="70"/>
      <c r="O73" s="74" t="s">
        <v>8085</v>
      </c>
      <c r="P73" s="62"/>
      <c r="Q73" s="63"/>
      <c r="R73" s="75"/>
      <c r="S73" s="67"/>
      <c r="T73" s="68" t="s">
        <v>1</v>
      </c>
      <c r="U73" s="76">
        <v>0.2</v>
      </c>
      <c r="V73" s="70" t="s">
        <v>422</v>
      </c>
      <c r="W73" s="120">
        <f>ROUND((ROUND((ROUND((ROUND((_15_同援日増３．０*_15・通訳),0)*(1+_15・A深夜)),0)*(1+_15・盲ろう)),0)*(1+_15・区３)),0)</f>
        <v>766</v>
      </c>
      <c r="X73" s="69"/>
    </row>
    <row r="74" spans="1:24" ht="16.5" customHeight="1" x14ac:dyDescent="0.3">
      <c r="A74" s="2">
        <v>15</v>
      </c>
      <c r="B74" s="2" t="s">
        <v>5774</v>
      </c>
      <c r="C74" s="60" t="s">
        <v>16213</v>
      </c>
      <c r="D74" s="1"/>
      <c r="E74" s="68"/>
      <c r="F74" s="70"/>
      <c r="G74" s="67"/>
      <c r="H74" s="68"/>
      <c r="I74" s="76"/>
      <c r="J74" s="83" t="s">
        <v>5895</v>
      </c>
      <c r="K74" s="64" t="s">
        <v>1</v>
      </c>
      <c r="L74" s="65">
        <v>1</v>
      </c>
      <c r="M74" s="99"/>
      <c r="N74" s="70"/>
      <c r="O74" s="106" t="s">
        <v>17968</v>
      </c>
      <c r="P74" s="57" t="s">
        <v>1</v>
      </c>
      <c r="Q74" s="58">
        <v>0.25</v>
      </c>
      <c r="R74" s="77" t="s">
        <v>422</v>
      </c>
      <c r="S74" s="66"/>
      <c r="T74" s="57"/>
      <c r="U74" s="58"/>
      <c r="V74" s="77"/>
      <c r="W74" s="120">
        <f>ROUND((ROUND((ROUND((ROUND((ROUND((_15_同援日増３．０*_15・通訳),0)*_15・２人),0)*(1+_15・A深夜)),0)*(1+_15・盲ろう)),0)*(1+_15・区３)),0)</f>
        <v>766</v>
      </c>
      <c r="X74" s="69"/>
    </row>
    <row r="75" spans="1:24" ht="16.5" customHeight="1" x14ac:dyDescent="0.3">
      <c r="A75" s="2">
        <v>15</v>
      </c>
      <c r="B75" s="2" t="s">
        <v>5775</v>
      </c>
      <c r="C75" s="60" t="s">
        <v>16212</v>
      </c>
      <c r="D75" s="1"/>
      <c r="E75" s="68"/>
      <c r="F75" s="70"/>
      <c r="G75" s="67"/>
      <c r="H75" s="68"/>
      <c r="I75" s="76"/>
      <c r="J75" s="85"/>
      <c r="K75" s="64"/>
      <c r="L75" s="65"/>
      <c r="M75" s="99"/>
      <c r="N75" s="70"/>
      <c r="O75" s="61"/>
      <c r="P75" s="62"/>
      <c r="Q75" s="63"/>
      <c r="R75" s="75"/>
      <c r="S75" s="74" t="s">
        <v>17971</v>
      </c>
      <c r="T75" s="62"/>
      <c r="U75" s="63"/>
      <c r="V75" s="75"/>
      <c r="W75" s="120">
        <f>ROUND((ROUND((ROUND((_15_同援日増３．０*_15・通訳),0)*(1+_15・A深夜)),0)*(1+_15・区４)),0)</f>
        <v>714</v>
      </c>
      <c r="X75" s="69"/>
    </row>
    <row r="76" spans="1:24" ht="16.5" customHeight="1" x14ac:dyDescent="0.3">
      <c r="A76" s="2">
        <v>15</v>
      </c>
      <c r="B76" s="2" t="s">
        <v>5776</v>
      </c>
      <c r="C76" s="60" t="s">
        <v>16211</v>
      </c>
      <c r="D76" s="1"/>
      <c r="E76" s="68"/>
      <c r="F76" s="70"/>
      <c r="G76" s="67"/>
      <c r="H76" s="68"/>
      <c r="I76" s="76"/>
      <c r="J76" s="83" t="s">
        <v>5895</v>
      </c>
      <c r="K76" s="64" t="s">
        <v>1</v>
      </c>
      <c r="L76" s="65">
        <v>1</v>
      </c>
      <c r="M76" s="99"/>
      <c r="N76" s="70"/>
      <c r="O76" s="66"/>
      <c r="P76" s="57"/>
      <c r="Q76" s="58"/>
      <c r="R76" s="77"/>
      <c r="S76" s="94" t="s">
        <v>17970</v>
      </c>
      <c r="T76" s="68"/>
      <c r="U76" s="76"/>
      <c r="V76" s="70"/>
      <c r="W76" s="120">
        <f>ROUND((ROUND((ROUND((ROUND((_15_同援日増３．０*_15・通訳),0)*_15・２人),0)*(1+_15・A深夜)),0)*(1+_15・区４)),0)</f>
        <v>714</v>
      </c>
      <c r="X76" s="69"/>
    </row>
    <row r="77" spans="1:24" ht="16.5" customHeight="1" x14ac:dyDescent="0.3">
      <c r="A77" s="2">
        <v>15</v>
      </c>
      <c r="B77" s="2" t="s">
        <v>5777</v>
      </c>
      <c r="C77" s="60" t="s">
        <v>16210</v>
      </c>
      <c r="D77" s="1"/>
      <c r="E77" s="68"/>
      <c r="F77" s="70"/>
      <c r="G77" s="67"/>
      <c r="H77" s="68"/>
      <c r="I77" s="76"/>
      <c r="J77" s="85"/>
      <c r="K77" s="64"/>
      <c r="L77" s="65"/>
      <c r="M77" s="99"/>
      <c r="N77" s="70"/>
      <c r="O77" s="74" t="s">
        <v>17969</v>
      </c>
      <c r="P77" s="62"/>
      <c r="Q77" s="63"/>
      <c r="R77" s="75"/>
      <c r="S77" s="67"/>
      <c r="T77" s="68" t="s">
        <v>1</v>
      </c>
      <c r="U77" s="76">
        <v>0.4</v>
      </c>
      <c r="V77" s="70" t="s">
        <v>422</v>
      </c>
      <c r="W77" s="120">
        <f>ROUND((ROUND((ROUND((ROUND((_15_同援日増３．０*_15・通訳),0)*(1+_15・A深夜)),0)*(1+_15・盲ろう)),0)*(1+_15・区４)),0)</f>
        <v>893</v>
      </c>
      <c r="X77" s="69"/>
    </row>
    <row r="78" spans="1:24" ht="16.5" customHeight="1" x14ac:dyDescent="0.3">
      <c r="A78" s="2">
        <v>15</v>
      </c>
      <c r="B78" s="2" t="s">
        <v>5778</v>
      </c>
      <c r="C78" s="60" t="s">
        <v>16209</v>
      </c>
      <c r="D78" s="81"/>
      <c r="E78" s="57"/>
      <c r="F78" s="77"/>
      <c r="G78" s="67"/>
      <c r="H78" s="68"/>
      <c r="I78" s="76"/>
      <c r="J78" s="83" t="s">
        <v>5895</v>
      </c>
      <c r="K78" s="64" t="s">
        <v>1</v>
      </c>
      <c r="L78" s="65">
        <v>1</v>
      </c>
      <c r="M78" s="99"/>
      <c r="N78" s="70"/>
      <c r="O78" s="106" t="s">
        <v>17968</v>
      </c>
      <c r="P78" s="57" t="s">
        <v>1</v>
      </c>
      <c r="Q78" s="58">
        <v>0.25</v>
      </c>
      <c r="R78" s="77" t="s">
        <v>422</v>
      </c>
      <c r="S78" s="66"/>
      <c r="T78" s="57"/>
      <c r="U78" s="58"/>
      <c r="V78" s="77"/>
      <c r="W78" s="120">
        <f>ROUND((ROUND((ROUND((ROUND((ROUND((_15_同援日増３．０*_15・通訳),0)*_15・２人),0)*(1+_15・A深夜)),0)*(1+_15・盲ろう)),0)*(1+_15・区４)),0)</f>
        <v>893</v>
      </c>
      <c r="X78" s="69"/>
    </row>
    <row r="79" spans="1:24" ht="16.5" customHeight="1" x14ac:dyDescent="0.3">
      <c r="A79" s="2">
        <v>15</v>
      </c>
      <c r="B79" s="2" t="s">
        <v>5779</v>
      </c>
      <c r="C79" s="60" t="s">
        <v>16208</v>
      </c>
      <c r="D79" s="233" t="s">
        <v>18441</v>
      </c>
      <c r="E79" s="62"/>
      <c r="F79" s="75"/>
      <c r="G79" s="67"/>
      <c r="H79" s="68"/>
      <c r="I79" s="76"/>
      <c r="J79" s="85"/>
      <c r="K79" s="64"/>
      <c r="L79" s="65"/>
      <c r="M79" s="99"/>
      <c r="N79" s="70"/>
      <c r="O79" s="61"/>
      <c r="P79" s="62"/>
      <c r="Q79" s="63"/>
      <c r="R79" s="75"/>
      <c r="S79" s="61"/>
      <c r="T79" s="62"/>
      <c r="U79" s="63"/>
      <c r="V79" s="75"/>
      <c r="W79" s="120">
        <f>ROUND((ROUND((_15_同援日増３．５*_15・通訳),0)*(1+_15・A深夜)),0)</f>
        <v>596</v>
      </c>
      <c r="X79" s="69"/>
    </row>
    <row r="80" spans="1:24" ht="16.5" customHeight="1" x14ac:dyDescent="0.3">
      <c r="A80" s="2">
        <v>15</v>
      </c>
      <c r="B80" s="2" t="s">
        <v>5780</v>
      </c>
      <c r="C80" s="60" t="s">
        <v>16207</v>
      </c>
      <c r="D80" s="1" t="s">
        <v>5966</v>
      </c>
      <c r="E80" s="68"/>
      <c r="F80" s="70"/>
      <c r="G80" s="67"/>
      <c r="H80" s="68"/>
      <c r="I80" s="76"/>
      <c r="J80" s="83" t="s">
        <v>5895</v>
      </c>
      <c r="K80" s="64" t="s">
        <v>1</v>
      </c>
      <c r="L80" s="65">
        <v>1</v>
      </c>
      <c r="M80" s="99"/>
      <c r="N80" s="70"/>
      <c r="O80" s="66"/>
      <c r="P80" s="57"/>
      <c r="Q80" s="58"/>
      <c r="R80" s="77"/>
      <c r="S80" s="67"/>
      <c r="T80" s="68"/>
      <c r="U80" s="76"/>
      <c r="V80" s="70"/>
      <c r="W80" s="120">
        <f>ROUND((ROUND((ROUND((_15_同援日増３．５*_15・通訳),0)*_15・２人),0)*(1+_15・A深夜)),0)</f>
        <v>596</v>
      </c>
      <c r="X80" s="69"/>
    </row>
    <row r="81" spans="1:24" ht="16.5" customHeight="1" x14ac:dyDescent="0.3">
      <c r="A81" s="2">
        <v>15</v>
      </c>
      <c r="B81" s="2" t="s">
        <v>5781</v>
      </c>
      <c r="C81" s="60" t="s">
        <v>16206</v>
      </c>
      <c r="D81" s="1" t="s">
        <v>8450</v>
      </c>
      <c r="E81" s="68"/>
      <c r="F81" s="70"/>
      <c r="G81" s="67"/>
      <c r="H81" s="68"/>
      <c r="I81" s="76"/>
      <c r="J81" s="85"/>
      <c r="K81" s="64"/>
      <c r="L81" s="65"/>
      <c r="M81" s="99"/>
      <c r="N81" s="70"/>
      <c r="O81" s="74" t="s">
        <v>17969</v>
      </c>
      <c r="P81" s="62"/>
      <c r="Q81" s="63"/>
      <c r="R81" s="75"/>
      <c r="S81" s="67"/>
      <c r="T81" s="68"/>
      <c r="U81" s="76"/>
      <c r="V81" s="70"/>
      <c r="W81" s="120">
        <f>ROUND((ROUND((ROUND((_15_同援日増３．５*_15・通訳),0)*(1+_15・A深夜)),0)*(1+_15・盲ろう)),0)</f>
        <v>745</v>
      </c>
      <c r="X81" s="69"/>
    </row>
    <row r="82" spans="1:24" ht="16.5" customHeight="1" x14ac:dyDescent="0.3">
      <c r="A82" s="2">
        <v>15</v>
      </c>
      <c r="B82" s="2" t="s">
        <v>5782</v>
      </c>
      <c r="C82" s="60" t="s">
        <v>16205</v>
      </c>
      <c r="D82" s="1"/>
      <c r="E82" s="119">
        <v>441</v>
      </c>
      <c r="F82" s="70" t="s">
        <v>0</v>
      </c>
      <c r="G82" s="67"/>
      <c r="H82" s="68"/>
      <c r="I82" s="76"/>
      <c r="J82" s="83" t="s">
        <v>5895</v>
      </c>
      <c r="K82" s="64" t="s">
        <v>1</v>
      </c>
      <c r="L82" s="65">
        <v>1</v>
      </c>
      <c r="M82" s="99"/>
      <c r="N82" s="70"/>
      <c r="O82" s="106" t="s">
        <v>17968</v>
      </c>
      <c r="P82" s="57" t="s">
        <v>1</v>
      </c>
      <c r="Q82" s="58">
        <v>0.25</v>
      </c>
      <c r="R82" s="77" t="s">
        <v>422</v>
      </c>
      <c r="S82" s="66"/>
      <c r="T82" s="57"/>
      <c r="U82" s="58"/>
      <c r="V82" s="77"/>
      <c r="W82" s="120">
        <f>ROUND((ROUND((ROUND((ROUND((_15_同援日増３．５*_15・通訳),0)*_15・２人),0)*(1+_15・A深夜)),0)*(1+_15・盲ろう)),0)</f>
        <v>745</v>
      </c>
      <c r="X82" s="69"/>
    </row>
    <row r="83" spans="1:24" ht="16.5" customHeight="1" x14ac:dyDescent="0.3">
      <c r="A83" s="2">
        <v>15</v>
      </c>
      <c r="B83" s="2" t="s">
        <v>5783</v>
      </c>
      <c r="C83" s="60" t="s">
        <v>16204</v>
      </c>
      <c r="D83" s="1"/>
      <c r="E83" s="68"/>
      <c r="F83" s="70"/>
      <c r="G83" s="67"/>
      <c r="H83" s="68"/>
      <c r="I83" s="76"/>
      <c r="J83" s="85"/>
      <c r="K83" s="64"/>
      <c r="L83" s="65"/>
      <c r="M83" s="99"/>
      <c r="N83" s="70"/>
      <c r="O83" s="61"/>
      <c r="P83" s="62"/>
      <c r="Q83" s="63"/>
      <c r="R83" s="75"/>
      <c r="S83" s="74" t="s">
        <v>17974</v>
      </c>
      <c r="T83" s="62"/>
      <c r="U83" s="63"/>
      <c r="V83" s="75"/>
      <c r="W83" s="120">
        <f>ROUND((ROUND((ROUND((_15_同援日増３．５*_15・通訳),0)*(1+_15・A深夜)),0)*(1+_15・区３)),0)</f>
        <v>715</v>
      </c>
      <c r="X83" s="69"/>
    </row>
    <row r="84" spans="1:24" ht="16.5" customHeight="1" x14ac:dyDescent="0.3">
      <c r="A84" s="2">
        <v>15</v>
      </c>
      <c r="B84" s="2" t="s">
        <v>5784</v>
      </c>
      <c r="C84" s="60" t="s">
        <v>16203</v>
      </c>
      <c r="D84" s="1"/>
      <c r="E84" s="68"/>
      <c r="F84" s="70"/>
      <c r="G84" s="67"/>
      <c r="H84" s="68"/>
      <c r="I84" s="76"/>
      <c r="J84" s="83" t="s">
        <v>5895</v>
      </c>
      <c r="K84" s="64" t="s">
        <v>1</v>
      </c>
      <c r="L84" s="65">
        <v>1</v>
      </c>
      <c r="M84" s="99"/>
      <c r="N84" s="70"/>
      <c r="O84" s="66"/>
      <c r="P84" s="57"/>
      <c r="Q84" s="58"/>
      <c r="R84" s="77"/>
      <c r="S84" s="94" t="s">
        <v>17970</v>
      </c>
      <c r="T84" s="68"/>
      <c r="U84" s="76"/>
      <c r="V84" s="70"/>
      <c r="W84" s="120">
        <f>ROUND((ROUND((ROUND((ROUND((_15_同援日増３．５*_15・通訳),0)*_15・２人),0)*(1+_15・A深夜)),0)*(1+_15・区３)),0)</f>
        <v>715</v>
      </c>
      <c r="X84" s="69"/>
    </row>
    <row r="85" spans="1:24" ht="16.5" customHeight="1" x14ac:dyDescent="0.3">
      <c r="A85" s="2">
        <v>15</v>
      </c>
      <c r="B85" s="2" t="s">
        <v>5785</v>
      </c>
      <c r="C85" s="60" t="s">
        <v>16202</v>
      </c>
      <c r="D85" s="1"/>
      <c r="E85" s="68"/>
      <c r="F85" s="70"/>
      <c r="G85" s="67"/>
      <c r="H85" s="68"/>
      <c r="I85" s="76"/>
      <c r="J85" s="85"/>
      <c r="K85" s="64"/>
      <c r="L85" s="65"/>
      <c r="M85" s="99"/>
      <c r="N85" s="70"/>
      <c r="O85" s="74" t="s">
        <v>17969</v>
      </c>
      <c r="P85" s="62"/>
      <c r="Q85" s="63"/>
      <c r="R85" s="75"/>
      <c r="S85" s="67"/>
      <c r="T85" s="68" t="s">
        <v>1</v>
      </c>
      <c r="U85" s="76">
        <v>0.2</v>
      </c>
      <c r="V85" s="70" t="s">
        <v>422</v>
      </c>
      <c r="W85" s="120">
        <f>ROUND((ROUND((ROUND((ROUND((_15_同援日増３．５*_15・通訳),0)*(1+_15・A深夜)),0)*(1+_15・盲ろう)),0)*(1+_15・区３)),0)</f>
        <v>894</v>
      </c>
      <c r="X85" s="69"/>
    </row>
    <row r="86" spans="1:24" ht="16.5" customHeight="1" x14ac:dyDescent="0.3">
      <c r="A86" s="2">
        <v>15</v>
      </c>
      <c r="B86" s="2" t="s">
        <v>5786</v>
      </c>
      <c r="C86" s="60" t="s">
        <v>16201</v>
      </c>
      <c r="D86" s="1"/>
      <c r="E86" s="68"/>
      <c r="F86" s="70"/>
      <c r="G86" s="67"/>
      <c r="H86" s="68"/>
      <c r="I86" s="76"/>
      <c r="J86" s="83" t="s">
        <v>5895</v>
      </c>
      <c r="K86" s="64" t="s">
        <v>1</v>
      </c>
      <c r="L86" s="65">
        <v>1</v>
      </c>
      <c r="M86" s="99"/>
      <c r="N86" s="70"/>
      <c r="O86" s="106" t="s">
        <v>17968</v>
      </c>
      <c r="P86" s="57" t="s">
        <v>1</v>
      </c>
      <c r="Q86" s="58">
        <v>0.25</v>
      </c>
      <c r="R86" s="77" t="s">
        <v>422</v>
      </c>
      <c r="S86" s="66"/>
      <c r="T86" s="57"/>
      <c r="U86" s="58"/>
      <c r="V86" s="77"/>
      <c r="W86" s="120">
        <f>ROUND((ROUND((ROUND((ROUND((ROUND((_15_同援日増３．５*_15・通訳),0)*_15・２人),0)*(1+_15・A深夜)),0)*(1+_15・盲ろう)),0)*(1+_15・区３)),0)</f>
        <v>894</v>
      </c>
      <c r="X86" s="69"/>
    </row>
    <row r="87" spans="1:24" ht="16.5" customHeight="1" x14ac:dyDescent="0.3">
      <c r="A87" s="2">
        <v>15</v>
      </c>
      <c r="B87" s="2" t="s">
        <v>5787</v>
      </c>
      <c r="C87" s="60" t="s">
        <v>16200</v>
      </c>
      <c r="D87" s="1"/>
      <c r="E87" s="68"/>
      <c r="F87" s="70"/>
      <c r="G87" s="67"/>
      <c r="H87" s="68"/>
      <c r="I87" s="76"/>
      <c r="J87" s="85"/>
      <c r="K87" s="64"/>
      <c r="L87" s="65"/>
      <c r="M87" s="99"/>
      <c r="N87" s="70"/>
      <c r="O87" s="61"/>
      <c r="P87" s="62"/>
      <c r="Q87" s="63"/>
      <c r="R87" s="75"/>
      <c r="S87" s="74" t="s">
        <v>17971</v>
      </c>
      <c r="T87" s="62"/>
      <c r="U87" s="63"/>
      <c r="V87" s="75"/>
      <c r="W87" s="120">
        <f>ROUND((ROUND((ROUND((_15_同援日増３．５*_15・通訳),0)*(1+_15・A深夜)),0)*(1+_15・区４)),0)</f>
        <v>834</v>
      </c>
      <c r="X87" s="69"/>
    </row>
    <row r="88" spans="1:24" ht="16.5" customHeight="1" x14ac:dyDescent="0.3">
      <c r="A88" s="2">
        <v>15</v>
      </c>
      <c r="B88" s="2" t="s">
        <v>5788</v>
      </c>
      <c r="C88" s="60" t="s">
        <v>16199</v>
      </c>
      <c r="D88" s="1"/>
      <c r="E88" s="68"/>
      <c r="F88" s="70"/>
      <c r="G88" s="67"/>
      <c r="H88" s="68"/>
      <c r="I88" s="76"/>
      <c r="J88" s="83" t="s">
        <v>5895</v>
      </c>
      <c r="K88" s="64" t="s">
        <v>1</v>
      </c>
      <c r="L88" s="65">
        <v>1</v>
      </c>
      <c r="M88" s="99"/>
      <c r="N88" s="70"/>
      <c r="O88" s="66"/>
      <c r="P88" s="57"/>
      <c r="Q88" s="58"/>
      <c r="R88" s="77"/>
      <c r="S88" s="94" t="s">
        <v>17970</v>
      </c>
      <c r="T88" s="68"/>
      <c r="U88" s="76"/>
      <c r="V88" s="70"/>
      <c r="W88" s="120">
        <f>ROUND((ROUND((ROUND((ROUND((_15_同援日増３．５*_15・通訳),0)*_15・２人),0)*(1+_15・A深夜)),0)*(1+_15・区４)),0)</f>
        <v>834</v>
      </c>
      <c r="X88" s="69"/>
    </row>
    <row r="89" spans="1:24" ht="16.5" customHeight="1" x14ac:dyDescent="0.3">
      <c r="A89" s="2">
        <v>15</v>
      </c>
      <c r="B89" s="2" t="s">
        <v>5789</v>
      </c>
      <c r="C89" s="60" t="s">
        <v>16198</v>
      </c>
      <c r="D89" s="1"/>
      <c r="E89" s="68"/>
      <c r="F89" s="70"/>
      <c r="G89" s="67"/>
      <c r="H89" s="68"/>
      <c r="I89" s="76"/>
      <c r="J89" s="85"/>
      <c r="K89" s="64"/>
      <c r="L89" s="65"/>
      <c r="M89" s="99"/>
      <c r="N89" s="70"/>
      <c r="O89" s="74" t="s">
        <v>8085</v>
      </c>
      <c r="P89" s="62"/>
      <c r="Q89" s="63"/>
      <c r="R89" s="75"/>
      <c r="S89" s="67"/>
      <c r="T89" s="68" t="s">
        <v>1</v>
      </c>
      <c r="U89" s="76">
        <v>0.4</v>
      </c>
      <c r="V89" s="70" t="s">
        <v>422</v>
      </c>
      <c r="W89" s="120">
        <f>ROUND((ROUND((ROUND((ROUND((_15_同援日増３．５*_15・通訳),0)*(1+_15・A深夜)),0)*(1+_15・盲ろう)),0)*(1+_15・区４)),0)</f>
        <v>1043</v>
      </c>
      <c r="X89" s="69"/>
    </row>
    <row r="90" spans="1:24" ht="16.5" customHeight="1" x14ac:dyDescent="0.3">
      <c r="A90" s="2">
        <v>15</v>
      </c>
      <c r="B90" s="2" t="s">
        <v>5790</v>
      </c>
      <c r="C90" s="60" t="s">
        <v>16197</v>
      </c>
      <c r="D90" s="81"/>
      <c r="E90" s="57"/>
      <c r="F90" s="77"/>
      <c r="G90" s="67"/>
      <c r="H90" s="68"/>
      <c r="I90" s="76"/>
      <c r="J90" s="83" t="s">
        <v>5895</v>
      </c>
      <c r="K90" s="64" t="s">
        <v>1</v>
      </c>
      <c r="L90" s="65">
        <v>1</v>
      </c>
      <c r="M90" s="99"/>
      <c r="N90" s="70"/>
      <c r="O90" s="106" t="s">
        <v>17968</v>
      </c>
      <c r="P90" s="57" t="s">
        <v>1</v>
      </c>
      <c r="Q90" s="58">
        <v>0.25</v>
      </c>
      <c r="R90" s="77" t="s">
        <v>422</v>
      </c>
      <c r="S90" s="66"/>
      <c r="T90" s="57"/>
      <c r="U90" s="58"/>
      <c r="V90" s="77"/>
      <c r="W90" s="120">
        <f>ROUND((ROUND((ROUND((ROUND((ROUND((_15_同援日増３．５*_15・通訳),0)*_15・２人),0)*(1+_15・A深夜)),0)*(1+_15・盲ろう)),0)*(1+_15・区４)),0)</f>
        <v>1043</v>
      </c>
      <c r="X90" s="69"/>
    </row>
    <row r="91" spans="1:24" ht="16.5" customHeight="1" x14ac:dyDescent="0.3">
      <c r="A91" s="2">
        <v>15</v>
      </c>
      <c r="B91" s="2" t="s">
        <v>5791</v>
      </c>
      <c r="C91" s="60" t="s">
        <v>16196</v>
      </c>
      <c r="D91" s="233" t="s">
        <v>18440</v>
      </c>
      <c r="E91" s="62"/>
      <c r="F91" s="75"/>
      <c r="G91" s="67"/>
      <c r="H91" s="68"/>
      <c r="I91" s="76"/>
      <c r="J91" s="85"/>
      <c r="K91" s="64"/>
      <c r="L91" s="65"/>
      <c r="M91" s="99"/>
      <c r="N91" s="70"/>
      <c r="O91" s="61"/>
      <c r="P91" s="62"/>
      <c r="Q91" s="63"/>
      <c r="R91" s="75"/>
      <c r="S91" s="61"/>
      <c r="T91" s="62"/>
      <c r="U91" s="63"/>
      <c r="V91" s="75"/>
      <c r="W91" s="120">
        <f>ROUND((ROUND((_15_同援日増４．０*_15・通訳),0)*(1+_15・A深夜)),0)</f>
        <v>681</v>
      </c>
      <c r="X91" s="69"/>
    </row>
    <row r="92" spans="1:24" ht="16.5" customHeight="1" x14ac:dyDescent="0.3">
      <c r="A92" s="2">
        <v>15</v>
      </c>
      <c r="B92" s="2" t="s">
        <v>5792</v>
      </c>
      <c r="C92" s="60" t="s">
        <v>16195</v>
      </c>
      <c r="D92" s="1" t="s">
        <v>16882</v>
      </c>
      <c r="E92" s="68"/>
      <c r="F92" s="70"/>
      <c r="G92" s="67"/>
      <c r="H92" s="68"/>
      <c r="I92" s="76"/>
      <c r="J92" s="83" t="s">
        <v>5895</v>
      </c>
      <c r="K92" s="64" t="s">
        <v>1</v>
      </c>
      <c r="L92" s="65">
        <v>1</v>
      </c>
      <c r="M92" s="99"/>
      <c r="N92" s="70"/>
      <c r="O92" s="66"/>
      <c r="P92" s="57"/>
      <c r="Q92" s="58"/>
      <c r="R92" s="77"/>
      <c r="S92" s="67"/>
      <c r="T92" s="68"/>
      <c r="U92" s="76"/>
      <c r="V92" s="70"/>
      <c r="W92" s="120">
        <f>ROUND((ROUND((ROUND((_15_同援日増４．０*_15・通訳),0)*_15・２人),0)*(1+_15・A深夜)),0)</f>
        <v>681</v>
      </c>
      <c r="X92" s="69"/>
    </row>
    <row r="93" spans="1:24" ht="16.5" customHeight="1" x14ac:dyDescent="0.3">
      <c r="A93" s="2">
        <v>15</v>
      </c>
      <c r="B93" s="2" t="s">
        <v>5793</v>
      </c>
      <c r="C93" s="60" t="s">
        <v>16194</v>
      </c>
      <c r="D93" s="1" t="s">
        <v>8425</v>
      </c>
      <c r="E93" s="68"/>
      <c r="F93" s="70"/>
      <c r="G93" s="67"/>
      <c r="H93" s="68"/>
      <c r="I93" s="76"/>
      <c r="J93" s="85"/>
      <c r="K93" s="64"/>
      <c r="L93" s="65"/>
      <c r="M93" s="99"/>
      <c r="N93" s="70"/>
      <c r="O93" s="74" t="s">
        <v>17969</v>
      </c>
      <c r="P93" s="62"/>
      <c r="Q93" s="63"/>
      <c r="R93" s="75"/>
      <c r="S93" s="67"/>
      <c r="T93" s="68"/>
      <c r="U93" s="76"/>
      <c r="V93" s="70"/>
      <c r="W93" s="120">
        <f>ROUND((ROUND((ROUND((_15_同援日増４．０*_15・通訳),0)*(1+_15・A深夜)),0)*(1+_15・盲ろう)),0)</f>
        <v>851</v>
      </c>
      <c r="X93" s="69"/>
    </row>
    <row r="94" spans="1:24" ht="16.5" customHeight="1" x14ac:dyDescent="0.3">
      <c r="A94" s="2">
        <v>15</v>
      </c>
      <c r="B94" s="2" t="s">
        <v>5794</v>
      </c>
      <c r="C94" s="60" t="s">
        <v>16193</v>
      </c>
      <c r="D94" s="1"/>
      <c r="E94" s="119">
        <v>504</v>
      </c>
      <c r="F94" s="70" t="s">
        <v>0</v>
      </c>
      <c r="G94" s="67"/>
      <c r="H94" s="68"/>
      <c r="I94" s="76"/>
      <c r="J94" s="83" t="s">
        <v>5895</v>
      </c>
      <c r="K94" s="64" t="s">
        <v>1</v>
      </c>
      <c r="L94" s="65">
        <v>1</v>
      </c>
      <c r="M94" s="99"/>
      <c r="N94" s="70"/>
      <c r="O94" s="106" t="s">
        <v>17968</v>
      </c>
      <c r="P94" s="57" t="s">
        <v>1</v>
      </c>
      <c r="Q94" s="58">
        <v>0.25</v>
      </c>
      <c r="R94" s="77" t="s">
        <v>422</v>
      </c>
      <c r="S94" s="66"/>
      <c r="T94" s="57"/>
      <c r="U94" s="58"/>
      <c r="V94" s="77"/>
      <c r="W94" s="120">
        <f>ROUND((ROUND((ROUND((ROUND((_15_同援日増４．０*_15・通訳),0)*_15・２人),0)*(1+_15・A深夜)),0)*(1+_15・盲ろう)),0)</f>
        <v>851</v>
      </c>
      <c r="X94" s="69"/>
    </row>
    <row r="95" spans="1:24" ht="16.5" customHeight="1" x14ac:dyDescent="0.3">
      <c r="A95" s="2">
        <v>15</v>
      </c>
      <c r="B95" s="2" t="s">
        <v>5795</v>
      </c>
      <c r="C95" s="60" t="s">
        <v>16192</v>
      </c>
      <c r="D95" s="1"/>
      <c r="E95" s="68"/>
      <c r="F95" s="70"/>
      <c r="G95" s="67"/>
      <c r="H95" s="68"/>
      <c r="I95" s="76"/>
      <c r="J95" s="85"/>
      <c r="K95" s="64"/>
      <c r="L95" s="65"/>
      <c r="M95" s="99"/>
      <c r="N95" s="70"/>
      <c r="O95" s="61"/>
      <c r="P95" s="62"/>
      <c r="Q95" s="63"/>
      <c r="R95" s="75"/>
      <c r="S95" s="74" t="s">
        <v>17974</v>
      </c>
      <c r="T95" s="62"/>
      <c r="U95" s="63"/>
      <c r="V95" s="75"/>
      <c r="W95" s="120">
        <f>ROUND((ROUND((ROUND((_15_同援日増４．０*_15・通訳),0)*(1+_15・A深夜)),0)*(1+_15・区３)),0)</f>
        <v>817</v>
      </c>
      <c r="X95" s="69"/>
    </row>
    <row r="96" spans="1:24" ht="16.5" customHeight="1" x14ac:dyDescent="0.3">
      <c r="A96" s="2">
        <v>15</v>
      </c>
      <c r="B96" s="2" t="s">
        <v>5796</v>
      </c>
      <c r="C96" s="60" t="s">
        <v>16191</v>
      </c>
      <c r="D96" s="1"/>
      <c r="E96" s="68"/>
      <c r="F96" s="70"/>
      <c r="G96" s="67"/>
      <c r="H96" s="68"/>
      <c r="I96" s="76"/>
      <c r="J96" s="83" t="s">
        <v>5895</v>
      </c>
      <c r="K96" s="64" t="s">
        <v>1</v>
      </c>
      <c r="L96" s="65">
        <v>1</v>
      </c>
      <c r="M96" s="99"/>
      <c r="N96" s="70"/>
      <c r="O96" s="66"/>
      <c r="P96" s="57"/>
      <c r="Q96" s="58"/>
      <c r="R96" s="77"/>
      <c r="S96" s="94" t="s">
        <v>17970</v>
      </c>
      <c r="T96" s="68"/>
      <c r="U96" s="76"/>
      <c r="V96" s="70"/>
      <c r="W96" s="120">
        <f>ROUND((ROUND((ROUND((ROUND((_15_同援日増４．０*_15・通訳),0)*_15・２人),0)*(1+_15・A深夜)),0)*(1+_15・区３)),0)</f>
        <v>817</v>
      </c>
      <c r="X96" s="69"/>
    </row>
    <row r="97" spans="1:24" ht="16.5" customHeight="1" x14ac:dyDescent="0.3">
      <c r="A97" s="2">
        <v>15</v>
      </c>
      <c r="B97" s="2" t="s">
        <v>5797</v>
      </c>
      <c r="C97" s="60" t="s">
        <v>16190</v>
      </c>
      <c r="D97" s="1"/>
      <c r="E97" s="68"/>
      <c r="F97" s="70"/>
      <c r="G97" s="67"/>
      <c r="H97" s="68"/>
      <c r="I97" s="76"/>
      <c r="J97" s="85"/>
      <c r="K97" s="64"/>
      <c r="L97" s="65"/>
      <c r="M97" s="99"/>
      <c r="N97" s="70"/>
      <c r="O97" s="74" t="s">
        <v>17969</v>
      </c>
      <c r="P97" s="62"/>
      <c r="Q97" s="63"/>
      <c r="R97" s="75"/>
      <c r="S97" s="67"/>
      <c r="T97" s="68" t="s">
        <v>1</v>
      </c>
      <c r="U97" s="76">
        <v>0.2</v>
      </c>
      <c r="V97" s="70" t="s">
        <v>422</v>
      </c>
      <c r="W97" s="120">
        <f>ROUND((ROUND((ROUND((ROUND((_15_同援日増４．０*_15・通訳),0)*(1+_15・A深夜)),0)*(1+_15・盲ろう)),0)*(1+_15・区３)),0)</f>
        <v>1021</v>
      </c>
      <c r="X97" s="69"/>
    </row>
    <row r="98" spans="1:24" ht="16.5" customHeight="1" x14ac:dyDescent="0.3">
      <c r="A98" s="2">
        <v>15</v>
      </c>
      <c r="B98" s="2" t="s">
        <v>5798</v>
      </c>
      <c r="C98" s="60" t="s">
        <v>16189</v>
      </c>
      <c r="D98" s="1"/>
      <c r="E98" s="68"/>
      <c r="F98" s="70"/>
      <c r="G98" s="67"/>
      <c r="H98" s="68"/>
      <c r="I98" s="76"/>
      <c r="J98" s="83" t="s">
        <v>5895</v>
      </c>
      <c r="K98" s="64" t="s">
        <v>1</v>
      </c>
      <c r="L98" s="65">
        <v>1</v>
      </c>
      <c r="M98" s="99"/>
      <c r="N98" s="70"/>
      <c r="O98" s="106" t="s">
        <v>17968</v>
      </c>
      <c r="P98" s="57" t="s">
        <v>1</v>
      </c>
      <c r="Q98" s="58">
        <v>0.25</v>
      </c>
      <c r="R98" s="77" t="s">
        <v>422</v>
      </c>
      <c r="S98" s="66"/>
      <c r="T98" s="57"/>
      <c r="U98" s="58"/>
      <c r="V98" s="77"/>
      <c r="W98" s="120">
        <f>ROUND((ROUND((ROUND((ROUND((ROUND((_15_同援日増４．０*_15・通訳),0)*_15・２人),0)*(1+_15・A深夜)),0)*(1+_15・盲ろう)),0)*(1+_15・区３)),0)</f>
        <v>1021</v>
      </c>
      <c r="X98" s="69"/>
    </row>
    <row r="99" spans="1:24" ht="16.5" customHeight="1" x14ac:dyDescent="0.3">
      <c r="A99" s="2">
        <v>15</v>
      </c>
      <c r="B99" s="2" t="s">
        <v>5799</v>
      </c>
      <c r="C99" s="60" t="s">
        <v>16188</v>
      </c>
      <c r="D99" s="1"/>
      <c r="E99" s="68"/>
      <c r="F99" s="70"/>
      <c r="G99" s="67"/>
      <c r="H99" s="68"/>
      <c r="I99" s="76"/>
      <c r="J99" s="85"/>
      <c r="K99" s="64"/>
      <c r="L99" s="65"/>
      <c r="M99" s="99"/>
      <c r="N99" s="70"/>
      <c r="O99" s="61"/>
      <c r="P99" s="62"/>
      <c r="Q99" s="63"/>
      <c r="R99" s="75"/>
      <c r="S99" s="74" t="s">
        <v>17971</v>
      </c>
      <c r="T99" s="62"/>
      <c r="U99" s="63"/>
      <c r="V99" s="75"/>
      <c r="W99" s="120">
        <f>ROUND((ROUND((ROUND((_15_同援日増４．０*_15・通訳),0)*(1+_15・A深夜)),0)*(1+_15・区４)),0)</f>
        <v>953</v>
      </c>
      <c r="X99" s="69"/>
    </row>
    <row r="100" spans="1:24" ht="16.5" customHeight="1" x14ac:dyDescent="0.3">
      <c r="A100" s="2">
        <v>15</v>
      </c>
      <c r="B100" s="2" t="s">
        <v>5800</v>
      </c>
      <c r="C100" s="60" t="s">
        <v>16187</v>
      </c>
      <c r="D100" s="1"/>
      <c r="E100" s="68"/>
      <c r="F100" s="70"/>
      <c r="G100" s="67"/>
      <c r="H100" s="68"/>
      <c r="I100" s="76"/>
      <c r="J100" s="83" t="s">
        <v>5895</v>
      </c>
      <c r="K100" s="64" t="s">
        <v>1</v>
      </c>
      <c r="L100" s="65">
        <v>1</v>
      </c>
      <c r="M100" s="99"/>
      <c r="N100" s="70"/>
      <c r="O100" s="66"/>
      <c r="P100" s="57"/>
      <c r="Q100" s="58"/>
      <c r="R100" s="77"/>
      <c r="S100" s="94" t="s">
        <v>17970</v>
      </c>
      <c r="T100" s="68"/>
      <c r="U100" s="76"/>
      <c r="V100" s="70"/>
      <c r="W100" s="120">
        <f>ROUND((ROUND((ROUND((ROUND((_15_同援日増４．０*_15・通訳),0)*_15・２人),0)*(1+_15・A深夜)),0)*(1+_15・区４)),0)</f>
        <v>953</v>
      </c>
      <c r="X100" s="69"/>
    </row>
    <row r="101" spans="1:24" ht="16.5" customHeight="1" x14ac:dyDescent="0.3">
      <c r="A101" s="2">
        <v>15</v>
      </c>
      <c r="B101" s="2" t="s">
        <v>5801</v>
      </c>
      <c r="C101" s="60" t="s">
        <v>16186</v>
      </c>
      <c r="D101" s="1"/>
      <c r="E101" s="68"/>
      <c r="F101" s="70"/>
      <c r="G101" s="67"/>
      <c r="H101" s="68"/>
      <c r="I101" s="76"/>
      <c r="J101" s="85"/>
      <c r="K101" s="64"/>
      <c r="L101" s="65"/>
      <c r="M101" s="99"/>
      <c r="N101" s="70"/>
      <c r="O101" s="74" t="s">
        <v>17969</v>
      </c>
      <c r="P101" s="62"/>
      <c r="Q101" s="63"/>
      <c r="R101" s="75"/>
      <c r="S101" s="67"/>
      <c r="T101" s="68" t="s">
        <v>1</v>
      </c>
      <c r="U101" s="76">
        <v>0.4</v>
      </c>
      <c r="V101" s="70" t="s">
        <v>422</v>
      </c>
      <c r="W101" s="120">
        <f>ROUND((ROUND((ROUND((ROUND((_15_同援日増４．０*_15・通訳),0)*(1+_15・A深夜)),0)*(1+_15・盲ろう)),0)*(1+_15・区４)),0)</f>
        <v>1191</v>
      </c>
      <c r="X101" s="69"/>
    </row>
    <row r="102" spans="1:24" ht="16.5" customHeight="1" x14ac:dyDescent="0.3">
      <c r="A102" s="2">
        <v>15</v>
      </c>
      <c r="B102" s="2" t="s">
        <v>5802</v>
      </c>
      <c r="C102" s="60" t="s">
        <v>16185</v>
      </c>
      <c r="D102" s="81"/>
      <c r="E102" s="57"/>
      <c r="F102" s="77"/>
      <c r="G102" s="67"/>
      <c r="H102" s="68"/>
      <c r="I102" s="76"/>
      <c r="J102" s="83" t="s">
        <v>5895</v>
      </c>
      <c r="K102" s="64" t="s">
        <v>1</v>
      </c>
      <c r="L102" s="65">
        <v>1</v>
      </c>
      <c r="M102" s="99"/>
      <c r="N102" s="70"/>
      <c r="O102" s="106" t="s">
        <v>17968</v>
      </c>
      <c r="P102" s="57" t="s">
        <v>1</v>
      </c>
      <c r="Q102" s="58">
        <v>0.25</v>
      </c>
      <c r="R102" s="77" t="s">
        <v>422</v>
      </c>
      <c r="S102" s="66"/>
      <c r="T102" s="57"/>
      <c r="U102" s="58"/>
      <c r="V102" s="77"/>
      <c r="W102" s="120">
        <f>ROUND((ROUND((ROUND((ROUND((ROUND((_15_同援日増４．０*_15・通訳),0)*_15・２人),0)*(1+_15・A深夜)),0)*(1+_15・盲ろう)),0)*(1+_15・区４)),0)</f>
        <v>1191</v>
      </c>
      <c r="X102" s="69"/>
    </row>
    <row r="103" spans="1:24" ht="16.5" customHeight="1" x14ac:dyDescent="0.3">
      <c r="A103" s="2">
        <v>15</v>
      </c>
      <c r="B103" s="2" t="s">
        <v>5803</v>
      </c>
      <c r="C103" s="60" t="s">
        <v>16184</v>
      </c>
      <c r="D103" s="233" t="s">
        <v>18439</v>
      </c>
      <c r="E103" s="62"/>
      <c r="F103" s="75"/>
      <c r="G103" s="67"/>
      <c r="H103" s="68"/>
      <c r="I103" s="76"/>
      <c r="J103" s="85"/>
      <c r="K103" s="64"/>
      <c r="L103" s="65"/>
      <c r="M103" s="99"/>
      <c r="N103" s="70"/>
      <c r="O103" s="61"/>
      <c r="P103" s="62"/>
      <c r="Q103" s="63"/>
      <c r="R103" s="75"/>
      <c r="S103" s="61"/>
      <c r="T103" s="62"/>
      <c r="U103" s="63"/>
      <c r="V103" s="75"/>
      <c r="W103" s="120">
        <f>ROUND((ROUND((_15_同援日増４．５*_15・通訳),0)*(1+_15・A深夜)),0)</f>
        <v>765</v>
      </c>
      <c r="X103" s="69"/>
    </row>
    <row r="104" spans="1:24" ht="16.5" customHeight="1" x14ac:dyDescent="0.3">
      <c r="A104" s="2">
        <v>15</v>
      </c>
      <c r="B104" s="2" t="s">
        <v>5804</v>
      </c>
      <c r="C104" s="60" t="s">
        <v>16183</v>
      </c>
      <c r="D104" s="1" t="s">
        <v>16853</v>
      </c>
      <c r="E104" s="68"/>
      <c r="F104" s="70"/>
      <c r="G104" s="67"/>
      <c r="H104" s="68"/>
      <c r="I104" s="76"/>
      <c r="J104" s="83" t="s">
        <v>5895</v>
      </c>
      <c r="K104" s="64" t="s">
        <v>1</v>
      </c>
      <c r="L104" s="65">
        <v>1</v>
      </c>
      <c r="M104" s="99"/>
      <c r="N104" s="70"/>
      <c r="O104" s="66"/>
      <c r="P104" s="57"/>
      <c r="Q104" s="58"/>
      <c r="R104" s="77"/>
      <c r="S104" s="67"/>
      <c r="T104" s="68"/>
      <c r="U104" s="76"/>
      <c r="V104" s="70"/>
      <c r="W104" s="120">
        <f>ROUND((ROUND((ROUND((_15_同援日増４．５*_15・通訳),0)*_15・２人),0)*(1+_15・A深夜)),0)</f>
        <v>765</v>
      </c>
      <c r="X104" s="69"/>
    </row>
    <row r="105" spans="1:24" ht="16.5" customHeight="1" x14ac:dyDescent="0.3">
      <c r="A105" s="2">
        <v>15</v>
      </c>
      <c r="B105" s="2" t="s">
        <v>5805</v>
      </c>
      <c r="C105" s="60" t="s">
        <v>16182</v>
      </c>
      <c r="D105" s="1" t="s">
        <v>8621</v>
      </c>
      <c r="E105" s="68"/>
      <c r="F105" s="70"/>
      <c r="G105" s="67"/>
      <c r="H105" s="68"/>
      <c r="I105" s="76"/>
      <c r="J105" s="85"/>
      <c r="K105" s="64"/>
      <c r="L105" s="65"/>
      <c r="M105" s="99"/>
      <c r="N105" s="70"/>
      <c r="O105" s="74" t="s">
        <v>17969</v>
      </c>
      <c r="P105" s="62"/>
      <c r="Q105" s="63"/>
      <c r="R105" s="75"/>
      <c r="S105" s="67"/>
      <c r="T105" s="68"/>
      <c r="U105" s="76"/>
      <c r="V105" s="70"/>
      <c r="W105" s="120">
        <f>ROUND((ROUND((ROUND((_15_同援日増４．５*_15・通訳),0)*(1+_15・A深夜)),0)*(1+_15・盲ろう)),0)</f>
        <v>956</v>
      </c>
      <c r="X105" s="69"/>
    </row>
    <row r="106" spans="1:24" ht="16.5" customHeight="1" x14ac:dyDescent="0.3">
      <c r="A106" s="2">
        <v>15</v>
      </c>
      <c r="B106" s="2" t="s">
        <v>5806</v>
      </c>
      <c r="C106" s="60" t="s">
        <v>16181</v>
      </c>
      <c r="D106" s="1"/>
      <c r="E106" s="119">
        <v>567</v>
      </c>
      <c r="F106" s="70" t="s">
        <v>0</v>
      </c>
      <c r="G106" s="67"/>
      <c r="H106" s="68"/>
      <c r="I106" s="76"/>
      <c r="J106" s="83" t="s">
        <v>5895</v>
      </c>
      <c r="K106" s="64" t="s">
        <v>1</v>
      </c>
      <c r="L106" s="65">
        <v>1</v>
      </c>
      <c r="M106" s="99"/>
      <c r="N106" s="70"/>
      <c r="O106" s="106" t="s">
        <v>17968</v>
      </c>
      <c r="P106" s="57" t="s">
        <v>1</v>
      </c>
      <c r="Q106" s="58">
        <v>0.25</v>
      </c>
      <c r="R106" s="77" t="s">
        <v>422</v>
      </c>
      <c r="S106" s="66"/>
      <c r="T106" s="57"/>
      <c r="U106" s="58"/>
      <c r="V106" s="77"/>
      <c r="W106" s="120">
        <f>ROUND((ROUND((ROUND((ROUND((_15_同援日増４．５*_15・通訳),0)*_15・２人),0)*(1+_15・A深夜)),0)*(1+_15・盲ろう)),0)</f>
        <v>956</v>
      </c>
      <c r="X106" s="69"/>
    </row>
    <row r="107" spans="1:24" ht="16.5" customHeight="1" x14ac:dyDescent="0.3">
      <c r="A107" s="2">
        <v>15</v>
      </c>
      <c r="B107" s="2" t="s">
        <v>5807</v>
      </c>
      <c r="C107" s="60" t="s">
        <v>16180</v>
      </c>
      <c r="D107" s="1"/>
      <c r="E107" s="68"/>
      <c r="F107" s="70"/>
      <c r="G107" s="67"/>
      <c r="H107" s="68"/>
      <c r="I107" s="76"/>
      <c r="J107" s="85"/>
      <c r="K107" s="64"/>
      <c r="L107" s="65"/>
      <c r="M107" s="99"/>
      <c r="N107" s="70"/>
      <c r="O107" s="61"/>
      <c r="P107" s="62"/>
      <c r="Q107" s="63"/>
      <c r="R107" s="75"/>
      <c r="S107" s="74" t="s">
        <v>17974</v>
      </c>
      <c r="T107" s="62"/>
      <c r="U107" s="63"/>
      <c r="V107" s="75"/>
      <c r="W107" s="120">
        <f>ROUND((ROUND((ROUND((_15_同援日増４．５*_15・通訳),0)*(1+_15・A深夜)),0)*(1+_15・区３)),0)</f>
        <v>918</v>
      </c>
      <c r="X107" s="69"/>
    </row>
    <row r="108" spans="1:24" ht="16.5" customHeight="1" x14ac:dyDescent="0.3">
      <c r="A108" s="2">
        <v>15</v>
      </c>
      <c r="B108" s="2" t="s">
        <v>5808</v>
      </c>
      <c r="C108" s="60" t="s">
        <v>16179</v>
      </c>
      <c r="D108" s="1"/>
      <c r="E108" s="68"/>
      <c r="F108" s="70"/>
      <c r="G108" s="67"/>
      <c r="H108" s="68"/>
      <c r="I108" s="76"/>
      <c r="J108" s="83" t="s">
        <v>5895</v>
      </c>
      <c r="K108" s="64" t="s">
        <v>1</v>
      </c>
      <c r="L108" s="65">
        <v>1</v>
      </c>
      <c r="M108" s="99"/>
      <c r="N108" s="70"/>
      <c r="O108" s="66"/>
      <c r="P108" s="57"/>
      <c r="Q108" s="58"/>
      <c r="R108" s="77"/>
      <c r="S108" s="94" t="s">
        <v>17970</v>
      </c>
      <c r="T108" s="68"/>
      <c r="U108" s="76"/>
      <c r="V108" s="70"/>
      <c r="W108" s="120">
        <f>ROUND((ROUND((ROUND((ROUND((_15_同援日増４．５*_15・通訳),0)*_15・２人),0)*(1+_15・A深夜)),0)*(1+_15・区３)),0)</f>
        <v>918</v>
      </c>
      <c r="X108" s="69"/>
    </row>
    <row r="109" spans="1:24" ht="16.5" customHeight="1" x14ac:dyDescent="0.3">
      <c r="A109" s="2">
        <v>15</v>
      </c>
      <c r="B109" s="2" t="s">
        <v>5809</v>
      </c>
      <c r="C109" s="60" t="s">
        <v>16178</v>
      </c>
      <c r="D109" s="1"/>
      <c r="E109" s="68"/>
      <c r="F109" s="70"/>
      <c r="G109" s="67"/>
      <c r="H109" s="68"/>
      <c r="I109" s="76"/>
      <c r="J109" s="85"/>
      <c r="K109" s="64"/>
      <c r="L109" s="65"/>
      <c r="M109" s="99"/>
      <c r="N109" s="70"/>
      <c r="O109" s="74" t="s">
        <v>17969</v>
      </c>
      <c r="P109" s="62"/>
      <c r="Q109" s="63"/>
      <c r="R109" s="75"/>
      <c r="S109" s="67"/>
      <c r="T109" s="68" t="s">
        <v>1</v>
      </c>
      <c r="U109" s="76">
        <v>0.2</v>
      </c>
      <c r="V109" s="70" t="s">
        <v>422</v>
      </c>
      <c r="W109" s="120">
        <f>ROUND((ROUND((ROUND((ROUND((_15_同援日増４．５*_15・通訳),0)*(1+_15・A深夜)),0)*(1+_15・盲ろう)),0)*(1+_15・区３)),0)</f>
        <v>1147</v>
      </c>
      <c r="X109" s="69"/>
    </row>
    <row r="110" spans="1:24" ht="16.5" customHeight="1" x14ac:dyDescent="0.3">
      <c r="A110" s="2">
        <v>15</v>
      </c>
      <c r="B110" s="2" t="s">
        <v>5810</v>
      </c>
      <c r="C110" s="60" t="s">
        <v>16177</v>
      </c>
      <c r="D110" s="1"/>
      <c r="E110" s="68"/>
      <c r="F110" s="70"/>
      <c r="G110" s="67"/>
      <c r="H110" s="68"/>
      <c r="I110" s="76"/>
      <c r="J110" s="83" t="s">
        <v>5895</v>
      </c>
      <c r="K110" s="64" t="s">
        <v>1</v>
      </c>
      <c r="L110" s="65">
        <v>1</v>
      </c>
      <c r="M110" s="99"/>
      <c r="N110" s="70"/>
      <c r="O110" s="106" t="s">
        <v>8083</v>
      </c>
      <c r="P110" s="57" t="s">
        <v>1</v>
      </c>
      <c r="Q110" s="58">
        <v>0.25</v>
      </c>
      <c r="R110" s="77" t="s">
        <v>422</v>
      </c>
      <c r="S110" s="66"/>
      <c r="T110" s="57"/>
      <c r="U110" s="58"/>
      <c r="V110" s="77"/>
      <c r="W110" s="120">
        <f>ROUND((ROUND((ROUND((ROUND((ROUND((_15_同援日増４．５*_15・通訳),0)*_15・２人),0)*(1+_15・A深夜)),0)*(1+_15・盲ろう)),0)*(1+_15・区３)),0)</f>
        <v>1147</v>
      </c>
      <c r="X110" s="69"/>
    </row>
    <row r="111" spans="1:24" ht="16.5" customHeight="1" x14ac:dyDescent="0.3">
      <c r="A111" s="2">
        <v>15</v>
      </c>
      <c r="B111" s="2" t="s">
        <v>5811</v>
      </c>
      <c r="C111" s="60" t="s">
        <v>16176</v>
      </c>
      <c r="D111" s="1"/>
      <c r="E111" s="68"/>
      <c r="F111" s="70"/>
      <c r="G111" s="67"/>
      <c r="H111" s="68"/>
      <c r="I111" s="76"/>
      <c r="J111" s="85"/>
      <c r="K111" s="64"/>
      <c r="L111" s="65"/>
      <c r="M111" s="99"/>
      <c r="N111" s="70"/>
      <c r="O111" s="61"/>
      <c r="P111" s="62"/>
      <c r="Q111" s="63"/>
      <c r="R111" s="75"/>
      <c r="S111" s="74" t="s">
        <v>17971</v>
      </c>
      <c r="T111" s="62"/>
      <c r="U111" s="63"/>
      <c r="V111" s="75"/>
      <c r="W111" s="120">
        <f>ROUND((ROUND((ROUND((_15_同援日増４．５*_15・通訳),0)*(1+_15・A深夜)),0)*(1+_15・区４)),0)</f>
        <v>1071</v>
      </c>
      <c r="X111" s="69"/>
    </row>
    <row r="112" spans="1:24" ht="16.5" customHeight="1" x14ac:dyDescent="0.3">
      <c r="A112" s="2">
        <v>15</v>
      </c>
      <c r="B112" s="2" t="s">
        <v>5812</v>
      </c>
      <c r="C112" s="60" t="s">
        <v>16175</v>
      </c>
      <c r="D112" s="1"/>
      <c r="E112" s="68"/>
      <c r="F112" s="70"/>
      <c r="G112" s="67"/>
      <c r="H112" s="68"/>
      <c r="I112" s="76"/>
      <c r="J112" s="83" t="s">
        <v>5895</v>
      </c>
      <c r="K112" s="64" t="s">
        <v>1</v>
      </c>
      <c r="L112" s="65">
        <v>1</v>
      </c>
      <c r="M112" s="99"/>
      <c r="N112" s="70"/>
      <c r="O112" s="66"/>
      <c r="P112" s="57"/>
      <c r="Q112" s="58"/>
      <c r="R112" s="77"/>
      <c r="S112" s="94" t="s">
        <v>17970</v>
      </c>
      <c r="T112" s="68"/>
      <c r="U112" s="76"/>
      <c r="V112" s="70"/>
      <c r="W112" s="120">
        <f>ROUND((ROUND((ROUND((ROUND((_15_同援日増４．５*_15・通訳),0)*_15・２人),0)*(1+_15・A深夜)),0)*(1+_15・区４)),0)</f>
        <v>1071</v>
      </c>
      <c r="X112" s="69"/>
    </row>
    <row r="113" spans="1:24" ht="16.5" customHeight="1" x14ac:dyDescent="0.3">
      <c r="A113" s="2">
        <v>15</v>
      </c>
      <c r="B113" s="2" t="s">
        <v>5813</v>
      </c>
      <c r="C113" s="60" t="s">
        <v>16174</v>
      </c>
      <c r="D113" s="1"/>
      <c r="E113" s="68"/>
      <c r="F113" s="70"/>
      <c r="G113" s="67"/>
      <c r="H113" s="68"/>
      <c r="I113" s="76"/>
      <c r="J113" s="85"/>
      <c r="K113" s="64"/>
      <c r="L113" s="65"/>
      <c r="M113" s="99"/>
      <c r="N113" s="70"/>
      <c r="O113" s="74" t="s">
        <v>17969</v>
      </c>
      <c r="P113" s="62"/>
      <c r="Q113" s="63"/>
      <c r="R113" s="75"/>
      <c r="S113" s="67"/>
      <c r="T113" s="68" t="s">
        <v>1</v>
      </c>
      <c r="U113" s="76">
        <v>0.4</v>
      </c>
      <c r="V113" s="70" t="s">
        <v>422</v>
      </c>
      <c r="W113" s="120">
        <f>ROUND((ROUND((ROUND((ROUND((_15_同援日増４．５*_15・通訳),0)*(1+_15・A深夜)),0)*(1+_15・盲ろう)),0)*(1+_15・区４)),0)</f>
        <v>1338</v>
      </c>
      <c r="X113" s="69"/>
    </row>
    <row r="114" spans="1:24" ht="16.5" customHeight="1" x14ac:dyDescent="0.3">
      <c r="A114" s="2">
        <v>15</v>
      </c>
      <c r="B114" s="2" t="s">
        <v>5814</v>
      </c>
      <c r="C114" s="60" t="s">
        <v>16173</v>
      </c>
      <c r="D114" s="81"/>
      <c r="E114" s="57"/>
      <c r="F114" s="77"/>
      <c r="G114" s="67"/>
      <c r="H114" s="68"/>
      <c r="I114" s="76"/>
      <c r="J114" s="83" t="s">
        <v>5895</v>
      </c>
      <c r="K114" s="64" t="s">
        <v>1</v>
      </c>
      <c r="L114" s="65">
        <v>1</v>
      </c>
      <c r="M114" s="99"/>
      <c r="N114" s="70"/>
      <c r="O114" s="106" t="s">
        <v>17968</v>
      </c>
      <c r="P114" s="57" t="s">
        <v>1</v>
      </c>
      <c r="Q114" s="58">
        <v>0.25</v>
      </c>
      <c r="R114" s="77" t="s">
        <v>422</v>
      </c>
      <c r="S114" s="66"/>
      <c r="T114" s="57"/>
      <c r="U114" s="58"/>
      <c r="V114" s="77"/>
      <c r="W114" s="120">
        <f>ROUND((ROUND((ROUND((ROUND((ROUND((_15_同援日増４．５*_15・通訳),0)*_15・２人),0)*(1+_15・A深夜)),0)*(1+_15・盲ろう)),0)*(1+_15・区４)),0)</f>
        <v>1338</v>
      </c>
      <c r="X114" s="69"/>
    </row>
    <row r="115" spans="1:24" ht="16.5" customHeight="1" x14ac:dyDescent="0.3">
      <c r="A115" s="2">
        <v>15</v>
      </c>
      <c r="B115" s="2" t="s">
        <v>5815</v>
      </c>
      <c r="C115" s="60" t="s">
        <v>16172</v>
      </c>
      <c r="D115" s="233" t="s">
        <v>18438</v>
      </c>
      <c r="E115" s="62"/>
      <c r="F115" s="75"/>
      <c r="G115" s="67"/>
      <c r="H115" s="68"/>
      <c r="I115" s="76"/>
      <c r="J115" s="85"/>
      <c r="K115" s="64"/>
      <c r="L115" s="65"/>
      <c r="M115" s="99"/>
      <c r="N115" s="70"/>
      <c r="O115" s="61"/>
      <c r="P115" s="62"/>
      <c r="Q115" s="63"/>
      <c r="R115" s="75"/>
      <c r="S115" s="61"/>
      <c r="T115" s="62"/>
      <c r="U115" s="63"/>
      <c r="V115" s="75"/>
      <c r="W115" s="120">
        <f>ROUND((ROUND((_15_同援日増５．０*_15・通訳),0)*(1+_15・A深夜)),0)</f>
        <v>851</v>
      </c>
      <c r="X115" s="69"/>
    </row>
    <row r="116" spans="1:24" ht="16.5" customHeight="1" x14ac:dyDescent="0.3">
      <c r="A116" s="2">
        <v>15</v>
      </c>
      <c r="B116" s="2" t="s">
        <v>5816</v>
      </c>
      <c r="C116" s="60" t="s">
        <v>16171</v>
      </c>
      <c r="D116" s="1" t="s">
        <v>16850</v>
      </c>
      <c r="E116" s="68"/>
      <c r="F116" s="70"/>
      <c r="G116" s="67"/>
      <c r="H116" s="68"/>
      <c r="I116" s="76"/>
      <c r="J116" s="83" t="s">
        <v>5895</v>
      </c>
      <c r="K116" s="64" t="s">
        <v>1</v>
      </c>
      <c r="L116" s="65">
        <v>1</v>
      </c>
      <c r="M116" s="99"/>
      <c r="N116" s="70"/>
      <c r="O116" s="66"/>
      <c r="P116" s="57"/>
      <c r="Q116" s="58"/>
      <c r="R116" s="77"/>
      <c r="S116" s="67"/>
      <c r="T116" s="68"/>
      <c r="U116" s="76"/>
      <c r="V116" s="70"/>
      <c r="W116" s="120">
        <f>ROUND((ROUND((ROUND((_15_同援日増５．０*_15・通訳),0)*_15・２人),0)*(1+_15・A深夜)),0)</f>
        <v>851</v>
      </c>
      <c r="X116" s="69"/>
    </row>
    <row r="117" spans="1:24" ht="16.5" customHeight="1" x14ac:dyDescent="0.3">
      <c r="A117" s="2">
        <v>15</v>
      </c>
      <c r="B117" s="2" t="s">
        <v>5817</v>
      </c>
      <c r="C117" s="60" t="s">
        <v>16170</v>
      </c>
      <c r="D117" s="1" t="s">
        <v>9035</v>
      </c>
      <c r="E117" s="68"/>
      <c r="F117" s="70"/>
      <c r="G117" s="67"/>
      <c r="H117" s="68"/>
      <c r="I117" s="76"/>
      <c r="J117" s="85"/>
      <c r="K117" s="64"/>
      <c r="L117" s="65"/>
      <c r="M117" s="99"/>
      <c r="N117" s="70"/>
      <c r="O117" s="74" t="s">
        <v>17969</v>
      </c>
      <c r="P117" s="62"/>
      <c r="Q117" s="63"/>
      <c r="R117" s="75"/>
      <c r="S117" s="67"/>
      <c r="T117" s="68"/>
      <c r="U117" s="76"/>
      <c r="V117" s="70"/>
      <c r="W117" s="120">
        <f>ROUND((ROUND((ROUND((_15_同援日増５．０*_15・通訳),0)*(1+_15・A深夜)),0)*(1+_15・盲ろう)),0)</f>
        <v>1064</v>
      </c>
      <c r="X117" s="69"/>
    </row>
    <row r="118" spans="1:24" ht="16.5" customHeight="1" x14ac:dyDescent="0.3">
      <c r="A118" s="2">
        <v>15</v>
      </c>
      <c r="B118" s="2" t="s">
        <v>5818</v>
      </c>
      <c r="C118" s="60" t="s">
        <v>16169</v>
      </c>
      <c r="D118" s="1"/>
      <c r="E118" s="119">
        <v>630</v>
      </c>
      <c r="F118" s="70" t="s">
        <v>0</v>
      </c>
      <c r="G118" s="67"/>
      <c r="H118" s="68"/>
      <c r="I118" s="76"/>
      <c r="J118" s="83" t="s">
        <v>5895</v>
      </c>
      <c r="K118" s="64" t="s">
        <v>1</v>
      </c>
      <c r="L118" s="65">
        <v>1</v>
      </c>
      <c r="M118" s="99"/>
      <c r="N118" s="70"/>
      <c r="O118" s="106" t="s">
        <v>17968</v>
      </c>
      <c r="P118" s="57" t="s">
        <v>1</v>
      </c>
      <c r="Q118" s="58">
        <v>0.25</v>
      </c>
      <c r="R118" s="77" t="s">
        <v>422</v>
      </c>
      <c r="S118" s="66"/>
      <c r="T118" s="57"/>
      <c r="U118" s="58"/>
      <c r="V118" s="77"/>
      <c r="W118" s="120">
        <f>ROUND((ROUND((ROUND((ROUND((_15_同援日増５．０*_15・通訳),0)*_15・２人),0)*(1+_15・A深夜)),0)*(1+_15・盲ろう)),0)</f>
        <v>1064</v>
      </c>
      <c r="X118" s="69"/>
    </row>
    <row r="119" spans="1:24" ht="16.5" customHeight="1" x14ac:dyDescent="0.3">
      <c r="A119" s="2">
        <v>15</v>
      </c>
      <c r="B119" s="2" t="s">
        <v>5819</v>
      </c>
      <c r="C119" s="60" t="s">
        <v>16168</v>
      </c>
      <c r="D119" s="1"/>
      <c r="E119" s="68"/>
      <c r="F119" s="70"/>
      <c r="G119" s="67"/>
      <c r="H119" s="68"/>
      <c r="I119" s="76"/>
      <c r="J119" s="85"/>
      <c r="K119" s="64"/>
      <c r="L119" s="65"/>
      <c r="M119" s="99"/>
      <c r="N119" s="70"/>
      <c r="O119" s="61"/>
      <c r="P119" s="62"/>
      <c r="Q119" s="63"/>
      <c r="R119" s="75"/>
      <c r="S119" s="74" t="s">
        <v>17974</v>
      </c>
      <c r="T119" s="62"/>
      <c r="U119" s="63"/>
      <c r="V119" s="75"/>
      <c r="W119" s="120">
        <f>ROUND((ROUND((ROUND((_15_同援日増５．０*_15・通訳),0)*(1+_15・A深夜)),0)*(1+_15・区３)),0)</f>
        <v>1021</v>
      </c>
      <c r="X119" s="69"/>
    </row>
    <row r="120" spans="1:24" ht="16.5" customHeight="1" x14ac:dyDescent="0.3">
      <c r="A120" s="2">
        <v>15</v>
      </c>
      <c r="B120" s="2" t="s">
        <v>5820</v>
      </c>
      <c r="C120" s="60" t="s">
        <v>16167</v>
      </c>
      <c r="D120" s="1"/>
      <c r="E120" s="68"/>
      <c r="F120" s="70"/>
      <c r="G120" s="67"/>
      <c r="H120" s="68"/>
      <c r="I120" s="76"/>
      <c r="J120" s="83" t="s">
        <v>5895</v>
      </c>
      <c r="K120" s="64" t="s">
        <v>1</v>
      </c>
      <c r="L120" s="65">
        <v>1</v>
      </c>
      <c r="M120" s="99"/>
      <c r="N120" s="70"/>
      <c r="O120" s="66"/>
      <c r="P120" s="57"/>
      <c r="Q120" s="58"/>
      <c r="R120" s="77"/>
      <c r="S120" s="94" t="s">
        <v>17970</v>
      </c>
      <c r="T120" s="68"/>
      <c r="U120" s="76"/>
      <c r="V120" s="70"/>
      <c r="W120" s="120">
        <f>ROUND((ROUND((ROUND((ROUND((_15_同援日増５．０*_15・通訳),0)*_15・２人),0)*(1+_15・A深夜)),0)*(1+_15・区３)),0)</f>
        <v>1021</v>
      </c>
      <c r="X120" s="69"/>
    </row>
    <row r="121" spans="1:24" ht="16.5" customHeight="1" x14ac:dyDescent="0.3">
      <c r="A121" s="2">
        <v>15</v>
      </c>
      <c r="B121" s="2" t="s">
        <v>5821</v>
      </c>
      <c r="C121" s="60" t="s">
        <v>16166</v>
      </c>
      <c r="D121" s="1"/>
      <c r="E121" s="68"/>
      <c r="F121" s="70"/>
      <c r="G121" s="67"/>
      <c r="H121" s="68"/>
      <c r="I121" s="76"/>
      <c r="J121" s="85"/>
      <c r="K121" s="64"/>
      <c r="L121" s="65"/>
      <c r="M121" s="99"/>
      <c r="N121" s="70"/>
      <c r="O121" s="74" t="s">
        <v>17969</v>
      </c>
      <c r="P121" s="62"/>
      <c r="Q121" s="63"/>
      <c r="R121" s="75"/>
      <c r="S121" s="67"/>
      <c r="T121" s="68" t="s">
        <v>1</v>
      </c>
      <c r="U121" s="76">
        <v>0.2</v>
      </c>
      <c r="V121" s="70" t="s">
        <v>422</v>
      </c>
      <c r="W121" s="120">
        <f>ROUND((ROUND((ROUND((ROUND((_15_同援日増５．０*_15・通訳),0)*(1+_15・A深夜)),0)*(1+_15・盲ろう)),0)*(1+_15・区３)),0)</f>
        <v>1277</v>
      </c>
      <c r="X121" s="69"/>
    </row>
    <row r="122" spans="1:24" ht="16.5" customHeight="1" x14ac:dyDescent="0.3">
      <c r="A122" s="2">
        <v>15</v>
      </c>
      <c r="B122" s="2" t="s">
        <v>5822</v>
      </c>
      <c r="C122" s="60" t="s">
        <v>16165</v>
      </c>
      <c r="D122" s="1"/>
      <c r="E122" s="68"/>
      <c r="F122" s="70"/>
      <c r="G122" s="67"/>
      <c r="H122" s="68"/>
      <c r="I122" s="76"/>
      <c r="J122" s="83" t="s">
        <v>5895</v>
      </c>
      <c r="K122" s="64" t="s">
        <v>1</v>
      </c>
      <c r="L122" s="65">
        <v>1</v>
      </c>
      <c r="M122" s="99"/>
      <c r="N122" s="70"/>
      <c r="O122" s="106" t="s">
        <v>17968</v>
      </c>
      <c r="P122" s="57" t="s">
        <v>1</v>
      </c>
      <c r="Q122" s="58">
        <v>0.25</v>
      </c>
      <c r="R122" s="77" t="s">
        <v>422</v>
      </c>
      <c r="S122" s="66"/>
      <c r="T122" s="57"/>
      <c r="U122" s="58"/>
      <c r="V122" s="77"/>
      <c r="W122" s="120">
        <f>ROUND((ROUND((ROUND((ROUND((ROUND((_15_同援日増５．０*_15・通訳),0)*_15・２人),0)*(1+_15・A深夜)),0)*(1+_15・盲ろう)),0)*(1+_15・区３)),0)</f>
        <v>1277</v>
      </c>
      <c r="X122" s="69"/>
    </row>
    <row r="123" spans="1:24" ht="16.5" customHeight="1" x14ac:dyDescent="0.3">
      <c r="A123" s="2">
        <v>15</v>
      </c>
      <c r="B123" s="2" t="s">
        <v>5823</v>
      </c>
      <c r="C123" s="60" t="s">
        <v>16164</v>
      </c>
      <c r="D123" s="1"/>
      <c r="E123" s="68"/>
      <c r="F123" s="70"/>
      <c r="G123" s="67"/>
      <c r="H123" s="68"/>
      <c r="I123" s="76"/>
      <c r="J123" s="85"/>
      <c r="K123" s="64"/>
      <c r="L123" s="65"/>
      <c r="M123" s="99"/>
      <c r="N123" s="70"/>
      <c r="O123" s="61"/>
      <c r="P123" s="62"/>
      <c r="Q123" s="63"/>
      <c r="R123" s="75"/>
      <c r="S123" s="74" t="s">
        <v>17971</v>
      </c>
      <c r="T123" s="62"/>
      <c r="U123" s="63"/>
      <c r="V123" s="75"/>
      <c r="W123" s="120">
        <f>ROUND((ROUND((ROUND((_15_同援日増５．０*_15・通訳),0)*(1+_15・A深夜)),0)*(1+_15・区４)),0)</f>
        <v>1191</v>
      </c>
      <c r="X123" s="69"/>
    </row>
    <row r="124" spans="1:24" ht="16.5" customHeight="1" x14ac:dyDescent="0.3">
      <c r="A124" s="2">
        <v>15</v>
      </c>
      <c r="B124" s="2" t="s">
        <v>5824</v>
      </c>
      <c r="C124" s="60" t="s">
        <v>16163</v>
      </c>
      <c r="D124" s="1"/>
      <c r="E124" s="68"/>
      <c r="F124" s="70"/>
      <c r="G124" s="67"/>
      <c r="H124" s="68"/>
      <c r="I124" s="76"/>
      <c r="J124" s="83" t="s">
        <v>5895</v>
      </c>
      <c r="K124" s="64" t="s">
        <v>1</v>
      </c>
      <c r="L124" s="65">
        <v>1</v>
      </c>
      <c r="M124" s="99"/>
      <c r="N124" s="70"/>
      <c r="O124" s="66"/>
      <c r="P124" s="57"/>
      <c r="Q124" s="58"/>
      <c r="R124" s="77"/>
      <c r="S124" s="94" t="s">
        <v>17970</v>
      </c>
      <c r="T124" s="68"/>
      <c r="U124" s="76"/>
      <c r="V124" s="70"/>
      <c r="W124" s="120">
        <f>ROUND((ROUND((ROUND((ROUND((_15_同援日増５．０*_15・通訳),0)*_15・２人),0)*(1+_15・A深夜)),0)*(1+_15・区４)),0)</f>
        <v>1191</v>
      </c>
      <c r="X124" s="69"/>
    </row>
    <row r="125" spans="1:24" ht="16.5" customHeight="1" x14ac:dyDescent="0.3">
      <c r="A125" s="2">
        <v>15</v>
      </c>
      <c r="B125" s="2" t="s">
        <v>5825</v>
      </c>
      <c r="C125" s="60" t="s">
        <v>16162</v>
      </c>
      <c r="D125" s="1"/>
      <c r="E125" s="68"/>
      <c r="F125" s="70"/>
      <c r="G125" s="67"/>
      <c r="H125" s="68"/>
      <c r="I125" s="76"/>
      <c r="J125" s="85"/>
      <c r="K125" s="64"/>
      <c r="L125" s="65"/>
      <c r="M125" s="99"/>
      <c r="N125" s="70"/>
      <c r="O125" s="74" t="s">
        <v>17969</v>
      </c>
      <c r="P125" s="62"/>
      <c r="Q125" s="63"/>
      <c r="R125" s="75"/>
      <c r="S125" s="67"/>
      <c r="T125" s="68" t="s">
        <v>1</v>
      </c>
      <c r="U125" s="76">
        <v>0.4</v>
      </c>
      <c r="V125" s="70" t="s">
        <v>422</v>
      </c>
      <c r="W125" s="120">
        <f>ROUND((ROUND((ROUND((ROUND((_15_同援日増５．０*_15・通訳),0)*(1+_15・A深夜)),0)*(1+_15・盲ろう)),0)*(1+_15・区４)),0)</f>
        <v>1490</v>
      </c>
      <c r="X125" s="69"/>
    </row>
    <row r="126" spans="1:24" ht="16.5" customHeight="1" x14ac:dyDescent="0.3">
      <c r="A126" s="2">
        <v>15</v>
      </c>
      <c r="B126" s="2" t="s">
        <v>5826</v>
      </c>
      <c r="C126" s="60" t="s">
        <v>16161</v>
      </c>
      <c r="D126" s="81"/>
      <c r="E126" s="57"/>
      <c r="F126" s="77"/>
      <c r="G126" s="67"/>
      <c r="H126" s="68"/>
      <c r="I126" s="76"/>
      <c r="J126" s="83" t="s">
        <v>5895</v>
      </c>
      <c r="K126" s="64" t="s">
        <v>1</v>
      </c>
      <c r="L126" s="65">
        <v>1</v>
      </c>
      <c r="M126" s="99"/>
      <c r="N126" s="70"/>
      <c r="O126" s="106" t="s">
        <v>17968</v>
      </c>
      <c r="P126" s="57" t="s">
        <v>1</v>
      </c>
      <c r="Q126" s="58">
        <v>0.25</v>
      </c>
      <c r="R126" s="77" t="s">
        <v>422</v>
      </c>
      <c r="S126" s="66"/>
      <c r="T126" s="57"/>
      <c r="U126" s="58"/>
      <c r="V126" s="77"/>
      <c r="W126" s="120">
        <f>ROUND((ROUND((ROUND((ROUND((ROUND((_15_同援日増５．０*_15・通訳),0)*_15・２人),0)*(1+_15・A深夜)),0)*(1+_15・盲ろう)),0)*(1+_15・区４)),0)</f>
        <v>1490</v>
      </c>
      <c r="X126" s="69"/>
    </row>
    <row r="127" spans="1:24" ht="16.5" customHeight="1" x14ac:dyDescent="0.3">
      <c r="A127" s="2">
        <v>15</v>
      </c>
      <c r="B127" s="2" t="s">
        <v>5827</v>
      </c>
      <c r="C127" s="60" t="s">
        <v>16160</v>
      </c>
      <c r="D127" s="233" t="s">
        <v>18437</v>
      </c>
      <c r="E127" s="62"/>
      <c r="F127" s="75"/>
      <c r="G127" s="67"/>
      <c r="H127" s="68"/>
      <c r="I127" s="76"/>
      <c r="J127" s="85"/>
      <c r="K127" s="64"/>
      <c r="L127" s="65"/>
      <c r="M127" s="99"/>
      <c r="N127" s="70"/>
      <c r="O127" s="61"/>
      <c r="P127" s="62"/>
      <c r="Q127" s="63"/>
      <c r="R127" s="75"/>
      <c r="S127" s="61"/>
      <c r="T127" s="62"/>
      <c r="U127" s="63"/>
      <c r="V127" s="75"/>
      <c r="W127" s="120">
        <f>ROUND((ROUND((_15_同援日増５．５*_15・通訳),0)*(1+_15・A深夜)),0)</f>
        <v>936</v>
      </c>
      <c r="X127" s="69"/>
    </row>
    <row r="128" spans="1:24" ht="16.5" customHeight="1" x14ac:dyDescent="0.3">
      <c r="A128" s="2">
        <v>15</v>
      </c>
      <c r="B128" s="2" t="s">
        <v>5828</v>
      </c>
      <c r="C128" s="60" t="s">
        <v>16159</v>
      </c>
      <c r="D128" s="1" t="s">
        <v>16847</v>
      </c>
      <c r="E128" s="68"/>
      <c r="F128" s="70"/>
      <c r="G128" s="67"/>
      <c r="H128" s="68"/>
      <c r="I128" s="76"/>
      <c r="J128" s="83" t="s">
        <v>5895</v>
      </c>
      <c r="K128" s="64" t="s">
        <v>1</v>
      </c>
      <c r="L128" s="65">
        <v>1</v>
      </c>
      <c r="M128" s="99"/>
      <c r="N128" s="70"/>
      <c r="O128" s="66"/>
      <c r="P128" s="57"/>
      <c r="Q128" s="58"/>
      <c r="R128" s="77"/>
      <c r="S128" s="67"/>
      <c r="T128" s="68"/>
      <c r="U128" s="76"/>
      <c r="V128" s="70"/>
      <c r="W128" s="120">
        <f>ROUND((ROUND((ROUND((_15_同援日増５．５*_15・通訳),0)*_15・２人),0)*(1+_15・A深夜)),0)</f>
        <v>936</v>
      </c>
      <c r="X128" s="69"/>
    </row>
    <row r="129" spans="1:24" ht="16.5" customHeight="1" x14ac:dyDescent="0.3">
      <c r="A129" s="2">
        <v>15</v>
      </c>
      <c r="B129" s="2" t="s">
        <v>5829</v>
      </c>
      <c r="C129" s="60" t="s">
        <v>16158</v>
      </c>
      <c r="D129" s="1" t="s">
        <v>9010</v>
      </c>
      <c r="E129" s="68"/>
      <c r="F129" s="70"/>
      <c r="G129" s="67"/>
      <c r="H129" s="68"/>
      <c r="I129" s="76"/>
      <c r="J129" s="85"/>
      <c r="K129" s="64"/>
      <c r="L129" s="65"/>
      <c r="M129" s="99"/>
      <c r="N129" s="70"/>
      <c r="O129" s="74" t="s">
        <v>17969</v>
      </c>
      <c r="P129" s="62"/>
      <c r="Q129" s="63"/>
      <c r="R129" s="75"/>
      <c r="S129" s="67"/>
      <c r="T129" s="68"/>
      <c r="U129" s="76"/>
      <c r="V129" s="70"/>
      <c r="W129" s="120">
        <f>ROUND((ROUND((ROUND((_15_同援日増５．５*_15・通訳),0)*(1+_15・A深夜)),0)*(1+_15・盲ろう)),0)</f>
        <v>1170</v>
      </c>
      <c r="X129" s="69"/>
    </row>
    <row r="130" spans="1:24" ht="16.5" customHeight="1" x14ac:dyDescent="0.3">
      <c r="A130" s="2">
        <v>15</v>
      </c>
      <c r="B130" s="2" t="s">
        <v>5830</v>
      </c>
      <c r="C130" s="60" t="s">
        <v>16157</v>
      </c>
      <c r="D130" s="1"/>
      <c r="E130" s="119">
        <v>693</v>
      </c>
      <c r="F130" s="70" t="s">
        <v>0</v>
      </c>
      <c r="G130" s="67"/>
      <c r="H130" s="68"/>
      <c r="I130" s="76"/>
      <c r="J130" s="83" t="s">
        <v>5895</v>
      </c>
      <c r="K130" s="64" t="s">
        <v>1</v>
      </c>
      <c r="L130" s="65">
        <v>1</v>
      </c>
      <c r="M130" s="99"/>
      <c r="N130" s="70"/>
      <c r="O130" s="106" t="s">
        <v>17968</v>
      </c>
      <c r="P130" s="57" t="s">
        <v>1</v>
      </c>
      <c r="Q130" s="58">
        <v>0.25</v>
      </c>
      <c r="R130" s="77" t="s">
        <v>422</v>
      </c>
      <c r="S130" s="66"/>
      <c r="T130" s="57"/>
      <c r="U130" s="58"/>
      <c r="V130" s="77"/>
      <c r="W130" s="120">
        <f>ROUND((ROUND((ROUND((ROUND((_15_同援日増５．５*_15・通訳),0)*_15・２人),0)*(1+_15・A深夜)),0)*(1+_15・盲ろう)),0)</f>
        <v>1170</v>
      </c>
      <c r="X130" s="69"/>
    </row>
    <row r="131" spans="1:24" ht="16.5" customHeight="1" x14ac:dyDescent="0.3">
      <c r="A131" s="2">
        <v>15</v>
      </c>
      <c r="B131" s="2" t="s">
        <v>5831</v>
      </c>
      <c r="C131" s="60" t="s">
        <v>16156</v>
      </c>
      <c r="D131" s="1"/>
      <c r="E131" s="68"/>
      <c r="F131" s="70"/>
      <c r="G131" s="67"/>
      <c r="H131" s="68"/>
      <c r="I131" s="76"/>
      <c r="J131" s="85"/>
      <c r="K131" s="64"/>
      <c r="L131" s="65"/>
      <c r="M131" s="99"/>
      <c r="N131" s="70"/>
      <c r="O131" s="61"/>
      <c r="P131" s="62"/>
      <c r="Q131" s="63"/>
      <c r="R131" s="75"/>
      <c r="S131" s="74" t="s">
        <v>8098</v>
      </c>
      <c r="T131" s="62"/>
      <c r="U131" s="63"/>
      <c r="V131" s="75"/>
      <c r="W131" s="120">
        <f>ROUND((ROUND((ROUND((_15_同援日増５．５*_15・通訳),0)*(1+_15・A深夜)),0)*(1+_15・区３)),0)</f>
        <v>1123</v>
      </c>
      <c r="X131" s="69"/>
    </row>
    <row r="132" spans="1:24" ht="16.5" customHeight="1" x14ac:dyDescent="0.3">
      <c r="A132" s="2">
        <v>15</v>
      </c>
      <c r="B132" s="2" t="s">
        <v>5832</v>
      </c>
      <c r="C132" s="60" t="s">
        <v>16155</v>
      </c>
      <c r="D132" s="1"/>
      <c r="E132" s="68"/>
      <c r="F132" s="70"/>
      <c r="G132" s="67"/>
      <c r="H132" s="68"/>
      <c r="I132" s="76"/>
      <c r="J132" s="83" t="s">
        <v>5895</v>
      </c>
      <c r="K132" s="64" t="s">
        <v>1</v>
      </c>
      <c r="L132" s="65">
        <v>1</v>
      </c>
      <c r="M132" s="99"/>
      <c r="N132" s="70"/>
      <c r="O132" s="66"/>
      <c r="P132" s="57"/>
      <c r="Q132" s="58"/>
      <c r="R132" s="77"/>
      <c r="S132" s="94" t="s">
        <v>17970</v>
      </c>
      <c r="T132" s="68"/>
      <c r="U132" s="76"/>
      <c r="V132" s="70"/>
      <c r="W132" s="120">
        <f>ROUND((ROUND((ROUND((ROUND((_15_同援日増５．５*_15・通訳),0)*_15・２人),0)*(1+_15・A深夜)),0)*(1+_15・区３)),0)</f>
        <v>1123</v>
      </c>
      <c r="X132" s="69"/>
    </row>
    <row r="133" spans="1:24" ht="16.5" customHeight="1" x14ac:dyDescent="0.3">
      <c r="A133" s="2">
        <v>15</v>
      </c>
      <c r="B133" s="2" t="s">
        <v>5833</v>
      </c>
      <c r="C133" s="60" t="s">
        <v>16154</v>
      </c>
      <c r="D133" s="1"/>
      <c r="E133" s="68"/>
      <c r="F133" s="70"/>
      <c r="G133" s="67"/>
      <c r="H133" s="68"/>
      <c r="I133" s="76"/>
      <c r="J133" s="85"/>
      <c r="K133" s="64"/>
      <c r="L133" s="65"/>
      <c r="M133" s="99"/>
      <c r="N133" s="70"/>
      <c r="O133" s="74" t="s">
        <v>17969</v>
      </c>
      <c r="P133" s="62"/>
      <c r="Q133" s="63"/>
      <c r="R133" s="75"/>
      <c r="S133" s="67"/>
      <c r="T133" s="68" t="s">
        <v>1</v>
      </c>
      <c r="U133" s="76">
        <v>0.2</v>
      </c>
      <c r="V133" s="70" t="s">
        <v>422</v>
      </c>
      <c r="W133" s="120">
        <f>ROUND((ROUND((ROUND((ROUND((_15_同援日増５．５*_15・通訳),0)*(1+_15・A深夜)),0)*(1+_15・盲ろう)),0)*(1+_15・区３)),0)</f>
        <v>1404</v>
      </c>
      <c r="X133" s="69"/>
    </row>
    <row r="134" spans="1:24" ht="16.5" customHeight="1" x14ac:dyDescent="0.3">
      <c r="A134" s="2">
        <v>15</v>
      </c>
      <c r="B134" s="2" t="s">
        <v>5834</v>
      </c>
      <c r="C134" s="60" t="s">
        <v>16153</v>
      </c>
      <c r="D134" s="1"/>
      <c r="E134" s="68"/>
      <c r="F134" s="70"/>
      <c r="G134" s="67"/>
      <c r="H134" s="68"/>
      <c r="I134" s="76"/>
      <c r="J134" s="83" t="s">
        <v>5895</v>
      </c>
      <c r="K134" s="64" t="s">
        <v>1</v>
      </c>
      <c r="L134" s="65">
        <v>1</v>
      </c>
      <c r="M134" s="99"/>
      <c r="N134" s="70"/>
      <c r="O134" s="106" t="s">
        <v>17968</v>
      </c>
      <c r="P134" s="57" t="s">
        <v>1</v>
      </c>
      <c r="Q134" s="58">
        <v>0.25</v>
      </c>
      <c r="R134" s="77" t="s">
        <v>422</v>
      </c>
      <c r="S134" s="66"/>
      <c r="T134" s="57"/>
      <c r="U134" s="58"/>
      <c r="V134" s="77"/>
      <c r="W134" s="120">
        <f>ROUND((ROUND((ROUND((ROUND((ROUND((_15_同援日増５．５*_15・通訳),0)*_15・２人),0)*(1+_15・A深夜)),0)*(1+_15・盲ろう)),0)*(1+_15・区３)),0)</f>
        <v>1404</v>
      </c>
      <c r="X134" s="69"/>
    </row>
    <row r="135" spans="1:24" ht="16.5" customHeight="1" x14ac:dyDescent="0.3">
      <c r="A135" s="2">
        <v>15</v>
      </c>
      <c r="B135" s="2" t="s">
        <v>5835</v>
      </c>
      <c r="C135" s="60" t="s">
        <v>16152</v>
      </c>
      <c r="D135" s="1"/>
      <c r="E135" s="68"/>
      <c r="F135" s="70"/>
      <c r="G135" s="67"/>
      <c r="H135" s="68"/>
      <c r="I135" s="76"/>
      <c r="J135" s="85"/>
      <c r="K135" s="64"/>
      <c r="L135" s="65"/>
      <c r="M135" s="99"/>
      <c r="N135" s="70"/>
      <c r="O135" s="61"/>
      <c r="P135" s="62"/>
      <c r="Q135" s="63"/>
      <c r="R135" s="75"/>
      <c r="S135" s="74" t="s">
        <v>17971</v>
      </c>
      <c r="T135" s="62"/>
      <c r="U135" s="63"/>
      <c r="V135" s="75"/>
      <c r="W135" s="120">
        <f>ROUND((ROUND((ROUND((_15_同援日増５．５*_15・通訳),0)*(1+_15・A深夜)),0)*(1+_15・区４)),0)</f>
        <v>1310</v>
      </c>
      <c r="X135" s="69"/>
    </row>
    <row r="136" spans="1:24" ht="16.5" customHeight="1" x14ac:dyDescent="0.3">
      <c r="A136" s="2">
        <v>15</v>
      </c>
      <c r="B136" s="2" t="s">
        <v>5836</v>
      </c>
      <c r="C136" s="60" t="s">
        <v>16151</v>
      </c>
      <c r="D136" s="1"/>
      <c r="E136" s="68"/>
      <c r="F136" s="70"/>
      <c r="G136" s="67"/>
      <c r="H136" s="68"/>
      <c r="I136" s="76"/>
      <c r="J136" s="83" t="s">
        <v>5895</v>
      </c>
      <c r="K136" s="64" t="s">
        <v>1</v>
      </c>
      <c r="L136" s="65">
        <v>1</v>
      </c>
      <c r="M136" s="99"/>
      <c r="N136" s="70"/>
      <c r="O136" s="66"/>
      <c r="P136" s="57"/>
      <c r="Q136" s="58"/>
      <c r="R136" s="77"/>
      <c r="S136" s="94" t="s">
        <v>17970</v>
      </c>
      <c r="T136" s="68"/>
      <c r="U136" s="76"/>
      <c r="V136" s="70"/>
      <c r="W136" s="120">
        <f>ROUND((ROUND((ROUND((ROUND((_15_同援日増５．５*_15・通訳),0)*_15・２人),0)*(1+_15・A深夜)),0)*(1+_15・区４)),0)</f>
        <v>1310</v>
      </c>
      <c r="X136" s="69"/>
    </row>
    <row r="137" spans="1:24" ht="16.5" customHeight="1" x14ac:dyDescent="0.3">
      <c r="A137" s="2">
        <v>15</v>
      </c>
      <c r="B137" s="2" t="s">
        <v>5837</v>
      </c>
      <c r="C137" s="60" t="s">
        <v>16150</v>
      </c>
      <c r="D137" s="1"/>
      <c r="E137" s="68"/>
      <c r="F137" s="70"/>
      <c r="G137" s="67"/>
      <c r="H137" s="68"/>
      <c r="I137" s="76"/>
      <c r="J137" s="85"/>
      <c r="K137" s="64"/>
      <c r="L137" s="65"/>
      <c r="M137" s="99"/>
      <c r="N137" s="70"/>
      <c r="O137" s="74" t="s">
        <v>17969</v>
      </c>
      <c r="P137" s="62"/>
      <c r="Q137" s="63"/>
      <c r="R137" s="75"/>
      <c r="S137" s="67"/>
      <c r="T137" s="68" t="s">
        <v>1</v>
      </c>
      <c r="U137" s="76">
        <v>0.4</v>
      </c>
      <c r="V137" s="70" t="s">
        <v>422</v>
      </c>
      <c r="W137" s="120">
        <f>ROUND((ROUND((ROUND((ROUND((_15_同援日増５．５*_15・通訳),0)*(1+_15・A深夜)),0)*(1+_15・盲ろう)),0)*(1+_15・区４)),0)</f>
        <v>1638</v>
      </c>
      <c r="X137" s="69"/>
    </row>
    <row r="138" spans="1:24" ht="16.5" customHeight="1" x14ac:dyDescent="0.3">
      <c r="A138" s="2">
        <v>15</v>
      </c>
      <c r="B138" s="2" t="s">
        <v>5838</v>
      </c>
      <c r="C138" s="60" t="s">
        <v>16149</v>
      </c>
      <c r="D138" s="81"/>
      <c r="E138" s="57"/>
      <c r="F138" s="77"/>
      <c r="G138" s="67"/>
      <c r="H138" s="68"/>
      <c r="I138" s="76"/>
      <c r="J138" s="83" t="s">
        <v>5895</v>
      </c>
      <c r="K138" s="64" t="s">
        <v>1</v>
      </c>
      <c r="L138" s="65">
        <v>1</v>
      </c>
      <c r="M138" s="99"/>
      <c r="N138" s="70"/>
      <c r="O138" s="106" t="s">
        <v>17968</v>
      </c>
      <c r="P138" s="57" t="s">
        <v>1</v>
      </c>
      <c r="Q138" s="58">
        <v>0.25</v>
      </c>
      <c r="R138" s="77" t="s">
        <v>422</v>
      </c>
      <c r="S138" s="66"/>
      <c r="T138" s="57"/>
      <c r="U138" s="58"/>
      <c r="V138" s="77"/>
      <c r="W138" s="120">
        <f>ROUND((ROUND((ROUND((ROUND((ROUND((_15_同援日増５．５*_15・通訳),0)*_15・２人),0)*(1+_15・A深夜)),0)*(1+_15・盲ろう)),0)*(1+_15・区４)),0)</f>
        <v>1638</v>
      </c>
      <c r="X138" s="69"/>
    </row>
    <row r="139" spans="1:24" ht="16.5" customHeight="1" x14ac:dyDescent="0.3">
      <c r="A139" s="2">
        <v>15</v>
      </c>
      <c r="B139" s="2" t="s">
        <v>5839</v>
      </c>
      <c r="C139" s="60" t="s">
        <v>16148</v>
      </c>
      <c r="D139" s="233" t="s">
        <v>18436</v>
      </c>
      <c r="E139" s="62"/>
      <c r="F139" s="75"/>
      <c r="G139" s="67"/>
      <c r="H139" s="68"/>
      <c r="I139" s="76"/>
      <c r="J139" s="85"/>
      <c r="K139" s="64"/>
      <c r="L139" s="65"/>
      <c r="M139" s="99"/>
      <c r="N139" s="70"/>
      <c r="O139" s="61"/>
      <c r="P139" s="62"/>
      <c r="Q139" s="63"/>
      <c r="R139" s="75"/>
      <c r="S139" s="61"/>
      <c r="T139" s="62"/>
      <c r="U139" s="63"/>
      <c r="V139" s="75"/>
      <c r="W139" s="120">
        <f>ROUND((ROUND((_15_同援日増６．０*_15・通訳),0)*(1+_15・A深夜)),0)</f>
        <v>1020</v>
      </c>
      <c r="X139" s="69"/>
    </row>
    <row r="140" spans="1:24" ht="16.5" customHeight="1" x14ac:dyDescent="0.3">
      <c r="A140" s="2">
        <v>15</v>
      </c>
      <c r="B140" s="2" t="s">
        <v>5840</v>
      </c>
      <c r="C140" s="60" t="s">
        <v>16147</v>
      </c>
      <c r="D140" s="1" t="s">
        <v>16844</v>
      </c>
      <c r="E140" s="68"/>
      <c r="F140" s="70"/>
      <c r="G140" s="67"/>
      <c r="H140" s="68"/>
      <c r="I140" s="76"/>
      <c r="J140" s="83" t="s">
        <v>5895</v>
      </c>
      <c r="K140" s="64" t="s">
        <v>1</v>
      </c>
      <c r="L140" s="65">
        <v>1</v>
      </c>
      <c r="M140" s="99"/>
      <c r="N140" s="70"/>
      <c r="O140" s="66"/>
      <c r="P140" s="57"/>
      <c r="Q140" s="58"/>
      <c r="R140" s="77"/>
      <c r="S140" s="67"/>
      <c r="T140" s="68"/>
      <c r="U140" s="76"/>
      <c r="V140" s="70"/>
      <c r="W140" s="120">
        <f>ROUND((ROUND((ROUND((_15_同援日増６．０*_15・通訳),0)*_15・２人),0)*(1+_15・A深夜)),0)</f>
        <v>1020</v>
      </c>
      <c r="X140" s="69"/>
    </row>
    <row r="141" spans="1:24" ht="16.5" customHeight="1" x14ac:dyDescent="0.3">
      <c r="A141" s="2">
        <v>15</v>
      </c>
      <c r="B141" s="2" t="s">
        <v>5841</v>
      </c>
      <c r="C141" s="60" t="s">
        <v>16146</v>
      </c>
      <c r="D141" s="1" t="s">
        <v>8985</v>
      </c>
      <c r="E141" s="68"/>
      <c r="F141" s="70"/>
      <c r="G141" s="67"/>
      <c r="H141" s="68"/>
      <c r="I141" s="76"/>
      <c r="J141" s="85"/>
      <c r="K141" s="64"/>
      <c r="L141" s="65"/>
      <c r="M141" s="99"/>
      <c r="N141" s="70"/>
      <c r="O141" s="74" t="s">
        <v>8085</v>
      </c>
      <c r="P141" s="62"/>
      <c r="Q141" s="63"/>
      <c r="R141" s="75"/>
      <c r="S141" s="67"/>
      <c r="T141" s="68"/>
      <c r="U141" s="76"/>
      <c r="V141" s="70"/>
      <c r="W141" s="120">
        <f>ROUND((ROUND((ROUND((_15_同援日増６．０*_15・通訳),0)*(1+_15・A深夜)),0)*(1+_15・盲ろう)),0)</f>
        <v>1275</v>
      </c>
      <c r="X141" s="69"/>
    </row>
    <row r="142" spans="1:24" ht="16.5" customHeight="1" x14ac:dyDescent="0.3">
      <c r="A142" s="2">
        <v>15</v>
      </c>
      <c r="B142" s="2" t="s">
        <v>5842</v>
      </c>
      <c r="C142" s="60" t="s">
        <v>16145</v>
      </c>
      <c r="D142" s="1"/>
      <c r="E142" s="119">
        <v>756</v>
      </c>
      <c r="F142" s="70" t="s">
        <v>0</v>
      </c>
      <c r="G142" s="67"/>
      <c r="H142" s="68"/>
      <c r="I142" s="76"/>
      <c r="J142" s="83" t="s">
        <v>5895</v>
      </c>
      <c r="K142" s="64" t="s">
        <v>1</v>
      </c>
      <c r="L142" s="65">
        <v>1</v>
      </c>
      <c r="M142" s="99"/>
      <c r="N142" s="70"/>
      <c r="O142" s="106" t="s">
        <v>17968</v>
      </c>
      <c r="P142" s="57" t="s">
        <v>1</v>
      </c>
      <c r="Q142" s="58">
        <v>0.25</v>
      </c>
      <c r="R142" s="77" t="s">
        <v>422</v>
      </c>
      <c r="S142" s="66"/>
      <c r="T142" s="57"/>
      <c r="U142" s="58"/>
      <c r="V142" s="77"/>
      <c r="W142" s="120">
        <f>ROUND((ROUND((ROUND((ROUND((_15_同援日増６．０*_15・通訳),0)*_15・２人),0)*(1+_15・A深夜)),0)*(1+_15・盲ろう)),0)</f>
        <v>1275</v>
      </c>
      <c r="X142" s="69"/>
    </row>
    <row r="143" spans="1:24" ht="16.5" customHeight="1" x14ac:dyDescent="0.3">
      <c r="A143" s="2">
        <v>15</v>
      </c>
      <c r="B143" s="2" t="s">
        <v>5843</v>
      </c>
      <c r="C143" s="60" t="s">
        <v>16144</v>
      </c>
      <c r="D143" s="1"/>
      <c r="E143" s="68"/>
      <c r="F143" s="70"/>
      <c r="G143" s="67"/>
      <c r="H143" s="68"/>
      <c r="I143" s="76"/>
      <c r="J143" s="85"/>
      <c r="K143" s="64"/>
      <c r="L143" s="65"/>
      <c r="M143" s="99"/>
      <c r="N143" s="70"/>
      <c r="O143" s="61"/>
      <c r="P143" s="62"/>
      <c r="Q143" s="63"/>
      <c r="R143" s="75"/>
      <c r="S143" s="74" t="s">
        <v>17974</v>
      </c>
      <c r="T143" s="62"/>
      <c r="U143" s="63"/>
      <c r="V143" s="75"/>
      <c r="W143" s="120">
        <f>ROUND((ROUND((ROUND((_15_同援日増６．０*_15・通訳),0)*(1+_15・A深夜)),0)*(1+_15・区３)),0)</f>
        <v>1224</v>
      </c>
      <c r="X143" s="69"/>
    </row>
    <row r="144" spans="1:24" ht="16.5" customHeight="1" x14ac:dyDescent="0.3">
      <c r="A144" s="2">
        <v>15</v>
      </c>
      <c r="B144" s="2" t="s">
        <v>5844</v>
      </c>
      <c r="C144" s="60" t="s">
        <v>16143</v>
      </c>
      <c r="D144" s="1"/>
      <c r="E144" s="68"/>
      <c r="F144" s="70"/>
      <c r="G144" s="67"/>
      <c r="H144" s="68"/>
      <c r="I144" s="76"/>
      <c r="J144" s="83" t="s">
        <v>5895</v>
      </c>
      <c r="K144" s="64" t="s">
        <v>1</v>
      </c>
      <c r="L144" s="65">
        <v>1</v>
      </c>
      <c r="M144" s="99"/>
      <c r="N144" s="70"/>
      <c r="O144" s="66"/>
      <c r="P144" s="57"/>
      <c r="Q144" s="58"/>
      <c r="R144" s="77"/>
      <c r="S144" s="94" t="s">
        <v>17970</v>
      </c>
      <c r="T144" s="68"/>
      <c r="U144" s="76"/>
      <c r="V144" s="70"/>
      <c r="W144" s="120">
        <f>ROUND((ROUND((ROUND((ROUND((_15_同援日増６．０*_15・通訳),0)*_15・２人),0)*(1+_15・A深夜)),0)*(1+_15・区３)),0)</f>
        <v>1224</v>
      </c>
      <c r="X144" s="69"/>
    </row>
    <row r="145" spans="1:24" ht="16.5" customHeight="1" x14ac:dyDescent="0.3">
      <c r="A145" s="2">
        <v>15</v>
      </c>
      <c r="B145" s="2" t="s">
        <v>5845</v>
      </c>
      <c r="C145" s="60" t="s">
        <v>16142</v>
      </c>
      <c r="D145" s="1"/>
      <c r="E145" s="68"/>
      <c r="F145" s="70"/>
      <c r="G145" s="67"/>
      <c r="H145" s="68"/>
      <c r="I145" s="76"/>
      <c r="J145" s="85"/>
      <c r="K145" s="64"/>
      <c r="L145" s="65"/>
      <c r="M145" s="99"/>
      <c r="N145" s="70"/>
      <c r="O145" s="74" t="s">
        <v>17969</v>
      </c>
      <c r="P145" s="62"/>
      <c r="Q145" s="63"/>
      <c r="R145" s="75"/>
      <c r="S145" s="67"/>
      <c r="T145" s="68" t="s">
        <v>1</v>
      </c>
      <c r="U145" s="76">
        <v>0.2</v>
      </c>
      <c r="V145" s="70" t="s">
        <v>422</v>
      </c>
      <c r="W145" s="120">
        <f>ROUND((ROUND((ROUND((ROUND((_15_同援日増６．０*_15・通訳),0)*(1+_15・A深夜)),0)*(1+_15・盲ろう)),0)*(1+_15・区３)),0)</f>
        <v>1530</v>
      </c>
      <c r="X145" s="69"/>
    </row>
    <row r="146" spans="1:24" ht="16.5" customHeight="1" x14ac:dyDescent="0.3">
      <c r="A146" s="2">
        <v>15</v>
      </c>
      <c r="B146" s="2" t="s">
        <v>5846</v>
      </c>
      <c r="C146" s="60" t="s">
        <v>16141</v>
      </c>
      <c r="D146" s="1"/>
      <c r="E146" s="68"/>
      <c r="F146" s="70"/>
      <c r="G146" s="67"/>
      <c r="H146" s="68"/>
      <c r="I146" s="76"/>
      <c r="J146" s="83" t="s">
        <v>5895</v>
      </c>
      <c r="K146" s="64" t="s">
        <v>1</v>
      </c>
      <c r="L146" s="65">
        <v>1</v>
      </c>
      <c r="M146" s="99"/>
      <c r="N146" s="70"/>
      <c r="O146" s="106" t="s">
        <v>17968</v>
      </c>
      <c r="P146" s="57" t="s">
        <v>1</v>
      </c>
      <c r="Q146" s="58">
        <v>0.25</v>
      </c>
      <c r="R146" s="77" t="s">
        <v>422</v>
      </c>
      <c r="S146" s="66"/>
      <c r="T146" s="57"/>
      <c r="U146" s="58"/>
      <c r="V146" s="77"/>
      <c r="W146" s="120">
        <f>ROUND((ROUND((ROUND((ROUND((ROUND((_15_同援日増６．０*_15・通訳),0)*_15・２人),0)*(1+_15・A深夜)),0)*(1+_15・盲ろう)),0)*(1+_15・区３)),0)</f>
        <v>1530</v>
      </c>
      <c r="X146" s="69"/>
    </row>
    <row r="147" spans="1:24" ht="16.5" customHeight="1" x14ac:dyDescent="0.3">
      <c r="A147" s="2">
        <v>15</v>
      </c>
      <c r="B147" s="2" t="s">
        <v>5847</v>
      </c>
      <c r="C147" s="60" t="s">
        <v>16140</v>
      </c>
      <c r="D147" s="1"/>
      <c r="E147" s="68"/>
      <c r="F147" s="70"/>
      <c r="G147" s="67"/>
      <c r="H147" s="68"/>
      <c r="I147" s="76"/>
      <c r="J147" s="85"/>
      <c r="K147" s="64"/>
      <c r="L147" s="65"/>
      <c r="M147" s="99"/>
      <c r="N147" s="70"/>
      <c r="O147" s="61"/>
      <c r="P147" s="62"/>
      <c r="Q147" s="63"/>
      <c r="R147" s="75"/>
      <c r="S147" s="74" t="s">
        <v>18435</v>
      </c>
      <c r="T147" s="62"/>
      <c r="U147" s="63"/>
      <c r="V147" s="75"/>
      <c r="W147" s="120">
        <f>ROUND((ROUND((ROUND((_15_同援日増６．０*_15・通訳),0)*(1+_15・A深夜)),0)*(1+_15・区４)),0)</f>
        <v>1428</v>
      </c>
      <c r="X147" s="69"/>
    </row>
    <row r="148" spans="1:24" ht="16.5" customHeight="1" x14ac:dyDescent="0.3">
      <c r="A148" s="2">
        <v>15</v>
      </c>
      <c r="B148" s="2" t="s">
        <v>5848</v>
      </c>
      <c r="C148" s="60" t="s">
        <v>16139</v>
      </c>
      <c r="D148" s="1"/>
      <c r="E148" s="68"/>
      <c r="F148" s="70"/>
      <c r="G148" s="67"/>
      <c r="H148" s="68"/>
      <c r="I148" s="76"/>
      <c r="J148" s="83" t="s">
        <v>5895</v>
      </c>
      <c r="K148" s="64" t="s">
        <v>1</v>
      </c>
      <c r="L148" s="65">
        <v>1</v>
      </c>
      <c r="M148" s="99"/>
      <c r="N148" s="70"/>
      <c r="O148" s="66"/>
      <c r="P148" s="57"/>
      <c r="Q148" s="58"/>
      <c r="R148" s="77"/>
      <c r="S148" s="94" t="s">
        <v>18434</v>
      </c>
      <c r="T148" s="68"/>
      <c r="U148" s="76"/>
      <c r="V148" s="70"/>
      <c r="W148" s="120">
        <f>ROUND((ROUND((ROUND((ROUND((_15_同援日増６．０*_15・通訳),0)*_15・２人),0)*(1+_15・A深夜)),0)*(1+_15・区４)),0)</f>
        <v>1428</v>
      </c>
      <c r="X148" s="69"/>
    </row>
    <row r="149" spans="1:24" ht="16.5" customHeight="1" x14ac:dyDescent="0.3">
      <c r="A149" s="2">
        <v>15</v>
      </c>
      <c r="B149" s="2" t="s">
        <v>5849</v>
      </c>
      <c r="C149" s="60" t="s">
        <v>16138</v>
      </c>
      <c r="D149" s="1"/>
      <c r="E149" s="68"/>
      <c r="F149" s="70"/>
      <c r="G149" s="67"/>
      <c r="H149" s="68"/>
      <c r="I149" s="76"/>
      <c r="J149" s="85"/>
      <c r="K149" s="64"/>
      <c r="L149" s="65"/>
      <c r="M149" s="99"/>
      <c r="N149" s="70"/>
      <c r="O149" s="74" t="s">
        <v>18432</v>
      </c>
      <c r="P149" s="62"/>
      <c r="Q149" s="63"/>
      <c r="R149" s="75"/>
      <c r="S149" s="67"/>
      <c r="T149" s="68" t="s">
        <v>1</v>
      </c>
      <c r="U149" s="76">
        <v>0.4</v>
      </c>
      <c r="V149" s="70" t="s">
        <v>422</v>
      </c>
      <c r="W149" s="120">
        <f>ROUND((ROUND((ROUND((ROUND((_15_同援日増６．０*_15・通訳),0)*(1+_15・A深夜)),0)*(1+_15・盲ろう)),0)*(1+_15・区４)),0)</f>
        <v>1785</v>
      </c>
      <c r="X149" s="69"/>
    </row>
    <row r="150" spans="1:24" ht="16.5" customHeight="1" x14ac:dyDescent="0.3">
      <c r="A150" s="2">
        <v>15</v>
      </c>
      <c r="B150" s="2" t="s">
        <v>5850</v>
      </c>
      <c r="C150" s="60" t="s">
        <v>16137</v>
      </c>
      <c r="D150" s="81"/>
      <c r="E150" s="57"/>
      <c r="F150" s="77"/>
      <c r="G150" s="67"/>
      <c r="H150" s="68"/>
      <c r="I150" s="76"/>
      <c r="J150" s="83" t="s">
        <v>5895</v>
      </c>
      <c r="K150" s="64" t="s">
        <v>1</v>
      </c>
      <c r="L150" s="65">
        <v>1</v>
      </c>
      <c r="M150" s="99"/>
      <c r="N150" s="70"/>
      <c r="O150" s="106" t="s">
        <v>18431</v>
      </c>
      <c r="P150" s="57" t="s">
        <v>1</v>
      </c>
      <c r="Q150" s="58">
        <v>0.25</v>
      </c>
      <c r="R150" s="77" t="s">
        <v>422</v>
      </c>
      <c r="S150" s="66"/>
      <c r="T150" s="57"/>
      <c r="U150" s="58"/>
      <c r="V150" s="77"/>
      <c r="W150" s="120">
        <f>ROUND((ROUND((ROUND((ROUND((ROUND((_15_同援日増６．０*_15・通訳),0)*_15・２人),0)*(1+_15・A深夜)),0)*(1+_15・盲ろう)),0)*(1+_15・区４)),0)</f>
        <v>1785</v>
      </c>
      <c r="X150" s="69"/>
    </row>
    <row r="151" spans="1:24" ht="16.5" customHeight="1" x14ac:dyDescent="0.3">
      <c r="A151" s="2">
        <v>15</v>
      </c>
      <c r="B151" s="2" t="s">
        <v>5851</v>
      </c>
      <c r="C151" s="60" t="s">
        <v>16136</v>
      </c>
      <c r="D151" s="233" t="s">
        <v>18433</v>
      </c>
      <c r="E151" s="62"/>
      <c r="F151" s="75"/>
      <c r="G151" s="67"/>
      <c r="H151" s="68"/>
      <c r="I151" s="76"/>
      <c r="J151" s="85"/>
      <c r="K151" s="64"/>
      <c r="L151" s="65"/>
      <c r="M151" s="99"/>
      <c r="N151" s="70"/>
      <c r="O151" s="61"/>
      <c r="P151" s="62"/>
      <c r="Q151" s="63"/>
      <c r="R151" s="75"/>
      <c r="S151" s="61"/>
      <c r="T151" s="62"/>
      <c r="U151" s="63"/>
      <c r="V151" s="75"/>
      <c r="W151" s="120">
        <f>ROUND((ROUND((_15_同援日増６．５*_15・通訳),0)*(1+_15・A深夜)),0)</f>
        <v>1106</v>
      </c>
      <c r="X151" s="69"/>
    </row>
    <row r="152" spans="1:24" ht="16.5" customHeight="1" x14ac:dyDescent="0.3">
      <c r="A152" s="2">
        <v>15</v>
      </c>
      <c r="B152" s="2" t="s">
        <v>5852</v>
      </c>
      <c r="C152" s="60" t="s">
        <v>16135</v>
      </c>
      <c r="D152" s="1" t="s">
        <v>17231</v>
      </c>
      <c r="E152" s="68"/>
      <c r="F152" s="70"/>
      <c r="G152" s="67"/>
      <c r="H152" s="68"/>
      <c r="I152" s="76"/>
      <c r="J152" s="83" t="s">
        <v>5895</v>
      </c>
      <c r="K152" s="64" t="s">
        <v>1</v>
      </c>
      <c r="L152" s="65">
        <v>1</v>
      </c>
      <c r="M152" s="99"/>
      <c r="N152" s="70"/>
      <c r="O152" s="66"/>
      <c r="P152" s="57"/>
      <c r="Q152" s="58"/>
      <c r="R152" s="77"/>
      <c r="S152" s="67"/>
      <c r="T152" s="68"/>
      <c r="U152" s="76"/>
      <c r="V152" s="70"/>
      <c r="W152" s="120">
        <f>ROUND((ROUND((ROUND((_15_同援日増６．５*_15・通訳),0)*_15・２人),0)*(1+_15・A深夜)),0)</f>
        <v>1106</v>
      </c>
      <c r="X152" s="69"/>
    </row>
    <row r="153" spans="1:24" ht="16.5" customHeight="1" x14ac:dyDescent="0.3">
      <c r="A153" s="2">
        <v>15</v>
      </c>
      <c r="B153" s="2" t="s">
        <v>5853</v>
      </c>
      <c r="C153" s="60" t="s">
        <v>16134</v>
      </c>
      <c r="D153" s="1" t="s">
        <v>8960</v>
      </c>
      <c r="E153" s="68"/>
      <c r="F153" s="70"/>
      <c r="G153" s="67"/>
      <c r="H153" s="68"/>
      <c r="I153" s="76"/>
      <c r="J153" s="85"/>
      <c r="K153" s="64"/>
      <c r="L153" s="65"/>
      <c r="M153" s="99"/>
      <c r="N153" s="70"/>
      <c r="O153" s="74" t="s">
        <v>17969</v>
      </c>
      <c r="P153" s="62"/>
      <c r="Q153" s="63"/>
      <c r="R153" s="75"/>
      <c r="S153" s="67"/>
      <c r="T153" s="68"/>
      <c r="U153" s="76"/>
      <c r="V153" s="70"/>
      <c r="W153" s="120">
        <f>ROUND((ROUND((ROUND((_15_同援日増６．５*_15・通訳),0)*(1+_15・A深夜)),0)*(1+_15・盲ろう)),0)</f>
        <v>1383</v>
      </c>
      <c r="X153" s="69"/>
    </row>
    <row r="154" spans="1:24" ht="16.5" customHeight="1" x14ac:dyDescent="0.3">
      <c r="A154" s="2">
        <v>15</v>
      </c>
      <c r="B154" s="2" t="s">
        <v>5854</v>
      </c>
      <c r="C154" s="60" t="s">
        <v>16133</v>
      </c>
      <c r="D154" s="1"/>
      <c r="E154" s="119">
        <v>819</v>
      </c>
      <c r="F154" s="70" t="s">
        <v>0</v>
      </c>
      <c r="G154" s="67"/>
      <c r="H154" s="68"/>
      <c r="I154" s="76"/>
      <c r="J154" s="83" t="s">
        <v>5895</v>
      </c>
      <c r="K154" s="64" t="s">
        <v>1</v>
      </c>
      <c r="L154" s="65">
        <v>1</v>
      </c>
      <c r="M154" s="99"/>
      <c r="N154" s="70"/>
      <c r="O154" s="106" t="s">
        <v>17968</v>
      </c>
      <c r="P154" s="57" t="s">
        <v>1</v>
      </c>
      <c r="Q154" s="58">
        <v>0.25</v>
      </c>
      <c r="R154" s="77" t="s">
        <v>422</v>
      </c>
      <c r="S154" s="66"/>
      <c r="T154" s="57"/>
      <c r="U154" s="58"/>
      <c r="V154" s="77"/>
      <c r="W154" s="120">
        <f>ROUND((ROUND((ROUND((ROUND((_15_同援日増６．５*_15・通訳),0)*_15・２人),0)*(1+_15・A深夜)),0)*(1+_15・盲ろう)),0)</f>
        <v>1383</v>
      </c>
      <c r="X154" s="69"/>
    </row>
    <row r="155" spans="1:24" ht="16.5" customHeight="1" x14ac:dyDescent="0.3">
      <c r="A155" s="2">
        <v>15</v>
      </c>
      <c r="B155" s="2" t="s">
        <v>5855</v>
      </c>
      <c r="C155" s="60" t="s">
        <v>16132</v>
      </c>
      <c r="D155" s="1"/>
      <c r="E155" s="68"/>
      <c r="F155" s="70"/>
      <c r="G155" s="67"/>
      <c r="H155" s="68"/>
      <c r="I155" s="76"/>
      <c r="J155" s="85"/>
      <c r="K155" s="64"/>
      <c r="L155" s="65"/>
      <c r="M155" s="99"/>
      <c r="N155" s="70"/>
      <c r="O155" s="61"/>
      <c r="P155" s="62"/>
      <c r="Q155" s="63"/>
      <c r="R155" s="75"/>
      <c r="S155" s="74" t="s">
        <v>17974</v>
      </c>
      <c r="T155" s="62"/>
      <c r="U155" s="63"/>
      <c r="V155" s="75"/>
      <c r="W155" s="120">
        <f>ROUND((ROUND((ROUND((_15_同援日増６．５*_15・通訳),0)*(1+_15・A深夜)),0)*(1+_15・区３)),0)</f>
        <v>1327</v>
      </c>
      <c r="X155" s="69"/>
    </row>
    <row r="156" spans="1:24" ht="16.5" customHeight="1" x14ac:dyDescent="0.3">
      <c r="A156" s="2">
        <v>15</v>
      </c>
      <c r="B156" s="2" t="s">
        <v>5856</v>
      </c>
      <c r="C156" s="60" t="s">
        <v>16131</v>
      </c>
      <c r="D156" s="1"/>
      <c r="E156" s="68"/>
      <c r="F156" s="70"/>
      <c r="G156" s="67"/>
      <c r="H156" s="68"/>
      <c r="I156" s="76"/>
      <c r="J156" s="83" t="s">
        <v>5895</v>
      </c>
      <c r="K156" s="64" t="s">
        <v>1</v>
      </c>
      <c r="L156" s="65">
        <v>1</v>
      </c>
      <c r="M156" s="99"/>
      <c r="N156" s="70"/>
      <c r="O156" s="66"/>
      <c r="P156" s="57"/>
      <c r="Q156" s="58"/>
      <c r="R156" s="77"/>
      <c r="S156" s="94" t="s">
        <v>17970</v>
      </c>
      <c r="T156" s="68"/>
      <c r="U156" s="76"/>
      <c r="V156" s="70"/>
      <c r="W156" s="120">
        <f>ROUND((ROUND((ROUND((ROUND((_15_同援日増６．５*_15・通訳),0)*_15・２人),0)*(1+_15・A深夜)),0)*(1+_15・区３)),0)</f>
        <v>1327</v>
      </c>
      <c r="X156" s="69"/>
    </row>
    <row r="157" spans="1:24" ht="16.5" customHeight="1" x14ac:dyDescent="0.3">
      <c r="A157" s="2">
        <v>15</v>
      </c>
      <c r="B157" s="2" t="s">
        <v>5857</v>
      </c>
      <c r="C157" s="60" t="s">
        <v>16130</v>
      </c>
      <c r="D157" s="1"/>
      <c r="E157" s="68"/>
      <c r="F157" s="70"/>
      <c r="G157" s="67"/>
      <c r="H157" s="68"/>
      <c r="I157" s="76"/>
      <c r="J157" s="85"/>
      <c r="K157" s="64"/>
      <c r="L157" s="65"/>
      <c r="M157" s="99"/>
      <c r="N157" s="70"/>
      <c r="O157" s="74" t="s">
        <v>17969</v>
      </c>
      <c r="P157" s="62"/>
      <c r="Q157" s="63"/>
      <c r="R157" s="75"/>
      <c r="S157" s="67"/>
      <c r="T157" s="68" t="s">
        <v>1</v>
      </c>
      <c r="U157" s="76">
        <v>0.2</v>
      </c>
      <c r="V157" s="70" t="s">
        <v>422</v>
      </c>
      <c r="W157" s="120">
        <f>ROUND((ROUND((ROUND((ROUND((_15_同援日増６．５*_15・通訳),0)*(1+_15・A深夜)),0)*(1+_15・盲ろう)),0)*(1+_15・区３)),0)</f>
        <v>1660</v>
      </c>
      <c r="X157" s="69"/>
    </row>
    <row r="158" spans="1:24" ht="16.5" customHeight="1" x14ac:dyDescent="0.3">
      <c r="A158" s="2">
        <v>15</v>
      </c>
      <c r="B158" s="2" t="s">
        <v>5858</v>
      </c>
      <c r="C158" s="60" t="s">
        <v>16129</v>
      </c>
      <c r="D158" s="1"/>
      <c r="E158" s="68"/>
      <c r="F158" s="70"/>
      <c r="G158" s="67"/>
      <c r="H158" s="68"/>
      <c r="I158" s="76"/>
      <c r="J158" s="83" t="s">
        <v>5895</v>
      </c>
      <c r="K158" s="64" t="s">
        <v>1</v>
      </c>
      <c r="L158" s="65">
        <v>1</v>
      </c>
      <c r="M158" s="99"/>
      <c r="N158" s="70"/>
      <c r="O158" s="106" t="s">
        <v>17968</v>
      </c>
      <c r="P158" s="57" t="s">
        <v>1</v>
      </c>
      <c r="Q158" s="58">
        <v>0.25</v>
      </c>
      <c r="R158" s="77" t="s">
        <v>422</v>
      </c>
      <c r="S158" s="66"/>
      <c r="T158" s="57"/>
      <c r="U158" s="58"/>
      <c r="V158" s="77"/>
      <c r="W158" s="120">
        <f>ROUND((ROUND((ROUND((ROUND((ROUND((_15_同援日増６．５*_15・通訳),0)*_15・２人),0)*(1+_15・A深夜)),0)*(1+_15・盲ろう)),0)*(1+_15・区３)),0)</f>
        <v>1660</v>
      </c>
      <c r="X158" s="69"/>
    </row>
    <row r="159" spans="1:24" ht="16.5" customHeight="1" x14ac:dyDescent="0.3">
      <c r="A159" s="2">
        <v>15</v>
      </c>
      <c r="B159" s="2" t="s">
        <v>5859</v>
      </c>
      <c r="C159" s="60" t="s">
        <v>16128</v>
      </c>
      <c r="D159" s="1"/>
      <c r="E159" s="68"/>
      <c r="F159" s="70"/>
      <c r="G159" s="67"/>
      <c r="H159" s="68"/>
      <c r="I159" s="76"/>
      <c r="J159" s="85"/>
      <c r="K159" s="64"/>
      <c r="L159" s="65"/>
      <c r="M159" s="99"/>
      <c r="N159" s="70"/>
      <c r="O159" s="61"/>
      <c r="P159" s="62"/>
      <c r="Q159" s="63"/>
      <c r="R159" s="75"/>
      <c r="S159" s="74" t="s">
        <v>17971</v>
      </c>
      <c r="T159" s="62"/>
      <c r="U159" s="63"/>
      <c r="V159" s="75"/>
      <c r="W159" s="120">
        <f>ROUND((ROUND((ROUND((_15_同援日増６．５*_15・通訳),0)*(1+_15・A深夜)),0)*(1+_15・区４)),0)</f>
        <v>1548</v>
      </c>
      <c r="X159" s="69"/>
    </row>
    <row r="160" spans="1:24" ht="16.5" customHeight="1" x14ac:dyDescent="0.3">
      <c r="A160" s="2">
        <v>15</v>
      </c>
      <c r="B160" s="2" t="s">
        <v>5860</v>
      </c>
      <c r="C160" s="60" t="s">
        <v>16127</v>
      </c>
      <c r="D160" s="1"/>
      <c r="E160" s="68"/>
      <c r="F160" s="70"/>
      <c r="G160" s="67"/>
      <c r="H160" s="68"/>
      <c r="I160" s="76"/>
      <c r="J160" s="83" t="s">
        <v>5895</v>
      </c>
      <c r="K160" s="64" t="s">
        <v>1</v>
      </c>
      <c r="L160" s="65">
        <v>1</v>
      </c>
      <c r="M160" s="99"/>
      <c r="N160" s="70"/>
      <c r="O160" s="66"/>
      <c r="P160" s="57"/>
      <c r="Q160" s="58"/>
      <c r="R160" s="77"/>
      <c r="S160" s="94" t="s">
        <v>17970</v>
      </c>
      <c r="T160" s="68"/>
      <c r="U160" s="76"/>
      <c r="V160" s="70"/>
      <c r="W160" s="120">
        <f>ROUND((ROUND((ROUND((ROUND((_15_同援日増６．５*_15・通訳),0)*_15・２人),0)*(1+_15・A深夜)),0)*(1+_15・区４)),0)</f>
        <v>1548</v>
      </c>
      <c r="X160" s="69"/>
    </row>
    <row r="161" spans="1:24" ht="16.5" customHeight="1" x14ac:dyDescent="0.3">
      <c r="A161" s="2">
        <v>15</v>
      </c>
      <c r="B161" s="2" t="s">
        <v>5861</v>
      </c>
      <c r="C161" s="60" t="s">
        <v>16126</v>
      </c>
      <c r="D161" s="1"/>
      <c r="E161" s="68"/>
      <c r="F161" s="70"/>
      <c r="G161" s="67"/>
      <c r="H161" s="68"/>
      <c r="I161" s="76"/>
      <c r="J161" s="85"/>
      <c r="K161" s="64"/>
      <c r="L161" s="65"/>
      <c r="M161" s="99"/>
      <c r="N161" s="70"/>
      <c r="O161" s="74" t="s">
        <v>18432</v>
      </c>
      <c r="P161" s="62"/>
      <c r="Q161" s="63"/>
      <c r="R161" s="75"/>
      <c r="S161" s="67"/>
      <c r="T161" s="68" t="s">
        <v>1</v>
      </c>
      <c r="U161" s="76">
        <v>0.4</v>
      </c>
      <c r="V161" s="70" t="s">
        <v>422</v>
      </c>
      <c r="W161" s="120">
        <f>ROUND((ROUND((ROUND((ROUND((_15_同援日増６．５*_15・通訳),0)*(1+_15・A深夜)),0)*(1+_15・盲ろう)),0)*(1+_15・区４)),0)</f>
        <v>1936</v>
      </c>
      <c r="X161" s="69"/>
    </row>
    <row r="162" spans="1:24" ht="16.5" customHeight="1" x14ac:dyDescent="0.3">
      <c r="A162" s="2">
        <v>15</v>
      </c>
      <c r="B162" s="2" t="s">
        <v>5862</v>
      </c>
      <c r="C162" s="60" t="s">
        <v>16125</v>
      </c>
      <c r="D162" s="81"/>
      <c r="E162" s="57"/>
      <c r="F162" s="77"/>
      <c r="G162" s="66"/>
      <c r="H162" s="57"/>
      <c r="I162" s="58"/>
      <c r="J162" s="83" t="s">
        <v>5895</v>
      </c>
      <c r="K162" s="64" t="s">
        <v>1</v>
      </c>
      <c r="L162" s="65">
        <v>1</v>
      </c>
      <c r="M162" s="101"/>
      <c r="N162" s="77"/>
      <c r="O162" s="106" t="s">
        <v>18431</v>
      </c>
      <c r="P162" s="57" t="s">
        <v>1</v>
      </c>
      <c r="Q162" s="58">
        <v>0.25</v>
      </c>
      <c r="R162" s="77" t="s">
        <v>422</v>
      </c>
      <c r="S162" s="66"/>
      <c r="T162" s="57"/>
      <c r="U162" s="58"/>
      <c r="V162" s="77"/>
      <c r="W162" s="120">
        <f>ROUND((ROUND((ROUND((ROUND((ROUND((_15_同援日増６．５*_15・通訳),0)*_15・２人),0)*(1+_15・A深夜)),0)*(1+_15・盲ろう)),0)*(1+_15・区４)),0)</f>
        <v>1936</v>
      </c>
      <c r="X162" s="71"/>
    </row>
    <row r="163" spans="1:24" ht="16.5" customHeight="1" x14ac:dyDescent="0.3"/>
    <row r="164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  <rowBreaks count="1" manualBreakCount="1">
    <brk id="10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0000"/>
    <pageSetUpPr autoPageBreaks="0" fitToPage="1"/>
  </sheetPr>
  <dimension ref="A1:AS23"/>
  <sheetViews>
    <sheetView zoomScaleNormal="100" zoomScaleSheetLayoutView="100" workbookViewId="0"/>
  </sheetViews>
  <sheetFormatPr defaultRowHeight="17.2" customHeight="1" x14ac:dyDescent="0.3"/>
  <cols>
    <col min="1" max="1" width="4.62890625" style="262" customWidth="1"/>
    <col min="2" max="2" width="7.62890625" style="262" customWidth="1"/>
    <col min="3" max="3" width="36.62890625" style="25" customWidth="1"/>
    <col min="4" max="10" width="2.3671875" style="262" customWidth="1"/>
    <col min="11" max="15" width="2.3671875" style="25" customWidth="1"/>
    <col min="16" max="18" width="2.3671875" style="262" customWidth="1"/>
    <col min="19" max="19" width="2.3671875" style="25" customWidth="1"/>
    <col min="20" max="23" width="2.3671875" style="262" customWidth="1"/>
    <col min="24" max="25" width="2.3671875" style="263" customWidth="1"/>
    <col min="26" max="41" width="2.3671875" style="262" customWidth="1"/>
    <col min="42" max="43" width="8.62890625" style="262" customWidth="1"/>
    <col min="44" max="44" width="2.734375" style="262" customWidth="1"/>
    <col min="45" max="253" width="8.734375" style="262"/>
    <col min="254" max="254" width="4.62890625" style="262" customWidth="1"/>
    <col min="255" max="255" width="7.62890625" style="262" customWidth="1"/>
    <col min="256" max="256" width="35.62890625" style="262" customWidth="1"/>
    <col min="257" max="297" width="2.3671875" style="262" customWidth="1"/>
    <col min="298" max="299" width="8.62890625" style="262" customWidth="1"/>
    <col min="300" max="300" width="2.734375" style="262" customWidth="1"/>
    <col min="301" max="509" width="8.734375" style="262"/>
    <col min="510" max="510" width="4.62890625" style="262" customWidth="1"/>
    <col min="511" max="511" width="7.62890625" style="262" customWidth="1"/>
    <col min="512" max="512" width="35.62890625" style="262" customWidth="1"/>
    <col min="513" max="553" width="2.3671875" style="262" customWidth="1"/>
    <col min="554" max="555" width="8.62890625" style="262" customWidth="1"/>
    <col min="556" max="556" width="2.734375" style="262" customWidth="1"/>
    <col min="557" max="765" width="8.734375" style="262"/>
    <col min="766" max="766" width="4.62890625" style="262" customWidth="1"/>
    <col min="767" max="767" width="7.62890625" style="262" customWidth="1"/>
    <col min="768" max="768" width="35.62890625" style="262" customWidth="1"/>
    <col min="769" max="809" width="2.3671875" style="262" customWidth="1"/>
    <col min="810" max="811" width="8.62890625" style="262" customWidth="1"/>
    <col min="812" max="812" width="2.734375" style="262" customWidth="1"/>
    <col min="813" max="1021" width="8.734375" style="262"/>
    <col min="1022" max="1022" width="4.62890625" style="262" customWidth="1"/>
    <col min="1023" max="1023" width="7.62890625" style="262" customWidth="1"/>
    <col min="1024" max="1024" width="35.62890625" style="262" customWidth="1"/>
    <col min="1025" max="1065" width="2.3671875" style="262" customWidth="1"/>
    <col min="1066" max="1067" width="8.62890625" style="262" customWidth="1"/>
    <col min="1068" max="1068" width="2.734375" style="262" customWidth="1"/>
    <col min="1069" max="1277" width="8.734375" style="262"/>
    <col min="1278" max="1278" width="4.62890625" style="262" customWidth="1"/>
    <col min="1279" max="1279" width="7.62890625" style="262" customWidth="1"/>
    <col min="1280" max="1280" width="35.62890625" style="262" customWidth="1"/>
    <col min="1281" max="1321" width="2.3671875" style="262" customWidth="1"/>
    <col min="1322" max="1323" width="8.62890625" style="262" customWidth="1"/>
    <col min="1324" max="1324" width="2.734375" style="262" customWidth="1"/>
    <col min="1325" max="1533" width="8.734375" style="262"/>
    <col min="1534" max="1534" width="4.62890625" style="262" customWidth="1"/>
    <col min="1535" max="1535" width="7.62890625" style="262" customWidth="1"/>
    <col min="1536" max="1536" width="35.62890625" style="262" customWidth="1"/>
    <col min="1537" max="1577" width="2.3671875" style="262" customWidth="1"/>
    <col min="1578" max="1579" width="8.62890625" style="262" customWidth="1"/>
    <col min="1580" max="1580" width="2.734375" style="262" customWidth="1"/>
    <col min="1581" max="1789" width="8.734375" style="262"/>
    <col min="1790" max="1790" width="4.62890625" style="262" customWidth="1"/>
    <col min="1791" max="1791" width="7.62890625" style="262" customWidth="1"/>
    <col min="1792" max="1792" width="35.62890625" style="262" customWidth="1"/>
    <col min="1793" max="1833" width="2.3671875" style="262" customWidth="1"/>
    <col min="1834" max="1835" width="8.62890625" style="262" customWidth="1"/>
    <col min="1836" max="1836" width="2.734375" style="262" customWidth="1"/>
    <col min="1837" max="2045" width="8.734375" style="262"/>
    <col min="2046" max="2046" width="4.62890625" style="262" customWidth="1"/>
    <col min="2047" max="2047" width="7.62890625" style="262" customWidth="1"/>
    <col min="2048" max="2048" width="35.62890625" style="262" customWidth="1"/>
    <col min="2049" max="2089" width="2.3671875" style="262" customWidth="1"/>
    <col min="2090" max="2091" width="8.62890625" style="262" customWidth="1"/>
    <col min="2092" max="2092" width="2.734375" style="262" customWidth="1"/>
    <col min="2093" max="2301" width="8.734375" style="262"/>
    <col min="2302" max="2302" width="4.62890625" style="262" customWidth="1"/>
    <col min="2303" max="2303" width="7.62890625" style="262" customWidth="1"/>
    <col min="2304" max="2304" width="35.62890625" style="262" customWidth="1"/>
    <col min="2305" max="2345" width="2.3671875" style="262" customWidth="1"/>
    <col min="2346" max="2347" width="8.62890625" style="262" customWidth="1"/>
    <col min="2348" max="2348" width="2.734375" style="262" customWidth="1"/>
    <col min="2349" max="2557" width="8.734375" style="262"/>
    <col min="2558" max="2558" width="4.62890625" style="262" customWidth="1"/>
    <col min="2559" max="2559" width="7.62890625" style="262" customWidth="1"/>
    <col min="2560" max="2560" width="35.62890625" style="262" customWidth="1"/>
    <col min="2561" max="2601" width="2.3671875" style="262" customWidth="1"/>
    <col min="2602" max="2603" width="8.62890625" style="262" customWidth="1"/>
    <col min="2604" max="2604" width="2.734375" style="262" customWidth="1"/>
    <col min="2605" max="2813" width="8.734375" style="262"/>
    <col min="2814" max="2814" width="4.62890625" style="262" customWidth="1"/>
    <col min="2815" max="2815" width="7.62890625" style="262" customWidth="1"/>
    <col min="2816" max="2816" width="35.62890625" style="262" customWidth="1"/>
    <col min="2817" max="2857" width="2.3671875" style="262" customWidth="1"/>
    <col min="2858" max="2859" width="8.62890625" style="262" customWidth="1"/>
    <col min="2860" max="2860" width="2.734375" style="262" customWidth="1"/>
    <col min="2861" max="3069" width="8.734375" style="262"/>
    <col min="3070" max="3070" width="4.62890625" style="262" customWidth="1"/>
    <col min="3071" max="3071" width="7.62890625" style="262" customWidth="1"/>
    <col min="3072" max="3072" width="35.62890625" style="262" customWidth="1"/>
    <col min="3073" max="3113" width="2.3671875" style="262" customWidth="1"/>
    <col min="3114" max="3115" width="8.62890625" style="262" customWidth="1"/>
    <col min="3116" max="3116" width="2.734375" style="262" customWidth="1"/>
    <col min="3117" max="3325" width="8.734375" style="262"/>
    <col min="3326" max="3326" width="4.62890625" style="262" customWidth="1"/>
    <col min="3327" max="3327" width="7.62890625" style="262" customWidth="1"/>
    <col min="3328" max="3328" width="35.62890625" style="262" customWidth="1"/>
    <col min="3329" max="3369" width="2.3671875" style="262" customWidth="1"/>
    <col min="3370" max="3371" width="8.62890625" style="262" customWidth="1"/>
    <col min="3372" max="3372" width="2.734375" style="262" customWidth="1"/>
    <col min="3373" max="3581" width="8.734375" style="262"/>
    <col min="3582" max="3582" width="4.62890625" style="262" customWidth="1"/>
    <col min="3583" max="3583" width="7.62890625" style="262" customWidth="1"/>
    <col min="3584" max="3584" width="35.62890625" style="262" customWidth="1"/>
    <col min="3585" max="3625" width="2.3671875" style="262" customWidth="1"/>
    <col min="3626" max="3627" width="8.62890625" style="262" customWidth="1"/>
    <col min="3628" max="3628" width="2.734375" style="262" customWidth="1"/>
    <col min="3629" max="3837" width="8.734375" style="262"/>
    <col min="3838" max="3838" width="4.62890625" style="262" customWidth="1"/>
    <col min="3839" max="3839" width="7.62890625" style="262" customWidth="1"/>
    <col min="3840" max="3840" width="35.62890625" style="262" customWidth="1"/>
    <col min="3841" max="3881" width="2.3671875" style="262" customWidth="1"/>
    <col min="3882" max="3883" width="8.62890625" style="262" customWidth="1"/>
    <col min="3884" max="3884" width="2.734375" style="262" customWidth="1"/>
    <col min="3885" max="4093" width="8.734375" style="262"/>
    <col min="4094" max="4094" width="4.62890625" style="262" customWidth="1"/>
    <col min="4095" max="4095" width="7.62890625" style="262" customWidth="1"/>
    <col min="4096" max="4096" width="35.62890625" style="262" customWidth="1"/>
    <col min="4097" max="4137" width="2.3671875" style="262" customWidth="1"/>
    <col min="4138" max="4139" width="8.62890625" style="262" customWidth="1"/>
    <col min="4140" max="4140" width="2.734375" style="262" customWidth="1"/>
    <col min="4141" max="4349" width="8.734375" style="262"/>
    <col min="4350" max="4350" width="4.62890625" style="262" customWidth="1"/>
    <col min="4351" max="4351" width="7.62890625" style="262" customWidth="1"/>
    <col min="4352" max="4352" width="35.62890625" style="262" customWidth="1"/>
    <col min="4353" max="4393" width="2.3671875" style="262" customWidth="1"/>
    <col min="4394" max="4395" width="8.62890625" style="262" customWidth="1"/>
    <col min="4396" max="4396" width="2.734375" style="262" customWidth="1"/>
    <col min="4397" max="4605" width="8.734375" style="262"/>
    <col min="4606" max="4606" width="4.62890625" style="262" customWidth="1"/>
    <col min="4607" max="4607" width="7.62890625" style="262" customWidth="1"/>
    <col min="4608" max="4608" width="35.62890625" style="262" customWidth="1"/>
    <col min="4609" max="4649" width="2.3671875" style="262" customWidth="1"/>
    <col min="4650" max="4651" width="8.62890625" style="262" customWidth="1"/>
    <col min="4652" max="4652" width="2.734375" style="262" customWidth="1"/>
    <col min="4653" max="4861" width="8.734375" style="262"/>
    <col min="4862" max="4862" width="4.62890625" style="262" customWidth="1"/>
    <col min="4863" max="4863" width="7.62890625" style="262" customWidth="1"/>
    <col min="4864" max="4864" width="35.62890625" style="262" customWidth="1"/>
    <col min="4865" max="4905" width="2.3671875" style="262" customWidth="1"/>
    <col min="4906" max="4907" width="8.62890625" style="262" customWidth="1"/>
    <col min="4908" max="4908" width="2.734375" style="262" customWidth="1"/>
    <col min="4909" max="5117" width="8.734375" style="262"/>
    <col min="5118" max="5118" width="4.62890625" style="262" customWidth="1"/>
    <col min="5119" max="5119" width="7.62890625" style="262" customWidth="1"/>
    <col min="5120" max="5120" width="35.62890625" style="262" customWidth="1"/>
    <col min="5121" max="5161" width="2.3671875" style="262" customWidth="1"/>
    <col min="5162" max="5163" width="8.62890625" style="262" customWidth="1"/>
    <col min="5164" max="5164" width="2.734375" style="262" customWidth="1"/>
    <col min="5165" max="5373" width="8.734375" style="262"/>
    <col min="5374" max="5374" width="4.62890625" style="262" customWidth="1"/>
    <col min="5375" max="5375" width="7.62890625" style="262" customWidth="1"/>
    <col min="5376" max="5376" width="35.62890625" style="262" customWidth="1"/>
    <col min="5377" max="5417" width="2.3671875" style="262" customWidth="1"/>
    <col min="5418" max="5419" width="8.62890625" style="262" customWidth="1"/>
    <col min="5420" max="5420" width="2.734375" style="262" customWidth="1"/>
    <col min="5421" max="5629" width="8.734375" style="262"/>
    <col min="5630" max="5630" width="4.62890625" style="262" customWidth="1"/>
    <col min="5631" max="5631" width="7.62890625" style="262" customWidth="1"/>
    <col min="5632" max="5632" width="35.62890625" style="262" customWidth="1"/>
    <col min="5633" max="5673" width="2.3671875" style="262" customWidth="1"/>
    <col min="5674" max="5675" width="8.62890625" style="262" customWidth="1"/>
    <col min="5676" max="5676" width="2.734375" style="262" customWidth="1"/>
    <col min="5677" max="5885" width="8.734375" style="262"/>
    <col min="5886" max="5886" width="4.62890625" style="262" customWidth="1"/>
    <col min="5887" max="5887" width="7.62890625" style="262" customWidth="1"/>
    <col min="5888" max="5888" width="35.62890625" style="262" customWidth="1"/>
    <col min="5889" max="5929" width="2.3671875" style="262" customWidth="1"/>
    <col min="5930" max="5931" width="8.62890625" style="262" customWidth="1"/>
    <col min="5932" max="5932" width="2.734375" style="262" customWidth="1"/>
    <col min="5933" max="6141" width="8.734375" style="262"/>
    <col min="6142" max="6142" width="4.62890625" style="262" customWidth="1"/>
    <col min="6143" max="6143" width="7.62890625" style="262" customWidth="1"/>
    <col min="6144" max="6144" width="35.62890625" style="262" customWidth="1"/>
    <col min="6145" max="6185" width="2.3671875" style="262" customWidth="1"/>
    <col min="6186" max="6187" width="8.62890625" style="262" customWidth="1"/>
    <col min="6188" max="6188" width="2.734375" style="262" customWidth="1"/>
    <col min="6189" max="6397" width="8.734375" style="262"/>
    <col min="6398" max="6398" width="4.62890625" style="262" customWidth="1"/>
    <col min="6399" max="6399" width="7.62890625" style="262" customWidth="1"/>
    <col min="6400" max="6400" width="35.62890625" style="262" customWidth="1"/>
    <col min="6401" max="6441" width="2.3671875" style="262" customWidth="1"/>
    <col min="6442" max="6443" width="8.62890625" style="262" customWidth="1"/>
    <col min="6444" max="6444" width="2.734375" style="262" customWidth="1"/>
    <col min="6445" max="6653" width="8.734375" style="262"/>
    <col min="6654" max="6654" width="4.62890625" style="262" customWidth="1"/>
    <col min="6655" max="6655" width="7.62890625" style="262" customWidth="1"/>
    <col min="6656" max="6656" width="35.62890625" style="262" customWidth="1"/>
    <col min="6657" max="6697" width="2.3671875" style="262" customWidth="1"/>
    <col min="6698" max="6699" width="8.62890625" style="262" customWidth="1"/>
    <col min="6700" max="6700" width="2.734375" style="262" customWidth="1"/>
    <col min="6701" max="6909" width="8.734375" style="262"/>
    <col min="6910" max="6910" width="4.62890625" style="262" customWidth="1"/>
    <col min="6911" max="6911" width="7.62890625" style="262" customWidth="1"/>
    <col min="6912" max="6912" width="35.62890625" style="262" customWidth="1"/>
    <col min="6913" max="6953" width="2.3671875" style="262" customWidth="1"/>
    <col min="6954" max="6955" width="8.62890625" style="262" customWidth="1"/>
    <col min="6956" max="6956" width="2.734375" style="262" customWidth="1"/>
    <col min="6957" max="7165" width="8.734375" style="262"/>
    <col min="7166" max="7166" width="4.62890625" style="262" customWidth="1"/>
    <col min="7167" max="7167" width="7.62890625" style="262" customWidth="1"/>
    <col min="7168" max="7168" width="35.62890625" style="262" customWidth="1"/>
    <col min="7169" max="7209" width="2.3671875" style="262" customWidth="1"/>
    <col min="7210" max="7211" width="8.62890625" style="262" customWidth="1"/>
    <col min="7212" max="7212" width="2.734375" style="262" customWidth="1"/>
    <col min="7213" max="7421" width="8.734375" style="262"/>
    <col min="7422" max="7422" width="4.62890625" style="262" customWidth="1"/>
    <col min="7423" max="7423" width="7.62890625" style="262" customWidth="1"/>
    <col min="7424" max="7424" width="35.62890625" style="262" customWidth="1"/>
    <col min="7425" max="7465" width="2.3671875" style="262" customWidth="1"/>
    <col min="7466" max="7467" width="8.62890625" style="262" customWidth="1"/>
    <col min="7468" max="7468" width="2.734375" style="262" customWidth="1"/>
    <col min="7469" max="7677" width="8.734375" style="262"/>
    <col min="7678" max="7678" width="4.62890625" style="262" customWidth="1"/>
    <col min="7679" max="7679" width="7.62890625" style="262" customWidth="1"/>
    <col min="7680" max="7680" width="35.62890625" style="262" customWidth="1"/>
    <col min="7681" max="7721" width="2.3671875" style="262" customWidth="1"/>
    <col min="7722" max="7723" width="8.62890625" style="262" customWidth="1"/>
    <col min="7724" max="7724" width="2.734375" style="262" customWidth="1"/>
    <col min="7725" max="7933" width="8.734375" style="262"/>
    <col min="7934" max="7934" width="4.62890625" style="262" customWidth="1"/>
    <col min="7935" max="7935" width="7.62890625" style="262" customWidth="1"/>
    <col min="7936" max="7936" width="35.62890625" style="262" customWidth="1"/>
    <col min="7937" max="7977" width="2.3671875" style="262" customWidth="1"/>
    <col min="7978" max="7979" width="8.62890625" style="262" customWidth="1"/>
    <col min="7980" max="7980" width="2.734375" style="262" customWidth="1"/>
    <col min="7981" max="8189" width="8.734375" style="262"/>
    <col min="8190" max="8190" width="4.62890625" style="262" customWidth="1"/>
    <col min="8191" max="8191" width="7.62890625" style="262" customWidth="1"/>
    <col min="8192" max="8192" width="35.62890625" style="262" customWidth="1"/>
    <col min="8193" max="8233" width="2.3671875" style="262" customWidth="1"/>
    <col min="8234" max="8235" width="8.62890625" style="262" customWidth="1"/>
    <col min="8236" max="8236" width="2.734375" style="262" customWidth="1"/>
    <col min="8237" max="8445" width="8.734375" style="262"/>
    <col min="8446" max="8446" width="4.62890625" style="262" customWidth="1"/>
    <col min="8447" max="8447" width="7.62890625" style="262" customWidth="1"/>
    <col min="8448" max="8448" width="35.62890625" style="262" customWidth="1"/>
    <col min="8449" max="8489" width="2.3671875" style="262" customWidth="1"/>
    <col min="8490" max="8491" width="8.62890625" style="262" customWidth="1"/>
    <col min="8492" max="8492" width="2.734375" style="262" customWidth="1"/>
    <col min="8493" max="8701" width="8.734375" style="262"/>
    <col min="8702" max="8702" width="4.62890625" style="262" customWidth="1"/>
    <col min="8703" max="8703" width="7.62890625" style="262" customWidth="1"/>
    <col min="8704" max="8704" width="35.62890625" style="262" customWidth="1"/>
    <col min="8705" max="8745" width="2.3671875" style="262" customWidth="1"/>
    <col min="8746" max="8747" width="8.62890625" style="262" customWidth="1"/>
    <col min="8748" max="8748" width="2.734375" style="262" customWidth="1"/>
    <col min="8749" max="8957" width="8.734375" style="262"/>
    <col min="8958" max="8958" width="4.62890625" style="262" customWidth="1"/>
    <col min="8959" max="8959" width="7.62890625" style="262" customWidth="1"/>
    <col min="8960" max="8960" width="35.62890625" style="262" customWidth="1"/>
    <col min="8961" max="9001" width="2.3671875" style="262" customWidth="1"/>
    <col min="9002" max="9003" width="8.62890625" style="262" customWidth="1"/>
    <col min="9004" max="9004" width="2.734375" style="262" customWidth="1"/>
    <col min="9005" max="9213" width="8.734375" style="262"/>
    <col min="9214" max="9214" width="4.62890625" style="262" customWidth="1"/>
    <col min="9215" max="9215" width="7.62890625" style="262" customWidth="1"/>
    <col min="9216" max="9216" width="35.62890625" style="262" customWidth="1"/>
    <col min="9217" max="9257" width="2.3671875" style="262" customWidth="1"/>
    <col min="9258" max="9259" width="8.62890625" style="262" customWidth="1"/>
    <col min="9260" max="9260" width="2.734375" style="262" customWidth="1"/>
    <col min="9261" max="9469" width="8.734375" style="262"/>
    <col min="9470" max="9470" width="4.62890625" style="262" customWidth="1"/>
    <col min="9471" max="9471" width="7.62890625" style="262" customWidth="1"/>
    <col min="9472" max="9472" width="35.62890625" style="262" customWidth="1"/>
    <col min="9473" max="9513" width="2.3671875" style="262" customWidth="1"/>
    <col min="9514" max="9515" width="8.62890625" style="262" customWidth="1"/>
    <col min="9516" max="9516" width="2.734375" style="262" customWidth="1"/>
    <col min="9517" max="9725" width="8.734375" style="262"/>
    <col min="9726" max="9726" width="4.62890625" style="262" customWidth="1"/>
    <col min="9727" max="9727" width="7.62890625" style="262" customWidth="1"/>
    <col min="9728" max="9728" width="35.62890625" style="262" customWidth="1"/>
    <col min="9729" max="9769" width="2.3671875" style="262" customWidth="1"/>
    <col min="9770" max="9771" width="8.62890625" style="262" customWidth="1"/>
    <col min="9772" max="9772" width="2.734375" style="262" customWidth="1"/>
    <col min="9773" max="9981" width="8.734375" style="262"/>
    <col min="9982" max="9982" width="4.62890625" style="262" customWidth="1"/>
    <col min="9983" max="9983" width="7.62890625" style="262" customWidth="1"/>
    <col min="9984" max="9984" width="35.62890625" style="262" customWidth="1"/>
    <col min="9985" max="10025" width="2.3671875" style="262" customWidth="1"/>
    <col min="10026" max="10027" width="8.62890625" style="262" customWidth="1"/>
    <col min="10028" max="10028" width="2.734375" style="262" customWidth="1"/>
    <col min="10029" max="10237" width="8.734375" style="262"/>
    <col min="10238" max="10238" width="4.62890625" style="262" customWidth="1"/>
    <col min="10239" max="10239" width="7.62890625" style="262" customWidth="1"/>
    <col min="10240" max="10240" width="35.62890625" style="262" customWidth="1"/>
    <col min="10241" max="10281" width="2.3671875" style="262" customWidth="1"/>
    <col min="10282" max="10283" width="8.62890625" style="262" customWidth="1"/>
    <col min="10284" max="10284" width="2.734375" style="262" customWidth="1"/>
    <col min="10285" max="10493" width="8.734375" style="262"/>
    <col min="10494" max="10494" width="4.62890625" style="262" customWidth="1"/>
    <col min="10495" max="10495" width="7.62890625" style="262" customWidth="1"/>
    <col min="10496" max="10496" width="35.62890625" style="262" customWidth="1"/>
    <col min="10497" max="10537" width="2.3671875" style="262" customWidth="1"/>
    <col min="10538" max="10539" width="8.62890625" style="262" customWidth="1"/>
    <col min="10540" max="10540" width="2.734375" style="262" customWidth="1"/>
    <col min="10541" max="10749" width="8.734375" style="262"/>
    <col min="10750" max="10750" width="4.62890625" style="262" customWidth="1"/>
    <col min="10751" max="10751" width="7.62890625" style="262" customWidth="1"/>
    <col min="10752" max="10752" width="35.62890625" style="262" customWidth="1"/>
    <col min="10753" max="10793" width="2.3671875" style="262" customWidth="1"/>
    <col min="10794" max="10795" width="8.62890625" style="262" customWidth="1"/>
    <col min="10796" max="10796" width="2.734375" style="262" customWidth="1"/>
    <col min="10797" max="11005" width="8.734375" style="262"/>
    <col min="11006" max="11006" width="4.62890625" style="262" customWidth="1"/>
    <col min="11007" max="11007" width="7.62890625" style="262" customWidth="1"/>
    <col min="11008" max="11008" width="35.62890625" style="262" customWidth="1"/>
    <col min="11009" max="11049" width="2.3671875" style="262" customWidth="1"/>
    <col min="11050" max="11051" width="8.62890625" style="262" customWidth="1"/>
    <col min="11052" max="11052" width="2.734375" style="262" customWidth="1"/>
    <col min="11053" max="11261" width="8.734375" style="262"/>
    <col min="11262" max="11262" width="4.62890625" style="262" customWidth="1"/>
    <col min="11263" max="11263" width="7.62890625" style="262" customWidth="1"/>
    <col min="11264" max="11264" width="35.62890625" style="262" customWidth="1"/>
    <col min="11265" max="11305" width="2.3671875" style="262" customWidth="1"/>
    <col min="11306" max="11307" width="8.62890625" style="262" customWidth="1"/>
    <col min="11308" max="11308" width="2.734375" style="262" customWidth="1"/>
    <col min="11309" max="11517" width="8.734375" style="262"/>
    <col min="11518" max="11518" width="4.62890625" style="262" customWidth="1"/>
    <col min="11519" max="11519" width="7.62890625" style="262" customWidth="1"/>
    <col min="11520" max="11520" width="35.62890625" style="262" customWidth="1"/>
    <col min="11521" max="11561" width="2.3671875" style="262" customWidth="1"/>
    <col min="11562" max="11563" width="8.62890625" style="262" customWidth="1"/>
    <col min="11564" max="11564" width="2.734375" style="262" customWidth="1"/>
    <col min="11565" max="11773" width="8.734375" style="262"/>
    <col min="11774" max="11774" width="4.62890625" style="262" customWidth="1"/>
    <col min="11775" max="11775" width="7.62890625" style="262" customWidth="1"/>
    <col min="11776" max="11776" width="35.62890625" style="262" customWidth="1"/>
    <col min="11777" max="11817" width="2.3671875" style="262" customWidth="1"/>
    <col min="11818" max="11819" width="8.62890625" style="262" customWidth="1"/>
    <col min="11820" max="11820" width="2.734375" style="262" customWidth="1"/>
    <col min="11821" max="12029" width="8.734375" style="262"/>
    <col min="12030" max="12030" width="4.62890625" style="262" customWidth="1"/>
    <col min="12031" max="12031" width="7.62890625" style="262" customWidth="1"/>
    <col min="12032" max="12032" width="35.62890625" style="262" customWidth="1"/>
    <col min="12033" max="12073" width="2.3671875" style="262" customWidth="1"/>
    <col min="12074" max="12075" width="8.62890625" style="262" customWidth="1"/>
    <col min="12076" max="12076" width="2.734375" style="262" customWidth="1"/>
    <col min="12077" max="12285" width="8.734375" style="262"/>
    <col min="12286" max="12286" width="4.62890625" style="262" customWidth="1"/>
    <col min="12287" max="12287" width="7.62890625" style="262" customWidth="1"/>
    <col min="12288" max="12288" width="35.62890625" style="262" customWidth="1"/>
    <col min="12289" max="12329" width="2.3671875" style="262" customWidth="1"/>
    <col min="12330" max="12331" width="8.62890625" style="262" customWidth="1"/>
    <col min="12332" max="12332" width="2.734375" style="262" customWidth="1"/>
    <col min="12333" max="12541" width="8.734375" style="262"/>
    <col min="12542" max="12542" width="4.62890625" style="262" customWidth="1"/>
    <col min="12543" max="12543" width="7.62890625" style="262" customWidth="1"/>
    <col min="12544" max="12544" width="35.62890625" style="262" customWidth="1"/>
    <col min="12545" max="12585" width="2.3671875" style="262" customWidth="1"/>
    <col min="12586" max="12587" width="8.62890625" style="262" customWidth="1"/>
    <col min="12588" max="12588" width="2.734375" style="262" customWidth="1"/>
    <col min="12589" max="12797" width="8.734375" style="262"/>
    <col min="12798" max="12798" width="4.62890625" style="262" customWidth="1"/>
    <col min="12799" max="12799" width="7.62890625" style="262" customWidth="1"/>
    <col min="12800" max="12800" width="35.62890625" style="262" customWidth="1"/>
    <col min="12801" max="12841" width="2.3671875" style="262" customWidth="1"/>
    <col min="12842" max="12843" width="8.62890625" style="262" customWidth="1"/>
    <col min="12844" max="12844" width="2.734375" style="262" customWidth="1"/>
    <col min="12845" max="13053" width="8.734375" style="262"/>
    <col min="13054" max="13054" width="4.62890625" style="262" customWidth="1"/>
    <col min="13055" max="13055" width="7.62890625" style="262" customWidth="1"/>
    <col min="13056" max="13056" width="35.62890625" style="262" customWidth="1"/>
    <col min="13057" max="13097" width="2.3671875" style="262" customWidth="1"/>
    <col min="13098" max="13099" width="8.62890625" style="262" customWidth="1"/>
    <col min="13100" max="13100" width="2.734375" style="262" customWidth="1"/>
    <col min="13101" max="13309" width="8.734375" style="262"/>
    <col min="13310" max="13310" width="4.62890625" style="262" customWidth="1"/>
    <col min="13311" max="13311" width="7.62890625" style="262" customWidth="1"/>
    <col min="13312" max="13312" width="35.62890625" style="262" customWidth="1"/>
    <col min="13313" max="13353" width="2.3671875" style="262" customWidth="1"/>
    <col min="13354" max="13355" width="8.62890625" style="262" customWidth="1"/>
    <col min="13356" max="13356" width="2.734375" style="262" customWidth="1"/>
    <col min="13357" max="13565" width="8.734375" style="262"/>
    <col min="13566" max="13566" width="4.62890625" style="262" customWidth="1"/>
    <col min="13567" max="13567" width="7.62890625" style="262" customWidth="1"/>
    <col min="13568" max="13568" width="35.62890625" style="262" customWidth="1"/>
    <col min="13569" max="13609" width="2.3671875" style="262" customWidth="1"/>
    <col min="13610" max="13611" width="8.62890625" style="262" customWidth="1"/>
    <col min="13612" max="13612" width="2.734375" style="262" customWidth="1"/>
    <col min="13613" max="13821" width="8.734375" style="262"/>
    <col min="13822" max="13822" width="4.62890625" style="262" customWidth="1"/>
    <col min="13823" max="13823" width="7.62890625" style="262" customWidth="1"/>
    <col min="13824" max="13824" width="35.62890625" style="262" customWidth="1"/>
    <col min="13825" max="13865" width="2.3671875" style="262" customWidth="1"/>
    <col min="13866" max="13867" width="8.62890625" style="262" customWidth="1"/>
    <col min="13868" max="13868" width="2.734375" style="262" customWidth="1"/>
    <col min="13869" max="14077" width="8.734375" style="262"/>
    <col min="14078" max="14078" width="4.62890625" style="262" customWidth="1"/>
    <col min="14079" max="14079" width="7.62890625" style="262" customWidth="1"/>
    <col min="14080" max="14080" width="35.62890625" style="262" customWidth="1"/>
    <col min="14081" max="14121" width="2.3671875" style="262" customWidth="1"/>
    <col min="14122" max="14123" width="8.62890625" style="262" customWidth="1"/>
    <col min="14124" max="14124" width="2.734375" style="262" customWidth="1"/>
    <col min="14125" max="14333" width="8.734375" style="262"/>
    <col min="14334" max="14334" width="4.62890625" style="262" customWidth="1"/>
    <col min="14335" max="14335" width="7.62890625" style="262" customWidth="1"/>
    <col min="14336" max="14336" width="35.62890625" style="262" customWidth="1"/>
    <col min="14337" max="14377" width="2.3671875" style="262" customWidth="1"/>
    <col min="14378" max="14379" width="8.62890625" style="262" customWidth="1"/>
    <col min="14380" max="14380" width="2.734375" style="262" customWidth="1"/>
    <col min="14381" max="14589" width="8.734375" style="262"/>
    <col min="14590" max="14590" width="4.62890625" style="262" customWidth="1"/>
    <col min="14591" max="14591" width="7.62890625" style="262" customWidth="1"/>
    <col min="14592" max="14592" width="35.62890625" style="262" customWidth="1"/>
    <col min="14593" max="14633" width="2.3671875" style="262" customWidth="1"/>
    <col min="14634" max="14635" width="8.62890625" style="262" customWidth="1"/>
    <col min="14636" max="14636" width="2.734375" style="262" customWidth="1"/>
    <col min="14637" max="14845" width="8.734375" style="262"/>
    <col min="14846" max="14846" width="4.62890625" style="262" customWidth="1"/>
    <col min="14847" max="14847" width="7.62890625" style="262" customWidth="1"/>
    <col min="14848" max="14848" width="35.62890625" style="262" customWidth="1"/>
    <col min="14849" max="14889" width="2.3671875" style="262" customWidth="1"/>
    <col min="14890" max="14891" width="8.62890625" style="262" customWidth="1"/>
    <col min="14892" max="14892" width="2.734375" style="262" customWidth="1"/>
    <col min="14893" max="15101" width="8.734375" style="262"/>
    <col min="15102" max="15102" width="4.62890625" style="262" customWidth="1"/>
    <col min="15103" max="15103" width="7.62890625" style="262" customWidth="1"/>
    <col min="15104" max="15104" width="35.62890625" style="262" customWidth="1"/>
    <col min="15105" max="15145" width="2.3671875" style="262" customWidth="1"/>
    <col min="15146" max="15147" width="8.62890625" style="262" customWidth="1"/>
    <col min="15148" max="15148" width="2.734375" style="262" customWidth="1"/>
    <col min="15149" max="15357" width="8.734375" style="262"/>
    <col min="15358" max="15358" width="4.62890625" style="262" customWidth="1"/>
    <col min="15359" max="15359" width="7.62890625" style="262" customWidth="1"/>
    <col min="15360" max="15360" width="35.62890625" style="262" customWidth="1"/>
    <col min="15361" max="15401" width="2.3671875" style="262" customWidth="1"/>
    <col min="15402" max="15403" width="8.62890625" style="262" customWidth="1"/>
    <col min="15404" max="15404" width="2.734375" style="262" customWidth="1"/>
    <col min="15405" max="15613" width="8.734375" style="262"/>
    <col min="15614" max="15614" width="4.62890625" style="262" customWidth="1"/>
    <col min="15615" max="15615" width="7.62890625" style="262" customWidth="1"/>
    <col min="15616" max="15616" width="35.62890625" style="262" customWidth="1"/>
    <col min="15617" max="15657" width="2.3671875" style="262" customWidth="1"/>
    <col min="15658" max="15659" width="8.62890625" style="262" customWidth="1"/>
    <col min="15660" max="15660" width="2.734375" style="262" customWidth="1"/>
    <col min="15661" max="15869" width="8.734375" style="262"/>
    <col min="15870" max="15870" width="4.62890625" style="262" customWidth="1"/>
    <col min="15871" max="15871" width="7.62890625" style="262" customWidth="1"/>
    <col min="15872" max="15872" width="35.62890625" style="262" customWidth="1"/>
    <col min="15873" max="15913" width="2.3671875" style="262" customWidth="1"/>
    <col min="15914" max="15915" width="8.62890625" style="262" customWidth="1"/>
    <col min="15916" max="15916" width="2.734375" style="262" customWidth="1"/>
    <col min="15917" max="16125" width="8.734375" style="262"/>
    <col min="16126" max="16126" width="4.62890625" style="262" customWidth="1"/>
    <col min="16127" max="16127" width="7.62890625" style="262" customWidth="1"/>
    <col min="16128" max="16128" width="35.62890625" style="262" customWidth="1"/>
    <col min="16129" max="16169" width="2.3671875" style="262" customWidth="1"/>
    <col min="16170" max="16171" width="8.62890625" style="262" customWidth="1"/>
    <col min="16172" max="16172" width="2.734375" style="262" customWidth="1"/>
    <col min="16173" max="16384" width="8.734375" style="262"/>
  </cols>
  <sheetData>
    <row r="1" spans="1:45" ht="17.2" customHeight="1" x14ac:dyDescent="0.3">
      <c r="A1" s="32"/>
    </row>
    <row r="2" spans="1:45" ht="17.2" customHeight="1" x14ac:dyDescent="0.3">
      <c r="A2" s="32"/>
    </row>
    <row r="3" spans="1:45" ht="17.2" customHeight="1" x14ac:dyDescent="0.3">
      <c r="A3" s="32"/>
    </row>
    <row r="4" spans="1:45" ht="17.2" customHeight="1" x14ac:dyDescent="0.3">
      <c r="A4" s="32"/>
      <c r="B4" s="32"/>
    </row>
    <row r="5" spans="1:45" ht="17.2" customHeight="1" x14ac:dyDescent="0.3">
      <c r="A5" s="24" t="s">
        <v>18462</v>
      </c>
      <c r="B5" s="43"/>
      <c r="C5" s="257" t="s">
        <v>5892</v>
      </c>
      <c r="D5" s="97"/>
      <c r="E5" s="37"/>
      <c r="F5" s="37"/>
      <c r="G5" s="37"/>
      <c r="H5" s="37"/>
      <c r="I5" s="37"/>
      <c r="J5" s="37"/>
      <c r="K5" s="30"/>
      <c r="L5" s="30"/>
      <c r="M5" s="30"/>
      <c r="N5" s="30"/>
      <c r="O5" s="30"/>
      <c r="P5" s="37"/>
      <c r="Q5" s="37"/>
      <c r="R5" s="37"/>
      <c r="S5" s="30"/>
      <c r="T5" s="37"/>
      <c r="U5" s="37"/>
      <c r="V5" s="37"/>
      <c r="W5" s="31"/>
      <c r="X5" s="260" t="s">
        <v>18461</v>
      </c>
      <c r="Y5" s="38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23" t="s">
        <v>5891</v>
      </c>
      <c r="AQ5" s="23" t="s">
        <v>5890</v>
      </c>
      <c r="AR5" s="255"/>
    </row>
    <row r="6" spans="1:45" ht="17.2" customHeight="1" x14ac:dyDescent="0.3">
      <c r="A6" s="22" t="s">
        <v>5889</v>
      </c>
      <c r="B6" s="21" t="s">
        <v>5888</v>
      </c>
      <c r="C6" s="20"/>
      <c r="D6" s="41"/>
      <c r="E6" s="39"/>
      <c r="F6" s="39"/>
      <c r="G6" s="39"/>
      <c r="H6" s="39"/>
      <c r="I6" s="39"/>
      <c r="J6" s="39"/>
      <c r="K6" s="5"/>
      <c r="L6" s="5"/>
      <c r="M6" s="5"/>
      <c r="N6" s="5"/>
      <c r="O6" s="5"/>
      <c r="P6" s="39"/>
      <c r="Q6" s="39"/>
      <c r="R6" s="39"/>
      <c r="S6" s="5"/>
      <c r="T6" s="39"/>
      <c r="U6" s="39"/>
      <c r="V6" s="39"/>
      <c r="W6" s="39"/>
      <c r="X6" s="40"/>
      <c r="Y6" s="40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19" t="s">
        <v>5870</v>
      </c>
      <c r="AQ6" s="19" t="s">
        <v>0</v>
      </c>
      <c r="AR6" s="255"/>
    </row>
    <row r="7" spans="1:45" ht="17.2" customHeight="1" x14ac:dyDescent="0.3">
      <c r="A7" s="8">
        <v>15</v>
      </c>
      <c r="B7" s="10">
        <v>6010</v>
      </c>
      <c r="C7" s="7" t="s">
        <v>16292</v>
      </c>
      <c r="D7" s="293" t="s">
        <v>5887</v>
      </c>
      <c r="E7" s="294"/>
      <c r="F7" s="294"/>
      <c r="G7" s="294"/>
      <c r="H7" s="295"/>
      <c r="I7" s="16"/>
      <c r="J7" s="4"/>
      <c r="K7" s="4"/>
      <c r="L7" s="4"/>
      <c r="M7" s="4"/>
      <c r="N7" s="4"/>
      <c r="O7" s="4"/>
      <c r="P7" s="4"/>
      <c r="Q7" s="4"/>
      <c r="R7" s="4"/>
      <c r="S7" s="4"/>
      <c r="T7" s="261"/>
      <c r="U7" s="261"/>
      <c r="V7" s="36"/>
      <c r="W7" s="258"/>
      <c r="X7" s="258"/>
      <c r="Y7" s="4"/>
      <c r="Z7" s="4"/>
      <c r="AA7" s="36"/>
      <c r="AB7" s="256"/>
      <c r="AC7" s="256"/>
      <c r="AD7" s="4"/>
      <c r="AE7" s="4"/>
      <c r="AF7" s="4"/>
      <c r="AG7" s="4"/>
      <c r="AH7" s="4"/>
      <c r="AI7" s="4"/>
      <c r="AJ7" s="267"/>
      <c r="AK7" s="267"/>
      <c r="AL7" s="13" t="s">
        <v>5878</v>
      </c>
      <c r="AM7" s="13"/>
      <c r="AN7" s="4"/>
      <c r="AO7" s="4"/>
      <c r="AP7" s="3"/>
      <c r="AQ7" s="18" t="s">
        <v>5886</v>
      </c>
    </row>
    <row r="8" spans="1:45" ht="17.2" customHeight="1" x14ac:dyDescent="0.3">
      <c r="A8" s="8">
        <v>15</v>
      </c>
      <c r="B8" s="10">
        <v>6011</v>
      </c>
      <c r="C8" s="7" t="s">
        <v>16291</v>
      </c>
      <c r="D8" s="277"/>
      <c r="E8" s="278"/>
      <c r="F8" s="278"/>
      <c r="G8" s="278"/>
      <c r="H8" s="279"/>
      <c r="I8" s="16"/>
      <c r="J8" s="4"/>
      <c r="K8" s="4"/>
      <c r="L8" s="4"/>
      <c r="M8" s="4"/>
      <c r="N8" s="4"/>
      <c r="O8" s="4"/>
      <c r="P8" s="4"/>
      <c r="Q8" s="4"/>
      <c r="R8" s="4"/>
      <c r="S8" s="4"/>
      <c r="T8" s="261"/>
      <c r="U8" s="261"/>
      <c r="V8" s="36"/>
      <c r="W8" s="258"/>
      <c r="X8" s="258"/>
      <c r="Y8" s="4"/>
      <c r="Z8" s="4"/>
      <c r="AA8" s="36"/>
      <c r="AB8" s="256"/>
      <c r="AC8" s="256"/>
      <c r="AD8" s="4"/>
      <c r="AE8" s="4"/>
      <c r="AF8" s="4"/>
      <c r="AG8" s="4"/>
      <c r="AH8" s="4"/>
      <c r="AI8" s="4"/>
      <c r="AJ8" s="253"/>
      <c r="AK8" s="253"/>
      <c r="AL8" s="13" t="s">
        <v>5878</v>
      </c>
      <c r="AM8" s="13"/>
      <c r="AN8" s="4"/>
      <c r="AO8" s="4"/>
      <c r="AP8" s="3"/>
      <c r="AQ8" s="12"/>
    </row>
    <row r="9" spans="1:45" ht="17.2" customHeight="1" x14ac:dyDescent="0.3">
      <c r="A9" s="8">
        <v>15</v>
      </c>
      <c r="B9" s="10">
        <v>6012</v>
      </c>
      <c r="C9" s="7" t="s">
        <v>16290</v>
      </c>
      <c r="D9" s="277"/>
      <c r="E9" s="278"/>
      <c r="F9" s="278"/>
      <c r="G9" s="278"/>
      <c r="H9" s="279"/>
      <c r="I9" s="16"/>
      <c r="J9" s="4"/>
      <c r="K9" s="4"/>
      <c r="L9" s="4"/>
      <c r="M9" s="4"/>
      <c r="N9" s="4"/>
      <c r="O9" s="4"/>
      <c r="P9" s="4"/>
      <c r="Q9" s="4"/>
      <c r="R9" s="4"/>
      <c r="S9" s="4"/>
      <c r="T9" s="261"/>
      <c r="U9" s="261"/>
      <c r="V9" s="36"/>
      <c r="W9" s="258"/>
      <c r="X9" s="258"/>
      <c r="Y9" s="4"/>
      <c r="Z9" s="4"/>
      <c r="AA9" s="36"/>
      <c r="AB9" s="256"/>
      <c r="AC9" s="256"/>
      <c r="AD9" s="4"/>
      <c r="AE9" s="4"/>
      <c r="AF9" s="4"/>
      <c r="AG9" s="4"/>
      <c r="AH9" s="4"/>
      <c r="AI9" s="4"/>
      <c r="AJ9" s="253"/>
      <c r="AK9" s="253"/>
      <c r="AL9" s="13" t="s">
        <v>5878</v>
      </c>
      <c r="AM9" s="13"/>
      <c r="AN9" s="4"/>
      <c r="AO9" s="4"/>
      <c r="AP9" s="3"/>
      <c r="AQ9" s="12"/>
    </row>
    <row r="10" spans="1:45" ht="17.2" customHeight="1" x14ac:dyDescent="0.3">
      <c r="A10" s="8">
        <v>15</v>
      </c>
      <c r="B10" s="10">
        <v>6013</v>
      </c>
      <c r="C10" s="7" t="s">
        <v>16289</v>
      </c>
      <c r="D10" s="280"/>
      <c r="E10" s="281"/>
      <c r="F10" s="281"/>
      <c r="G10" s="281"/>
      <c r="H10" s="282"/>
      <c r="I10" s="16"/>
      <c r="J10" s="4"/>
      <c r="K10" s="4"/>
      <c r="L10" s="4"/>
      <c r="M10" s="4"/>
      <c r="N10" s="4"/>
      <c r="O10" s="4"/>
      <c r="P10" s="4"/>
      <c r="Q10" s="4"/>
      <c r="R10" s="4"/>
      <c r="S10" s="4"/>
      <c r="T10" s="261"/>
      <c r="U10" s="261"/>
      <c r="V10" s="36"/>
      <c r="W10" s="258"/>
      <c r="X10" s="258"/>
      <c r="Y10" s="4"/>
      <c r="Z10" s="4"/>
      <c r="AA10" s="36"/>
      <c r="AB10" s="256"/>
      <c r="AC10" s="256"/>
      <c r="AD10" s="4"/>
      <c r="AE10" s="4"/>
      <c r="AF10" s="4"/>
      <c r="AG10" s="4"/>
      <c r="AH10" s="4"/>
      <c r="AI10" s="4"/>
      <c r="AJ10" s="253"/>
      <c r="AK10" s="253"/>
      <c r="AL10" s="13" t="s">
        <v>5878</v>
      </c>
      <c r="AM10" s="13"/>
      <c r="AN10" s="4"/>
      <c r="AO10" s="4"/>
      <c r="AP10" s="3"/>
      <c r="AQ10" s="12"/>
    </row>
    <row r="11" spans="1:45" ht="17.2" customHeight="1" x14ac:dyDescent="0.3">
      <c r="A11" s="8">
        <v>15</v>
      </c>
      <c r="B11" s="10">
        <v>6015</v>
      </c>
      <c r="C11" s="7" t="s">
        <v>18460</v>
      </c>
      <c r="D11" s="17" t="s">
        <v>5885</v>
      </c>
      <c r="E11" s="16"/>
      <c r="F11" s="16"/>
      <c r="G11" s="16"/>
      <c r="H11" s="16"/>
      <c r="I11" s="16"/>
      <c r="J11" s="4"/>
      <c r="K11" s="4"/>
      <c r="L11" s="4"/>
      <c r="M11" s="4"/>
      <c r="N11" s="4"/>
      <c r="O11" s="4"/>
      <c r="P11" s="4"/>
      <c r="Q11" s="4"/>
      <c r="R11" s="4"/>
      <c r="S11" s="4"/>
      <c r="T11" s="261"/>
      <c r="U11" s="261"/>
      <c r="V11" s="36"/>
      <c r="W11" s="258"/>
      <c r="X11" s="258"/>
      <c r="Y11" s="4"/>
      <c r="Z11" s="4"/>
      <c r="AA11" s="36"/>
      <c r="AB11" s="256"/>
      <c r="AC11" s="256"/>
      <c r="AD11" s="4"/>
      <c r="AE11" s="4"/>
      <c r="AF11" s="4"/>
      <c r="AG11" s="4"/>
      <c r="AH11" s="4"/>
      <c r="AI11" s="4"/>
      <c r="AJ11" s="267"/>
      <c r="AK11" s="267"/>
      <c r="AL11" s="13" t="s">
        <v>5878</v>
      </c>
      <c r="AM11" s="13"/>
      <c r="AN11" s="4"/>
      <c r="AO11" s="4"/>
      <c r="AP11" s="3"/>
      <c r="AQ11" s="12"/>
    </row>
    <row r="12" spans="1:45" ht="17.2" customHeight="1" x14ac:dyDescent="0.3">
      <c r="A12" s="8">
        <v>15</v>
      </c>
      <c r="B12" s="10">
        <v>6025</v>
      </c>
      <c r="C12" s="7" t="s">
        <v>16288</v>
      </c>
      <c r="D12" s="17" t="s">
        <v>5884</v>
      </c>
      <c r="E12" s="16"/>
      <c r="F12" s="16"/>
      <c r="G12" s="16"/>
      <c r="H12" s="16"/>
      <c r="I12" s="16"/>
      <c r="J12" s="4"/>
      <c r="K12" s="4"/>
      <c r="L12" s="4"/>
      <c r="M12" s="4"/>
      <c r="N12" s="4"/>
      <c r="O12" s="4"/>
      <c r="P12" s="4"/>
      <c r="Q12" s="4"/>
      <c r="R12" s="4"/>
      <c r="S12" s="4"/>
      <c r="T12" s="261"/>
      <c r="U12" s="261"/>
      <c r="V12" s="36"/>
      <c r="W12" s="258"/>
      <c r="X12" s="258"/>
      <c r="Y12" s="4"/>
      <c r="Z12" s="4"/>
      <c r="AA12" s="36"/>
      <c r="AB12" s="256"/>
      <c r="AC12" s="256"/>
      <c r="AD12" s="4"/>
      <c r="AE12" s="4"/>
      <c r="AF12" s="4"/>
      <c r="AG12" s="4"/>
      <c r="AH12" s="4"/>
      <c r="AI12" s="4"/>
      <c r="AJ12" s="267">
        <v>100</v>
      </c>
      <c r="AK12" s="267"/>
      <c r="AL12" s="13" t="s">
        <v>5878</v>
      </c>
      <c r="AM12" s="13"/>
      <c r="AN12" s="4"/>
      <c r="AO12" s="4"/>
      <c r="AP12" s="11">
        <f>ROUND(AJ12,0)</f>
        <v>100</v>
      </c>
      <c r="AQ12" s="28" t="s">
        <v>5894</v>
      </c>
    </row>
    <row r="13" spans="1:45" ht="17.2" customHeight="1" x14ac:dyDescent="0.3">
      <c r="A13" s="8">
        <v>15</v>
      </c>
      <c r="B13" s="10">
        <v>6100</v>
      </c>
      <c r="C13" s="7" t="s">
        <v>18459</v>
      </c>
      <c r="D13" s="6" t="s">
        <v>18458</v>
      </c>
      <c r="E13" s="16"/>
      <c r="F13" s="16"/>
      <c r="G13" s="16"/>
      <c r="H13" s="16"/>
      <c r="I13" s="16"/>
      <c r="J13" s="4"/>
      <c r="K13" s="4"/>
      <c r="L13" s="4"/>
      <c r="M13" s="4"/>
      <c r="N13" s="4"/>
      <c r="O13" s="4"/>
      <c r="P13" s="4"/>
      <c r="Q13" s="4"/>
      <c r="R13" s="4"/>
      <c r="S13" s="4"/>
      <c r="T13" s="261"/>
      <c r="U13" s="261"/>
      <c r="V13" s="36"/>
      <c r="W13" s="258"/>
      <c r="X13" s="258"/>
      <c r="Y13" s="4"/>
      <c r="Z13" s="4"/>
      <c r="AA13" s="36"/>
      <c r="AB13" s="256"/>
      <c r="AC13" s="256"/>
      <c r="AD13" s="4"/>
      <c r="AE13" s="4"/>
      <c r="AF13" s="4"/>
      <c r="AG13" s="4"/>
      <c r="AH13" s="4"/>
      <c r="AI13" s="4"/>
      <c r="AJ13" s="267">
        <v>100</v>
      </c>
      <c r="AK13" s="267"/>
      <c r="AL13" s="13" t="s">
        <v>5878</v>
      </c>
      <c r="AM13" s="13"/>
      <c r="AN13" s="4"/>
      <c r="AO13" s="4"/>
      <c r="AP13" s="3">
        <f>ROUND(AJ13,0)</f>
        <v>100</v>
      </c>
      <c r="AQ13" s="29" t="s">
        <v>5883</v>
      </c>
    </row>
    <row r="14" spans="1:45" ht="17.2" customHeight="1" x14ac:dyDescent="0.3">
      <c r="A14" s="8">
        <v>15</v>
      </c>
      <c r="B14" s="10">
        <v>6020</v>
      </c>
      <c r="C14" s="7" t="s">
        <v>16287</v>
      </c>
      <c r="D14" s="17" t="s">
        <v>5893</v>
      </c>
      <c r="E14" s="16"/>
      <c r="F14" s="16"/>
      <c r="G14" s="16"/>
      <c r="H14" s="16"/>
      <c r="I14" s="16"/>
      <c r="J14" s="4"/>
      <c r="K14" s="4"/>
      <c r="L14" s="4"/>
      <c r="M14" s="4"/>
      <c r="N14" s="4"/>
      <c r="O14" s="4"/>
      <c r="P14" s="4"/>
      <c r="Q14" s="4"/>
      <c r="R14" s="4"/>
      <c r="S14" s="4"/>
      <c r="T14" s="261"/>
      <c r="U14" s="261"/>
      <c r="V14" s="36"/>
      <c r="W14" s="258"/>
      <c r="X14" s="258"/>
      <c r="Y14" s="4"/>
      <c r="Z14" s="4"/>
      <c r="AA14" s="36"/>
      <c r="AB14" s="256"/>
      <c r="AC14" s="256"/>
      <c r="AD14" s="4"/>
      <c r="AE14" s="4"/>
      <c r="AF14" s="4"/>
      <c r="AG14" s="4"/>
      <c r="AH14" s="4"/>
      <c r="AI14" s="4"/>
      <c r="AJ14" s="267">
        <v>200</v>
      </c>
      <c r="AK14" s="267"/>
      <c r="AL14" s="13" t="s">
        <v>5878</v>
      </c>
      <c r="AM14" s="13"/>
      <c r="AN14" s="4"/>
      <c r="AO14" s="4"/>
      <c r="AP14" s="3">
        <f>ROUND(AJ14,0)</f>
        <v>200</v>
      </c>
      <c r="AQ14" s="18" t="s">
        <v>5881</v>
      </c>
    </row>
    <row r="15" spans="1:45" ht="17.2" customHeight="1" x14ac:dyDescent="0.3">
      <c r="A15" s="8">
        <v>15</v>
      </c>
      <c r="B15" s="10">
        <v>5010</v>
      </c>
      <c r="C15" s="7" t="s">
        <v>18457</v>
      </c>
      <c r="D15" s="17" t="s">
        <v>5882</v>
      </c>
      <c r="E15" s="16"/>
      <c r="F15" s="16"/>
      <c r="G15" s="16"/>
      <c r="H15" s="16"/>
      <c r="I15" s="16"/>
      <c r="J15" s="4"/>
      <c r="K15" s="4"/>
      <c r="L15" s="4"/>
      <c r="M15" s="4"/>
      <c r="N15" s="4"/>
      <c r="O15" s="4"/>
      <c r="P15" s="4"/>
      <c r="Q15" s="4"/>
      <c r="R15" s="4"/>
      <c r="S15" s="4"/>
      <c r="T15" s="261"/>
      <c r="U15" s="261"/>
      <c r="V15" s="36"/>
      <c r="W15" s="258"/>
      <c r="X15" s="258"/>
      <c r="Y15" s="4"/>
      <c r="Z15" s="4"/>
      <c r="AA15" s="36"/>
      <c r="AB15" s="256"/>
      <c r="AC15" s="256"/>
      <c r="AD15" s="4"/>
      <c r="AE15" s="4"/>
      <c r="AF15" s="4"/>
      <c r="AG15" s="4"/>
      <c r="AH15" s="4"/>
      <c r="AI15" s="4"/>
      <c r="AJ15" s="267">
        <v>150</v>
      </c>
      <c r="AK15" s="267"/>
      <c r="AL15" s="13" t="s">
        <v>5878</v>
      </c>
      <c r="AM15" s="13"/>
      <c r="AN15" s="4"/>
      <c r="AO15" s="4"/>
      <c r="AP15" s="3">
        <f>ROUND(AJ15,0)</f>
        <v>150</v>
      </c>
      <c r="AQ15" s="15"/>
    </row>
    <row r="16" spans="1:45" ht="17.2" customHeight="1" x14ac:dyDescent="0.3">
      <c r="A16" s="8">
        <v>15</v>
      </c>
      <c r="B16" s="10">
        <v>6715</v>
      </c>
      <c r="C16" s="7" t="s">
        <v>16286</v>
      </c>
      <c r="D16" s="268" t="s">
        <v>5880</v>
      </c>
      <c r="E16" s="269"/>
      <c r="F16" s="269"/>
      <c r="G16" s="269"/>
      <c r="H16" s="270"/>
      <c r="I16" s="35" t="s">
        <v>18456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261"/>
      <c r="U16" s="261"/>
      <c r="V16" s="36"/>
      <c r="W16" s="258"/>
      <c r="X16" s="258"/>
      <c r="Y16" s="4"/>
      <c r="Z16" s="4"/>
      <c r="AA16" s="4"/>
      <c r="AB16" s="4"/>
      <c r="AC16" s="4"/>
      <c r="AD16" s="4"/>
      <c r="AE16" s="4"/>
      <c r="AF16" s="4"/>
      <c r="AG16" s="4"/>
      <c r="AH16" s="254"/>
      <c r="AI16" s="34"/>
      <c r="AJ16" s="4"/>
      <c r="AK16" s="253"/>
      <c r="AL16" s="13" t="s">
        <v>5878</v>
      </c>
      <c r="AM16" s="13"/>
      <c r="AN16" s="4"/>
      <c r="AO16" s="4"/>
      <c r="AP16" s="3"/>
      <c r="AQ16" s="18" t="s">
        <v>5879</v>
      </c>
      <c r="AS16" s="33"/>
    </row>
    <row r="17" spans="1:45" ht="17.2" customHeight="1" x14ac:dyDescent="0.3">
      <c r="A17" s="8">
        <v>15</v>
      </c>
      <c r="B17" s="10">
        <v>6710</v>
      </c>
      <c r="C17" s="7" t="s">
        <v>16285</v>
      </c>
      <c r="D17" s="271"/>
      <c r="E17" s="272"/>
      <c r="F17" s="272"/>
      <c r="G17" s="272"/>
      <c r="H17" s="273"/>
      <c r="I17" s="9" t="s">
        <v>18455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261"/>
      <c r="U17" s="261"/>
      <c r="V17" s="36"/>
      <c r="W17" s="258"/>
      <c r="X17" s="258"/>
      <c r="Y17" s="4"/>
      <c r="Z17" s="4"/>
      <c r="AA17" s="4"/>
      <c r="AB17" s="4"/>
      <c r="AC17" s="4"/>
      <c r="AD17" s="4"/>
      <c r="AE17" s="4"/>
      <c r="AF17" s="4"/>
      <c r="AG17" s="4"/>
      <c r="AH17" s="36"/>
      <c r="AI17" s="34"/>
      <c r="AJ17" s="4"/>
      <c r="AK17" s="253"/>
      <c r="AL17" s="13" t="s">
        <v>5878</v>
      </c>
      <c r="AM17" s="13"/>
      <c r="AN17" s="4"/>
      <c r="AO17" s="4"/>
      <c r="AP17" s="11"/>
      <c r="AQ17" s="12"/>
      <c r="AS17" s="33"/>
    </row>
    <row r="18" spans="1:45" ht="17.2" customHeight="1" x14ac:dyDescent="0.3">
      <c r="A18" s="8">
        <v>15</v>
      </c>
      <c r="B18" s="10">
        <v>6665</v>
      </c>
      <c r="C18" s="7" t="s">
        <v>16284</v>
      </c>
      <c r="D18" s="271"/>
      <c r="E18" s="272"/>
      <c r="F18" s="272"/>
      <c r="G18" s="272"/>
      <c r="H18" s="273"/>
      <c r="I18" s="9" t="s">
        <v>18454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261"/>
      <c r="U18" s="261"/>
      <c r="V18" s="36"/>
      <c r="W18" s="258"/>
      <c r="X18" s="258"/>
      <c r="Y18" s="4"/>
      <c r="Z18" s="4"/>
      <c r="AA18" s="4"/>
      <c r="AB18" s="4"/>
      <c r="AC18" s="4"/>
      <c r="AD18" s="4"/>
      <c r="AE18" s="4"/>
      <c r="AF18" s="4"/>
      <c r="AG18" s="4"/>
      <c r="AH18" s="254"/>
      <c r="AI18" s="34"/>
      <c r="AJ18" s="4"/>
      <c r="AK18" s="253"/>
      <c r="AL18" s="13" t="s">
        <v>5878</v>
      </c>
      <c r="AM18" s="13"/>
      <c r="AN18" s="4"/>
      <c r="AO18" s="4"/>
      <c r="AP18" s="3"/>
      <c r="AQ18" s="12"/>
      <c r="AS18" s="33"/>
    </row>
    <row r="19" spans="1:45" ht="17.2" customHeight="1" x14ac:dyDescent="0.3">
      <c r="A19" s="8">
        <v>15</v>
      </c>
      <c r="B19" s="10">
        <v>6670</v>
      </c>
      <c r="C19" s="7" t="s">
        <v>16283</v>
      </c>
      <c r="D19" s="271"/>
      <c r="E19" s="272"/>
      <c r="F19" s="272"/>
      <c r="G19" s="272"/>
      <c r="H19" s="273"/>
      <c r="I19" s="9" t="s">
        <v>18453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261"/>
      <c r="U19" s="261"/>
      <c r="V19" s="36"/>
      <c r="W19" s="258"/>
      <c r="X19" s="258"/>
      <c r="Y19" s="4"/>
      <c r="Z19" s="4"/>
      <c r="AA19" s="4"/>
      <c r="AB19" s="4"/>
      <c r="AC19" s="4"/>
      <c r="AD19" s="4"/>
      <c r="AE19" s="4"/>
      <c r="AF19" s="4"/>
      <c r="AG19" s="4"/>
      <c r="AH19" s="254"/>
      <c r="AI19" s="34"/>
      <c r="AJ19" s="4"/>
      <c r="AK19" s="253"/>
      <c r="AL19" s="13" t="s">
        <v>5878</v>
      </c>
      <c r="AM19" s="13"/>
      <c r="AN19" s="4"/>
      <c r="AO19" s="4"/>
      <c r="AP19" s="3"/>
      <c r="AQ19" s="12"/>
      <c r="AS19" s="33"/>
    </row>
    <row r="20" spans="1:45" ht="17.2" customHeight="1" x14ac:dyDescent="0.3">
      <c r="A20" s="8">
        <v>15</v>
      </c>
      <c r="B20" s="10">
        <v>6675</v>
      </c>
      <c r="C20" s="7" t="s">
        <v>16282</v>
      </c>
      <c r="D20" s="274"/>
      <c r="E20" s="275"/>
      <c r="F20" s="275"/>
      <c r="G20" s="275"/>
      <c r="H20" s="276"/>
      <c r="I20" s="9" t="s">
        <v>18452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261"/>
      <c r="U20" s="261"/>
      <c r="V20" s="36"/>
      <c r="W20" s="258"/>
      <c r="X20" s="258"/>
      <c r="Y20" s="4"/>
      <c r="Z20" s="4"/>
      <c r="AA20" s="4"/>
      <c r="AB20" s="4"/>
      <c r="AC20" s="4"/>
      <c r="AD20" s="4"/>
      <c r="AE20" s="4"/>
      <c r="AF20" s="4"/>
      <c r="AG20" s="4"/>
      <c r="AH20" s="254"/>
      <c r="AI20" s="34"/>
      <c r="AJ20" s="4"/>
      <c r="AK20" s="253"/>
      <c r="AL20" s="13" t="s">
        <v>5878</v>
      </c>
      <c r="AM20" s="13"/>
      <c r="AN20" s="4"/>
      <c r="AO20" s="4"/>
      <c r="AP20" s="3"/>
      <c r="AQ20" s="12"/>
      <c r="AS20" s="33"/>
    </row>
    <row r="21" spans="1:45" ht="17.2" customHeight="1" x14ac:dyDescent="0.3">
      <c r="A21" s="8">
        <v>15</v>
      </c>
      <c r="B21" s="8">
        <v>6685</v>
      </c>
      <c r="C21" s="7" t="s">
        <v>16281</v>
      </c>
      <c r="D21" s="6" t="s">
        <v>18451</v>
      </c>
      <c r="E21" s="42"/>
      <c r="F21" s="4"/>
      <c r="G21" s="4"/>
      <c r="H21" s="4"/>
      <c r="I21" s="5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2"/>
      <c r="AB21" s="4"/>
      <c r="AC21" s="4"/>
      <c r="AD21" s="4"/>
      <c r="AE21" s="4"/>
      <c r="AF21" s="4"/>
      <c r="AG21" s="4"/>
      <c r="AH21" s="254"/>
      <c r="AI21" s="34"/>
      <c r="AJ21" s="4"/>
      <c r="AK21" s="253"/>
      <c r="AL21" s="27" t="s">
        <v>5877</v>
      </c>
      <c r="AM21" s="4"/>
      <c r="AN21" s="4"/>
      <c r="AO21" s="4"/>
      <c r="AP21" s="3"/>
      <c r="AQ21" s="14"/>
    </row>
    <row r="22" spans="1:45" ht="17.2" customHeight="1" x14ac:dyDescent="0.3">
      <c r="A22" s="121">
        <v>15</v>
      </c>
      <c r="B22" s="121">
        <v>6772</v>
      </c>
      <c r="C22" s="127" t="s">
        <v>16294</v>
      </c>
      <c r="D22" s="265" t="s">
        <v>18450</v>
      </c>
      <c r="E22" s="283"/>
      <c r="F22" s="283"/>
      <c r="G22" s="283"/>
      <c r="H22" s="284"/>
      <c r="I22" s="128" t="s">
        <v>18449</v>
      </c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3"/>
      <c r="AB22" s="122"/>
      <c r="AC22" s="122"/>
      <c r="AD22" s="122"/>
      <c r="AE22" s="122"/>
      <c r="AF22" s="122"/>
      <c r="AG22" s="122"/>
      <c r="AH22" s="259"/>
      <c r="AI22" s="124"/>
      <c r="AJ22" s="122"/>
      <c r="AK22" s="264"/>
      <c r="AL22" s="125" t="s">
        <v>5877</v>
      </c>
      <c r="AM22" s="122"/>
      <c r="AN22" s="122"/>
      <c r="AO22" s="122"/>
      <c r="AP22" s="126"/>
      <c r="AQ22" s="14"/>
    </row>
    <row r="23" spans="1:45" ht="17.2" customHeight="1" x14ac:dyDescent="0.3">
      <c r="A23" s="121">
        <v>15</v>
      </c>
      <c r="B23" s="121">
        <v>6773</v>
      </c>
      <c r="C23" s="127" t="s">
        <v>18448</v>
      </c>
      <c r="D23" s="266"/>
      <c r="E23" s="285"/>
      <c r="F23" s="285"/>
      <c r="G23" s="285"/>
      <c r="H23" s="286"/>
      <c r="I23" s="128" t="s">
        <v>18447</v>
      </c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3"/>
      <c r="AB23" s="122"/>
      <c r="AC23" s="122"/>
      <c r="AD23" s="122"/>
      <c r="AE23" s="122"/>
      <c r="AF23" s="122"/>
      <c r="AG23" s="122"/>
      <c r="AH23" s="259"/>
      <c r="AI23" s="124"/>
      <c r="AJ23" s="122"/>
      <c r="AK23" s="264"/>
      <c r="AL23" s="125" t="s">
        <v>5877</v>
      </c>
      <c r="AM23" s="122"/>
      <c r="AN23" s="122"/>
      <c r="AO23" s="122"/>
      <c r="AP23" s="126"/>
      <c r="AQ23" s="26"/>
    </row>
  </sheetData>
  <mergeCells count="9">
    <mergeCell ref="D22:H23"/>
    <mergeCell ref="AJ15:AK15"/>
    <mergeCell ref="D16:H20"/>
    <mergeCell ref="D7:H10"/>
    <mergeCell ref="AJ7:AK7"/>
    <mergeCell ref="AJ11:AK11"/>
    <mergeCell ref="AJ12:AK12"/>
    <mergeCell ref="AJ13:AK13"/>
    <mergeCell ref="AJ14:AK14"/>
  </mergeCells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59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1" tint="0.249977111117893"/>
    <pageSetUpPr fitToPage="1"/>
  </sheetPr>
  <dimension ref="A1:X77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2.734375" style="45" bestFit="1" customWidth="1"/>
    <col min="5" max="5" width="4.1015625" style="46" bestFit="1" customWidth="1"/>
    <col min="6" max="6" width="4.734375" style="46" bestFit="1" customWidth="1"/>
    <col min="7" max="7" width="12.734375" style="45" bestFit="1" customWidth="1"/>
    <col min="8" max="8" width="4.1015625" style="46" bestFit="1" customWidth="1"/>
    <col min="9" max="9" width="4.734375" style="46" bestFit="1" customWidth="1"/>
    <col min="10" max="10" width="10.62890625" style="45" customWidth="1"/>
    <col min="11" max="11" width="3.26171875" style="46" bestFit="1" customWidth="1"/>
    <col min="12" max="12" width="4.734375" style="46" bestFit="1" customWidth="1"/>
    <col min="13" max="13" width="18.62890625" style="46" customWidth="1"/>
    <col min="14" max="14" width="3.1015625" style="46" bestFit="1" customWidth="1"/>
    <col min="15" max="15" width="4.1015625" style="47" bestFit="1" customWidth="1"/>
    <col min="16" max="16" width="28.62890625" style="46" customWidth="1"/>
    <col min="17" max="17" width="3.1015625" style="46" bestFit="1" customWidth="1"/>
    <col min="18" max="18" width="5" style="47" bestFit="1" customWidth="1"/>
    <col min="19" max="19" width="2.62890625" style="47" customWidth="1"/>
    <col min="20" max="20" width="4.734375" style="46" bestFit="1" customWidth="1"/>
    <col min="21" max="21" width="2.62890625" style="47" customWidth="1"/>
    <col min="22" max="22" width="4.734375" style="46" bestFit="1" customWidth="1"/>
    <col min="23" max="23" width="6.3671875" style="84" bestFit="1" customWidth="1"/>
    <col min="24" max="24" width="7.734375" style="48" bestFit="1" customWidth="1"/>
    <col min="25" max="16384" width="9" style="49"/>
  </cols>
  <sheetData>
    <row r="1" spans="1:24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3"/>
      <c r="K1" s="134"/>
      <c r="L1" s="134"/>
      <c r="M1" s="134"/>
      <c r="N1" s="134"/>
      <c r="O1" s="135"/>
      <c r="P1" s="134"/>
      <c r="Q1" s="134"/>
      <c r="R1" s="135"/>
      <c r="S1" s="135"/>
      <c r="T1" s="134"/>
      <c r="U1" s="135"/>
      <c r="V1" s="134"/>
      <c r="W1" s="136"/>
      <c r="X1" s="137"/>
    </row>
    <row r="2" spans="1:24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3"/>
      <c r="K2" s="134"/>
      <c r="L2" s="134"/>
      <c r="M2" s="134"/>
      <c r="N2" s="134"/>
      <c r="O2" s="135"/>
      <c r="P2" s="134"/>
      <c r="Q2" s="134"/>
      <c r="R2" s="135"/>
      <c r="S2" s="135"/>
      <c r="T2" s="134"/>
      <c r="U2" s="135"/>
      <c r="V2" s="134"/>
      <c r="W2" s="136"/>
      <c r="X2" s="137"/>
    </row>
    <row r="3" spans="1:24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3"/>
      <c r="K3" s="134"/>
      <c r="L3" s="134"/>
      <c r="M3" s="134"/>
      <c r="N3" s="134"/>
      <c r="O3" s="135"/>
      <c r="P3" s="134"/>
      <c r="Q3" s="134"/>
      <c r="R3" s="135"/>
      <c r="S3" s="135"/>
      <c r="T3" s="134"/>
      <c r="U3" s="135"/>
      <c r="V3" s="134"/>
      <c r="W3" s="136"/>
      <c r="X3" s="137"/>
    </row>
    <row r="4" spans="1:24" ht="16.5" customHeight="1" x14ac:dyDescent="0.3">
      <c r="A4" s="132"/>
      <c r="B4" s="138" t="s">
        <v>6320</v>
      </c>
      <c r="C4" s="133"/>
      <c r="D4" s="139"/>
      <c r="E4" s="134"/>
      <c r="F4" s="134"/>
      <c r="G4" s="133"/>
      <c r="H4" s="134"/>
      <c r="I4" s="134"/>
      <c r="J4" s="133"/>
      <c r="K4" s="134"/>
      <c r="L4" s="134"/>
      <c r="M4" s="134"/>
      <c r="N4" s="134"/>
      <c r="O4" s="135"/>
      <c r="P4" s="134"/>
      <c r="Q4" s="134"/>
      <c r="R4" s="135"/>
      <c r="S4" s="135"/>
      <c r="T4" s="134"/>
      <c r="U4" s="135"/>
      <c r="V4" s="134"/>
      <c r="W4" s="136"/>
      <c r="X4" s="137"/>
    </row>
    <row r="5" spans="1:24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3"/>
      <c r="K5" s="144"/>
      <c r="L5" s="144"/>
      <c r="M5" s="144"/>
      <c r="N5" s="144"/>
      <c r="O5" s="145"/>
      <c r="P5" s="144"/>
      <c r="Q5" s="144"/>
      <c r="R5" s="145"/>
      <c r="S5" s="145"/>
      <c r="T5" s="144"/>
      <c r="U5" s="145"/>
      <c r="V5" s="144"/>
      <c r="W5" s="146" t="s">
        <v>5869</v>
      </c>
      <c r="X5" s="146" t="s">
        <v>5871</v>
      </c>
    </row>
    <row r="6" spans="1:24" ht="16.5" customHeight="1" x14ac:dyDescent="0.3">
      <c r="A6" s="147" t="s">
        <v>5865</v>
      </c>
      <c r="B6" s="147" t="s">
        <v>5866</v>
      </c>
      <c r="C6" s="148"/>
      <c r="D6" s="149"/>
      <c r="E6" s="150"/>
      <c r="F6" s="150"/>
      <c r="G6" s="179" t="s">
        <v>5872</v>
      </c>
      <c r="H6" s="180"/>
      <c r="I6" s="181"/>
      <c r="J6" s="187"/>
      <c r="K6" s="153"/>
      <c r="L6" s="153"/>
      <c r="M6" s="153"/>
      <c r="N6" s="153"/>
      <c r="O6" s="152"/>
      <c r="P6" s="150"/>
      <c r="Q6" s="150"/>
      <c r="R6" s="151"/>
      <c r="S6" s="152"/>
      <c r="T6" s="153"/>
      <c r="U6" s="152"/>
      <c r="V6" s="153"/>
      <c r="W6" s="154" t="s">
        <v>5870</v>
      </c>
      <c r="X6" s="154" t="s">
        <v>0</v>
      </c>
    </row>
    <row r="7" spans="1:24" ht="16.5" customHeight="1" x14ac:dyDescent="0.3">
      <c r="A7" s="147">
        <v>15</v>
      </c>
      <c r="B7" s="147">
        <v>1423</v>
      </c>
      <c r="C7" s="155" t="s">
        <v>6319</v>
      </c>
      <c r="D7" s="156" t="s">
        <v>17024</v>
      </c>
      <c r="E7" s="144"/>
      <c r="F7" s="206"/>
      <c r="G7" s="156" t="s">
        <v>17010</v>
      </c>
      <c r="H7" s="144"/>
      <c r="I7" s="144"/>
      <c r="J7" s="156"/>
      <c r="K7" s="160"/>
      <c r="L7" s="160"/>
      <c r="M7" s="160"/>
      <c r="N7" s="160"/>
      <c r="O7" s="182"/>
      <c r="P7" s="163"/>
      <c r="Q7" s="163"/>
      <c r="R7" s="164"/>
      <c r="S7" s="165"/>
      <c r="T7" s="160"/>
      <c r="U7" s="161"/>
      <c r="V7" s="158"/>
      <c r="W7" s="216">
        <v>443</v>
      </c>
      <c r="X7" s="142" t="s">
        <v>5863</v>
      </c>
    </row>
    <row r="8" spans="1:24" ht="16.5" customHeight="1" x14ac:dyDescent="0.3">
      <c r="A8" s="147">
        <v>15</v>
      </c>
      <c r="B8" s="147">
        <v>1424</v>
      </c>
      <c r="C8" s="155" t="s">
        <v>6318</v>
      </c>
      <c r="D8" s="188" t="s">
        <v>17000</v>
      </c>
      <c r="E8" s="153"/>
      <c r="F8" s="171"/>
      <c r="G8" s="188" t="s">
        <v>17000</v>
      </c>
      <c r="H8" s="210"/>
      <c r="I8" s="210"/>
      <c r="J8" s="167"/>
      <c r="K8" s="150"/>
      <c r="L8" s="150"/>
      <c r="M8" s="150"/>
      <c r="N8" s="150"/>
      <c r="O8" s="185"/>
      <c r="P8" s="163" t="s">
        <v>5895</v>
      </c>
      <c r="Q8" s="163" t="s">
        <v>1</v>
      </c>
      <c r="R8" s="164">
        <v>1</v>
      </c>
      <c r="S8" s="170"/>
      <c r="T8" s="153"/>
      <c r="U8" s="152"/>
      <c r="V8" s="171"/>
      <c r="W8" s="216">
        <v>443</v>
      </c>
      <c r="X8" s="172"/>
    </row>
    <row r="9" spans="1:24" ht="16.5" customHeight="1" x14ac:dyDescent="0.3">
      <c r="A9" s="147">
        <v>15</v>
      </c>
      <c r="B9" s="147">
        <v>1425</v>
      </c>
      <c r="C9" s="155" t="s">
        <v>6317</v>
      </c>
      <c r="D9" s="188"/>
      <c r="E9" s="205">
        <v>257</v>
      </c>
      <c r="F9" s="171" t="s">
        <v>0</v>
      </c>
      <c r="G9" s="188"/>
      <c r="H9" s="205">
        <v>149</v>
      </c>
      <c r="I9" s="171" t="s">
        <v>0</v>
      </c>
      <c r="J9" s="156" t="s">
        <v>17007</v>
      </c>
      <c r="K9" s="160"/>
      <c r="L9" s="160"/>
      <c r="M9" s="160"/>
      <c r="N9" s="160"/>
      <c r="O9" s="182"/>
      <c r="P9" s="162"/>
      <c r="Q9" s="163"/>
      <c r="R9" s="164"/>
      <c r="S9" s="170"/>
      <c r="T9" s="153"/>
      <c r="U9" s="152"/>
      <c r="V9" s="171"/>
      <c r="W9" s="216">
        <v>310</v>
      </c>
      <c r="X9" s="172"/>
    </row>
    <row r="10" spans="1:24" ht="16.5" customHeight="1" x14ac:dyDescent="0.3">
      <c r="A10" s="147">
        <v>15</v>
      </c>
      <c r="B10" s="147">
        <v>1426</v>
      </c>
      <c r="C10" s="155" t="s">
        <v>6316</v>
      </c>
      <c r="D10" s="188"/>
      <c r="E10" s="153"/>
      <c r="F10" s="171"/>
      <c r="G10" s="188"/>
      <c r="H10" s="153"/>
      <c r="I10" s="171"/>
      <c r="J10" s="167"/>
      <c r="K10" s="150"/>
      <c r="L10" s="150"/>
      <c r="M10" s="150"/>
      <c r="N10" s="150" t="s">
        <v>1</v>
      </c>
      <c r="O10" s="185">
        <v>0.7</v>
      </c>
      <c r="P10" s="162" t="s">
        <v>5895</v>
      </c>
      <c r="Q10" s="163" t="s">
        <v>1</v>
      </c>
      <c r="R10" s="164">
        <v>1</v>
      </c>
      <c r="S10" s="170"/>
      <c r="T10" s="153"/>
      <c r="U10" s="152"/>
      <c r="V10" s="171"/>
      <c r="W10" s="216">
        <v>310</v>
      </c>
      <c r="X10" s="172"/>
    </row>
    <row r="11" spans="1:24" ht="16.5" customHeight="1" x14ac:dyDescent="0.3">
      <c r="A11" s="147">
        <v>15</v>
      </c>
      <c r="B11" s="147">
        <v>1427</v>
      </c>
      <c r="C11" s="155" t="s">
        <v>6315</v>
      </c>
      <c r="D11" s="188"/>
      <c r="E11" s="153"/>
      <c r="F11" s="171"/>
      <c r="G11" s="156" t="s">
        <v>17013</v>
      </c>
      <c r="H11" s="144"/>
      <c r="I11" s="206"/>
      <c r="J11" s="156"/>
      <c r="K11" s="160"/>
      <c r="L11" s="160"/>
      <c r="M11" s="160"/>
      <c r="N11" s="160"/>
      <c r="O11" s="182"/>
      <c r="P11" s="162"/>
      <c r="Q11" s="163"/>
      <c r="R11" s="164"/>
      <c r="S11" s="170"/>
      <c r="T11" s="153"/>
      <c r="U11" s="152"/>
      <c r="V11" s="171"/>
      <c r="W11" s="216">
        <v>675</v>
      </c>
      <c r="X11" s="172"/>
    </row>
    <row r="12" spans="1:24" ht="16.5" customHeight="1" x14ac:dyDescent="0.3">
      <c r="A12" s="147">
        <v>15</v>
      </c>
      <c r="B12" s="147">
        <v>1428</v>
      </c>
      <c r="C12" s="155" t="s">
        <v>6314</v>
      </c>
      <c r="D12" s="188"/>
      <c r="E12" s="153"/>
      <c r="F12" s="171"/>
      <c r="G12" s="188" t="s">
        <v>5993</v>
      </c>
      <c r="H12" s="153"/>
      <c r="I12" s="171"/>
      <c r="J12" s="167"/>
      <c r="K12" s="150"/>
      <c r="L12" s="150"/>
      <c r="M12" s="150"/>
      <c r="N12" s="150"/>
      <c r="O12" s="185"/>
      <c r="P12" s="162" t="s">
        <v>5895</v>
      </c>
      <c r="Q12" s="163" t="s">
        <v>1</v>
      </c>
      <c r="R12" s="164">
        <v>1</v>
      </c>
      <c r="S12" s="170" t="s">
        <v>17023</v>
      </c>
      <c r="T12" s="153"/>
      <c r="U12" s="152"/>
      <c r="V12" s="171"/>
      <c r="W12" s="216">
        <v>675</v>
      </c>
      <c r="X12" s="172"/>
    </row>
    <row r="13" spans="1:24" ht="16.5" customHeight="1" x14ac:dyDescent="0.3">
      <c r="A13" s="147">
        <v>15</v>
      </c>
      <c r="B13" s="147">
        <v>1429</v>
      </c>
      <c r="C13" s="155" t="s">
        <v>6313</v>
      </c>
      <c r="D13" s="188"/>
      <c r="E13" s="153"/>
      <c r="F13" s="171"/>
      <c r="G13" s="188" t="s">
        <v>17011</v>
      </c>
      <c r="H13" s="205">
        <v>334</v>
      </c>
      <c r="I13" s="171" t="s">
        <v>0</v>
      </c>
      <c r="J13" s="156" t="s">
        <v>17007</v>
      </c>
      <c r="K13" s="160"/>
      <c r="L13" s="160"/>
      <c r="M13" s="160"/>
      <c r="N13" s="160"/>
      <c r="O13" s="182"/>
      <c r="P13" s="162"/>
      <c r="Q13" s="163"/>
      <c r="R13" s="164"/>
      <c r="S13" s="170"/>
      <c r="T13" s="153"/>
      <c r="U13" s="152"/>
      <c r="V13" s="174"/>
      <c r="W13" s="216">
        <v>473</v>
      </c>
      <c r="X13" s="172"/>
    </row>
    <row r="14" spans="1:24" ht="16.5" customHeight="1" x14ac:dyDescent="0.3">
      <c r="A14" s="147">
        <v>15</v>
      </c>
      <c r="B14" s="147">
        <v>1430</v>
      </c>
      <c r="C14" s="155" t="s">
        <v>6312</v>
      </c>
      <c r="D14" s="188"/>
      <c r="E14" s="153"/>
      <c r="F14" s="171"/>
      <c r="G14" s="167"/>
      <c r="H14" s="150"/>
      <c r="I14" s="168"/>
      <c r="J14" s="167"/>
      <c r="K14" s="150"/>
      <c r="L14" s="150"/>
      <c r="M14" s="150"/>
      <c r="N14" s="150" t="s">
        <v>1</v>
      </c>
      <c r="O14" s="185">
        <v>0.7</v>
      </c>
      <c r="P14" s="162" t="s">
        <v>5895</v>
      </c>
      <c r="Q14" s="163" t="s">
        <v>1</v>
      </c>
      <c r="R14" s="164">
        <v>1</v>
      </c>
      <c r="S14" s="170"/>
      <c r="T14" s="153"/>
      <c r="U14" s="152" t="s">
        <v>1</v>
      </c>
      <c r="V14" s="192">
        <v>0.25</v>
      </c>
      <c r="W14" s="216">
        <v>473</v>
      </c>
      <c r="X14" s="172"/>
    </row>
    <row r="15" spans="1:24" ht="16.5" customHeight="1" x14ac:dyDescent="0.3">
      <c r="A15" s="147">
        <v>15</v>
      </c>
      <c r="B15" s="147">
        <v>1431</v>
      </c>
      <c r="C15" s="155" t="s">
        <v>6311</v>
      </c>
      <c r="D15" s="188"/>
      <c r="E15" s="153"/>
      <c r="F15" s="171"/>
      <c r="G15" s="156" t="s">
        <v>17017</v>
      </c>
      <c r="H15" s="160"/>
      <c r="I15" s="158"/>
      <c r="J15" s="156"/>
      <c r="K15" s="160"/>
      <c r="L15" s="160"/>
      <c r="M15" s="160"/>
      <c r="N15" s="160"/>
      <c r="O15" s="182"/>
      <c r="P15" s="162"/>
      <c r="Q15" s="163"/>
      <c r="R15" s="164"/>
      <c r="S15" s="170"/>
      <c r="T15" s="153"/>
      <c r="U15" s="152"/>
      <c r="V15" s="174" t="s">
        <v>16995</v>
      </c>
      <c r="W15" s="216">
        <v>778</v>
      </c>
      <c r="X15" s="172"/>
    </row>
    <row r="16" spans="1:24" ht="16.5" customHeight="1" x14ac:dyDescent="0.3">
      <c r="A16" s="147">
        <v>15</v>
      </c>
      <c r="B16" s="147">
        <v>1432</v>
      </c>
      <c r="C16" s="155" t="s">
        <v>6310</v>
      </c>
      <c r="D16" s="188"/>
      <c r="E16" s="153"/>
      <c r="F16" s="171"/>
      <c r="G16" s="188" t="s">
        <v>17018</v>
      </c>
      <c r="H16" s="153"/>
      <c r="I16" s="171"/>
      <c r="J16" s="167"/>
      <c r="K16" s="150"/>
      <c r="L16" s="150"/>
      <c r="M16" s="150"/>
      <c r="N16" s="150"/>
      <c r="O16" s="185"/>
      <c r="P16" s="162" t="s">
        <v>5895</v>
      </c>
      <c r="Q16" s="163" t="s">
        <v>1</v>
      </c>
      <c r="R16" s="164">
        <v>1</v>
      </c>
      <c r="S16" s="170"/>
      <c r="T16" s="153"/>
      <c r="U16" s="152"/>
      <c r="V16" s="171"/>
      <c r="W16" s="216">
        <v>778</v>
      </c>
      <c r="X16" s="172"/>
    </row>
    <row r="17" spans="1:24" ht="16.5" customHeight="1" x14ac:dyDescent="0.3">
      <c r="A17" s="147">
        <v>15</v>
      </c>
      <c r="B17" s="147">
        <v>1433</v>
      </c>
      <c r="C17" s="155" t="s">
        <v>6309</v>
      </c>
      <c r="D17" s="188"/>
      <c r="E17" s="153"/>
      <c r="F17" s="171"/>
      <c r="G17" s="188" t="s">
        <v>17015</v>
      </c>
      <c r="H17" s="205">
        <v>417</v>
      </c>
      <c r="I17" s="171" t="s">
        <v>0</v>
      </c>
      <c r="J17" s="156" t="s">
        <v>17007</v>
      </c>
      <c r="K17" s="160"/>
      <c r="L17" s="160"/>
      <c r="M17" s="160"/>
      <c r="N17" s="160"/>
      <c r="O17" s="182"/>
      <c r="P17" s="162"/>
      <c r="Q17" s="163"/>
      <c r="R17" s="164"/>
      <c r="S17" s="170"/>
      <c r="T17" s="153"/>
      <c r="U17" s="152"/>
      <c r="V17" s="171"/>
      <c r="W17" s="216">
        <v>545</v>
      </c>
      <c r="X17" s="172"/>
    </row>
    <row r="18" spans="1:24" ht="16.5" customHeight="1" x14ac:dyDescent="0.3">
      <c r="A18" s="147">
        <v>15</v>
      </c>
      <c r="B18" s="147">
        <v>1434</v>
      </c>
      <c r="C18" s="155" t="s">
        <v>6308</v>
      </c>
      <c r="D18" s="188"/>
      <c r="E18" s="153"/>
      <c r="F18" s="171"/>
      <c r="G18" s="167"/>
      <c r="H18" s="150"/>
      <c r="I18" s="168"/>
      <c r="J18" s="167"/>
      <c r="K18" s="150"/>
      <c r="L18" s="150"/>
      <c r="M18" s="150"/>
      <c r="N18" s="150" t="s">
        <v>1</v>
      </c>
      <c r="O18" s="185">
        <v>0.7</v>
      </c>
      <c r="P18" s="162" t="s">
        <v>5895</v>
      </c>
      <c r="Q18" s="163" t="s">
        <v>1</v>
      </c>
      <c r="R18" s="164">
        <v>1</v>
      </c>
      <c r="S18" s="170"/>
      <c r="T18" s="153"/>
      <c r="U18" s="152"/>
      <c r="V18" s="171"/>
      <c r="W18" s="216">
        <v>545</v>
      </c>
      <c r="X18" s="172"/>
    </row>
    <row r="19" spans="1:24" ht="16.5" customHeight="1" x14ac:dyDescent="0.3">
      <c r="A19" s="147">
        <v>15</v>
      </c>
      <c r="B19" s="147">
        <v>1435</v>
      </c>
      <c r="C19" s="155" t="s">
        <v>6307</v>
      </c>
      <c r="D19" s="188"/>
      <c r="E19" s="153"/>
      <c r="F19" s="171"/>
      <c r="G19" s="156" t="s">
        <v>17019</v>
      </c>
      <c r="H19" s="160"/>
      <c r="I19" s="158"/>
      <c r="J19" s="156"/>
      <c r="K19" s="160"/>
      <c r="L19" s="160"/>
      <c r="M19" s="160"/>
      <c r="N19" s="160"/>
      <c r="O19" s="182"/>
      <c r="P19" s="162"/>
      <c r="Q19" s="163"/>
      <c r="R19" s="164"/>
      <c r="S19" s="170"/>
      <c r="T19" s="153"/>
      <c r="U19" s="152"/>
      <c r="V19" s="171"/>
      <c r="W19" s="216">
        <v>883</v>
      </c>
      <c r="X19" s="172"/>
    </row>
    <row r="20" spans="1:24" ht="16.5" customHeight="1" x14ac:dyDescent="0.3">
      <c r="A20" s="147">
        <v>15</v>
      </c>
      <c r="B20" s="147">
        <v>1436</v>
      </c>
      <c r="C20" s="155" t="s">
        <v>6306</v>
      </c>
      <c r="D20" s="188"/>
      <c r="E20" s="153"/>
      <c r="F20" s="171"/>
      <c r="G20" s="188" t="s">
        <v>17001</v>
      </c>
      <c r="H20" s="153"/>
      <c r="I20" s="171"/>
      <c r="J20" s="167"/>
      <c r="K20" s="150"/>
      <c r="L20" s="150"/>
      <c r="M20" s="150"/>
      <c r="N20" s="150"/>
      <c r="O20" s="185"/>
      <c r="P20" s="162" t="s">
        <v>5895</v>
      </c>
      <c r="Q20" s="163" t="s">
        <v>1</v>
      </c>
      <c r="R20" s="164">
        <v>1</v>
      </c>
      <c r="S20" s="170"/>
      <c r="T20" s="153"/>
      <c r="U20" s="152"/>
      <c r="V20" s="171"/>
      <c r="W20" s="216">
        <v>883</v>
      </c>
      <c r="X20" s="172"/>
    </row>
    <row r="21" spans="1:24" ht="16.5" customHeight="1" x14ac:dyDescent="0.3">
      <c r="A21" s="147">
        <v>15</v>
      </c>
      <c r="B21" s="147">
        <v>1437</v>
      </c>
      <c r="C21" s="155" t="s">
        <v>6305</v>
      </c>
      <c r="D21" s="188"/>
      <c r="E21" s="153"/>
      <c r="F21" s="171"/>
      <c r="G21" s="188" t="s">
        <v>16997</v>
      </c>
      <c r="H21" s="205">
        <v>501</v>
      </c>
      <c r="I21" s="171" t="s">
        <v>0</v>
      </c>
      <c r="J21" s="156" t="s">
        <v>17022</v>
      </c>
      <c r="K21" s="160"/>
      <c r="L21" s="160"/>
      <c r="M21" s="160"/>
      <c r="N21" s="160"/>
      <c r="O21" s="182"/>
      <c r="P21" s="162"/>
      <c r="Q21" s="163"/>
      <c r="R21" s="164"/>
      <c r="S21" s="170"/>
      <c r="T21" s="153"/>
      <c r="U21" s="152"/>
      <c r="V21" s="171"/>
      <c r="W21" s="216">
        <v>619</v>
      </c>
      <c r="X21" s="172"/>
    </row>
    <row r="22" spans="1:24" ht="16.5" customHeight="1" x14ac:dyDescent="0.3">
      <c r="A22" s="147">
        <v>15</v>
      </c>
      <c r="B22" s="147">
        <v>1438</v>
      </c>
      <c r="C22" s="155" t="s">
        <v>6304</v>
      </c>
      <c r="D22" s="188"/>
      <c r="E22" s="153"/>
      <c r="F22" s="171"/>
      <c r="G22" s="167"/>
      <c r="H22" s="150"/>
      <c r="I22" s="168"/>
      <c r="J22" s="167"/>
      <c r="K22" s="150"/>
      <c r="L22" s="150"/>
      <c r="M22" s="150"/>
      <c r="N22" s="150" t="s">
        <v>1</v>
      </c>
      <c r="O22" s="185">
        <v>0.7</v>
      </c>
      <c r="P22" s="162" t="s">
        <v>5895</v>
      </c>
      <c r="Q22" s="163" t="s">
        <v>1</v>
      </c>
      <c r="R22" s="164">
        <v>1</v>
      </c>
      <c r="S22" s="170"/>
      <c r="T22" s="153"/>
      <c r="U22" s="152"/>
      <c r="V22" s="171"/>
      <c r="W22" s="216">
        <v>619</v>
      </c>
      <c r="X22" s="172"/>
    </row>
    <row r="23" spans="1:24" ht="16.5" customHeight="1" x14ac:dyDescent="0.3">
      <c r="A23" s="147">
        <v>15</v>
      </c>
      <c r="B23" s="147">
        <v>1439</v>
      </c>
      <c r="C23" s="155" t="s">
        <v>6303</v>
      </c>
      <c r="D23" s="188"/>
      <c r="E23" s="153"/>
      <c r="F23" s="171"/>
      <c r="G23" s="156" t="s">
        <v>17021</v>
      </c>
      <c r="H23" s="160"/>
      <c r="I23" s="158"/>
      <c r="J23" s="156"/>
      <c r="K23" s="160"/>
      <c r="L23" s="160"/>
      <c r="M23" s="160"/>
      <c r="N23" s="160"/>
      <c r="O23" s="182"/>
      <c r="P23" s="162"/>
      <c r="Q23" s="163"/>
      <c r="R23" s="164"/>
      <c r="S23" s="170"/>
      <c r="T23" s="153"/>
      <c r="U23" s="152"/>
      <c r="V23" s="171"/>
      <c r="W23" s="216">
        <v>988</v>
      </c>
      <c r="X23" s="172"/>
    </row>
    <row r="24" spans="1:24" ht="16.5" customHeight="1" x14ac:dyDescent="0.3">
      <c r="A24" s="147">
        <v>15</v>
      </c>
      <c r="B24" s="147">
        <v>1440</v>
      </c>
      <c r="C24" s="155" t="s">
        <v>6302</v>
      </c>
      <c r="D24" s="188"/>
      <c r="E24" s="153"/>
      <c r="F24" s="171"/>
      <c r="G24" s="188" t="s">
        <v>17009</v>
      </c>
      <c r="H24" s="153"/>
      <c r="I24" s="171"/>
      <c r="J24" s="167"/>
      <c r="K24" s="150"/>
      <c r="L24" s="150"/>
      <c r="M24" s="150"/>
      <c r="N24" s="150"/>
      <c r="O24" s="185"/>
      <c r="P24" s="162" t="s">
        <v>5895</v>
      </c>
      <c r="Q24" s="163" t="s">
        <v>1</v>
      </c>
      <c r="R24" s="164">
        <v>1</v>
      </c>
      <c r="S24" s="170"/>
      <c r="T24" s="153"/>
      <c r="U24" s="152"/>
      <c r="V24" s="171"/>
      <c r="W24" s="216">
        <v>988</v>
      </c>
      <c r="X24" s="172"/>
    </row>
    <row r="25" spans="1:24" ht="16.5" customHeight="1" x14ac:dyDescent="0.3">
      <c r="A25" s="147">
        <v>15</v>
      </c>
      <c r="B25" s="147">
        <v>1441</v>
      </c>
      <c r="C25" s="155" t="s">
        <v>6301</v>
      </c>
      <c r="D25" s="188"/>
      <c r="E25" s="153"/>
      <c r="F25" s="171"/>
      <c r="G25" s="188" t="s">
        <v>17008</v>
      </c>
      <c r="H25" s="205">
        <v>585</v>
      </c>
      <c r="I25" s="171" t="s">
        <v>0</v>
      </c>
      <c r="J25" s="156" t="s">
        <v>17007</v>
      </c>
      <c r="K25" s="160"/>
      <c r="L25" s="160"/>
      <c r="M25" s="160"/>
      <c r="N25" s="160"/>
      <c r="O25" s="182"/>
      <c r="P25" s="162"/>
      <c r="Q25" s="163"/>
      <c r="R25" s="164"/>
      <c r="S25" s="170"/>
      <c r="T25" s="153"/>
      <c r="U25" s="152"/>
      <c r="V25" s="171"/>
      <c r="W25" s="216">
        <v>693</v>
      </c>
      <c r="X25" s="172"/>
    </row>
    <row r="26" spans="1:24" ht="16.5" customHeight="1" x14ac:dyDescent="0.3">
      <c r="A26" s="147">
        <v>15</v>
      </c>
      <c r="B26" s="147">
        <v>1442</v>
      </c>
      <c r="C26" s="155" t="s">
        <v>6300</v>
      </c>
      <c r="D26" s="167"/>
      <c r="E26" s="153"/>
      <c r="F26" s="171"/>
      <c r="G26" s="167"/>
      <c r="H26" s="150"/>
      <c r="I26" s="168"/>
      <c r="J26" s="167"/>
      <c r="K26" s="150"/>
      <c r="L26" s="150"/>
      <c r="M26" s="150"/>
      <c r="N26" s="150" t="s">
        <v>1</v>
      </c>
      <c r="O26" s="185">
        <v>0.7</v>
      </c>
      <c r="P26" s="162" t="s">
        <v>5895</v>
      </c>
      <c r="Q26" s="163" t="s">
        <v>1</v>
      </c>
      <c r="R26" s="164">
        <v>1</v>
      </c>
      <c r="S26" s="170"/>
      <c r="T26" s="153"/>
      <c r="U26" s="152"/>
      <c r="V26" s="171"/>
      <c r="W26" s="216">
        <v>693</v>
      </c>
      <c r="X26" s="172"/>
    </row>
    <row r="27" spans="1:24" ht="16.5" customHeight="1" x14ac:dyDescent="0.3">
      <c r="A27" s="147">
        <v>15</v>
      </c>
      <c r="B27" s="147">
        <v>1443</v>
      </c>
      <c r="C27" s="155" t="s">
        <v>6299</v>
      </c>
      <c r="D27" s="156" t="s">
        <v>17020</v>
      </c>
      <c r="E27" s="144"/>
      <c r="F27" s="206"/>
      <c r="G27" s="156" t="s">
        <v>17010</v>
      </c>
      <c r="H27" s="160"/>
      <c r="I27" s="158"/>
      <c r="J27" s="156"/>
      <c r="K27" s="160"/>
      <c r="L27" s="160"/>
      <c r="M27" s="160"/>
      <c r="N27" s="160"/>
      <c r="O27" s="182"/>
      <c r="P27" s="162"/>
      <c r="Q27" s="163"/>
      <c r="R27" s="164"/>
      <c r="S27" s="170"/>
      <c r="T27" s="153"/>
      <c r="U27" s="152"/>
      <c r="V27" s="171"/>
      <c r="W27" s="216">
        <v>637</v>
      </c>
      <c r="X27" s="172"/>
    </row>
    <row r="28" spans="1:24" ht="16.5" customHeight="1" x14ac:dyDescent="0.3">
      <c r="A28" s="147">
        <v>15</v>
      </c>
      <c r="B28" s="147">
        <v>1444</v>
      </c>
      <c r="C28" s="155" t="s">
        <v>6298</v>
      </c>
      <c r="D28" s="188" t="s">
        <v>17012</v>
      </c>
      <c r="E28" s="153"/>
      <c r="F28" s="171"/>
      <c r="G28" s="188" t="s">
        <v>17000</v>
      </c>
      <c r="H28" s="153"/>
      <c r="I28" s="171"/>
      <c r="J28" s="167"/>
      <c r="K28" s="150"/>
      <c r="L28" s="150"/>
      <c r="M28" s="150"/>
      <c r="N28" s="150"/>
      <c r="O28" s="185"/>
      <c r="P28" s="162" t="s">
        <v>5895</v>
      </c>
      <c r="Q28" s="163" t="s">
        <v>1</v>
      </c>
      <c r="R28" s="164">
        <v>1</v>
      </c>
      <c r="S28" s="170"/>
      <c r="T28" s="153"/>
      <c r="U28" s="152"/>
      <c r="V28" s="171"/>
      <c r="W28" s="216">
        <v>637</v>
      </c>
      <c r="X28" s="172"/>
    </row>
    <row r="29" spans="1:24" ht="16.5" customHeight="1" x14ac:dyDescent="0.3">
      <c r="A29" s="147">
        <v>15</v>
      </c>
      <c r="B29" s="147">
        <v>1445</v>
      </c>
      <c r="C29" s="155" t="s">
        <v>6297</v>
      </c>
      <c r="D29" s="188" t="s">
        <v>17011</v>
      </c>
      <c r="E29" s="205">
        <v>406</v>
      </c>
      <c r="F29" s="171" t="s">
        <v>0</v>
      </c>
      <c r="G29" s="188"/>
      <c r="H29" s="205">
        <v>185</v>
      </c>
      <c r="I29" s="171" t="s">
        <v>0</v>
      </c>
      <c r="J29" s="156" t="s">
        <v>17007</v>
      </c>
      <c r="K29" s="160"/>
      <c r="L29" s="160"/>
      <c r="M29" s="160"/>
      <c r="N29" s="160"/>
      <c r="O29" s="182"/>
      <c r="P29" s="162"/>
      <c r="Q29" s="163"/>
      <c r="R29" s="164"/>
      <c r="S29" s="170"/>
      <c r="T29" s="153"/>
      <c r="U29" s="152"/>
      <c r="V29" s="171"/>
      <c r="W29" s="216">
        <v>447</v>
      </c>
      <c r="X29" s="172"/>
    </row>
    <row r="30" spans="1:24" ht="16.5" customHeight="1" x14ac:dyDescent="0.3">
      <c r="A30" s="147">
        <v>15</v>
      </c>
      <c r="B30" s="147">
        <v>1446</v>
      </c>
      <c r="C30" s="155" t="s">
        <v>6296</v>
      </c>
      <c r="D30" s="188"/>
      <c r="E30" s="153"/>
      <c r="F30" s="171"/>
      <c r="G30" s="167"/>
      <c r="H30" s="150"/>
      <c r="I30" s="168"/>
      <c r="J30" s="167"/>
      <c r="K30" s="150"/>
      <c r="L30" s="150"/>
      <c r="M30" s="150"/>
      <c r="N30" s="150" t="s">
        <v>1</v>
      </c>
      <c r="O30" s="185">
        <v>0.7</v>
      </c>
      <c r="P30" s="162" t="s">
        <v>5895</v>
      </c>
      <c r="Q30" s="163" t="s">
        <v>1</v>
      </c>
      <c r="R30" s="164">
        <v>1</v>
      </c>
      <c r="S30" s="170"/>
      <c r="T30" s="153"/>
      <c r="U30" s="152"/>
      <c r="V30" s="171"/>
      <c r="W30" s="216">
        <v>447</v>
      </c>
      <c r="X30" s="172"/>
    </row>
    <row r="31" spans="1:24" ht="16.5" customHeight="1" x14ac:dyDescent="0.3">
      <c r="A31" s="147">
        <v>15</v>
      </c>
      <c r="B31" s="147">
        <v>1447</v>
      </c>
      <c r="C31" s="155" t="s">
        <v>6295</v>
      </c>
      <c r="D31" s="188"/>
      <c r="E31" s="153"/>
      <c r="F31" s="171"/>
      <c r="G31" s="156" t="s">
        <v>17013</v>
      </c>
      <c r="H31" s="160"/>
      <c r="I31" s="158"/>
      <c r="J31" s="156"/>
      <c r="K31" s="160"/>
      <c r="L31" s="160"/>
      <c r="M31" s="160"/>
      <c r="N31" s="160"/>
      <c r="O31" s="182"/>
      <c r="P31" s="162"/>
      <c r="Q31" s="163"/>
      <c r="R31" s="164"/>
      <c r="S31" s="170"/>
      <c r="T31" s="153"/>
      <c r="U31" s="152"/>
      <c r="V31" s="171"/>
      <c r="W31" s="216">
        <v>741</v>
      </c>
      <c r="X31" s="172"/>
    </row>
    <row r="32" spans="1:24" ht="16.5" customHeight="1" x14ac:dyDescent="0.3">
      <c r="A32" s="147">
        <v>15</v>
      </c>
      <c r="B32" s="147">
        <v>1448</v>
      </c>
      <c r="C32" s="155" t="s">
        <v>6294</v>
      </c>
      <c r="D32" s="188"/>
      <c r="E32" s="153"/>
      <c r="F32" s="171"/>
      <c r="G32" s="188" t="s">
        <v>17012</v>
      </c>
      <c r="H32" s="153"/>
      <c r="I32" s="171"/>
      <c r="J32" s="167"/>
      <c r="K32" s="150"/>
      <c r="L32" s="150"/>
      <c r="M32" s="150"/>
      <c r="N32" s="150"/>
      <c r="O32" s="185"/>
      <c r="P32" s="162" t="s">
        <v>5895</v>
      </c>
      <c r="Q32" s="163" t="s">
        <v>1</v>
      </c>
      <c r="R32" s="164">
        <v>1</v>
      </c>
      <c r="S32" s="170"/>
      <c r="T32" s="153"/>
      <c r="U32" s="152"/>
      <c r="V32" s="171"/>
      <c r="W32" s="216">
        <v>741</v>
      </c>
      <c r="X32" s="172"/>
    </row>
    <row r="33" spans="1:24" ht="16.5" customHeight="1" x14ac:dyDescent="0.3">
      <c r="A33" s="147">
        <v>15</v>
      </c>
      <c r="B33" s="147">
        <v>1449</v>
      </c>
      <c r="C33" s="155" t="s">
        <v>6293</v>
      </c>
      <c r="D33" s="188"/>
      <c r="E33" s="153"/>
      <c r="F33" s="171"/>
      <c r="G33" s="188" t="s">
        <v>17011</v>
      </c>
      <c r="H33" s="205">
        <v>268</v>
      </c>
      <c r="I33" s="171" t="s">
        <v>0</v>
      </c>
      <c r="J33" s="156" t="s">
        <v>17007</v>
      </c>
      <c r="K33" s="160"/>
      <c r="L33" s="160"/>
      <c r="M33" s="160"/>
      <c r="N33" s="160"/>
      <c r="O33" s="182"/>
      <c r="P33" s="162"/>
      <c r="Q33" s="163"/>
      <c r="R33" s="164"/>
      <c r="S33" s="170"/>
      <c r="T33" s="153"/>
      <c r="U33" s="152"/>
      <c r="V33" s="171"/>
      <c r="W33" s="216">
        <v>519</v>
      </c>
      <c r="X33" s="172"/>
    </row>
    <row r="34" spans="1:24" ht="16.5" customHeight="1" x14ac:dyDescent="0.3">
      <c r="A34" s="147">
        <v>15</v>
      </c>
      <c r="B34" s="147">
        <v>1450</v>
      </c>
      <c r="C34" s="155" t="s">
        <v>6292</v>
      </c>
      <c r="D34" s="188"/>
      <c r="E34" s="153"/>
      <c r="F34" s="171"/>
      <c r="G34" s="167"/>
      <c r="H34" s="150"/>
      <c r="I34" s="168"/>
      <c r="J34" s="167"/>
      <c r="K34" s="150"/>
      <c r="L34" s="150"/>
      <c r="M34" s="150"/>
      <c r="N34" s="150" t="s">
        <v>1</v>
      </c>
      <c r="O34" s="185">
        <v>0.7</v>
      </c>
      <c r="P34" s="162" t="s">
        <v>5895</v>
      </c>
      <c r="Q34" s="163" t="s">
        <v>1</v>
      </c>
      <c r="R34" s="164">
        <v>1</v>
      </c>
      <c r="S34" s="170"/>
      <c r="T34" s="153"/>
      <c r="U34" s="152"/>
      <c r="V34" s="171"/>
      <c r="W34" s="216">
        <v>519</v>
      </c>
      <c r="X34" s="172"/>
    </row>
    <row r="35" spans="1:24" ht="16.5" customHeight="1" x14ac:dyDescent="0.3">
      <c r="A35" s="147">
        <v>15</v>
      </c>
      <c r="B35" s="147">
        <v>1451</v>
      </c>
      <c r="C35" s="155" t="s">
        <v>6291</v>
      </c>
      <c r="D35" s="188"/>
      <c r="E35" s="153"/>
      <c r="F35" s="171"/>
      <c r="G35" s="156" t="s">
        <v>17017</v>
      </c>
      <c r="H35" s="160"/>
      <c r="I35" s="158"/>
      <c r="J35" s="156"/>
      <c r="K35" s="160"/>
      <c r="L35" s="160"/>
      <c r="M35" s="160"/>
      <c r="N35" s="160"/>
      <c r="O35" s="182"/>
      <c r="P35" s="162"/>
      <c r="Q35" s="163"/>
      <c r="R35" s="164"/>
      <c r="S35" s="170"/>
      <c r="T35" s="153"/>
      <c r="U35" s="152"/>
      <c r="V35" s="171"/>
      <c r="W35" s="216">
        <v>846</v>
      </c>
      <c r="X35" s="172"/>
    </row>
    <row r="36" spans="1:24" ht="16.5" customHeight="1" x14ac:dyDescent="0.3">
      <c r="A36" s="147">
        <v>15</v>
      </c>
      <c r="B36" s="147">
        <v>1452</v>
      </c>
      <c r="C36" s="155" t="s">
        <v>6290</v>
      </c>
      <c r="D36" s="188"/>
      <c r="E36" s="153"/>
      <c r="F36" s="171"/>
      <c r="G36" s="188" t="s">
        <v>17018</v>
      </c>
      <c r="H36" s="153"/>
      <c r="I36" s="171"/>
      <c r="J36" s="167"/>
      <c r="K36" s="150"/>
      <c r="L36" s="150"/>
      <c r="M36" s="150"/>
      <c r="N36" s="150"/>
      <c r="O36" s="185"/>
      <c r="P36" s="162" t="s">
        <v>5895</v>
      </c>
      <c r="Q36" s="163" t="s">
        <v>1</v>
      </c>
      <c r="R36" s="164">
        <v>1</v>
      </c>
      <c r="S36" s="170"/>
      <c r="T36" s="153"/>
      <c r="U36" s="152"/>
      <c r="V36" s="171"/>
      <c r="W36" s="216">
        <v>846</v>
      </c>
      <c r="X36" s="172"/>
    </row>
    <row r="37" spans="1:24" ht="16.5" customHeight="1" x14ac:dyDescent="0.3">
      <c r="A37" s="147">
        <v>15</v>
      </c>
      <c r="B37" s="147">
        <v>1453</v>
      </c>
      <c r="C37" s="155" t="s">
        <v>6289</v>
      </c>
      <c r="D37" s="188"/>
      <c r="E37" s="153"/>
      <c r="F37" s="171"/>
      <c r="G37" s="188" t="s">
        <v>17015</v>
      </c>
      <c r="H37" s="205">
        <v>352</v>
      </c>
      <c r="I37" s="171" t="s">
        <v>0</v>
      </c>
      <c r="J37" s="156" t="s">
        <v>17007</v>
      </c>
      <c r="K37" s="160"/>
      <c r="L37" s="160"/>
      <c r="M37" s="160"/>
      <c r="N37" s="160"/>
      <c r="O37" s="182"/>
      <c r="P37" s="162"/>
      <c r="Q37" s="163"/>
      <c r="R37" s="164"/>
      <c r="S37" s="170"/>
      <c r="T37" s="153"/>
      <c r="U37" s="152"/>
      <c r="V37" s="171"/>
      <c r="W37" s="216">
        <v>592</v>
      </c>
      <c r="X37" s="172"/>
    </row>
    <row r="38" spans="1:24" ht="16.5" customHeight="1" x14ac:dyDescent="0.3">
      <c r="A38" s="147">
        <v>15</v>
      </c>
      <c r="B38" s="147">
        <v>1454</v>
      </c>
      <c r="C38" s="155" t="s">
        <v>6288</v>
      </c>
      <c r="D38" s="188"/>
      <c r="E38" s="153"/>
      <c r="F38" s="171"/>
      <c r="G38" s="167"/>
      <c r="H38" s="150"/>
      <c r="I38" s="168"/>
      <c r="J38" s="167"/>
      <c r="K38" s="150"/>
      <c r="L38" s="150"/>
      <c r="M38" s="150"/>
      <c r="N38" s="150" t="s">
        <v>1</v>
      </c>
      <c r="O38" s="185">
        <v>0.7</v>
      </c>
      <c r="P38" s="162" t="s">
        <v>5895</v>
      </c>
      <c r="Q38" s="163" t="s">
        <v>1</v>
      </c>
      <c r="R38" s="164">
        <v>1</v>
      </c>
      <c r="S38" s="170"/>
      <c r="T38" s="153"/>
      <c r="U38" s="152"/>
      <c r="V38" s="171"/>
      <c r="W38" s="216">
        <v>592</v>
      </c>
      <c r="X38" s="172"/>
    </row>
    <row r="39" spans="1:24" ht="16.5" customHeight="1" x14ac:dyDescent="0.3">
      <c r="A39" s="147">
        <v>15</v>
      </c>
      <c r="B39" s="147">
        <v>1455</v>
      </c>
      <c r="C39" s="155" t="s">
        <v>6287</v>
      </c>
      <c r="D39" s="188"/>
      <c r="E39" s="153"/>
      <c r="F39" s="171"/>
      <c r="G39" s="156" t="s">
        <v>17019</v>
      </c>
      <c r="H39" s="160"/>
      <c r="I39" s="158"/>
      <c r="J39" s="156"/>
      <c r="K39" s="160"/>
      <c r="L39" s="160"/>
      <c r="M39" s="160"/>
      <c r="N39" s="160"/>
      <c r="O39" s="182"/>
      <c r="P39" s="162"/>
      <c r="Q39" s="163"/>
      <c r="R39" s="164"/>
      <c r="S39" s="170"/>
      <c r="T39" s="153"/>
      <c r="U39" s="152"/>
      <c r="V39" s="171"/>
      <c r="W39" s="216">
        <v>951</v>
      </c>
      <c r="X39" s="172"/>
    </row>
    <row r="40" spans="1:24" ht="16.5" customHeight="1" x14ac:dyDescent="0.3">
      <c r="A40" s="147">
        <v>15</v>
      </c>
      <c r="B40" s="147">
        <v>1456</v>
      </c>
      <c r="C40" s="155" t="s">
        <v>6286</v>
      </c>
      <c r="D40" s="188"/>
      <c r="E40" s="153"/>
      <c r="F40" s="171"/>
      <c r="G40" s="188" t="s">
        <v>17001</v>
      </c>
      <c r="H40" s="153"/>
      <c r="I40" s="171"/>
      <c r="J40" s="167"/>
      <c r="K40" s="150"/>
      <c r="L40" s="150"/>
      <c r="M40" s="150"/>
      <c r="N40" s="150"/>
      <c r="O40" s="185"/>
      <c r="P40" s="162" t="s">
        <v>5895</v>
      </c>
      <c r="Q40" s="163" t="s">
        <v>1</v>
      </c>
      <c r="R40" s="164">
        <v>1</v>
      </c>
      <c r="S40" s="170"/>
      <c r="T40" s="153"/>
      <c r="U40" s="152"/>
      <c r="V40" s="171"/>
      <c r="W40" s="216">
        <v>951</v>
      </c>
      <c r="X40" s="172"/>
    </row>
    <row r="41" spans="1:24" ht="16.5" customHeight="1" x14ac:dyDescent="0.3">
      <c r="A41" s="147">
        <v>15</v>
      </c>
      <c r="B41" s="147">
        <v>1457</v>
      </c>
      <c r="C41" s="155" t="s">
        <v>6285</v>
      </c>
      <c r="D41" s="188"/>
      <c r="E41" s="153"/>
      <c r="F41" s="171"/>
      <c r="G41" s="188" t="s">
        <v>16997</v>
      </c>
      <c r="H41" s="205">
        <v>436</v>
      </c>
      <c r="I41" s="171" t="s">
        <v>0</v>
      </c>
      <c r="J41" s="156" t="s">
        <v>17007</v>
      </c>
      <c r="K41" s="160"/>
      <c r="L41" s="160"/>
      <c r="M41" s="160"/>
      <c r="N41" s="160"/>
      <c r="O41" s="182"/>
      <c r="P41" s="162"/>
      <c r="Q41" s="163"/>
      <c r="R41" s="164"/>
      <c r="S41" s="170"/>
      <c r="T41" s="153"/>
      <c r="U41" s="152"/>
      <c r="V41" s="171"/>
      <c r="W41" s="216">
        <v>665</v>
      </c>
      <c r="X41" s="172"/>
    </row>
    <row r="42" spans="1:24" ht="16.5" customHeight="1" x14ac:dyDescent="0.3">
      <c r="A42" s="147">
        <v>15</v>
      </c>
      <c r="B42" s="147">
        <v>1458</v>
      </c>
      <c r="C42" s="155" t="s">
        <v>6284</v>
      </c>
      <c r="D42" s="167"/>
      <c r="E42" s="153"/>
      <c r="F42" s="171"/>
      <c r="G42" s="167"/>
      <c r="H42" s="150"/>
      <c r="I42" s="168"/>
      <c r="J42" s="167"/>
      <c r="K42" s="150"/>
      <c r="L42" s="150"/>
      <c r="M42" s="150"/>
      <c r="N42" s="150" t="s">
        <v>1</v>
      </c>
      <c r="O42" s="185">
        <v>0.7</v>
      </c>
      <c r="P42" s="162" t="s">
        <v>5895</v>
      </c>
      <c r="Q42" s="163" t="s">
        <v>1</v>
      </c>
      <c r="R42" s="164">
        <v>1</v>
      </c>
      <c r="S42" s="170"/>
      <c r="T42" s="153"/>
      <c r="U42" s="152"/>
      <c r="V42" s="171"/>
      <c r="W42" s="216">
        <v>665</v>
      </c>
      <c r="X42" s="172"/>
    </row>
    <row r="43" spans="1:24" ht="16.5" customHeight="1" x14ac:dyDescent="0.3">
      <c r="A43" s="147">
        <v>15</v>
      </c>
      <c r="B43" s="147">
        <v>1459</v>
      </c>
      <c r="C43" s="155" t="s">
        <v>6283</v>
      </c>
      <c r="D43" s="156" t="s">
        <v>5989</v>
      </c>
      <c r="E43" s="144"/>
      <c r="F43" s="206"/>
      <c r="G43" s="156" t="s">
        <v>17010</v>
      </c>
      <c r="H43" s="160"/>
      <c r="I43" s="158"/>
      <c r="J43" s="156"/>
      <c r="K43" s="160"/>
      <c r="L43" s="160"/>
      <c r="M43" s="160"/>
      <c r="N43" s="160"/>
      <c r="O43" s="182"/>
      <c r="P43" s="162"/>
      <c r="Q43" s="163"/>
      <c r="R43" s="164"/>
      <c r="S43" s="170"/>
      <c r="T43" s="153"/>
      <c r="U43" s="152"/>
      <c r="V43" s="171"/>
      <c r="W43" s="216">
        <v>695</v>
      </c>
      <c r="X43" s="172"/>
    </row>
    <row r="44" spans="1:24" ht="16.5" customHeight="1" x14ac:dyDescent="0.3">
      <c r="A44" s="147">
        <v>15</v>
      </c>
      <c r="B44" s="147">
        <v>1460</v>
      </c>
      <c r="C44" s="155" t="s">
        <v>6282</v>
      </c>
      <c r="D44" s="188" t="s">
        <v>17018</v>
      </c>
      <c r="E44" s="153"/>
      <c r="F44" s="171"/>
      <c r="G44" s="188" t="s">
        <v>5999</v>
      </c>
      <c r="H44" s="153"/>
      <c r="I44" s="171"/>
      <c r="J44" s="167"/>
      <c r="K44" s="150"/>
      <c r="L44" s="150"/>
      <c r="M44" s="150"/>
      <c r="N44" s="150"/>
      <c r="O44" s="185"/>
      <c r="P44" s="162" t="s">
        <v>5895</v>
      </c>
      <c r="Q44" s="163" t="s">
        <v>1</v>
      </c>
      <c r="R44" s="164">
        <v>1</v>
      </c>
      <c r="S44" s="170"/>
      <c r="T44" s="153"/>
      <c r="U44" s="152"/>
      <c r="V44" s="171"/>
      <c r="W44" s="216">
        <v>695</v>
      </c>
      <c r="X44" s="172"/>
    </row>
    <row r="45" spans="1:24" ht="16.5" customHeight="1" x14ac:dyDescent="0.3">
      <c r="A45" s="147">
        <v>15</v>
      </c>
      <c r="B45" s="147">
        <v>1461</v>
      </c>
      <c r="C45" s="155" t="s">
        <v>6281</v>
      </c>
      <c r="D45" s="188" t="s">
        <v>17015</v>
      </c>
      <c r="E45" s="205">
        <v>591</v>
      </c>
      <c r="F45" s="171" t="s">
        <v>0</v>
      </c>
      <c r="G45" s="188"/>
      <c r="H45" s="205">
        <v>83</v>
      </c>
      <c r="I45" s="171" t="s">
        <v>0</v>
      </c>
      <c r="J45" s="156" t="s">
        <v>17007</v>
      </c>
      <c r="K45" s="160"/>
      <c r="L45" s="160"/>
      <c r="M45" s="160"/>
      <c r="N45" s="160"/>
      <c r="O45" s="182"/>
      <c r="P45" s="162"/>
      <c r="Q45" s="163"/>
      <c r="R45" s="164"/>
      <c r="S45" s="170"/>
      <c r="T45" s="153"/>
      <c r="U45" s="152"/>
      <c r="V45" s="171"/>
      <c r="W45" s="216">
        <v>487</v>
      </c>
      <c r="X45" s="172"/>
    </row>
    <row r="46" spans="1:24" ht="16.5" customHeight="1" x14ac:dyDescent="0.3">
      <c r="A46" s="147">
        <v>15</v>
      </c>
      <c r="B46" s="147">
        <v>1462</v>
      </c>
      <c r="C46" s="155" t="s">
        <v>6280</v>
      </c>
      <c r="D46" s="188"/>
      <c r="E46" s="153"/>
      <c r="F46" s="171"/>
      <c r="G46" s="167"/>
      <c r="H46" s="150"/>
      <c r="I46" s="168"/>
      <c r="J46" s="167"/>
      <c r="K46" s="150"/>
      <c r="L46" s="150"/>
      <c r="M46" s="150"/>
      <c r="N46" s="150" t="s">
        <v>1</v>
      </c>
      <c r="O46" s="185">
        <v>0.7</v>
      </c>
      <c r="P46" s="162" t="s">
        <v>5895</v>
      </c>
      <c r="Q46" s="163" t="s">
        <v>1</v>
      </c>
      <c r="R46" s="164">
        <v>1</v>
      </c>
      <c r="S46" s="170"/>
      <c r="T46" s="153"/>
      <c r="U46" s="152"/>
      <c r="V46" s="171"/>
      <c r="W46" s="216">
        <v>487</v>
      </c>
      <c r="X46" s="172"/>
    </row>
    <row r="47" spans="1:24" ht="16.5" customHeight="1" x14ac:dyDescent="0.3">
      <c r="A47" s="147">
        <v>15</v>
      </c>
      <c r="B47" s="147">
        <v>1463</v>
      </c>
      <c r="C47" s="155" t="s">
        <v>6279</v>
      </c>
      <c r="D47" s="188"/>
      <c r="E47" s="153"/>
      <c r="F47" s="171"/>
      <c r="G47" s="156" t="s">
        <v>17013</v>
      </c>
      <c r="H47" s="160"/>
      <c r="I47" s="158"/>
      <c r="J47" s="156"/>
      <c r="K47" s="160"/>
      <c r="L47" s="160"/>
      <c r="M47" s="160"/>
      <c r="N47" s="160"/>
      <c r="O47" s="182"/>
      <c r="P47" s="162"/>
      <c r="Q47" s="163"/>
      <c r="R47" s="164"/>
      <c r="S47" s="170"/>
      <c r="T47" s="153"/>
      <c r="U47" s="152"/>
      <c r="V47" s="171"/>
      <c r="W47" s="216">
        <v>800</v>
      </c>
      <c r="X47" s="172"/>
    </row>
    <row r="48" spans="1:24" ht="16.5" customHeight="1" x14ac:dyDescent="0.3">
      <c r="A48" s="147">
        <v>15</v>
      </c>
      <c r="B48" s="147">
        <v>1464</v>
      </c>
      <c r="C48" s="155" t="s">
        <v>6278</v>
      </c>
      <c r="D48" s="188"/>
      <c r="E48" s="153"/>
      <c r="F48" s="171"/>
      <c r="G48" s="188" t="s">
        <v>17012</v>
      </c>
      <c r="H48" s="153"/>
      <c r="I48" s="171"/>
      <c r="J48" s="167"/>
      <c r="K48" s="150"/>
      <c r="L48" s="150"/>
      <c r="M48" s="150"/>
      <c r="N48" s="150"/>
      <c r="O48" s="185"/>
      <c r="P48" s="162" t="s">
        <v>5895</v>
      </c>
      <c r="Q48" s="163" t="s">
        <v>1</v>
      </c>
      <c r="R48" s="164">
        <v>1</v>
      </c>
      <c r="S48" s="170"/>
      <c r="T48" s="153"/>
      <c r="U48" s="152"/>
      <c r="V48" s="171"/>
      <c r="W48" s="216">
        <v>800</v>
      </c>
      <c r="X48" s="172"/>
    </row>
    <row r="49" spans="1:24" ht="16.5" customHeight="1" x14ac:dyDescent="0.3">
      <c r="A49" s="147">
        <v>15</v>
      </c>
      <c r="B49" s="147">
        <v>1465</v>
      </c>
      <c r="C49" s="155" t="s">
        <v>6277</v>
      </c>
      <c r="D49" s="188"/>
      <c r="E49" s="153"/>
      <c r="F49" s="171"/>
      <c r="G49" s="188" t="s">
        <v>17011</v>
      </c>
      <c r="H49" s="205">
        <v>167</v>
      </c>
      <c r="I49" s="171" t="s">
        <v>0</v>
      </c>
      <c r="J49" s="156" t="s">
        <v>17007</v>
      </c>
      <c r="K49" s="160"/>
      <c r="L49" s="160"/>
      <c r="M49" s="160"/>
      <c r="N49" s="160"/>
      <c r="O49" s="182"/>
      <c r="P49" s="162"/>
      <c r="Q49" s="163"/>
      <c r="R49" s="164"/>
      <c r="S49" s="170"/>
      <c r="T49" s="153"/>
      <c r="U49" s="152"/>
      <c r="V49" s="171"/>
      <c r="W49" s="216">
        <v>560</v>
      </c>
      <c r="X49" s="172"/>
    </row>
    <row r="50" spans="1:24" ht="16.5" customHeight="1" x14ac:dyDescent="0.3">
      <c r="A50" s="147">
        <v>15</v>
      </c>
      <c r="B50" s="147">
        <v>1466</v>
      </c>
      <c r="C50" s="155" t="s">
        <v>6276</v>
      </c>
      <c r="D50" s="188"/>
      <c r="E50" s="153"/>
      <c r="F50" s="171"/>
      <c r="G50" s="167"/>
      <c r="H50" s="150"/>
      <c r="I50" s="168"/>
      <c r="J50" s="167"/>
      <c r="K50" s="150"/>
      <c r="L50" s="150"/>
      <c r="M50" s="150"/>
      <c r="N50" s="150" t="s">
        <v>1</v>
      </c>
      <c r="O50" s="185">
        <v>0.7</v>
      </c>
      <c r="P50" s="162" t="s">
        <v>5895</v>
      </c>
      <c r="Q50" s="163" t="s">
        <v>1</v>
      </c>
      <c r="R50" s="164">
        <v>1</v>
      </c>
      <c r="S50" s="170"/>
      <c r="T50" s="153"/>
      <c r="U50" s="152"/>
      <c r="V50" s="171"/>
      <c r="W50" s="216">
        <v>560</v>
      </c>
      <c r="X50" s="172"/>
    </row>
    <row r="51" spans="1:24" ht="16.5" customHeight="1" x14ac:dyDescent="0.3">
      <c r="A51" s="147">
        <v>15</v>
      </c>
      <c r="B51" s="147">
        <v>1467</v>
      </c>
      <c r="C51" s="155" t="s">
        <v>6275</v>
      </c>
      <c r="D51" s="188"/>
      <c r="E51" s="153"/>
      <c r="F51" s="171"/>
      <c r="G51" s="156" t="s">
        <v>17017</v>
      </c>
      <c r="H51" s="160"/>
      <c r="I51" s="158"/>
      <c r="J51" s="156"/>
      <c r="K51" s="160"/>
      <c r="L51" s="160"/>
      <c r="M51" s="160"/>
      <c r="N51" s="160"/>
      <c r="O51" s="182"/>
      <c r="P51" s="162"/>
      <c r="Q51" s="163"/>
      <c r="R51" s="164"/>
      <c r="S51" s="170"/>
      <c r="T51" s="153"/>
      <c r="U51" s="152"/>
      <c r="V51" s="171"/>
      <c r="W51" s="216">
        <v>905</v>
      </c>
      <c r="X51" s="172"/>
    </row>
    <row r="52" spans="1:24" ht="16.5" customHeight="1" x14ac:dyDescent="0.3">
      <c r="A52" s="147">
        <v>15</v>
      </c>
      <c r="B52" s="147">
        <v>1468</v>
      </c>
      <c r="C52" s="155" t="s">
        <v>6274</v>
      </c>
      <c r="D52" s="188"/>
      <c r="E52" s="153"/>
      <c r="F52" s="171"/>
      <c r="G52" s="188" t="s">
        <v>17016</v>
      </c>
      <c r="H52" s="153"/>
      <c r="I52" s="171"/>
      <c r="J52" s="167"/>
      <c r="K52" s="150"/>
      <c r="L52" s="150"/>
      <c r="M52" s="150"/>
      <c r="N52" s="150"/>
      <c r="O52" s="185"/>
      <c r="P52" s="162" t="s">
        <v>5895</v>
      </c>
      <c r="Q52" s="163" t="s">
        <v>1</v>
      </c>
      <c r="R52" s="164">
        <v>1</v>
      </c>
      <c r="S52" s="170"/>
      <c r="T52" s="153"/>
      <c r="U52" s="152"/>
      <c r="V52" s="171"/>
      <c r="W52" s="216">
        <v>905</v>
      </c>
      <c r="X52" s="172"/>
    </row>
    <row r="53" spans="1:24" ht="16.5" customHeight="1" x14ac:dyDescent="0.3">
      <c r="A53" s="147">
        <v>15</v>
      </c>
      <c r="B53" s="147">
        <v>1469</v>
      </c>
      <c r="C53" s="155" t="s">
        <v>6273</v>
      </c>
      <c r="D53" s="188"/>
      <c r="E53" s="153"/>
      <c r="F53" s="171"/>
      <c r="G53" s="188" t="s">
        <v>17015</v>
      </c>
      <c r="H53" s="205">
        <v>251</v>
      </c>
      <c r="I53" s="171" t="s">
        <v>0</v>
      </c>
      <c r="J53" s="156" t="s">
        <v>17007</v>
      </c>
      <c r="K53" s="160"/>
      <c r="L53" s="160"/>
      <c r="M53" s="160"/>
      <c r="N53" s="160"/>
      <c r="O53" s="182"/>
      <c r="P53" s="162"/>
      <c r="Q53" s="163"/>
      <c r="R53" s="164"/>
      <c r="S53" s="170"/>
      <c r="T53" s="153"/>
      <c r="U53" s="152"/>
      <c r="V53" s="171"/>
      <c r="W53" s="216">
        <v>634</v>
      </c>
      <c r="X53" s="172"/>
    </row>
    <row r="54" spans="1:24" ht="16.5" customHeight="1" x14ac:dyDescent="0.3">
      <c r="A54" s="147">
        <v>15</v>
      </c>
      <c r="B54" s="147">
        <v>1470</v>
      </c>
      <c r="C54" s="155" t="s">
        <v>6272</v>
      </c>
      <c r="D54" s="167"/>
      <c r="E54" s="153"/>
      <c r="F54" s="171"/>
      <c r="G54" s="167"/>
      <c r="H54" s="150"/>
      <c r="I54" s="168"/>
      <c r="J54" s="167"/>
      <c r="K54" s="150"/>
      <c r="L54" s="150"/>
      <c r="M54" s="150"/>
      <c r="N54" s="150" t="s">
        <v>1</v>
      </c>
      <c r="O54" s="185">
        <v>0.7</v>
      </c>
      <c r="P54" s="162" t="s">
        <v>5895</v>
      </c>
      <c r="Q54" s="163" t="s">
        <v>1</v>
      </c>
      <c r="R54" s="164">
        <v>1</v>
      </c>
      <c r="S54" s="170"/>
      <c r="T54" s="153"/>
      <c r="U54" s="152"/>
      <c r="V54" s="171"/>
      <c r="W54" s="216">
        <v>634</v>
      </c>
      <c r="X54" s="172"/>
    </row>
    <row r="55" spans="1:24" ht="16.5" customHeight="1" x14ac:dyDescent="0.3">
      <c r="A55" s="147">
        <v>15</v>
      </c>
      <c r="B55" s="147">
        <v>1471</v>
      </c>
      <c r="C55" s="155" t="s">
        <v>6271</v>
      </c>
      <c r="D55" s="156" t="s">
        <v>17014</v>
      </c>
      <c r="E55" s="144"/>
      <c r="F55" s="206"/>
      <c r="G55" s="156" t="s">
        <v>17010</v>
      </c>
      <c r="H55" s="160"/>
      <c r="I55" s="158"/>
      <c r="J55" s="156"/>
      <c r="K55" s="160"/>
      <c r="L55" s="160"/>
      <c r="M55" s="160"/>
      <c r="N55" s="160"/>
      <c r="O55" s="182"/>
      <c r="P55" s="162"/>
      <c r="Q55" s="163"/>
      <c r="R55" s="164"/>
      <c r="S55" s="170"/>
      <c r="T55" s="153"/>
      <c r="U55" s="152"/>
      <c r="V55" s="171"/>
      <c r="W55" s="216">
        <v>779</v>
      </c>
      <c r="X55" s="172"/>
    </row>
    <row r="56" spans="1:24" ht="16.5" customHeight="1" x14ac:dyDescent="0.3">
      <c r="A56" s="147">
        <v>15</v>
      </c>
      <c r="B56" s="147">
        <v>1472</v>
      </c>
      <c r="C56" s="155" t="s">
        <v>6270</v>
      </c>
      <c r="D56" s="188" t="s">
        <v>17001</v>
      </c>
      <c r="E56" s="153"/>
      <c r="F56" s="171"/>
      <c r="G56" s="188" t="s">
        <v>17000</v>
      </c>
      <c r="H56" s="153"/>
      <c r="I56" s="171"/>
      <c r="J56" s="167"/>
      <c r="K56" s="150"/>
      <c r="L56" s="150"/>
      <c r="M56" s="150"/>
      <c r="N56" s="150"/>
      <c r="O56" s="185"/>
      <c r="P56" s="162" t="s">
        <v>5895</v>
      </c>
      <c r="Q56" s="163" t="s">
        <v>1</v>
      </c>
      <c r="R56" s="164">
        <v>1</v>
      </c>
      <c r="S56" s="170"/>
      <c r="T56" s="153"/>
      <c r="U56" s="152"/>
      <c r="V56" s="171"/>
      <c r="W56" s="216">
        <v>779</v>
      </c>
      <c r="X56" s="172"/>
    </row>
    <row r="57" spans="1:24" ht="16.5" customHeight="1" x14ac:dyDescent="0.3">
      <c r="A57" s="147">
        <v>15</v>
      </c>
      <c r="B57" s="147">
        <v>1473</v>
      </c>
      <c r="C57" s="155" t="s">
        <v>6269</v>
      </c>
      <c r="D57" s="188" t="s">
        <v>16997</v>
      </c>
      <c r="E57" s="205">
        <v>674</v>
      </c>
      <c r="F57" s="171" t="s">
        <v>0</v>
      </c>
      <c r="G57" s="188"/>
      <c r="H57" s="205">
        <v>84</v>
      </c>
      <c r="I57" s="171" t="s">
        <v>0</v>
      </c>
      <c r="J57" s="156" t="s">
        <v>17007</v>
      </c>
      <c r="K57" s="160"/>
      <c r="L57" s="160"/>
      <c r="M57" s="160"/>
      <c r="N57" s="160"/>
      <c r="O57" s="182"/>
      <c r="P57" s="162"/>
      <c r="Q57" s="163"/>
      <c r="R57" s="164"/>
      <c r="S57" s="170"/>
      <c r="T57" s="153"/>
      <c r="U57" s="152"/>
      <c r="V57" s="171"/>
      <c r="W57" s="216">
        <v>546</v>
      </c>
      <c r="X57" s="172"/>
    </row>
    <row r="58" spans="1:24" ht="16.5" customHeight="1" x14ac:dyDescent="0.3">
      <c r="A58" s="147">
        <v>15</v>
      </c>
      <c r="B58" s="147">
        <v>1474</v>
      </c>
      <c r="C58" s="155" t="s">
        <v>6268</v>
      </c>
      <c r="D58" s="188"/>
      <c r="E58" s="153"/>
      <c r="F58" s="171"/>
      <c r="G58" s="167"/>
      <c r="H58" s="150"/>
      <c r="I58" s="168"/>
      <c r="J58" s="167"/>
      <c r="K58" s="150"/>
      <c r="L58" s="150"/>
      <c r="M58" s="150"/>
      <c r="N58" s="150" t="s">
        <v>1</v>
      </c>
      <c r="O58" s="185">
        <v>0.7</v>
      </c>
      <c r="P58" s="162" t="s">
        <v>5895</v>
      </c>
      <c r="Q58" s="163" t="s">
        <v>1</v>
      </c>
      <c r="R58" s="164">
        <v>1</v>
      </c>
      <c r="S58" s="170"/>
      <c r="T58" s="153"/>
      <c r="U58" s="152"/>
      <c r="V58" s="171"/>
      <c r="W58" s="216">
        <v>546</v>
      </c>
      <c r="X58" s="172"/>
    </row>
    <row r="59" spans="1:24" ht="16.5" customHeight="1" x14ac:dyDescent="0.3">
      <c r="A59" s="147">
        <v>15</v>
      </c>
      <c r="B59" s="147">
        <v>1475</v>
      </c>
      <c r="C59" s="155" t="s">
        <v>6267</v>
      </c>
      <c r="D59" s="188"/>
      <c r="E59" s="153"/>
      <c r="F59" s="171"/>
      <c r="G59" s="156" t="s">
        <v>17013</v>
      </c>
      <c r="H59" s="160"/>
      <c r="I59" s="158"/>
      <c r="J59" s="156"/>
      <c r="K59" s="160"/>
      <c r="L59" s="160"/>
      <c r="M59" s="160"/>
      <c r="N59" s="160"/>
      <c r="O59" s="182"/>
      <c r="P59" s="162"/>
      <c r="Q59" s="163"/>
      <c r="R59" s="164"/>
      <c r="S59" s="170"/>
      <c r="T59" s="153"/>
      <c r="U59" s="152"/>
      <c r="V59" s="171"/>
      <c r="W59" s="216">
        <v>884</v>
      </c>
      <c r="X59" s="172"/>
    </row>
    <row r="60" spans="1:24" ht="16.5" customHeight="1" x14ac:dyDescent="0.3">
      <c r="A60" s="147">
        <v>15</v>
      </c>
      <c r="B60" s="147">
        <v>1476</v>
      </c>
      <c r="C60" s="155" t="s">
        <v>6266</v>
      </c>
      <c r="D60" s="188"/>
      <c r="E60" s="153"/>
      <c r="F60" s="171"/>
      <c r="G60" s="188" t="s">
        <v>17012</v>
      </c>
      <c r="H60" s="153"/>
      <c r="I60" s="171"/>
      <c r="J60" s="167"/>
      <c r="K60" s="150"/>
      <c r="L60" s="150"/>
      <c r="M60" s="150"/>
      <c r="N60" s="150"/>
      <c r="O60" s="185"/>
      <c r="P60" s="162" t="s">
        <v>5895</v>
      </c>
      <c r="Q60" s="163" t="s">
        <v>1</v>
      </c>
      <c r="R60" s="164">
        <v>1</v>
      </c>
      <c r="S60" s="170"/>
      <c r="T60" s="153"/>
      <c r="U60" s="152"/>
      <c r="V60" s="171"/>
      <c r="W60" s="216">
        <v>884</v>
      </c>
      <c r="X60" s="172"/>
    </row>
    <row r="61" spans="1:24" ht="16.5" customHeight="1" x14ac:dyDescent="0.3">
      <c r="A61" s="147">
        <v>15</v>
      </c>
      <c r="B61" s="147">
        <v>1477</v>
      </c>
      <c r="C61" s="155" t="s">
        <v>6265</v>
      </c>
      <c r="D61" s="188"/>
      <c r="E61" s="153"/>
      <c r="F61" s="171"/>
      <c r="G61" s="188" t="s">
        <v>17011</v>
      </c>
      <c r="H61" s="205">
        <v>168</v>
      </c>
      <c r="I61" s="171" t="s">
        <v>0</v>
      </c>
      <c r="J61" s="156" t="s">
        <v>17007</v>
      </c>
      <c r="K61" s="160"/>
      <c r="L61" s="160"/>
      <c r="M61" s="160"/>
      <c r="N61" s="160"/>
      <c r="O61" s="182"/>
      <c r="P61" s="162"/>
      <c r="Q61" s="163"/>
      <c r="R61" s="164"/>
      <c r="S61" s="170"/>
      <c r="T61" s="153"/>
      <c r="U61" s="152"/>
      <c r="V61" s="171"/>
      <c r="W61" s="216">
        <v>620</v>
      </c>
      <c r="X61" s="172"/>
    </row>
    <row r="62" spans="1:24" ht="16.5" customHeight="1" x14ac:dyDescent="0.3">
      <c r="A62" s="147">
        <v>15</v>
      </c>
      <c r="B62" s="147">
        <v>1478</v>
      </c>
      <c r="C62" s="155" t="s">
        <v>6264</v>
      </c>
      <c r="D62" s="167"/>
      <c r="E62" s="153"/>
      <c r="F62" s="171"/>
      <c r="G62" s="167"/>
      <c r="H62" s="150"/>
      <c r="I62" s="168"/>
      <c r="J62" s="167"/>
      <c r="K62" s="150"/>
      <c r="L62" s="150"/>
      <c r="M62" s="150"/>
      <c r="N62" s="150" t="s">
        <v>1</v>
      </c>
      <c r="O62" s="185">
        <v>0.7</v>
      </c>
      <c r="P62" s="162" t="s">
        <v>5895</v>
      </c>
      <c r="Q62" s="163" t="s">
        <v>1</v>
      </c>
      <c r="R62" s="164">
        <v>1</v>
      </c>
      <c r="S62" s="170"/>
      <c r="T62" s="153"/>
      <c r="U62" s="152"/>
      <c r="V62" s="171"/>
      <c r="W62" s="216">
        <v>620</v>
      </c>
      <c r="X62" s="172"/>
    </row>
    <row r="63" spans="1:24" ht="16.5" customHeight="1" x14ac:dyDescent="0.3">
      <c r="A63" s="147">
        <v>15</v>
      </c>
      <c r="B63" s="147">
        <v>1479</v>
      </c>
      <c r="C63" s="155" t="s">
        <v>6263</v>
      </c>
      <c r="D63" s="156" t="s">
        <v>5979</v>
      </c>
      <c r="E63" s="144"/>
      <c r="F63" s="206"/>
      <c r="G63" s="156" t="s">
        <v>17010</v>
      </c>
      <c r="H63" s="160"/>
      <c r="I63" s="158"/>
      <c r="J63" s="156"/>
      <c r="K63" s="160"/>
      <c r="L63" s="160"/>
      <c r="M63" s="160"/>
      <c r="N63" s="160"/>
      <c r="O63" s="182"/>
      <c r="P63" s="162"/>
      <c r="Q63" s="163"/>
      <c r="R63" s="164"/>
      <c r="S63" s="170"/>
      <c r="T63" s="153"/>
      <c r="U63" s="152"/>
      <c r="V63" s="171"/>
      <c r="W63" s="216">
        <v>863</v>
      </c>
      <c r="X63" s="172"/>
    </row>
    <row r="64" spans="1:24" ht="16.5" customHeight="1" x14ac:dyDescent="0.3">
      <c r="A64" s="147">
        <v>15</v>
      </c>
      <c r="B64" s="147">
        <v>1480</v>
      </c>
      <c r="C64" s="155" t="s">
        <v>6262</v>
      </c>
      <c r="D64" s="188" t="s">
        <v>17009</v>
      </c>
      <c r="E64" s="153"/>
      <c r="F64" s="171"/>
      <c r="G64" s="188" t="s">
        <v>17000</v>
      </c>
      <c r="H64" s="153"/>
      <c r="I64" s="171"/>
      <c r="J64" s="167"/>
      <c r="K64" s="150"/>
      <c r="L64" s="150"/>
      <c r="M64" s="150"/>
      <c r="N64" s="150"/>
      <c r="O64" s="185"/>
      <c r="P64" s="162" t="s">
        <v>5895</v>
      </c>
      <c r="Q64" s="163" t="s">
        <v>1</v>
      </c>
      <c r="R64" s="164">
        <v>1</v>
      </c>
      <c r="S64" s="170"/>
      <c r="T64" s="153"/>
      <c r="U64" s="152"/>
      <c r="V64" s="171"/>
      <c r="W64" s="216">
        <v>863</v>
      </c>
      <c r="X64" s="172"/>
    </row>
    <row r="65" spans="1:24" ht="16.5" customHeight="1" x14ac:dyDescent="0.3">
      <c r="A65" s="147">
        <v>15</v>
      </c>
      <c r="B65" s="147">
        <v>1481</v>
      </c>
      <c r="C65" s="155" t="s">
        <v>6261</v>
      </c>
      <c r="D65" s="188" t="s">
        <v>17008</v>
      </c>
      <c r="E65" s="205">
        <v>758</v>
      </c>
      <c r="F65" s="171" t="s">
        <v>0</v>
      </c>
      <c r="G65" s="188"/>
      <c r="H65" s="205">
        <v>84</v>
      </c>
      <c r="I65" s="171" t="s">
        <v>0</v>
      </c>
      <c r="J65" s="156" t="s">
        <v>17007</v>
      </c>
      <c r="K65" s="160"/>
      <c r="L65" s="160"/>
      <c r="M65" s="160"/>
      <c r="N65" s="160"/>
      <c r="O65" s="182"/>
      <c r="P65" s="162"/>
      <c r="Q65" s="163"/>
      <c r="R65" s="164"/>
      <c r="S65" s="170"/>
      <c r="T65" s="153"/>
      <c r="U65" s="152"/>
      <c r="V65" s="171"/>
      <c r="W65" s="216">
        <v>605</v>
      </c>
      <c r="X65" s="172"/>
    </row>
    <row r="66" spans="1:24" ht="16.5" customHeight="1" x14ac:dyDescent="0.3">
      <c r="A66" s="147">
        <v>15</v>
      </c>
      <c r="B66" s="147">
        <v>1482</v>
      </c>
      <c r="C66" s="155" t="s">
        <v>6259</v>
      </c>
      <c r="D66" s="167"/>
      <c r="E66" s="150"/>
      <c r="F66" s="168"/>
      <c r="G66" s="167"/>
      <c r="H66" s="150"/>
      <c r="I66" s="168"/>
      <c r="J66" s="167"/>
      <c r="K66" s="150"/>
      <c r="L66" s="150"/>
      <c r="M66" s="150"/>
      <c r="N66" s="150" t="s">
        <v>1</v>
      </c>
      <c r="O66" s="185">
        <v>0.7</v>
      </c>
      <c r="P66" s="162" t="s">
        <v>5895</v>
      </c>
      <c r="Q66" s="163" t="s">
        <v>1</v>
      </c>
      <c r="R66" s="164">
        <v>1</v>
      </c>
      <c r="S66" s="176"/>
      <c r="T66" s="150"/>
      <c r="U66" s="151"/>
      <c r="V66" s="168"/>
      <c r="W66" s="216">
        <v>605</v>
      </c>
      <c r="X66" s="177"/>
    </row>
    <row r="67" spans="1:24" ht="16.5" customHeight="1" x14ac:dyDescent="0.3">
      <c r="A67" s="132"/>
      <c r="B67" s="132"/>
      <c r="C67" s="133"/>
      <c r="D67" s="133"/>
      <c r="E67" s="134"/>
      <c r="F67" s="134"/>
      <c r="G67" s="133"/>
      <c r="H67" s="133"/>
      <c r="I67" s="133"/>
      <c r="J67" s="133"/>
      <c r="K67" s="134"/>
      <c r="L67" s="134"/>
      <c r="M67" s="134"/>
      <c r="N67" s="134"/>
      <c r="O67" s="135"/>
      <c r="P67" s="134"/>
      <c r="Q67" s="134"/>
      <c r="R67" s="135"/>
      <c r="S67" s="135"/>
      <c r="T67" s="134"/>
      <c r="U67" s="135"/>
      <c r="V67" s="134"/>
      <c r="W67" s="136"/>
      <c r="X67" s="137"/>
    </row>
    <row r="68" spans="1:24" ht="16.5" customHeight="1" x14ac:dyDescent="0.3">
      <c r="A68" s="132"/>
      <c r="B68" s="132"/>
      <c r="C68" s="133"/>
      <c r="D68" s="133"/>
      <c r="E68" s="134"/>
      <c r="F68" s="134"/>
      <c r="G68" s="133"/>
      <c r="H68" s="133"/>
      <c r="I68" s="133"/>
      <c r="J68" s="133"/>
      <c r="K68" s="134"/>
      <c r="L68" s="134"/>
      <c r="M68" s="134"/>
      <c r="N68" s="134"/>
      <c r="O68" s="135"/>
      <c r="P68" s="134"/>
      <c r="Q68" s="134"/>
      <c r="R68" s="135"/>
      <c r="S68" s="135"/>
      <c r="T68" s="134"/>
      <c r="U68" s="135"/>
      <c r="V68" s="134"/>
      <c r="W68" s="136"/>
      <c r="X68" s="137"/>
    </row>
    <row r="69" spans="1:24" ht="16.5" customHeight="1" x14ac:dyDescent="0.3">
      <c r="A69" s="132"/>
      <c r="B69" s="138" t="s">
        <v>6258</v>
      </c>
      <c r="C69" s="133"/>
      <c r="D69" s="139"/>
      <c r="E69" s="134"/>
      <c r="F69" s="134"/>
      <c r="G69" s="133"/>
      <c r="H69" s="134"/>
      <c r="I69" s="134"/>
      <c r="J69" s="133"/>
      <c r="K69" s="134"/>
      <c r="L69" s="134"/>
      <c r="M69" s="134"/>
      <c r="N69" s="134"/>
      <c r="O69" s="135"/>
      <c r="P69" s="134"/>
      <c r="Q69" s="134"/>
      <c r="R69" s="135"/>
      <c r="S69" s="135"/>
      <c r="T69" s="134"/>
      <c r="U69" s="135"/>
      <c r="V69" s="134"/>
      <c r="W69" s="136"/>
      <c r="X69" s="137"/>
    </row>
    <row r="70" spans="1:24" ht="16.5" customHeight="1" x14ac:dyDescent="0.3">
      <c r="A70" s="140" t="s">
        <v>5864</v>
      </c>
      <c r="B70" s="141"/>
      <c r="C70" s="142" t="s">
        <v>5867</v>
      </c>
      <c r="D70" s="143" t="s">
        <v>5868</v>
      </c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5"/>
      <c r="P70" s="144"/>
      <c r="Q70" s="144"/>
      <c r="R70" s="145"/>
      <c r="S70" s="145"/>
      <c r="T70" s="144"/>
      <c r="U70" s="145"/>
      <c r="V70" s="144"/>
      <c r="W70" s="146" t="s">
        <v>5869</v>
      </c>
      <c r="X70" s="146" t="s">
        <v>5871</v>
      </c>
    </row>
    <row r="71" spans="1:24" ht="16.5" customHeight="1" x14ac:dyDescent="0.3">
      <c r="A71" s="147" t="s">
        <v>5865</v>
      </c>
      <c r="B71" s="147" t="s">
        <v>5866</v>
      </c>
      <c r="C71" s="148"/>
      <c r="D71" s="179" t="s">
        <v>5872</v>
      </c>
      <c r="E71" s="180"/>
      <c r="F71" s="181"/>
      <c r="G71" s="179" t="s">
        <v>17006</v>
      </c>
      <c r="H71" s="180"/>
      <c r="I71" s="181"/>
      <c r="J71" s="187"/>
      <c r="K71" s="153"/>
      <c r="L71" s="153"/>
      <c r="M71" s="150"/>
      <c r="N71" s="150"/>
      <c r="O71" s="151"/>
      <c r="P71" s="150"/>
      <c r="Q71" s="150"/>
      <c r="R71" s="151"/>
      <c r="S71" s="151"/>
      <c r="T71" s="150"/>
      <c r="U71" s="151"/>
      <c r="V71" s="150"/>
      <c r="W71" s="154" t="s">
        <v>5870</v>
      </c>
      <c r="X71" s="154" t="s">
        <v>0</v>
      </c>
    </row>
    <row r="72" spans="1:24" ht="16.5" customHeight="1" x14ac:dyDescent="0.3">
      <c r="A72" s="147">
        <v>15</v>
      </c>
      <c r="B72" s="147">
        <v>1483</v>
      </c>
      <c r="C72" s="155" t="s">
        <v>6257</v>
      </c>
      <c r="D72" s="156" t="s">
        <v>17005</v>
      </c>
      <c r="E72" s="144"/>
      <c r="F72" s="206"/>
      <c r="G72" s="156" t="s">
        <v>17004</v>
      </c>
      <c r="H72" s="144"/>
      <c r="I72" s="144"/>
      <c r="J72" s="156" t="s">
        <v>17003</v>
      </c>
      <c r="K72" s="160"/>
      <c r="L72" s="158"/>
      <c r="M72" s="159"/>
      <c r="N72" s="160"/>
      <c r="O72" s="161"/>
      <c r="P72" s="162"/>
      <c r="Q72" s="163"/>
      <c r="R72" s="164"/>
      <c r="S72" s="165" t="s">
        <v>17002</v>
      </c>
      <c r="T72" s="158"/>
      <c r="U72" s="165" t="s">
        <v>6061</v>
      </c>
      <c r="V72" s="158"/>
      <c r="W72" s="225">
        <v>1096</v>
      </c>
      <c r="X72" s="142" t="s">
        <v>5863</v>
      </c>
    </row>
    <row r="73" spans="1:24" ht="16.5" customHeight="1" x14ac:dyDescent="0.3">
      <c r="A73" s="147">
        <v>15</v>
      </c>
      <c r="B73" s="147">
        <v>1484</v>
      </c>
      <c r="C73" s="155" t="s">
        <v>6256</v>
      </c>
      <c r="D73" s="188" t="s">
        <v>17000</v>
      </c>
      <c r="E73" s="153"/>
      <c r="F73" s="171"/>
      <c r="G73" s="188" t="s">
        <v>17001</v>
      </c>
      <c r="H73" s="210"/>
      <c r="I73" s="210"/>
      <c r="J73" s="188" t="s">
        <v>17000</v>
      </c>
      <c r="K73" s="153"/>
      <c r="L73" s="171"/>
      <c r="M73" s="175"/>
      <c r="N73" s="150"/>
      <c r="O73" s="151"/>
      <c r="P73" s="162" t="s">
        <v>5895</v>
      </c>
      <c r="Q73" s="163" t="s">
        <v>1</v>
      </c>
      <c r="R73" s="164">
        <v>1</v>
      </c>
      <c r="S73" s="170"/>
      <c r="T73" s="174" t="s">
        <v>16999</v>
      </c>
      <c r="U73" s="170"/>
      <c r="V73" s="174" t="s">
        <v>16998</v>
      </c>
      <c r="W73" s="225">
        <v>1096</v>
      </c>
      <c r="X73" s="172"/>
    </row>
    <row r="74" spans="1:24" ht="16.5" customHeight="1" x14ac:dyDescent="0.3">
      <c r="A74" s="147">
        <v>15</v>
      </c>
      <c r="B74" s="147">
        <v>1485</v>
      </c>
      <c r="C74" s="155" t="s">
        <v>6255</v>
      </c>
      <c r="D74" s="188"/>
      <c r="E74" s="205">
        <v>257</v>
      </c>
      <c r="F74" s="171" t="s">
        <v>0</v>
      </c>
      <c r="G74" s="188" t="s">
        <v>16997</v>
      </c>
      <c r="H74" s="205">
        <v>501</v>
      </c>
      <c r="I74" s="153" t="s">
        <v>0</v>
      </c>
      <c r="J74" s="188"/>
      <c r="K74" s="205">
        <v>84</v>
      </c>
      <c r="L74" s="171" t="s">
        <v>0</v>
      </c>
      <c r="M74" s="160" t="s">
        <v>5898</v>
      </c>
      <c r="N74" s="160"/>
      <c r="O74" s="161"/>
      <c r="P74" s="162"/>
      <c r="Q74" s="163"/>
      <c r="R74" s="164"/>
      <c r="S74" s="170" t="s">
        <v>1</v>
      </c>
      <c r="T74" s="192">
        <v>0.5</v>
      </c>
      <c r="U74" s="170" t="s">
        <v>1</v>
      </c>
      <c r="V74" s="192">
        <v>0.25</v>
      </c>
      <c r="W74" s="225">
        <v>768</v>
      </c>
      <c r="X74" s="172"/>
    </row>
    <row r="75" spans="1:24" ht="16.5" customHeight="1" x14ac:dyDescent="0.3">
      <c r="A75" s="147">
        <v>15</v>
      </c>
      <c r="B75" s="147">
        <v>1486</v>
      </c>
      <c r="C75" s="155" t="s">
        <v>6254</v>
      </c>
      <c r="D75" s="167"/>
      <c r="E75" s="150"/>
      <c r="F75" s="168"/>
      <c r="G75" s="167"/>
      <c r="H75" s="150"/>
      <c r="I75" s="150"/>
      <c r="J75" s="167"/>
      <c r="K75" s="150"/>
      <c r="L75" s="168"/>
      <c r="M75" s="150" t="s">
        <v>16996</v>
      </c>
      <c r="N75" s="150" t="s">
        <v>1</v>
      </c>
      <c r="O75" s="151">
        <v>0.7</v>
      </c>
      <c r="P75" s="162" t="s">
        <v>5895</v>
      </c>
      <c r="Q75" s="163" t="s">
        <v>1</v>
      </c>
      <c r="R75" s="164">
        <v>1</v>
      </c>
      <c r="S75" s="176"/>
      <c r="T75" s="209" t="s">
        <v>422</v>
      </c>
      <c r="U75" s="176"/>
      <c r="V75" s="209" t="s">
        <v>16995</v>
      </c>
      <c r="W75" s="225">
        <v>768</v>
      </c>
      <c r="X75" s="177"/>
    </row>
    <row r="76" spans="1:24" ht="16.5" customHeight="1" x14ac:dyDescent="0.3"/>
    <row r="77" spans="1:24" ht="16.5" customHeight="1" x14ac:dyDescent="0.3"/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6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1" tint="0.249977111117893"/>
    <pageSetUpPr fitToPage="1"/>
  </sheetPr>
  <dimension ref="A1:U68"/>
  <sheetViews>
    <sheetView zoomScaleNormal="100" zoomScaleSheetLayoutView="80" workbookViewId="0"/>
  </sheetViews>
  <sheetFormatPr defaultColWidth="9" defaultRowHeight="14.1" x14ac:dyDescent="0.3"/>
  <cols>
    <col min="1" max="1" width="4.62890625" style="44" customWidth="1"/>
    <col min="2" max="2" width="7.62890625" style="44" customWidth="1"/>
    <col min="3" max="3" width="36.62890625" style="45" customWidth="1"/>
    <col min="4" max="4" width="15.62890625" style="45" customWidth="1"/>
    <col min="5" max="5" width="4.1015625" style="46" bestFit="1" customWidth="1"/>
    <col min="6" max="6" width="4.734375" style="46" bestFit="1" customWidth="1"/>
    <col min="7" max="7" width="15.62890625" style="45" customWidth="1"/>
    <col min="8" max="8" width="4.1015625" style="46" bestFit="1" customWidth="1"/>
    <col min="9" max="9" width="4.734375" style="46" bestFit="1" customWidth="1"/>
    <col min="10" max="10" width="18.62890625" style="46" customWidth="1"/>
    <col min="11" max="11" width="3.1015625" style="46" bestFit="1" customWidth="1"/>
    <col min="12" max="12" width="4.1015625" style="47" bestFit="1" customWidth="1"/>
    <col min="13" max="13" width="30.62890625" style="46" customWidth="1"/>
    <col min="14" max="14" width="3.1015625" style="46" bestFit="1" customWidth="1"/>
    <col min="15" max="15" width="5" style="47" bestFit="1" customWidth="1"/>
    <col min="16" max="16" width="2.62890625" style="47" customWidth="1"/>
    <col min="17" max="17" width="4.734375" style="46" bestFit="1" customWidth="1"/>
    <col min="18" max="18" width="2.62890625" style="47" customWidth="1"/>
    <col min="19" max="19" width="4.734375" style="46" bestFit="1" customWidth="1"/>
    <col min="20" max="20" width="6.3671875" style="84" bestFit="1" customWidth="1"/>
    <col min="21" max="21" width="7.734375" style="48" bestFit="1" customWidth="1"/>
    <col min="22" max="16384" width="9" style="49"/>
  </cols>
  <sheetData>
    <row r="1" spans="1:21" ht="16.5" customHeight="1" x14ac:dyDescent="0.3">
      <c r="A1" s="132"/>
      <c r="B1" s="132"/>
      <c r="C1" s="133"/>
      <c r="D1" s="133"/>
      <c r="E1" s="134"/>
      <c r="F1" s="134"/>
      <c r="G1" s="133"/>
      <c r="H1" s="134"/>
      <c r="I1" s="134"/>
      <c r="J1" s="134"/>
      <c r="K1" s="134"/>
      <c r="L1" s="135"/>
      <c r="M1" s="134"/>
      <c r="N1" s="134"/>
      <c r="O1" s="135"/>
      <c r="P1" s="135"/>
      <c r="Q1" s="134"/>
      <c r="R1" s="135"/>
      <c r="S1" s="134"/>
      <c r="T1" s="136"/>
      <c r="U1" s="137"/>
    </row>
    <row r="2" spans="1:21" ht="16.5" customHeight="1" x14ac:dyDescent="0.3">
      <c r="A2" s="132"/>
      <c r="B2" s="132"/>
      <c r="C2" s="133"/>
      <c r="D2" s="133"/>
      <c r="E2" s="134"/>
      <c r="F2" s="134"/>
      <c r="G2" s="133"/>
      <c r="H2" s="134"/>
      <c r="I2" s="134"/>
      <c r="J2" s="134"/>
      <c r="K2" s="134"/>
      <c r="L2" s="135"/>
      <c r="M2" s="134"/>
      <c r="N2" s="134"/>
      <c r="O2" s="135"/>
      <c r="P2" s="135"/>
      <c r="Q2" s="134"/>
      <c r="R2" s="135"/>
      <c r="S2" s="134"/>
      <c r="T2" s="136"/>
      <c r="U2" s="137"/>
    </row>
    <row r="3" spans="1:21" ht="16.5" customHeight="1" x14ac:dyDescent="0.3">
      <c r="A3" s="132"/>
      <c r="B3" s="132"/>
      <c r="C3" s="133"/>
      <c r="D3" s="133"/>
      <c r="E3" s="134"/>
      <c r="F3" s="134"/>
      <c r="G3" s="133"/>
      <c r="H3" s="134"/>
      <c r="I3" s="134"/>
      <c r="J3" s="134"/>
      <c r="K3" s="134"/>
      <c r="L3" s="135"/>
      <c r="M3" s="134"/>
      <c r="N3" s="134"/>
      <c r="O3" s="135"/>
      <c r="P3" s="135"/>
      <c r="Q3" s="134"/>
      <c r="R3" s="135"/>
      <c r="S3" s="134"/>
      <c r="T3" s="136"/>
      <c r="U3" s="137"/>
    </row>
    <row r="4" spans="1:21" ht="16.5" customHeight="1" x14ac:dyDescent="0.3">
      <c r="A4" s="132"/>
      <c r="B4" s="138" t="s">
        <v>6385</v>
      </c>
      <c r="C4" s="133"/>
      <c r="D4" s="139"/>
      <c r="E4" s="134"/>
      <c r="F4" s="134"/>
      <c r="G4" s="133"/>
      <c r="H4" s="134"/>
      <c r="I4" s="134"/>
      <c r="J4" s="134"/>
      <c r="K4" s="134"/>
      <c r="L4" s="135"/>
      <c r="M4" s="134"/>
      <c r="N4" s="134"/>
      <c r="O4" s="135"/>
      <c r="P4" s="135"/>
      <c r="Q4" s="134"/>
      <c r="R4" s="135"/>
      <c r="S4" s="134"/>
      <c r="T4" s="136"/>
      <c r="U4" s="137"/>
    </row>
    <row r="5" spans="1:21" ht="16.5" customHeight="1" x14ac:dyDescent="0.3">
      <c r="A5" s="140" t="s">
        <v>5864</v>
      </c>
      <c r="B5" s="141"/>
      <c r="C5" s="142" t="s">
        <v>5867</v>
      </c>
      <c r="D5" s="143" t="s">
        <v>5868</v>
      </c>
      <c r="E5" s="144"/>
      <c r="F5" s="144"/>
      <c r="G5" s="143"/>
      <c r="H5" s="144"/>
      <c r="I5" s="144"/>
      <c r="J5" s="144"/>
      <c r="K5" s="144"/>
      <c r="L5" s="145"/>
      <c r="M5" s="144"/>
      <c r="N5" s="144"/>
      <c r="O5" s="145"/>
      <c r="P5" s="145"/>
      <c r="Q5" s="144"/>
      <c r="R5" s="145"/>
      <c r="S5" s="144"/>
      <c r="T5" s="146" t="s">
        <v>5869</v>
      </c>
      <c r="U5" s="146" t="s">
        <v>5871</v>
      </c>
    </row>
    <row r="6" spans="1:21" ht="16.5" customHeight="1" x14ac:dyDescent="0.3">
      <c r="A6" s="147" t="s">
        <v>5865</v>
      </c>
      <c r="B6" s="147" t="s">
        <v>5866</v>
      </c>
      <c r="C6" s="148"/>
      <c r="D6" s="208" t="s">
        <v>5872</v>
      </c>
      <c r="E6" s="144"/>
      <c r="F6" s="206"/>
      <c r="G6" s="208" t="s">
        <v>16811</v>
      </c>
      <c r="H6" s="144"/>
      <c r="I6" s="206"/>
      <c r="J6" s="150"/>
      <c r="K6" s="150"/>
      <c r="L6" s="151"/>
      <c r="M6" s="150"/>
      <c r="N6" s="150"/>
      <c r="O6" s="151"/>
      <c r="P6" s="151"/>
      <c r="Q6" s="150"/>
      <c r="R6" s="151"/>
      <c r="S6" s="150"/>
      <c r="T6" s="154" t="s">
        <v>5870</v>
      </c>
      <c r="U6" s="154" t="s">
        <v>0</v>
      </c>
    </row>
    <row r="7" spans="1:21" ht="16.5" customHeight="1" x14ac:dyDescent="0.3">
      <c r="A7" s="147">
        <v>15</v>
      </c>
      <c r="B7" s="147">
        <v>1487</v>
      </c>
      <c r="C7" s="197" t="s">
        <v>6384</v>
      </c>
      <c r="D7" s="156" t="s">
        <v>16902</v>
      </c>
      <c r="E7" s="144"/>
      <c r="F7" s="206"/>
      <c r="G7" s="156" t="s">
        <v>17035</v>
      </c>
      <c r="H7" s="144"/>
      <c r="I7" s="206"/>
      <c r="J7" s="160"/>
      <c r="K7" s="160"/>
      <c r="L7" s="161"/>
      <c r="M7" s="162"/>
      <c r="N7" s="163"/>
      <c r="O7" s="164"/>
      <c r="P7" s="165"/>
      <c r="Q7" s="158"/>
      <c r="R7" s="165"/>
      <c r="S7" s="158"/>
      <c r="T7" s="225">
        <v>545</v>
      </c>
      <c r="U7" s="142" t="s">
        <v>5863</v>
      </c>
    </row>
    <row r="8" spans="1:21" ht="16.5" customHeight="1" x14ac:dyDescent="0.3">
      <c r="A8" s="147">
        <v>15</v>
      </c>
      <c r="B8" s="147">
        <v>1488</v>
      </c>
      <c r="C8" s="197" t="s">
        <v>6383</v>
      </c>
      <c r="D8" s="188" t="s">
        <v>17033</v>
      </c>
      <c r="E8" s="210"/>
      <c r="F8" s="211"/>
      <c r="G8" s="188" t="s">
        <v>17033</v>
      </c>
      <c r="H8" s="210"/>
      <c r="I8" s="211"/>
      <c r="J8" s="150"/>
      <c r="K8" s="150"/>
      <c r="L8" s="151"/>
      <c r="M8" s="162" t="s">
        <v>5895</v>
      </c>
      <c r="N8" s="163" t="s">
        <v>1</v>
      </c>
      <c r="O8" s="164">
        <v>1</v>
      </c>
      <c r="P8" s="170"/>
      <c r="Q8" s="171"/>
      <c r="R8" s="170"/>
      <c r="S8" s="171"/>
      <c r="T8" s="225">
        <v>545</v>
      </c>
      <c r="U8" s="172"/>
    </row>
    <row r="9" spans="1:21" ht="16.5" customHeight="1" x14ac:dyDescent="0.3">
      <c r="A9" s="147">
        <v>15</v>
      </c>
      <c r="B9" s="147">
        <v>1489</v>
      </c>
      <c r="C9" s="197" t="s">
        <v>6382</v>
      </c>
      <c r="D9" s="188"/>
      <c r="E9" s="205">
        <v>257</v>
      </c>
      <c r="F9" s="171" t="s">
        <v>0</v>
      </c>
      <c r="G9" s="188"/>
      <c r="H9" s="205">
        <v>149</v>
      </c>
      <c r="I9" s="171" t="s">
        <v>0</v>
      </c>
      <c r="J9" s="160" t="s">
        <v>17026</v>
      </c>
      <c r="K9" s="160"/>
      <c r="L9" s="161"/>
      <c r="M9" s="162"/>
      <c r="N9" s="163"/>
      <c r="O9" s="164"/>
      <c r="P9" s="170"/>
      <c r="Q9" s="171"/>
      <c r="R9" s="170"/>
      <c r="S9" s="171"/>
      <c r="T9" s="225">
        <v>381</v>
      </c>
      <c r="U9" s="172"/>
    </row>
    <row r="10" spans="1:21" ht="16.5" customHeight="1" x14ac:dyDescent="0.3">
      <c r="A10" s="147">
        <v>15</v>
      </c>
      <c r="B10" s="147">
        <v>1490</v>
      </c>
      <c r="C10" s="197" t="s">
        <v>6381</v>
      </c>
      <c r="D10" s="188"/>
      <c r="E10" s="153"/>
      <c r="F10" s="171"/>
      <c r="G10" s="167"/>
      <c r="H10" s="150"/>
      <c r="I10" s="168"/>
      <c r="J10" s="150" t="s">
        <v>17025</v>
      </c>
      <c r="K10" s="150" t="s">
        <v>1</v>
      </c>
      <c r="L10" s="151">
        <v>0.7</v>
      </c>
      <c r="M10" s="162" t="s">
        <v>5895</v>
      </c>
      <c r="N10" s="163" t="s">
        <v>1</v>
      </c>
      <c r="O10" s="164">
        <v>1</v>
      </c>
      <c r="P10" s="170"/>
      <c r="Q10" s="171"/>
      <c r="R10" s="170"/>
      <c r="S10" s="171"/>
      <c r="T10" s="225">
        <v>381</v>
      </c>
      <c r="U10" s="172"/>
    </row>
    <row r="11" spans="1:21" ht="16.5" customHeight="1" x14ac:dyDescent="0.3">
      <c r="A11" s="147">
        <v>15</v>
      </c>
      <c r="B11" s="147">
        <v>1491</v>
      </c>
      <c r="C11" s="197" t="s">
        <v>6380</v>
      </c>
      <c r="D11" s="188"/>
      <c r="E11" s="153"/>
      <c r="F11" s="171"/>
      <c r="G11" s="156" t="s">
        <v>17031</v>
      </c>
      <c r="H11" s="160"/>
      <c r="I11" s="158"/>
      <c r="J11" s="160"/>
      <c r="K11" s="160"/>
      <c r="L11" s="161"/>
      <c r="M11" s="162"/>
      <c r="N11" s="163"/>
      <c r="O11" s="164"/>
      <c r="P11" s="170"/>
      <c r="Q11" s="171"/>
      <c r="R11" s="170"/>
      <c r="S11" s="171"/>
      <c r="T11" s="225">
        <v>822</v>
      </c>
      <c r="U11" s="172"/>
    </row>
    <row r="12" spans="1:21" ht="16.5" customHeight="1" x14ac:dyDescent="0.3">
      <c r="A12" s="147">
        <v>15</v>
      </c>
      <c r="B12" s="147">
        <v>1492</v>
      </c>
      <c r="C12" s="197" t="s">
        <v>6379</v>
      </c>
      <c r="D12" s="188"/>
      <c r="E12" s="153"/>
      <c r="F12" s="171"/>
      <c r="G12" s="188" t="s">
        <v>16874</v>
      </c>
      <c r="H12" s="153"/>
      <c r="I12" s="171"/>
      <c r="J12" s="150"/>
      <c r="K12" s="150"/>
      <c r="L12" s="151"/>
      <c r="M12" s="162" t="s">
        <v>5895</v>
      </c>
      <c r="N12" s="163" t="s">
        <v>1</v>
      </c>
      <c r="O12" s="164">
        <v>1</v>
      </c>
      <c r="P12" s="170" t="s">
        <v>17052</v>
      </c>
      <c r="Q12" s="171"/>
      <c r="R12" s="170" t="s">
        <v>17051</v>
      </c>
      <c r="S12" s="171"/>
      <c r="T12" s="225">
        <v>822</v>
      </c>
      <c r="U12" s="172"/>
    </row>
    <row r="13" spans="1:21" ht="16.5" customHeight="1" x14ac:dyDescent="0.3">
      <c r="A13" s="147">
        <v>15</v>
      </c>
      <c r="B13" s="147">
        <v>1493</v>
      </c>
      <c r="C13" s="197" t="s">
        <v>6378</v>
      </c>
      <c r="D13" s="188"/>
      <c r="E13" s="153"/>
      <c r="F13" s="171"/>
      <c r="G13" s="188" t="s">
        <v>17044</v>
      </c>
      <c r="H13" s="205">
        <v>334</v>
      </c>
      <c r="I13" s="171" t="s">
        <v>0</v>
      </c>
      <c r="J13" s="160" t="s">
        <v>17026</v>
      </c>
      <c r="K13" s="160"/>
      <c r="L13" s="161"/>
      <c r="M13" s="162"/>
      <c r="N13" s="163"/>
      <c r="O13" s="164"/>
      <c r="P13" s="170"/>
      <c r="Q13" s="174" t="s">
        <v>17050</v>
      </c>
      <c r="R13" s="170"/>
      <c r="S13" s="174" t="s">
        <v>17049</v>
      </c>
      <c r="T13" s="225">
        <v>576</v>
      </c>
      <c r="U13" s="172"/>
    </row>
    <row r="14" spans="1:21" ht="16.5" customHeight="1" x14ac:dyDescent="0.3">
      <c r="A14" s="147">
        <v>15</v>
      </c>
      <c r="B14" s="147">
        <v>1494</v>
      </c>
      <c r="C14" s="197" t="s">
        <v>6377</v>
      </c>
      <c r="D14" s="188"/>
      <c r="E14" s="153"/>
      <c r="F14" s="171"/>
      <c r="G14" s="167"/>
      <c r="H14" s="150"/>
      <c r="I14" s="168"/>
      <c r="J14" s="150" t="s">
        <v>17025</v>
      </c>
      <c r="K14" s="150" t="s">
        <v>1</v>
      </c>
      <c r="L14" s="151">
        <v>0.7</v>
      </c>
      <c r="M14" s="162" t="s">
        <v>5895</v>
      </c>
      <c r="N14" s="163" t="s">
        <v>1</v>
      </c>
      <c r="O14" s="164">
        <v>1</v>
      </c>
      <c r="P14" s="170"/>
      <c r="Q14" s="171"/>
      <c r="R14" s="170"/>
      <c r="S14" s="171"/>
      <c r="T14" s="225">
        <v>576</v>
      </c>
      <c r="U14" s="172"/>
    </row>
    <row r="15" spans="1:21" ht="16.5" customHeight="1" x14ac:dyDescent="0.3">
      <c r="A15" s="147">
        <v>15</v>
      </c>
      <c r="B15" s="147">
        <v>1495</v>
      </c>
      <c r="C15" s="197" t="s">
        <v>6376</v>
      </c>
      <c r="D15" s="188"/>
      <c r="E15" s="153"/>
      <c r="F15" s="171"/>
      <c r="G15" s="156" t="s">
        <v>17037</v>
      </c>
      <c r="H15" s="160"/>
      <c r="I15" s="158"/>
      <c r="J15" s="160"/>
      <c r="K15" s="160"/>
      <c r="L15" s="161"/>
      <c r="M15" s="162"/>
      <c r="N15" s="163"/>
      <c r="O15" s="164"/>
      <c r="P15" s="170" t="s">
        <v>1</v>
      </c>
      <c r="Q15" s="192">
        <v>0.25</v>
      </c>
      <c r="R15" s="170" t="s">
        <v>1</v>
      </c>
      <c r="S15" s="192">
        <v>0.5</v>
      </c>
      <c r="T15" s="225">
        <v>947</v>
      </c>
      <c r="U15" s="172"/>
    </row>
    <row r="16" spans="1:21" ht="16.5" customHeight="1" x14ac:dyDescent="0.3">
      <c r="A16" s="147">
        <v>15</v>
      </c>
      <c r="B16" s="147">
        <v>1496</v>
      </c>
      <c r="C16" s="197" t="s">
        <v>6375</v>
      </c>
      <c r="D16" s="188"/>
      <c r="E16" s="153"/>
      <c r="F16" s="171"/>
      <c r="G16" s="188" t="s">
        <v>17040</v>
      </c>
      <c r="H16" s="153"/>
      <c r="I16" s="171"/>
      <c r="J16" s="150"/>
      <c r="K16" s="150"/>
      <c r="L16" s="151"/>
      <c r="M16" s="162" t="s">
        <v>5895</v>
      </c>
      <c r="N16" s="163" t="s">
        <v>1</v>
      </c>
      <c r="O16" s="164">
        <v>1</v>
      </c>
      <c r="P16" s="170"/>
      <c r="Q16" s="174" t="s">
        <v>17048</v>
      </c>
      <c r="R16" s="170"/>
      <c r="S16" s="174" t="s">
        <v>422</v>
      </c>
      <c r="T16" s="225">
        <v>947</v>
      </c>
      <c r="U16" s="172"/>
    </row>
    <row r="17" spans="1:21" ht="16.5" customHeight="1" x14ac:dyDescent="0.3">
      <c r="A17" s="147">
        <v>15</v>
      </c>
      <c r="B17" s="147">
        <v>1497</v>
      </c>
      <c r="C17" s="197" t="s">
        <v>6374</v>
      </c>
      <c r="D17" s="188"/>
      <c r="E17" s="153"/>
      <c r="F17" s="171"/>
      <c r="G17" s="188" t="s">
        <v>16870</v>
      </c>
      <c r="H17" s="205">
        <v>417</v>
      </c>
      <c r="I17" s="171" t="s">
        <v>0</v>
      </c>
      <c r="J17" s="160" t="s">
        <v>16823</v>
      </c>
      <c r="K17" s="160"/>
      <c r="L17" s="161"/>
      <c r="M17" s="162"/>
      <c r="N17" s="163"/>
      <c r="O17" s="164"/>
      <c r="P17" s="170"/>
      <c r="Q17" s="171"/>
      <c r="R17" s="170"/>
      <c r="S17" s="171"/>
      <c r="T17" s="225">
        <v>663</v>
      </c>
      <c r="U17" s="172"/>
    </row>
    <row r="18" spans="1:21" ht="16.5" customHeight="1" x14ac:dyDescent="0.3">
      <c r="A18" s="147">
        <v>15</v>
      </c>
      <c r="B18" s="147">
        <v>1498</v>
      </c>
      <c r="C18" s="197" t="s">
        <v>6373</v>
      </c>
      <c r="D18" s="188"/>
      <c r="E18" s="153"/>
      <c r="F18" s="171"/>
      <c r="G18" s="167"/>
      <c r="H18" s="150"/>
      <c r="I18" s="168"/>
      <c r="J18" s="150" t="s">
        <v>17025</v>
      </c>
      <c r="K18" s="150" t="s">
        <v>1</v>
      </c>
      <c r="L18" s="151">
        <v>0.7</v>
      </c>
      <c r="M18" s="162" t="s">
        <v>5895</v>
      </c>
      <c r="N18" s="163" t="s">
        <v>1</v>
      </c>
      <c r="O18" s="164">
        <v>1</v>
      </c>
      <c r="P18" s="170"/>
      <c r="Q18" s="171"/>
      <c r="R18" s="170"/>
      <c r="S18" s="171"/>
      <c r="T18" s="225">
        <v>663</v>
      </c>
      <c r="U18" s="172"/>
    </row>
    <row r="19" spans="1:21" ht="16.5" customHeight="1" x14ac:dyDescent="0.3">
      <c r="A19" s="147">
        <v>15</v>
      </c>
      <c r="B19" s="147">
        <v>1499</v>
      </c>
      <c r="C19" s="197" t="s">
        <v>6372</v>
      </c>
      <c r="D19" s="188"/>
      <c r="E19" s="153"/>
      <c r="F19" s="171"/>
      <c r="G19" s="156" t="s">
        <v>17047</v>
      </c>
      <c r="H19" s="160"/>
      <c r="I19" s="158"/>
      <c r="J19" s="160"/>
      <c r="K19" s="160"/>
      <c r="L19" s="161"/>
      <c r="M19" s="162"/>
      <c r="N19" s="163"/>
      <c r="O19" s="164"/>
      <c r="P19" s="170"/>
      <c r="Q19" s="171"/>
      <c r="R19" s="170"/>
      <c r="S19" s="171"/>
      <c r="T19" s="225">
        <v>1073</v>
      </c>
      <c r="U19" s="172"/>
    </row>
    <row r="20" spans="1:21" ht="16.5" customHeight="1" x14ac:dyDescent="0.3">
      <c r="A20" s="147">
        <v>15</v>
      </c>
      <c r="B20" s="147">
        <v>1500</v>
      </c>
      <c r="C20" s="197" t="s">
        <v>6371</v>
      </c>
      <c r="D20" s="188"/>
      <c r="E20" s="153"/>
      <c r="F20" s="171"/>
      <c r="G20" s="188" t="s">
        <v>17034</v>
      </c>
      <c r="H20" s="153"/>
      <c r="I20" s="171"/>
      <c r="J20" s="150"/>
      <c r="K20" s="150"/>
      <c r="L20" s="151"/>
      <c r="M20" s="162" t="s">
        <v>5895</v>
      </c>
      <c r="N20" s="163" t="s">
        <v>1</v>
      </c>
      <c r="O20" s="164">
        <v>1</v>
      </c>
      <c r="P20" s="170"/>
      <c r="Q20" s="171"/>
      <c r="R20" s="170"/>
      <c r="S20" s="171"/>
      <c r="T20" s="225">
        <v>1073</v>
      </c>
      <c r="U20" s="172"/>
    </row>
    <row r="21" spans="1:21" ht="16.5" customHeight="1" x14ac:dyDescent="0.3">
      <c r="A21" s="147">
        <v>15</v>
      </c>
      <c r="B21" s="147">
        <v>1501</v>
      </c>
      <c r="C21" s="197" t="s">
        <v>6370</v>
      </c>
      <c r="D21" s="188"/>
      <c r="E21" s="153"/>
      <c r="F21" s="171"/>
      <c r="G21" s="188" t="s">
        <v>16867</v>
      </c>
      <c r="H21" s="205">
        <v>501</v>
      </c>
      <c r="I21" s="171" t="s">
        <v>0</v>
      </c>
      <c r="J21" s="160" t="s">
        <v>17026</v>
      </c>
      <c r="K21" s="160"/>
      <c r="L21" s="161"/>
      <c r="M21" s="162"/>
      <c r="N21" s="163"/>
      <c r="O21" s="164"/>
      <c r="P21" s="170"/>
      <c r="Q21" s="171"/>
      <c r="R21" s="170"/>
      <c r="S21" s="171"/>
      <c r="T21" s="225">
        <v>752</v>
      </c>
      <c r="U21" s="172"/>
    </row>
    <row r="22" spans="1:21" ht="16.5" customHeight="1" x14ac:dyDescent="0.3">
      <c r="A22" s="147">
        <v>15</v>
      </c>
      <c r="B22" s="147">
        <v>1502</v>
      </c>
      <c r="C22" s="197" t="s">
        <v>6369</v>
      </c>
      <c r="D22" s="188"/>
      <c r="E22" s="153"/>
      <c r="F22" s="171"/>
      <c r="G22" s="167"/>
      <c r="H22" s="150"/>
      <c r="I22" s="168"/>
      <c r="J22" s="150" t="s">
        <v>17025</v>
      </c>
      <c r="K22" s="150" t="s">
        <v>1</v>
      </c>
      <c r="L22" s="151">
        <v>0.7</v>
      </c>
      <c r="M22" s="162" t="s">
        <v>5895</v>
      </c>
      <c r="N22" s="163" t="s">
        <v>1</v>
      </c>
      <c r="O22" s="164">
        <v>1</v>
      </c>
      <c r="P22" s="170"/>
      <c r="Q22" s="171"/>
      <c r="R22" s="170"/>
      <c r="S22" s="171"/>
      <c r="T22" s="225">
        <v>752</v>
      </c>
      <c r="U22" s="172"/>
    </row>
    <row r="23" spans="1:21" ht="16.5" customHeight="1" x14ac:dyDescent="0.3">
      <c r="A23" s="147">
        <v>15</v>
      </c>
      <c r="B23" s="147">
        <v>1503</v>
      </c>
      <c r="C23" s="197" t="s">
        <v>6368</v>
      </c>
      <c r="D23" s="188"/>
      <c r="E23" s="153"/>
      <c r="F23" s="171"/>
      <c r="G23" s="156" t="s">
        <v>17046</v>
      </c>
      <c r="H23" s="160"/>
      <c r="I23" s="158"/>
      <c r="J23" s="160"/>
      <c r="K23" s="160"/>
      <c r="L23" s="161"/>
      <c r="M23" s="162"/>
      <c r="N23" s="163"/>
      <c r="O23" s="164"/>
      <c r="P23" s="170"/>
      <c r="Q23" s="171"/>
      <c r="R23" s="170"/>
      <c r="S23" s="171"/>
      <c r="T23" s="225">
        <v>1199</v>
      </c>
      <c r="U23" s="172"/>
    </row>
    <row r="24" spans="1:21" ht="16.5" customHeight="1" x14ac:dyDescent="0.3">
      <c r="A24" s="147">
        <v>15</v>
      </c>
      <c r="B24" s="147">
        <v>1504</v>
      </c>
      <c r="C24" s="197" t="s">
        <v>6367</v>
      </c>
      <c r="D24" s="188"/>
      <c r="E24" s="153"/>
      <c r="F24" s="171"/>
      <c r="G24" s="188" t="s">
        <v>16865</v>
      </c>
      <c r="H24" s="153"/>
      <c r="I24" s="171"/>
      <c r="J24" s="150"/>
      <c r="K24" s="150"/>
      <c r="L24" s="151"/>
      <c r="M24" s="162" t="s">
        <v>5895</v>
      </c>
      <c r="N24" s="163" t="s">
        <v>1</v>
      </c>
      <c r="O24" s="164">
        <v>1</v>
      </c>
      <c r="P24" s="170"/>
      <c r="Q24" s="171"/>
      <c r="R24" s="170"/>
      <c r="S24" s="171"/>
      <c r="T24" s="225">
        <v>1199</v>
      </c>
      <c r="U24" s="172"/>
    </row>
    <row r="25" spans="1:21" ht="16.5" customHeight="1" x14ac:dyDescent="0.3">
      <c r="A25" s="147">
        <v>15</v>
      </c>
      <c r="B25" s="147">
        <v>1505</v>
      </c>
      <c r="C25" s="197" t="s">
        <v>6366</v>
      </c>
      <c r="D25" s="188"/>
      <c r="E25" s="153"/>
      <c r="F25" s="171"/>
      <c r="G25" s="188" t="s">
        <v>17027</v>
      </c>
      <c r="H25" s="205">
        <v>585</v>
      </c>
      <c r="I25" s="171" t="s">
        <v>0</v>
      </c>
      <c r="J25" s="160" t="s">
        <v>17026</v>
      </c>
      <c r="K25" s="160"/>
      <c r="L25" s="161"/>
      <c r="M25" s="162"/>
      <c r="N25" s="163"/>
      <c r="O25" s="164"/>
      <c r="P25" s="170"/>
      <c r="Q25" s="171"/>
      <c r="R25" s="170"/>
      <c r="S25" s="171"/>
      <c r="T25" s="225">
        <v>840</v>
      </c>
      <c r="U25" s="172"/>
    </row>
    <row r="26" spans="1:21" ht="16.5" customHeight="1" x14ac:dyDescent="0.3">
      <c r="A26" s="147">
        <v>15</v>
      </c>
      <c r="B26" s="147">
        <v>1506</v>
      </c>
      <c r="C26" s="197" t="s">
        <v>6365</v>
      </c>
      <c r="D26" s="167"/>
      <c r="E26" s="150"/>
      <c r="F26" s="168"/>
      <c r="G26" s="167"/>
      <c r="H26" s="150"/>
      <c r="I26" s="168"/>
      <c r="J26" s="150" t="s">
        <v>17025</v>
      </c>
      <c r="K26" s="150" t="s">
        <v>1</v>
      </c>
      <c r="L26" s="151">
        <v>0.7</v>
      </c>
      <c r="M26" s="162" t="s">
        <v>5895</v>
      </c>
      <c r="N26" s="163" t="s">
        <v>1</v>
      </c>
      <c r="O26" s="164">
        <v>1</v>
      </c>
      <c r="P26" s="170"/>
      <c r="Q26" s="171"/>
      <c r="R26" s="170"/>
      <c r="S26" s="171"/>
      <c r="T26" s="225">
        <v>840</v>
      </c>
      <c r="U26" s="172"/>
    </row>
    <row r="27" spans="1:21" ht="16.5" customHeight="1" x14ac:dyDescent="0.3">
      <c r="A27" s="147">
        <v>15</v>
      </c>
      <c r="B27" s="147">
        <v>1507</v>
      </c>
      <c r="C27" s="197" t="s">
        <v>6364</v>
      </c>
      <c r="D27" s="156" t="s">
        <v>17045</v>
      </c>
      <c r="E27" s="160"/>
      <c r="F27" s="158"/>
      <c r="G27" s="156" t="s">
        <v>17035</v>
      </c>
      <c r="H27" s="160"/>
      <c r="I27" s="158"/>
      <c r="J27" s="160"/>
      <c r="K27" s="160"/>
      <c r="L27" s="161"/>
      <c r="M27" s="162"/>
      <c r="N27" s="163"/>
      <c r="O27" s="164"/>
      <c r="P27" s="170"/>
      <c r="Q27" s="171"/>
      <c r="R27" s="170"/>
      <c r="S27" s="171"/>
      <c r="T27" s="225">
        <v>786</v>
      </c>
      <c r="U27" s="172"/>
    </row>
    <row r="28" spans="1:21" ht="16.5" customHeight="1" x14ac:dyDescent="0.3">
      <c r="A28" s="147">
        <v>15</v>
      </c>
      <c r="B28" s="147">
        <v>1508</v>
      </c>
      <c r="C28" s="197" t="s">
        <v>6363</v>
      </c>
      <c r="D28" s="188" t="s">
        <v>17030</v>
      </c>
      <c r="E28" s="153"/>
      <c r="F28" s="171"/>
      <c r="G28" s="188" t="s">
        <v>16901</v>
      </c>
      <c r="H28" s="153"/>
      <c r="I28" s="171"/>
      <c r="J28" s="150"/>
      <c r="K28" s="150"/>
      <c r="L28" s="151"/>
      <c r="M28" s="162" t="s">
        <v>5895</v>
      </c>
      <c r="N28" s="163" t="s">
        <v>1</v>
      </c>
      <c r="O28" s="164">
        <v>1</v>
      </c>
      <c r="P28" s="170"/>
      <c r="Q28" s="171"/>
      <c r="R28" s="170"/>
      <c r="S28" s="171"/>
      <c r="T28" s="225">
        <v>786</v>
      </c>
      <c r="U28" s="172"/>
    </row>
    <row r="29" spans="1:21" ht="16.5" customHeight="1" x14ac:dyDescent="0.3">
      <c r="A29" s="147">
        <v>15</v>
      </c>
      <c r="B29" s="147">
        <v>1509</v>
      </c>
      <c r="C29" s="197" t="s">
        <v>6362</v>
      </c>
      <c r="D29" s="188" t="s">
        <v>16873</v>
      </c>
      <c r="E29" s="205">
        <v>406</v>
      </c>
      <c r="F29" s="171" t="s">
        <v>0</v>
      </c>
      <c r="G29" s="188"/>
      <c r="H29" s="205">
        <v>185</v>
      </c>
      <c r="I29" s="171" t="s">
        <v>0</v>
      </c>
      <c r="J29" s="160" t="s">
        <v>16823</v>
      </c>
      <c r="K29" s="160"/>
      <c r="L29" s="161"/>
      <c r="M29" s="162"/>
      <c r="N29" s="163"/>
      <c r="O29" s="164"/>
      <c r="P29" s="170"/>
      <c r="Q29" s="171"/>
      <c r="R29" s="170"/>
      <c r="S29" s="171"/>
      <c r="T29" s="225">
        <v>550</v>
      </c>
      <c r="U29" s="172"/>
    </row>
    <row r="30" spans="1:21" ht="16.5" customHeight="1" x14ac:dyDescent="0.3">
      <c r="A30" s="147">
        <v>15</v>
      </c>
      <c r="B30" s="147">
        <v>1510</v>
      </c>
      <c r="C30" s="197" t="s">
        <v>6361</v>
      </c>
      <c r="D30" s="188"/>
      <c r="E30" s="153"/>
      <c r="F30" s="171"/>
      <c r="G30" s="167"/>
      <c r="H30" s="150"/>
      <c r="I30" s="168"/>
      <c r="J30" s="150" t="s">
        <v>17025</v>
      </c>
      <c r="K30" s="150" t="s">
        <v>1</v>
      </c>
      <c r="L30" s="151">
        <v>0.7</v>
      </c>
      <c r="M30" s="162" t="s">
        <v>5895</v>
      </c>
      <c r="N30" s="163" t="s">
        <v>1</v>
      </c>
      <c r="O30" s="164">
        <v>1</v>
      </c>
      <c r="P30" s="170"/>
      <c r="Q30" s="171"/>
      <c r="R30" s="170"/>
      <c r="S30" s="171"/>
      <c r="T30" s="225">
        <v>550</v>
      </c>
      <c r="U30" s="172"/>
    </row>
    <row r="31" spans="1:21" ht="16.5" customHeight="1" x14ac:dyDescent="0.3">
      <c r="A31" s="147">
        <v>15</v>
      </c>
      <c r="B31" s="147">
        <v>1511</v>
      </c>
      <c r="C31" s="197" t="s">
        <v>6360</v>
      </c>
      <c r="D31" s="188"/>
      <c r="E31" s="153"/>
      <c r="F31" s="171"/>
      <c r="G31" s="156" t="s">
        <v>17031</v>
      </c>
      <c r="H31" s="160"/>
      <c r="I31" s="158"/>
      <c r="J31" s="160"/>
      <c r="K31" s="160"/>
      <c r="L31" s="161"/>
      <c r="M31" s="162"/>
      <c r="N31" s="163"/>
      <c r="O31" s="164"/>
      <c r="P31" s="170"/>
      <c r="Q31" s="171"/>
      <c r="R31" s="170"/>
      <c r="S31" s="171"/>
      <c r="T31" s="225">
        <v>910</v>
      </c>
      <c r="U31" s="172"/>
    </row>
    <row r="32" spans="1:21" ht="16.5" customHeight="1" x14ac:dyDescent="0.3">
      <c r="A32" s="147">
        <v>15</v>
      </c>
      <c r="B32" s="147">
        <v>1512</v>
      </c>
      <c r="C32" s="197" t="s">
        <v>6359</v>
      </c>
      <c r="D32" s="188"/>
      <c r="E32" s="153"/>
      <c r="F32" s="171"/>
      <c r="G32" s="188" t="s">
        <v>17030</v>
      </c>
      <c r="H32" s="153"/>
      <c r="I32" s="171"/>
      <c r="J32" s="150"/>
      <c r="K32" s="150"/>
      <c r="L32" s="151"/>
      <c r="M32" s="162" t="s">
        <v>5895</v>
      </c>
      <c r="N32" s="163" t="s">
        <v>1</v>
      </c>
      <c r="O32" s="164">
        <v>1</v>
      </c>
      <c r="P32" s="170"/>
      <c r="Q32" s="171"/>
      <c r="R32" s="170"/>
      <c r="S32" s="171"/>
      <c r="T32" s="225">
        <v>910</v>
      </c>
      <c r="U32" s="172"/>
    </row>
    <row r="33" spans="1:21" ht="16.5" customHeight="1" x14ac:dyDescent="0.3">
      <c r="A33" s="147">
        <v>15</v>
      </c>
      <c r="B33" s="147">
        <v>1513</v>
      </c>
      <c r="C33" s="197" t="s">
        <v>6358</v>
      </c>
      <c r="D33" s="188"/>
      <c r="E33" s="153"/>
      <c r="F33" s="171"/>
      <c r="G33" s="188" t="s">
        <v>17044</v>
      </c>
      <c r="H33" s="205">
        <v>268</v>
      </c>
      <c r="I33" s="171" t="s">
        <v>0</v>
      </c>
      <c r="J33" s="160" t="s">
        <v>17026</v>
      </c>
      <c r="K33" s="160"/>
      <c r="L33" s="161"/>
      <c r="M33" s="162"/>
      <c r="N33" s="163"/>
      <c r="O33" s="164"/>
      <c r="P33" s="170"/>
      <c r="Q33" s="171"/>
      <c r="R33" s="170"/>
      <c r="S33" s="171"/>
      <c r="T33" s="225">
        <v>637</v>
      </c>
      <c r="U33" s="172"/>
    </row>
    <row r="34" spans="1:21" ht="16.5" customHeight="1" x14ac:dyDescent="0.3">
      <c r="A34" s="147">
        <v>15</v>
      </c>
      <c r="B34" s="147">
        <v>1514</v>
      </c>
      <c r="C34" s="197" t="s">
        <v>6357</v>
      </c>
      <c r="D34" s="188"/>
      <c r="E34" s="153"/>
      <c r="F34" s="171"/>
      <c r="G34" s="167"/>
      <c r="H34" s="150"/>
      <c r="I34" s="168"/>
      <c r="J34" s="150" t="s">
        <v>17025</v>
      </c>
      <c r="K34" s="150" t="s">
        <v>1</v>
      </c>
      <c r="L34" s="151">
        <v>0.7</v>
      </c>
      <c r="M34" s="162" t="s">
        <v>5895</v>
      </c>
      <c r="N34" s="163" t="s">
        <v>1</v>
      </c>
      <c r="O34" s="164">
        <v>1</v>
      </c>
      <c r="P34" s="170"/>
      <c r="Q34" s="171"/>
      <c r="R34" s="170"/>
      <c r="S34" s="171"/>
      <c r="T34" s="225">
        <v>637</v>
      </c>
      <c r="U34" s="172"/>
    </row>
    <row r="35" spans="1:21" ht="16.5" customHeight="1" x14ac:dyDescent="0.3">
      <c r="A35" s="147">
        <v>15</v>
      </c>
      <c r="B35" s="147">
        <v>1515</v>
      </c>
      <c r="C35" s="197" t="s">
        <v>6356</v>
      </c>
      <c r="D35" s="188"/>
      <c r="E35" s="153"/>
      <c r="F35" s="171"/>
      <c r="G35" s="156" t="s">
        <v>17043</v>
      </c>
      <c r="H35" s="160"/>
      <c r="I35" s="158"/>
      <c r="J35" s="160"/>
      <c r="K35" s="160"/>
      <c r="L35" s="161"/>
      <c r="M35" s="162"/>
      <c r="N35" s="163"/>
      <c r="O35" s="164"/>
      <c r="P35" s="170"/>
      <c r="Q35" s="171"/>
      <c r="R35" s="170"/>
      <c r="S35" s="171"/>
      <c r="T35" s="225">
        <v>1036</v>
      </c>
      <c r="U35" s="172"/>
    </row>
    <row r="36" spans="1:21" ht="16.5" customHeight="1" x14ac:dyDescent="0.3">
      <c r="A36" s="147">
        <v>15</v>
      </c>
      <c r="B36" s="147">
        <v>1516</v>
      </c>
      <c r="C36" s="197" t="s">
        <v>6355</v>
      </c>
      <c r="D36" s="188"/>
      <c r="E36" s="153"/>
      <c r="F36" s="171"/>
      <c r="G36" s="188" t="s">
        <v>17040</v>
      </c>
      <c r="H36" s="153"/>
      <c r="I36" s="171"/>
      <c r="J36" s="150"/>
      <c r="K36" s="150"/>
      <c r="L36" s="151"/>
      <c r="M36" s="162" t="s">
        <v>5895</v>
      </c>
      <c r="N36" s="163" t="s">
        <v>1</v>
      </c>
      <c r="O36" s="164">
        <v>1</v>
      </c>
      <c r="P36" s="170"/>
      <c r="Q36" s="171"/>
      <c r="R36" s="170"/>
      <c r="S36" s="171"/>
      <c r="T36" s="225">
        <v>1036</v>
      </c>
      <c r="U36" s="172"/>
    </row>
    <row r="37" spans="1:21" ht="16.5" customHeight="1" x14ac:dyDescent="0.3">
      <c r="A37" s="147">
        <v>15</v>
      </c>
      <c r="B37" s="147">
        <v>1517</v>
      </c>
      <c r="C37" s="197" t="s">
        <v>6354</v>
      </c>
      <c r="D37" s="188"/>
      <c r="E37" s="153"/>
      <c r="F37" s="171"/>
      <c r="G37" s="188" t="s">
        <v>16870</v>
      </c>
      <c r="H37" s="205">
        <v>352</v>
      </c>
      <c r="I37" s="171" t="s">
        <v>0</v>
      </c>
      <c r="J37" s="160" t="s">
        <v>16823</v>
      </c>
      <c r="K37" s="160"/>
      <c r="L37" s="161"/>
      <c r="M37" s="162"/>
      <c r="N37" s="163"/>
      <c r="O37" s="164"/>
      <c r="P37" s="170"/>
      <c r="Q37" s="171"/>
      <c r="R37" s="170"/>
      <c r="S37" s="171"/>
      <c r="T37" s="225">
        <v>724</v>
      </c>
      <c r="U37" s="172"/>
    </row>
    <row r="38" spans="1:21" ht="16.5" customHeight="1" x14ac:dyDescent="0.3">
      <c r="A38" s="147">
        <v>15</v>
      </c>
      <c r="B38" s="147">
        <v>1518</v>
      </c>
      <c r="C38" s="197" t="s">
        <v>6353</v>
      </c>
      <c r="D38" s="188"/>
      <c r="E38" s="153"/>
      <c r="F38" s="171"/>
      <c r="G38" s="167"/>
      <c r="H38" s="150"/>
      <c r="I38" s="168"/>
      <c r="J38" s="150" t="s">
        <v>16812</v>
      </c>
      <c r="K38" s="150" t="s">
        <v>1</v>
      </c>
      <c r="L38" s="151">
        <v>0.7</v>
      </c>
      <c r="M38" s="162" t="s">
        <v>5895</v>
      </c>
      <c r="N38" s="163" t="s">
        <v>1</v>
      </c>
      <c r="O38" s="164">
        <v>1</v>
      </c>
      <c r="P38" s="170"/>
      <c r="Q38" s="171"/>
      <c r="R38" s="170"/>
      <c r="S38" s="171"/>
      <c r="T38" s="225">
        <v>724</v>
      </c>
      <c r="U38" s="172"/>
    </row>
    <row r="39" spans="1:21" ht="16.5" customHeight="1" x14ac:dyDescent="0.3">
      <c r="A39" s="147">
        <v>15</v>
      </c>
      <c r="B39" s="147">
        <v>1519</v>
      </c>
      <c r="C39" s="197" t="s">
        <v>6352</v>
      </c>
      <c r="D39" s="188"/>
      <c r="E39" s="153"/>
      <c r="F39" s="171"/>
      <c r="G39" s="156" t="s">
        <v>17042</v>
      </c>
      <c r="H39" s="160"/>
      <c r="I39" s="158"/>
      <c r="J39" s="160"/>
      <c r="K39" s="160"/>
      <c r="L39" s="161"/>
      <c r="M39" s="162"/>
      <c r="N39" s="163"/>
      <c r="O39" s="164"/>
      <c r="P39" s="170"/>
      <c r="Q39" s="171"/>
      <c r="R39" s="170"/>
      <c r="S39" s="171"/>
      <c r="T39" s="225">
        <v>1162</v>
      </c>
      <c r="U39" s="172"/>
    </row>
    <row r="40" spans="1:21" ht="16.5" customHeight="1" x14ac:dyDescent="0.3">
      <c r="A40" s="147">
        <v>15</v>
      </c>
      <c r="B40" s="147">
        <v>1520</v>
      </c>
      <c r="C40" s="197" t="s">
        <v>6350</v>
      </c>
      <c r="D40" s="188"/>
      <c r="E40" s="153"/>
      <c r="F40" s="171"/>
      <c r="G40" s="188" t="s">
        <v>17034</v>
      </c>
      <c r="H40" s="153"/>
      <c r="I40" s="171"/>
      <c r="J40" s="150"/>
      <c r="K40" s="150"/>
      <c r="L40" s="151"/>
      <c r="M40" s="162" t="s">
        <v>5895</v>
      </c>
      <c r="N40" s="163" t="s">
        <v>1</v>
      </c>
      <c r="O40" s="164">
        <v>1</v>
      </c>
      <c r="P40" s="170"/>
      <c r="Q40" s="171"/>
      <c r="R40" s="170"/>
      <c r="S40" s="171"/>
      <c r="T40" s="225">
        <v>1162</v>
      </c>
      <c r="U40" s="172"/>
    </row>
    <row r="41" spans="1:21" ht="16.5" customHeight="1" x14ac:dyDescent="0.3">
      <c r="A41" s="147">
        <v>15</v>
      </c>
      <c r="B41" s="147">
        <v>1521</v>
      </c>
      <c r="C41" s="197" t="s">
        <v>6349</v>
      </c>
      <c r="D41" s="188"/>
      <c r="E41" s="153"/>
      <c r="F41" s="171"/>
      <c r="G41" s="188" t="s">
        <v>16867</v>
      </c>
      <c r="H41" s="205">
        <v>436</v>
      </c>
      <c r="I41" s="171" t="s">
        <v>0</v>
      </c>
      <c r="J41" s="160" t="s">
        <v>17026</v>
      </c>
      <c r="K41" s="160"/>
      <c r="L41" s="161"/>
      <c r="M41" s="162"/>
      <c r="N41" s="163"/>
      <c r="O41" s="164"/>
      <c r="P41" s="170"/>
      <c r="Q41" s="171"/>
      <c r="R41" s="170"/>
      <c r="S41" s="171"/>
      <c r="T41" s="225">
        <v>813</v>
      </c>
      <c r="U41" s="172"/>
    </row>
    <row r="42" spans="1:21" ht="16.5" customHeight="1" x14ac:dyDescent="0.3">
      <c r="A42" s="147">
        <v>15</v>
      </c>
      <c r="B42" s="147">
        <v>1522</v>
      </c>
      <c r="C42" s="197" t="s">
        <v>6348</v>
      </c>
      <c r="D42" s="167"/>
      <c r="E42" s="150"/>
      <c r="F42" s="168"/>
      <c r="G42" s="167"/>
      <c r="H42" s="150"/>
      <c r="I42" s="168"/>
      <c r="J42" s="150" t="s">
        <v>17025</v>
      </c>
      <c r="K42" s="150" t="s">
        <v>1</v>
      </c>
      <c r="L42" s="151">
        <v>0.7</v>
      </c>
      <c r="M42" s="162" t="s">
        <v>5895</v>
      </c>
      <c r="N42" s="163" t="s">
        <v>1</v>
      </c>
      <c r="O42" s="164">
        <v>1</v>
      </c>
      <c r="P42" s="170"/>
      <c r="Q42" s="171"/>
      <c r="R42" s="170"/>
      <c r="S42" s="171"/>
      <c r="T42" s="225">
        <v>813</v>
      </c>
      <c r="U42" s="172"/>
    </row>
    <row r="43" spans="1:21" ht="16.5" customHeight="1" x14ac:dyDescent="0.3">
      <c r="A43" s="147">
        <v>15</v>
      </c>
      <c r="B43" s="147">
        <v>1523</v>
      </c>
      <c r="C43" s="197" t="s">
        <v>6347</v>
      </c>
      <c r="D43" s="156" t="s">
        <v>17041</v>
      </c>
      <c r="E43" s="160"/>
      <c r="F43" s="158"/>
      <c r="G43" s="156" t="s">
        <v>17035</v>
      </c>
      <c r="H43" s="160"/>
      <c r="I43" s="158"/>
      <c r="J43" s="160"/>
      <c r="K43" s="160"/>
      <c r="L43" s="161"/>
      <c r="M43" s="162"/>
      <c r="N43" s="163"/>
      <c r="O43" s="164"/>
      <c r="P43" s="170"/>
      <c r="Q43" s="171"/>
      <c r="R43" s="170"/>
      <c r="S43" s="171"/>
      <c r="T43" s="225">
        <v>864</v>
      </c>
      <c r="U43" s="172"/>
    </row>
    <row r="44" spans="1:21" ht="16.5" customHeight="1" x14ac:dyDescent="0.3">
      <c r="A44" s="147">
        <v>15</v>
      </c>
      <c r="B44" s="147">
        <v>1524</v>
      </c>
      <c r="C44" s="197" t="s">
        <v>6346</v>
      </c>
      <c r="D44" s="188" t="s">
        <v>17040</v>
      </c>
      <c r="E44" s="153"/>
      <c r="F44" s="171"/>
      <c r="G44" s="188" t="s">
        <v>17033</v>
      </c>
      <c r="H44" s="153"/>
      <c r="I44" s="171"/>
      <c r="J44" s="150"/>
      <c r="K44" s="150"/>
      <c r="L44" s="151"/>
      <c r="M44" s="162" t="s">
        <v>5895</v>
      </c>
      <c r="N44" s="163" t="s">
        <v>1</v>
      </c>
      <c r="O44" s="164">
        <v>1</v>
      </c>
      <c r="P44" s="170"/>
      <c r="Q44" s="171"/>
      <c r="R44" s="170"/>
      <c r="S44" s="171"/>
      <c r="T44" s="225">
        <v>864</v>
      </c>
      <c r="U44" s="172"/>
    </row>
    <row r="45" spans="1:21" ht="16.5" customHeight="1" x14ac:dyDescent="0.3">
      <c r="A45" s="147">
        <v>15</v>
      </c>
      <c r="B45" s="147">
        <v>1525</v>
      </c>
      <c r="C45" s="197" t="s">
        <v>6345</v>
      </c>
      <c r="D45" s="188" t="s">
        <v>17039</v>
      </c>
      <c r="E45" s="205">
        <v>591</v>
      </c>
      <c r="F45" s="171" t="s">
        <v>0</v>
      </c>
      <c r="G45" s="188"/>
      <c r="H45" s="205">
        <v>83</v>
      </c>
      <c r="I45" s="171" t="s">
        <v>0</v>
      </c>
      <c r="J45" s="160" t="s">
        <v>17026</v>
      </c>
      <c r="K45" s="160"/>
      <c r="L45" s="161"/>
      <c r="M45" s="162"/>
      <c r="N45" s="163"/>
      <c r="O45" s="164"/>
      <c r="P45" s="170"/>
      <c r="Q45" s="171"/>
      <c r="R45" s="170"/>
      <c r="S45" s="171"/>
      <c r="T45" s="225">
        <v>605</v>
      </c>
      <c r="U45" s="172"/>
    </row>
    <row r="46" spans="1:21" ht="16.5" customHeight="1" x14ac:dyDescent="0.3">
      <c r="A46" s="147">
        <v>15</v>
      </c>
      <c r="B46" s="147">
        <v>1526</v>
      </c>
      <c r="C46" s="197" t="s">
        <v>6344</v>
      </c>
      <c r="D46" s="188"/>
      <c r="E46" s="153"/>
      <c r="F46" s="171"/>
      <c r="G46" s="167"/>
      <c r="H46" s="150"/>
      <c r="I46" s="168"/>
      <c r="J46" s="150" t="s">
        <v>17025</v>
      </c>
      <c r="K46" s="150" t="s">
        <v>1</v>
      </c>
      <c r="L46" s="151">
        <v>0.7</v>
      </c>
      <c r="M46" s="162" t="s">
        <v>5895</v>
      </c>
      <c r="N46" s="163" t="s">
        <v>1</v>
      </c>
      <c r="O46" s="164">
        <v>1</v>
      </c>
      <c r="P46" s="170"/>
      <c r="Q46" s="171"/>
      <c r="R46" s="170"/>
      <c r="S46" s="171"/>
      <c r="T46" s="225">
        <v>605</v>
      </c>
      <c r="U46" s="172"/>
    </row>
    <row r="47" spans="1:21" ht="16.5" customHeight="1" x14ac:dyDescent="0.3">
      <c r="A47" s="147">
        <v>15</v>
      </c>
      <c r="B47" s="147">
        <v>1527</v>
      </c>
      <c r="C47" s="197" t="s">
        <v>6343</v>
      </c>
      <c r="D47" s="188"/>
      <c r="E47" s="153"/>
      <c r="F47" s="171"/>
      <c r="G47" s="156" t="s">
        <v>17038</v>
      </c>
      <c r="H47" s="160"/>
      <c r="I47" s="158"/>
      <c r="J47" s="160"/>
      <c r="K47" s="160"/>
      <c r="L47" s="161"/>
      <c r="M47" s="162"/>
      <c r="N47" s="163"/>
      <c r="O47" s="164"/>
      <c r="P47" s="170"/>
      <c r="Q47" s="171"/>
      <c r="R47" s="170"/>
      <c r="S47" s="171"/>
      <c r="T47" s="225">
        <v>990</v>
      </c>
      <c r="U47" s="172"/>
    </row>
    <row r="48" spans="1:21" ht="16.5" customHeight="1" x14ac:dyDescent="0.3">
      <c r="A48" s="147">
        <v>15</v>
      </c>
      <c r="B48" s="147">
        <v>1528</v>
      </c>
      <c r="C48" s="197" t="s">
        <v>6342</v>
      </c>
      <c r="D48" s="188"/>
      <c r="E48" s="153"/>
      <c r="F48" s="171"/>
      <c r="G48" s="188" t="s">
        <v>17030</v>
      </c>
      <c r="H48" s="153"/>
      <c r="I48" s="171"/>
      <c r="J48" s="150"/>
      <c r="K48" s="150"/>
      <c r="L48" s="151"/>
      <c r="M48" s="162" t="s">
        <v>5895</v>
      </c>
      <c r="N48" s="163" t="s">
        <v>1</v>
      </c>
      <c r="O48" s="164">
        <v>1</v>
      </c>
      <c r="P48" s="170"/>
      <c r="Q48" s="171"/>
      <c r="R48" s="170"/>
      <c r="S48" s="171"/>
      <c r="T48" s="225">
        <v>990</v>
      </c>
      <c r="U48" s="172"/>
    </row>
    <row r="49" spans="1:21" ht="16.5" customHeight="1" x14ac:dyDescent="0.3">
      <c r="A49" s="147">
        <v>15</v>
      </c>
      <c r="B49" s="147">
        <v>1529</v>
      </c>
      <c r="C49" s="197" t="s">
        <v>6341</v>
      </c>
      <c r="D49" s="188"/>
      <c r="E49" s="153"/>
      <c r="F49" s="171"/>
      <c r="G49" s="188" t="s">
        <v>16873</v>
      </c>
      <c r="H49" s="205">
        <v>167</v>
      </c>
      <c r="I49" s="171" t="s">
        <v>0</v>
      </c>
      <c r="J49" s="160" t="s">
        <v>16823</v>
      </c>
      <c r="K49" s="160"/>
      <c r="L49" s="161"/>
      <c r="M49" s="162"/>
      <c r="N49" s="163"/>
      <c r="O49" s="164"/>
      <c r="P49" s="170"/>
      <c r="Q49" s="171"/>
      <c r="R49" s="170"/>
      <c r="S49" s="171"/>
      <c r="T49" s="225">
        <v>694</v>
      </c>
      <c r="U49" s="172"/>
    </row>
    <row r="50" spans="1:21" ht="16.5" customHeight="1" x14ac:dyDescent="0.3">
      <c r="A50" s="147">
        <v>15</v>
      </c>
      <c r="B50" s="147">
        <v>1530</v>
      </c>
      <c r="C50" s="197" t="s">
        <v>6340</v>
      </c>
      <c r="D50" s="188"/>
      <c r="E50" s="153"/>
      <c r="F50" s="171"/>
      <c r="G50" s="167"/>
      <c r="H50" s="150"/>
      <c r="I50" s="168"/>
      <c r="J50" s="150" t="s">
        <v>17025</v>
      </c>
      <c r="K50" s="150" t="s">
        <v>1</v>
      </c>
      <c r="L50" s="151">
        <v>0.7</v>
      </c>
      <c r="M50" s="162" t="s">
        <v>5895</v>
      </c>
      <c r="N50" s="163" t="s">
        <v>1</v>
      </c>
      <c r="O50" s="164">
        <v>1</v>
      </c>
      <c r="P50" s="170"/>
      <c r="Q50" s="171"/>
      <c r="R50" s="170"/>
      <c r="S50" s="171"/>
      <c r="T50" s="225">
        <v>694</v>
      </c>
      <c r="U50" s="172"/>
    </row>
    <row r="51" spans="1:21" ht="16.5" customHeight="1" x14ac:dyDescent="0.3">
      <c r="A51" s="147">
        <v>15</v>
      </c>
      <c r="B51" s="147">
        <v>1531</v>
      </c>
      <c r="C51" s="197" t="s">
        <v>6339</v>
      </c>
      <c r="D51" s="188"/>
      <c r="E51" s="153"/>
      <c r="F51" s="171"/>
      <c r="G51" s="156" t="s">
        <v>17037</v>
      </c>
      <c r="H51" s="160"/>
      <c r="I51" s="158"/>
      <c r="J51" s="160"/>
      <c r="K51" s="160"/>
      <c r="L51" s="161"/>
      <c r="M51" s="162"/>
      <c r="N51" s="163"/>
      <c r="O51" s="164"/>
      <c r="P51" s="170"/>
      <c r="Q51" s="171"/>
      <c r="R51" s="170"/>
      <c r="S51" s="171"/>
      <c r="T51" s="225">
        <v>1116</v>
      </c>
      <c r="U51" s="172"/>
    </row>
    <row r="52" spans="1:21" ht="16.5" customHeight="1" x14ac:dyDescent="0.3">
      <c r="A52" s="147">
        <v>15</v>
      </c>
      <c r="B52" s="147">
        <v>1532</v>
      </c>
      <c r="C52" s="197" t="s">
        <v>6337</v>
      </c>
      <c r="D52" s="188"/>
      <c r="E52" s="153"/>
      <c r="F52" s="171"/>
      <c r="G52" s="188" t="s">
        <v>16871</v>
      </c>
      <c r="H52" s="153"/>
      <c r="I52" s="171"/>
      <c r="J52" s="150"/>
      <c r="K52" s="150"/>
      <c r="L52" s="151"/>
      <c r="M52" s="162" t="s">
        <v>5895</v>
      </c>
      <c r="N52" s="163" t="s">
        <v>1</v>
      </c>
      <c r="O52" s="164">
        <v>1</v>
      </c>
      <c r="P52" s="170"/>
      <c r="Q52" s="171"/>
      <c r="R52" s="170"/>
      <c r="S52" s="171"/>
      <c r="T52" s="225">
        <v>1116</v>
      </c>
      <c r="U52" s="172"/>
    </row>
    <row r="53" spans="1:21" ht="16.5" customHeight="1" x14ac:dyDescent="0.3">
      <c r="A53" s="147">
        <v>15</v>
      </c>
      <c r="B53" s="147">
        <v>1533</v>
      </c>
      <c r="C53" s="197" t="s">
        <v>6336</v>
      </c>
      <c r="D53" s="188"/>
      <c r="E53" s="153"/>
      <c r="F53" s="171"/>
      <c r="G53" s="188" t="s">
        <v>16870</v>
      </c>
      <c r="H53" s="205">
        <v>251</v>
      </c>
      <c r="I53" s="171" t="s">
        <v>0</v>
      </c>
      <c r="J53" s="160" t="s">
        <v>17026</v>
      </c>
      <c r="K53" s="160"/>
      <c r="L53" s="161"/>
      <c r="M53" s="162"/>
      <c r="N53" s="163"/>
      <c r="O53" s="164"/>
      <c r="P53" s="170"/>
      <c r="Q53" s="171"/>
      <c r="R53" s="170"/>
      <c r="S53" s="171"/>
      <c r="T53" s="225">
        <v>782</v>
      </c>
      <c r="U53" s="172"/>
    </row>
    <row r="54" spans="1:21" ht="16.5" customHeight="1" x14ac:dyDescent="0.3">
      <c r="A54" s="147">
        <v>15</v>
      </c>
      <c r="B54" s="147">
        <v>1534</v>
      </c>
      <c r="C54" s="197" t="s">
        <v>6335</v>
      </c>
      <c r="D54" s="167"/>
      <c r="E54" s="150"/>
      <c r="F54" s="168"/>
      <c r="G54" s="167"/>
      <c r="H54" s="150"/>
      <c r="I54" s="168"/>
      <c r="J54" s="150" t="s">
        <v>17025</v>
      </c>
      <c r="K54" s="150" t="s">
        <v>1</v>
      </c>
      <c r="L54" s="151">
        <v>0.7</v>
      </c>
      <c r="M54" s="162" t="s">
        <v>5895</v>
      </c>
      <c r="N54" s="163" t="s">
        <v>1</v>
      </c>
      <c r="O54" s="164">
        <v>1</v>
      </c>
      <c r="P54" s="170"/>
      <c r="Q54" s="171"/>
      <c r="R54" s="170"/>
      <c r="S54" s="171"/>
      <c r="T54" s="225">
        <v>782</v>
      </c>
      <c r="U54" s="172"/>
    </row>
    <row r="55" spans="1:21" ht="16.5" customHeight="1" x14ac:dyDescent="0.3">
      <c r="A55" s="147">
        <v>15</v>
      </c>
      <c r="B55" s="147">
        <v>1535</v>
      </c>
      <c r="C55" s="197" t="s">
        <v>6334</v>
      </c>
      <c r="D55" s="156" t="s">
        <v>17036</v>
      </c>
      <c r="E55" s="160"/>
      <c r="F55" s="158"/>
      <c r="G55" s="156" t="s">
        <v>17035</v>
      </c>
      <c r="H55" s="160"/>
      <c r="I55" s="158"/>
      <c r="J55" s="160"/>
      <c r="K55" s="160"/>
      <c r="L55" s="161"/>
      <c r="M55" s="162"/>
      <c r="N55" s="163"/>
      <c r="O55" s="164"/>
      <c r="P55" s="170"/>
      <c r="Q55" s="171"/>
      <c r="R55" s="170"/>
      <c r="S55" s="171"/>
      <c r="T55" s="225">
        <v>969</v>
      </c>
      <c r="U55" s="172"/>
    </row>
    <row r="56" spans="1:21" ht="16.5" customHeight="1" x14ac:dyDescent="0.3">
      <c r="A56" s="147">
        <v>15</v>
      </c>
      <c r="B56" s="147">
        <v>1536</v>
      </c>
      <c r="C56" s="197" t="s">
        <v>6332</v>
      </c>
      <c r="D56" s="188" t="s">
        <v>17034</v>
      </c>
      <c r="E56" s="153"/>
      <c r="F56" s="171"/>
      <c r="G56" s="188" t="s">
        <v>17033</v>
      </c>
      <c r="H56" s="153"/>
      <c r="I56" s="171"/>
      <c r="J56" s="150"/>
      <c r="K56" s="150"/>
      <c r="L56" s="151"/>
      <c r="M56" s="162" t="s">
        <v>5895</v>
      </c>
      <c r="N56" s="163" t="s">
        <v>1</v>
      </c>
      <c r="O56" s="164">
        <v>1</v>
      </c>
      <c r="P56" s="170"/>
      <c r="Q56" s="171"/>
      <c r="R56" s="170"/>
      <c r="S56" s="171"/>
      <c r="T56" s="225">
        <v>969</v>
      </c>
      <c r="U56" s="172"/>
    </row>
    <row r="57" spans="1:21" ht="16.5" customHeight="1" x14ac:dyDescent="0.3">
      <c r="A57" s="147">
        <v>15</v>
      </c>
      <c r="B57" s="147">
        <v>1537</v>
      </c>
      <c r="C57" s="197" t="s">
        <v>6331</v>
      </c>
      <c r="D57" s="188" t="s">
        <v>17032</v>
      </c>
      <c r="E57" s="205">
        <v>674</v>
      </c>
      <c r="F57" s="171" t="s">
        <v>0</v>
      </c>
      <c r="G57" s="188"/>
      <c r="H57" s="205">
        <v>84</v>
      </c>
      <c r="I57" s="171" t="s">
        <v>0</v>
      </c>
      <c r="J57" s="160" t="s">
        <v>17026</v>
      </c>
      <c r="K57" s="160"/>
      <c r="L57" s="161"/>
      <c r="M57" s="162"/>
      <c r="N57" s="163"/>
      <c r="O57" s="164"/>
      <c r="P57" s="170"/>
      <c r="Q57" s="171"/>
      <c r="R57" s="170"/>
      <c r="S57" s="171"/>
      <c r="T57" s="225">
        <v>679</v>
      </c>
      <c r="U57" s="172"/>
    </row>
    <row r="58" spans="1:21" ht="16.5" customHeight="1" x14ac:dyDescent="0.3">
      <c r="A58" s="147">
        <v>15</v>
      </c>
      <c r="B58" s="147">
        <v>1538</v>
      </c>
      <c r="C58" s="197" t="s">
        <v>6330</v>
      </c>
      <c r="D58" s="188"/>
      <c r="E58" s="153"/>
      <c r="F58" s="171"/>
      <c r="G58" s="167"/>
      <c r="H58" s="150"/>
      <c r="I58" s="168"/>
      <c r="J58" s="150" t="s">
        <v>17025</v>
      </c>
      <c r="K58" s="150" t="s">
        <v>1</v>
      </c>
      <c r="L58" s="151">
        <v>0.7</v>
      </c>
      <c r="M58" s="162" t="s">
        <v>5895</v>
      </c>
      <c r="N58" s="163" t="s">
        <v>1</v>
      </c>
      <c r="O58" s="164">
        <v>1</v>
      </c>
      <c r="P58" s="170"/>
      <c r="Q58" s="171"/>
      <c r="R58" s="170"/>
      <c r="S58" s="171"/>
      <c r="T58" s="225">
        <v>679</v>
      </c>
      <c r="U58" s="172"/>
    </row>
    <row r="59" spans="1:21" ht="16.5" customHeight="1" x14ac:dyDescent="0.3">
      <c r="A59" s="147">
        <v>15</v>
      </c>
      <c r="B59" s="147">
        <v>1539</v>
      </c>
      <c r="C59" s="197" t="s">
        <v>6329</v>
      </c>
      <c r="D59" s="188"/>
      <c r="E59" s="153"/>
      <c r="F59" s="171"/>
      <c r="G59" s="156" t="s">
        <v>17031</v>
      </c>
      <c r="H59" s="160"/>
      <c r="I59" s="158"/>
      <c r="J59" s="160"/>
      <c r="K59" s="160"/>
      <c r="L59" s="161"/>
      <c r="M59" s="162"/>
      <c r="N59" s="163"/>
      <c r="O59" s="164"/>
      <c r="P59" s="170"/>
      <c r="Q59" s="171"/>
      <c r="R59" s="170"/>
      <c r="S59" s="171"/>
      <c r="T59" s="225">
        <v>1095</v>
      </c>
      <c r="U59" s="172"/>
    </row>
    <row r="60" spans="1:21" ht="16.5" customHeight="1" x14ac:dyDescent="0.3">
      <c r="A60" s="147">
        <v>15</v>
      </c>
      <c r="B60" s="147">
        <v>1540</v>
      </c>
      <c r="C60" s="197" t="s">
        <v>6327</v>
      </c>
      <c r="D60" s="188"/>
      <c r="E60" s="153"/>
      <c r="F60" s="171"/>
      <c r="G60" s="188" t="s">
        <v>17030</v>
      </c>
      <c r="H60" s="153"/>
      <c r="I60" s="171"/>
      <c r="J60" s="150"/>
      <c r="K60" s="150"/>
      <c r="L60" s="151"/>
      <c r="M60" s="162" t="s">
        <v>5895</v>
      </c>
      <c r="N60" s="163" t="s">
        <v>1</v>
      </c>
      <c r="O60" s="164">
        <v>1</v>
      </c>
      <c r="P60" s="170"/>
      <c r="Q60" s="171"/>
      <c r="R60" s="170"/>
      <c r="S60" s="171"/>
      <c r="T60" s="225">
        <v>1095</v>
      </c>
      <c r="U60" s="172"/>
    </row>
    <row r="61" spans="1:21" ht="16.5" customHeight="1" x14ac:dyDescent="0.3">
      <c r="A61" s="147">
        <v>15</v>
      </c>
      <c r="B61" s="147">
        <v>1541</v>
      </c>
      <c r="C61" s="197" t="s">
        <v>6326</v>
      </c>
      <c r="D61" s="188"/>
      <c r="E61" s="153"/>
      <c r="F61" s="171"/>
      <c r="G61" s="188" t="s">
        <v>16873</v>
      </c>
      <c r="H61" s="205">
        <v>168</v>
      </c>
      <c r="I61" s="171" t="s">
        <v>0</v>
      </c>
      <c r="J61" s="160" t="s">
        <v>17026</v>
      </c>
      <c r="K61" s="160"/>
      <c r="L61" s="161"/>
      <c r="M61" s="162"/>
      <c r="N61" s="163"/>
      <c r="O61" s="164"/>
      <c r="P61" s="170"/>
      <c r="Q61" s="171"/>
      <c r="R61" s="170"/>
      <c r="S61" s="171"/>
      <c r="T61" s="225">
        <v>767</v>
      </c>
      <c r="U61" s="172"/>
    </row>
    <row r="62" spans="1:21" ht="16.5" customHeight="1" x14ac:dyDescent="0.3">
      <c r="A62" s="147">
        <v>15</v>
      </c>
      <c r="B62" s="147">
        <v>1542</v>
      </c>
      <c r="C62" s="197" t="s">
        <v>6325</v>
      </c>
      <c r="D62" s="167"/>
      <c r="E62" s="150"/>
      <c r="F62" s="168"/>
      <c r="G62" s="167"/>
      <c r="H62" s="150"/>
      <c r="I62" s="168"/>
      <c r="J62" s="150" t="s">
        <v>17025</v>
      </c>
      <c r="K62" s="150" t="s">
        <v>1</v>
      </c>
      <c r="L62" s="151">
        <v>0.7</v>
      </c>
      <c r="M62" s="162" t="s">
        <v>5895</v>
      </c>
      <c r="N62" s="163" t="s">
        <v>1</v>
      </c>
      <c r="O62" s="164">
        <v>1</v>
      </c>
      <c r="P62" s="170"/>
      <c r="Q62" s="171"/>
      <c r="R62" s="170"/>
      <c r="S62" s="171"/>
      <c r="T62" s="225">
        <v>767</v>
      </c>
      <c r="U62" s="172"/>
    </row>
    <row r="63" spans="1:21" ht="16.5" customHeight="1" x14ac:dyDescent="0.3">
      <c r="A63" s="147">
        <v>15</v>
      </c>
      <c r="B63" s="147">
        <v>1543</v>
      </c>
      <c r="C63" s="197" t="s">
        <v>6324</v>
      </c>
      <c r="D63" s="156" t="s">
        <v>17029</v>
      </c>
      <c r="E63" s="160"/>
      <c r="F63" s="158"/>
      <c r="G63" s="156" t="s">
        <v>1784</v>
      </c>
      <c r="H63" s="160"/>
      <c r="I63" s="158"/>
      <c r="J63" s="160"/>
      <c r="K63" s="160"/>
      <c r="L63" s="161"/>
      <c r="M63" s="162"/>
      <c r="N63" s="163"/>
      <c r="O63" s="164"/>
      <c r="P63" s="170"/>
      <c r="Q63" s="171"/>
      <c r="R63" s="170"/>
      <c r="S63" s="171"/>
      <c r="T63" s="225">
        <v>1074</v>
      </c>
      <c r="U63" s="172"/>
    </row>
    <row r="64" spans="1:21" ht="16.5" customHeight="1" x14ac:dyDescent="0.3">
      <c r="A64" s="147">
        <v>15</v>
      </c>
      <c r="B64" s="147">
        <v>1544</v>
      </c>
      <c r="C64" s="197" t="s">
        <v>6323</v>
      </c>
      <c r="D64" s="188" t="s">
        <v>17028</v>
      </c>
      <c r="E64" s="153"/>
      <c r="F64" s="171"/>
      <c r="G64" s="188"/>
      <c r="H64" s="153"/>
      <c r="I64" s="171"/>
      <c r="J64" s="150"/>
      <c r="K64" s="150"/>
      <c r="L64" s="151"/>
      <c r="M64" s="162" t="s">
        <v>5895</v>
      </c>
      <c r="N64" s="163" t="s">
        <v>1</v>
      </c>
      <c r="O64" s="164">
        <v>1</v>
      </c>
      <c r="P64" s="170"/>
      <c r="Q64" s="171"/>
      <c r="R64" s="170"/>
      <c r="S64" s="171"/>
      <c r="T64" s="225">
        <v>1074</v>
      </c>
      <c r="U64" s="172"/>
    </row>
    <row r="65" spans="1:21" ht="16.5" customHeight="1" x14ac:dyDescent="0.3">
      <c r="A65" s="147">
        <v>15</v>
      </c>
      <c r="B65" s="147">
        <v>1545</v>
      </c>
      <c r="C65" s="197" t="s">
        <v>6322</v>
      </c>
      <c r="D65" s="188" t="s">
        <v>17027</v>
      </c>
      <c r="E65" s="205">
        <v>758</v>
      </c>
      <c r="F65" s="171" t="s">
        <v>0</v>
      </c>
      <c r="G65" s="188"/>
      <c r="H65" s="205">
        <v>84</v>
      </c>
      <c r="I65" s="171" t="s">
        <v>0</v>
      </c>
      <c r="J65" s="160" t="s">
        <v>17026</v>
      </c>
      <c r="K65" s="160"/>
      <c r="L65" s="161"/>
      <c r="M65" s="162"/>
      <c r="N65" s="163"/>
      <c r="O65" s="164"/>
      <c r="P65" s="170"/>
      <c r="Q65" s="171"/>
      <c r="R65" s="170"/>
      <c r="S65" s="171"/>
      <c r="T65" s="225">
        <v>753</v>
      </c>
      <c r="U65" s="172"/>
    </row>
    <row r="66" spans="1:21" ht="16.5" customHeight="1" x14ac:dyDescent="0.3">
      <c r="A66" s="147">
        <v>15</v>
      </c>
      <c r="B66" s="147">
        <v>1546</v>
      </c>
      <c r="C66" s="197" t="s">
        <v>6321</v>
      </c>
      <c r="D66" s="167"/>
      <c r="E66" s="150"/>
      <c r="F66" s="168"/>
      <c r="G66" s="167"/>
      <c r="H66" s="150"/>
      <c r="I66" s="168"/>
      <c r="J66" s="150" t="s">
        <v>17025</v>
      </c>
      <c r="K66" s="150" t="s">
        <v>1</v>
      </c>
      <c r="L66" s="151">
        <v>0.7</v>
      </c>
      <c r="M66" s="162" t="s">
        <v>5895</v>
      </c>
      <c r="N66" s="163" t="s">
        <v>1</v>
      </c>
      <c r="O66" s="164">
        <v>1</v>
      </c>
      <c r="P66" s="176"/>
      <c r="Q66" s="168"/>
      <c r="R66" s="176"/>
      <c r="S66" s="168"/>
      <c r="T66" s="225">
        <v>753</v>
      </c>
      <c r="U66" s="177"/>
    </row>
    <row r="67" spans="1:21" ht="16.5" customHeight="1" x14ac:dyDescent="0.3">
      <c r="E67" s="45"/>
      <c r="F67" s="45"/>
    </row>
    <row r="68" spans="1:21" ht="16.5" customHeight="1" x14ac:dyDescent="0.3">
      <c r="E68" s="45"/>
      <c r="F68" s="45"/>
    </row>
  </sheetData>
  <phoneticPr fontId="1"/>
  <printOptions horizontalCentered="1"/>
  <pageMargins left="0.59055118110236227" right="0.59055118110236227" top="0.62992125984251968" bottom="0.39370078740157483" header="0.51181102362204722" footer="0.31496062992125984"/>
  <pageSetup paperSize="9" scale="48" fitToHeight="0" orientation="portrait" r:id="rId1"/>
  <headerFooter>
    <oddHeader>&amp;R&amp;"ＭＳ Ｐゴシック"&amp;9同行援護</oddHeader>
    <oddFooter>&amp;C&amp;"ＭＳ Ｐゴシック"&amp;14&amp;P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77</vt:i4>
      </vt:variant>
      <vt:variant>
        <vt:lpstr>名前付き一覧</vt:lpstr>
      </vt:variant>
      <vt:variant>
        <vt:i4>573</vt:i4>
      </vt:variant>
    </vt:vector>
  </HeadingPairs>
  <TitlesOfParts>
    <vt:vector size="650" baseType="lpstr">
      <vt:lpstr>_11_居宅介護（名前定義）</vt:lpstr>
      <vt:lpstr>_15_同行援護（名前定義）</vt:lpstr>
      <vt:lpstr>3同行援護(同行援護1、単一日中)</vt:lpstr>
      <vt:lpstr>3同行援護(同行援護1、単一早朝夜間)</vt:lpstr>
      <vt:lpstr>3同行援護(同行援護1、単一深夜)</vt:lpstr>
      <vt:lpstr>3同行援護(同行援護1、合成深夜)</vt:lpstr>
      <vt:lpstr>3同行援護(同行援護1、合成早朝)</vt:lpstr>
      <vt:lpstr>3同行援護(同行援護1、合成日中)</vt:lpstr>
      <vt:lpstr>3同行援護(同行援護1、合成夜間１)</vt:lpstr>
      <vt:lpstr>3同行援護(同行援護1、合成夜間２)</vt:lpstr>
      <vt:lpstr>3同行援護(同行援護1、2h未合成１)</vt:lpstr>
      <vt:lpstr>3同行援護(同行援護1、2h未合成２)</vt:lpstr>
      <vt:lpstr>3同行援護(同行援護1、2h未合成３)</vt:lpstr>
      <vt:lpstr>3同行援護(同行援護1、日中増分)</vt:lpstr>
      <vt:lpstr>3同行援護(同行援護1、早朝夜間増分)</vt:lpstr>
      <vt:lpstr>3同行援護(同行援護1、深夜増分)</vt:lpstr>
      <vt:lpstr>3同行援護(同行援護1盲ろう、単一日中)</vt:lpstr>
      <vt:lpstr>3同行援護(同行援護1盲ろう、単一早朝夜間)</vt:lpstr>
      <vt:lpstr>3同行援護(同行援護1盲ろう、単一深夜)</vt:lpstr>
      <vt:lpstr>3同行援護(同行援護1盲ろう、合成深夜)</vt:lpstr>
      <vt:lpstr>3同行援護(同行援護1盲ろう、合成早朝)</vt:lpstr>
      <vt:lpstr>3同行援護(同行援護1盲ろう、合成日中)</vt:lpstr>
      <vt:lpstr>3同行援護(同行援護1盲ろう、合成夜間１)</vt:lpstr>
      <vt:lpstr>3同行援護(同行援護1盲ろう、合成夜間２)</vt:lpstr>
      <vt:lpstr>3同行援護(同行援護1盲ろう、2h未合成１)</vt:lpstr>
      <vt:lpstr>3同行援護(同行援護1盲ろう、2h未合成２)</vt:lpstr>
      <vt:lpstr>3同行援護(同行援護1盲ろう、2h未合成３)</vt:lpstr>
      <vt:lpstr>3同行援護(同行援護1盲ろう、日中増分)</vt:lpstr>
      <vt:lpstr>3同行援護(同行援護1盲ろう、早朝夜間増分)</vt:lpstr>
      <vt:lpstr>3同行援護(同行援護1盲ろう、深夜増分)</vt:lpstr>
      <vt:lpstr>3同行援護(同行援護2、単一日中)</vt:lpstr>
      <vt:lpstr>3同行援護(同行援護2、単一早朝夜間)</vt:lpstr>
      <vt:lpstr>3同行援護(同行援護2、単一深夜)</vt:lpstr>
      <vt:lpstr>3同行援護(同行援護2、合成１)</vt:lpstr>
      <vt:lpstr>3同行援護(同行援護2、合成２)</vt:lpstr>
      <vt:lpstr>3同行援護(同行援護2、2h未合成１)</vt:lpstr>
      <vt:lpstr>3同行援護(同行援護2、日中増分)</vt:lpstr>
      <vt:lpstr>3同行援護(同行援護2、早朝夜間増分)</vt:lpstr>
      <vt:lpstr>3同行援護(同行援護2、深夜増分)</vt:lpstr>
      <vt:lpstr>3同行援護(同行援護2盲ろう、単一日中)</vt:lpstr>
      <vt:lpstr>3同行援護(同行援護2盲ろう、単一早朝夜間)</vt:lpstr>
      <vt:lpstr>3同行援護(同行援護2盲ろう、単一深夜)</vt:lpstr>
      <vt:lpstr>3同行援護(同行援護2盲ろう、合成１)</vt:lpstr>
      <vt:lpstr>3同行援護(同行援護2盲ろう、合成２)</vt:lpstr>
      <vt:lpstr>3同行援護(同行援護2盲ろう、2h未合成１)</vt:lpstr>
      <vt:lpstr>3同行援護(同行援護2盲ろう、日中増分)</vt:lpstr>
      <vt:lpstr>3同行援護(同行援護2盲ろう、早朝夜間増分)</vt:lpstr>
      <vt:lpstr>3同行援護(同行援護2盲ろう、深夜増分)</vt:lpstr>
      <vt:lpstr>3同行援護(同行援護、単一日中)</vt:lpstr>
      <vt:lpstr>3同行援護(同行援護、単一早朝夜間)</vt:lpstr>
      <vt:lpstr>3同行援護(同行援護、単一深夜)</vt:lpstr>
      <vt:lpstr>3同行援護(同行援護、合成深夜)</vt:lpstr>
      <vt:lpstr>3同行援護(同行援護、合成早朝)</vt:lpstr>
      <vt:lpstr>3同行援護(同行援護、合成日中)</vt:lpstr>
      <vt:lpstr>3同行援護(同行援護、合成夜間１)</vt:lpstr>
      <vt:lpstr>3同行援護(同行援護、合成夜間２)</vt:lpstr>
      <vt:lpstr>3同行援護(同行援護、2h未合成１)</vt:lpstr>
      <vt:lpstr>3同行援護(同行援護、2h未合成２)</vt:lpstr>
      <vt:lpstr>3同行援護(同行援護、2h未合成３)</vt:lpstr>
      <vt:lpstr>3同行援護(同行援護、日中増分)</vt:lpstr>
      <vt:lpstr>3同行援護(同行援護、早朝夜間増分)</vt:lpstr>
      <vt:lpstr>3同行援護(同行援護、深夜増分)</vt:lpstr>
      <vt:lpstr>3同行援護(同行援護盲ろう、単一日中)</vt:lpstr>
      <vt:lpstr>3同行援護(同行援護盲ろう、単一早朝夜間)</vt:lpstr>
      <vt:lpstr>3同行援護(同行援護盲ろう、単一深夜)</vt:lpstr>
      <vt:lpstr>3同行援護(同行援護盲ろう、合成深夜)</vt:lpstr>
      <vt:lpstr>3同行援護(同行援護盲ろう、合成早朝)</vt:lpstr>
      <vt:lpstr>3同行援護(同行援護盲ろう、合成日中)</vt:lpstr>
      <vt:lpstr>3同行援護(同行援護盲ろう、合成夜間１)</vt:lpstr>
      <vt:lpstr>3同行援護(同行援護盲ろう、合成夜間２)</vt:lpstr>
      <vt:lpstr>3同行援護(同行援護盲ろう、2h未合成１)</vt:lpstr>
      <vt:lpstr>3同行援護(同行援護盲ろう、2h未合成２)</vt:lpstr>
      <vt:lpstr>3同行援護(同行援護盲ろう、2h未合成３)</vt:lpstr>
      <vt:lpstr>3同行援護(同行援護盲ろう、日中増分)</vt:lpstr>
      <vt:lpstr>3同行援護(同行援護盲ろう、早朝夜間増分)</vt:lpstr>
      <vt:lpstr>3同行援護(同行援護盲ろう、深夜増分)</vt:lpstr>
      <vt:lpstr>3同行援護(単独加算)</vt:lpstr>
      <vt:lpstr>_11_A家事０．５</vt:lpstr>
      <vt:lpstr>_11_A家事０．７５</vt:lpstr>
      <vt:lpstr>_11_A家事１．０</vt:lpstr>
      <vt:lpstr>_11_A家事１．２５</vt:lpstr>
      <vt:lpstr>_11_A家事１．５</vt:lpstr>
      <vt:lpstr>_11_A家事１．７５</vt:lpstr>
      <vt:lpstr>_11_A家事１０．０</vt:lpstr>
      <vt:lpstr>_11_A家事１０．２５</vt:lpstr>
      <vt:lpstr>_11_A家事１０．５</vt:lpstr>
      <vt:lpstr>_11_A家事２．０</vt:lpstr>
      <vt:lpstr>_11_A家事２．２５</vt:lpstr>
      <vt:lpstr>_11_A家事２．５</vt:lpstr>
      <vt:lpstr>_11_A家事２．７５</vt:lpstr>
      <vt:lpstr>_11_A家事３．０</vt:lpstr>
      <vt:lpstr>_11_A家事３．２５</vt:lpstr>
      <vt:lpstr>_11_A家事３．５</vt:lpstr>
      <vt:lpstr>_11_A家事３．７５</vt:lpstr>
      <vt:lpstr>_11_A家事４．０</vt:lpstr>
      <vt:lpstr>_11_A家事４．２５</vt:lpstr>
      <vt:lpstr>_11_A家事４．５</vt:lpstr>
      <vt:lpstr>_11_A家事４．７５</vt:lpstr>
      <vt:lpstr>_11_A家事５．０</vt:lpstr>
      <vt:lpstr>_11_A家事５．２５</vt:lpstr>
      <vt:lpstr>_11_A家事５．５</vt:lpstr>
      <vt:lpstr>_11_A家事５．７５</vt:lpstr>
      <vt:lpstr>_11_A家事６．０</vt:lpstr>
      <vt:lpstr>_11_A家事６．２５</vt:lpstr>
      <vt:lpstr>_11_A家事６．５</vt:lpstr>
      <vt:lpstr>_11_A家事６．７５</vt:lpstr>
      <vt:lpstr>_11_A家事７．０</vt:lpstr>
      <vt:lpstr>_11_A家事７．２５</vt:lpstr>
      <vt:lpstr>_11_A家事７．５</vt:lpstr>
      <vt:lpstr>_11_A家事７．７５</vt:lpstr>
      <vt:lpstr>_11_A家事８．０</vt:lpstr>
      <vt:lpstr>_11_A家事８．２５</vt:lpstr>
      <vt:lpstr>_11_A家事８．５</vt:lpstr>
      <vt:lpstr>_11_A家事８．７５</vt:lpstr>
      <vt:lpstr>_11_A家事９．０</vt:lpstr>
      <vt:lpstr>_11_A家事９．２５</vt:lpstr>
      <vt:lpstr>_11_A家事９．５</vt:lpstr>
      <vt:lpstr>_11_A家事９．７５</vt:lpstr>
      <vt:lpstr>_11_A家事増０．２５</vt:lpstr>
      <vt:lpstr>_11_A家事増０．５</vt:lpstr>
      <vt:lpstr>_11_A家事増０．７５</vt:lpstr>
      <vt:lpstr>_11_A家事増１．０</vt:lpstr>
      <vt:lpstr>_11_A家事増１．２５</vt:lpstr>
      <vt:lpstr>_11_A家事増１．５</vt:lpstr>
      <vt:lpstr>_11_A家事増１．７５</vt:lpstr>
      <vt:lpstr>_11_A家事増１０．０</vt:lpstr>
      <vt:lpstr>_11_A家事増１０．２５</vt:lpstr>
      <vt:lpstr>_11_A家事増１０．５</vt:lpstr>
      <vt:lpstr>_11_A家事増２．０</vt:lpstr>
      <vt:lpstr>_11_A家事増２．２５</vt:lpstr>
      <vt:lpstr>_11_A家事増２．５</vt:lpstr>
      <vt:lpstr>_11_A家事増２．７５</vt:lpstr>
      <vt:lpstr>_11_A家事増３．０</vt:lpstr>
      <vt:lpstr>_11_A家事増３．２５</vt:lpstr>
      <vt:lpstr>_11_A家事増３．５</vt:lpstr>
      <vt:lpstr>_11_A家事増３．７５</vt:lpstr>
      <vt:lpstr>_11_A家事増４．０</vt:lpstr>
      <vt:lpstr>_11_A家事増４．２５</vt:lpstr>
      <vt:lpstr>_11_A家事増４．５</vt:lpstr>
      <vt:lpstr>_11_A家事増４．７５</vt:lpstr>
      <vt:lpstr>_11_A家事増５．０</vt:lpstr>
      <vt:lpstr>_11_A家事増５．２５</vt:lpstr>
      <vt:lpstr>_11_A家事増５．５</vt:lpstr>
      <vt:lpstr>_11_A家事増５．７５</vt:lpstr>
      <vt:lpstr>_11_A家事増６．０</vt:lpstr>
      <vt:lpstr>_11_A家事増６．２５</vt:lpstr>
      <vt:lpstr>_11_A家事増６．５</vt:lpstr>
      <vt:lpstr>_11_A家事増６．７５</vt:lpstr>
      <vt:lpstr>_11_A家事増７．０</vt:lpstr>
      <vt:lpstr>_11_A家事増７．２５</vt:lpstr>
      <vt:lpstr>_11_A家事増７．５</vt:lpstr>
      <vt:lpstr>_11_A家事増７．７５</vt:lpstr>
      <vt:lpstr>_11_A家事増８．０</vt:lpstr>
      <vt:lpstr>_11_A家事増８．２５</vt:lpstr>
      <vt:lpstr>_11_A家事増８．５</vt:lpstr>
      <vt:lpstr>_11_A家事増８．７５</vt:lpstr>
      <vt:lpstr>_11_A家事増９．０</vt:lpstr>
      <vt:lpstr>_11_A家事増９．２５</vt:lpstr>
      <vt:lpstr>_11_A家事増９．５</vt:lpstr>
      <vt:lpstr>_11_A家事増９．７５</vt:lpstr>
      <vt:lpstr>_11_A重度研修１．０</vt:lpstr>
      <vt:lpstr>_11_A重度研修１．５</vt:lpstr>
      <vt:lpstr>_11_A重度研修１０．０</vt:lpstr>
      <vt:lpstr>_11_A重度研修１０．５</vt:lpstr>
      <vt:lpstr>_11_A重度研修２．０</vt:lpstr>
      <vt:lpstr>_11_A重度研修２．５</vt:lpstr>
      <vt:lpstr>_11_A重度研修３．０</vt:lpstr>
      <vt:lpstr>_11_A重度研修３．５</vt:lpstr>
      <vt:lpstr>_11_A重度研修４．０</vt:lpstr>
      <vt:lpstr>_11_A重度研修４．５</vt:lpstr>
      <vt:lpstr>_11_A重度研修５．０</vt:lpstr>
      <vt:lpstr>_11_A重度研修５．５</vt:lpstr>
      <vt:lpstr>_11_A重度研修６．０</vt:lpstr>
      <vt:lpstr>_11_A重度研修６．５</vt:lpstr>
      <vt:lpstr>_11_A重度研修７．０</vt:lpstr>
      <vt:lpstr>_11_A重度研修７．５</vt:lpstr>
      <vt:lpstr>_11_A重度研修８．０</vt:lpstr>
      <vt:lpstr>_11_A重度研修８．５</vt:lpstr>
      <vt:lpstr>_11_A重度研修９．０</vt:lpstr>
      <vt:lpstr>_11_A重度研修９．５</vt:lpstr>
      <vt:lpstr>_11_A重度研修増０．５</vt:lpstr>
      <vt:lpstr>_11_A重度研修増１．０</vt:lpstr>
      <vt:lpstr>_11_A重度研修増１．５</vt:lpstr>
      <vt:lpstr>_11_A重度研修増１０．０</vt:lpstr>
      <vt:lpstr>_11_A重度研修増１０．５</vt:lpstr>
      <vt:lpstr>_11_A重度研修増２．０</vt:lpstr>
      <vt:lpstr>_11_A重度研修増２．５</vt:lpstr>
      <vt:lpstr>_11_A重度研修増３．０</vt:lpstr>
      <vt:lpstr>_11_A重度研修増３．５</vt:lpstr>
      <vt:lpstr>_11_A重度研修増４．０</vt:lpstr>
      <vt:lpstr>_11_A重度研修増４．５</vt:lpstr>
      <vt:lpstr>_11_A重度研修増５．０</vt:lpstr>
      <vt:lpstr>_11_A重度研修増５．５</vt:lpstr>
      <vt:lpstr>_11_A重度研修増６．０</vt:lpstr>
      <vt:lpstr>_11_A重度研修増６．５</vt:lpstr>
      <vt:lpstr>_11_A重度研修増７．０</vt:lpstr>
      <vt:lpstr>_11_A重度研修増７．５</vt:lpstr>
      <vt:lpstr>_11_A重度研修増８．０</vt:lpstr>
      <vt:lpstr>_11_A重度研修増８．５</vt:lpstr>
      <vt:lpstr>_11_A重度研修増９．０</vt:lpstr>
      <vt:lpstr>_11_A重度研修増９．５</vt:lpstr>
      <vt:lpstr>_11_A身体０．５</vt:lpstr>
      <vt:lpstr>_11_A身体１．０</vt:lpstr>
      <vt:lpstr>_11_A身体１．５</vt:lpstr>
      <vt:lpstr>_11_A身体１０．０</vt:lpstr>
      <vt:lpstr>_11_A身体１０．５</vt:lpstr>
      <vt:lpstr>_11_A身体２．０</vt:lpstr>
      <vt:lpstr>_11_A身体２．５</vt:lpstr>
      <vt:lpstr>_11_A身体３．０</vt:lpstr>
      <vt:lpstr>_11_A身体３．５</vt:lpstr>
      <vt:lpstr>_11_A身体４．０</vt:lpstr>
      <vt:lpstr>_11_A身体４．５</vt:lpstr>
      <vt:lpstr>_11_A身体５．０</vt:lpstr>
      <vt:lpstr>_11_A身体５．５</vt:lpstr>
      <vt:lpstr>_11_A身体６．０</vt:lpstr>
      <vt:lpstr>_11_A身体６．５</vt:lpstr>
      <vt:lpstr>_11_A身体７．０</vt:lpstr>
      <vt:lpstr>_11_A身体７．５</vt:lpstr>
      <vt:lpstr>_11_A身体８．０</vt:lpstr>
      <vt:lpstr>_11_A身体８．５</vt:lpstr>
      <vt:lpstr>_11_A身体９．０</vt:lpstr>
      <vt:lpstr>_11_A身体９．５</vt:lpstr>
      <vt:lpstr>_11_A身体増０．５</vt:lpstr>
      <vt:lpstr>_11_A身体増１．０</vt:lpstr>
      <vt:lpstr>_11_A身体増１．５</vt:lpstr>
      <vt:lpstr>_11_A身体増１０．０</vt:lpstr>
      <vt:lpstr>_11_A身体増１０．５</vt:lpstr>
      <vt:lpstr>_11_A身体増２．０</vt:lpstr>
      <vt:lpstr>_11_A身体増２．５</vt:lpstr>
      <vt:lpstr>_11_A身体増３．０</vt:lpstr>
      <vt:lpstr>_11_A身体増３．５</vt:lpstr>
      <vt:lpstr>_11_A身体増４．０</vt:lpstr>
      <vt:lpstr>_11_A身体増４．５</vt:lpstr>
      <vt:lpstr>_11_A身体増５．０</vt:lpstr>
      <vt:lpstr>_11_A身体増５．５</vt:lpstr>
      <vt:lpstr>_11_A身体増６．０</vt:lpstr>
      <vt:lpstr>_11_A身体増６．５</vt:lpstr>
      <vt:lpstr>_11_A身体増７．０</vt:lpstr>
      <vt:lpstr>_11_A身体増７．５</vt:lpstr>
      <vt:lpstr>_11_A身体増８．０</vt:lpstr>
      <vt:lpstr>_11_A身体増８．５</vt:lpstr>
      <vt:lpstr>_11_A身体増９．０</vt:lpstr>
      <vt:lpstr>_11_A身体増９．５</vt:lpstr>
      <vt:lpstr>_11_A通院１０．５</vt:lpstr>
      <vt:lpstr>_11_A通院１１．０</vt:lpstr>
      <vt:lpstr>_11_A通院１１．５</vt:lpstr>
      <vt:lpstr>_11_A通院１１０．０</vt:lpstr>
      <vt:lpstr>_11_A通院１１０．５</vt:lpstr>
      <vt:lpstr>_11_A通院１２．０</vt:lpstr>
      <vt:lpstr>_11_A通院１２．５</vt:lpstr>
      <vt:lpstr>_11_A通院１３．０</vt:lpstr>
      <vt:lpstr>_11_A通院１３．５</vt:lpstr>
      <vt:lpstr>_11_A通院１４．０</vt:lpstr>
      <vt:lpstr>_11_A通院１４．５</vt:lpstr>
      <vt:lpstr>_11_A通院１５．０</vt:lpstr>
      <vt:lpstr>_11_A通院１５．５</vt:lpstr>
      <vt:lpstr>_11_A通院１６．０</vt:lpstr>
      <vt:lpstr>_11_A通院１６．５</vt:lpstr>
      <vt:lpstr>_11_A通院１７．０</vt:lpstr>
      <vt:lpstr>_11_A通院１７．５</vt:lpstr>
      <vt:lpstr>_11_A通院１８．０</vt:lpstr>
      <vt:lpstr>_11_A通院１８．５</vt:lpstr>
      <vt:lpstr>_11_A通院１９．０</vt:lpstr>
      <vt:lpstr>_11_A通院１９．５</vt:lpstr>
      <vt:lpstr>_11_A通院１増０．５</vt:lpstr>
      <vt:lpstr>_11_A通院１増１．０</vt:lpstr>
      <vt:lpstr>_11_A通院１増１．５</vt:lpstr>
      <vt:lpstr>_11_A通院１増１０．０</vt:lpstr>
      <vt:lpstr>_11_A通院１増１０．５</vt:lpstr>
      <vt:lpstr>_11_A通院１増２．０</vt:lpstr>
      <vt:lpstr>_11_A通院１増２．５</vt:lpstr>
      <vt:lpstr>_11_A通院１増３．０</vt:lpstr>
      <vt:lpstr>_11_A通院１増３．５</vt:lpstr>
      <vt:lpstr>_11_A通院１増４．０</vt:lpstr>
      <vt:lpstr>_11_A通院１増４．５</vt:lpstr>
      <vt:lpstr>_11_A通院１増５．０</vt:lpstr>
      <vt:lpstr>_11_A通院１増５．５</vt:lpstr>
      <vt:lpstr>_11_A通院１増６．０</vt:lpstr>
      <vt:lpstr>_11_A通院１増６．５</vt:lpstr>
      <vt:lpstr>_11_A通院１増７．０</vt:lpstr>
      <vt:lpstr>_11_A通院１増７．５</vt:lpstr>
      <vt:lpstr>_11_A通院１増８．０</vt:lpstr>
      <vt:lpstr>_11_A通院１増８．５</vt:lpstr>
      <vt:lpstr>_11_A通院１増９．０</vt:lpstr>
      <vt:lpstr>_11_A通院１増９．５</vt:lpstr>
      <vt:lpstr>_11_A通院２０．５</vt:lpstr>
      <vt:lpstr>_11_A通院２１．０</vt:lpstr>
      <vt:lpstr>_11_A通院２１．５</vt:lpstr>
      <vt:lpstr>_11_A通院２１０．０</vt:lpstr>
      <vt:lpstr>_11_A通院２１０．５</vt:lpstr>
      <vt:lpstr>_11_A通院２２．０</vt:lpstr>
      <vt:lpstr>_11_A通院２２．５</vt:lpstr>
      <vt:lpstr>_11_A通院２３．０</vt:lpstr>
      <vt:lpstr>_11_A通院２３．５</vt:lpstr>
      <vt:lpstr>_11_A通院２４．０</vt:lpstr>
      <vt:lpstr>_11_A通院２４．５</vt:lpstr>
      <vt:lpstr>_11_A通院２５．０</vt:lpstr>
      <vt:lpstr>_11_A通院２５．５</vt:lpstr>
      <vt:lpstr>_11_A通院２６．０</vt:lpstr>
      <vt:lpstr>_11_A通院２６．５</vt:lpstr>
      <vt:lpstr>_11_A通院２７．０</vt:lpstr>
      <vt:lpstr>_11_A通院２７．５</vt:lpstr>
      <vt:lpstr>_11_A通院２８．０</vt:lpstr>
      <vt:lpstr>_11_A通院２８．５</vt:lpstr>
      <vt:lpstr>_11_A通院２９．０</vt:lpstr>
      <vt:lpstr>_11_A通院２９．５</vt:lpstr>
      <vt:lpstr>_11_A通院２増０．５</vt:lpstr>
      <vt:lpstr>_11_A通院２増１．０</vt:lpstr>
      <vt:lpstr>_11_A通院２増１．５</vt:lpstr>
      <vt:lpstr>_11_A通院２増１０．０</vt:lpstr>
      <vt:lpstr>_11_A通院２増１０．５</vt:lpstr>
      <vt:lpstr>_11_A通院２増２．０</vt:lpstr>
      <vt:lpstr>_11_A通院２増２．５</vt:lpstr>
      <vt:lpstr>_11_A通院２増３．０</vt:lpstr>
      <vt:lpstr>_11_A通院２増３．５</vt:lpstr>
      <vt:lpstr>_11_A通院２増４．０</vt:lpstr>
      <vt:lpstr>_11_A通院２増４．５</vt:lpstr>
      <vt:lpstr>_11_A通院２増５．０</vt:lpstr>
      <vt:lpstr>_11_A通院２増５．５</vt:lpstr>
      <vt:lpstr>_11_A通院２増６．０</vt:lpstr>
      <vt:lpstr>_11_A通院２増６．５</vt:lpstr>
      <vt:lpstr>_11_A通院２増７．０</vt:lpstr>
      <vt:lpstr>_11_A通院２増７．５</vt:lpstr>
      <vt:lpstr>_11_A通院２増８．０</vt:lpstr>
      <vt:lpstr>_11_A通院２増８．５</vt:lpstr>
      <vt:lpstr>_11_A通院２増９．０</vt:lpstr>
      <vt:lpstr>_11_A通院２増９．５</vt:lpstr>
      <vt:lpstr>_11_A通院乗降</vt:lpstr>
      <vt:lpstr>_11_B家事０．５＿０．２５</vt:lpstr>
      <vt:lpstr>_11_B家事０．５＿０．５</vt:lpstr>
      <vt:lpstr>_11_B家事０．５＿０．７５</vt:lpstr>
      <vt:lpstr>_11_B家事０．５＿１．０</vt:lpstr>
      <vt:lpstr>_11_B家事０．７５＿０．２５</vt:lpstr>
      <vt:lpstr>_11_B家事０．７５＿０．５</vt:lpstr>
      <vt:lpstr>_11_B家事０．７５＿０．７５</vt:lpstr>
      <vt:lpstr>_11_B家事１．０＿０．２５</vt:lpstr>
      <vt:lpstr>_11_B家事１．０＿０．５</vt:lpstr>
      <vt:lpstr>_11_B家事１．２５＿０．２５</vt:lpstr>
      <vt:lpstr>_11_B重度研修１．０＿０．５</vt:lpstr>
      <vt:lpstr>_11_B重度研修１．０＿１．０</vt:lpstr>
      <vt:lpstr>_11_B重度研修１．０＿１．５</vt:lpstr>
      <vt:lpstr>_11_B重度研修１．０＿２．０</vt:lpstr>
      <vt:lpstr>_11_B重度研修１．５＿０．５</vt:lpstr>
      <vt:lpstr>_11_B重度研修１．５＿１．０</vt:lpstr>
      <vt:lpstr>_11_B重度研修１．５＿１．５</vt:lpstr>
      <vt:lpstr>_11_B重度研修２．０＿０．５</vt:lpstr>
      <vt:lpstr>_11_B重度研修２．０＿１．０</vt:lpstr>
      <vt:lpstr>_11_B重度研修２．５＿０．５</vt:lpstr>
      <vt:lpstr>_11_B身体０．５＿０．５</vt:lpstr>
      <vt:lpstr>_11_B身体０．５＿１．０</vt:lpstr>
      <vt:lpstr>_11_B身体０．５＿１．５</vt:lpstr>
      <vt:lpstr>_11_B身体０．５＿２．０</vt:lpstr>
      <vt:lpstr>_11_B身体０．５＿２．５</vt:lpstr>
      <vt:lpstr>_11_B身体１．０＿０．５</vt:lpstr>
      <vt:lpstr>_11_B身体１．０＿１．０</vt:lpstr>
      <vt:lpstr>_11_B身体１．０＿１．５</vt:lpstr>
      <vt:lpstr>_11_B身体１．０＿２．０</vt:lpstr>
      <vt:lpstr>_11_B身体１．５＿０．５</vt:lpstr>
      <vt:lpstr>_11_B身体１．５＿１．０</vt:lpstr>
      <vt:lpstr>_11_B身体１．５＿１．５</vt:lpstr>
      <vt:lpstr>_11_B身体２．０＿０．５</vt:lpstr>
      <vt:lpstr>_11_B身体２．０＿１．０</vt:lpstr>
      <vt:lpstr>_11_B身体２．５＿０．５</vt:lpstr>
      <vt:lpstr>_11_B通院１０．５＿０．５</vt:lpstr>
      <vt:lpstr>_11_B通院１０．５＿１．０</vt:lpstr>
      <vt:lpstr>_11_B通院１０．５＿１．５</vt:lpstr>
      <vt:lpstr>_11_B通院１０．５＿２．０</vt:lpstr>
      <vt:lpstr>_11_B通院１０．５＿２．５</vt:lpstr>
      <vt:lpstr>_11_B通院１１．０＿０．５</vt:lpstr>
      <vt:lpstr>_11_B通院１１．０＿１．０</vt:lpstr>
      <vt:lpstr>_11_B通院１１．０＿１．５</vt:lpstr>
      <vt:lpstr>_11_B通院１１．０＿２．０</vt:lpstr>
      <vt:lpstr>_11_B通院１１．５＿０．５</vt:lpstr>
      <vt:lpstr>_11_B通院１１．５＿１．０</vt:lpstr>
      <vt:lpstr>_11_B通院１１．５＿１．５</vt:lpstr>
      <vt:lpstr>_11_B通院１２．０＿０．５</vt:lpstr>
      <vt:lpstr>_11_B通院１２．０＿１．０</vt:lpstr>
      <vt:lpstr>_11_B通院１２．５＿０．５</vt:lpstr>
      <vt:lpstr>_11_B通院２０．５＿０．５</vt:lpstr>
      <vt:lpstr>_11_B通院２０．５＿１．０</vt:lpstr>
      <vt:lpstr>_11_B通院２１．０＿０．５</vt:lpstr>
      <vt:lpstr>_11_C家事０．５＿０．２５＿０．２５</vt:lpstr>
      <vt:lpstr>_11_C家事０．５＿０．２５＿０．５</vt:lpstr>
      <vt:lpstr>_11_C家事０．５＿０．２５＿０．７５</vt:lpstr>
      <vt:lpstr>_11_C家事０．５＿０．５＿０．２５</vt:lpstr>
      <vt:lpstr>_11_C家事０．５＿０．５＿０．５</vt:lpstr>
      <vt:lpstr>_11_C家事０．５＿０．７５＿０．２５</vt:lpstr>
      <vt:lpstr>_11_C家事０．７５＿０．２５＿０．２５</vt:lpstr>
      <vt:lpstr>_11_C家事０．７５＿０．２５＿０．５</vt:lpstr>
      <vt:lpstr>_11_C家事０．７５＿０．５＿０．２５</vt:lpstr>
      <vt:lpstr>_11_C家事１．０＿０．２５＿０．２５</vt:lpstr>
      <vt:lpstr>_11_C重度研修１．０＿０．５＿０．５</vt:lpstr>
      <vt:lpstr>_11_C重度研修１．０＿０．５＿１．０</vt:lpstr>
      <vt:lpstr>_11_C重度研修１．０＿０．５＿１．５</vt:lpstr>
      <vt:lpstr>_11_C重度研修１．０＿１．０＿０．５</vt:lpstr>
      <vt:lpstr>_11_C重度研修１．０＿１．０＿１．０</vt:lpstr>
      <vt:lpstr>_11_C重度研修１．０＿１．５＿０．５</vt:lpstr>
      <vt:lpstr>_11_C重度研修１．５＿０．５＿０．５</vt:lpstr>
      <vt:lpstr>_11_C重度研修１．５＿０．５＿１．０</vt:lpstr>
      <vt:lpstr>_11_C重度研修１．５＿１．０＿０．５</vt:lpstr>
      <vt:lpstr>_11_C重度研修２．０＿０．５＿０．５</vt:lpstr>
      <vt:lpstr>_11_C身体０．５＿０．５＿０．５</vt:lpstr>
      <vt:lpstr>_11_C身体０．５＿０．５＿１．０</vt:lpstr>
      <vt:lpstr>_11_C身体０．５＿０．５＿１．５</vt:lpstr>
      <vt:lpstr>_11_C身体０．５＿０．５＿２．０</vt:lpstr>
      <vt:lpstr>_11_C身体０．５＿１．０＿０．５</vt:lpstr>
      <vt:lpstr>_11_C身体０．５＿１．０＿１．０</vt:lpstr>
      <vt:lpstr>_11_C身体０．５＿１．０＿１．５</vt:lpstr>
      <vt:lpstr>_11_C身体０．５＿１．５＿０．５</vt:lpstr>
      <vt:lpstr>_11_C身体０．５＿１．５＿１．０</vt:lpstr>
      <vt:lpstr>_11_C身体０．５＿２．０＿０．５</vt:lpstr>
      <vt:lpstr>_11_C身体１．０＿０．５＿０．５</vt:lpstr>
      <vt:lpstr>_11_C身体１．０＿０．５＿１．０</vt:lpstr>
      <vt:lpstr>_11_C身体１．０＿０．５＿１．５</vt:lpstr>
      <vt:lpstr>_11_C身体１．０＿１．０＿０．５</vt:lpstr>
      <vt:lpstr>_11_C身体１．０＿１．０＿１．０</vt:lpstr>
      <vt:lpstr>_11_C身体１．０＿１．５＿０．５</vt:lpstr>
      <vt:lpstr>_11_C身体１．５＿０．５＿０．５</vt:lpstr>
      <vt:lpstr>_11_C身体１．５＿０．５＿１．０</vt:lpstr>
      <vt:lpstr>_11_C身体１．５＿１．０＿０．５</vt:lpstr>
      <vt:lpstr>_11_C身体２．０＿０．５＿０．５</vt:lpstr>
      <vt:lpstr>_11_C通院１０．５＿０．５＿０．５</vt:lpstr>
      <vt:lpstr>_11_C通院１０．５＿０．５＿１．０</vt:lpstr>
      <vt:lpstr>_11_C通院１０．５＿０．５＿１．５</vt:lpstr>
      <vt:lpstr>_11_C通院１０．５＿０．５＿２．０</vt:lpstr>
      <vt:lpstr>_11_C通院１０．５＿１．０＿０．５</vt:lpstr>
      <vt:lpstr>_11_C通院１０．５＿１．０＿１．０</vt:lpstr>
      <vt:lpstr>_11_C通院１０．５＿１．０＿１．５</vt:lpstr>
      <vt:lpstr>_11_C通院１０．５＿１．５＿０．５</vt:lpstr>
      <vt:lpstr>_11_C通院１０．５＿１．５＿１．０</vt:lpstr>
      <vt:lpstr>_11_C通院１０．５＿２．０＿０．５</vt:lpstr>
      <vt:lpstr>_11_C通院１１．０＿０．５＿０．５</vt:lpstr>
      <vt:lpstr>_11_C通院１１．０＿０．５＿１．０</vt:lpstr>
      <vt:lpstr>_11_C通院１１．０＿０．５＿１．５</vt:lpstr>
      <vt:lpstr>_11_C通院１１．０＿１．０＿０．５</vt:lpstr>
      <vt:lpstr>_11_C通院１１．０＿１．０＿１．０</vt:lpstr>
      <vt:lpstr>_11_C通院１１．０＿１．５＿０．５</vt:lpstr>
      <vt:lpstr>_11_C通院１１．５＿０．５＿０．５</vt:lpstr>
      <vt:lpstr>_11_C通院１１．５＿０．５＿１．０</vt:lpstr>
      <vt:lpstr>_11_C通院１１．５＿１．０＿０．５</vt:lpstr>
      <vt:lpstr>_11_C通院１２．０＿０．５＿０．５</vt:lpstr>
      <vt:lpstr>_11_C通院２０．５＿０．５＿０．５</vt:lpstr>
      <vt:lpstr>_11・２人</vt:lpstr>
      <vt:lpstr>_11・A深夜</vt:lpstr>
      <vt:lpstr>_11・A早朝</vt:lpstr>
      <vt:lpstr>_11・A夜間</vt:lpstr>
      <vt:lpstr>_11・B深夜</vt:lpstr>
      <vt:lpstr>_11・B早朝</vt:lpstr>
      <vt:lpstr>_11・B夜間</vt:lpstr>
      <vt:lpstr>_11・C深夜</vt:lpstr>
      <vt:lpstr>_11・C夜間</vt:lpstr>
      <vt:lpstr>_11・基礎１</vt:lpstr>
      <vt:lpstr>_11・基礎２</vt:lpstr>
      <vt:lpstr>_11・重度研修</vt:lpstr>
      <vt:lpstr>_11・初任</vt:lpstr>
      <vt:lpstr>_11・同建１</vt:lpstr>
      <vt:lpstr>_11・同建２</vt:lpstr>
      <vt:lpstr>_15_同援日０．５</vt:lpstr>
      <vt:lpstr>_15_同援日０．５＿０．５</vt:lpstr>
      <vt:lpstr>_15_同援日０．５＿０．５＿０．５</vt:lpstr>
      <vt:lpstr>_15_同援日０．５＿０．５＿１．０</vt:lpstr>
      <vt:lpstr>_15_同援日０．５＿０．５＿１．５</vt:lpstr>
      <vt:lpstr>_15_同援日０．５＿０．５＿２．０</vt:lpstr>
      <vt:lpstr>_15_同援日０．５＿１．０</vt:lpstr>
      <vt:lpstr>_15_同援日０．５＿１．０＿０．５</vt:lpstr>
      <vt:lpstr>_15_同援日０．５＿１．０＿１．０</vt:lpstr>
      <vt:lpstr>_15_同援日０．５＿１．０＿１．５</vt:lpstr>
      <vt:lpstr>_15_同援日０．５＿１．５</vt:lpstr>
      <vt:lpstr>_15_同援日０．５＿１．５＿０．５</vt:lpstr>
      <vt:lpstr>_15_同援日０．５＿１．５＿１．０</vt:lpstr>
      <vt:lpstr>_15_同援日０．５＿２．０</vt:lpstr>
      <vt:lpstr>_15_同援日０．５＿２．０＿０．５</vt:lpstr>
      <vt:lpstr>_15_同援日０．５＿２．５</vt:lpstr>
      <vt:lpstr>_15_同援日１．０</vt:lpstr>
      <vt:lpstr>_15_同援日１．０＿０．５</vt:lpstr>
      <vt:lpstr>_15_同援日１．０＿０．５＿０．５</vt:lpstr>
      <vt:lpstr>_15_同援日１．０＿０．５＿１．０</vt:lpstr>
      <vt:lpstr>_15_同援日１．０＿０．５＿１．５</vt:lpstr>
      <vt:lpstr>_15_同援日１．０＿１．０</vt:lpstr>
      <vt:lpstr>_15_同援日１．０＿１．０＿０．５</vt:lpstr>
      <vt:lpstr>_15_同援日１．０＿１．０＿１．０</vt:lpstr>
      <vt:lpstr>_15_同援日１．０＿１．５</vt:lpstr>
      <vt:lpstr>_15_同援日１．０＿１．５＿０．５</vt:lpstr>
      <vt:lpstr>_15_同援日１．０＿２．０</vt:lpstr>
      <vt:lpstr>_15_同援日１．５</vt:lpstr>
      <vt:lpstr>_15_同援日１．５＿０．５</vt:lpstr>
      <vt:lpstr>_15_同援日１．５＿０．５＿０．５</vt:lpstr>
      <vt:lpstr>_15_同援日１．５＿０．５＿１．０</vt:lpstr>
      <vt:lpstr>_15_同援日１．５＿１．０</vt:lpstr>
      <vt:lpstr>_15_同援日１．５＿１．０＿０．５</vt:lpstr>
      <vt:lpstr>_15_同援日１．５＿１．５</vt:lpstr>
      <vt:lpstr>_15_同援日１０．０</vt:lpstr>
      <vt:lpstr>_15_同援日１０．５</vt:lpstr>
      <vt:lpstr>_15_同援日２．０</vt:lpstr>
      <vt:lpstr>_15_同援日２．０＿０．５</vt:lpstr>
      <vt:lpstr>_15_同援日２．０＿０．５＿０．５</vt:lpstr>
      <vt:lpstr>_15_同援日２．０＿１．０</vt:lpstr>
      <vt:lpstr>_15_同援日２．５</vt:lpstr>
      <vt:lpstr>_15_同援日２．５＿０．５</vt:lpstr>
      <vt:lpstr>_15_同援日３．０</vt:lpstr>
      <vt:lpstr>_15_同援日３．５</vt:lpstr>
      <vt:lpstr>_15_同援日４．０</vt:lpstr>
      <vt:lpstr>_15_同援日４．５</vt:lpstr>
      <vt:lpstr>_15_同援日５．０</vt:lpstr>
      <vt:lpstr>_15_同援日５．５</vt:lpstr>
      <vt:lpstr>_15_同援日６．０</vt:lpstr>
      <vt:lpstr>_15_同援日６．５</vt:lpstr>
      <vt:lpstr>_15_同援日７．０</vt:lpstr>
      <vt:lpstr>_15_同援日７．５</vt:lpstr>
      <vt:lpstr>_15_同援日８．０</vt:lpstr>
      <vt:lpstr>_15_同援日８．５</vt:lpstr>
      <vt:lpstr>_15_同援日９．０</vt:lpstr>
      <vt:lpstr>_15_同援日９．５</vt:lpstr>
      <vt:lpstr>_15_同援日増０．５</vt:lpstr>
      <vt:lpstr>_15_同援日増１．０</vt:lpstr>
      <vt:lpstr>_15_同援日増１．５</vt:lpstr>
      <vt:lpstr>_15_同援日増１０．０</vt:lpstr>
      <vt:lpstr>_15_同援日増１０．５</vt:lpstr>
      <vt:lpstr>_15_同援日増２．０</vt:lpstr>
      <vt:lpstr>_15_同援日増２．５</vt:lpstr>
      <vt:lpstr>_15_同援日増３．０</vt:lpstr>
      <vt:lpstr>_15_同援日増３．５</vt:lpstr>
      <vt:lpstr>_15_同援日増４．０</vt:lpstr>
      <vt:lpstr>_15_同援日増４．５</vt:lpstr>
      <vt:lpstr>_15_同援日増５．０</vt:lpstr>
      <vt:lpstr>_15_同援日増５．５</vt:lpstr>
      <vt:lpstr>_15_同援日増６．０</vt:lpstr>
      <vt:lpstr>_15_同援日増６．５</vt:lpstr>
      <vt:lpstr>_15_同援日増７．０</vt:lpstr>
      <vt:lpstr>_15_同援日増７．５</vt:lpstr>
      <vt:lpstr>_15_同援日増８．０</vt:lpstr>
      <vt:lpstr>_15_同援日増８．５</vt:lpstr>
      <vt:lpstr>_15_同援日増９．０</vt:lpstr>
      <vt:lpstr>_15_同援日増９．５</vt:lpstr>
      <vt:lpstr>_15・２人</vt:lpstr>
      <vt:lpstr>_15・A深夜</vt:lpstr>
      <vt:lpstr>_15・A早朝</vt:lpstr>
      <vt:lpstr>_15・A夜間</vt:lpstr>
      <vt:lpstr>_15・B深夜</vt:lpstr>
      <vt:lpstr>_15・B早朝</vt:lpstr>
      <vt:lpstr>_15・B夜間</vt:lpstr>
      <vt:lpstr>_15・C深夜</vt:lpstr>
      <vt:lpstr>_15・C夜間</vt:lpstr>
      <vt:lpstr>_15・基礎２</vt:lpstr>
      <vt:lpstr>_15・区３</vt:lpstr>
      <vt:lpstr>_15・区４</vt:lpstr>
      <vt:lpstr>_15・通訳</vt:lpstr>
      <vt:lpstr>_15・盲ろう</vt:lpstr>
      <vt:lpstr>'3同行援護(単独加算)'!Print_Area</vt:lpstr>
      <vt:lpstr>'3同行援護(同行援護、2h未合成１)'!Print_Area</vt:lpstr>
      <vt:lpstr>'3同行援護(同行援護、2h未合成２)'!Print_Area</vt:lpstr>
      <vt:lpstr>'3同行援護(同行援護、2h未合成３)'!Print_Area</vt:lpstr>
      <vt:lpstr>'3同行援護(同行援護、合成深夜)'!Print_Area</vt:lpstr>
      <vt:lpstr>'3同行援護(同行援護、合成早朝)'!Print_Area</vt:lpstr>
      <vt:lpstr>'3同行援護(同行援護、合成日中)'!Print_Area</vt:lpstr>
      <vt:lpstr>'3同行援護(同行援護、合成夜間１)'!Print_Area</vt:lpstr>
      <vt:lpstr>'3同行援護(同行援護、合成夜間２)'!Print_Area</vt:lpstr>
      <vt:lpstr>'3同行援護(同行援護、深夜増分)'!Print_Area</vt:lpstr>
      <vt:lpstr>'3同行援護(同行援護、早朝夜間増分)'!Print_Area</vt:lpstr>
      <vt:lpstr>'3同行援護(同行援護、単一深夜)'!Print_Area</vt:lpstr>
      <vt:lpstr>'3同行援護(同行援護、単一早朝夜間)'!Print_Area</vt:lpstr>
      <vt:lpstr>'3同行援護(同行援護、単一日中)'!Print_Area</vt:lpstr>
      <vt:lpstr>'3同行援護(同行援護、日中増分)'!Print_Area</vt:lpstr>
      <vt:lpstr>'3同行援護(同行援護盲ろう、2h未合成１)'!Print_Area</vt:lpstr>
      <vt:lpstr>'3同行援護(同行援護盲ろう、2h未合成２)'!Print_Area</vt:lpstr>
      <vt:lpstr>'3同行援護(同行援護盲ろう、2h未合成３)'!Print_Area</vt:lpstr>
      <vt:lpstr>'3同行援護(同行援護盲ろう、合成深夜)'!Print_Area</vt:lpstr>
      <vt:lpstr>'3同行援護(同行援護盲ろう、合成早朝)'!Print_Area</vt:lpstr>
      <vt:lpstr>'3同行援護(同行援護盲ろう、合成日中)'!Print_Area</vt:lpstr>
      <vt:lpstr>'3同行援護(同行援護盲ろう、合成夜間１)'!Print_Area</vt:lpstr>
      <vt:lpstr>'3同行援護(同行援護盲ろう、合成夜間２)'!Print_Area</vt:lpstr>
      <vt:lpstr>'3同行援護(同行援護盲ろう、深夜増分)'!Print_Area</vt:lpstr>
      <vt:lpstr>'3同行援護(同行援護盲ろう、早朝夜間増分)'!Print_Area</vt:lpstr>
      <vt:lpstr>'3同行援護(同行援護盲ろう、単一深夜)'!Print_Area</vt:lpstr>
      <vt:lpstr>'3同行援護(同行援護盲ろう、単一早朝夜間)'!Print_Area</vt:lpstr>
      <vt:lpstr>'3同行援護(同行援護盲ろう、単一日中)'!Print_Area</vt:lpstr>
      <vt:lpstr>'3同行援護(同行援護盲ろう、日中増分)'!Print_Area</vt:lpstr>
      <vt:lpstr>'3同行援護(単独加算)'!Print_Titles</vt:lpstr>
      <vt:lpstr>'3同行援護(同行援護、2h未合成１)'!Print_Titles</vt:lpstr>
      <vt:lpstr>'3同行援護(同行援護、2h未合成２)'!Print_Titles</vt:lpstr>
      <vt:lpstr>'3同行援護(同行援護、2h未合成３)'!Print_Titles</vt:lpstr>
      <vt:lpstr>'3同行援護(同行援護、合成深夜)'!Print_Titles</vt:lpstr>
      <vt:lpstr>'3同行援護(同行援護、合成早朝)'!Print_Titles</vt:lpstr>
      <vt:lpstr>'3同行援護(同行援護、合成日中)'!Print_Titles</vt:lpstr>
      <vt:lpstr>'3同行援護(同行援護、合成夜間１)'!Print_Titles</vt:lpstr>
      <vt:lpstr>'3同行援護(同行援護、合成夜間２)'!Print_Titles</vt:lpstr>
      <vt:lpstr>'3同行援護(同行援護、深夜増分)'!Print_Titles</vt:lpstr>
      <vt:lpstr>'3同行援護(同行援護、早朝夜間増分)'!Print_Titles</vt:lpstr>
      <vt:lpstr>'3同行援護(同行援護、単一深夜)'!Print_Titles</vt:lpstr>
      <vt:lpstr>'3同行援護(同行援護、単一早朝夜間)'!Print_Titles</vt:lpstr>
      <vt:lpstr>'3同行援護(同行援護、単一日中)'!Print_Titles</vt:lpstr>
      <vt:lpstr>'3同行援護(同行援護、日中増分)'!Print_Titles</vt:lpstr>
      <vt:lpstr>'3同行援護(同行援護1、2h未合成１)'!Print_Titles</vt:lpstr>
      <vt:lpstr>'3同行援護(同行援護1、2h未合成２)'!Print_Titles</vt:lpstr>
      <vt:lpstr>'3同行援護(同行援護1、2h未合成３)'!Print_Titles</vt:lpstr>
      <vt:lpstr>'3同行援護(同行援護1、合成深夜)'!Print_Titles</vt:lpstr>
      <vt:lpstr>'3同行援護(同行援護1、合成早朝)'!Print_Titles</vt:lpstr>
      <vt:lpstr>'3同行援護(同行援護1、合成日中)'!Print_Titles</vt:lpstr>
      <vt:lpstr>'3同行援護(同行援護1、合成夜間１)'!Print_Titles</vt:lpstr>
      <vt:lpstr>'3同行援護(同行援護1、合成夜間２)'!Print_Titles</vt:lpstr>
      <vt:lpstr>'3同行援護(同行援護1、深夜増分)'!Print_Titles</vt:lpstr>
      <vt:lpstr>'3同行援護(同行援護1、早朝夜間増分)'!Print_Titles</vt:lpstr>
      <vt:lpstr>'3同行援護(同行援護1、単一深夜)'!Print_Titles</vt:lpstr>
      <vt:lpstr>'3同行援護(同行援護1、単一早朝夜間)'!Print_Titles</vt:lpstr>
      <vt:lpstr>'3同行援護(同行援護1、単一日中)'!Print_Titles</vt:lpstr>
      <vt:lpstr>'3同行援護(同行援護1、日中増分)'!Print_Titles</vt:lpstr>
      <vt:lpstr>'3同行援護(同行援護1盲ろう、2h未合成１)'!Print_Titles</vt:lpstr>
      <vt:lpstr>'3同行援護(同行援護1盲ろう、2h未合成２)'!Print_Titles</vt:lpstr>
      <vt:lpstr>'3同行援護(同行援護1盲ろう、2h未合成３)'!Print_Titles</vt:lpstr>
      <vt:lpstr>'3同行援護(同行援護1盲ろう、合成深夜)'!Print_Titles</vt:lpstr>
      <vt:lpstr>'3同行援護(同行援護1盲ろう、合成早朝)'!Print_Titles</vt:lpstr>
      <vt:lpstr>'3同行援護(同行援護1盲ろう、合成日中)'!Print_Titles</vt:lpstr>
      <vt:lpstr>'3同行援護(同行援護1盲ろう、合成夜間１)'!Print_Titles</vt:lpstr>
      <vt:lpstr>'3同行援護(同行援護1盲ろう、合成夜間２)'!Print_Titles</vt:lpstr>
      <vt:lpstr>'3同行援護(同行援護1盲ろう、深夜増分)'!Print_Titles</vt:lpstr>
      <vt:lpstr>'3同行援護(同行援護1盲ろう、早朝夜間増分)'!Print_Titles</vt:lpstr>
      <vt:lpstr>'3同行援護(同行援護1盲ろう、単一深夜)'!Print_Titles</vt:lpstr>
      <vt:lpstr>'3同行援護(同行援護1盲ろう、単一早朝夜間)'!Print_Titles</vt:lpstr>
      <vt:lpstr>'3同行援護(同行援護1盲ろう、単一日中)'!Print_Titles</vt:lpstr>
      <vt:lpstr>'3同行援護(同行援護1盲ろう、日中増分)'!Print_Titles</vt:lpstr>
      <vt:lpstr>'3同行援護(同行援護2、2h未合成１)'!Print_Titles</vt:lpstr>
      <vt:lpstr>'3同行援護(同行援護2、合成１)'!Print_Titles</vt:lpstr>
      <vt:lpstr>'3同行援護(同行援護2、合成２)'!Print_Titles</vt:lpstr>
      <vt:lpstr>'3同行援護(同行援護2、深夜増分)'!Print_Titles</vt:lpstr>
      <vt:lpstr>'3同行援護(同行援護2、早朝夜間増分)'!Print_Titles</vt:lpstr>
      <vt:lpstr>'3同行援護(同行援護2、単一深夜)'!Print_Titles</vt:lpstr>
      <vt:lpstr>'3同行援護(同行援護2、単一早朝夜間)'!Print_Titles</vt:lpstr>
      <vt:lpstr>'3同行援護(同行援護2、単一日中)'!Print_Titles</vt:lpstr>
      <vt:lpstr>'3同行援護(同行援護2、日中増分)'!Print_Titles</vt:lpstr>
      <vt:lpstr>'3同行援護(同行援護2盲ろう、2h未合成１)'!Print_Titles</vt:lpstr>
      <vt:lpstr>'3同行援護(同行援護2盲ろう、合成１)'!Print_Titles</vt:lpstr>
      <vt:lpstr>'3同行援護(同行援護2盲ろう、合成２)'!Print_Titles</vt:lpstr>
      <vt:lpstr>'3同行援護(同行援護2盲ろう、深夜増分)'!Print_Titles</vt:lpstr>
      <vt:lpstr>'3同行援護(同行援護2盲ろう、早朝夜間増分)'!Print_Titles</vt:lpstr>
      <vt:lpstr>'3同行援護(同行援護2盲ろう、単一深夜)'!Print_Titles</vt:lpstr>
      <vt:lpstr>'3同行援護(同行援護2盲ろう、単一早朝夜間)'!Print_Titles</vt:lpstr>
      <vt:lpstr>'3同行援護(同行援護2盲ろう、単一日中)'!Print_Titles</vt:lpstr>
      <vt:lpstr>'3同行援護(同行援護2盲ろう、日中増分)'!Print_Titles</vt:lpstr>
      <vt:lpstr>'3同行援護(同行援護盲ろう、2h未合成１)'!Print_Titles</vt:lpstr>
      <vt:lpstr>'3同行援護(同行援護盲ろう、2h未合成２)'!Print_Titles</vt:lpstr>
      <vt:lpstr>'3同行援護(同行援護盲ろう、合成深夜)'!Print_Titles</vt:lpstr>
      <vt:lpstr>'3同行援護(同行援護盲ろう、合成早朝)'!Print_Titles</vt:lpstr>
      <vt:lpstr>'3同行援護(同行援護盲ろう、合成日中)'!Print_Titles</vt:lpstr>
      <vt:lpstr>'3同行援護(同行援護盲ろう、合成夜間１)'!Print_Titles</vt:lpstr>
      <vt:lpstr>'3同行援護(同行援護盲ろう、合成夜間２)'!Print_Titles</vt:lpstr>
      <vt:lpstr>'3同行援護(同行援護盲ろう、深夜増分)'!Print_Titles</vt:lpstr>
      <vt:lpstr>'3同行援護(同行援護盲ろう、早朝夜間増分)'!Print_Titles</vt:lpstr>
      <vt:lpstr>'3同行援護(同行援護盲ろう、単一深夜)'!Print_Titles</vt:lpstr>
      <vt:lpstr>'3同行援護(同行援護盲ろう、単一日中)'!Print_Titles</vt:lpstr>
      <vt:lpstr>'3同行援護(同行援護盲ろう、日中増分)'!Print_Titles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fukuda</dc:creator>
  <cp:lastModifiedBy>fukuda</cp:lastModifiedBy>
  <cp:lastPrinted>2019-08-19T10:52:42Z</cp:lastPrinted>
  <dcterms:created xsi:type="dcterms:W3CDTF">2018-02-21T08:17:54Z</dcterms:created>
  <dcterms:modified xsi:type="dcterms:W3CDTF">2020-05-25T03:53:53Z</dcterms:modified>
</cp:coreProperties>
</file>